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drawings/drawing3.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4.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7.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drawings/drawing8.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drawings/drawing9.xml" ContentType="application/vnd.openxmlformats-officedocument.drawing+xml"/>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drawings/drawing10.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drawings/drawing11.xml" ContentType="application/vnd.openxmlformats-officedocument.drawing+xml"/>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2.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3.xml" ContentType="application/vnd.openxmlformats-officedocument.drawing+xml"/>
  <Override PartName="/xl/charts/chart1.xml" ContentType="application/vnd.openxmlformats-officedocument.drawingml.chart+xml"/>
  <Override PartName="/xl/drawings/drawing14.xml" ContentType="application/vnd.openxmlformats-officedocument.drawing+xml"/>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123" documentId="13_ncr:1_{3E5F49A7-3582-4D36-B557-39F7115ACB02}" xr6:coauthVersionLast="47" xr6:coauthVersionMax="47" xr10:uidLastSave="{BD633CDE-A833-4176-AB46-5F4EB6B1583F}"/>
  <bookViews>
    <workbookView xWindow="-120" yWindow="-120" windowWidth="25440" windowHeight="15270" tabRatio="791" firstSheet="12" activeTab="12" xr2:uid="{00000000-000D-0000-FFFF-FFFF00000000}"/>
  </bookViews>
  <sheets>
    <sheet name="Readme" sheetId="11" r:id="rId1"/>
    <sheet name="ANSv6.0-Commodities" sheetId="10" state="veryHidden" r:id="rId2"/>
    <sheet name="ANSv6.1-Commodities" sheetId="1" state="veryHidden" r:id="rId3"/>
    <sheet name="Commodities" sheetId="12" r:id="rId4"/>
    <sheet name="ANSv6.0-Technologies" sheetId="13" state="veryHidden" r:id="rId5"/>
    <sheet name="ANSv6.1-Technologies" sheetId="2" state="veryHidden" r:id="rId6"/>
    <sheet name="Technologies" sheetId="14" r:id="rId7"/>
    <sheet name="CommData" sheetId="27" r:id="rId8"/>
    <sheet name="TechData_existing" sheetId="23" r:id="rId9"/>
    <sheet name="VMT NYC" sheetId="66" r:id="rId10"/>
    <sheet name="TechData-Emis" sheetId="24" r:id="rId11"/>
    <sheet name="TechData_ZZ" sheetId="25" r:id="rId12"/>
    <sheet name="TechData_All" sheetId="22" r:id="rId13"/>
    <sheet name="ResidDataAndCalcs" sheetId="36" r:id="rId14"/>
    <sheet name="ConsolidatedVehData" sheetId="30" r:id="rId15"/>
    <sheet name="NewEmisData" sheetId="76" r:id="rId16"/>
    <sheet name="ANSv6.0-Constraints" sheetId="15" state="veryHidden" r:id="rId17"/>
    <sheet name="ANSv6.1-Constraints" sheetId="7" state="veryHidden" r:id="rId18"/>
    <sheet name="ANSv6.0-TechData" sheetId="20" state="veryHidden" r:id="rId19"/>
    <sheet name="ANSv6.0-CommData" sheetId="19" state="veryHidden" r:id="rId20"/>
    <sheet name="ANSv6.1-CommData" sheetId="4" state="veryHidden" r:id="rId21"/>
    <sheet name="ANSv6.1-TechData" sheetId="3" state="veryHidden" r:id="rId22"/>
    <sheet name="ANSv6.1-ConstrData" sheetId="8" state="veryHidden" r:id="rId23"/>
    <sheet name="GHG Reports" sheetId="70" r:id="rId24"/>
    <sheet name="AEO14 DMD" sheetId="48" r:id="rId25"/>
    <sheet name="Population NYC" sheetId="67" r:id="rId26"/>
    <sheet name="Population" sheetId="49" r:id="rId27"/>
    <sheet name="ERG_ElectricVeh" sheetId="78" r:id="rId28"/>
    <sheet name="AdditionalVehs" sheetId="31" r:id="rId29"/>
    <sheet name="Costs" sheetId="32" r:id="rId30"/>
    <sheet name="AEO14 T60" sheetId="77" r:id="rId31"/>
    <sheet name="Efficiencies" sheetId="34" r:id="rId32"/>
    <sheet name="SalesShareCalcs" sheetId="64" r:id="rId33"/>
    <sheet name="OTAQ Car" sheetId="43" r:id="rId34"/>
    <sheet name="AEO14 Sales data" sheetId="45" r:id="rId35"/>
    <sheet name="TED10" sheetId="50" r:id="rId36"/>
    <sheet name="GDPdeflator" sheetId="46" r:id="rId37"/>
    <sheet name="ANSv6.0-ConstrData" sheetId="26" state="veryHidden" r:id="rId38"/>
  </sheets>
  <externalReferences>
    <externalReference r:id="rId39"/>
    <externalReference r:id="rId40"/>
  </externalReferences>
  <definedNames>
    <definedName name="__HDV50" localSheetId="25">#REF!</definedName>
    <definedName name="__HDV50" localSheetId="9">#REF!</definedName>
    <definedName name="__HDV50">#REF!</definedName>
    <definedName name="__LDV50" localSheetId="25">#REF!</definedName>
    <definedName name="__LDV50" localSheetId="9">#REF!</definedName>
    <definedName name="__LDV50">#REF!</definedName>
    <definedName name="_1995_Implicit_GDP_Deflator" localSheetId="25">#REF!</definedName>
    <definedName name="_1995_Implicit_GDP_Deflator" localSheetId="9">#REF!</definedName>
    <definedName name="_1995_Implicit_GDP_Deflator">#REF!</definedName>
    <definedName name="_2001_Implicit_GDP_Deflator" localSheetId="25">#REF!</definedName>
    <definedName name="_2001_Implicit_GDP_Deflator" localSheetId="9">#REF!</definedName>
    <definedName name="_2001_Implicit_GDP_Deflator">#REF!</definedName>
    <definedName name="_xlnm._FilterDatabase" localSheetId="15" hidden="1">NewEmisData!$A$4:$M$404</definedName>
    <definedName name="_xlnm._FilterDatabase" localSheetId="12" hidden="1">TechData_All!$A$1:$BD$1</definedName>
    <definedName name="_xlnm._FilterDatabase" localSheetId="6" hidden="1">Technologies!$B$63:$G$173</definedName>
    <definedName name="Age_of_car" localSheetId="25">#REF!</definedName>
    <definedName name="Age_of_car" localSheetId="9">#REF!</definedName>
    <definedName name="Age_of_car">#REF!</definedName>
    <definedName name="avg_water_heater_PJ">'[1]AEO HW'!$B$33</definedName>
    <definedName name="btu_per_watthr" localSheetId="25">#REF!</definedName>
    <definedName name="btu_per_watthr" localSheetId="9">#REF!</definedName>
    <definedName name="btu_per_watthr">#REF!</definedName>
    <definedName name="conv" localSheetId="25">#REF!</definedName>
    <definedName name="conv" localSheetId="9">#REF!</definedName>
    <definedName name="conv">#REF!</definedName>
    <definedName name="days_per_year" localSheetId="25">#REF!</definedName>
    <definedName name="days_per_year" localSheetId="9">#REF!</definedName>
    <definedName name="days_per_year">#REF!</definedName>
    <definedName name="Diesel_Car_CO" localSheetId="25">#REF!</definedName>
    <definedName name="Diesel_Car_CO" localSheetId="9">#REF!</definedName>
    <definedName name="Diesel_Car_CO">#REF!</definedName>
    <definedName name="Diesel_Car_Nox" localSheetId="25">#REF!</definedName>
    <definedName name="Diesel_Car_Nox" localSheetId="9">#REF!</definedName>
    <definedName name="Diesel_Car_Nox">#REF!</definedName>
    <definedName name="Diesel_Car_PM" localSheetId="25">#REF!</definedName>
    <definedName name="Diesel_Car_PM" localSheetId="9">#REF!</definedName>
    <definedName name="Diesel_Car_PM">#REF!</definedName>
    <definedName name="Diesel_Car_VOCs" localSheetId="25">#REF!</definedName>
    <definedName name="Diesel_Car_VOCs" localSheetId="9">#REF!</definedName>
    <definedName name="Diesel_Car_VOCs">#REF!</definedName>
    <definedName name="Diesel_HDT_CO" localSheetId="25">#REF!</definedName>
    <definedName name="Diesel_HDT_CO" localSheetId="9">#REF!</definedName>
    <definedName name="Diesel_HDT_CO">#REF!</definedName>
    <definedName name="Diesel_HDT_NOx" localSheetId="25">#REF!</definedName>
    <definedName name="Diesel_HDT_NOx" localSheetId="9">#REF!</definedName>
    <definedName name="Diesel_HDT_NOx">#REF!</definedName>
    <definedName name="Diesel_HDT_PM" localSheetId="25">#REF!</definedName>
    <definedName name="Diesel_HDT_PM" localSheetId="9">#REF!</definedName>
    <definedName name="Diesel_HDT_PM">#REF!</definedName>
    <definedName name="Diesel_HDT_SO2" localSheetId="25">#REF!</definedName>
    <definedName name="Diesel_HDT_SO2" localSheetId="9">#REF!</definedName>
    <definedName name="Diesel_HDT_SO2">#REF!</definedName>
    <definedName name="Diesel_HDT_VOCs" localSheetId="25">#REF!</definedName>
    <definedName name="Diesel_HDT_VOCs" localSheetId="9">#REF!</definedName>
    <definedName name="Diesel_HDT_VOCs">#REF!</definedName>
    <definedName name="Diesel_LDT_CO" localSheetId="25">#REF!</definedName>
    <definedName name="Diesel_LDT_CO" localSheetId="9">#REF!</definedName>
    <definedName name="Diesel_LDT_CO">#REF!</definedName>
    <definedName name="Diesel_LDT_Nox" localSheetId="25">#REF!</definedName>
    <definedName name="Diesel_LDT_Nox" localSheetId="9">#REF!</definedName>
    <definedName name="Diesel_LDT_Nox">#REF!</definedName>
    <definedName name="Diesel_LDT_PM" localSheetId="25">#REF!</definedName>
    <definedName name="Diesel_LDT_PM" localSheetId="9">#REF!</definedName>
    <definedName name="Diesel_LDT_PM">#REF!</definedName>
    <definedName name="Diesel_LDT_VOCs" localSheetId="25">#REF!</definedName>
    <definedName name="Diesel_LDT_VOCs" localSheetId="9">#REF!</definedName>
    <definedName name="Diesel_LDT_VOCs">#REF!</definedName>
    <definedName name="dollar____per__m" localSheetId="25">#REF!</definedName>
    <definedName name="dollar____per__m" localSheetId="9">#REF!</definedName>
    <definedName name="dollar____per__m">#REF!</definedName>
    <definedName name="Gas_Car_CO" localSheetId="25">#REF!</definedName>
    <definedName name="Gas_Car_CO" localSheetId="9">#REF!</definedName>
    <definedName name="Gas_Car_CO">#REF!</definedName>
    <definedName name="Gas_Car_Nox" localSheetId="25">#REF!</definedName>
    <definedName name="Gas_Car_Nox" localSheetId="9">#REF!</definedName>
    <definedName name="Gas_Car_Nox">#REF!</definedName>
    <definedName name="Gas_Car_PM" localSheetId="25">#REF!</definedName>
    <definedName name="Gas_Car_PM" localSheetId="9">#REF!</definedName>
    <definedName name="Gas_Car_PM">#REF!</definedName>
    <definedName name="Gas_Car_VOC" localSheetId="25">#REF!</definedName>
    <definedName name="Gas_Car_VOC" localSheetId="9">#REF!</definedName>
    <definedName name="Gas_Car_VOC">#REF!</definedName>
    <definedName name="Gas_HDT_CO" localSheetId="25">#REF!</definedName>
    <definedName name="Gas_HDT_CO" localSheetId="9">#REF!</definedName>
    <definedName name="Gas_HDT_CO">#REF!</definedName>
    <definedName name="Gas_HDT_NOx" localSheetId="25">#REF!</definedName>
    <definedName name="Gas_HDT_NOx" localSheetId="9">#REF!</definedName>
    <definedName name="Gas_HDT_NOx">#REF!</definedName>
    <definedName name="Gas_HDT_PM" localSheetId="25">#REF!</definedName>
    <definedName name="Gas_HDT_PM" localSheetId="9">#REF!</definedName>
    <definedName name="Gas_HDT_PM">#REF!</definedName>
    <definedName name="Gas_HDT_SO2" localSheetId="25">#REF!</definedName>
    <definedName name="Gas_HDT_SO2" localSheetId="9">#REF!</definedName>
    <definedName name="Gas_HDT_SO2">#REF!</definedName>
    <definedName name="Gas_HDT_VOCs" localSheetId="25">#REF!</definedName>
    <definedName name="Gas_HDT_VOCs" localSheetId="9">#REF!</definedName>
    <definedName name="Gas_HDT_VOCs">#REF!</definedName>
    <definedName name="Gas_LDT_CO" localSheetId="25">#REF!</definedName>
    <definedName name="Gas_LDT_CO" localSheetId="9">#REF!</definedName>
    <definedName name="Gas_LDT_CO">#REF!</definedName>
    <definedName name="Gas_LDT_NOx" localSheetId="25">#REF!</definedName>
    <definedName name="Gas_LDT_NOx" localSheetId="9">#REF!</definedName>
    <definedName name="Gas_LDT_NOx">#REF!</definedName>
    <definedName name="Gas_LDT_PM" localSheetId="25">#REF!</definedName>
    <definedName name="Gas_LDT_PM" localSheetId="9">#REF!</definedName>
    <definedName name="Gas_LDT_PM">#REF!</definedName>
    <definedName name="Gas_LDT_VOCs" localSheetId="25">#REF!</definedName>
    <definedName name="Gas_LDT_VOCs" localSheetId="9">#REF!</definedName>
    <definedName name="Gas_LDT_VOCs">#REF!</definedName>
    <definedName name="hours_per_day" localSheetId="25">#REF!</definedName>
    <definedName name="hours_per_day" localSheetId="9">#REF!</definedName>
    <definedName name="hours_per_day">#REF!</definedName>
    <definedName name="j_per_btu" localSheetId="25">#REF!</definedName>
    <definedName name="j_per_btu" localSheetId="9">#REF!</definedName>
    <definedName name="j_per_btu">#REF!</definedName>
    <definedName name="j_per_pj" localSheetId="25">#REF!</definedName>
    <definedName name="j_per_pj" localSheetId="9">#REF!</definedName>
    <definedName name="j_per_pj">#REF!</definedName>
    <definedName name="joules_per_btu">[1]Conversions!$D$5</definedName>
    <definedName name="kwhr_per_j" localSheetId="25">#REF!</definedName>
    <definedName name="kwhr_per_j" localSheetId="9">#REF!</definedName>
    <definedName name="kwhr_per_j">#REF!</definedName>
    <definedName name="_xlnm.Print_Area" localSheetId="28">AdditionalVehs!$A$45:$D$91</definedName>
    <definedName name="_xlnm.Print_Area" localSheetId="33">'OTAQ Car'!$A$4:$X$80</definedName>
    <definedName name="unit_per_million_unit" localSheetId="25">#REF!</definedName>
    <definedName name="unit_per_million_unit" localSheetId="9">#REF!</definedName>
    <definedName name="unit_per_million_unit">#REF!</definedName>
  </definedNames>
  <calcPr calcId="191028" calcMode="autoNoTable"/>
  <pivotCaches>
    <pivotCache cacheId="3" r:id="rId41"/>
    <pivotCache cacheId="4"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7" i="22" l="1"/>
  <c r="C177" i="22"/>
  <c r="D176" i="22"/>
  <c r="C176" i="22"/>
  <c r="D174" i="22"/>
  <c r="C174" i="22"/>
  <c r="D173" i="22"/>
  <c r="C173" i="22"/>
  <c r="D172" i="22"/>
  <c r="C172" i="22"/>
  <c r="D171" i="22"/>
  <c r="C171" i="22"/>
  <c r="D170" i="22"/>
  <c r="C170" i="22"/>
  <c r="D169" i="22"/>
  <c r="C169" i="22"/>
  <c r="D164" i="22"/>
  <c r="C164" i="22"/>
  <c r="D163" i="22"/>
  <c r="C163" i="22"/>
  <c r="D162" i="22"/>
  <c r="C162" i="22"/>
  <c r="D160" i="22"/>
  <c r="C160" i="22"/>
  <c r="F149" i="22"/>
  <c r="AA147" i="22"/>
  <c r="Z147" i="22"/>
  <c r="X147" i="22"/>
  <c r="O147" i="22"/>
  <c r="N147" i="22"/>
  <c r="L147" i="22"/>
  <c r="C147" i="22"/>
  <c r="B147" i="22"/>
  <c r="W147" i="22" s="1"/>
  <c r="A147" i="22"/>
  <c r="A148" i="22" s="1"/>
  <c r="A149" i="22" s="1"/>
  <c r="F146" i="22"/>
  <c r="H145" i="22"/>
  <c r="H144" i="22" s="1"/>
  <c r="A145" i="22"/>
  <c r="A146" i="22" s="1"/>
  <c r="Y144" i="22"/>
  <c r="U144" i="22"/>
  <c r="R144" i="22"/>
  <c r="M144" i="22"/>
  <c r="C144" i="22"/>
  <c r="B144" i="22"/>
  <c r="AC144" i="22" s="1"/>
  <c r="AD144" i="22" s="1"/>
  <c r="A144" i="22"/>
  <c r="F143" i="22"/>
  <c r="Z141" i="22"/>
  <c r="Y141" i="22"/>
  <c r="W141" i="22"/>
  <c r="R141" i="22"/>
  <c r="N141" i="22"/>
  <c r="M141" i="22"/>
  <c r="K141" i="22"/>
  <c r="C141" i="22"/>
  <c r="B141" i="22"/>
  <c r="I141" i="22" s="1"/>
  <c r="A141" i="22"/>
  <c r="A142" i="22" s="1"/>
  <c r="F140" i="22"/>
  <c r="A139" i="22"/>
  <c r="A140" i="22" s="1"/>
  <c r="C138" i="22"/>
  <c r="B138" i="22"/>
  <c r="A138" i="22"/>
  <c r="F137" i="22"/>
  <c r="Z135" i="22"/>
  <c r="Y135" i="22"/>
  <c r="W135" i="22"/>
  <c r="R135" i="22"/>
  <c r="N135" i="22"/>
  <c r="M135" i="22"/>
  <c r="K135" i="22"/>
  <c r="C135" i="22"/>
  <c r="B135" i="22"/>
  <c r="V135" i="22" s="1"/>
  <c r="A135" i="22"/>
  <c r="A136" i="22" s="1"/>
  <c r="A137" i="22" s="1"/>
  <c r="F134" i="22"/>
  <c r="A133" i="22"/>
  <c r="A134" i="22" s="1"/>
  <c r="C132" i="22"/>
  <c r="B132" i="22"/>
  <c r="A132" i="22"/>
  <c r="F131" i="22"/>
  <c r="Z129" i="22"/>
  <c r="Y129" i="22"/>
  <c r="W129" i="22"/>
  <c r="R129" i="22"/>
  <c r="N129" i="22"/>
  <c r="M129" i="22"/>
  <c r="K129" i="22"/>
  <c r="C129" i="22"/>
  <c r="B129" i="22"/>
  <c r="V129" i="22" s="1"/>
  <c r="U129" i="22" s="1"/>
  <c r="A129" i="22"/>
  <c r="A130" i="22" s="1"/>
  <c r="A131" i="22" s="1"/>
  <c r="F128" i="22"/>
  <c r="A127" i="22"/>
  <c r="A128" i="22" s="1"/>
  <c r="C126" i="22"/>
  <c r="B126" i="22"/>
  <c r="A126" i="22"/>
  <c r="F125" i="22"/>
  <c r="Z123" i="22"/>
  <c r="Y123" i="22"/>
  <c r="W123" i="22"/>
  <c r="R123" i="22"/>
  <c r="N123" i="22"/>
  <c r="M123" i="22"/>
  <c r="K123" i="22"/>
  <c r="C123" i="22"/>
  <c r="B123" i="22"/>
  <c r="V123" i="22" s="1"/>
  <c r="A123" i="22"/>
  <c r="A124" i="22" s="1"/>
  <c r="A125" i="22" s="1"/>
  <c r="F122" i="22"/>
  <c r="A121" i="22"/>
  <c r="A122" i="22" s="1"/>
  <c r="C120" i="22"/>
  <c r="B120" i="22"/>
  <c r="A120" i="22"/>
  <c r="F119" i="22"/>
  <c r="Z117" i="22"/>
  <c r="Y117" i="22"/>
  <c r="W117" i="22"/>
  <c r="R117" i="22"/>
  <c r="N117" i="22"/>
  <c r="M117" i="22"/>
  <c r="K117" i="22"/>
  <c r="C117" i="22"/>
  <c r="B117" i="22"/>
  <c r="V117" i="22" s="1"/>
  <c r="A117" i="22"/>
  <c r="A118" i="22" s="1"/>
  <c r="A119" i="22" s="1"/>
  <c r="F116" i="22"/>
  <c r="A115" i="22"/>
  <c r="A116" i="22" s="1"/>
  <c r="C114" i="22"/>
  <c r="B114" i="22"/>
  <c r="A114" i="22"/>
  <c r="F113" i="22"/>
  <c r="AB111" i="22"/>
  <c r="Z111" i="22"/>
  <c r="Y111" i="22"/>
  <c r="W111" i="22"/>
  <c r="R111" i="22"/>
  <c r="P111" i="22"/>
  <c r="N111" i="22"/>
  <c r="M111" i="22"/>
  <c r="K111" i="22"/>
  <c r="C111" i="22"/>
  <c r="B111" i="22"/>
  <c r="V111" i="22" s="1"/>
  <c r="A111" i="22"/>
  <c r="A112" i="22" s="1"/>
  <c r="A113" i="22" s="1"/>
  <c r="F110" i="22"/>
  <c r="A110" i="22"/>
  <c r="A109" i="22"/>
  <c r="S108" i="22"/>
  <c r="T108" i="22" s="1"/>
  <c r="L108" i="22"/>
  <c r="C108" i="22"/>
  <c r="B108" i="22"/>
  <c r="AE108" i="22" s="1"/>
  <c r="A108" i="22"/>
  <c r="F107" i="22"/>
  <c r="AB105" i="22"/>
  <c r="Z105" i="22"/>
  <c r="Y105" i="22"/>
  <c r="W105" i="22"/>
  <c r="R105" i="22"/>
  <c r="P105" i="22"/>
  <c r="N105" i="22"/>
  <c r="M105" i="22"/>
  <c r="K105" i="22"/>
  <c r="C105" i="22"/>
  <c r="B105" i="22"/>
  <c r="I105" i="22" s="1"/>
  <c r="A105" i="22"/>
  <c r="A106" i="22" s="1"/>
  <c r="A107" i="22" s="1"/>
  <c r="F104" i="22"/>
  <c r="A104" i="22"/>
  <c r="A103" i="22"/>
  <c r="AE102" i="22"/>
  <c r="X102" i="22"/>
  <c r="S102" i="22"/>
  <c r="T102" i="22" s="1"/>
  <c r="Q102" i="22"/>
  <c r="L102" i="22"/>
  <c r="I102" i="22"/>
  <c r="C102" i="22"/>
  <c r="B102" i="22"/>
  <c r="AC102" i="22" s="1"/>
  <c r="AD102" i="22" s="1"/>
  <c r="A102" i="22"/>
  <c r="F101" i="22"/>
  <c r="AB99" i="22"/>
  <c r="Z99" i="22"/>
  <c r="Y99" i="22"/>
  <c r="W99" i="22"/>
  <c r="R99" i="22"/>
  <c r="P99" i="22"/>
  <c r="N99" i="22"/>
  <c r="M99" i="22"/>
  <c r="K99" i="22"/>
  <c r="C99" i="22"/>
  <c r="B99" i="22"/>
  <c r="V99" i="22" s="1"/>
  <c r="A99" i="22"/>
  <c r="A100" i="22" s="1"/>
  <c r="A101" i="22" s="1"/>
  <c r="F98" i="22"/>
  <c r="A97" i="22"/>
  <c r="A98" i="22" s="1"/>
  <c r="AE96" i="22"/>
  <c r="AC96" i="22"/>
  <c r="AD96" i="22" s="1"/>
  <c r="X96" i="22"/>
  <c r="V96" i="22"/>
  <c r="T96" i="22"/>
  <c r="S96" i="22"/>
  <c r="L96" i="22"/>
  <c r="C96" i="22"/>
  <c r="B96" i="22"/>
  <c r="Q96" i="22" s="1"/>
  <c r="A96" i="22"/>
  <c r="AE95" i="22"/>
  <c r="Z95" i="22"/>
  <c r="X95" i="22"/>
  <c r="V95" i="22"/>
  <c r="U95" i="22"/>
  <c r="L95" i="22"/>
  <c r="F95" i="22"/>
  <c r="C95" i="22"/>
  <c r="B95" i="22"/>
  <c r="S95" i="22" s="1"/>
  <c r="T95" i="22" s="1"/>
  <c r="A95" i="22"/>
  <c r="AC94" i="22"/>
  <c r="AD94" i="22" s="1"/>
  <c r="AB94" i="22"/>
  <c r="Z94" i="22"/>
  <c r="X94" i="22"/>
  <c r="W94" i="22"/>
  <c r="V94" i="22"/>
  <c r="U94" i="22"/>
  <c r="R94" i="22"/>
  <c r="Q94" i="22"/>
  <c r="P94" i="22"/>
  <c r="N94" i="22"/>
  <c r="L94" i="22"/>
  <c r="K94" i="22"/>
  <c r="I94" i="22"/>
  <c r="F94" i="22"/>
  <c r="C94" i="22"/>
  <c r="B94" i="22"/>
  <c r="AE94" i="22" s="1"/>
  <c r="A94" i="22"/>
  <c r="AB93" i="22"/>
  <c r="F93" i="22"/>
  <c r="C93" i="22"/>
  <c r="B93" i="22"/>
  <c r="W93" i="22" s="1"/>
  <c r="A93" i="22"/>
  <c r="AB92" i="22"/>
  <c r="AA92" i="22"/>
  <c r="Z92" i="22"/>
  <c r="Y92" i="22"/>
  <c r="X92" i="22"/>
  <c r="W92" i="22"/>
  <c r="V92" i="22"/>
  <c r="U92" i="22" s="1"/>
  <c r="R92" i="22"/>
  <c r="P92" i="22"/>
  <c r="O92" i="22"/>
  <c r="N92" i="22"/>
  <c r="M92" i="22"/>
  <c r="L92" i="22"/>
  <c r="K92" i="22" s="1"/>
  <c r="I92" i="22"/>
  <c r="F92" i="22"/>
  <c r="C92" i="22"/>
  <c r="B92" i="22"/>
  <c r="AE92" i="22" s="1"/>
  <c r="A92" i="22"/>
  <c r="AD91" i="22"/>
  <c r="AC91" i="22"/>
  <c r="AB91" i="22"/>
  <c r="AA91" i="22"/>
  <c r="Z91" i="22"/>
  <c r="Y91" i="22"/>
  <c r="X91" i="22"/>
  <c r="W91" i="22"/>
  <c r="V91" i="22"/>
  <c r="U91" i="22"/>
  <c r="R91" i="22"/>
  <c r="Q91" i="22"/>
  <c r="P91" i="22"/>
  <c r="O91" i="22"/>
  <c r="N91" i="22"/>
  <c r="M91" i="22"/>
  <c r="L91" i="22"/>
  <c r="K91" i="22"/>
  <c r="I91" i="22"/>
  <c r="F91" i="22"/>
  <c r="C91" i="22"/>
  <c r="B91" i="22"/>
  <c r="AE91" i="22" s="1"/>
  <c r="A91" i="22"/>
  <c r="AE90" i="22"/>
  <c r="AC90" i="22"/>
  <c r="AD90" i="22" s="1"/>
  <c r="AB90" i="22"/>
  <c r="AA90" i="22"/>
  <c r="Z90" i="22"/>
  <c r="X90" i="22"/>
  <c r="V90" i="22"/>
  <c r="R90" i="22"/>
  <c r="Q90" i="22"/>
  <c r="P90" i="22"/>
  <c r="O90" i="22"/>
  <c r="N90" i="22"/>
  <c r="M90" i="22"/>
  <c r="K90" i="22"/>
  <c r="F90" i="22"/>
  <c r="C90" i="22"/>
  <c r="B90" i="22"/>
  <c r="U90" i="22" s="1"/>
  <c r="A90" i="22"/>
  <c r="F89" i="22"/>
  <c r="H88" i="22"/>
  <c r="H87" i="22" s="1"/>
  <c r="W87" i="22"/>
  <c r="V87" i="22"/>
  <c r="U87" i="22"/>
  <c r="S87" i="22"/>
  <c r="T87" i="22" s="1"/>
  <c r="P87" i="22"/>
  <c r="M87" i="22"/>
  <c r="C87" i="22"/>
  <c r="B87" i="22"/>
  <c r="A87" i="22"/>
  <c r="A88" i="22" s="1"/>
  <c r="A89" i="22" s="1"/>
  <c r="AE86" i="22"/>
  <c r="W86" i="22"/>
  <c r="I86" i="22"/>
  <c r="F86" i="22"/>
  <c r="C86" i="22"/>
  <c r="B86" i="22"/>
  <c r="A86" i="22"/>
  <c r="AD85" i="22"/>
  <c r="AC85" i="22"/>
  <c r="AB85" i="22"/>
  <c r="AA85" i="22"/>
  <c r="Z85" i="22"/>
  <c r="Y85" i="22"/>
  <c r="X85" i="22"/>
  <c r="W85" i="22"/>
  <c r="V85" i="22"/>
  <c r="U85" i="22" s="1"/>
  <c r="R85" i="22"/>
  <c r="Q85" i="22"/>
  <c r="P85" i="22"/>
  <c r="O85" i="22"/>
  <c r="N85" i="22"/>
  <c r="M85" i="22"/>
  <c r="L85" i="22" s="1"/>
  <c r="K85" i="22" s="1"/>
  <c r="I85" i="22"/>
  <c r="F85" i="22"/>
  <c r="C85" i="22"/>
  <c r="B85" i="22"/>
  <c r="AE85" i="22" s="1"/>
  <c r="A85" i="22"/>
  <c r="AE84" i="22"/>
  <c r="W84" i="22"/>
  <c r="P84" i="22"/>
  <c r="N84" i="22"/>
  <c r="K84" i="22"/>
  <c r="I84" i="22"/>
  <c r="F84" i="22"/>
  <c r="C84" i="22"/>
  <c r="B84" i="22"/>
  <c r="S84" i="22" s="1"/>
  <c r="T84" i="22" s="1"/>
  <c r="A84" i="22"/>
  <c r="V83" i="22"/>
  <c r="U83" i="22"/>
  <c r="S83" i="22"/>
  <c r="T83" i="22" s="1"/>
  <c r="Q83" i="22"/>
  <c r="L83" i="22"/>
  <c r="I83" i="22"/>
  <c r="F83" i="22"/>
  <c r="C83" i="22"/>
  <c r="B83" i="22"/>
  <c r="X83" i="22" s="1"/>
  <c r="A83" i="22"/>
  <c r="F82" i="22"/>
  <c r="C82" i="22"/>
  <c r="B82" i="22"/>
  <c r="AB82" i="22" s="1"/>
  <c r="A82" i="22"/>
  <c r="AB81" i="22"/>
  <c r="AC81" i="22" s="1"/>
  <c r="AD81" i="22" s="1"/>
  <c r="Z81" i="22"/>
  <c r="AA81" i="22" s="1"/>
  <c r="Y81" i="22"/>
  <c r="X81" i="22"/>
  <c r="W81" i="22"/>
  <c r="V81" i="22"/>
  <c r="U81" i="22"/>
  <c r="G81" i="22"/>
  <c r="F81" i="22"/>
  <c r="C81" i="22"/>
  <c r="B81" i="22"/>
  <c r="A81" i="22"/>
  <c r="AC80" i="22"/>
  <c r="AD80" i="22" s="1"/>
  <c r="Z80" i="22"/>
  <c r="AA80" i="22" s="1"/>
  <c r="AB80" i="22" s="1"/>
  <c r="Y80" i="22"/>
  <c r="X80" i="22"/>
  <c r="W80" i="22"/>
  <c r="V80" i="22"/>
  <c r="U80" i="22"/>
  <c r="G80" i="22"/>
  <c r="F80" i="22"/>
  <c r="C80" i="22"/>
  <c r="B80" i="22"/>
  <c r="A80" i="22"/>
  <c r="AE79" i="22"/>
  <c r="AB79" i="22"/>
  <c r="AB84" i="22" s="1"/>
  <c r="W79" i="22"/>
  <c r="V79" i="22"/>
  <c r="V84" i="22" s="1"/>
  <c r="U79" i="22"/>
  <c r="U84" i="22" s="1"/>
  <c r="S79" i="22"/>
  <c r="T79" i="22" s="1"/>
  <c r="R79" i="22"/>
  <c r="O79" i="22"/>
  <c r="M79" i="22"/>
  <c r="M80" i="22" s="1"/>
  <c r="I79" i="22"/>
  <c r="F79" i="22"/>
  <c r="C79" i="22"/>
  <c r="B79" i="22"/>
  <c r="A79" i="22"/>
  <c r="F78" i="22"/>
  <c r="Z76" i="22"/>
  <c r="Y76" i="22"/>
  <c r="C76" i="22"/>
  <c r="B76" i="22"/>
  <c r="A76" i="22"/>
  <c r="A77" i="22" s="1"/>
  <c r="A78" i="22" s="1"/>
  <c r="AE75" i="22"/>
  <c r="AB75" i="22"/>
  <c r="O75" i="22"/>
  <c r="N75" i="22"/>
  <c r="L75" i="22"/>
  <c r="K75" i="22"/>
  <c r="I75" i="22"/>
  <c r="F75" i="22"/>
  <c r="C75" i="22"/>
  <c r="B75" i="22"/>
  <c r="W75" i="22" s="1"/>
  <c r="A75" i="22"/>
  <c r="AE74" i="22"/>
  <c r="AC74" i="22"/>
  <c r="AD74" i="22" s="1"/>
  <c r="AB74" i="22"/>
  <c r="Z74" i="22"/>
  <c r="Y74" i="22"/>
  <c r="X74" i="22"/>
  <c r="W74" i="22"/>
  <c r="V74" i="22"/>
  <c r="U74" i="22" s="1"/>
  <c r="R74" i="22"/>
  <c r="P74" i="22"/>
  <c r="N74" i="22"/>
  <c r="M74" i="22"/>
  <c r="L74" i="22"/>
  <c r="K74" i="22" s="1"/>
  <c r="F74" i="22"/>
  <c r="C74" i="22"/>
  <c r="B74" i="22"/>
  <c r="S74" i="22" s="1"/>
  <c r="T74" i="22" s="1"/>
  <c r="A74" i="22"/>
  <c r="AD73" i="22"/>
  <c r="Y73" i="22"/>
  <c r="S73" i="22"/>
  <c r="T73" i="22" s="1"/>
  <c r="Q73" i="22"/>
  <c r="N73" i="22"/>
  <c r="M73" i="22"/>
  <c r="L73" i="22"/>
  <c r="K73" i="22"/>
  <c r="I73" i="22"/>
  <c r="F73" i="22"/>
  <c r="C73" i="22"/>
  <c r="B73" i="22"/>
  <c r="P73" i="22" s="1"/>
  <c r="A73" i="22"/>
  <c r="AC72" i="22"/>
  <c r="AD72" i="22" s="1"/>
  <c r="AA72" i="22"/>
  <c r="Z72" i="22"/>
  <c r="Y72" i="22"/>
  <c r="X72" i="22"/>
  <c r="W72" i="22"/>
  <c r="V72" i="22"/>
  <c r="U72" i="22"/>
  <c r="S72" i="22"/>
  <c r="T72" i="22" s="1"/>
  <c r="P72" i="22"/>
  <c r="N72" i="22"/>
  <c r="M72" i="22"/>
  <c r="L72" i="22"/>
  <c r="K72" i="22"/>
  <c r="I72" i="22"/>
  <c r="F72" i="22"/>
  <c r="C72" i="22"/>
  <c r="B72" i="22"/>
  <c r="R72" i="22" s="1"/>
  <c r="A72" i="22"/>
  <c r="AB71" i="22"/>
  <c r="AA71" i="22"/>
  <c r="X71" i="22"/>
  <c r="W71" i="22"/>
  <c r="Q71" i="22"/>
  <c r="O71" i="22"/>
  <c r="M71" i="22"/>
  <c r="L71" i="22"/>
  <c r="K71" i="22" s="1"/>
  <c r="I71" i="22"/>
  <c r="F71" i="22"/>
  <c r="C71" i="22"/>
  <c r="B71" i="22"/>
  <c r="A71" i="22"/>
  <c r="AA70" i="22"/>
  <c r="AB70" i="22" s="1"/>
  <c r="AC70" i="22" s="1"/>
  <c r="AD70" i="22" s="1"/>
  <c r="Z70" i="22"/>
  <c r="Y70" i="22"/>
  <c r="X70" i="22"/>
  <c r="W70" i="22" s="1"/>
  <c r="V70" i="22" s="1"/>
  <c r="U70" i="22" s="1"/>
  <c r="G70" i="22"/>
  <c r="F70" i="22"/>
  <c r="C70" i="22"/>
  <c r="B70" i="22"/>
  <c r="A70" i="22"/>
  <c r="Z69" i="22"/>
  <c r="AA69" i="22" s="1"/>
  <c r="AB69" i="22" s="1"/>
  <c r="AC69" i="22" s="1"/>
  <c r="AD69" i="22" s="1"/>
  <c r="Y69" i="22"/>
  <c r="X69" i="22"/>
  <c r="W69" i="22"/>
  <c r="V69" i="22"/>
  <c r="U69" i="22"/>
  <c r="G69" i="22"/>
  <c r="F69" i="22"/>
  <c r="C69" i="22"/>
  <c r="B69" i="22"/>
  <c r="A69" i="22"/>
  <c r="AC68" i="22"/>
  <c r="AC73" i="22" s="1"/>
  <c r="AB68" i="22"/>
  <c r="AB73" i="22" s="1"/>
  <c r="Y68" i="22"/>
  <c r="U68" i="22"/>
  <c r="U73" i="22" s="1"/>
  <c r="S68" i="22"/>
  <c r="T68" i="22" s="1"/>
  <c r="Q68" i="22"/>
  <c r="P68" i="22"/>
  <c r="O68" i="22"/>
  <c r="M68" i="22"/>
  <c r="M69" i="22" s="1"/>
  <c r="L68" i="22"/>
  <c r="L69" i="22" s="1"/>
  <c r="K69" i="22" s="1"/>
  <c r="F68" i="22"/>
  <c r="C68" i="22"/>
  <c r="B68" i="22"/>
  <c r="A68" i="22"/>
  <c r="F67" i="22"/>
  <c r="A67" i="22"/>
  <c r="H66" i="22"/>
  <c r="H65" i="22" s="1"/>
  <c r="AE65" i="22"/>
  <c r="AC65" i="22"/>
  <c r="AD65" i="22" s="1"/>
  <c r="AB65" i="22"/>
  <c r="S65" i="22"/>
  <c r="T65" i="22" s="1"/>
  <c r="R65" i="22"/>
  <c r="Q65" i="22"/>
  <c r="P65" i="22"/>
  <c r="L65" i="22"/>
  <c r="I65" i="22"/>
  <c r="C65" i="22"/>
  <c r="B65" i="22"/>
  <c r="A65" i="22"/>
  <c r="AE64" i="22"/>
  <c r="AB64" i="22"/>
  <c r="Z64" i="22"/>
  <c r="X64" i="22"/>
  <c r="U64" i="22"/>
  <c r="N64" i="22"/>
  <c r="L64" i="22"/>
  <c r="K64" i="22"/>
  <c r="I64" i="22"/>
  <c r="F64" i="22"/>
  <c r="C64" i="22"/>
  <c r="B64" i="22"/>
  <c r="S64" i="22" s="1"/>
  <c r="T64" i="22" s="1"/>
  <c r="A64" i="22"/>
  <c r="AB63" i="22"/>
  <c r="Z63" i="22"/>
  <c r="Y63" i="22"/>
  <c r="X63" i="22"/>
  <c r="W63" i="22"/>
  <c r="V63" i="22"/>
  <c r="U63" i="22"/>
  <c r="R63" i="22"/>
  <c r="P63" i="22"/>
  <c r="N63" i="22"/>
  <c r="M63" i="22"/>
  <c r="L63" i="22"/>
  <c r="K63" i="22"/>
  <c r="I63" i="22"/>
  <c r="F63" i="22"/>
  <c r="C63" i="22"/>
  <c r="B63" i="22"/>
  <c r="AA63" i="22" s="1"/>
  <c r="A63" i="22"/>
  <c r="AD62" i="22"/>
  <c r="AB62" i="22"/>
  <c r="AA62" i="22"/>
  <c r="Z62" i="22"/>
  <c r="Y62" i="22"/>
  <c r="X62" i="22"/>
  <c r="W62" i="22"/>
  <c r="V62" i="22"/>
  <c r="U62" i="22" s="1"/>
  <c r="R62" i="22"/>
  <c r="P62" i="22"/>
  <c r="O62" i="22"/>
  <c r="N62" i="22"/>
  <c r="M62" i="22"/>
  <c r="L62" i="22"/>
  <c r="K62" i="22"/>
  <c r="I62" i="22"/>
  <c r="F62" i="22"/>
  <c r="C62" i="22"/>
  <c r="B62" i="22"/>
  <c r="AC62" i="22" s="1"/>
  <c r="A62" i="22"/>
  <c r="AC61" i="22"/>
  <c r="AD61" i="22" s="1"/>
  <c r="AB61" i="22"/>
  <c r="AA61" i="22"/>
  <c r="Y61" i="22"/>
  <c r="X61" i="22"/>
  <c r="R61" i="22"/>
  <c r="Q61" i="22"/>
  <c r="P61" i="22"/>
  <c r="O61" i="22"/>
  <c r="N61" i="22"/>
  <c r="M61" i="22"/>
  <c r="L61" i="22"/>
  <c r="K61" i="22"/>
  <c r="I61" i="22"/>
  <c r="F61" i="22"/>
  <c r="C61" i="22"/>
  <c r="B61" i="22"/>
  <c r="AE61" i="22" s="1"/>
  <c r="A61" i="22"/>
  <c r="AD60" i="22"/>
  <c r="AC60" i="22"/>
  <c r="AB60" i="22"/>
  <c r="AA60" i="22"/>
  <c r="Z60" i="22"/>
  <c r="T60" i="22"/>
  <c r="O60" i="22"/>
  <c r="N60" i="22"/>
  <c r="L60" i="22"/>
  <c r="I60" i="22"/>
  <c r="F60" i="22"/>
  <c r="C60" i="22"/>
  <c r="B60" i="22"/>
  <c r="S60" i="22" s="1"/>
  <c r="A60" i="22"/>
  <c r="V59" i="22"/>
  <c r="U59" i="22"/>
  <c r="R59" i="22"/>
  <c r="Q59" i="22"/>
  <c r="F59" i="22"/>
  <c r="C59" i="22"/>
  <c r="B59" i="22"/>
  <c r="Z59" i="22" s="1"/>
  <c r="A59" i="22"/>
  <c r="AE58" i="22"/>
  <c r="AB58" i="22"/>
  <c r="Z58" i="22"/>
  <c r="S58" i="22"/>
  <c r="T58" i="22" s="1"/>
  <c r="R58" i="22"/>
  <c r="P58" i="22"/>
  <c r="N58" i="22"/>
  <c r="K58" i="22"/>
  <c r="I58" i="22"/>
  <c r="F58" i="22"/>
  <c r="C58" i="22"/>
  <c r="B58" i="22"/>
  <c r="U58" i="22" s="1"/>
  <c r="A58" i="22"/>
  <c r="Z57" i="22"/>
  <c r="AA57" i="22" s="1"/>
  <c r="AB57" i="22" s="1"/>
  <c r="AC57" i="22" s="1"/>
  <c r="AD57" i="22" s="1"/>
  <c r="Y57" i="22"/>
  <c r="X57" i="22"/>
  <c r="W57" i="22" s="1"/>
  <c r="V57" i="22"/>
  <c r="U57" i="22" s="1"/>
  <c r="P57" i="22"/>
  <c r="Q57" i="22" s="1"/>
  <c r="R57" i="22" s="1"/>
  <c r="S57" i="22" s="1"/>
  <c r="T57" i="22" s="1"/>
  <c r="G57" i="22"/>
  <c r="F57" i="22"/>
  <c r="C57" i="22"/>
  <c r="B57" i="22"/>
  <c r="A57" i="22"/>
  <c r="AA56" i="22"/>
  <c r="AB56" i="22" s="1"/>
  <c r="AC56" i="22" s="1"/>
  <c r="AD56" i="22" s="1"/>
  <c r="Z56" i="22"/>
  <c r="Y56" i="22"/>
  <c r="X56" i="22"/>
  <c r="W56" i="22"/>
  <c r="V56" i="22"/>
  <c r="U56" i="22" s="1"/>
  <c r="P56" i="22"/>
  <c r="Q56" i="22" s="1"/>
  <c r="R56" i="22" s="1"/>
  <c r="S56" i="22" s="1"/>
  <c r="T56" i="22" s="1"/>
  <c r="O56" i="22"/>
  <c r="L56" i="22"/>
  <c r="K56" i="22" s="1"/>
  <c r="G56" i="22"/>
  <c r="F56" i="22"/>
  <c r="C56" i="22"/>
  <c r="B56" i="22"/>
  <c r="A56" i="22"/>
  <c r="AC55" i="22"/>
  <c r="AD55" i="22" s="1"/>
  <c r="AB55" i="22"/>
  <c r="AA55" i="22"/>
  <c r="Z55" i="22"/>
  <c r="Z61" i="22" s="1"/>
  <c r="Y55" i="22"/>
  <c r="X55" i="22"/>
  <c r="W55" i="22"/>
  <c r="W61" i="22" s="1"/>
  <c r="V55" i="22"/>
  <c r="V61" i="22" s="1"/>
  <c r="R55" i="22"/>
  <c r="Q55" i="22"/>
  <c r="P55" i="22"/>
  <c r="O55" i="22"/>
  <c r="O57" i="22" s="1"/>
  <c r="N55" i="22"/>
  <c r="M55" i="22"/>
  <c r="M56" i="22" s="1"/>
  <c r="L55" i="22"/>
  <c r="K55" i="22"/>
  <c r="I55" i="22"/>
  <c r="F55" i="22"/>
  <c r="C55" i="22"/>
  <c r="B55" i="22"/>
  <c r="AE55" i="22" s="1"/>
  <c r="A55" i="22"/>
  <c r="F54" i="22"/>
  <c r="A54" i="22"/>
  <c r="C52" i="22"/>
  <c r="B52" i="22"/>
  <c r="AE52" i="22" s="1"/>
  <c r="A52" i="22"/>
  <c r="AE51" i="22"/>
  <c r="AC51" i="22"/>
  <c r="AD51" i="22" s="1"/>
  <c r="Y51" i="22"/>
  <c r="X51" i="22"/>
  <c r="U51" i="22"/>
  <c r="S51" i="22"/>
  <c r="T51" i="22" s="1"/>
  <c r="Q51" i="22"/>
  <c r="O51" i="22"/>
  <c r="M51" i="22"/>
  <c r="L51" i="22"/>
  <c r="I51" i="22"/>
  <c r="F51" i="22"/>
  <c r="C51" i="22"/>
  <c r="B51" i="22"/>
  <c r="A51" i="22"/>
  <c r="Y50" i="22"/>
  <c r="X50" i="22"/>
  <c r="V50" i="22"/>
  <c r="U50" i="22"/>
  <c r="N50" i="22"/>
  <c r="M50" i="22"/>
  <c r="K50" i="22"/>
  <c r="I50" i="22"/>
  <c r="F50" i="22"/>
  <c r="C50" i="22"/>
  <c r="B50" i="22"/>
  <c r="A50" i="22"/>
  <c r="Y49" i="22"/>
  <c r="X49" i="22"/>
  <c r="F49" i="22"/>
  <c r="C49" i="22"/>
  <c r="B49" i="22"/>
  <c r="I49" i="22" s="1"/>
  <c r="A49" i="22"/>
  <c r="AE48" i="22"/>
  <c r="AC48" i="22"/>
  <c r="AD48" i="22" s="1"/>
  <c r="AB48" i="22"/>
  <c r="AA48" i="22"/>
  <c r="Z48" i="22"/>
  <c r="Y48" i="22"/>
  <c r="X48" i="22"/>
  <c r="W48" i="22"/>
  <c r="S48" i="22"/>
  <c r="T48" i="22" s="1"/>
  <c r="R48" i="22"/>
  <c r="Q48" i="22"/>
  <c r="P48" i="22"/>
  <c r="O48" i="22"/>
  <c r="N48" i="22"/>
  <c r="M48" i="22"/>
  <c r="L48" i="22"/>
  <c r="K48" i="22" s="1"/>
  <c r="F48" i="22"/>
  <c r="C48" i="22"/>
  <c r="B48" i="22"/>
  <c r="A48" i="22"/>
  <c r="AE47" i="22"/>
  <c r="F47" i="22"/>
  <c r="C47" i="22"/>
  <c r="B47" i="22"/>
  <c r="A47" i="22"/>
  <c r="AC46" i="22"/>
  <c r="AD46" i="22" s="1"/>
  <c r="V46" i="22"/>
  <c r="F46" i="22"/>
  <c r="C46" i="22"/>
  <c r="B46" i="22"/>
  <c r="A46" i="22"/>
  <c r="AE45" i="22"/>
  <c r="AA45" i="22"/>
  <c r="Y45" i="22"/>
  <c r="T45" i="22"/>
  <c r="S45" i="22"/>
  <c r="R45" i="22"/>
  <c r="Q45" i="22"/>
  <c r="O45" i="22"/>
  <c r="F45" i="22"/>
  <c r="C45" i="22"/>
  <c r="B45" i="22"/>
  <c r="A45" i="22"/>
  <c r="AE44" i="22"/>
  <c r="AC44" i="22"/>
  <c r="AD44" i="22" s="1"/>
  <c r="AA44" i="22"/>
  <c r="Z44" i="22"/>
  <c r="X44" i="22"/>
  <c r="W44" i="22"/>
  <c r="T44" i="22"/>
  <c r="S44" i="22"/>
  <c r="Q44" i="22"/>
  <c r="O44" i="22"/>
  <c r="N44" i="22"/>
  <c r="M44" i="22"/>
  <c r="L44" i="22"/>
  <c r="I44" i="22"/>
  <c r="F44" i="22"/>
  <c r="C44" i="22"/>
  <c r="B44" i="22"/>
  <c r="A44" i="22"/>
  <c r="AE43" i="22"/>
  <c r="AC43" i="22"/>
  <c r="AD43" i="22" s="1"/>
  <c r="AB43" i="22"/>
  <c r="AA43" i="22"/>
  <c r="Z43" i="22"/>
  <c r="Y43" i="22"/>
  <c r="W43" i="22"/>
  <c r="V43" i="22"/>
  <c r="R43" i="22"/>
  <c r="Q43" i="22"/>
  <c r="P43" i="22"/>
  <c r="O43" i="22"/>
  <c r="N43" i="22"/>
  <c r="M43" i="22"/>
  <c r="L43" i="22"/>
  <c r="I43" i="22"/>
  <c r="F43" i="22"/>
  <c r="C43" i="22"/>
  <c r="B43" i="22"/>
  <c r="X43" i="22" s="1"/>
  <c r="A43" i="22"/>
  <c r="Z42" i="22"/>
  <c r="AA42" i="22" s="1"/>
  <c r="AB42" i="22" s="1"/>
  <c r="AC42" i="22" s="1"/>
  <c r="AD42" i="22" s="1"/>
  <c r="Y42" i="22"/>
  <c r="X42" i="22"/>
  <c r="W42" i="22"/>
  <c r="V42" i="22" s="1"/>
  <c r="U42" i="22" s="1"/>
  <c r="G42" i="22"/>
  <c r="F42" i="22"/>
  <c r="C42" i="22"/>
  <c r="B42" i="22"/>
  <c r="A42" i="22"/>
  <c r="AB41" i="22"/>
  <c r="AC41" i="22" s="1"/>
  <c r="AD41" i="22" s="1"/>
  <c r="Z41" i="22"/>
  <c r="AA41" i="22" s="1"/>
  <c r="Y41" i="22"/>
  <c r="X41" i="22"/>
  <c r="W41" i="22"/>
  <c r="V41" i="22"/>
  <c r="U41" i="22" s="1"/>
  <c r="G41" i="22"/>
  <c r="F41" i="22"/>
  <c r="C41" i="22"/>
  <c r="B41" i="22"/>
  <c r="A41" i="22"/>
  <c r="AA40" i="22"/>
  <c r="AA47" i="22" s="1"/>
  <c r="F40" i="22"/>
  <c r="C40" i="22"/>
  <c r="B40" i="22"/>
  <c r="R40" i="22" s="1"/>
  <c r="A40" i="22"/>
  <c r="F39" i="22"/>
  <c r="A39" i="22"/>
  <c r="H38" i="22"/>
  <c r="AC37" i="22"/>
  <c r="AD37" i="22" s="1"/>
  <c r="AB37" i="22"/>
  <c r="AA37" i="22"/>
  <c r="Z37" i="22"/>
  <c r="Y37" i="22"/>
  <c r="X37" i="22"/>
  <c r="W37" i="22"/>
  <c r="U37" i="22"/>
  <c r="Q37" i="22"/>
  <c r="P37" i="22"/>
  <c r="O37" i="22"/>
  <c r="N37" i="22"/>
  <c r="M37" i="22"/>
  <c r="L37" i="22"/>
  <c r="K37" i="22"/>
  <c r="H37" i="22"/>
  <c r="C37" i="22"/>
  <c r="B37" i="22"/>
  <c r="V37" i="22" s="1"/>
  <c r="A37" i="22"/>
  <c r="AC36" i="22"/>
  <c r="AD36" i="22" s="1"/>
  <c r="AB36" i="22"/>
  <c r="AA36" i="22"/>
  <c r="Z36" i="22"/>
  <c r="Y36" i="22"/>
  <c r="W36" i="22"/>
  <c r="V36" i="22"/>
  <c r="Q36" i="22"/>
  <c r="P36" i="22"/>
  <c r="O36" i="22"/>
  <c r="N36" i="22"/>
  <c r="M36" i="22"/>
  <c r="K36" i="22"/>
  <c r="I36" i="22"/>
  <c r="F36" i="22"/>
  <c r="C36" i="22"/>
  <c r="B36" i="22"/>
  <c r="X36" i="22" s="1"/>
  <c r="A36" i="22"/>
  <c r="Y35" i="22"/>
  <c r="X35" i="22"/>
  <c r="F35" i="22"/>
  <c r="C35" i="22"/>
  <c r="B35" i="22"/>
  <c r="P35" i="22" s="1"/>
  <c r="A35" i="22"/>
  <c r="AE34" i="22"/>
  <c r="AA34" i="22"/>
  <c r="Z34" i="22"/>
  <c r="S34" i="22"/>
  <c r="T34" i="22" s="1"/>
  <c r="R34" i="22"/>
  <c r="Q34" i="22"/>
  <c r="O34" i="22"/>
  <c r="N34" i="22"/>
  <c r="F34" i="22"/>
  <c r="C34" i="22"/>
  <c r="B34" i="22"/>
  <c r="A34" i="22"/>
  <c r="AE33" i="22"/>
  <c r="S33" i="22"/>
  <c r="T33" i="22" s="1"/>
  <c r="Q33" i="22"/>
  <c r="P33" i="22"/>
  <c r="I33" i="22"/>
  <c r="F33" i="22"/>
  <c r="C33" i="22"/>
  <c r="B33" i="22"/>
  <c r="A33" i="22"/>
  <c r="W32" i="22"/>
  <c r="F32" i="22"/>
  <c r="C32" i="22"/>
  <c r="B32" i="22"/>
  <c r="K32" i="22" s="1"/>
  <c r="A32" i="22"/>
  <c r="O31" i="22"/>
  <c r="N31" i="22"/>
  <c r="M31" i="22"/>
  <c r="L31" i="22"/>
  <c r="K31" i="22"/>
  <c r="F31" i="22"/>
  <c r="C31" i="22"/>
  <c r="B31" i="22"/>
  <c r="X31" i="22" s="1"/>
  <c r="W31" i="22" s="1"/>
  <c r="V31" i="22" s="1"/>
  <c r="U31" i="22" s="1"/>
  <c r="A31" i="22"/>
  <c r="AC30" i="22"/>
  <c r="AD30" i="22" s="1"/>
  <c r="AB30" i="22"/>
  <c r="AA30" i="22"/>
  <c r="Z30" i="22"/>
  <c r="Y30" i="22"/>
  <c r="X30" i="22"/>
  <c r="V30" i="22"/>
  <c r="U30" i="22"/>
  <c r="R30" i="22"/>
  <c r="Q30" i="22"/>
  <c r="P30" i="22"/>
  <c r="O30" i="22"/>
  <c r="N30" i="22"/>
  <c r="M30" i="22"/>
  <c r="L30" i="22"/>
  <c r="I30" i="22"/>
  <c r="F30" i="22"/>
  <c r="C30" i="22"/>
  <c r="B30" i="22"/>
  <c r="W30" i="22" s="1"/>
  <c r="A30" i="22"/>
  <c r="AD29" i="22"/>
  <c r="AC29" i="22"/>
  <c r="AB29" i="22"/>
  <c r="AA29" i="22"/>
  <c r="Z29" i="22"/>
  <c r="X29" i="22"/>
  <c r="W29" i="22"/>
  <c r="R29" i="22"/>
  <c r="Q29" i="22"/>
  <c r="P29" i="22"/>
  <c r="O29" i="22"/>
  <c r="N29" i="22"/>
  <c r="L29" i="22"/>
  <c r="K29" i="22"/>
  <c r="F29" i="22"/>
  <c r="C29" i="22"/>
  <c r="B29" i="22"/>
  <c r="Y29" i="22" s="1"/>
  <c r="A29" i="22"/>
  <c r="Z28" i="22"/>
  <c r="AA28" i="22" s="1"/>
  <c r="AB28" i="22" s="1"/>
  <c r="AC28" i="22" s="1"/>
  <c r="AD28" i="22" s="1"/>
  <c r="Y28" i="22"/>
  <c r="X28" i="22"/>
  <c r="W28" i="22"/>
  <c r="V28" i="22"/>
  <c r="U28" i="22"/>
  <c r="N28" i="22"/>
  <c r="M28" i="22"/>
  <c r="L28" i="22" s="1"/>
  <c r="K28" i="22" s="1"/>
  <c r="G28" i="22"/>
  <c r="F28" i="22"/>
  <c r="C28" i="22"/>
  <c r="B28" i="22"/>
  <c r="A28" i="22"/>
  <c r="AA27" i="22"/>
  <c r="AB27" i="22" s="1"/>
  <c r="AC27" i="22" s="1"/>
  <c r="AD27" i="22" s="1"/>
  <c r="Z27" i="22"/>
  <c r="Y27" i="22"/>
  <c r="X27" i="22"/>
  <c r="W27" i="22"/>
  <c r="V27" i="22"/>
  <c r="U27" i="22" s="1"/>
  <c r="G27" i="22"/>
  <c r="F27" i="22"/>
  <c r="C27" i="22"/>
  <c r="B27" i="22"/>
  <c r="A27" i="22"/>
  <c r="AC26" i="22"/>
  <c r="AD26" i="22" s="1"/>
  <c r="Z26" i="22"/>
  <c r="Z33" i="22" s="1"/>
  <c r="Y26" i="22"/>
  <c r="Y33" i="22" s="1"/>
  <c r="X26" i="22"/>
  <c r="X33" i="22" s="1"/>
  <c r="W26" i="22"/>
  <c r="W33" i="22" s="1"/>
  <c r="V26" i="22"/>
  <c r="V33" i="22" s="1"/>
  <c r="U26" i="22"/>
  <c r="U33" i="22" s="1"/>
  <c r="R26" i="22"/>
  <c r="Q26" i="22"/>
  <c r="N26" i="22"/>
  <c r="N27" i="22" s="1"/>
  <c r="M26" i="22"/>
  <c r="M27" i="22" s="1"/>
  <c r="L26" i="22"/>
  <c r="L27" i="22" s="1"/>
  <c r="K27" i="22" s="1"/>
  <c r="K26" i="22"/>
  <c r="I26" i="22"/>
  <c r="F26" i="22"/>
  <c r="C26" i="22"/>
  <c r="B26" i="22"/>
  <c r="AE26" i="22" s="1"/>
  <c r="AE27" i="22" s="1"/>
  <c r="A26" i="22"/>
  <c r="F25" i="22"/>
  <c r="A25" i="22"/>
  <c r="AE23" i="22"/>
  <c r="AB23" i="22"/>
  <c r="AA23" i="22"/>
  <c r="V23" i="22"/>
  <c r="S23" i="22"/>
  <c r="T23" i="22" s="1"/>
  <c r="R23" i="22"/>
  <c r="Q23" i="22"/>
  <c r="P23" i="22"/>
  <c r="M23" i="22"/>
  <c r="K23" i="22"/>
  <c r="C23" i="22"/>
  <c r="B23" i="22"/>
  <c r="A23" i="22"/>
  <c r="AE22" i="22"/>
  <c r="AC22" i="22"/>
  <c r="AD22" i="22" s="1"/>
  <c r="AB22" i="22"/>
  <c r="U22" i="22"/>
  <c r="P22" i="22"/>
  <c r="O22" i="22"/>
  <c r="M22" i="22"/>
  <c r="L22" i="22"/>
  <c r="F22" i="22"/>
  <c r="C22" i="22"/>
  <c r="B22" i="22"/>
  <c r="Y22" i="22" s="1"/>
  <c r="A22" i="22"/>
  <c r="U21" i="22"/>
  <c r="F21" i="22"/>
  <c r="C21" i="22"/>
  <c r="B21" i="22"/>
  <c r="AE21" i="22" s="1"/>
  <c r="A21" i="22"/>
  <c r="AB20" i="22"/>
  <c r="Y20" i="22"/>
  <c r="U20" i="22"/>
  <c r="S20" i="22"/>
  <c r="T20" i="22" s="1"/>
  <c r="Q20" i="22"/>
  <c r="P20" i="22"/>
  <c r="K20" i="22"/>
  <c r="I20" i="22"/>
  <c r="F20" i="22"/>
  <c r="C20" i="22"/>
  <c r="B20" i="22"/>
  <c r="A20" i="22"/>
  <c r="AE19" i="22"/>
  <c r="N19" i="22"/>
  <c r="M19" i="22"/>
  <c r="L19" i="22"/>
  <c r="K19" i="22"/>
  <c r="F19" i="22"/>
  <c r="C19" i="22"/>
  <c r="B19" i="22"/>
  <c r="S19" i="22" s="1"/>
  <c r="T19" i="22" s="1"/>
  <c r="A19" i="22"/>
  <c r="F18" i="22"/>
  <c r="C18" i="22"/>
  <c r="B18" i="22"/>
  <c r="AB18" i="22" s="1"/>
  <c r="A18" i="22"/>
  <c r="AC17" i="22"/>
  <c r="AD17" i="22" s="1"/>
  <c r="AB17" i="22"/>
  <c r="AA17" i="22"/>
  <c r="Z17" i="22"/>
  <c r="Y17" i="22"/>
  <c r="X17" i="22"/>
  <c r="V17" i="22"/>
  <c r="U17" i="22"/>
  <c r="R17" i="22"/>
  <c r="Q17" i="22"/>
  <c r="P17" i="22"/>
  <c r="O17" i="22"/>
  <c r="N17" i="22"/>
  <c r="M17" i="22"/>
  <c r="L17" i="22"/>
  <c r="I17" i="22"/>
  <c r="F17" i="22"/>
  <c r="C17" i="22"/>
  <c r="B17" i="22"/>
  <c r="W17" i="22" s="1"/>
  <c r="A17" i="22"/>
  <c r="AE16" i="22"/>
  <c r="AA16" i="22"/>
  <c r="Z16" i="22"/>
  <c r="S16" i="22"/>
  <c r="T16" i="22" s="1"/>
  <c r="R16" i="22"/>
  <c r="Q16" i="22"/>
  <c r="P16" i="22"/>
  <c r="O16" i="22"/>
  <c r="K16" i="22"/>
  <c r="I16" i="22"/>
  <c r="F16" i="22"/>
  <c r="C16" i="22"/>
  <c r="B16" i="22"/>
  <c r="A16" i="22"/>
  <c r="AC15" i="22"/>
  <c r="AD15" i="22" s="1"/>
  <c r="AB15" i="22"/>
  <c r="S15" i="22"/>
  <c r="T15" i="22" s="1"/>
  <c r="R15" i="22"/>
  <c r="Q15" i="22"/>
  <c r="P15" i="22"/>
  <c r="F15" i="22"/>
  <c r="C15" i="22"/>
  <c r="B15" i="22"/>
  <c r="AA15" i="22" s="1"/>
  <c r="A15" i="22"/>
  <c r="Z14" i="22"/>
  <c r="AA14" i="22" s="1"/>
  <c r="AB14" i="22" s="1"/>
  <c r="AC14" i="22" s="1"/>
  <c r="AD14" i="22" s="1"/>
  <c r="Y14" i="22"/>
  <c r="X14" i="22"/>
  <c r="W14" i="22"/>
  <c r="V14" i="22"/>
  <c r="U14" i="22"/>
  <c r="G14" i="22"/>
  <c r="F14" i="22"/>
  <c r="C14" i="22"/>
  <c r="B14" i="22"/>
  <c r="A14" i="22"/>
  <c r="Z13" i="22"/>
  <c r="AA13" i="22" s="1"/>
  <c r="AB13" i="22" s="1"/>
  <c r="AC13" i="22" s="1"/>
  <c r="AD13" i="22" s="1"/>
  <c r="Y13" i="22"/>
  <c r="X13" i="22"/>
  <c r="W13" i="22"/>
  <c r="V13" i="22"/>
  <c r="U13" i="22"/>
  <c r="G13" i="22"/>
  <c r="F13" i="22"/>
  <c r="C13" i="22"/>
  <c r="B13" i="22"/>
  <c r="A13" i="22"/>
  <c r="Y12" i="22"/>
  <c r="Y19" i="22" s="1"/>
  <c r="X12" i="22"/>
  <c r="X19" i="22" s="1"/>
  <c r="W12" i="22"/>
  <c r="W19" i="22" s="1"/>
  <c r="V12" i="22"/>
  <c r="V19" i="22" s="1"/>
  <c r="R12" i="22"/>
  <c r="M12" i="22"/>
  <c r="M13" i="22" s="1"/>
  <c r="L12" i="22"/>
  <c r="L13" i="22" s="1"/>
  <c r="K13" i="22" s="1"/>
  <c r="K12" i="22"/>
  <c r="I12" i="22"/>
  <c r="F12" i="22"/>
  <c r="C12" i="22"/>
  <c r="B12" i="22"/>
  <c r="U12" i="22" s="1"/>
  <c r="U19" i="22" s="1"/>
  <c r="A12" i="22"/>
  <c r="Z11" i="22"/>
  <c r="AA11" i="22" s="1"/>
  <c r="AB11" i="22" s="1"/>
  <c r="AC11" i="22" s="1"/>
  <c r="AD11" i="22" s="1"/>
  <c r="Y11" i="22"/>
  <c r="X11" i="22"/>
  <c r="W11" i="22" s="1"/>
  <c r="V11" i="22" s="1"/>
  <c r="U11" i="22" s="1"/>
  <c r="G11" i="22"/>
  <c r="F11" i="22"/>
  <c r="C11" i="22"/>
  <c r="B11" i="22"/>
  <c r="A11" i="22"/>
  <c r="Z10" i="22"/>
  <c r="AA10" i="22" s="1"/>
  <c r="AB10" i="22" s="1"/>
  <c r="AC10" i="22" s="1"/>
  <c r="AD10" i="22" s="1"/>
  <c r="Y10" i="22"/>
  <c r="X10" i="22"/>
  <c r="W10" i="22"/>
  <c r="V10" i="22"/>
  <c r="U10" i="22" s="1"/>
  <c r="G10" i="22"/>
  <c r="F10" i="22"/>
  <c r="C10" i="22"/>
  <c r="B10" i="22"/>
  <c r="A10" i="22"/>
  <c r="AC9" i="22"/>
  <c r="AD9" i="22" s="1"/>
  <c r="AB9" i="22"/>
  <c r="R9" i="22"/>
  <c r="Q9" i="22"/>
  <c r="P9" i="22"/>
  <c r="P10" i="22" s="1"/>
  <c r="Q10" i="22" s="1"/>
  <c r="R10" i="22" s="1"/>
  <c r="S10" i="22" s="1"/>
  <c r="T10" i="22" s="1"/>
  <c r="F9" i="22"/>
  <c r="C9" i="22"/>
  <c r="B9" i="22"/>
  <c r="AA9" i="22" s="1"/>
  <c r="A9" i="22"/>
  <c r="AY10" i="24"/>
  <c r="W82" i="22" l="1"/>
  <c r="AB40" i="22"/>
  <c r="AB47" i="22" s="1"/>
  <c r="Y32" i="22"/>
  <c r="AB35" i="22"/>
  <c r="X46" i="22"/>
  <c r="L46" i="22"/>
  <c r="Z46" i="22"/>
  <c r="N46" i="22"/>
  <c r="AE46" i="22"/>
  <c r="Q46" i="22"/>
  <c r="AB46" i="22"/>
  <c r="M46" i="22"/>
  <c r="AA46" i="22"/>
  <c r="K46" i="22"/>
  <c r="Y46" i="22"/>
  <c r="I46" i="22"/>
  <c r="W46" i="22"/>
  <c r="O19" i="22"/>
  <c r="I32" i="22"/>
  <c r="AE32" i="22"/>
  <c r="AC35" i="22"/>
  <c r="AD35" i="22" s="1"/>
  <c r="I40" i="22"/>
  <c r="I47" i="22"/>
  <c r="L47" i="22"/>
  <c r="S47" i="22"/>
  <c r="T47" i="22" s="1"/>
  <c r="P47" i="22"/>
  <c r="O47" i="22"/>
  <c r="N47" i="22"/>
  <c r="M47" i="22"/>
  <c r="S52" i="22"/>
  <c r="T52" i="22" s="1"/>
  <c r="Y18" i="22"/>
  <c r="Z49" i="22"/>
  <c r="AE9" i="22"/>
  <c r="Z21" i="22"/>
  <c r="Q52" i="22"/>
  <c r="P11" i="22"/>
  <c r="Q11" i="22" s="1"/>
  <c r="R11" i="22" s="1"/>
  <c r="S11" i="22" s="1"/>
  <c r="T11" i="22" s="1"/>
  <c r="I21" i="22"/>
  <c r="Q22" i="22"/>
  <c r="U9" i="22"/>
  <c r="O12" i="22"/>
  <c r="AA12" i="22"/>
  <c r="AA19" i="22" s="1"/>
  <c r="U15" i="22"/>
  <c r="Y16" i="22"/>
  <c r="M16" i="22"/>
  <c r="V16" i="22"/>
  <c r="U16" i="22"/>
  <c r="M18" i="22"/>
  <c r="L18" i="22" s="1"/>
  <c r="K18" i="22" s="1"/>
  <c r="R19" i="22"/>
  <c r="R20" i="22"/>
  <c r="AA20" i="22"/>
  <c r="O20" i="22"/>
  <c r="Z20" i="22"/>
  <c r="N20" i="22"/>
  <c r="V20" i="22"/>
  <c r="K21" i="22"/>
  <c r="AC21" i="22"/>
  <c r="AD21" i="22" s="1"/>
  <c r="R22" i="22"/>
  <c r="X23" i="22"/>
  <c r="L23" i="22"/>
  <c r="U23" i="22"/>
  <c r="H24" i="22"/>
  <c r="H23" i="22" s="1"/>
  <c r="W23" i="22"/>
  <c r="AE28" i="22"/>
  <c r="L35" i="22"/>
  <c r="O40" i="22"/>
  <c r="AB50" i="22"/>
  <c r="P50" i="22"/>
  <c r="R50" i="22"/>
  <c r="W50" i="22"/>
  <c r="S50" i="22"/>
  <c r="T50" i="22" s="1"/>
  <c r="Q50" i="22"/>
  <c r="AE50" i="22"/>
  <c r="O50" i="22"/>
  <c r="Z50" i="22"/>
  <c r="X59" i="22"/>
  <c r="AE18" i="22"/>
  <c r="S18" i="22"/>
  <c r="T18" i="22" s="1"/>
  <c r="R18" i="22"/>
  <c r="AC32" i="22"/>
  <c r="AD32" i="22" s="1"/>
  <c r="Q32" i="22"/>
  <c r="AB32" i="22"/>
  <c r="P32" i="22"/>
  <c r="AA32" i="22"/>
  <c r="O32" i="22"/>
  <c r="Z32" i="22"/>
  <c r="N32" i="22"/>
  <c r="AE57" i="22"/>
  <c r="AE56" i="22"/>
  <c r="AA18" i="22"/>
  <c r="I9" i="22"/>
  <c r="V9" i="22"/>
  <c r="P12" i="22"/>
  <c r="AB12" i="22"/>
  <c r="AB19" i="22" s="1"/>
  <c r="I15" i="22"/>
  <c r="V15" i="22"/>
  <c r="W16" i="22"/>
  <c r="N18" i="22"/>
  <c r="AC18" i="22"/>
  <c r="AD18" i="22" s="1"/>
  <c r="W20" i="22"/>
  <c r="N21" i="22"/>
  <c r="S22" i="22"/>
  <c r="T22" i="22" s="1"/>
  <c r="Y23" i="22"/>
  <c r="L32" i="22"/>
  <c r="R33" i="22"/>
  <c r="O33" i="22"/>
  <c r="N33" i="22"/>
  <c r="M33" i="22"/>
  <c r="L33" i="22"/>
  <c r="M35" i="22"/>
  <c r="AE35" i="22"/>
  <c r="P40" i="22"/>
  <c r="O46" i="22"/>
  <c r="AA50" i="22"/>
  <c r="U52" i="22"/>
  <c r="V21" i="22"/>
  <c r="R49" i="22"/>
  <c r="Q49" i="22"/>
  <c r="AE49" i="22"/>
  <c r="P49" i="22"/>
  <c r="AC49" i="22"/>
  <c r="AD49" i="22" s="1"/>
  <c r="O49" i="22"/>
  <c r="AB49" i="22"/>
  <c r="N49" i="22"/>
  <c r="AE80" i="22"/>
  <c r="AE81" i="22"/>
  <c r="N12" i="22"/>
  <c r="Z12" i="22"/>
  <c r="Z19" i="22" s="1"/>
  <c r="AA21" i="22"/>
  <c r="K9" i="22"/>
  <c r="W9" i="22"/>
  <c r="Q12" i="22"/>
  <c r="AC12" i="22"/>
  <c r="K15" i="22"/>
  <c r="W15" i="22"/>
  <c r="X16" i="22"/>
  <c r="O18" i="22"/>
  <c r="X20" i="22"/>
  <c r="O21" i="22"/>
  <c r="I23" i="22"/>
  <c r="Z23" i="22"/>
  <c r="M32" i="22"/>
  <c r="AC33" i="22"/>
  <c r="AD33" i="22" s="1"/>
  <c r="O35" i="22"/>
  <c r="P46" i="22"/>
  <c r="K47" i="22"/>
  <c r="AC50" i="22"/>
  <c r="AD50" i="22" s="1"/>
  <c r="W76" i="22"/>
  <c r="K76" i="22"/>
  <c r="Q76" i="22"/>
  <c r="AC76" i="22"/>
  <c r="AD76" i="22" s="1"/>
  <c r="P76" i="22"/>
  <c r="U76" i="22"/>
  <c r="S76" i="22"/>
  <c r="T76" i="22" s="1"/>
  <c r="R76" i="22"/>
  <c r="O76" i="22"/>
  <c r="N76" i="22"/>
  <c r="H77" i="22"/>
  <c r="H76" i="22" s="1"/>
  <c r="M76" i="22"/>
  <c r="AE76" i="22"/>
  <c r="L76" i="22"/>
  <c r="AB76" i="22"/>
  <c r="I76" i="22"/>
  <c r="AA76" i="22"/>
  <c r="X76" i="22"/>
  <c r="X18" i="22"/>
  <c r="AB21" i="22"/>
  <c r="P21" i="22"/>
  <c r="Y21" i="22"/>
  <c r="M21" i="22"/>
  <c r="X21" i="22"/>
  <c r="L21" i="22"/>
  <c r="X32" i="22"/>
  <c r="AC40" i="22"/>
  <c r="Q40" i="22"/>
  <c r="Z40" i="22"/>
  <c r="Z47" i="22" s="1"/>
  <c r="N40" i="22"/>
  <c r="Y40" i="22"/>
  <c r="Y47" i="22" s="1"/>
  <c r="M40" i="22"/>
  <c r="M41" i="22" s="1"/>
  <c r="X40" i="22"/>
  <c r="X47" i="22" s="1"/>
  <c r="L40" i="22"/>
  <c r="L41" i="22" s="1"/>
  <c r="K41" i="22" s="1"/>
  <c r="W40" i="22"/>
  <c r="W47" i="22" s="1"/>
  <c r="K40" i="22"/>
  <c r="AA49" i="22"/>
  <c r="Q21" i="22"/>
  <c r="R32" i="22"/>
  <c r="S40" i="22"/>
  <c r="T40" i="22" s="1"/>
  <c r="R46" i="22"/>
  <c r="Q47" i="22"/>
  <c r="M49" i="22"/>
  <c r="L49" i="22" s="1"/>
  <c r="K49" i="22" s="1"/>
  <c r="W52" i="22"/>
  <c r="O70" i="22"/>
  <c r="O69" i="22"/>
  <c r="O80" i="22"/>
  <c r="O81" i="22"/>
  <c r="W18" i="22"/>
  <c r="V18" i="22" s="1"/>
  <c r="U18" i="22" s="1"/>
  <c r="Z35" i="22"/>
  <c r="N35" i="22"/>
  <c r="W35" i="22"/>
  <c r="K35" i="22"/>
  <c r="V35" i="22"/>
  <c r="I35" i="22"/>
  <c r="U35" i="22"/>
  <c r="S9" i="22"/>
  <c r="T9" i="22" s="1"/>
  <c r="AE15" i="22"/>
  <c r="X9" i="22"/>
  <c r="X15" i="22"/>
  <c r="M9" i="22"/>
  <c r="M10" i="22" s="1"/>
  <c r="Y9" i="22"/>
  <c r="Q18" i="22"/>
  <c r="AE31" i="22"/>
  <c r="S31" i="22"/>
  <c r="T31" i="22" s="1"/>
  <c r="R31" i="22"/>
  <c r="AC31" i="22"/>
  <c r="AD31" i="22" s="1"/>
  <c r="Q31" i="22"/>
  <c r="AB31" i="22"/>
  <c r="P31" i="22"/>
  <c r="Y31" i="22"/>
  <c r="S32" i="22"/>
  <c r="T32" i="22" s="1"/>
  <c r="Q35" i="22"/>
  <c r="S46" i="22"/>
  <c r="T46" i="22" s="1"/>
  <c r="R47" i="22"/>
  <c r="S49" i="22"/>
  <c r="T49" i="22" s="1"/>
  <c r="N56" i="22"/>
  <c r="N57" i="22"/>
  <c r="M57" i="22" s="1"/>
  <c r="L57" i="22" s="1"/>
  <c r="K57" i="22" s="1"/>
  <c r="W59" i="22"/>
  <c r="K59" i="22"/>
  <c r="AA59" i="22"/>
  <c r="O59" i="22"/>
  <c r="Y59" i="22"/>
  <c r="M59" i="22"/>
  <c r="S59" i="22"/>
  <c r="T59" i="22" s="1"/>
  <c r="AE59" i="22"/>
  <c r="P59" i="22"/>
  <c r="N59" i="22"/>
  <c r="AC59" i="22"/>
  <c r="AD59" i="22" s="1"/>
  <c r="L59" i="22"/>
  <c r="AB59" i="22"/>
  <c r="I59" i="22"/>
  <c r="P69" i="22"/>
  <c r="Q69" i="22" s="1"/>
  <c r="R69" i="22" s="1"/>
  <c r="S69" i="22" s="1"/>
  <c r="T69" i="22" s="1"/>
  <c r="P70" i="22"/>
  <c r="Q70" i="22" s="1"/>
  <c r="R70" i="22" s="1"/>
  <c r="S70" i="22" s="1"/>
  <c r="T70" i="22" s="1"/>
  <c r="Y82" i="22"/>
  <c r="AA82" i="22"/>
  <c r="Z82" i="22"/>
  <c r="I82" i="22"/>
  <c r="AE82" i="22"/>
  <c r="P82" i="22"/>
  <c r="AC82" i="22"/>
  <c r="AD82" i="22" s="1"/>
  <c r="N82" i="22"/>
  <c r="S82" i="22"/>
  <c r="T82" i="22" s="1"/>
  <c r="R82" i="22"/>
  <c r="Q82" i="22"/>
  <c r="O82" i="22"/>
  <c r="M82" i="22"/>
  <c r="L82" i="22" s="1"/>
  <c r="K82" i="22" s="1"/>
  <c r="X82" i="22"/>
  <c r="X52" i="22"/>
  <c r="L52" i="22"/>
  <c r="AB52" i="22"/>
  <c r="P52" i="22"/>
  <c r="Z52" i="22"/>
  <c r="N52" i="22"/>
  <c r="R52" i="22"/>
  <c r="M52" i="22"/>
  <c r="AC52" i="22"/>
  <c r="AD52" i="22" s="1"/>
  <c r="K52" i="22"/>
  <c r="AA52" i="22"/>
  <c r="I52" i="22"/>
  <c r="Y52" i="22"/>
  <c r="W21" i="22"/>
  <c r="L9" i="22"/>
  <c r="L10" i="22" s="1"/>
  <c r="K10" i="22" s="1"/>
  <c r="Q19" i="22"/>
  <c r="P19" i="22"/>
  <c r="S12" i="22"/>
  <c r="T12" i="22" s="1"/>
  <c r="M15" i="22"/>
  <c r="Y15" i="22"/>
  <c r="R21" i="22"/>
  <c r="N9" i="22"/>
  <c r="Z9" i="22"/>
  <c r="N15" i="22"/>
  <c r="Z15" i="22"/>
  <c r="L16" i="22"/>
  <c r="AB16" i="22"/>
  <c r="L20" i="22"/>
  <c r="AC20" i="22"/>
  <c r="AD20" i="22" s="1"/>
  <c r="S21" i="22"/>
  <c r="T21" i="22" s="1"/>
  <c r="N23" i="22"/>
  <c r="AC23" i="22"/>
  <c r="AD23" i="22" s="1"/>
  <c r="Z31" i="22"/>
  <c r="U32" i="22"/>
  <c r="K33" i="22"/>
  <c r="AB34" i="22"/>
  <c r="P34" i="22"/>
  <c r="Y34" i="22"/>
  <c r="M34" i="22"/>
  <c r="L34" i="22" s="1"/>
  <c r="K34" i="22" s="1"/>
  <c r="X34" i="22"/>
  <c r="W34" i="22"/>
  <c r="V34" i="22" s="1"/>
  <c r="U34" i="22" s="1"/>
  <c r="I34" i="22"/>
  <c r="AC34" i="22"/>
  <c r="AD34" i="22" s="1"/>
  <c r="R35" i="22"/>
  <c r="U40" i="22"/>
  <c r="U47" i="22" s="1"/>
  <c r="U49" i="22"/>
  <c r="V49" i="22" s="1"/>
  <c r="L50" i="22"/>
  <c r="H53" i="22"/>
  <c r="H52" i="22" s="1"/>
  <c r="V76" i="22"/>
  <c r="AA35" i="22"/>
  <c r="O52" i="22"/>
  <c r="Z18" i="22"/>
  <c r="AE40" i="22"/>
  <c r="L15" i="22"/>
  <c r="P18" i="22"/>
  <c r="AE12" i="22"/>
  <c r="Z22" i="22"/>
  <c r="N22" i="22"/>
  <c r="W22" i="22"/>
  <c r="K22" i="22"/>
  <c r="V22" i="22"/>
  <c r="I22" i="22"/>
  <c r="X22" i="22"/>
  <c r="O9" i="22"/>
  <c r="O15" i="22"/>
  <c r="N16" i="22"/>
  <c r="AC16" i="22"/>
  <c r="AD16" i="22" s="1"/>
  <c r="I19" i="22"/>
  <c r="M20" i="22"/>
  <c r="AE20" i="22"/>
  <c r="AA22" i="22"/>
  <c r="O23" i="22"/>
  <c r="AA31" i="22"/>
  <c r="V32" i="22"/>
  <c r="S35" i="22"/>
  <c r="T35" i="22" s="1"/>
  <c r="V40" i="22"/>
  <c r="V47" i="22" s="1"/>
  <c r="U46" i="22"/>
  <c r="W49" i="22"/>
  <c r="AC86" i="22"/>
  <c r="AD86" i="22" s="1"/>
  <c r="Q86" i="22"/>
  <c r="Y86" i="22"/>
  <c r="L86" i="22"/>
  <c r="X86" i="22"/>
  <c r="K86" i="22"/>
  <c r="P86" i="22"/>
  <c r="AA86" i="22"/>
  <c r="N86" i="22"/>
  <c r="Z86" i="22"/>
  <c r="AB86" i="22"/>
  <c r="S29" i="22"/>
  <c r="T29" i="22" s="1"/>
  <c r="AE29" i="22"/>
  <c r="R36" i="22"/>
  <c r="Z45" i="22"/>
  <c r="N45" i="22"/>
  <c r="M45" i="22" s="1"/>
  <c r="L45" i="22" s="1"/>
  <c r="K45" i="22" s="1"/>
  <c r="AB45" i="22"/>
  <c r="P45" i="22"/>
  <c r="P60" i="22"/>
  <c r="AE60" i="22"/>
  <c r="P64" i="22"/>
  <c r="X68" i="22"/>
  <c r="X73" i="22" s="1"/>
  <c r="AE68" i="22"/>
  <c r="R68" i="22"/>
  <c r="V68" i="22"/>
  <c r="V73" i="22" s="1"/>
  <c r="I68" i="22"/>
  <c r="W68" i="22"/>
  <c r="W73" i="22" s="1"/>
  <c r="R75" i="22"/>
  <c r="R84" i="22"/>
  <c r="M86" i="22"/>
  <c r="AA87" i="22"/>
  <c r="O87" i="22"/>
  <c r="Y87" i="22"/>
  <c r="L87" i="22"/>
  <c r="X87" i="22"/>
  <c r="K87" i="22"/>
  <c r="Q87" i="22"/>
  <c r="AB87" i="22"/>
  <c r="N87" i="22"/>
  <c r="Z87" i="22"/>
  <c r="S36" i="22"/>
  <c r="T36" i="22" s="1"/>
  <c r="AE36" i="22"/>
  <c r="Y58" i="22"/>
  <c r="M58" i="22"/>
  <c r="AC58" i="22"/>
  <c r="AD58" i="22" s="1"/>
  <c r="Q58" i="22"/>
  <c r="AA58" i="22"/>
  <c r="O58" i="22"/>
  <c r="V58" i="22"/>
  <c r="Q60" i="22"/>
  <c r="R64" i="22"/>
  <c r="W65" i="22"/>
  <c r="K65" i="22"/>
  <c r="AA65" i="22"/>
  <c r="O65" i="22"/>
  <c r="Y65" i="22"/>
  <c r="M65" i="22"/>
  <c r="V65" i="22"/>
  <c r="U65" i="22" s="1"/>
  <c r="W83" i="22"/>
  <c r="K83" i="22"/>
  <c r="AA83" i="22"/>
  <c r="N83" i="22"/>
  <c r="Z83" i="22"/>
  <c r="M83" i="22"/>
  <c r="AE83" i="22"/>
  <c r="R83" i="22"/>
  <c r="AC83" i="22"/>
  <c r="AD83" i="22" s="1"/>
  <c r="P83" i="22"/>
  <c r="Y83" i="22"/>
  <c r="O86" i="22"/>
  <c r="AC87" i="22"/>
  <c r="AD87" i="22" s="1"/>
  <c r="S17" i="22"/>
  <c r="T17" i="22" s="1"/>
  <c r="AE17" i="22"/>
  <c r="O26" i="22"/>
  <c r="AA26" i="22"/>
  <c r="AA33" i="22" s="1"/>
  <c r="U29" i="22"/>
  <c r="S30" i="22"/>
  <c r="T30" i="22" s="1"/>
  <c r="AE30" i="22"/>
  <c r="R37" i="22"/>
  <c r="S43" i="22"/>
  <c r="T43" i="22" s="1"/>
  <c r="AB44" i="22"/>
  <c r="P44" i="22"/>
  <c r="R44" i="22"/>
  <c r="U44" i="22"/>
  <c r="Z51" i="22"/>
  <c r="N51" i="22"/>
  <c r="R51" i="22"/>
  <c r="AB51" i="22"/>
  <c r="P51" i="22"/>
  <c r="V51" i="22"/>
  <c r="W58" i="22"/>
  <c r="R60" i="22"/>
  <c r="X65" i="22"/>
  <c r="Z68" i="22"/>
  <c r="Z73" i="22" s="1"/>
  <c r="R71" i="22"/>
  <c r="AC71" i="22"/>
  <c r="AD71" i="22" s="1"/>
  <c r="N71" i="22"/>
  <c r="S71" i="22"/>
  <c r="T71" i="22" s="1"/>
  <c r="AE71" i="22"/>
  <c r="P71" i="22"/>
  <c r="Y71" i="22"/>
  <c r="V75" i="22"/>
  <c r="AB83" i="22"/>
  <c r="R86" i="22"/>
  <c r="AE87" i="22"/>
  <c r="P26" i="22"/>
  <c r="AB26" i="22"/>
  <c r="AB33" i="22" s="1"/>
  <c r="I29" i="22"/>
  <c r="V29" i="22"/>
  <c r="U36" i="22"/>
  <c r="S37" i="22"/>
  <c r="T37" i="22" s="1"/>
  <c r="AE37" i="22"/>
  <c r="U43" i="22"/>
  <c r="V44" i="22"/>
  <c r="I45" i="22"/>
  <c r="X45" i="22"/>
  <c r="W45" i="22" s="1"/>
  <c r="V45" i="22" s="1"/>
  <c r="U45" i="22" s="1"/>
  <c r="W51" i="22"/>
  <c r="X58" i="22"/>
  <c r="Z65" i="22"/>
  <c r="K68" i="22"/>
  <c r="AA68" i="22"/>
  <c r="AA73" i="22" s="1"/>
  <c r="Z71" i="22"/>
  <c r="S86" i="22"/>
  <c r="T86" i="22" s="1"/>
  <c r="I87" i="22"/>
  <c r="Y75" i="22"/>
  <c r="M75" i="22"/>
  <c r="Q75" i="22"/>
  <c r="AC75" i="22"/>
  <c r="AD75" i="22" s="1"/>
  <c r="P75" i="22"/>
  <c r="U75" i="22"/>
  <c r="S75" i="22"/>
  <c r="T75" i="22" s="1"/>
  <c r="X75" i="22"/>
  <c r="U60" i="22"/>
  <c r="Y60" i="22"/>
  <c r="M60" i="22"/>
  <c r="W60" i="22"/>
  <c r="K60" i="22"/>
  <c r="V60" i="22"/>
  <c r="Y64" i="22"/>
  <c r="M64" i="22"/>
  <c r="AC64" i="22"/>
  <c r="AD64" i="22" s="1"/>
  <c r="Q64" i="22"/>
  <c r="AA64" i="22"/>
  <c r="O64" i="22"/>
  <c r="V64" i="22"/>
  <c r="Z75" i="22"/>
  <c r="M84" i="22"/>
  <c r="L84" i="22"/>
  <c r="Q84" i="22"/>
  <c r="O84" i="22"/>
  <c r="U86" i="22"/>
  <c r="K17" i="22"/>
  <c r="S26" i="22"/>
  <c r="T26" i="22" s="1"/>
  <c r="M29" i="22"/>
  <c r="K30" i="22"/>
  <c r="L36" i="22"/>
  <c r="I37" i="22"/>
  <c r="K43" i="22"/>
  <c r="K44" i="22"/>
  <c r="Y44" i="22"/>
  <c r="AC45" i="22"/>
  <c r="AD45" i="22" s="1"/>
  <c r="V48" i="22"/>
  <c r="U48" i="22" s="1"/>
  <c r="I48" i="22"/>
  <c r="K51" i="22"/>
  <c r="AA51" i="22"/>
  <c r="L58" i="22"/>
  <c r="X60" i="22"/>
  <c r="W64" i="22"/>
  <c r="N65" i="22"/>
  <c r="N68" i="22"/>
  <c r="AD68" i="22"/>
  <c r="AA75" i="22"/>
  <c r="AC79" i="22"/>
  <c r="Q79" i="22"/>
  <c r="Y79" i="22"/>
  <c r="Y84" i="22" s="1"/>
  <c r="L79" i="22"/>
  <c r="L80" i="22" s="1"/>
  <c r="K80" i="22" s="1"/>
  <c r="X79" i="22"/>
  <c r="X84" i="22" s="1"/>
  <c r="K79" i="22"/>
  <c r="P79" i="22"/>
  <c r="AA79" i="22"/>
  <c r="AA84" i="22" s="1"/>
  <c r="N79" i="22"/>
  <c r="Z79" i="22"/>
  <c r="Z84" i="22" s="1"/>
  <c r="O83" i="22"/>
  <c r="V86" i="22"/>
  <c r="R87" i="22"/>
  <c r="U55" i="22"/>
  <c r="U61" i="22" s="1"/>
  <c r="S62" i="22"/>
  <c r="T62" i="22" s="1"/>
  <c r="AE62" i="22"/>
  <c r="Q63" i="22"/>
  <c r="AC63" i="22"/>
  <c r="AD63" i="22" s="1"/>
  <c r="Q72" i="22"/>
  <c r="AE72" i="22"/>
  <c r="R73" i="22"/>
  <c r="AE73" i="22"/>
  <c r="I90" i="22"/>
  <c r="W90" i="22"/>
  <c r="I95" i="22"/>
  <c r="I96" i="22"/>
  <c r="Q108" i="22"/>
  <c r="M93" i="22"/>
  <c r="L93" i="22" s="1"/>
  <c r="K93" i="22" s="1"/>
  <c r="AE93" i="22"/>
  <c r="AB114" i="22"/>
  <c r="P114" i="22"/>
  <c r="AA114" i="22"/>
  <c r="O114" i="22"/>
  <c r="Z114" i="22"/>
  <c r="N114" i="22"/>
  <c r="Y114" i="22"/>
  <c r="M114" i="22"/>
  <c r="W114" i="22"/>
  <c r="K114" i="22"/>
  <c r="V114" i="22"/>
  <c r="I114" i="22"/>
  <c r="H115" i="22"/>
  <c r="H114" i="22" s="1"/>
  <c r="U114" i="22"/>
  <c r="R114" i="22"/>
  <c r="AB120" i="22"/>
  <c r="P120" i="22"/>
  <c r="AA120" i="22"/>
  <c r="O120" i="22"/>
  <c r="Z120" i="22"/>
  <c r="N120" i="22"/>
  <c r="Y120" i="22"/>
  <c r="M120" i="22"/>
  <c r="W120" i="22"/>
  <c r="K120" i="22"/>
  <c r="V120" i="22"/>
  <c r="I120" i="22"/>
  <c r="H121" i="22"/>
  <c r="H120" i="22" s="1"/>
  <c r="U120" i="22"/>
  <c r="R120" i="22"/>
  <c r="AB126" i="22"/>
  <c r="P126" i="22"/>
  <c r="AA126" i="22"/>
  <c r="O126" i="22"/>
  <c r="Z126" i="22"/>
  <c r="N126" i="22"/>
  <c r="Y126" i="22"/>
  <c r="M126" i="22"/>
  <c r="W126" i="22"/>
  <c r="K126" i="22"/>
  <c r="V126" i="22"/>
  <c r="I126" i="22"/>
  <c r="H127" i="22"/>
  <c r="H126" i="22" s="1"/>
  <c r="U126" i="22"/>
  <c r="R126" i="22"/>
  <c r="AB132" i="22"/>
  <c r="P132" i="22"/>
  <c r="AA132" i="22"/>
  <c r="O132" i="22"/>
  <c r="Z132" i="22"/>
  <c r="N132" i="22"/>
  <c r="Y132" i="22"/>
  <c r="M132" i="22"/>
  <c r="W132" i="22"/>
  <c r="K132" i="22"/>
  <c r="V132" i="22"/>
  <c r="I132" i="22"/>
  <c r="H133" i="22"/>
  <c r="H132" i="22" s="1"/>
  <c r="U132" i="22"/>
  <c r="R132" i="22"/>
  <c r="AB138" i="22"/>
  <c r="P138" i="22"/>
  <c r="AA138" i="22"/>
  <c r="O138" i="22"/>
  <c r="Z138" i="22"/>
  <c r="N138" i="22"/>
  <c r="Y138" i="22"/>
  <c r="M138" i="22"/>
  <c r="W138" i="22"/>
  <c r="K138" i="22"/>
  <c r="V138" i="22"/>
  <c r="U138" i="22" s="1"/>
  <c r="I138" i="22"/>
  <c r="H139" i="22"/>
  <c r="H138" i="22" s="1"/>
  <c r="R138" i="22"/>
  <c r="S63" i="22"/>
  <c r="T63" i="22" s="1"/>
  <c r="AE63" i="22"/>
  <c r="AA74" i="22"/>
  <c r="O74" i="22"/>
  <c r="L90" i="22"/>
  <c r="Y90" i="22"/>
  <c r="N93" i="22"/>
  <c r="N95" i="22"/>
  <c r="P93" i="22"/>
  <c r="AB102" i="22"/>
  <c r="P102" i="22"/>
  <c r="AA102" i="22"/>
  <c r="O102" i="22"/>
  <c r="Z102" i="22"/>
  <c r="N102" i="22"/>
  <c r="Y102" i="22"/>
  <c r="M102" i="22"/>
  <c r="W102" i="22"/>
  <c r="K102" i="22"/>
  <c r="H103" i="22"/>
  <c r="H102" i="22" s="1"/>
  <c r="R102" i="22"/>
  <c r="V108" i="22"/>
  <c r="L114" i="22"/>
  <c r="L120" i="22"/>
  <c r="L126" i="22"/>
  <c r="L132" i="22"/>
  <c r="L138" i="22"/>
  <c r="R93" i="22"/>
  <c r="X108" i="22"/>
  <c r="Q114" i="22"/>
  <c r="Q120" i="22"/>
  <c r="Q126" i="22"/>
  <c r="Q132" i="22"/>
  <c r="Q138" i="22"/>
  <c r="S93" i="22"/>
  <c r="T93" i="22" s="1"/>
  <c r="AC108" i="22"/>
  <c r="AD108" i="22" s="1"/>
  <c r="S114" i="22"/>
  <c r="T114" i="22" s="1"/>
  <c r="S120" i="22"/>
  <c r="T120" i="22" s="1"/>
  <c r="S126" i="22"/>
  <c r="T126" i="22" s="1"/>
  <c r="S132" i="22"/>
  <c r="T132" i="22" s="1"/>
  <c r="S138" i="22"/>
  <c r="T138" i="22" s="1"/>
  <c r="X114" i="22"/>
  <c r="X120" i="22"/>
  <c r="X126" i="22"/>
  <c r="X132" i="22"/>
  <c r="X138" i="22"/>
  <c r="I93" i="22"/>
  <c r="U93" i="22"/>
  <c r="V93" i="22" s="1"/>
  <c r="AC93" i="22"/>
  <c r="AD93" i="22" s="1"/>
  <c r="Q93" i="22"/>
  <c r="AA93" i="22"/>
  <c r="O93" i="22"/>
  <c r="X93" i="22"/>
  <c r="AB108" i="22"/>
  <c r="P108" i="22"/>
  <c r="AA108" i="22"/>
  <c r="O108" i="22"/>
  <c r="Z108" i="22"/>
  <c r="N108" i="22"/>
  <c r="Y108" i="22"/>
  <c r="M108" i="22"/>
  <c r="W108" i="22"/>
  <c r="K108" i="22"/>
  <c r="H109" i="22"/>
  <c r="H108" i="22" s="1"/>
  <c r="U108" i="22"/>
  <c r="R108" i="22"/>
  <c r="AC114" i="22"/>
  <c r="AD114" i="22" s="1"/>
  <c r="AC120" i="22"/>
  <c r="AD120" i="22" s="1"/>
  <c r="AC126" i="22"/>
  <c r="AD126" i="22" s="1"/>
  <c r="AC132" i="22"/>
  <c r="AD132" i="22" s="1"/>
  <c r="AC138" i="22"/>
  <c r="AD138" i="22" s="1"/>
  <c r="S90" i="22"/>
  <c r="T90" i="22" s="1"/>
  <c r="Y93" i="22"/>
  <c r="R95" i="22"/>
  <c r="AC95" i="22"/>
  <c r="AD95" i="22" s="1"/>
  <c r="Q95" i="22"/>
  <c r="AB95" i="22"/>
  <c r="P95" i="22"/>
  <c r="AA95" i="22"/>
  <c r="O95" i="22"/>
  <c r="Y95" i="22"/>
  <c r="M95" i="22"/>
  <c r="W95" i="22"/>
  <c r="K95" i="22"/>
  <c r="AE114" i="22"/>
  <c r="AE120" i="22"/>
  <c r="AE126" i="22"/>
  <c r="AE132" i="22"/>
  <c r="AE138" i="22"/>
  <c r="S55" i="22"/>
  <c r="T55" i="22" s="1"/>
  <c r="S61" i="22"/>
  <c r="T61" i="22" s="1"/>
  <c r="Q62" i="22"/>
  <c r="O63" i="22"/>
  <c r="O72" i="22"/>
  <c r="AB72" i="22"/>
  <c r="O73" i="22"/>
  <c r="Q74" i="22"/>
  <c r="Z93" i="22"/>
  <c r="AB96" i="22"/>
  <c r="P96" i="22"/>
  <c r="AA96" i="22"/>
  <c r="O96" i="22"/>
  <c r="Z96" i="22"/>
  <c r="N96" i="22"/>
  <c r="Y96" i="22"/>
  <c r="M96" i="22"/>
  <c r="W96" i="22"/>
  <c r="K96" i="22"/>
  <c r="H97" i="22"/>
  <c r="H96" i="22" s="1"/>
  <c r="U96" i="22"/>
  <c r="R96" i="22"/>
  <c r="V102" i="22"/>
  <c r="U102" i="22" s="1"/>
  <c r="I108" i="22"/>
  <c r="L99" i="22"/>
  <c r="X99" i="22"/>
  <c r="L105" i="22"/>
  <c r="X105" i="22"/>
  <c r="L111" i="22"/>
  <c r="X111" i="22"/>
  <c r="L117" i="22"/>
  <c r="X117" i="22"/>
  <c r="L123" i="22"/>
  <c r="X123" i="22"/>
  <c r="L129" i="22"/>
  <c r="X129" i="22"/>
  <c r="L135" i="22"/>
  <c r="X135" i="22"/>
  <c r="L141" i="22"/>
  <c r="X141" i="22"/>
  <c r="S144" i="22"/>
  <c r="T144" i="22" s="1"/>
  <c r="AE144" i="22"/>
  <c r="M147" i="22"/>
  <c r="Y147" i="22"/>
  <c r="S85" i="22"/>
  <c r="T85" i="22" s="1"/>
  <c r="S91" i="22"/>
  <c r="T91" i="22" s="1"/>
  <c r="Q92" i="22"/>
  <c r="AC92" i="22"/>
  <c r="AD92" i="22" s="1"/>
  <c r="M94" i="22"/>
  <c r="Y94" i="22"/>
  <c r="O99" i="22"/>
  <c r="AA99" i="22"/>
  <c r="O105" i="22"/>
  <c r="AA105" i="22"/>
  <c r="O111" i="22"/>
  <c r="AA111" i="22"/>
  <c r="O117" i="22"/>
  <c r="AA117" i="22"/>
  <c r="O123" i="22"/>
  <c r="AA123" i="22"/>
  <c r="O129" i="22"/>
  <c r="AA129" i="22"/>
  <c r="O135" i="22"/>
  <c r="AA135" i="22"/>
  <c r="O141" i="22"/>
  <c r="AA141" i="22"/>
  <c r="I144" i="22"/>
  <c r="V144" i="22"/>
  <c r="P147" i="22"/>
  <c r="AB147" i="22"/>
  <c r="P117" i="22"/>
  <c r="AB117" i="22"/>
  <c r="P123" i="22"/>
  <c r="AB123" i="22"/>
  <c r="P129" i="22"/>
  <c r="AB129" i="22"/>
  <c r="P135" i="22"/>
  <c r="AB135" i="22"/>
  <c r="P141" i="22"/>
  <c r="AB141" i="22"/>
  <c r="K144" i="22"/>
  <c r="W144" i="22"/>
  <c r="Q147" i="22"/>
  <c r="AC147" i="22"/>
  <c r="AD147" i="22" s="1"/>
  <c r="S92" i="22"/>
  <c r="T92" i="22" s="1"/>
  <c r="O94" i="22"/>
  <c r="AA94" i="22"/>
  <c r="Q99" i="22"/>
  <c r="AC99" i="22"/>
  <c r="AD99" i="22" s="1"/>
  <c r="Q105" i="22"/>
  <c r="AC105" i="22"/>
  <c r="AD105" i="22" s="1"/>
  <c r="Q111" i="22"/>
  <c r="AC111" i="22"/>
  <c r="AD111" i="22" s="1"/>
  <c r="Q117" i="22"/>
  <c r="AC117" i="22"/>
  <c r="AD117" i="22" s="1"/>
  <c r="Q123" i="22"/>
  <c r="AC123" i="22"/>
  <c r="AD123" i="22" s="1"/>
  <c r="Q129" i="22"/>
  <c r="AC129" i="22"/>
  <c r="AD129" i="22" s="1"/>
  <c r="Q135" i="22"/>
  <c r="AC135" i="22"/>
  <c r="AD135" i="22" s="1"/>
  <c r="Q141" i="22"/>
  <c r="AC141" i="22"/>
  <c r="AD141" i="22" s="1"/>
  <c r="L144" i="22"/>
  <c r="X144" i="22"/>
  <c r="R147" i="22"/>
  <c r="S147" i="22"/>
  <c r="T147" i="22" s="1"/>
  <c r="AE147" i="22"/>
  <c r="S99" i="22"/>
  <c r="T99" i="22" s="1"/>
  <c r="AE99" i="22"/>
  <c r="S105" i="22"/>
  <c r="T105" i="22" s="1"/>
  <c r="AE105" i="22"/>
  <c r="S111" i="22"/>
  <c r="T111" i="22" s="1"/>
  <c r="AE111" i="22"/>
  <c r="S117" i="22"/>
  <c r="T117" i="22" s="1"/>
  <c r="AE117" i="22"/>
  <c r="S123" i="22"/>
  <c r="T123" i="22" s="1"/>
  <c r="AE123" i="22"/>
  <c r="S129" i="22"/>
  <c r="T129" i="22" s="1"/>
  <c r="AE129" i="22"/>
  <c r="S135" i="22"/>
  <c r="T135" i="22" s="1"/>
  <c r="AE135" i="22"/>
  <c r="S141" i="22"/>
  <c r="T141" i="22" s="1"/>
  <c r="AE141" i="22"/>
  <c r="N144" i="22"/>
  <c r="Z144" i="22"/>
  <c r="O144" i="22"/>
  <c r="AA144" i="22"/>
  <c r="U147" i="22"/>
  <c r="H148" i="22"/>
  <c r="H147" i="22" s="1"/>
  <c r="S94" i="22"/>
  <c r="T94" i="22" s="1"/>
  <c r="U99" i="22"/>
  <c r="H100" i="22"/>
  <c r="H99" i="22" s="1"/>
  <c r="U105" i="22"/>
  <c r="V105" i="22" s="1"/>
  <c r="H106" i="22"/>
  <c r="H105" i="22" s="1"/>
  <c r="U111" i="22"/>
  <c r="H112" i="22"/>
  <c r="H111" i="22" s="1"/>
  <c r="U117" i="22"/>
  <c r="H118" i="22"/>
  <c r="H117" i="22" s="1"/>
  <c r="U123" i="22"/>
  <c r="H124" i="22"/>
  <c r="H123" i="22" s="1"/>
  <c r="H130" i="22"/>
  <c r="H129" i="22" s="1"/>
  <c r="U135" i="22"/>
  <c r="H136" i="22"/>
  <c r="H135" i="22" s="1"/>
  <c r="U141" i="22"/>
  <c r="V141" i="22" s="1"/>
  <c r="H142" i="22"/>
  <c r="H141" i="22" s="1"/>
  <c r="P144" i="22"/>
  <c r="AB144" i="22"/>
  <c r="I147" i="22"/>
  <c r="V147" i="22"/>
  <c r="I99" i="22"/>
  <c r="I111" i="22"/>
  <c r="I117" i="22"/>
  <c r="I123" i="22"/>
  <c r="I129" i="22"/>
  <c r="I135" i="22"/>
  <c r="Q144" i="22"/>
  <c r="K147" i="22"/>
  <c r="BE10" i="24"/>
  <c r="W16" i="24"/>
  <c r="AB19" i="66"/>
  <c r="C13" i="66"/>
  <c r="N10" i="22" l="1"/>
  <c r="N11" i="22"/>
  <c r="M11" i="22" s="1"/>
  <c r="L11" i="22" s="1"/>
  <c r="K11" i="22" s="1"/>
  <c r="AC19" i="22"/>
  <c r="AD19" i="22" s="1"/>
  <c r="AD12" i="22"/>
  <c r="O28" i="22"/>
  <c r="O27" i="22"/>
  <c r="N80" i="22"/>
  <c r="N81" i="22"/>
  <c r="M81" i="22" s="1"/>
  <c r="L81" i="22" s="1"/>
  <c r="K81" i="22" s="1"/>
  <c r="AE11" i="22"/>
  <c r="AE10" i="22"/>
  <c r="N41" i="22"/>
  <c r="N42" i="22"/>
  <c r="M42" i="22" s="1"/>
  <c r="L42" i="22" s="1"/>
  <c r="K42" i="22" s="1"/>
  <c r="P13" i="22"/>
  <c r="Q13" i="22" s="1"/>
  <c r="R13" i="22" s="1"/>
  <c r="S13" i="22" s="1"/>
  <c r="T13" i="22" s="1"/>
  <c r="P14" i="22"/>
  <c r="Q14" i="22" s="1"/>
  <c r="R14" i="22" s="1"/>
  <c r="S14" i="22" s="1"/>
  <c r="T14" i="22" s="1"/>
  <c r="AE13" i="22"/>
  <c r="AE14" i="22"/>
  <c r="P80" i="22"/>
  <c r="Q80" i="22" s="1"/>
  <c r="R80" i="22" s="1"/>
  <c r="S80" i="22" s="1"/>
  <c r="T80" i="22" s="1"/>
  <c r="P81" i="22"/>
  <c r="Q81" i="22" s="1"/>
  <c r="R81" i="22" s="1"/>
  <c r="S81" i="22" s="1"/>
  <c r="T81" i="22" s="1"/>
  <c r="AE69" i="22"/>
  <c r="AE70" i="22"/>
  <c r="AE42" i="22"/>
  <c r="AE41" i="22"/>
  <c r="N69" i="22"/>
  <c r="N70" i="22"/>
  <c r="M70" i="22" s="1"/>
  <c r="L70" i="22" s="1"/>
  <c r="K70" i="22" s="1"/>
  <c r="P28" i="22"/>
  <c r="Q28" i="22" s="1"/>
  <c r="R28" i="22" s="1"/>
  <c r="S28" i="22" s="1"/>
  <c r="T28" i="22" s="1"/>
  <c r="P27" i="22"/>
  <c r="Q27" i="22" s="1"/>
  <c r="R27" i="22" s="1"/>
  <c r="S27" i="22" s="1"/>
  <c r="T27" i="22" s="1"/>
  <c r="O10" i="22"/>
  <c r="O11" i="22"/>
  <c r="N14" i="22"/>
  <c r="M14" i="22" s="1"/>
  <c r="L14" i="22" s="1"/>
  <c r="K14" i="22" s="1"/>
  <c r="N13" i="22"/>
  <c r="V52" i="22"/>
  <c r="AC47" i="22"/>
  <c r="AD47" i="22" s="1"/>
  <c r="AD40" i="22"/>
  <c r="O41" i="22"/>
  <c r="O42" i="22"/>
  <c r="O14" i="22"/>
  <c r="O13" i="22"/>
  <c r="P41" i="22"/>
  <c r="Q41" i="22" s="1"/>
  <c r="R41" i="22" s="1"/>
  <c r="S41" i="22" s="1"/>
  <c r="T41" i="22" s="1"/>
  <c r="P42" i="22"/>
  <c r="Q42" i="22" s="1"/>
  <c r="R42" i="22" s="1"/>
  <c r="S42" i="22" s="1"/>
  <c r="T42" i="22" s="1"/>
  <c r="AD79" i="22"/>
  <c r="AC84" i="22"/>
  <c r="AD84" i="22" s="1"/>
  <c r="O26" i="36"/>
  <c r="X53" i="36"/>
  <c r="X52" i="36"/>
  <c r="X51" i="36"/>
  <c r="X50" i="36"/>
  <c r="X49" i="36"/>
  <c r="X47" i="36"/>
  <c r="X46" i="36"/>
  <c r="S53" i="36"/>
  <c r="S52" i="36"/>
  <c r="S51" i="36"/>
  <c r="S50" i="36"/>
  <c r="S49" i="36"/>
  <c r="S47" i="36"/>
  <c r="S46" i="36"/>
  <c r="N53" i="36"/>
  <c r="N52" i="36"/>
  <c r="N51" i="36"/>
  <c r="N50" i="36"/>
  <c r="N49" i="36"/>
  <c r="N47" i="36"/>
  <c r="N46" i="36"/>
  <c r="I53" i="36"/>
  <c r="I52" i="36"/>
  <c r="I51" i="36"/>
  <c r="I50" i="36"/>
  <c r="I49" i="36"/>
  <c r="I47" i="36"/>
  <c r="I46" i="36"/>
  <c r="D53" i="36"/>
  <c r="D52" i="36"/>
  <c r="D51" i="36"/>
  <c r="D50" i="36"/>
  <c r="D55" i="36"/>
  <c r="S33" i="36"/>
  <c r="U33" i="36" s="1"/>
  <c r="D32" i="36"/>
  <c r="V33" i="36"/>
  <c r="W34" i="36"/>
  <c r="C37" i="36"/>
  <c r="O29" i="36"/>
  <c r="N29" i="36"/>
  <c r="P21" i="36"/>
  <c r="E32" i="36"/>
  <c r="N26" i="36"/>
  <c r="C20" i="66"/>
  <c r="C21" i="66"/>
  <c r="C22" i="66"/>
  <c r="C23" i="66"/>
  <c r="C57" i="66" s="1"/>
  <c r="C73" i="66" s="1"/>
  <c r="C19" i="66"/>
  <c r="L31" i="36"/>
  <c r="K31" i="36"/>
  <c r="J31" i="36"/>
  <c r="I31" i="36"/>
  <c r="H31" i="36"/>
  <c r="G31" i="36"/>
  <c r="F31" i="36"/>
  <c r="E31" i="36"/>
  <c r="D31" i="36"/>
  <c r="D78" i="66"/>
  <c r="D69" i="66"/>
  <c r="E69" i="66"/>
  <c r="F69" i="66"/>
  <c r="G69" i="66"/>
  <c r="H69" i="66"/>
  <c r="I69" i="66"/>
  <c r="J69" i="66"/>
  <c r="K69" i="66"/>
  <c r="L69" i="66"/>
  <c r="M69" i="66"/>
  <c r="D70" i="66"/>
  <c r="E70" i="66"/>
  <c r="F70" i="66"/>
  <c r="G70" i="66"/>
  <c r="H70" i="66"/>
  <c r="I70" i="66"/>
  <c r="J70" i="66"/>
  <c r="K70" i="66"/>
  <c r="L70" i="66"/>
  <c r="M70" i="66"/>
  <c r="D71" i="66"/>
  <c r="E71" i="66"/>
  <c r="F71" i="66"/>
  <c r="G71" i="66"/>
  <c r="H71" i="66"/>
  <c r="I71" i="66"/>
  <c r="J71" i="66"/>
  <c r="K71" i="66"/>
  <c r="L71" i="66"/>
  <c r="M71" i="66"/>
  <c r="D72" i="66"/>
  <c r="E72" i="66"/>
  <c r="F72" i="66"/>
  <c r="G72" i="66"/>
  <c r="H72" i="66"/>
  <c r="I72" i="66"/>
  <c r="J72" i="66"/>
  <c r="K72" i="66"/>
  <c r="L72" i="66"/>
  <c r="M72" i="66"/>
  <c r="D73" i="66"/>
  <c r="E73" i="66"/>
  <c r="F73" i="66"/>
  <c r="G73" i="66"/>
  <c r="H73" i="66"/>
  <c r="I73" i="66"/>
  <c r="J73" i="66"/>
  <c r="K73" i="66"/>
  <c r="L73" i="66"/>
  <c r="M73" i="66"/>
  <c r="C71" i="66"/>
  <c r="C53" i="66"/>
  <c r="C69" i="66" s="1"/>
  <c r="C68" i="66"/>
  <c r="C82" i="66" s="1"/>
  <c r="D86" i="66"/>
  <c r="E8" i="27" s="1"/>
  <c r="M53" i="66"/>
  <c r="M54" i="66"/>
  <c r="M55" i="66"/>
  <c r="M56" i="66"/>
  <c r="M57" i="66"/>
  <c r="M52" i="66"/>
  <c r="D61" i="66"/>
  <c r="C54" i="66"/>
  <c r="C70" i="66" s="1"/>
  <c r="D54" i="66"/>
  <c r="E54" i="66"/>
  <c r="F54" i="66"/>
  <c r="G54" i="66"/>
  <c r="H54" i="66"/>
  <c r="I54" i="66"/>
  <c r="J54" i="66"/>
  <c r="K54" i="66"/>
  <c r="L54" i="66"/>
  <c r="C55" i="66"/>
  <c r="D55" i="66"/>
  <c r="E55" i="66"/>
  <c r="F55" i="66"/>
  <c r="G55" i="66"/>
  <c r="H55" i="66"/>
  <c r="I55" i="66"/>
  <c r="J55" i="66"/>
  <c r="K55" i="66"/>
  <c r="L55" i="66"/>
  <c r="C56" i="66"/>
  <c r="C72" i="66" s="1"/>
  <c r="D56" i="66"/>
  <c r="E56" i="66"/>
  <c r="F56" i="66"/>
  <c r="G56" i="66"/>
  <c r="H56" i="66"/>
  <c r="I56" i="66"/>
  <c r="J56" i="66"/>
  <c r="K56" i="66"/>
  <c r="L56" i="66"/>
  <c r="D57" i="66"/>
  <c r="E57" i="66"/>
  <c r="F57" i="66"/>
  <c r="G57" i="66"/>
  <c r="H57" i="66"/>
  <c r="I57" i="66"/>
  <c r="J57" i="66"/>
  <c r="K57" i="66"/>
  <c r="L57" i="66"/>
  <c r="E53" i="66"/>
  <c r="F53" i="66"/>
  <c r="G53" i="66"/>
  <c r="H53" i="66"/>
  <c r="I53" i="66"/>
  <c r="J53" i="66"/>
  <c r="K53" i="66"/>
  <c r="L53" i="66"/>
  <c r="D53" i="66"/>
  <c r="D52" i="66"/>
  <c r="E52" i="66"/>
  <c r="F52" i="66"/>
  <c r="G52" i="66"/>
  <c r="H52" i="66"/>
  <c r="I52" i="66"/>
  <c r="J52" i="66"/>
  <c r="K52" i="66"/>
  <c r="L52" i="66"/>
  <c r="C52" i="66"/>
  <c r="D12" i="66"/>
  <c r="C99" i="70"/>
  <c r="B33" i="36" l="1"/>
  <c r="I33" i="36" s="1"/>
  <c r="H33" i="36"/>
  <c r="H34" i="36" s="1"/>
  <c r="P27" i="76"/>
  <c r="Q27" i="76"/>
  <c r="R27" i="76"/>
  <c r="S27" i="76"/>
  <c r="T27" i="76"/>
  <c r="U27" i="76"/>
  <c r="V27" i="76"/>
  <c r="W27" i="76"/>
  <c r="X27" i="76"/>
  <c r="P28" i="76"/>
  <c r="Q28" i="76"/>
  <c r="R28" i="76"/>
  <c r="S28" i="76"/>
  <c r="T28" i="76"/>
  <c r="U28" i="76"/>
  <c r="V28" i="76"/>
  <c r="W28" i="76"/>
  <c r="X28" i="76"/>
  <c r="P29" i="76"/>
  <c r="Q29" i="76"/>
  <c r="R29" i="76"/>
  <c r="S29" i="76"/>
  <c r="T29" i="76"/>
  <c r="U29" i="76"/>
  <c r="V29" i="76"/>
  <c r="W29" i="76"/>
  <c r="X29" i="76"/>
  <c r="P30" i="76"/>
  <c r="Q30" i="76"/>
  <c r="R30" i="76"/>
  <c r="S30" i="76"/>
  <c r="T30" i="76"/>
  <c r="U30" i="76"/>
  <c r="V30" i="76"/>
  <c r="W30" i="76"/>
  <c r="X30" i="76"/>
  <c r="P31" i="76"/>
  <c r="Q31" i="76"/>
  <c r="R31" i="76"/>
  <c r="S31" i="76"/>
  <c r="T31" i="76"/>
  <c r="U31" i="76"/>
  <c r="V31" i="76"/>
  <c r="W31" i="76"/>
  <c r="X31" i="76"/>
  <c r="P33" i="76"/>
  <c r="Q33" i="76"/>
  <c r="R33" i="76"/>
  <c r="S33" i="76"/>
  <c r="T33" i="76"/>
  <c r="U33" i="76"/>
  <c r="V33" i="76"/>
  <c r="W33" i="76"/>
  <c r="X33" i="76"/>
  <c r="U34" i="76"/>
  <c r="V34" i="76"/>
  <c r="W34" i="76"/>
  <c r="P35" i="76"/>
  <c r="Q35" i="76"/>
  <c r="R35" i="76"/>
  <c r="S35" i="76"/>
  <c r="T35" i="76"/>
  <c r="U35" i="76"/>
  <c r="V35" i="76"/>
  <c r="W35" i="76"/>
  <c r="X35" i="76"/>
  <c r="P36" i="76"/>
  <c r="Q36" i="76"/>
  <c r="R36" i="76"/>
  <c r="S36" i="76"/>
  <c r="T36" i="76"/>
  <c r="U36" i="76"/>
  <c r="V36" i="76"/>
  <c r="W36" i="76"/>
  <c r="X36" i="76"/>
  <c r="P37" i="76"/>
  <c r="Q37" i="76"/>
  <c r="R37" i="76"/>
  <c r="S37" i="76"/>
  <c r="T37" i="76"/>
  <c r="U37" i="76"/>
  <c r="V37" i="76"/>
  <c r="W37" i="76"/>
  <c r="X37" i="76"/>
  <c r="P38" i="76"/>
  <c r="Q38" i="76"/>
  <c r="R38" i="76"/>
  <c r="S38" i="76"/>
  <c r="T38" i="76"/>
  <c r="U38" i="76"/>
  <c r="V38" i="76"/>
  <c r="W38" i="76"/>
  <c r="X38" i="76"/>
  <c r="P39" i="76"/>
  <c r="Q39" i="76"/>
  <c r="R39" i="76"/>
  <c r="S39" i="76"/>
  <c r="T39" i="76"/>
  <c r="U39" i="76"/>
  <c r="V39" i="76"/>
  <c r="W39" i="76"/>
  <c r="X39" i="76"/>
  <c r="P40" i="76"/>
  <c r="Q40" i="76"/>
  <c r="R40" i="76"/>
  <c r="S40" i="76"/>
  <c r="T40" i="76"/>
  <c r="U40" i="76"/>
  <c r="V40" i="76"/>
  <c r="W40" i="76"/>
  <c r="X40" i="76"/>
  <c r="P41" i="76"/>
  <c r="Q41" i="76"/>
  <c r="R41" i="76"/>
  <c r="S41" i="76"/>
  <c r="T41" i="76"/>
  <c r="U41" i="76"/>
  <c r="V41" i="76"/>
  <c r="W41" i="76"/>
  <c r="X41" i="76"/>
  <c r="P43" i="76"/>
  <c r="Q43" i="76"/>
  <c r="R43" i="76"/>
  <c r="S43" i="76"/>
  <c r="T43" i="76"/>
  <c r="U43" i="76"/>
  <c r="V43" i="76"/>
  <c r="W43" i="76"/>
  <c r="X43" i="76"/>
  <c r="S44" i="76"/>
  <c r="T44" i="76"/>
  <c r="U44" i="76"/>
  <c r="V44" i="76"/>
  <c r="P45" i="76"/>
  <c r="Q45" i="76"/>
  <c r="R45" i="76"/>
  <c r="S45" i="76"/>
  <c r="T45" i="76"/>
  <c r="U45" i="76"/>
  <c r="V45" i="76"/>
  <c r="W45" i="76"/>
  <c r="X45" i="76"/>
  <c r="P46" i="76"/>
  <c r="Q46" i="76"/>
  <c r="R46" i="76"/>
  <c r="S46" i="76"/>
  <c r="T46" i="76"/>
  <c r="U46" i="76"/>
  <c r="V46" i="76"/>
  <c r="W46" i="76"/>
  <c r="X46" i="76"/>
  <c r="P47" i="76"/>
  <c r="Q47" i="76"/>
  <c r="R47" i="76"/>
  <c r="S47" i="76"/>
  <c r="T47" i="76"/>
  <c r="U47" i="76"/>
  <c r="V47" i="76"/>
  <c r="W47" i="76"/>
  <c r="X47" i="76"/>
  <c r="P48" i="76"/>
  <c r="Q48" i="76"/>
  <c r="R48" i="76"/>
  <c r="S48" i="76"/>
  <c r="T48" i="76"/>
  <c r="U48" i="76"/>
  <c r="V48" i="76"/>
  <c r="W48" i="76"/>
  <c r="X48" i="76"/>
  <c r="P49" i="76"/>
  <c r="Q49" i="76"/>
  <c r="R49" i="76"/>
  <c r="S49" i="76"/>
  <c r="T49" i="76"/>
  <c r="U49" i="76"/>
  <c r="V49" i="76"/>
  <c r="W49" i="76"/>
  <c r="X49" i="76"/>
  <c r="P50" i="76"/>
  <c r="Q50" i="76"/>
  <c r="R50" i="76"/>
  <c r="S50" i="76"/>
  <c r="T50" i="76"/>
  <c r="U50" i="76"/>
  <c r="V50" i="76"/>
  <c r="W50" i="76"/>
  <c r="X50" i="76"/>
  <c r="P51" i="76"/>
  <c r="Q51" i="76"/>
  <c r="R51" i="76"/>
  <c r="S51" i="76"/>
  <c r="T51" i="76"/>
  <c r="U51" i="76"/>
  <c r="V51" i="76"/>
  <c r="W51" i="76"/>
  <c r="X51" i="76"/>
  <c r="P53" i="76"/>
  <c r="Q53" i="76"/>
  <c r="R53" i="76"/>
  <c r="S53" i="76"/>
  <c r="T53" i="76"/>
  <c r="U53" i="76"/>
  <c r="V53" i="76"/>
  <c r="W53" i="76"/>
  <c r="X53" i="76"/>
  <c r="R54" i="76"/>
  <c r="S54" i="76"/>
  <c r="T54" i="76"/>
  <c r="U54" i="76"/>
  <c r="P55" i="76"/>
  <c r="Q55" i="76"/>
  <c r="R55" i="76"/>
  <c r="S55" i="76"/>
  <c r="T55" i="76"/>
  <c r="U55" i="76"/>
  <c r="V55" i="76"/>
  <c r="W55" i="76"/>
  <c r="X55" i="76"/>
  <c r="P56" i="76"/>
  <c r="Q56" i="76"/>
  <c r="R56" i="76"/>
  <c r="S56" i="76"/>
  <c r="T56" i="76"/>
  <c r="U56" i="76"/>
  <c r="V56" i="76"/>
  <c r="W56" i="76"/>
  <c r="X56" i="76"/>
  <c r="P57" i="76"/>
  <c r="Q57" i="76"/>
  <c r="R57" i="76"/>
  <c r="S57" i="76"/>
  <c r="T57" i="76"/>
  <c r="U57" i="76"/>
  <c r="V57" i="76"/>
  <c r="W57" i="76"/>
  <c r="X57" i="76"/>
  <c r="P58" i="76"/>
  <c r="Q58" i="76"/>
  <c r="R58" i="76"/>
  <c r="S58" i="76"/>
  <c r="T58" i="76"/>
  <c r="U58" i="76"/>
  <c r="V58" i="76"/>
  <c r="W58" i="76"/>
  <c r="X58" i="76"/>
  <c r="P59" i="76"/>
  <c r="Q59" i="76"/>
  <c r="R59" i="76"/>
  <c r="S59" i="76"/>
  <c r="T59" i="76"/>
  <c r="U59" i="76"/>
  <c r="V59" i="76"/>
  <c r="W59" i="76"/>
  <c r="X59" i="76"/>
  <c r="P60" i="76"/>
  <c r="Q60" i="76"/>
  <c r="R60" i="76"/>
  <c r="S60" i="76"/>
  <c r="T60" i="76"/>
  <c r="U60" i="76"/>
  <c r="V60" i="76"/>
  <c r="W60" i="76"/>
  <c r="X60" i="76"/>
  <c r="P61" i="76"/>
  <c r="Q61" i="76"/>
  <c r="R61" i="76"/>
  <c r="S61" i="76"/>
  <c r="T61" i="76"/>
  <c r="U61" i="76"/>
  <c r="V61" i="76"/>
  <c r="W61" i="76"/>
  <c r="X61" i="76"/>
  <c r="P63" i="76"/>
  <c r="Q63" i="76"/>
  <c r="R63" i="76"/>
  <c r="S63" i="76"/>
  <c r="T63" i="76"/>
  <c r="U63" i="76"/>
  <c r="V63" i="76"/>
  <c r="W63" i="76"/>
  <c r="X63" i="76"/>
  <c r="T64" i="76"/>
  <c r="P65" i="76"/>
  <c r="Q65" i="76"/>
  <c r="R65" i="76"/>
  <c r="S65" i="76"/>
  <c r="T65" i="76"/>
  <c r="U65" i="76"/>
  <c r="V65" i="76"/>
  <c r="W65" i="76"/>
  <c r="X65" i="76"/>
  <c r="P66" i="76"/>
  <c r="Q66" i="76"/>
  <c r="R66" i="76"/>
  <c r="S66" i="76"/>
  <c r="T66" i="76"/>
  <c r="U66" i="76"/>
  <c r="V66" i="76"/>
  <c r="W66" i="76"/>
  <c r="X66" i="76"/>
  <c r="P67" i="76"/>
  <c r="Q67" i="76"/>
  <c r="R67" i="76"/>
  <c r="S67" i="76"/>
  <c r="T67" i="76"/>
  <c r="U67" i="76"/>
  <c r="V67" i="76"/>
  <c r="W67" i="76"/>
  <c r="X67" i="76"/>
  <c r="P68" i="76"/>
  <c r="Q68" i="76"/>
  <c r="R68" i="76"/>
  <c r="S68" i="76"/>
  <c r="T68" i="76"/>
  <c r="U68" i="76"/>
  <c r="V68" i="76"/>
  <c r="W68" i="76"/>
  <c r="X68" i="76"/>
  <c r="P69" i="76"/>
  <c r="Q69" i="76"/>
  <c r="R69" i="76"/>
  <c r="S69" i="76"/>
  <c r="T69" i="76"/>
  <c r="U69" i="76"/>
  <c r="V69" i="76"/>
  <c r="W69" i="76"/>
  <c r="X69" i="76"/>
  <c r="P70" i="76"/>
  <c r="Q70" i="76"/>
  <c r="R70" i="76"/>
  <c r="S70" i="76"/>
  <c r="T70" i="76"/>
  <c r="U70" i="76"/>
  <c r="V70" i="76"/>
  <c r="W70" i="76"/>
  <c r="X70" i="76"/>
  <c r="P71" i="76"/>
  <c r="Q71" i="76"/>
  <c r="R71" i="76"/>
  <c r="S71" i="76"/>
  <c r="T71" i="76"/>
  <c r="U71" i="76"/>
  <c r="V71" i="76"/>
  <c r="W71" i="76"/>
  <c r="X71" i="76"/>
  <c r="P73" i="76"/>
  <c r="Q73" i="76"/>
  <c r="R73" i="76"/>
  <c r="S73" i="76"/>
  <c r="T73" i="76"/>
  <c r="U73" i="76"/>
  <c r="V73" i="76"/>
  <c r="W73" i="76"/>
  <c r="X73" i="76"/>
  <c r="Q74" i="76"/>
  <c r="R74" i="76"/>
  <c r="S74" i="76"/>
  <c r="P75" i="76"/>
  <c r="Q75" i="76"/>
  <c r="R75" i="76"/>
  <c r="S75" i="76"/>
  <c r="T75" i="76"/>
  <c r="U75" i="76"/>
  <c r="V75" i="76"/>
  <c r="W75" i="76"/>
  <c r="X75" i="76"/>
  <c r="P76" i="76"/>
  <c r="Q76" i="76"/>
  <c r="R76" i="76"/>
  <c r="S76" i="76"/>
  <c r="T76" i="76"/>
  <c r="U76" i="76"/>
  <c r="V76" i="76"/>
  <c r="W76" i="76"/>
  <c r="X76" i="76"/>
  <c r="P77" i="76"/>
  <c r="Q77" i="76"/>
  <c r="R77" i="76"/>
  <c r="S77" i="76"/>
  <c r="T77" i="76"/>
  <c r="U77" i="76"/>
  <c r="V77" i="76"/>
  <c r="W77" i="76"/>
  <c r="X77" i="76"/>
  <c r="P78" i="76"/>
  <c r="Q78" i="76"/>
  <c r="R78" i="76"/>
  <c r="S78" i="76"/>
  <c r="T78" i="76"/>
  <c r="U78" i="76"/>
  <c r="V78" i="76"/>
  <c r="W78" i="76"/>
  <c r="X78" i="76"/>
  <c r="P79" i="76"/>
  <c r="Q79" i="76"/>
  <c r="R79" i="76"/>
  <c r="S79" i="76"/>
  <c r="T79" i="76"/>
  <c r="U79" i="76"/>
  <c r="V79" i="76"/>
  <c r="W79" i="76"/>
  <c r="X79" i="76"/>
  <c r="P80" i="76"/>
  <c r="Q80" i="76"/>
  <c r="R80" i="76"/>
  <c r="S80" i="76"/>
  <c r="T80" i="76"/>
  <c r="U80" i="76"/>
  <c r="V80" i="76"/>
  <c r="W80" i="76"/>
  <c r="X80" i="76"/>
  <c r="P81" i="76"/>
  <c r="Q81" i="76"/>
  <c r="R81" i="76"/>
  <c r="S81" i="76"/>
  <c r="T81" i="76"/>
  <c r="U81" i="76"/>
  <c r="V81" i="76"/>
  <c r="W81" i="76"/>
  <c r="X81" i="76"/>
  <c r="P83" i="76"/>
  <c r="Q83" i="76"/>
  <c r="R83" i="76"/>
  <c r="S83" i="76"/>
  <c r="T83" i="76"/>
  <c r="U83" i="76"/>
  <c r="V83" i="76"/>
  <c r="W83" i="76"/>
  <c r="X83" i="76"/>
  <c r="P84" i="76"/>
  <c r="Q84" i="76"/>
  <c r="R84" i="76"/>
  <c r="W84" i="76"/>
  <c r="X84" i="76"/>
  <c r="P85" i="76"/>
  <c r="Q85" i="76"/>
  <c r="R85" i="76"/>
  <c r="S85" i="76"/>
  <c r="T85" i="76"/>
  <c r="U85" i="76"/>
  <c r="V85" i="76"/>
  <c r="W85" i="76"/>
  <c r="X85" i="76"/>
  <c r="P86" i="76"/>
  <c r="Q86" i="76"/>
  <c r="R86" i="76"/>
  <c r="S86" i="76"/>
  <c r="T86" i="76"/>
  <c r="U86" i="76"/>
  <c r="V86" i="76"/>
  <c r="W86" i="76"/>
  <c r="X86" i="76"/>
  <c r="P87" i="76"/>
  <c r="Q87" i="76"/>
  <c r="R87" i="76"/>
  <c r="S87" i="76"/>
  <c r="T87" i="76"/>
  <c r="U87" i="76"/>
  <c r="V87" i="76"/>
  <c r="W87" i="76"/>
  <c r="X87" i="76"/>
  <c r="P88" i="76"/>
  <c r="Q88" i="76"/>
  <c r="R88" i="76"/>
  <c r="S88" i="76"/>
  <c r="T88" i="76"/>
  <c r="U88" i="76"/>
  <c r="V88" i="76"/>
  <c r="W88" i="76"/>
  <c r="X88" i="76"/>
  <c r="P89" i="76"/>
  <c r="Q89" i="76"/>
  <c r="R89" i="76"/>
  <c r="S89" i="76"/>
  <c r="T89" i="76"/>
  <c r="U89" i="76"/>
  <c r="V89" i="76"/>
  <c r="W89" i="76"/>
  <c r="X89" i="76"/>
  <c r="P90" i="76"/>
  <c r="Q90" i="76"/>
  <c r="R90" i="76"/>
  <c r="S90" i="76"/>
  <c r="T90" i="76"/>
  <c r="U90" i="76"/>
  <c r="V90" i="76"/>
  <c r="W90" i="76"/>
  <c r="X90" i="76"/>
  <c r="P91" i="76"/>
  <c r="Q91" i="76"/>
  <c r="R91" i="76"/>
  <c r="S91" i="76"/>
  <c r="T91" i="76"/>
  <c r="U91" i="76"/>
  <c r="V91" i="76"/>
  <c r="W91" i="76"/>
  <c r="X91" i="76"/>
  <c r="P93" i="76"/>
  <c r="Q93" i="76"/>
  <c r="R93" i="76"/>
  <c r="S93" i="76"/>
  <c r="T93" i="76"/>
  <c r="U93" i="76"/>
  <c r="V93" i="76"/>
  <c r="W93" i="76"/>
  <c r="X93" i="76"/>
  <c r="P94" i="76"/>
  <c r="Q94" i="76"/>
  <c r="V94" i="76"/>
  <c r="W94" i="76"/>
  <c r="X94" i="76"/>
  <c r="P95" i="76"/>
  <c r="Q95" i="76"/>
  <c r="R95" i="76"/>
  <c r="S95" i="76"/>
  <c r="T95" i="76"/>
  <c r="U95" i="76"/>
  <c r="V95" i="76"/>
  <c r="W95" i="76"/>
  <c r="X95" i="76"/>
  <c r="P96" i="76"/>
  <c r="Q96" i="76"/>
  <c r="R96" i="76"/>
  <c r="S96" i="76"/>
  <c r="T96" i="76"/>
  <c r="U96" i="76"/>
  <c r="V96" i="76"/>
  <c r="W96" i="76"/>
  <c r="X96" i="76"/>
  <c r="P97" i="76"/>
  <c r="Q97" i="76"/>
  <c r="R97" i="76"/>
  <c r="S97" i="76"/>
  <c r="T97" i="76"/>
  <c r="U97" i="76"/>
  <c r="V97" i="76"/>
  <c r="W97" i="76"/>
  <c r="X97" i="76"/>
  <c r="P98" i="76"/>
  <c r="Q98" i="76"/>
  <c r="R98" i="76"/>
  <c r="S98" i="76"/>
  <c r="T98" i="76"/>
  <c r="U98" i="76"/>
  <c r="V98" i="76"/>
  <c r="W98" i="76"/>
  <c r="X98" i="76"/>
  <c r="P99" i="76"/>
  <c r="Q99" i="76"/>
  <c r="R99" i="76"/>
  <c r="S99" i="76"/>
  <c r="T99" i="76"/>
  <c r="U99" i="76"/>
  <c r="V99" i="76"/>
  <c r="W99" i="76"/>
  <c r="X99" i="76"/>
  <c r="P100" i="76"/>
  <c r="Q100" i="76"/>
  <c r="R100" i="76"/>
  <c r="S100" i="76"/>
  <c r="T100" i="76"/>
  <c r="U100" i="76"/>
  <c r="V100" i="76"/>
  <c r="W100" i="76"/>
  <c r="X100" i="76"/>
  <c r="P101" i="76"/>
  <c r="Q101" i="76"/>
  <c r="R101" i="76"/>
  <c r="S101" i="76"/>
  <c r="T101" i="76"/>
  <c r="U101" i="76"/>
  <c r="V101" i="76"/>
  <c r="W101" i="76"/>
  <c r="X101" i="76"/>
  <c r="P103" i="76"/>
  <c r="Q103" i="76"/>
  <c r="R103" i="76"/>
  <c r="S103" i="76"/>
  <c r="T103" i="76"/>
  <c r="U103" i="76"/>
  <c r="V103" i="76"/>
  <c r="W103" i="76"/>
  <c r="X103" i="76"/>
  <c r="P104" i="76"/>
  <c r="X104" i="76"/>
  <c r="P105" i="76"/>
  <c r="Q105" i="76"/>
  <c r="R105" i="76"/>
  <c r="S105" i="76"/>
  <c r="T105" i="76"/>
  <c r="U105" i="76"/>
  <c r="V105" i="76"/>
  <c r="W105" i="76"/>
  <c r="X105" i="76"/>
  <c r="P106" i="76"/>
  <c r="Q106" i="76"/>
  <c r="R106" i="76"/>
  <c r="S106" i="76"/>
  <c r="T106" i="76"/>
  <c r="U106" i="76"/>
  <c r="V106" i="76"/>
  <c r="W106" i="76"/>
  <c r="X106" i="76"/>
  <c r="P107" i="76"/>
  <c r="Q107" i="76"/>
  <c r="R107" i="76"/>
  <c r="S107" i="76"/>
  <c r="T107" i="76"/>
  <c r="U107" i="76"/>
  <c r="V107" i="76"/>
  <c r="W107" i="76"/>
  <c r="X107" i="76"/>
  <c r="P108" i="76"/>
  <c r="Q108" i="76"/>
  <c r="R108" i="76"/>
  <c r="S108" i="76"/>
  <c r="T108" i="76"/>
  <c r="U108" i="76"/>
  <c r="V108" i="76"/>
  <c r="W108" i="76"/>
  <c r="X108" i="76"/>
  <c r="P109" i="76"/>
  <c r="Q109" i="76"/>
  <c r="R109" i="76"/>
  <c r="S109" i="76"/>
  <c r="T109" i="76"/>
  <c r="U109" i="76"/>
  <c r="V109" i="76"/>
  <c r="W109" i="76"/>
  <c r="X109" i="76"/>
  <c r="P110" i="76"/>
  <c r="Q110" i="76"/>
  <c r="R110" i="76"/>
  <c r="S110" i="76"/>
  <c r="T110" i="76"/>
  <c r="U110" i="76"/>
  <c r="V110" i="76"/>
  <c r="W110" i="76"/>
  <c r="X110" i="76"/>
  <c r="P111" i="76"/>
  <c r="Q111" i="76"/>
  <c r="R111" i="76"/>
  <c r="S111" i="76"/>
  <c r="T111" i="76"/>
  <c r="U111" i="76"/>
  <c r="V111" i="76"/>
  <c r="W111" i="76"/>
  <c r="X111" i="76"/>
  <c r="P113" i="76"/>
  <c r="Q113" i="76"/>
  <c r="R113" i="76"/>
  <c r="S113" i="76"/>
  <c r="T113" i="76"/>
  <c r="U113" i="76"/>
  <c r="V113" i="76"/>
  <c r="W113" i="76"/>
  <c r="X113" i="76"/>
  <c r="U114" i="76"/>
  <c r="V114" i="76"/>
  <c r="W114" i="76"/>
  <c r="P115" i="76"/>
  <c r="Q115" i="76"/>
  <c r="R115" i="76"/>
  <c r="S115" i="76"/>
  <c r="T115" i="76"/>
  <c r="U115" i="76"/>
  <c r="V115" i="76"/>
  <c r="W115" i="76"/>
  <c r="X115" i="76"/>
  <c r="P116" i="76"/>
  <c r="Q116" i="76"/>
  <c r="R116" i="76"/>
  <c r="S116" i="76"/>
  <c r="T116" i="76"/>
  <c r="U116" i="76"/>
  <c r="V116" i="76"/>
  <c r="W116" i="76"/>
  <c r="X116" i="76"/>
  <c r="P117" i="76"/>
  <c r="Q117" i="76"/>
  <c r="R117" i="76"/>
  <c r="S117" i="76"/>
  <c r="T117" i="76"/>
  <c r="U117" i="76"/>
  <c r="V117" i="76"/>
  <c r="W117" i="76"/>
  <c r="X117" i="76"/>
  <c r="P118" i="76"/>
  <c r="Q118" i="76"/>
  <c r="R118" i="76"/>
  <c r="S118" i="76"/>
  <c r="T118" i="76"/>
  <c r="U118" i="76"/>
  <c r="V118" i="76"/>
  <c r="W118" i="76"/>
  <c r="X118" i="76"/>
  <c r="P119" i="76"/>
  <c r="Q119" i="76"/>
  <c r="R119" i="76"/>
  <c r="S119" i="76"/>
  <c r="T119" i="76"/>
  <c r="U119" i="76"/>
  <c r="V119" i="76"/>
  <c r="W119" i="76"/>
  <c r="X119" i="76"/>
  <c r="P120" i="76"/>
  <c r="Q120" i="76"/>
  <c r="R120" i="76"/>
  <c r="S120" i="76"/>
  <c r="T120" i="76"/>
  <c r="U120" i="76"/>
  <c r="V120" i="76"/>
  <c r="W120" i="76"/>
  <c r="X120" i="76"/>
  <c r="P121" i="76"/>
  <c r="Q121" i="76"/>
  <c r="R121" i="76"/>
  <c r="S121" i="76"/>
  <c r="T121" i="76"/>
  <c r="U121" i="76"/>
  <c r="V121" i="76"/>
  <c r="W121" i="76"/>
  <c r="X121" i="76"/>
  <c r="P123" i="76"/>
  <c r="Q123" i="76"/>
  <c r="R123" i="76"/>
  <c r="S123" i="76"/>
  <c r="T123" i="76"/>
  <c r="U123" i="76"/>
  <c r="V123" i="76"/>
  <c r="W123" i="76"/>
  <c r="X123" i="76"/>
  <c r="S124" i="76"/>
  <c r="T124" i="76"/>
  <c r="U124" i="76"/>
  <c r="V124" i="76"/>
  <c r="P125" i="76"/>
  <c r="Q125" i="76"/>
  <c r="R125" i="76"/>
  <c r="S125" i="76"/>
  <c r="T125" i="76"/>
  <c r="U125" i="76"/>
  <c r="V125" i="76"/>
  <c r="W125" i="76"/>
  <c r="X125" i="76"/>
  <c r="P126" i="76"/>
  <c r="Q126" i="76"/>
  <c r="R126" i="76"/>
  <c r="S126" i="76"/>
  <c r="T126" i="76"/>
  <c r="U126" i="76"/>
  <c r="V126" i="76"/>
  <c r="W126" i="76"/>
  <c r="X126" i="76"/>
  <c r="P127" i="76"/>
  <c r="Q127" i="76"/>
  <c r="R127" i="76"/>
  <c r="S127" i="76"/>
  <c r="T127" i="76"/>
  <c r="U127" i="76"/>
  <c r="V127" i="76"/>
  <c r="W127" i="76"/>
  <c r="X127" i="76"/>
  <c r="P128" i="76"/>
  <c r="Q128" i="76"/>
  <c r="R128" i="76"/>
  <c r="S128" i="76"/>
  <c r="T128" i="76"/>
  <c r="U128" i="76"/>
  <c r="V128" i="76"/>
  <c r="W128" i="76"/>
  <c r="X128" i="76"/>
  <c r="P129" i="76"/>
  <c r="Q129" i="76"/>
  <c r="R129" i="76"/>
  <c r="S129" i="76"/>
  <c r="T129" i="76"/>
  <c r="U129" i="76"/>
  <c r="V129" i="76"/>
  <c r="W129" i="76"/>
  <c r="X129" i="76"/>
  <c r="P130" i="76"/>
  <c r="Q130" i="76"/>
  <c r="R130" i="76"/>
  <c r="S130" i="76"/>
  <c r="T130" i="76"/>
  <c r="U130" i="76"/>
  <c r="V130" i="76"/>
  <c r="W130" i="76"/>
  <c r="X130" i="76"/>
  <c r="P131" i="76"/>
  <c r="Q131" i="76"/>
  <c r="R131" i="76"/>
  <c r="S131" i="76"/>
  <c r="T131" i="76"/>
  <c r="U131" i="76"/>
  <c r="V131" i="76"/>
  <c r="W131" i="76"/>
  <c r="X131" i="76"/>
  <c r="P133" i="76"/>
  <c r="Q133" i="76"/>
  <c r="R133" i="76"/>
  <c r="S133" i="76"/>
  <c r="T133" i="76"/>
  <c r="U133" i="76"/>
  <c r="V133" i="76"/>
  <c r="W133" i="76"/>
  <c r="X133" i="76"/>
  <c r="R134" i="76"/>
  <c r="S134" i="76"/>
  <c r="T134" i="76"/>
  <c r="U134" i="76"/>
  <c r="P135" i="76"/>
  <c r="Q135" i="76"/>
  <c r="R135" i="76"/>
  <c r="S135" i="76"/>
  <c r="T135" i="76"/>
  <c r="U135" i="76"/>
  <c r="V135" i="76"/>
  <c r="W135" i="76"/>
  <c r="X135" i="76"/>
  <c r="P136" i="76"/>
  <c r="Q136" i="76"/>
  <c r="R136" i="76"/>
  <c r="S136" i="76"/>
  <c r="T136" i="76"/>
  <c r="U136" i="76"/>
  <c r="V136" i="76"/>
  <c r="W136" i="76"/>
  <c r="X136" i="76"/>
  <c r="P137" i="76"/>
  <c r="Q137" i="76"/>
  <c r="R137" i="76"/>
  <c r="S137" i="76"/>
  <c r="T137" i="76"/>
  <c r="U137" i="76"/>
  <c r="V137" i="76"/>
  <c r="W137" i="76"/>
  <c r="X137" i="76"/>
  <c r="P138" i="76"/>
  <c r="Q138" i="76"/>
  <c r="R138" i="76"/>
  <c r="S138" i="76"/>
  <c r="T138" i="76"/>
  <c r="U138" i="76"/>
  <c r="V138" i="76"/>
  <c r="W138" i="76"/>
  <c r="X138" i="76"/>
  <c r="P139" i="76"/>
  <c r="Q139" i="76"/>
  <c r="R139" i="76"/>
  <c r="S139" i="76"/>
  <c r="T139" i="76"/>
  <c r="U139" i="76"/>
  <c r="V139" i="76"/>
  <c r="W139" i="76"/>
  <c r="X139" i="76"/>
  <c r="P140" i="76"/>
  <c r="Q140" i="76"/>
  <c r="R140" i="76"/>
  <c r="S140" i="76"/>
  <c r="T140" i="76"/>
  <c r="U140" i="76"/>
  <c r="V140" i="76"/>
  <c r="W140" i="76"/>
  <c r="X140" i="76"/>
  <c r="P141" i="76"/>
  <c r="Q141" i="76"/>
  <c r="R141" i="76"/>
  <c r="S141" i="76"/>
  <c r="T141" i="76"/>
  <c r="U141" i="76"/>
  <c r="V141" i="76"/>
  <c r="W141" i="76"/>
  <c r="X141" i="76"/>
  <c r="P143" i="76"/>
  <c r="Q143" i="76"/>
  <c r="R143" i="76"/>
  <c r="S143" i="76"/>
  <c r="T143" i="76"/>
  <c r="U143" i="76"/>
  <c r="V143" i="76"/>
  <c r="W143" i="76"/>
  <c r="X143" i="76"/>
  <c r="T144" i="76"/>
  <c r="P145" i="76"/>
  <c r="Q145" i="76"/>
  <c r="R145" i="76"/>
  <c r="S145" i="76"/>
  <c r="T145" i="76"/>
  <c r="U145" i="76"/>
  <c r="V145" i="76"/>
  <c r="W145" i="76"/>
  <c r="X145" i="76"/>
  <c r="P146" i="76"/>
  <c r="Q146" i="76"/>
  <c r="R146" i="76"/>
  <c r="S146" i="76"/>
  <c r="T146" i="76"/>
  <c r="U146" i="76"/>
  <c r="V146" i="76"/>
  <c r="W146" i="76"/>
  <c r="X146" i="76"/>
  <c r="P147" i="76"/>
  <c r="Q147" i="76"/>
  <c r="R147" i="76"/>
  <c r="S147" i="76"/>
  <c r="T147" i="76"/>
  <c r="U147" i="76"/>
  <c r="V147" i="76"/>
  <c r="W147" i="76"/>
  <c r="X147" i="76"/>
  <c r="P148" i="76"/>
  <c r="Q148" i="76"/>
  <c r="R148" i="76"/>
  <c r="S148" i="76"/>
  <c r="T148" i="76"/>
  <c r="U148" i="76"/>
  <c r="V148" i="76"/>
  <c r="W148" i="76"/>
  <c r="X148" i="76"/>
  <c r="P149" i="76"/>
  <c r="Q149" i="76"/>
  <c r="R149" i="76"/>
  <c r="S149" i="76"/>
  <c r="T149" i="76"/>
  <c r="U149" i="76"/>
  <c r="V149" i="76"/>
  <c r="W149" i="76"/>
  <c r="X149" i="76"/>
  <c r="P150" i="76"/>
  <c r="Q150" i="76"/>
  <c r="R150" i="76"/>
  <c r="S150" i="76"/>
  <c r="T150" i="76"/>
  <c r="U150" i="76"/>
  <c r="V150" i="76"/>
  <c r="W150" i="76"/>
  <c r="X150" i="76"/>
  <c r="P151" i="76"/>
  <c r="Q151" i="76"/>
  <c r="R151" i="76"/>
  <c r="S151" i="76"/>
  <c r="T151" i="76"/>
  <c r="U151" i="76"/>
  <c r="V151" i="76"/>
  <c r="W151" i="76"/>
  <c r="X151" i="76"/>
  <c r="P153" i="76"/>
  <c r="Q153" i="76"/>
  <c r="R153" i="76"/>
  <c r="S153" i="76"/>
  <c r="T153" i="76"/>
  <c r="U153" i="76"/>
  <c r="V153" i="76"/>
  <c r="W153" i="76"/>
  <c r="X153" i="76"/>
  <c r="Q154" i="76"/>
  <c r="R154" i="76"/>
  <c r="S154" i="76"/>
  <c r="P155" i="76"/>
  <c r="Q155" i="76"/>
  <c r="R155" i="76"/>
  <c r="S155" i="76"/>
  <c r="T155" i="76"/>
  <c r="U155" i="76"/>
  <c r="V155" i="76"/>
  <c r="W155" i="76"/>
  <c r="X155" i="76"/>
  <c r="P156" i="76"/>
  <c r="Q156" i="76"/>
  <c r="R156" i="76"/>
  <c r="S156" i="76"/>
  <c r="T156" i="76"/>
  <c r="U156" i="76"/>
  <c r="V156" i="76"/>
  <c r="W156" i="76"/>
  <c r="X156" i="76"/>
  <c r="P157" i="76"/>
  <c r="Q157" i="76"/>
  <c r="R157" i="76"/>
  <c r="S157" i="76"/>
  <c r="T157" i="76"/>
  <c r="U157" i="76"/>
  <c r="V157" i="76"/>
  <c r="W157" i="76"/>
  <c r="X157" i="76"/>
  <c r="P158" i="76"/>
  <c r="Q158" i="76"/>
  <c r="R158" i="76"/>
  <c r="S158" i="76"/>
  <c r="T158" i="76"/>
  <c r="U158" i="76"/>
  <c r="V158" i="76"/>
  <c r="W158" i="76"/>
  <c r="X158" i="76"/>
  <c r="P159" i="76"/>
  <c r="Q159" i="76"/>
  <c r="R159" i="76"/>
  <c r="S159" i="76"/>
  <c r="T159" i="76"/>
  <c r="U159" i="76"/>
  <c r="V159" i="76"/>
  <c r="W159" i="76"/>
  <c r="X159" i="76"/>
  <c r="P160" i="76"/>
  <c r="Q160" i="76"/>
  <c r="R160" i="76"/>
  <c r="S160" i="76"/>
  <c r="T160" i="76"/>
  <c r="U160" i="76"/>
  <c r="V160" i="76"/>
  <c r="W160" i="76"/>
  <c r="X160" i="76"/>
  <c r="P161" i="76"/>
  <c r="Q161" i="76"/>
  <c r="R161" i="76"/>
  <c r="S161" i="76"/>
  <c r="T161" i="76"/>
  <c r="U161" i="76"/>
  <c r="V161" i="76"/>
  <c r="W161" i="76"/>
  <c r="X161" i="76"/>
  <c r="P163" i="76"/>
  <c r="Q163" i="76"/>
  <c r="R163" i="76"/>
  <c r="S163" i="76"/>
  <c r="T163" i="76"/>
  <c r="U163" i="76"/>
  <c r="V163" i="76"/>
  <c r="W163" i="76"/>
  <c r="X163" i="76"/>
  <c r="P164" i="76"/>
  <c r="Q164" i="76"/>
  <c r="R164" i="76"/>
  <c r="W164" i="76"/>
  <c r="X164" i="76"/>
  <c r="P165" i="76"/>
  <c r="Q165" i="76"/>
  <c r="R165" i="76"/>
  <c r="S165" i="76"/>
  <c r="T165" i="76"/>
  <c r="U165" i="76"/>
  <c r="V165" i="76"/>
  <c r="W165" i="76"/>
  <c r="X165" i="76"/>
  <c r="P166" i="76"/>
  <c r="Q166" i="76"/>
  <c r="R166" i="76"/>
  <c r="S166" i="76"/>
  <c r="T166" i="76"/>
  <c r="U166" i="76"/>
  <c r="V166" i="76"/>
  <c r="W166" i="76"/>
  <c r="X166" i="76"/>
  <c r="P167" i="76"/>
  <c r="Q167" i="76"/>
  <c r="R167" i="76"/>
  <c r="S167" i="76"/>
  <c r="T167" i="76"/>
  <c r="U167" i="76"/>
  <c r="V167" i="76"/>
  <c r="W167" i="76"/>
  <c r="X167" i="76"/>
  <c r="P168" i="76"/>
  <c r="Q168" i="76"/>
  <c r="R168" i="76"/>
  <c r="S168" i="76"/>
  <c r="T168" i="76"/>
  <c r="U168" i="76"/>
  <c r="V168" i="76"/>
  <c r="W168" i="76"/>
  <c r="X168" i="76"/>
  <c r="P169" i="76"/>
  <c r="Q169" i="76"/>
  <c r="R169" i="76"/>
  <c r="S169" i="76"/>
  <c r="T169" i="76"/>
  <c r="U169" i="76"/>
  <c r="V169" i="76"/>
  <c r="W169" i="76"/>
  <c r="X169" i="76"/>
  <c r="P170" i="76"/>
  <c r="Q170" i="76"/>
  <c r="R170" i="76"/>
  <c r="S170" i="76"/>
  <c r="T170" i="76"/>
  <c r="U170" i="76"/>
  <c r="V170" i="76"/>
  <c r="W170" i="76"/>
  <c r="X170" i="76"/>
  <c r="P171" i="76"/>
  <c r="Q171" i="76"/>
  <c r="R171" i="76"/>
  <c r="S171" i="76"/>
  <c r="T171" i="76"/>
  <c r="U171" i="76"/>
  <c r="V171" i="76"/>
  <c r="W171" i="76"/>
  <c r="X171" i="76"/>
  <c r="P173" i="76"/>
  <c r="Q173" i="76"/>
  <c r="R173" i="76"/>
  <c r="S173" i="76"/>
  <c r="T173" i="76"/>
  <c r="U173" i="76"/>
  <c r="V173" i="76"/>
  <c r="W173" i="76"/>
  <c r="X173" i="76"/>
  <c r="P174" i="76"/>
  <c r="Q174" i="76"/>
  <c r="V174" i="76"/>
  <c r="W174" i="76"/>
  <c r="X174" i="76"/>
  <c r="P175" i="76"/>
  <c r="Q175" i="76"/>
  <c r="R175" i="76"/>
  <c r="S175" i="76"/>
  <c r="T175" i="76"/>
  <c r="U175" i="76"/>
  <c r="V175" i="76"/>
  <c r="W175" i="76"/>
  <c r="X175" i="76"/>
  <c r="P176" i="76"/>
  <c r="Q176" i="76"/>
  <c r="R176" i="76"/>
  <c r="S176" i="76"/>
  <c r="T176" i="76"/>
  <c r="U176" i="76"/>
  <c r="V176" i="76"/>
  <c r="W176" i="76"/>
  <c r="X176" i="76"/>
  <c r="P177" i="76"/>
  <c r="Q177" i="76"/>
  <c r="R177" i="76"/>
  <c r="S177" i="76"/>
  <c r="T177" i="76"/>
  <c r="U177" i="76"/>
  <c r="V177" i="76"/>
  <c r="W177" i="76"/>
  <c r="X177" i="76"/>
  <c r="P178" i="76"/>
  <c r="Q178" i="76"/>
  <c r="R178" i="76"/>
  <c r="S178" i="76"/>
  <c r="T178" i="76"/>
  <c r="U178" i="76"/>
  <c r="V178" i="76"/>
  <c r="W178" i="76"/>
  <c r="X178" i="76"/>
  <c r="P179" i="76"/>
  <c r="Q179" i="76"/>
  <c r="R179" i="76"/>
  <c r="S179" i="76"/>
  <c r="T179" i="76"/>
  <c r="U179" i="76"/>
  <c r="V179" i="76"/>
  <c r="W179" i="76"/>
  <c r="X179" i="76"/>
  <c r="P180" i="76"/>
  <c r="Q180" i="76"/>
  <c r="R180" i="76"/>
  <c r="S180" i="76"/>
  <c r="T180" i="76"/>
  <c r="U180" i="76"/>
  <c r="V180" i="76"/>
  <c r="W180" i="76"/>
  <c r="X180" i="76"/>
  <c r="P181" i="76"/>
  <c r="Q181" i="76"/>
  <c r="R181" i="76"/>
  <c r="S181" i="76"/>
  <c r="T181" i="76"/>
  <c r="U181" i="76"/>
  <c r="V181" i="76"/>
  <c r="W181" i="76"/>
  <c r="X181" i="76"/>
  <c r="P183" i="76"/>
  <c r="Q183" i="76"/>
  <c r="R183" i="76"/>
  <c r="S183" i="76"/>
  <c r="T183" i="76"/>
  <c r="U183" i="76"/>
  <c r="V183" i="76"/>
  <c r="W183" i="76"/>
  <c r="X183" i="76"/>
  <c r="P184" i="76"/>
  <c r="X184" i="76"/>
  <c r="P185" i="76"/>
  <c r="Q185" i="76"/>
  <c r="R185" i="76"/>
  <c r="S185" i="76"/>
  <c r="T185" i="76"/>
  <c r="U185" i="76"/>
  <c r="V185" i="76"/>
  <c r="W185" i="76"/>
  <c r="X185" i="76"/>
  <c r="P186" i="76"/>
  <c r="Q186" i="76"/>
  <c r="R186" i="76"/>
  <c r="S186" i="76"/>
  <c r="T186" i="76"/>
  <c r="U186" i="76"/>
  <c r="V186" i="76"/>
  <c r="W186" i="76"/>
  <c r="X186" i="76"/>
  <c r="P187" i="76"/>
  <c r="Q187" i="76"/>
  <c r="R187" i="76"/>
  <c r="S187" i="76"/>
  <c r="T187" i="76"/>
  <c r="U187" i="76"/>
  <c r="V187" i="76"/>
  <c r="W187" i="76"/>
  <c r="X187" i="76"/>
  <c r="P188" i="76"/>
  <c r="Q188" i="76"/>
  <c r="R188" i="76"/>
  <c r="S188" i="76"/>
  <c r="T188" i="76"/>
  <c r="U188" i="76"/>
  <c r="V188" i="76"/>
  <c r="W188" i="76"/>
  <c r="X188" i="76"/>
  <c r="P189" i="76"/>
  <c r="Q189" i="76"/>
  <c r="R189" i="76"/>
  <c r="S189" i="76"/>
  <c r="T189" i="76"/>
  <c r="U189" i="76"/>
  <c r="V189" i="76"/>
  <c r="W189" i="76"/>
  <c r="X189" i="76"/>
  <c r="P190" i="76"/>
  <c r="Q190" i="76"/>
  <c r="R190" i="76"/>
  <c r="S190" i="76"/>
  <c r="T190" i="76"/>
  <c r="U190" i="76"/>
  <c r="V190" i="76"/>
  <c r="W190" i="76"/>
  <c r="X190" i="76"/>
  <c r="P191" i="76"/>
  <c r="Q191" i="76"/>
  <c r="R191" i="76"/>
  <c r="S191" i="76"/>
  <c r="T191" i="76"/>
  <c r="U191" i="76"/>
  <c r="V191" i="76"/>
  <c r="W191" i="76"/>
  <c r="X191" i="76"/>
  <c r="P193" i="76"/>
  <c r="Q193" i="76"/>
  <c r="R193" i="76"/>
  <c r="S193" i="76"/>
  <c r="T193" i="76"/>
  <c r="U193" i="76"/>
  <c r="V193" i="76"/>
  <c r="W193" i="76"/>
  <c r="X193" i="76"/>
  <c r="U194" i="76"/>
  <c r="V194" i="76"/>
  <c r="W194" i="76"/>
  <c r="P195" i="76"/>
  <c r="Q195" i="76"/>
  <c r="R195" i="76"/>
  <c r="S195" i="76"/>
  <c r="T195" i="76"/>
  <c r="U195" i="76"/>
  <c r="V195" i="76"/>
  <c r="W195" i="76"/>
  <c r="X195" i="76"/>
  <c r="P196" i="76"/>
  <c r="Q196" i="76"/>
  <c r="R196" i="76"/>
  <c r="S196" i="76"/>
  <c r="T196" i="76"/>
  <c r="U196" i="76"/>
  <c r="V196" i="76"/>
  <c r="W196" i="76"/>
  <c r="X196" i="76"/>
  <c r="P197" i="76"/>
  <c r="Q197" i="76"/>
  <c r="R197" i="76"/>
  <c r="S197" i="76"/>
  <c r="T197" i="76"/>
  <c r="U197" i="76"/>
  <c r="V197" i="76"/>
  <c r="W197" i="76"/>
  <c r="X197" i="76"/>
  <c r="P198" i="76"/>
  <c r="Q198" i="76"/>
  <c r="R198" i="76"/>
  <c r="S198" i="76"/>
  <c r="T198" i="76"/>
  <c r="U198" i="76"/>
  <c r="V198" i="76"/>
  <c r="W198" i="76"/>
  <c r="X198" i="76"/>
  <c r="P199" i="76"/>
  <c r="Q199" i="76"/>
  <c r="R199" i="76"/>
  <c r="S199" i="76"/>
  <c r="T199" i="76"/>
  <c r="U199" i="76"/>
  <c r="V199" i="76"/>
  <c r="W199" i="76"/>
  <c r="X199" i="76"/>
  <c r="P200" i="76"/>
  <c r="Q200" i="76"/>
  <c r="R200" i="76"/>
  <c r="S200" i="76"/>
  <c r="T200" i="76"/>
  <c r="U200" i="76"/>
  <c r="V200" i="76"/>
  <c r="W200" i="76"/>
  <c r="X200" i="76"/>
  <c r="P201" i="76"/>
  <c r="Q201" i="76"/>
  <c r="R201" i="76"/>
  <c r="S201" i="76"/>
  <c r="T201" i="76"/>
  <c r="U201" i="76"/>
  <c r="V201" i="76"/>
  <c r="W201" i="76"/>
  <c r="X201" i="76"/>
  <c r="P203" i="76"/>
  <c r="Q203" i="76"/>
  <c r="R203" i="76"/>
  <c r="S203" i="76"/>
  <c r="T203" i="76"/>
  <c r="U203" i="76"/>
  <c r="V203" i="76"/>
  <c r="W203" i="76"/>
  <c r="X203" i="76"/>
  <c r="S204" i="76"/>
  <c r="T204" i="76"/>
  <c r="U204" i="76"/>
  <c r="V204" i="76"/>
  <c r="P205" i="76"/>
  <c r="Q205" i="76"/>
  <c r="R205" i="76"/>
  <c r="S205" i="76"/>
  <c r="T205" i="76"/>
  <c r="U205" i="76"/>
  <c r="V205" i="76"/>
  <c r="W205" i="76"/>
  <c r="X205" i="76"/>
  <c r="P206" i="76"/>
  <c r="Q206" i="76"/>
  <c r="R206" i="76"/>
  <c r="S206" i="76"/>
  <c r="T206" i="76"/>
  <c r="U206" i="76"/>
  <c r="V206" i="76"/>
  <c r="W206" i="76"/>
  <c r="X206" i="76"/>
  <c r="P207" i="76"/>
  <c r="Q207" i="76"/>
  <c r="R207" i="76"/>
  <c r="S207" i="76"/>
  <c r="T207" i="76"/>
  <c r="U207" i="76"/>
  <c r="V207" i="76"/>
  <c r="W207" i="76"/>
  <c r="X207" i="76"/>
  <c r="P208" i="76"/>
  <c r="Q208" i="76"/>
  <c r="R208" i="76"/>
  <c r="S208" i="76"/>
  <c r="T208" i="76"/>
  <c r="U208" i="76"/>
  <c r="V208" i="76"/>
  <c r="W208" i="76"/>
  <c r="X208" i="76"/>
  <c r="P209" i="76"/>
  <c r="Q209" i="76"/>
  <c r="R209" i="76"/>
  <c r="S209" i="76"/>
  <c r="T209" i="76"/>
  <c r="U209" i="76"/>
  <c r="V209" i="76"/>
  <c r="W209" i="76"/>
  <c r="X209" i="76"/>
  <c r="P210" i="76"/>
  <c r="Q210" i="76"/>
  <c r="R210" i="76"/>
  <c r="S210" i="76"/>
  <c r="T210" i="76"/>
  <c r="U210" i="76"/>
  <c r="V210" i="76"/>
  <c r="W210" i="76"/>
  <c r="X210" i="76"/>
  <c r="P211" i="76"/>
  <c r="Q211" i="76"/>
  <c r="R211" i="76"/>
  <c r="S211" i="76"/>
  <c r="T211" i="76"/>
  <c r="U211" i="76"/>
  <c r="V211" i="76"/>
  <c r="W211" i="76"/>
  <c r="X211" i="76"/>
  <c r="P213" i="76"/>
  <c r="Q213" i="76"/>
  <c r="R213" i="76"/>
  <c r="S213" i="76"/>
  <c r="T213" i="76"/>
  <c r="U213" i="76"/>
  <c r="V213" i="76"/>
  <c r="W213" i="76"/>
  <c r="X213" i="76"/>
  <c r="P214" i="76"/>
  <c r="Q214" i="76"/>
  <c r="R214" i="76"/>
  <c r="S214" i="76"/>
  <c r="T214" i="76"/>
  <c r="U214" i="76"/>
  <c r="V214" i="76"/>
  <c r="W214" i="76"/>
  <c r="X214" i="76"/>
  <c r="P215" i="76"/>
  <c r="Q215" i="76"/>
  <c r="R215" i="76"/>
  <c r="S215" i="76"/>
  <c r="T215" i="76"/>
  <c r="U215" i="76"/>
  <c r="V215" i="76"/>
  <c r="W215" i="76"/>
  <c r="X215" i="76"/>
  <c r="P216" i="76"/>
  <c r="Q216" i="76"/>
  <c r="R216" i="76"/>
  <c r="S216" i="76"/>
  <c r="T216" i="76"/>
  <c r="U216" i="76"/>
  <c r="V216" i="76"/>
  <c r="W216" i="76"/>
  <c r="X216" i="76"/>
  <c r="P217" i="76"/>
  <c r="Q217" i="76"/>
  <c r="R217" i="76"/>
  <c r="S217" i="76"/>
  <c r="T217" i="76"/>
  <c r="U217" i="76"/>
  <c r="V217" i="76"/>
  <c r="W217" i="76"/>
  <c r="X217" i="76"/>
  <c r="P218" i="76"/>
  <c r="Q218" i="76"/>
  <c r="R218" i="76"/>
  <c r="S218" i="76"/>
  <c r="T218" i="76"/>
  <c r="U218" i="76"/>
  <c r="V218" i="76"/>
  <c r="W218" i="76"/>
  <c r="X218" i="76"/>
  <c r="P219" i="76"/>
  <c r="Q219" i="76"/>
  <c r="R219" i="76"/>
  <c r="S219" i="76"/>
  <c r="T219" i="76"/>
  <c r="U219" i="76"/>
  <c r="V219" i="76"/>
  <c r="W219" i="76"/>
  <c r="X219" i="76"/>
  <c r="P220" i="76"/>
  <c r="Q220" i="76"/>
  <c r="R220" i="76"/>
  <c r="S220" i="76"/>
  <c r="T220" i="76"/>
  <c r="U220" i="76"/>
  <c r="V220" i="76"/>
  <c r="W220" i="76"/>
  <c r="X220" i="76"/>
  <c r="P221" i="76"/>
  <c r="Q221" i="76"/>
  <c r="R221" i="76"/>
  <c r="S221" i="76"/>
  <c r="T221" i="76"/>
  <c r="U221" i="76"/>
  <c r="V221" i="76"/>
  <c r="W221" i="76"/>
  <c r="X221" i="76"/>
  <c r="P223" i="76"/>
  <c r="Q223" i="76"/>
  <c r="R223" i="76"/>
  <c r="S223" i="76"/>
  <c r="T223" i="76"/>
  <c r="U223" i="76"/>
  <c r="V223" i="76"/>
  <c r="W223" i="76"/>
  <c r="X223" i="76"/>
  <c r="P224" i="76"/>
  <c r="Q224" i="76"/>
  <c r="R224" i="76"/>
  <c r="S224" i="76"/>
  <c r="T224" i="76"/>
  <c r="U224" i="76"/>
  <c r="V224" i="76"/>
  <c r="W224" i="76"/>
  <c r="X224" i="76"/>
  <c r="P225" i="76"/>
  <c r="Q225" i="76"/>
  <c r="R225" i="76"/>
  <c r="S225" i="76"/>
  <c r="T225" i="76"/>
  <c r="U225" i="76"/>
  <c r="V225" i="76"/>
  <c r="W225" i="76"/>
  <c r="X225" i="76"/>
  <c r="P226" i="76"/>
  <c r="Q226" i="76"/>
  <c r="R226" i="76"/>
  <c r="S226" i="76"/>
  <c r="T226" i="76"/>
  <c r="U226" i="76"/>
  <c r="V226" i="76"/>
  <c r="W226" i="76"/>
  <c r="X226" i="76"/>
  <c r="P227" i="76"/>
  <c r="Q227" i="76"/>
  <c r="R227" i="76"/>
  <c r="S227" i="76"/>
  <c r="T227" i="76"/>
  <c r="U227" i="76"/>
  <c r="V227" i="76"/>
  <c r="W227" i="76"/>
  <c r="X227" i="76"/>
  <c r="P228" i="76"/>
  <c r="Q228" i="76"/>
  <c r="R228" i="76"/>
  <c r="S228" i="76"/>
  <c r="T228" i="76"/>
  <c r="U228" i="76"/>
  <c r="V228" i="76"/>
  <c r="W228" i="76"/>
  <c r="X228" i="76"/>
  <c r="P229" i="76"/>
  <c r="Q229" i="76"/>
  <c r="R229" i="76"/>
  <c r="S229" i="76"/>
  <c r="T229" i="76"/>
  <c r="U229" i="76"/>
  <c r="V229" i="76"/>
  <c r="W229" i="76"/>
  <c r="X229" i="76"/>
  <c r="P230" i="76"/>
  <c r="Q230" i="76"/>
  <c r="R230" i="76"/>
  <c r="S230" i="76"/>
  <c r="T230" i="76"/>
  <c r="U230" i="76"/>
  <c r="V230" i="76"/>
  <c r="W230" i="76"/>
  <c r="X230" i="76"/>
  <c r="P231" i="76"/>
  <c r="Q231" i="76"/>
  <c r="R231" i="76"/>
  <c r="S231" i="76"/>
  <c r="T231" i="76"/>
  <c r="U231" i="76"/>
  <c r="V231" i="76"/>
  <c r="W231" i="76"/>
  <c r="X231" i="76"/>
  <c r="P233" i="76"/>
  <c r="Q233" i="76"/>
  <c r="R233" i="76"/>
  <c r="S233" i="76"/>
  <c r="T233" i="76"/>
  <c r="U233" i="76"/>
  <c r="V233" i="76"/>
  <c r="W233" i="76"/>
  <c r="X233" i="76"/>
  <c r="P234" i="76"/>
  <c r="Q234" i="76"/>
  <c r="R234" i="76"/>
  <c r="S234" i="76"/>
  <c r="T234" i="76"/>
  <c r="U234" i="76"/>
  <c r="V234" i="76"/>
  <c r="W234" i="76"/>
  <c r="X234" i="76"/>
  <c r="P235" i="76"/>
  <c r="Q235" i="76"/>
  <c r="R235" i="76"/>
  <c r="S235" i="76"/>
  <c r="T235" i="76"/>
  <c r="U235" i="76"/>
  <c r="V235" i="76"/>
  <c r="W235" i="76"/>
  <c r="X235" i="76"/>
  <c r="P236" i="76"/>
  <c r="Q236" i="76"/>
  <c r="R236" i="76"/>
  <c r="S236" i="76"/>
  <c r="T236" i="76"/>
  <c r="U236" i="76"/>
  <c r="V236" i="76"/>
  <c r="W236" i="76"/>
  <c r="X236" i="76"/>
  <c r="P237" i="76"/>
  <c r="Q237" i="76"/>
  <c r="R237" i="76"/>
  <c r="S237" i="76"/>
  <c r="T237" i="76"/>
  <c r="U237" i="76"/>
  <c r="V237" i="76"/>
  <c r="W237" i="76"/>
  <c r="X237" i="76"/>
  <c r="P238" i="76"/>
  <c r="Q238" i="76"/>
  <c r="R238" i="76"/>
  <c r="S238" i="76"/>
  <c r="T238" i="76"/>
  <c r="U238" i="76"/>
  <c r="V238" i="76"/>
  <c r="W238" i="76"/>
  <c r="X238" i="76"/>
  <c r="P239" i="76"/>
  <c r="Q239" i="76"/>
  <c r="R239" i="76"/>
  <c r="S239" i="76"/>
  <c r="T239" i="76"/>
  <c r="U239" i="76"/>
  <c r="V239" i="76"/>
  <c r="W239" i="76"/>
  <c r="X239" i="76"/>
  <c r="P240" i="76"/>
  <c r="Q240" i="76"/>
  <c r="R240" i="76"/>
  <c r="S240" i="76"/>
  <c r="T240" i="76"/>
  <c r="U240" i="76"/>
  <c r="V240" i="76"/>
  <c r="W240" i="76"/>
  <c r="X240" i="76"/>
  <c r="P241" i="76"/>
  <c r="Q241" i="76"/>
  <c r="R241" i="76"/>
  <c r="S241" i="76"/>
  <c r="T241" i="76"/>
  <c r="U241" i="76"/>
  <c r="V241" i="76"/>
  <c r="W241" i="76"/>
  <c r="X241" i="76"/>
  <c r="P243" i="76"/>
  <c r="Q243" i="76"/>
  <c r="R243" i="76"/>
  <c r="S243" i="76"/>
  <c r="T243" i="76"/>
  <c r="U243" i="76"/>
  <c r="V243" i="76"/>
  <c r="W243" i="76"/>
  <c r="X243" i="76"/>
  <c r="P244" i="76"/>
  <c r="Q244" i="76"/>
  <c r="R244" i="76"/>
  <c r="S244" i="76"/>
  <c r="T244" i="76"/>
  <c r="U244" i="76"/>
  <c r="V244" i="76"/>
  <c r="W244" i="76"/>
  <c r="X244" i="76"/>
  <c r="P245" i="76"/>
  <c r="Q245" i="76"/>
  <c r="R245" i="76"/>
  <c r="S245" i="76"/>
  <c r="T245" i="76"/>
  <c r="U245" i="76"/>
  <c r="V245" i="76"/>
  <c r="W245" i="76"/>
  <c r="X245" i="76"/>
  <c r="P246" i="76"/>
  <c r="Q246" i="76"/>
  <c r="R246" i="76"/>
  <c r="S246" i="76"/>
  <c r="T246" i="76"/>
  <c r="U246" i="76"/>
  <c r="V246" i="76"/>
  <c r="W246" i="76"/>
  <c r="X246" i="76"/>
  <c r="P247" i="76"/>
  <c r="Q247" i="76"/>
  <c r="R247" i="76"/>
  <c r="S247" i="76"/>
  <c r="T247" i="76"/>
  <c r="U247" i="76"/>
  <c r="V247" i="76"/>
  <c r="W247" i="76"/>
  <c r="X247" i="76"/>
  <c r="P248" i="76"/>
  <c r="Q248" i="76"/>
  <c r="R248" i="76"/>
  <c r="S248" i="76"/>
  <c r="T248" i="76"/>
  <c r="U248" i="76"/>
  <c r="V248" i="76"/>
  <c r="W248" i="76"/>
  <c r="X248" i="76"/>
  <c r="P249" i="76"/>
  <c r="Q249" i="76"/>
  <c r="R249" i="76"/>
  <c r="S249" i="76"/>
  <c r="T249" i="76"/>
  <c r="U249" i="76"/>
  <c r="V249" i="76"/>
  <c r="W249" i="76"/>
  <c r="X249" i="76"/>
  <c r="P250" i="76"/>
  <c r="Q250" i="76"/>
  <c r="R250" i="76"/>
  <c r="S250" i="76"/>
  <c r="T250" i="76"/>
  <c r="U250" i="76"/>
  <c r="V250" i="76"/>
  <c r="W250" i="76"/>
  <c r="X250" i="76"/>
  <c r="P251" i="76"/>
  <c r="Q251" i="76"/>
  <c r="R251" i="76"/>
  <c r="S251" i="76"/>
  <c r="T251" i="76"/>
  <c r="U251" i="76"/>
  <c r="V251" i="76"/>
  <c r="W251" i="76"/>
  <c r="X251" i="76"/>
  <c r="P253" i="76"/>
  <c r="Q253" i="76"/>
  <c r="R253" i="76"/>
  <c r="S253" i="76"/>
  <c r="T253" i="76"/>
  <c r="U253" i="76"/>
  <c r="V253" i="76"/>
  <c r="W253" i="76"/>
  <c r="X253" i="76"/>
  <c r="P254" i="76"/>
  <c r="Q254" i="76"/>
  <c r="R254" i="76"/>
  <c r="S254" i="76"/>
  <c r="T254" i="76"/>
  <c r="U254" i="76"/>
  <c r="V254" i="76"/>
  <c r="W254" i="76"/>
  <c r="X254" i="76"/>
  <c r="P255" i="76"/>
  <c r="Q255" i="76"/>
  <c r="R255" i="76"/>
  <c r="S255" i="76"/>
  <c r="T255" i="76"/>
  <c r="U255" i="76"/>
  <c r="V255" i="76"/>
  <c r="W255" i="76"/>
  <c r="X255" i="76"/>
  <c r="P256" i="76"/>
  <c r="Q256" i="76"/>
  <c r="R256" i="76"/>
  <c r="S256" i="76"/>
  <c r="T256" i="76"/>
  <c r="U256" i="76"/>
  <c r="V256" i="76"/>
  <c r="W256" i="76"/>
  <c r="X256" i="76"/>
  <c r="P257" i="76"/>
  <c r="Q257" i="76"/>
  <c r="R257" i="76"/>
  <c r="S257" i="76"/>
  <c r="T257" i="76"/>
  <c r="U257" i="76"/>
  <c r="V257" i="76"/>
  <c r="W257" i="76"/>
  <c r="X257" i="76"/>
  <c r="P258" i="76"/>
  <c r="Q258" i="76"/>
  <c r="R258" i="76"/>
  <c r="S258" i="76"/>
  <c r="T258" i="76"/>
  <c r="U258" i="76"/>
  <c r="V258" i="76"/>
  <c r="W258" i="76"/>
  <c r="X258" i="76"/>
  <c r="P259" i="76"/>
  <c r="Q259" i="76"/>
  <c r="R259" i="76"/>
  <c r="S259" i="76"/>
  <c r="T259" i="76"/>
  <c r="U259" i="76"/>
  <c r="V259" i="76"/>
  <c r="W259" i="76"/>
  <c r="X259" i="76"/>
  <c r="P260" i="76"/>
  <c r="Q260" i="76"/>
  <c r="R260" i="76"/>
  <c r="S260" i="76"/>
  <c r="T260" i="76"/>
  <c r="U260" i="76"/>
  <c r="V260" i="76"/>
  <c r="W260" i="76"/>
  <c r="X260" i="76"/>
  <c r="P261" i="76"/>
  <c r="Q261" i="76"/>
  <c r="R261" i="76"/>
  <c r="S261" i="76"/>
  <c r="T261" i="76"/>
  <c r="U261" i="76"/>
  <c r="V261" i="76"/>
  <c r="W261" i="76"/>
  <c r="X261" i="76"/>
  <c r="P263" i="76"/>
  <c r="Q263" i="76"/>
  <c r="R263" i="76"/>
  <c r="S263" i="76"/>
  <c r="T263" i="76"/>
  <c r="U263" i="76"/>
  <c r="V263" i="76"/>
  <c r="W263" i="76"/>
  <c r="X263" i="76"/>
  <c r="P264" i="76"/>
  <c r="Q264" i="76"/>
  <c r="R264" i="76"/>
  <c r="S264" i="76"/>
  <c r="T264" i="76"/>
  <c r="U264" i="76"/>
  <c r="V264" i="76"/>
  <c r="W264" i="76"/>
  <c r="X264" i="76"/>
  <c r="P265" i="76"/>
  <c r="Q265" i="76"/>
  <c r="R265" i="76"/>
  <c r="S265" i="76"/>
  <c r="T265" i="76"/>
  <c r="U265" i="76"/>
  <c r="V265" i="76"/>
  <c r="W265" i="76"/>
  <c r="X265" i="76"/>
  <c r="P266" i="76"/>
  <c r="Q266" i="76"/>
  <c r="R266" i="76"/>
  <c r="S266" i="76"/>
  <c r="T266" i="76"/>
  <c r="U266" i="76"/>
  <c r="V266" i="76"/>
  <c r="W266" i="76"/>
  <c r="X266" i="76"/>
  <c r="P267" i="76"/>
  <c r="Q267" i="76"/>
  <c r="R267" i="76"/>
  <c r="S267" i="76"/>
  <c r="T267" i="76"/>
  <c r="U267" i="76"/>
  <c r="V267" i="76"/>
  <c r="W267" i="76"/>
  <c r="X267" i="76"/>
  <c r="P268" i="76"/>
  <c r="Q268" i="76"/>
  <c r="R268" i="76"/>
  <c r="S268" i="76"/>
  <c r="T268" i="76"/>
  <c r="U268" i="76"/>
  <c r="V268" i="76"/>
  <c r="W268" i="76"/>
  <c r="X268" i="76"/>
  <c r="P269" i="76"/>
  <c r="Q269" i="76"/>
  <c r="R269" i="76"/>
  <c r="S269" i="76"/>
  <c r="T269" i="76"/>
  <c r="U269" i="76"/>
  <c r="V269" i="76"/>
  <c r="W269" i="76"/>
  <c r="X269" i="76"/>
  <c r="P270" i="76"/>
  <c r="Q270" i="76"/>
  <c r="R270" i="76"/>
  <c r="S270" i="76"/>
  <c r="T270" i="76"/>
  <c r="U270" i="76"/>
  <c r="V270" i="76"/>
  <c r="W270" i="76"/>
  <c r="X270" i="76"/>
  <c r="P271" i="76"/>
  <c r="Q271" i="76"/>
  <c r="R271" i="76"/>
  <c r="S271" i="76"/>
  <c r="T271" i="76"/>
  <c r="U271" i="76"/>
  <c r="V271" i="76"/>
  <c r="W271" i="76"/>
  <c r="X271" i="76"/>
  <c r="P273" i="76"/>
  <c r="Q273" i="76"/>
  <c r="R273" i="76"/>
  <c r="S273" i="76"/>
  <c r="T273" i="76"/>
  <c r="U273" i="76"/>
  <c r="V273" i="76"/>
  <c r="W273" i="76"/>
  <c r="X273" i="76"/>
  <c r="P274" i="76"/>
  <c r="Q274" i="76"/>
  <c r="R274" i="76"/>
  <c r="S274" i="76"/>
  <c r="T274" i="76"/>
  <c r="U274" i="76"/>
  <c r="V274" i="76"/>
  <c r="W274" i="76"/>
  <c r="X274" i="76"/>
  <c r="P275" i="76"/>
  <c r="Q275" i="76"/>
  <c r="R275" i="76"/>
  <c r="S275" i="76"/>
  <c r="T275" i="76"/>
  <c r="U275" i="76"/>
  <c r="V275" i="76"/>
  <c r="W275" i="76"/>
  <c r="X275" i="76"/>
  <c r="P276" i="76"/>
  <c r="Q276" i="76"/>
  <c r="R276" i="76"/>
  <c r="S276" i="76"/>
  <c r="T276" i="76"/>
  <c r="U276" i="76"/>
  <c r="V276" i="76"/>
  <c r="W276" i="76"/>
  <c r="X276" i="76"/>
  <c r="P277" i="76"/>
  <c r="Q277" i="76"/>
  <c r="R277" i="76"/>
  <c r="S277" i="76"/>
  <c r="T277" i="76"/>
  <c r="U277" i="76"/>
  <c r="V277" i="76"/>
  <c r="W277" i="76"/>
  <c r="X277" i="76"/>
  <c r="P278" i="76"/>
  <c r="Q278" i="76"/>
  <c r="R278" i="76"/>
  <c r="S278" i="76"/>
  <c r="T278" i="76"/>
  <c r="U278" i="76"/>
  <c r="V278" i="76"/>
  <c r="W278" i="76"/>
  <c r="X278" i="76"/>
  <c r="P279" i="76"/>
  <c r="Q279" i="76"/>
  <c r="R279" i="76"/>
  <c r="S279" i="76"/>
  <c r="T279" i="76"/>
  <c r="U279" i="76"/>
  <c r="V279" i="76"/>
  <c r="W279" i="76"/>
  <c r="X279" i="76"/>
  <c r="P280" i="76"/>
  <c r="Q280" i="76"/>
  <c r="R280" i="76"/>
  <c r="S280" i="76"/>
  <c r="T280" i="76"/>
  <c r="U280" i="76"/>
  <c r="V280" i="76"/>
  <c r="W280" i="76"/>
  <c r="X280" i="76"/>
  <c r="P281" i="76"/>
  <c r="Q281" i="76"/>
  <c r="R281" i="76"/>
  <c r="S281" i="76"/>
  <c r="T281" i="76"/>
  <c r="U281" i="76"/>
  <c r="V281" i="76"/>
  <c r="W281" i="76"/>
  <c r="X281" i="76"/>
  <c r="P283" i="76"/>
  <c r="Q283" i="76"/>
  <c r="R283" i="76"/>
  <c r="S283" i="76"/>
  <c r="T283" i="76"/>
  <c r="U283" i="76"/>
  <c r="V283" i="76"/>
  <c r="W283" i="76"/>
  <c r="X283" i="76"/>
  <c r="P284" i="76"/>
  <c r="Q284" i="76"/>
  <c r="R284" i="76"/>
  <c r="S284" i="76"/>
  <c r="T284" i="76"/>
  <c r="U284" i="76"/>
  <c r="V284" i="76"/>
  <c r="W284" i="76"/>
  <c r="X284" i="76"/>
  <c r="P285" i="76"/>
  <c r="Q285" i="76"/>
  <c r="R285" i="76"/>
  <c r="S285" i="76"/>
  <c r="T285" i="76"/>
  <c r="U285" i="76"/>
  <c r="V285" i="76"/>
  <c r="W285" i="76"/>
  <c r="X285" i="76"/>
  <c r="P286" i="76"/>
  <c r="Q286" i="76"/>
  <c r="R286" i="76"/>
  <c r="S286" i="76"/>
  <c r="T286" i="76"/>
  <c r="U286" i="76"/>
  <c r="V286" i="76"/>
  <c r="W286" i="76"/>
  <c r="X286" i="76"/>
  <c r="P287" i="76"/>
  <c r="Q287" i="76"/>
  <c r="R287" i="76"/>
  <c r="S287" i="76"/>
  <c r="T287" i="76"/>
  <c r="U287" i="76"/>
  <c r="V287" i="76"/>
  <c r="W287" i="76"/>
  <c r="X287" i="76"/>
  <c r="P288" i="76"/>
  <c r="Q288" i="76"/>
  <c r="R288" i="76"/>
  <c r="S288" i="76"/>
  <c r="T288" i="76"/>
  <c r="U288" i="76"/>
  <c r="V288" i="76"/>
  <c r="W288" i="76"/>
  <c r="X288" i="76"/>
  <c r="P289" i="76"/>
  <c r="Q289" i="76"/>
  <c r="R289" i="76"/>
  <c r="S289" i="76"/>
  <c r="T289" i="76"/>
  <c r="U289" i="76"/>
  <c r="V289" i="76"/>
  <c r="W289" i="76"/>
  <c r="X289" i="76"/>
  <c r="P290" i="76"/>
  <c r="Q290" i="76"/>
  <c r="R290" i="76"/>
  <c r="S290" i="76"/>
  <c r="T290" i="76"/>
  <c r="U290" i="76"/>
  <c r="V290" i="76"/>
  <c r="W290" i="76"/>
  <c r="X290" i="76"/>
  <c r="P291" i="76"/>
  <c r="Q291" i="76"/>
  <c r="R291" i="76"/>
  <c r="S291" i="76"/>
  <c r="T291" i="76"/>
  <c r="U291" i="76"/>
  <c r="V291" i="76"/>
  <c r="W291" i="76"/>
  <c r="X291" i="76"/>
  <c r="P293" i="76"/>
  <c r="Q293" i="76"/>
  <c r="R293" i="76"/>
  <c r="S293" i="76"/>
  <c r="T293" i="76"/>
  <c r="U293" i="76"/>
  <c r="V293" i="76"/>
  <c r="W293" i="76"/>
  <c r="X293" i="76"/>
  <c r="P294" i="76"/>
  <c r="Q294" i="76"/>
  <c r="R294" i="76"/>
  <c r="S294" i="76"/>
  <c r="T294" i="76"/>
  <c r="U294" i="76"/>
  <c r="V294" i="76"/>
  <c r="W294" i="76"/>
  <c r="X294" i="76"/>
  <c r="P295" i="76"/>
  <c r="Q295" i="76"/>
  <c r="R295" i="76"/>
  <c r="S295" i="76"/>
  <c r="T295" i="76"/>
  <c r="U295" i="76"/>
  <c r="V295" i="76"/>
  <c r="W295" i="76"/>
  <c r="X295" i="76"/>
  <c r="P296" i="76"/>
  <c r="Q296" i="76"/>
  <c r="R296" i="76"/>
  <c r="S296" i="76"/>
  <c r="T296" i="76"/>
  <c r="U296" i="76"/>
  <c r="V296" i="76"/>
  <c r="W296" i="76"/>
  <c r="X296" i="76"/>
  <c r="P297" i="76"/>
  <c r="Q297" i="76"/>
  <c r="R297" i="76"/>
  <c r="S297" i="76"/>
  <c r="T297" i="76"/>
  <c r="U297" i="76"/>
  <c r="V297" i="76"/>
  <c r="W297" i="76"/>
  <c r="X297" i="76"/>
  <c r="P298" i="76"/>
  <c r="Q298" i="76"/>
  <c r="R298" i="76"/>
  <c r="S298" i="76"/>
  <c r="T298" i="76"/>
  <c r="U298" i="76"/>
  <c r="V298" i="76"/>
  <c r="W298" i="76"/>
  <c r="X298" i="76"/>
  <c r="P299" i="76"/>
  <c r="Q299" i="76"/>
  <c r="R299" i="76"/>
  <c r="S299" i="76"/>
  <c r="T299" i="76"/>
  <c r="U299" i="76"/>
  <c r="V299" i="76"/>
  <c r="W299" i="76"/>
  <c r="X299" i="76"/>
  <c r="P300" i="76"/>
  <c r="Q300" i="76"/>
  <c r="R300" i="76"/>
  <c r="S300" i="76"/>
  <c r="T300" i="76"/>
  <c r="U300" i="76"/>
  <c r="V300" i="76"/>
  <c r="W300" i="76"/>
  <c r="X300" i="76"/>
  <c r="P301" i="76"/>
  <c r="Q301" i="76"/>
  <c r="R301" i="76"/>
  <c r="S301" i="76"/>
  <c r="T301" i="76"/>
  <c r="U301" i="76"/>
  <c r="V301" i="76"/>
  <c r="W301" i="76"/>
  <c r="X301" i="76"/>
  <c r="P303" i="76"/>
  <c r="Q303" i="76"/>
  <c r="R303" i="76"/>
  <c r="S303" i="76"/>
  <c r="T303" i="76"/>
  <c r="U303" i="76"/>
  <c r="V303" i="76"/>
  <c r="W303" i="76"/>
  <c r="X303" i="76"/>
  <c r="P304" i="76"/>
  <c r="Q304" i="76"/>
  <c r="R304" i="76"/>
  <c r="S304" i="76"/>
  <c r="T304" i="76"/>
  <c r="U304" i="76"/>
  <c r="V304" i="76"/>
  <c r="W304" i="76"/>
  <c r="X304" i="76"/>
  <c r="P305" i="76"/>
  <c r="Q305" i="76"/>
  <c r="R305" i="76"/>
  <c r="S305" i="76"/>
  <c r="T305" i="76"/>
  <c r="U305" i="76"/>
  <c r="V305" i="76"/>
  <c r="W305" i="76"/>
  <c r="X305" i="76"/>
  <c r="P306" i="76"/>
  <c r="Q306" i="76"/>
  <c r="R306" i="76"/>
  <c r="S306" i="76"/>
  <c r="T306" i="76"/>
  <c r="U306" i="76"/>
  <c r="V306" i="76"/>
  <c r="W306" i="76"/>
  <c r="X306" i="76"/>
  <c r="P307" i="76"/>
  <c r="Q307" i="76"/>
  <c r="R307" i="76"/>
  <c r="S307" i="76"/>
  <c r="T307" i="76"/>
  <c r="U307" i="76"/>
  <c r="V307" i="76"/>
  <c r="W307" i="76"/>
  <c r="X307" i="76"/>
  <c r="P308" i="76"/>
  <c r="Q308" i="76"/>
  <c r="R308" i="76"/>
  <c r="S308" i="76"/>
  <c r="T308" i="76"/>
  <c r="U308" i="76"/>
  <c r="V308" i="76"/>
  <c r="W308" i="76"/>
  <c r="X308" i="76"/>
  <c r="P309" i="76"/>
  <c r="Q309" i="76"/>
  <c r="R309" i="76"/>
  <c r="S309" i="76"/>
  <c r="T309" i="76"/>
  <c r="U309" i="76"/>
  <c r="V309" i="76"/>
  <c r="W309" i="76"/>
  <c r="X309" i="76"/>
  <c r="P310" i="76"/>
  <c r="Q310" i="76"/>
  <c r="R310" i="76"/>
  <c r="S310" i="76"/>
  <c r="T310" i="76"/>
  <c r="U310" i="76"/>
  <c r="V310" i="76"/>
  <c r="W310" i="76"/>
  <c r="X310" i="76"/>
  <c r="P311" i="76"/>
  <c r="Q311" i="76"/>
  <c r="R311" i="76"/>
  <c r="S311" i="76"/>
  <c r="T311" i="76"/>
  <c r="U311" i="76"/>
  <c r="V311" i="76"/>
  <c r="W311" i="76"/>
  <c r="X311" i="76"/>
  <c r="P313" i="76"/>
  <c r="Q313" i="76"/>
  <c r="R313" i="76"/>
  <c r="S313" i="76"/>
  <c r="T313" i="76"/>
  <c r="U313" i="76"/>
  <c r="V313" i="76"/>
  <c r="W313" i="76"/>
  <c r="X313" i="76"/>
  <c r="P314" i="76"/>
  <c r="Q314" i="76"/>
  <c r="R314" i="76"/>
  <c r="S314" i="76"/>
  <c r="T314" i="76"/>
  <c r="U314" i="76"/>
  <c r="V314" i="76"/>
  <c r="W314" i="76"/>
  <c r="X314" i="76"/>
  <c r="P315" i="76"/>
  <c r="Q315" i="76"/>
  <c r="R315" i="76"/>
  <c r="S315" i="76"/>
  <c r="T315" i="76"/>
  <c r="U315" i="76"/>
  <c r="V315" i="76"/>
  <c r="W315" i="76"/>
  <c r="X315" i="76"/>
  <c r="P316" i="76"/>
  <c r="Q316" i="76"/>
  <c r="R316" i="76"/>
  <c r="S316" i="76"/>
  <c r="T316" i="76"/>
  <c r="U316" i="76"/>
  <c r="V316" i="76"/>
  <c r="W316" i="76"/>
  <c r="X316" i="76"/>
  <c r="P317" i="76"/>
  <c r="Q317" i="76"/>
  <c r="R317" i="76"/>
  <c r="S317" i="76"/>
  <c r="T317" i="76"/>
  <c r="U317" i="76"/>
  <c r="V317" i="76"/>
  <c r="W317" i="76"/>
  <c r="X317" i="76"/>
  <c r="P318" i="76"/>
  <c r="Q318" i="76"/>
  <c r="R318" i="76"/>
  <c r="S318" i="76"/>
  <c r="T318" i="76"/>
  <c r="U318" i="76"/>
  <c r="V318" i="76"/>
  <c r="W318" i="76"/>
  <c r="X318" i="76"/>
  <c r="P319" i="76"/>
  <c r="Q319" i="76"/>
  <c r="R319" i="76"/>
  <c r="S319" i="76"/>
  <c r="T319" i="76"/>
  <c r="U319" i="76"/>
  <c r="V319" i="76"/>
  <c r="W319" i="76"/>
  <c r="X319" i="76"/>
  <c r="P320" i="76"/>
  <c r="Q320" i="76"/>
  <c r="R320" i="76"/>
  <c r="S320" i="76"/>
  <c r="T320" i="76"/>
  <c r="U320" i="76"/>
  <c r="V320" i="76"/>
  <c r="W320" i="76"/>
  <c r="X320" i="76"/>
  <c r="P321" i="76"/>
  <c r="Q321" i="76"/>
  <c r="R321" i="76"/>
  <c r="S321" i="76"/>
  <c r="T321" i="76"/>
  <c r="U321" i="76"/>
  <c r="V321" i="76"/>
  <c r="W321" i="76"/>
  <c r="X321" i="76"/>
  <c r="P323" i="76"/>
  <c r="Q323" i="76"/>
  <c r="R323" i="76"/>
  <c r="S323" i="76"/>
  <c r="T323" i="76"/>
  <c r="U323" i="76"/>
  <c r="V323" i="76"/>
  <c r="W323" i="76"/>
  <c r="X323" i="76"/>
  <c r="P324" i="76"/>
  <c r="Q324" i="76"/>
  <c r="R324" i="76"/>
  <c r="S324" i="76"/>
  <c r="T324" i="76"/>
  <c r="U324" i="76"/>
  <c r="V324" i="76"/>
  <c r="W324" i="76"/>
  <c r="X324" i="76"/>
  <c r="P325" i="76"/>
  <c r="Q325" i="76"/>
  <c r="R325" i="76"/>
  <c r="S325" i="76"/>
  <c r="T325" i="76"/>
  <c r="U325" i="76"/>
  <c r="V325" i="76"/>
  <c r="W325" i="76"/>
  <c r="X325" i="76"/>
  <c r="P326" i="76"/>
  <c r="Q326" i="76"/>
  <c r="R326" i="76"/>
  <c r="S326" i="76"/>
  <c r="T326" i="76"/>
  <c r="U326" i="76"/>
  <c r="V326" i="76"/>
  <c r="W326" i="76"/>
  <c r="X326" i="76"/>
  <c r="P327" i="76"/>
  <c r="Q327" i="76"/>
  <c r="R327" i="76"/>
  <c r="S327" i="76"/>
  <c r="T327" i="76"/>
  <c r="U327" i="76"/>
  <c r="V327" i="76"/>
  <c r="W327" i="76"/>
  <c r="X327" i="76"/>
  <c r="P328" i="76"/>
  <c r="Q328" i="76"/>
  <c r="R328" i="76"/>
  <c r="S328" i="76"/>
  <c r="T328" i="76"/>
  <c r="U328" i="76"/>
  <c r="V328" i="76"/>
  <c r="W328" i="76"/>
  <c r="X328" i="76"/>
  <c r="P329" i="76"/>
  <c r="Q329" i="76"/>
  <c r="R329" i="76"/>
  <c r="S329" i="76"/>
  <c r="T329" i="76"/>
  <c r="U329" i="76"/>
  <c r="V329" i="76"/>
  <c r="W329" i="76"/>
  <c r="X329" i="76"/>
  <c r="P330" i="76"/>
  <c r="Q330" i="76"/>
  <c r="R330" i="76"/>
  <c r="S330" i="76"/>
  <c r="T330" i="76"/>
  <c r="U330" i="76"/>
  <c r="V330" i="76"/>
  <c r="W330" i="76"/>
  <c r="X330" i="76"/>
  <c r="P331" i="76"/>
  <c r="Q331" i="76"/>
  <c r="R331" i="76"/>
  <c r="S331" i="76"/>
  <c r="T331" i="76"/>
  <c r="U331" i="76"/>
  <c r="V331" i="76"/>
  <c r="W331" i="76"/>
  <c r="X331" i="76"/>
  <c r="P333" i="76"/>
  <c r="Q333" i="76"/>
  <c r="R333" i="76"/>
  <c r="S333" i="76"/>
  <c r="T333" i="76"/>
  <c r="U333" i="76"/>
  <c r="V333" i="76"/>
  <c r="W333" i="76"/>
  <c r="X333" i="76"/>
  <c r="P334" i="76"/>
  <c r="Q334" i="76"/>
  <c r="R334" i="76"/>
  <c r="S334" i="76"/>
  <c r="T334" i="76"/>
  <c r="U334" i="76"/>
  <c r="V334" i="76"/>
  <c r="W334" i="76"/>
  <c r="X334" i="76"/>
  <c r="P335" i="76"/>
  <c r="Q335" i="76"/>
  <c r="R335" i="76"/>
  <c r="S335" i="76"/>
  <c r="T335" i="76"/>
  <c r="U335" i="76"/>
  <c r="V335" i="76"/>
  <c r="W335" i="76"/>
  <c r="X335" i="76"/>
  <c r="P336" i="76"/>
  <c r="Q336" i="76"/>
  <c r="R336" i="76"/>
  <c r="S336" i="76"/>
  <c r="T336" i="76"/>
  <c r="U336" i="76"/>
  <c r="V336" i="76"/>
  <c r="W336" i="76"/>
  <c r="X336" i="76"/>
  <c r="P337" i="76"/>
  <c r="Q337" i="76"/>
  <c r="R337" i="76"/>
  <c r="S337" i="76"/>
  <c r="T337" i="76"/>
  <c r="U337" i="76"/>
  <c r="V337" i="76"/>
  <c r="W337" i="76"/>
  <c r="X337" i="76"/>
  <c r="P338" i="76"/>
  <c r="Q338" i="76"/>
  <c r="R338" i="76"/>
  <c r="S338" i="76"/>
  <c r="T338" i="76"/>
  <c r="U338" i="76"/>
  <c r="V338" i="76"/>
  <c r="W338" i="76"/>
  <c r="X338" i="76"/>
  <c r="P339" i="76"/>
  <c r="Q339" i="76"/>
  <c r="R339" i="76"/>
  <c r="S339" i="76"/>
  <c r="T339" i="76"/>
  <c r="U339" i="76"/>
  <c r="V339" i="76"/>
  <c r="W339" i="76"/>
  <c r="X339" i="76"/>
  <c r="P340" i="76"/>
  <c r="Q340" i="76"/>
  <c r="R340" i="76"/>
  <c r="S340" i="76"/>
  <c r="T340" i="76"/>
  <c r="U340" i="76"/>
  <c r="V340" i="76"/>
  <c r="W340" i="76"/>
  <c r="X340" i="76"/>
  <c r="P341" i="76"/>
  <c r="Q341" i="76"/>
  <c r="R341" i="76"/>
  <c r="S341" i="76"/>
  <c r="T341" i="76"/>
  <c r="U341" i="76"/>
  <c r="V341" i="76"/>
  <c r="W341" i="76"/>
  <c r="X341" i="76"/>
  <c r="P343" i="76"/>
  <c r="Q343" i="76"/>
  <c r="R343" i="76"/>
  <c r="S343" i="76"/>
  <c r="T343" i="76"/>
  <c r="U343" i="76"/>
  <c r="V343" i="76"/>
  <c r="W343" i="76"/>
  <c r="X343" i="76"/>
  <c r="P344" i="76"/>
  <c r="Q344" i="76"/>
  <c r="R344" i="76"/>
  <c r="S344" i="76"/>
  <c r="T344" i="76"/>
  <c r="U344" i="76"/>
  <c r="V344" i="76"/>
  <c r="W344" i="76"/>
  <c r="X344" i="76"/>
  <c r="P345" i="76"/>
  <c r="Q345" i="76"/>
  <c r="R345" i="76"/>
  <c r="S345" i="76"/>
  <c r="T345" i="76"/>
  <c r="U345" i="76"/>
  <c r="V345" i="76"/>
  <c r="W345" i="76"/>
  <c r="X345" i="76"/>
  <c r="P346" i="76"/>
  <c r="Q346" i="76"/>
  <c r="R346" i="76"/>
  <c r="S346" i="76"/>
  <c r="T346" i="76"/>
  <c r="U346" i="76"/>
  <c r="V346" i="76"/>
  <c r="W346" i="76"/>
  <c r="X346" i="76"/>
  <c r="P347" i="76"/>
  <c r="Q347" i="76"/>
  <c r="R347" i="76"/>
  <c r="S347" i="76"/>
  <c r="T347" i="76"/>
  <c r="U347" i="76"/>
  <c r="V347" i="76"/>
  <c r="W347" i="76"/>
  <c r="X347" i="76"/>
  <c r="P348" i="76"/>
  <c r="Q348" i="76"/>
  <c r="R348" i="76"/>
  <c r="S348" i="76"/>
  <c r="T348" i="76"/>
  <c r="U348" i="76"/>
  <c r="V348" i="76"/>
  <c r="W348" i="76"/>
  <c r="X348" i="76"/>
  <c r="P349" i="76"/>
  <c r="Q349" i="76"/>
  <c r="R349" i="76"/>
  <c r="S349" i="76"/>
  <c r="T349" i="76"/>
  <c r="U349" i="76"/>
  <c r="V349" i="76"/>
  <c r="W349" i="76"/>
  <c r="X349" i="76"/>
  <c r="P350" i="76"/>
  <c r="Q350" i="76"/>
  <c r="R350" i="76"/>
  <c r="S350" i="76"/>
  <c r="T350" i="76"/>
  <c r="U350" i="76"/>
  <c r="V350" i="76"/>
  <c r="W350" i="76"/>
  <c r="X350" i="76"/>
  <c r="P351" i="76"/>
  <c r="Q351" i="76"/>
  <c r="R351" i="76"/>
  <c r="S351" i="76"/>
  <c r="T351" i="76"/>
  <c r="U351" i="76"/>
  <c r="V351" i="76"/>
  <c r="W351" i="76"/>
  <c r="X351" i="76"/>
  <c r="P353" i="76"/>
  <c r="Q353" i="76"/>
  <c r="R353" i="76"/>
  <c r="S353" i="76"/>
  <c r="T353" i="76"/>
  <c r="U353" i="76"/>
  <c r="V353" i="76"/>
  <c r="W353" i="76"/>
  <c r="X353" i="76"/>
  <c r="P354" i="76"/>
  <c r="Q354" i="76"/>
  <c r="R354" i="76"/>
  <c r="S354" i="76"/>
  <c r="T354" i="76"/>
  <c r="U354" i="76"/>
  <c r="V354" i="76"/>
  <c r="W354" i="76"/>
  <c r="X354" i="76"/>
  <c r="P355" i="76"/>
  <c r="Q355" i="76"/>
  <c r="R355" i="76"/>
  <c r="S355" i="76"/>
  <c r="T355" i="76"/>
  <c r="U355" i="76"/>
  <c r="V355" i="76"/>
  <c r="W355" i="76"/>
  <c r="X355" i="76"/>
  <c r="P356" i="76"/>
  <c r="Q356" i="76"/>
  <c r="R356" i="76"/>
  <c r="S356" i="76"/>
  <c r="T356" i="76"/>
  <c r="U356" i="76"/>
  <c r="V356" i="76"/>
  <c r="W356" i="76"/>
  <c r="X356" i="76"/>
  <c r="P357" i="76"/>
  <c r="Q357" i="76"/>
  <c r="R357" i="76"/>
  <c r="S357" i="76"/>
  <c r="T357" i="76"/>
  <c r="U357" i="76"/>
  <c r="V357" i="76"/>
  <c r="W357" i="76"/>
  <c r="X357" i="76"/>
  <c r="P358" i="76"/>
  <c r="Q358" i="76"/>
  <c r="R358" i="76"/>
  <c r="S358" i="76"/>
  <c r="T358" i="76"/>
  <c r="U358" i="76"/>
  <c r="V358" i="76"/>
  <c r="W358" i="76"/>
  <c r="X358" i="76"/>
  <c r="P359" i="76"/>
  <c r="Q359" i="76"/>
  <c r="R359" i="76"/>
  <c r="S359" i="76"/>
  <c r="T359" i="76"/>
  <c r="U359" i="76"/>
  <c r="V359" i="76"/>
  <c r="W359" i="76"/>
  <c r="X359" i="76"/>
  <c r="P360" i="76"/>
  <c r="Q360" i="76"/>
  <c r="R360" i="76"/>
  <c r="S360" i="76"/>
  <c r="T360" i="76"/>
  <c r="U360" i="76"/>
  <c r="V360" i="76"/>
  <c r="W360" i="76"/>
  <c r="X360" i="76"/>
  <c r="P361" i="76"/>
  <c r="Q361" i="76"/>
  <c r="R361" i="76"/>
  <c r="S361" i="76"/>
  <c r="T361" i="76"/>
  <c r="U361" i="76"/>
  <c r="V361" i="76"/>
  <c r="W361" i="76"/>
  <c r="X361" i="76"/>
  <c r="P363" i="76"/>
  <c r="Q363" i="76"/>
  <c r="R363" i="76"/>
  <c r="S363" i="76"/>
  <c r="T363" i="76"/>
  <c r="U363" i="76"/>
  <c r="V363" i="76"/>
  <c r="W363" i="76"/>
  <c r="X363" i="76"/>
  <c r="P364" i="76"/>
  <c r="Q364" i="76"/>
  <c r="R364" i="76"/>
  <c r="S364" i="76"/>
  <c r="T364" i="76"/>
  <c r="U364" i="76"/>
  <c r="V364" i="76"/>
  <c r="W364" i="76"/>
  <c r="X364" i="76"/>
  <c r="P365" i="76"/>
  <c r="Q365" i="76"/>
  <c r="R365" i="76"/>
  <c r="S365" i="76"/>
  <c r="T365" i="76"/>
  <c r="U365" i="76"/>
  <c r="V365" i="76"/>
  <c r="W365" i="76"/>
  <c r="X365" i="76"/>
  <c r="P366" i="76"/>
  <c r="Q366" i="76"/>
  <c r="R366" i="76"/>
  <c r="S366" i="76"/>
  <c r="T366" i="76"/>
  <c r="U366" i="76"/>
  <c r="V366" i="76"/>
  <c r="W366" i="76"/>
  <c r="X366" i="76"/>
  <c r="P367" i="76"/>
  <c r="Q367" i="76"/>
  <c r="R367" i="76"/>
  <c r="S367" i="76"/>
  <c r="T367" i="76"/>
  <c r="U367" i="76"/>
  <c r="V367" i="76"/>
  <c r="W367" i="76"/>
  <c r="X367" i="76"/>
  <c r="P368" i="76"/>
  <c r="Q368" i="76"/>
  <c r="R368" i="76"/>
  <c r="S368" i="76"/>
  <c r="T368" i="76"/>
  <c r="U368" i="76"/>
  <c r="V368" i="76"/>
  <c r="W368" i="76"/>
  <c r="X368" i="76"/>
  <c r="P369" i="76"/>
  <c r="Q369" i="76"/>
  <c r="R369" i="76"/>
  <c r="S369" i="76"/>
  <c r="T369" i="76"/>
  <c r="U369" i="76"/>
  <c r="V369" i="76"/>
  <c r="W369" i="76"/>
  <c r="X369" i="76"/>
  <c r="P370" i="76"/>
  <c r="Q370" i="76"/>
  <c r="R370" i="76"/>
  <c r="S370" i="76"/>
  <c r="T370" i="76"/>
  <c r="U370" i="76"/>
  <c r="V370" i="76"/>
  <c r="W370" i="76"/>
  <c r="X370" i="76"/>
  <c r="P371" i="76"/>
  <c r="Q371" i="76"/>
  <c r="R371" i="76"/>
  <c r="S371" i="76"/>
  <c r="T371" i="76"/>
  <c r="U371" i="76"/>
  <c r="V371" i="76"/>
  <c r="W371" i="76"/>
  <c r="X371" i="76"/>
  <c r="P373" i="76"/>
  <c r="Q373" i="76"/>
  <c r="R373" i="76"/>
  <c r="S373" i="76"/>
  <c r="T373" i="76"/>
  <c r="U373" i="76"/>
  <c r="V373" i="76"/>
  <c r="W373" i="76"/>
  <c r="X373" i="76"/>
  <c r="P374" i="76"/>
  <c r="Q374" i="76"/>
  <c r="R374" i="76"/>
  <c r="S374" i="76"/>
  <c r="T374" i="76"/>
  <c r="U374" i="76"/>
  <c r="V374" i="76"/>
  <c r="W374" i="76"/>
  <c r="X374" i="76"/>
  <c r="P375" i="76"/>
  <c r="Q375" i="76"/>
  <c r="R375" i="76"/>
  <c r="S375" i="76"/>
  <c r="T375" i="76"/>
  <c r="U375" i="76"/>
  <c r="V375" i="76"/>
  <c r="W375" i="76"/>
  <c r="X375" i="76"/>
  <c r="P376" i="76"/>
  <c r="Q376" i="76"/>
  <c r="R376" i="76"/>
  <c r="S376" i="76"/>
  <c r="T376" i="76"/>
  <c r="U376" i="76"/>
  <c r="V376" i="76"/>
  <c r="W376" i="76"/>
  <c r="X376" i="76"/>
  <c r="P377" i="76"/>
  <c r="Q377" i="76"/>
  <c r="R377" i="76"/>
  <c r="S377" i="76"/>
  <c r="T377" i="76"/>
  <c r="U377" i="76"/>
  <c r="V377" i="76"/>
  <c r="W377" i="76"/>
  <c r="X377" i="76"/>
  <c r="P378" i="76"/>
  <c r="Q378" i="76"/>
  <c r="R378" i="76"/>
  <c r="S378" i="76"/>
  <c r="T378" i="76"/>
  <c r="U378" i="76"/>
  <c r="V378" i="76"/>
  <c r="W378" i="76"/>
  <c r="X378" i="76"/>
  <c r="P379" i="76"/>
  <c r="Q379" i="76"/>
  <c r="R379" i="76"/>
  <c r="S379" i="76"/>
  <c r="T379" i="76"/>
  <c r="U379" i="76"/>
  <c r="V379" i="76"/>
  <c r="W379" i="76"/>
  <c r="X379" i="76"/>
  <c r="P380" i="76"/>
  <c r="Q380" i="76"/>
  <c r="R380" i="76"/>
  <c r="S380" i="76"/>
  <c r="T380" i="76"/>
  <c r="U380" i="76"/>
  <c r="V380" i="76"/>
  <c r="W380" i="76"/>
  <c r="X380" i="76"/>
  <c r="P381" i="76"/>
  <c r="Q381" i="76"/>
  <c r="R381" i="76"/>
  <c r="S381" i="76"/>
  <c r="T381" i="76"/>
  <c r="U381" i="76"/>
  <c r="V381" i="76"/>
  <c r="W381" i="76"/>
  <c r="X381" i="76"/>
  <c r="P383" i="76"/>
  <c r="Q383" i="76"/>
  <c r="R383" i="76"/>
  <c r="S383" i="76"/>
  <c r="T383" i="76"/>
  <c r="U383" i="76"/>
  <c r="V383" i="76"/>
  <c r="W383" i="76"/>
  <c r="X383" i="76"/>
  <c r="P384" i="76"/>
  <c r="Q384" i="76"/>
  <c r="R384" i="76"/>
  <c r="S384" i="76"/>
  <c r="T384" i="76"/>
  <c r="U384" i="76"/>
  <c r="V384" i="76"/>
  <c r="W384" i="76"/>
  <c r="X384" i="76"/>
  <c r="P385" i="76"/>
  <c r="Q385" i="76"/>
  <c r="R385" i="76"/>
  <c r="S385" i="76"/>
  <c r="T385" i="76"/>
  <c r="U385" i="76"/>
  <c r="V385" i="76"/>
  <c r="W385" i="76"/>
  <c r="X385" i="76"/>
  <c r="P386" i="76"/>
  <c r="Q386" i="76"/>
  <c r="R386" i="76"/>
  <c r="S386" i="76"/>
  <c r="T386" i="76"/>
  <c r="U386" i="76"/>
  <c r="V386" i="76"/>
  <c r="W386" i="76"/>
  <c r="X386" i="76"/>
  <c r="P387" i="76"/>
  <c r="Q387" i="76"/>
  <c r="R387" i="76"/>
  <c r="S387" i="76"/>
  <c r="T387" i="76"/>
  <c r="U387" i="76"/>
  <c r="V387" i="76"/>
  <c r="W387" i="76"/>
  <c r="X387" i="76"/>
  <c r="P388" i="76"/>
  <c r="Q388" i="76"/>
  <c r="R388" i="76"/>
  <c r="S388" i="76"/>
  <c r="T388" i="76"/>
  <c r="U388" i="76"/>
  <c r="V388" i="76"/>
  <c r="W388" i="76"/>
  <c r="X388" i="76"/>
  <c r="P389" i="76"/>
  <c r="Q389" i="76"/>
  <c r="R389" i="76"/>
  <c r="S389" i="76"/>
  <c r="T389" i="76"/>
  <c r="U389" i="76"/>
  <c r="V389" i="76"/>
  <c r="W389" i="76"/>
  <c r="X389" i="76"/>
  <c r="P390" i="76"/>
  <c r="Q390" i="76"/>
  <c r="R390" i="76"/>
  <c r="S390" i="76"/>
  <c r="T390" i="76"/>
  <c r="U390" i="76"/>
  <c r="V390" i="76"/>
  <c r="W390" i="76"/>
  <c r="X390" i="76"/>
  <c r="P391" i="76"/>
  <c r="Q391" i="76"/>
  <c r="R391" i="76"/>
  <c r="S391" i="76"/>
  <c r="T391" i="76"/>
  <c r="U391" i="76"/>
  <c r="V391" i="76"/>
  <c r="W391" i="76"/>
  <c r="X391" i="76"/>
  <c r="P393" i="76"/>
  <c r="Q393" i="76"/>
  <c r="R393" i="76"/>
  <c r="S393" i="76"/>
  <c r="T393" i="76"/>
  <c r="U393" i="76"/>
  <c r="V393" i="76"/>
  <c r="W393" i="76"/>
  <c r="X393" i="76"/>
  <c r="P394" i="76"/>
  <c r="Q394" i="76"/>
  <c r="R394" i="76"/>
  <c r="S394" i="76"/>
  <c r="T394" i="76"/>
  <c r="U394" i="76"/>
  <c r="V394" i="76"/>
  <c r="W394" i="76"/>
  <c r="X394" i="76"/>
  <c r="P395" i="76"/>
  <c r="Q395" i="76"/>
  <c r="R395" i="76"/>
  <c r="S395" i="76"/>
  <c r="T395" i="76"/>
  <c r="U395" i="76"/>
  <c r="V395" i="76"/>
  <c r="W395" i="76"/>
  <c r="X395" i="76"/>
  <c r="P396" i="76"/>
  <c r="Q396" i="76"/>
  <c r="R396" i="76"/>
  <c r="S396" i="76"/>
  <c r="T396" i="76"/>
  <c r="U396" i="76"/>
  <c r="V396" i="76"/>
  <c r="W396" i="76"/>
  <c r="X396" i="76"/>
  <c r="P397" i="76"/>
  <c r="Q397" i="76"/>
  <c r="R397" i="76"/>
  <c r="S397" i="76"/>
  <c r="T397" i="76"/>
  <c r="U397" i="76"/>
  <c r="V397" i="76"/>
  <c r="W397" i="76"/>
  <c r="X397" i="76"/>
  <c r="P398" i="76"/>
  <c r="Q398" i="76"/>
  <c r="R398" i="76"/>
  <c r="S398" i="76"/>
  <c r="T398" i="76"/>
  <c r="U398" i="76"/>
  <c r="V398" i="76"/>
  <c r="W398" i="76"/>
  <c r="X398" i="76"/>
  <c r="P399" i="76"/>
  <c r="Q399" i="76"/>
  <c r="R399" i="76"/>
  <c r="S399" i="76"/>
  <c r="T399" i="76"/>
  <c r="U399" i="76"/>
  <c r="V399" i="76"/>
  <c r="W399" i="76"/>
  <c r="X399" i="76"/>
  <c r="P400" i="76"/>
  <c r="Q400" i="76"/>
  <c r="R400" i="76"/>
  <c r="S400" i="76"/>
  <c r="T400" i="76"/>
  <c r="U400" i="76"/>
  <c r="V400" i="76"/>
  <c r="W400" i="76"/>
  <c r="X400" i="76"/>
  <c r="P401" i="76"/>
  <c r="Q401" i="76"/>
  <c r="R401" i="76"/>
  <c r="S401" i="76"/>
  <c r="T401" i="76"/>
  <c r="U401" i="76"/>
  <c r="V401" i="76"/>
  <c r="W401" i="76"/>
  <c r="X401" i="76"/>
  <c r="P403" i="76"/>
  <c r="Q403" i="76"/>
  <c r="R403" i="76"/>
  <c r="S403" i="76"/>
  <c r="T403" i="76"/>
  <c r="U403" i="76"/>
  <c r="V403" i="76"/>
  <c r="W403" i="76"/>
  <c r="X403" i="76"/>
  <c r="P404" i="76"/>
  <c r="Q404" i="76"/>
  <c r="R404" i="76"/>
  <c r="S404" i="76"/>
  <c r="T404" i="76"/>
  <c r="U404" i="76"/>
  <c r="V404" i="76"/>
  <c r="W404" i="76"/>
  <c r="X404" i="76"/>
  <c r="P6" i="76"/>
  <c r="Q6" i="76"/>
  <c r="R6" i="76"/>
  <c r="S6" i="76"/>
  <c r="T6" i="76"/>
  <c r="U6" i="76"/>
  <c r="V6" i="76"/>
  <c r="W6" i="76"/>
  <c r="X6" i="76"/>
  <c r="P7" i="76"/>
  <c r="Q7" i="76"/>
  <c r="R7" i="76"/>
  <c r="S7" i="76"/>
  <c r="T7" i="76"/>
  <c r="U7" i="76"/>
  <c r="V7" i="76"/>
  <c r="W7" i="76"/>
  <c r="X7" i="76"/>
  <c r="P8" i="76"/>
  <c r="Q8" i="76"/>
  <c r="R8" i="76"/>
  <c r="S8" i="76"/>
  <c r="T8" i="76"/>
  <c r="U8" i="76"/>
  <c r="V8" i="76"/>
  <c r="W8" i="76"/>
  <c r="X8" i="76"/>
  <c r="P9" i="76"/>
  <c r="Q9" i="76"/>
  <c r="R9" i="76"/>
  <c r="S9" i="76"/>
  <c r="T9" i="76"/>
  <c r="U9" i="76"/>
  <c r="V9" i="76"/>
  <c r="W9" i="76"/>
  <c r="X9" i="76"/>
  <c r="P10" i="76"/>
  <c r="Q10" i="76"/>
  <c r="R10" i="76"/>
  <c r="S10" i="76"/>
  <c r="T10" i="76"/>
  <c r="U10" i="76"/>
  <c r="V10" i="76"/>
  <c r="W10" i="76"/>
  <c r="X10" i="76"/>
  <c r="P11" i="76"/>
  <c r="Q11" i="76"/>
  <c r="R11" i="76"/>
  <c r="S11" i="76"/>
  <c r="T11" i="76"/>
  <c r="U11" i="76"/>
  <c r="V11" i="76"/>
  <c r="W11" i="76"/>
  <c r="X11" i="76"/>
  <c r="P13" i="76"/>
  <c r="Q13" i="76"/>
  <c r="R13" i="76"/>
  <c r="S13" i="76"/>
  <c r="T13" i="76"/>
  <c r="U13" i="76"/>
  <c r="V13" i="76"/>
  <c r="W13" i="76"/>
  <c r="X13" i="76"/>
  <c r="P14" i="76"/>
  <c r="Q14" i="76"/>
  <c r="R14" i="76"/>
  <c r="W14" i="76"/>
  <c r="X14" i="76"/>
  <c r="P15" i="76"/>
  <c r="Q15" i="76"/>
  <c r="R15" i="76"/>
  <c r="S15" i="76"/>
  <c r="T15" i="76"/>
  <c r="U15" i="76"/>
  <c r="V15" i="76"/>
  <c r="W15" i="76"/>
  <c r="X15" i="76"/>
  <c r="P16" i="76"/>
  <c r="Q16" i="76"/>
  <c r="R16" i="76"/>
  <c r="S16" i="76"/>
  <c r="T16" i="76"/>
  <c r="U16" i="76"/>
  <c r="V16" i="76"/>
  <c r="W16" i="76"/>
  <c r="X16" i="76"/>
  <c r="P17" i="76"/>
  <c r="Q17" i="76"/>
  <c r="R17" i="76"/>
  <c r="S17" i="76"/>
  <c r="T17" i="76"/>
  <c r="U17" i="76"/>
  <c r="V17" i="76"/>
  <c r="W17" i="76"/>
  <c r="X17" i="76"/>
  <c r="P18" i="76"/>
  <c r="Q18" i="76"/>
  <c r="R18" i="76"/>
  <c r="S18" i="76"/>
  <c r="T18" i="76"/>
  <c r="U18" i="76"/>
  <c r="V18" i="76"/>
  <c r="W18" i="76"/>
  <c r="X18" i="76"/>
  <c r="P19" i="76"/>
  <c r="Q19" i="76"/>
  <c r="R19" i="76"/>
  <c r="S19" i="76"/>
  <c r="T19" i="76"/>
  <c r="U19" i="76"/>
  <c r="V19" i="76"/>
  <c r="W19" i="76"/>
  <c r="X19" i="76"/>
  <c r="P20" i="76"/>
  <c r="Q20" i="76"/>
  <c r="R20" i="76"/>
  <c r="S20" i="76"/>
  <c r="T20" i="76"/>
  <c r="U20" i="76"/>
  <c r="V20" i="76"/>
  <c r="W20" i="76"/>
  <c r="X20" i="76"/>
  <c r="P21" i="76"/>
  <c r="Q21" i="76"/>
  <c r="R21" i="76"/>
  <c r="S21" i="76"/>
  <c r="T21" i="76"/>
  <c r="U21" i="76"/>
  <c r="V21" i="76"/>
  <c r="W21" i="76"/>
  <c r="X21" i="76"/>
  <c r="P23" i="76"/>
  <c r="Q23" i="76"/>
  <c r="R23" i="76"/>
  <c r="S23" i="76"/>
  <c r="T23" i="76"/>
  <c r="U23" i="76"/>
  <c r="V23" i="76"/>
  <c r="W23" i="76"/>
  <c r="X23" i="76"/>
  <c r="Q24" i="76"/>
  <c r="P25" i="76"/>
  <c r="Q25" i="76"/>
  <c r="R25" i="76"/>
  <c r="S25" i="76"/>
  <c r="T25" i="76"/>
  <c r="U25" i="76"/>
  <c r="V25" i="76"/>
  <c r="W25" i="76"/>
  <c r="X25" i="76"/>
  <c r="P26" i="76"/>
  <c r="Q26" i="76"/>
  <c r="R26" i="76"/>
  <c r="S26" i="76"/>
  <c r="T26" i="76"/>
  <c r="U26" i="76"/>
  <c r="V26" i="76"/>
  <c r="W26" i="76"/>
  <c r="X26" i="76"/>
  <c r="Q5" i="76"/>
  <c r="R5" i="76"/>
  <c r="S5" i="76"/>
  <c r="T5" i="76"/>
  <c r="U5" i="76"/>
  <c r="V5" i="76"/>
  <c r="W5" i="76"/>
  <c r="X5" i="76"/>
  <c r="P5" i="76"/>
  <c r="O404" i="76"/>
  <c r="O403" i="76"/>
  <c r="O402" i="76"/>
  <c r="R402" i="76" s="1"/>
  <c r="O401" i="76"/>
  <c r="O400" i="76"/>
  <c r="O399" i="76"/>
  <c r="O398" i="76"/>
  <c r="O397" i="76"/>
  <c r="O396" i="76"/>
  <c r="O395" i="76"/>
  <c r="O394" i="76"/>
  <c r="O393" i="76"/>
  <c r="O392" i="76"/>
  <c r="T392" i="76" s="1"/>
  <c r="O391" i="76"/>
  <c r="O390" i="76"/>
  <c r="O389" i="76"/>
  <c r="O388" i="76"/>
  <c r="O387" i="76"/>
  <c r="O386" i="76"/>
  <c r="O385" i="76"/>
  <c r="O384" i="76"/>
  <c r="O383" i="76"/>
  <c r="O382" i="76"/>
  <c r="V382" i="76" s="1"/>
  <c r="O381" i="76"/>
  <c r="O380" i="76"/>
  <c r="O379" i="76"/>
  <c r="O378" i="76"/>
  <c r="O377" i="76"/>
  <c r="O376" i="76"/>
  <c r="O375" i="76"/>
  <c r="O374" i="76"/>
  <c r="O373" i="76"/>
  <c r="O372" i="76"/>
  <c r="W372" i="76" s="1"/>
  <c r="O371" i="76"/>
  <c r="O370" i="76"/>
  <c r="O369" i="76"/>
  <c r="O368" i="76"/>
  <c r="O367" i="76"/>
  <c r="O366" i="76"/>
  <c r="O365" i="76"/>
  <c r="O364" i="76"/>
  <c r="O363" i="76"/>
  <c r="O362" i="76"/>
  <c r="Q362" i="76" s="1"/>
  <c r="O361" i="76"/>
  <c r="O360" i="76"/>
  <c r="O359" i="76"/>
  <c r="O358" i="76"/>
  <c r="O357" i="76"/>
  <c r="O356" i="76"/>
  <c r="O355" i="76"/>
  <c r="O354" i="76"/>
  <c r="O353" i="76"/>
  <c r="O352" i="76"/>
  <c r="O351" i="76"/>
  <c r="O350" i="76"/>
  <c r="O349" i="76"/>
  <c r="O348" i="76"/>
  <c r="O347" i="76"/>
  <c r="O346" i="76"/>
  <c r="O345" i="76"/>
  <c r="O344" i="76"/>
  <c r="O343" i="76"/>
  <c r="O342" i="76"/>
  <c r="O341" i="76"/>
  <c r="O340" i="76"/>
  <c r="O339" i="76"/>
  <c r="O338" i="76"/>
  <c r="O337" i="76"/>
  <c r="O336" i="76"/>
  <c r="O335" i="76"/>
  <c r="O334" i="76"/>
  <c r="O333" i="76"/>
  <c r="O332" i="76"/>
  <c r="O331" i="76"/>
  <c r="O330" i="76"/>
  <c r="O329" i="76"/>
  <c r="O328" i="76"/>
  <c r="O327" i="76"/>
  <c r="O326" i="76"/>
  <c r="O325" i="76"/>
  <c r="O324" i="76"/>
  <c r="O323" i="76"/>
  <c r="O322" i="76"/>
  <c r="O321" i="76"/>
  <c r="O320" i="76"/>
  <c r="O319" i="76"/>
  <c r="O318" i="76"/>
  <c r="O317" i="76"/>
  <c r="O316" i="76"/>
  <c r="O315" i="76"/>
  <c r="O314" i="76"/>
  <c r="O313" i="76"/>
  <c r="O312" i="76"/>
  <c r="O311" i="76"/>
  <c r="O310" i="76"/>
  <c r="O309" i="76"/>
  <c r="O308" i="76"/>
  <c r="O307" i="76"/>
  <c r="O306" i="76"/>
  <c r="O305" i="76"/>
  <c r="O304" i="76"/>
  <c r="O303" i="76"/>
  <c r="O302" i="76"/>
  <c r="U302" i="76" s="1"/>
  <c r="O301" i="76"/>
  <c r="O300" i="76"/>
  <c r="O299" i="76"/>
  <c r="O298" i="76"/>
  <c r="O297" i="76"/>
  <c r="O296" i="76"/>
  <c r="O295" i="76"/>
  <c r="O294" i="76"/>
  <c r="O293" i="76"/>
  <c r="O292" i="76"/>
  <c r="W292" i="76" s="1"/>
  <c r="O291" i="76"/>
  <c r="O290" i="76"/>
  <c r="O289" i="76"/>
  <c r="O288" i="76"/>
  <c r="O287" i="76"/>
  <c r="O286" i="76"/>
  <c r="O285" i="76"/>
  <c r="O284" i="76"/>
  <c r="O283" i="76"/>
  <c r="O282" i="76"/>
  <c r="Q282" i="76" s="1"/>
  <c r="O281" i="76"/>
  <c r="O280" i="76"/>
  <c r="O279" i="76"/>
  <c r="O278" i="76"/>
  <c r="O277" i="76"/>
  <c r="O276" i="76"/>
  <c r="O275" i="76"/>
  <c r="O274" i="76"/>
  <c r="O273" i="76"/>
  <c r="O272" i="76"/>
  <c r="T272" i="76" s="1"/>
  <c r="O271" i="76"/>
  <c r="O270" i="76"/>
  <c r="O269" i="76"/>
  <c r="O268" i="76"/>
  <c r="O267" i="76"/>
  <c r="O266" i="76"/>
  <c r="O265" i="76"/>
  <c r="O264" i="76"/>
  <c r="O263" i="76"/>
  <c r="O262" i="76"/>
  <c r="U262" i="76" s="1"/>
  <c r="O261" i="76"/>
  <c r="O260" i="76"/>
  <c r="O259" i="76"/>
  <c r="O258" i="76"/>
  <c r="O257" i="76"/>
  <c r="O256" i="76"/>
  <c r="O255" i="76"/>
  <c r="O254" i="76"/>
  <c r="O253" i="76"/>
  <c r="O252" i="76"/>
  <c r="W252" i="76" s="1"/>
  <c r="O251" i="76"/>
  <c r="O250" i="76"/>
  <c r="O249" i="76"/>
  <c r="O248" i="76"/>
  <c r="O247" i="76"/>
  <c r="O246" i="76"/>
  <c r="O245" i="76"/>
  <c r="O244" i="76"/>
  <c r="O243" i="76"/>
  <c r="O242" i="76"/>
  <c r="Q242" i="76" s="1"/>
  <c r="O241" i="76"/>
  <c r="O240" i="76"/>
  <c r="O239" i="76"/>
  <c r="O238" i="76"/>
  <c r="O237" i="76"/>
  <c r="O236" i="76"/>
  <c r="O235" i="76"/>
  <c r="O234" i="76"/>
  <c r="O233" i="76"/>
  <c r="O232" i="76"/>
  <c r="T232" i="76" s="1"/>
  <c r="O231" i="76"/>
  <c r="O230" i="76"/>
  <c r="O229" i="76"/>
  <c r="O228" i="76"/>
  <c r="O227" i="76"/>
  <c r="O226" i="76"/>
  <c r="O225" i="76"/>
  <c r="O224" i="76"/>
  <c r="O223" i="76"/>
  <c r="O222" i="76"/>
  <c r="U222" i="76" s="1"/>
  <c r="O221" i="76"/>
  <c r="O220" i="76"/>
  <c r="O219" i="76"/>
  <c r="O218" i="76"/>
  <c r="O217" i="76"/>
  <c r="O216" i="76"/>
  <c r="O215" i="76"/>
  <c r="O214" i="76"/>
  <c r="O213" i="76"/>
  <c r="O212" i="76"/>
  <c r="W212" i="76" s="1"/>
  <c r="O211" i="76"/>
  <c r="O210" i="76"/>
  <c r="O209" i="76"/>
  <c r="O208" i="76"/>
  <c r="O207" i="76"/>
  <c r="O206" i="76"/>
  <c r="O205" i="76"/>
  <c r="O204" i="76"/>
  <c r="W204" i="76" s="1"/>
  <c r="O203" i="76"/>
  <c r="O202" i="76"/>
  <c r="Q202" i="76" s="1"/>
  <c r="O201" i="76"/>
  <c r="O200" i="76"/>
  <c r="O199" i="76"/>
  <c r="O198" i="76"/>
  <c r="O197" i="76"/>
  <c r="O196" i="76"/>
  <c r="O195" i="76"/>
  <c r="O194" i="76"/>
  <c r="P194" i="76" s="1"/>
  <c r="O193" i="76"/>
  <c r="O192" i="76"/>
  <c r="T192" i="76" s="1"/>
  <c r="O191" i="76"/>
  <c r="O190" i="76"/>
  <c r="O189" i="76"/>
  <c r="O188" i="76"/>
  <c r="O187" i="76"/>
  <c r="O186" i="76"/>
  <c r="O185" i="76"/>
  <c r="O184" i="76"/>
  <c r="Q184" i="76" s="1"/>
  <c r="O183" i="76"/>
  <c r="O182" i="76"/>
  <c r="V182" i="76" s="1"/>
  <c r="O181" i="76"/>
  <c r="O180" i="76"/>
  <c r="O179" i="76"/>
  <c r="O178" i="76"/>
  <c r="O177" i="76"/>
  <c r="O176" i="76"/>
  <c r="O175" i="76"/>
  <c r="O174" i="76"/>
  <c r="R174" i="76" s="1"/>
  <c r="O173" i="76"/>
  <c r="O172" i="76"/>
  <c r="P172" i="76" s="1"/>
  <c r="O171" i="76"/>
  <c r="O170" i="76"/>
  <c r="O169" i="76"/>
  <c r="O168" i="76"/>
  <c r="O167" i="76"/>
  <c r="O166" i="76"/>
  <c r="O165" i="76"/>
  <c r="O164" i="76"/>
  <c r="S164" i="76" s="1"/>
  <c r="O163" i="76"/>
  <c r="O162" i="76"/>
  <c r="R162" i="76" s="1"/>
  <c r="O161" i="76"/>
  <c r="O160" i="76"/>
  <c r="O159" i="76"/>
  <c r="O158" i="76"/>
  <c r="O157" i="76"/>
  <c r="O156" i="76"/>
  <c r="O155" i="76"/>
  <c r="O154" i="76"/>
  <c r="T154" i="76" s="1"/>
  <c r="O153" i="76"/>
  <c r="O152" i="76"/>
  <c r="O151" i="76"/>
  <c r="O150" i="76"/>
  <c r="O149" i="76"/>
  <c r="O148" i="76"/>
  <c r="O147" i="76"/>
  <c r="O146" i="76"/>
  <c r="O145" i="76"/>
  <c r="O144" i="76"/>
  <c r="U144" i="76" s="1"/>
  <c r="O143" i="76"/>
  <c r="O142" i="76"/>
  <c r="O141" i="76"/>
  <c r="O140" i="76"/>
  <c r="O139" i="76"/>
  <c r="O138" i="76"/>
  <c r="O137" i="76"/>
  <c r="O136" i="76"/>
  <c r="O135" i="76"/>
  <c r="O134" i="76"/>
  <c r="V134" i="76" s="1"/>
  <c r="O133" i="76"/>
  <c r="O132" i="76"/>
  <c r="O131" i="76"/>
  <c r="O130" i="76"/>
  <c r="O129" i="76"/>
  <c r="O128" i="76"/>
  <c r="O127" i="76"/>
  <c r="O126" i="76"/>
  <c r="O125" i="76"/>
  <c r="O124" i="76"/>
  <c r="W124" i="76" s="1"/>
  <c r="O123" i="76"/>
  <c r="O122" i="76"/>
  <c r="O121" i="76"/>
  <c r="O120" i="76"/>
  <c r="O119" i="76"/>
  <c r="O118" i="76"/>
  <c r="O117" i="76"/>
  <c r="O116" i="76"/>
  <c r="O115" i="76"/>
  <c r="O114" i="76"/>
  <c r="P114" i="76" s="1"/>
  <c r="O113" i="76"/>
  <c r="O112" i="76"/>
  <c r="O111" i="76"/>
  <c r="O110" i="76"/>
  <c r="O109" i="76"/>
  <c r="O108" i="76"/>
  <c r="O107" i="76"/>
  <c r="O106" i="76"/>
  <c r="O105" i="76"/>
  <c r="O104" i="76"/>
  <c r="Q104" i="76" s="1"/>
  <c r="O103" i="76"/>
  <c r="O102" i="76"/>
  <c r="U102" i="76" s="1"/>
  <c r="O101" i="76"/>
  <c r="O100" i="76"/>
  <c r="O99" i="76"/>
  <c r="O98" i="76"/>
  <c r="O97" i="76"/>
  <c r="O96" i="76"/>
  <c r="O95" i="76"/>
  <c r="O94" i="76"/>
  <c r="R94" i="76" s="1"/>
  <c r="O93" i="76"/>
  <c r="O92" i="76"/>
  <c r="W92" i="76" s="1"/>
  <c r="O91" i="76"/>
  <c r="O90" i="76"/>
  <c r="O89" i="76"/>
  <c r="O88" i="76"/>
  <c r="O87" i="76"/>
  <c r="O86" i="76"/>
  <c r="O85" i="76"/>
  <c r="O84" i="76"/>
  <c r="S84" i="76" s="1"/>
  <c r="O83" i="76"/>
  <c r="O82" i="76"/>
  <c r="Q82" i="76" s="1"/>
  <c r="O81" i="76"/>
  <c r="O80" i="76"/>
  <c r="O79" i="76"/>
  <c r="O78" i="76"/>
  <c r="O77" i="76"/>
  <c r="O76" i="76"/>
  <c r="O75" i="76"/>
  <c r="O74" i="76"/>
  <c r="T74" i="76" s="1"/>
  <c r="O73" i="76"/>
  <c r="O72" i="76"/>
  <c r="S72" i="76" s="1"/>
  <c r="O71" i="76"/>
  <c r="O70" i="76"/>
  <c r="O69" i="76"/>
  <c r="O68" i="76"/>
  <c r="O67" i="76"/>
  <c r="O66" i="76"/>
  <c r="O65" i="76"/>
  <c r="O64" i="76"/>
  <c r="U64" i="76" s="1"/>
  <c r="O63" i="76"/>
  <c r="O62" i="76"/>
  <c r="U62" i="76" s="1"/>
  <c r="O61" i="76"/>
  <c r="O60" i="76"/>
  <c r="O59" i="76"/>
  <c r="O58" i="76"/>
  <c r="O57" i="76"/>
  <c r="O56" i="76"/>
  <c r="O55" i="76"/>
  <c r="O54" i="76"/>
  <c r="V54" i="76" s="1"/>
  <c r="O53" i="76"/>
  <c r="O52" i="76"/>
  <c r="W52" i="76" s="1"/>
  <c r="O51" i="76"/>
  <c r="O50" i="76"/>
  <c r="O49" i="76"/>
  <c r="O48" i="76"/>
  <c r="O47" i="76"/>
  <c r="O46" i="76"/>
  <c r="O45" i="76"/>
  <c r="O44" i="76"/>
  <c r="W44" i="76" s="1"/>
  <c r="O43" i="76"/>
  <c r="O42" i="76"/>
  <c r="Q42" i="76" s="1"/>
  <c r="O41" i="76"/>
  <c r="O40" i="76"/>
  <c r="O39" i="76"/>
  <c r="O38" i="76"/>
  <c r="O37" i="76"/>
  <c r="O36" i="76"/>
  <c r="O35" i="76"/>
  <c r="O34" i="76"/>
  <c r="P34" i="76" s="1"/>
  <c r="O33" i="76"/>
  <c r="O32" i="76"/>
  <c r="S32" i="76" s="1"/>
  <c r="O31" i="76"/>
  <c r="O30" i="76"/>
  <c r="O29" i="76"/>
  <c r="O28" i="76"/>
  <c r="O27" i="76"/>
  <c r="O26" i="76"/>
  <c r="O25" i="76"/>
  <c r="O24" i="76"/>
  <c r="R24" i="76" s="1"/>
  <c r="O23" i="76"/>
  <c r="O22" i="76"/>
  <c r="W22" i="76" s="1"/>
  <c r="O21" i="76"/>
  <c r="O20" i="76"/>
  <c r="O19" i="76"/>
  <c r="O18" i="76"/>
  <c r="O17" i="76"/>
  <c r="O16" i="76"/>
  <c r="O15" i="76"/>
  <c r="O14" i="76"/>
  <c r="S14" i="76" s="1"/>
  <c r="O13" i="76"/>
  <c r="O12" i="76"/>
  <c r="P12" i="76" s="1"/>
  <c r="O11" i="76"/>
  <c r="O10" i="76"/>
  <c r="O9" i="76"/>
  <c r="O8" i="76"/>
  <c r="O7" i="76"/>
  <c r="O6" i="76"/>
  <c r="O5" i="76"/>
  <c r="W4" i="76"/>
  <c r="X4" i="76"/>
  <c r="Q4" i="76"/>
  <c r="R4" i="76"/>
  <c r="S4" i="76"/>
  <c r="T4" i="76"/>
  <c r="U4" i="76"/>
  <c r="V4" i="76"/>
  <c r="P4" i="76"/>
  <c r="S64" i="76" l="1"/>
  <c r="T114" i="76"/>
  <c r="U104" i="76"/>
  <c r="X74" i="76"/>
  <c r="Q64" i="76"/>
  <c r="T34" i="76"/>
  <c r="U24" i="76"/>
  <c r="V14" i="76"/>
  <c r="R204" i="76"/>
  <c r="S194" i="76"/>
  <c r="T184" i="76"/>
  <c r="U174" i="76"/>
  <c r="V164" i="76"/>
  <c r="W154" i="76"/>
  <c r="X144" i="76"/>
  <c r="P144" i="76"/>
  <c r="Q134" i="76"/>
  <c r="R124" i="76"/>
  <c r="S114" i="76"/>
  <c r="T104" i="76"/>
  <c r="U94" i="76"/>
  <c r="V84" i="76"/>
  <c r="W74" i="76"/>
  <c r="X64" i="76"/>
  <c r="P64" i="76"/>
  <c r="Q54" i="76"/>
  <c r="R44" i="76"/>
  <c r="S34" i="76"/>
  <c r="P24" i="76"/>
  <c r="W104" i="76"/>
  <c r="W24" i="76"/>
  <c r="R144" i="76"/>
  <c r="V104" i="76"/>
  <c r="R64" i="76"/>
  <c r="T194" i="76"/>
  <c r="U184" i="76"/>
  <c r="X154" i="76"/>
  <c r="Q144" i="76"/>
  <c r="P74" i="76"/>
  <c r="T24" i="76"/>
  <c r="U14" i="76"/>
  <c r="Q204" i="76"/>
  <c r="R194" i="76"/>
  <c r="S184" i="76"/>
  <c r="T174" i="76"/>
  <c r="U164" i="76"/>
  <c r="V154" i="76"/>
  <c r="W144" i="76"/>
  <c r="X134" i="76"/>
  <c r="P134" i="76"/>
  <c r="Q124" i="76"/>
  <c r="R114" i="76"/>
  <c r="S104" i="76"/>
  <c r="T94" i="76"/>
  <c r="U84" i="76"/>
  <c r="V74" i="76"/>
  <c r="W64" i="76"/>
  <c r="X54" i="76"/>
  <c r="P54" i="76"/>
  <c r="Q44" i="76"/>
  <c r="R34" i="76"/>
  <c r="X24" i="76"/>
  <c r="W184" i="76"/>
  <c r="V184" i="76"/>
  <c r="S24" i="76"/>
  <c r="T14" i="76"/>
  <c r="X204" i="76"/>
  <c r="P204" i="76"/>
  <c r="Q194" i="76"/>
  <c r="R184" i="76"/>
  <c r="S174" i="76"/>
  <c r="T164" i="76"/>
  <c r="U154" i="76"/>
  <c r="V144" i="76"/>
  <c r="W134" i="76"/>
  <c r="X124" i="76"/>
  <c r="P124" i="76"/>
  <c r="Q114" i="76"/>
  <c r="R104" i="76"/>
  <c r="S94" i="76"/>
  <c r="T84" i="76"/>
  <c r="U74" i="76"/>
  <c r="V64" i="76"/>
  <c r="W54" i="76"/>
  <c r="X44" i="76"/>
  <c r="P44" i="76"/>
  <c r="Q34" i="76"/>
  <c r="S144" i="76"/>
  <c r="V24" i="76"/>
  <c r="P154" i="76"/>
  <c r="X194" i="76"/>
  <c r="X114" i="76"/>
  <c r="X34" i="76"/>
  <c r="U272" i="76"/>
  <c r="T402" i="76"/>
  <c r="P392" i="76"/>
  <c r="I12" i="23"/>
  <c r="I34" i="36"/>
  <c r="G33" i="36"/>
  <c r="O33" i="36" s="1"/>
  <c r="F33" i="36"/>
  <c r="D33" i="36"/>
  <c r="D34" i="36" s="1"/>
  <c r="D46" i="36" s="1"/>
  <c r="J33" i="36"/>
  <c r="L33" i="36"/>
  <c r="I11" i="23"/>
  <c r="E33" i="36"/>
  <c r="K33" i="36"/>
  <c r="X382" i="76"/>
  <c r="Q272" i="76"/>
  <c r="X182" i="76"/>
  <c r="X392" i="76"/>
  <c r="W382" i="76"/>
  <c r="R292" i="76"/>
  <c r="V232" i="76"/>
  <c r="P182" i="76"/>
  <c r="X302" i="76"/>
  <c r="V22" i="76"/>
  <c r="V392" i="76"/>
  <c r="U382" i="76"/>
  <c r="X262" i="76"/>
  <c r="U232" i="76"/>
  <c r="Q22" i="76"/>
  <c r="U392" i="76"/>
  <c r="P382" i="76"/>
  <c r="T282" i="76"/>
  <c r="P262" i="76"/>
  <c r="S232" i="76"/>
  <c r="V192" i="76"/>
  <c r="S392" i="76"/>
  <c r="Q232" i="76"/>
  <c r="U192" i="76"/>
  <c r="S12" i="76"/>
  <c r="Q392" i="76"/>
  <c r="R372" i="76"/>
  <c r="V272" i="76"/>
  <c r="R252" i="76"/>
  <c r="S192" i="76"/>
  <c r="V72" i="76"/>
  <c r="Q192" i="76"/>
  <c r="U72" i="76"/>
  <c r="X222" i="76"/>
  <c r="Q402" i="76"/>
  <c r="T362" i="76"/>
  <c r="P302" i="76"/>
  <c r="S272" i="76"/>
  <c r="T242" i="76"/>
  <c r="P222" i="76"/>
  <c r="U182" i="76"/>
  <c r="W172" i="76"/>
  <c r="Q162" i="76"/>
  <c r="U22" i="76"/>
  <c r="W12" i="76"/>
  <c r="X402" i="76"/>
  <c r="P402" i="76"/>
  <c r="R392" i="76"/>
  <c r="T382" i="76"/>
  <c r="V372" i="76"/>
  <c r="X362" i="76"/>
  <c r="P362" i="76"/>
  <c r="T302" i="76"/>
  <c r="V292" i="76"/>
  <c r="X282" i="76"/>
  <c r="P282" i="76"/>
  <c r="R272" i="76"/>
  <c r="T262" i="76"/>
  <c r="V252" i="76"/>
  <c r="X242" i="76"/>
  <c r="P242" i="76"/>
  <c r="R232" i="76"/>
  <c r="T222" i="76"/>
  <c r="V212" i="76"/>
  <c r="X202" i="76"/>
  <c r="P202" i="76"/>
  <c r="R192" i="76"/>
  <c r="T182" i="76"/>
  <c r="V172" i="76"/>
  <c r="X162" i="76"/>
  <c r="P162" i="76"/>
  <c r="T102" i="76"/>
  <c r="V92" i="76"/>
  <c r="X82" i="76"/>
  <c r="P82" i="76"/>
  <c r="R72" i="76"/>
  <c r="T62" i="76"/>
  <c r="V52" i="76"/>
  <c r="X42" i="76"/>
  <c r="P42" i="76"/>
  <c r="R32" i="76"/>
  <c r="T22" i="76"/>
  <c r="W362" i="76"/>
  <c r="W282" i="76"/>
  <c r="U172" i="76"/>
  <c r="W162" i="76"/>
  <c r="S102" i="76"/>
  <c r="U92" i="76"/>
  <c r="W82" i="76"/>
  <c r="Q72" i="76"/>
  <c r="S62" i="76"/>
  <c r="U52" i="76"/>
  <c r="W42" i="76"/>
  <c r="Q32" i="76"/>
  <c r="X12" i="76"/>
  <c r="V12" i="76"/>
  <c r="W402" i="76"/>
  <c r="S382" i="76"/>
  <c r="U372" i="76"/>
  <c r="S302" i="76"/>
  <c r="U292" i="76"/>
  <c r="S262" i="76"/>
  <c r="U252" i="76"/>
  <c r="W242" i="76"/>
  <c r="S222" i="76"/>
  <c r="W202" i="76"/>
  <c r="S22" i="76"/>
  <c r="U12" i="76"/>
  <c r="V402" i="76"/>
  <c r="R382" i="76"/>
  <c r="T372" i="76"/>
  <c r="V362" i="76"/>
  <c r="R302" i="76"/>
  <c r="T292" i="76"/>
  <c r="V282" i="76"/>
  <c r="X272" i="76"/>
  <c r="P272" i="76"/>
  <c r="R262" i="76"/>
  <c r="T252" i="76"/>
  <c r="V242" i="76"/>
  <c r="X232" i="76"/>
  <c r="P232" i="76"/>
  <c r="R222" i="76"/>
  <c r="T212" i="76"/>
  <c r="V202" i="76"/>
  <c r="X192" i="76"/>
  <c r="P192" i="76"/>
  <c r="R182" i="76"/>
  <c r="T172" i="76"/>
  <c r="V162" i="76"/>
  <c r="R102" i="76"/>
  <c r="T92" i="76"/>
  <c r="V82" i="76"/>
  <c r="X72" i="76"/>
  <c r="P72" i="76"/>
  <c r="R62" i="76"/>
  <c r="T52" i="76"/>
  <c r="V42" i="76"/>
  <c r="X32" i="76"/>
  <c r="P32" i="76"/>
  <c r="U212" i="76"/>
  <c r="S182" i="76"/>
  <c r="R22" i="76"/>
  <c r="T12" i="76"/>
  <c r="U402" i="76"/>
  <c r="W392" i="76"/>
  <c r="Q382" i="76"/>
  <c r="S372" i="76"/>
  <c r="U362" i="76"/>
  <c r="Q302" i="76"/>
  <c r="S292" i="76"/>
  <c r="U282" i="76"/>
  <c r="W272" i="76"/>
  <c r="Q262" i="76"/>
  <c r="S252" i="76"/>
  <c r="U242" i="76"/>
  <c r="W232" i="76"/>
  <c r="Q222" i="76"/>
  <c r="S212" i="76"/>
  <c r="U202" i="76"/>
  <c r="W192" i="76"/>
  <c r="Q182" i="76"/>
  <c r="S172" i="76"/>
  <c r="U162" i="76"/>
  <c r="Q102" i="76"/>
  <c r="S92" i="76"/>
  <c r="U82" i="76"/>
  <c r="W72" i="76"/>
  <c r="Q62" i="76"/>
  <c r="S52" i="76"/>
  <c r="U42" i="76"/>
  <c r="W32" i="76"/>
  <c r="R212" i="76"/>
  <c r="T202" i="76"/>
  <c r="R172" i="76"/>
  <c r="T162" i="76"/>
  <c r="X102" i="76"/>
  <c r="P102" i="76"/>
  <c r="R92" i="76"/>
  <c r="T82" i="76"/>
  <c r="X62" i="76"/>
  <c r="P62" i="76"/>
  <c r="R52" i="76"/>
  <c r="T42" i="76"/>
  <c r="V32" i="76"/>
  <c r="P22" i="76"/>
  <c r="R12" i="76"/>
  <c r="S402" i="76"/>
  <c r="W302" i="76"/>
  <c r="Q292" i="76"/>
  <c r="S242" i="76"/>
  <c r="W222" i="76"/>
  <c r="S202" i="76"/>
  <c r="W182" i="76"/>
  <c r="Q172" i="76"/>
  <c r="S82" i="76"/>
  <c r="W62" i="76"/>
  <c r="Q52" i="76"/>
  <c r="S42" i="76"/>
  <c r="U32" i="76"/>
  <c r="X22" i="76"/>
  <c r="Q372" i="76"/>
  <c r="S362" i="76"/>
  <c r="S282" i="76"/>
  <c r="W262" i="76"/>
  <c r="Q252" i="76"/>
  <c r="Q212" i="76"/>
  <c r="S162" i="76"/>
  <c r="W102" i="76"/>
  <c r="Q92" i="76"/>
  <c r="Q12" i="76"/>
  <c r="X372" i="76"/>
  <c r="P372" i="76"/>
  <c r="R362" i="76"/>
  <c r="V302" i="76"/>
  <c r="X292" i="76"/>
  <c r="P292" i="76"/>
  <c r="R282" i="76"/>
  <c r="V262" i="76"/>
  <c r="X252" i="76"/>
  <c r="P252" i="76"/>
  <c r="R242" i="76"/>
  <c r="V222" i="76"/>
  <c r="X212" i="76"/>
  <c r="P212" i="76"/>
  <c r="R202" i="76"/>
  <c r="X172" i="76"/>
  <c r="V102" i="76"/>
  <c r="X92" i="76"/>
  <c r="P92" i="76"/>
  <c r="R82" i="76"/>
  <c r="T72" i="76"/>
  <c r="V62" i="76"/>
  <c r="X52" i="76"/>
  <c r="P52" i="76"/>
  <c r="R42" i="76"/>
  <c r="T32" i="76"/>
  <c r="I10" i="23" l="1"/>
  <c r="F34" i="36"/>
  <c r="D49" i="36" s="1"/>
  <c r="I7" i="23"/>
  <c r="I14" i="23"/>
  <c r="K34" i="36"/>
  <c r="I8" i="23"/>
  <c r="E34" i="36"/>
  <c r="D47" i="36" s="1"/>
  <c r="I13" i="23"/>
  <c r="J34" i="36"/>
  <c r="I9" i="23"/>
  <c r="N33" i="36"/>
  <c r="P33" i="36"/>
  <c r="I15" i="23"/>
  <c r="U34" i="36" l="1"/>
  <c r="I15" i="70"/>
  <c r="G16" i="70"/>
  <c r="G17" i="70"/>
  <c r="E46" i="36" l="1"/>
  <c r="L7" i="23"/>
  <c r="EA2" i="24"/>
  <c r="EB2" i="24"/>
  <c r="EC2" i="24"/>
  <c r="ED2" i="24"/>
  <c r="EE2" i="24"/>
  <c r="EF2" i="24"/>
  <c r="EG2" i="24"/>
  <c r="EH2" i="24"/>
  <c r="EI2" i="24"/>
  <c r="EJ2" i="24"/>
  <c r="EK2" i="24"/>
  <c r="EL2" i="24"/>
  <c r="EM2" i="24"/>
  <c r="EN2" i="24"/>
  <c r="EO2" i="24"/>
  <c r="EP2" i="24"/>
  <c r="EQ2" i="24"/>
  <c r="ER2" i="24"/>
  <c r="ES2" i="24"/>
  <c r="ET2" i="24"/>
  <c r="EU2" i="24"/>
  <c r="EV2" i="24"/>
  <c r="EW2" i="24"/>
  <c r="EX2" i="24"/>
  <c r="EY2" i="24"/>
  <c r="EZ2" i="24"/>
  <c r="FA2" i="24"/>
  <c r="FB2" i="24"/>
  <c r="FC2" i="24"/>
  <c r="FD2" i="24"/>
  <c r="FE2" i="24"/>
  <c r="FF2" i="24"/>
  <c r="FG2" i="24"/>
  <c r="FH2" i="24"/>
  <c r="FI2" i="24"/>
  <c r="FJ2" i="24"/>
  <c r="FK2" i="24"/>
  <c r="FL2" i="24"/>
  <c r="FM2" i="24"/>
  <c r="FN2" i="24"/>
  <c r="FO2" i="24"/>
  <c r="FP2" i="24"/>
  <c r="FQ2" i="24"/>
  <c r="FR2" i="24"/>
  <c r="FS2" i="24"/>
  <c r="FT2" i="24"/>
  <c r="FU2" i="24"/>
  <c r="FV2" i="24"/>
  <c r="FW2" i="24"/>
  <c r="FX2" i="24"/>
  <c r="A70" i="24" l="1"/>
  <c r="A65" i="24"/>
  <c r="A60" i="24"/>
  <c r="A55" i="24"/>
  <c r="A50" i="24"/>
  <c r="A45" i="24"/>
  <c r="A40" i="24"/>
  <c r="A35" i="24"/>
  <c r="A30" i="24"/>
  <c r="A25" i="24"/>
  <c r="A20" i="24"/>
  <c r="A15" i="24"/>
  <c r="A10" i="24"/>
  <c r="K10" i="24" l="1"/>
  <c r="EA10" i="24" s="1"/>
  <c r="L10" i="24"/>
  <c r="DG25" i="24"/>
  <c r="DH25" i="24"/>
  <c r="DI25" i="24"/>
  <c r="DJ25" i="24"/>
  <c r="DK25" i="24"/>
  <c r="DL25" i="24"/>
  <c r="DR25" i="24"/>
  <c r="DS25" i="24"/>
  <c r="DT25" i="24"/>
  <c r="DU25" i="24"/>
  <c r="DV25" i="24"/>
  <c r="DW25" i="24"/>
  <c r="DX25" i="24"/>
  <c r="DY25" i="24"/>
  <c r="DZ25" i="24" s="1"/>
  <c r="DM25" i="24"/>
  <c r="DN25" i="24"/>
  <c r="DO25" i="24"/>
  <c r="DP25" i="24" s="1"/>
  <c r="DQ25" i="24"/>
  <c r="CM25" i="24"/>
  <c r="CN25" i="24"/>
  <c r="CO25" i="24"/>
  <c r="CT25" i="24"/>
  <c r="CH25" i="24"/>
  <c r="CU25" i="24"/>
  <c r="CV25" i="24" s="1"/>
  <c r="CI25" i="24"/>
  <c r="CJ25" i="24"/>
  <c r="CK25" i="24"/>
  <c r="CL25" i="24" s="1"/>
  <c r="CP25" i="24"/>
  <c r="CQ25" i="24"/>
  <c r="CR25" i="24"/>
  <c r="CS25" i="24"/>
  <c r="BP25" i="24"/>
  <c r="BQ25" i="24"/>
  <c r="BR25" i="24" s="1"/>
  <c r="BS25" i="24"/>
  <c r="BT25" i="24"/>
  <c r="BU25" i="24"/>
  <c r="BV25" i="24"/>
  <c r="BW25" i="24"/>
  <c r="CD25" i="24"/>
  <c r="AT25" i="24"/>
  <c r="FJ25" i="24" s="1"/>
  <c r="CE25" i="24"/>
  <c r="AU25" i="24"/>
  <c r="FK25" i="24" s="1"/>
  <c r="CF25" i="24"/>
  <c r="CG25" i="24"/>
  <c r="AY25" i="24"/>
  <c r="FO25" i="24" s="1"/>
  <c r="AZ25" i="24"/>
  <c r="FP25" i="24" s="1"/>
  <c r="BA25" i="24"/>
  <c r="FQ25" i="24" s="1"/>
  <c r="BF25" i="24"/>
  <c r="FV25" i="24" s="1"/>
  <c r="AQ25" i="24"/>
  <c r="FG25" i="24" s="1"/>
  <c r="BG25" i="24"/>
  <c r="AR25" i="24"/>
  <c r="FH25" i="24" s="1"/>
  <c r="AS25" i="24"/>
  <c r="FI25" i="24" s="1"/>
  <c r="AV25" i="24"/>
  <c r="FL25" i="24" s="1"/>
  <c r="AW25" i="24"/>
  <c r="AG25" i="24"/>
  <c r="EW25" i="24" s="1"/>
  <c r="AL25" i="24"/>
  <c r="FB25" i="24" s="1"/>
  <c r="AM25" i="24"/>
  <c r="BB25" i="24"/>
  <c r="FR25" i="24" s="1"/>
  <c r="BC25" i="24"/>
  <c r="FS25" i="24" s="1"/>
  <c r="BD25" i="24"/>
  <c r="FT25" i="24" s="1"/>
  <c r="BE25" i="24"/>
  <c r="FU25" i="24" s="1"/>
  <c r="CC25" i="24"/>
  <c r="AH25" i="24"/>
  <c r="EX25" i="24" s="1"/>
  <c r="AC25" i="24"/>
  <c r="BI25" i="24"/>
  <c r="AI25" i="24"/>
  <c r="EY25" i="24" s="1"/>
  <c r="K25" i="24"/>
  <c r="EA25" i="24" s="1"/>
  <c r="BJ25" i="24"/>
  <c r="AJ25" i="24"/>
  <c r="EZ25" i="24" s="1"/>
  <c r="L25" i="24"/>
  <c r="EB25" i="24" s="1"/>
  <c r="AO25" i="24"/>
  <c r="FE25" i="24" s="1"/>
  <c r="U25" i="24"/>
  <c r="EK25" i="24" s="1"/>
  <c r="O25" i="24"/>
  <c r="EE25" i="24" s="1"/>
  <c r="P25" i="24"/>
  <c r="EF25" i="24" s="1"/>
  <c r="X25" i="24"/>
  <c r="EN25" i="24" s="1"/>
  <c r="BK25" i="24"/>
  <c r="AK25" i="24"/>
  <c r="FA25" i="24" s="1"/>
  <c r="M25" i="24"/>
  <c r="EC25" i="24" s="1"/>
  <c r="V25" i="24"/>
  <c r="EL25" i="24" s="1"/>
  <c r="W25" i="24"/>
  <c r="EM25" i="24" s="1"/>
  <c r="BL25" i="24"/>
  <c r="BM25" i="24"/>
  <c r="AP25" i="24"/>
  <c r="FF25" i="24" s="1"/>
  <c r="BN25" i="24"/>
  <c r="N25" i="24"/>
  <c r="ED25" i="24" s="1"/>
  <c r="BO25" i="24"/>
  <c r="Q25" i="24"/>
  <c r="EG25" i="24" s="1"/>
  <c r="Y25" i="24"/>
  <c r="EO25" i="24" s="1"/>
  <c r="AE25" i="24"/>
  <c r="EU25" i="24" s="1"/>
  <c r="AB25" i="24"/>
  <c r="ER25" i="24" s="1"/>
  <c r="AF25" i="24"/>
  <c r="EV25" i="24" s="1"/>
  <c r="S25" i="24"/>
  <c r="BX25" i="24"/>
  <c r="R25" i="24"/>
  <c r="EH25" i="24" s="1"/>
  <c r="BY25" i="24"/>
  <c r="BZ25" i="24"/>
  <c r="CA25" i="24"/>
  <c r="CB25" i="24" s="1"/>
  <c r="Z25" i="24"/>
  <c r="EP25" i="24" s="1"/>
  <c r="AA25" i="24"/>
  <c r="EQ25" i="24" s="1"/>
  <c r="A31" i="24"/>
  <c r="DU30" i="24"/>
  <c r="DV30" i="24"/>
  <c r="DW30" i="24"/>
  <c r="DX30" i="24"/>
  <c r="DY30" i="24"/>
  <c r="DZ30" i="24" s="1"/>
  <c r="DQ30" i="24"/>
  <c r="DR30" i="24"/>
  <c r="DS30" i="24"/>
  <c r="DT30" i="24"/>
  <c r="DG30" i="24"/>
  <c r="DL30" i="24"/>
  <c r="DM30" i="24"/>
  <c r="DN30" i="24"/>
  <c r="DO30" i="24"/>
  <c r="DP30" i="24" s="1"/>
  <c r="CC30" i="24"/>
  <c r="CD30" i="24"/>
  <c r="CM30" i="24"/>
  <c r="CE30" i="24"/>
  <c r="CN30" i="24"/>
  <c r="CF30" i="24"/>
  <c r="DH30" i="24"/>
  <c r="CO30" i="24"/>
  <c r="CG30" i="24"/>
  <c r="DI30" i="24"/>
  <c r="CP30" i="24"/>
  <c r="CH30" i="24"/>
  <c r="DJ30" i="24"/>
  <c r="CQ30" i="24"/>
  <c r="CI30" i="24"/>
  <c r="DK30" i="24"/>
  <c r="CR30" i="24"/>
  <c r="CJ30" i="24"/>
  <c r="CK30" i="24"/>
  <c r="CL30" i="24" s="1"/>
  <c r="BK30" i="24"/>
  <c r="BL30" i="24"/>
  <c r="BM30" i="24"/>
  <c r="BN30" i="24"/>
  <c r="BO30" i="24"/>
  <c r="BP30" i="24"/>
  <c r="BQ30" i="24"/>
  <c r="BR30" i="24" s="1"/>
  <c r="BW30" i="24"/>
  <c r="AO30" i="24"/>
  <c r="FE30" i="24" s="1"/>
  <c r="BX30" i="24"/>
  <c r="AP30" i="24"/>
  <c r="FF30" i="24" s="1"/>
  <c r="BY30" i="24"/>
  <c r="BI30" i="24"/>
  <c r="BZ30" i="24"/>
  <c r="BJ30" i="24"/>
  <c r="CA30" i="24"/>
  <c r="CB30" i="24" s="1"/>
  <c r="AR30" i="24"/>
  <c r="FH30" i="24" s="1"/>
  <c r="AS30" i="24"/>
  <c r="FI30" i="24" s="1"/>
  <c r="AY30" i="24"/>
  <c r="FO30" i="24" s="1"/>
  <c r="AT30" i="24"/>
  <c r="FJ30" i="24" s="1"/>
  <c r="AZ30" i="24"/>
  <c r="FP30" i="24" s="1"/>
  <c r="AU30" i="24"/>
  <c r="FK30" i="24" s="1"/>
  <c r="BA30" i="24"/>
  <c r="FQ30" i="24" s="1"/>
  <c r="AV30" i="24"/>
  <c r="FL30" i="24" s="1"/>
  <c r="BB30" i="24"/>
  <c r="FR30" i="24" s="1"/>
  <c r="AW30" i="24"/>
  <c r="BC30" i="24"/>
  <c r="FS30" i="24" s="1"/>
  <c r="BS30" i="24"/>
  <c r="BD30" i="24"/>
  <c r="FT30" i="24" s="1"/>
  <c r="BT30" i="24"/>
  <c r="BE30" i="24"/>
  <c r="FU30" i="24" s="1"/>
  <c r="AQ30" i="24"/>
  <c r="FG30" i="24" s="1"/>
  <c r="BU30" i="24"/>
  <c r="BF30" i="24"/>
  <c r="FV30" i="24" s="1"/>
  <c r="BV30" i="24"/>
  <c r="BG30" i="24"/>
  <c r="AA30" i="24"/>
  <c r="EQ30" i="24" s="1"/>
  <c r="AB30" i="24"/>
  <c r="ER30" i="24" s="1"/>
  <c r="AC30" i="24"/>
  <c r="CS30" i="24"/>
  <c r="AI30" i="24"/>
  <c r="EY30" i="24" s="1"/>
  <c r="R30" i="24"/>
  <c r="EH30" i="24" s="1"/>
  <c r="V30" i="24"/>
  <c r="EL30" i="24" s="1"/>
  <c r="CT30" i="24"/>
  <c r="AJ30" i="24"/>
  <c r="EZ30" i="24" s="1"/>
  <c r="S30" i="24"/>
  <c r="L30" i="24"/>
  <c r="EB30" i="24" s="1"/>
  <c r="CU30" i="24"/>
  <c r="CV30" i="24" s="1"/>
  <c r="AK30" i="24"/>
  <c r="FA30" i="24" s="1"/>
  <c r="AL30" i="24"/>
  <c r="FB30" i="24" s="1"/>
  <c r="AM30" i="24"/>
  <c r="W30" i="24"/>
  <c r="EM30" i="24" s="1"/>
  <c r="X30" i="24"/>
  <c r="EN30" i="24" s="1"/>
  <c r="Z30" i="24"/>
  <c r="EP30" i="24" s="1"/>
  <c r="Y30" i="24"/>
  <c r="EO30" i="24" s="1"/>
  <c r="U30" i="24"/>
  <c r="EK30" i="24" s="1"/>
  <c r="K30" i="24"/>
  <c r="EA30" i="24" s="1"/>
  <c r="O30" i="24"/>
  <c r="EE30" i="24" s="1"/>
  <c r="AE30" i="24"/>
  <c r="EU30" i="24" s="1"/>
  <c r="M30" i="24"/>
  <c r="EC30" i="24" s="1"/>
  <c r="AF30" i="24"/>
  <c r="EV30" i="24" s="1"/>
  <c r="P30" i="24"/>
  <c r="EF30" i="24" s="1"/>
  <c r="AG30" i="24"/>
  <c r="EW30" i="24" s="1"/>
  <c r="AH30" i="24"/>
  <c r="EX30" i="24" s="1"/>
  <c r="N30" i="24"/>
  <c r="ED30" i="24" s="1"/>
  <c r="Q30" i="24"/>
  <c r="EG30" i="24" s="1"/>
  <c r="DQ40" i="24"/>
  <c r="DR40" i="24"/>
  <c r="DJ40" i="24"/>
  <c r="DK40" i="24"/>
  <c r="DL40" i="24"/>
  <c r="DM40" i="24"/>
  <c r="DN40" i="24"/>
  <c r="DO40" i="24"/>
  <c r="DP40" i="24" s="1"/>
  <c r="CM40" i="24"/>
  <c r="CN40" i="24"/>
  <c r="CO40" i="24"/>
  <c r="CP40" i="24"/>
  <c r="CQ40" i="24"/>
  <c r="CR40" i="24"/>
  <c r="CS40" i="24"/>
  <c r="CT40" i="24"/>
  <c r="DS40" i="24"/>
  <c r="CU40" i="24"/>
  <c r="CV40" i="24" s="1"/>
  <c r="DT40" i="24"/>
  <c r="DG40" i="24"/>
  <c r="DU40" i="24"/>
  <c r="DH40" i="24"/>
  <c r="DV40" i="24"/>
  <c r="DI40" i="24"/>
  <c r="DW40" i="24"/>
  <c r="DX40" i="24"/>
  <c r="DY40" i="24"/>
  <c r="DZ40" i="24" s="1"/>
  <c r="CI40" i="24"/>
  <c r="CJ40" i="24"/>
  <c r="CK40" i="24"/>
  <c r="CL40" i="24" s="1"/>
  <c r="CE40" i="24"/>
  <c r="BU40" i="24"/>
  <c r="CF40" i="24"/>
  <c r="BV40" i="24"/>
  <c r="CG40" i="24"/>
  <c r="BW40" i="24"/>
  <c r="CH40" i="24"/>
  <c r="BX40" i="24"/>
  <c r="BY40" i="24"/>
  <c r="BZ40" i="24"/>
  <c r="CA40" i="24"/>
  <c r="CB40" i="24" s="1"/>
  <c r="BQ40" i="24"/>
  <c r="BR40" i="24" s="1"/>
  <c r="AY40" i="24"/>
  <c r="FO40" i="24" s="1"/>
  <c r="AZ40" i="24"/>
  <c r="FP40" i="24" s="1"/>
  <c r="BA40" i="24"/>
  <c r="FQ40" i="24" s="1"/>
  <c r="BB40" i="24"/>
  <c r="FR40" i="24" s="1"/>
  <c r="BC40" i="24"/>
  <c r="FS40" i="24" s="1"/>
  <c r="BD40" i="24"/>
  <c r="FT40" i="24" s="1"/>
  <c r="BE40" i="24"/>
  <c r="FU40" i="24" s="1"/>
  <c r="BF40" i="24"/>
  <c r="FV40" i="24" s="1"/>
  <c r="BI40" i="24"/>
  <c r="BG40" i="24"/>
  <c r="AP40" i="24"/>
  <c r="FF40" i="24" s="1"/>
  <c r="AF40" i="24"/>
  <c r="EV40" i="24" s="1"/>
  <c r="BJ40" i="24"/>
  <c r="AQ40" i="24"/>
  <c r="FG40" i="24" s="1"/>
  <c r="BK40" i="24"/>
  <c r="AR40" i="24"/>
  <c r="FH40" i="24" s="1"/>
  <c r="AH40" i="24"/>
  <c r="EX40" i="24" s="1"/>
  <c r="BL40" i="24"/>
  <c r="AS40" i="24"/>
  <c r="FI40" i="24" s="1"/>
  <c r="BM40" i="24"/>
  <c r="AT40" i="24"/>
  <c r="FJ40" i="24" s="1"/>
  <c r="BN40" i="24"/>
  <c r="AU40" i="24"/>
  <c r="FK40" i="24" s="1"/>
  <c r="CC40" i="24"/>
  <c r="BS40" i="24"/>
  <c r="BO40" i="24"/>
  <c r="AV40" i="24"/>
  <c r="FL40" i="24" s="1"/>
  <c r="AL40" i="24"/>
  <c r="FB40" i="24" s="1"/>
  <c r="CD40" i="24"/>
  <c r="BT40" i="24"/>
  <c r="BP40" i="24"/>
  <c r="AE40" i="24"/>
  <c r="EU40" i="24" s="1"/>
  <c r="AG40" i="24"/>
  <c r="EW40" i="24" s="1"/>
  <c r="AI40" i="24"/>
  <c r="EY40" i="24" s="1"/>
  <c r="AJ40" i="24"/>
  <c r="EZ40" i="24" s="1"/>
  <c r="AK40" i="24"/>
  <c r="FA40" i="24" s="1"/>
  <c r="AM40" i="24"/>
  <c r="AB40" i="24"/>
  <c r="ER40" i="24" s="1"/>
  <c r="W40" i="24"/>
  <c r="EM40" i="24" s="1"/>
  <c r="AC40" i="24"/>
  <c r="S40" i="24"/>
  <c r="V40" i="24"/>
  <c r="EL40" i="24" s="1"/>
  <c r="U40" i="24"/>
  <c r="EK40" i="24" s="1"/>
  <c r="K40" i="24"/>
  <c r="EA40" i="24" s="1"/>
  <c r="R40" i="24"/>
  <c r="EH40" i="24" s="1"/>
  <c r="L40" i="24"/>
  <c r="EB40" i="24" s="1"/>
  <c r="N40" i="24"/>
  <c r="ED40" i="24" s="1"/>
  <c r="M40" i="24"/>
  <c r="EC40" i="24" s="1"/>
  <c r="Q40" i="24"/>
  <c r="EG40" i="24" s="1"/>
  <c r="O40" i="24"/>
  <c r="EE40" i="24" s="1"/>
  <c r="P40" i="24"/>
  <c r="EF40" i="24" s="1"/>
  <c r="AO40" i="24"/>
  <c r="FE40" i="24" s="1"/>
  <c r="AW40" i="24"/>
  <c r="Y40" i="24"/>
  <c r="EO40" i="24" s="1"/>
  <c r="AA40" i="24"/>
  <c r="EQ40" i="24" s="1"/>
  <c r="X40" i="24"/>
  <c r="EN40" i="24" s="1"/>
  <c r="Z40" i="24"/>
  <c r="EP40" i="24" s="1"/>
  <c r="DR10" i="24"/>
  <c r="DS10" i="24"/>
  <c r="DT10" i="24"/>
  <c r="DU10" i="24"/>
  <c r="DV10" i="24"/>
  <c r="DW10" i="24"/>
  <c r="DX10" i="24"/>
  <c r="DG10" i="24"/>
  <c r="DY10" i="24"/>
  <c r="DZ10" i="24" s="1"/>
  <c r="DQ10" i="24"/>
  <c r="DL10" i="24"/>
  <c r="DM10" i="24"/>
  <c r="DN10" i="24"/>
  <c r="DO10" i="24"/>
  <c r="DP10" i="24" s="1"/>
  <c r="CS10" i="24"/>
  <c r="CT10" i="24"/>
  <c r="CU10" i="24"/>
  <c r="CV10" i="24" s="1"/>
  <c r="CM10" i="24"/>
  <c r="DH10" i="24"/>
  <c r="DI10" i="24"/>
  <c r="DJ10" i="24"/>
  <c r="DK10" i="24"/>
  <c r="CE10" i="24"/>
  <c r="CN10" i="24"/>
  <c r="CO10" i="24"/>
  <c r="CP10" i="24"/>
  <c r="CQ10" i="24"/>
  <c r="CR10" i="24"/>
  <c r="CG10" i="24"/>
  <c r="CA10" i="24"/>
  <c r="CB10" i="24" s="1"/>
  <c r="CH10" i="24"/>
  <c r="BS10" i="24"/>
  <c r="CI10" i="24"/>
  <c r="CJ10" i="24"/>
  <c r="BJ10" i="24"/>
  <c r="CK10" i="24"/>
  <c r="CL10" i="24" s="1"/>
  <c r="BK10" i="24"/>
  <c r="CC10" i="24"/>
  <c r="BL10" i="24"/>
  <c r="BM10" i="24"/>
  <c r="BN10" i="24"/>
  <c r="FU10" i="24"/>
  <c r="BT10" i="24"/>
  <c r="BF10" i="24"/>
  <c r="FV10" i="24" s="1"/>
  <c r="BU10" i="24"/>
  <c r="BG10" i="24"/>
  <c r="BV10" i="24"/>
  <c r="FO10" i="24"/>
  <c r="BW10" i="24"/>
  <c r="BO10" i="24"/>
  <c r="BX10" i="24"/>
  <c r="BP10" i="24"/>
  <c r="BY10" i="24"/>
  <c r="BQ10" i="24"/>
  <c r="BR10" i="24" s="1"/>
  <c r="BZ10" i="24"/>
  <c r="BI10" i="24"/>
  <c r="AP10" i="24"/>
  <c r="FF10" i="24" s="1"/>
  <c r="AQ10" i="24"/>
  <c r="FG10" i="24" s="1"/>
  <c r="AR10" i="24"/>
  <c r="FH10" i="24" s="1"/>
  <c r="AS10" i="24"/>
  <c r="FI10" i="24" s="1"/>
  <c r="AT10" i="24"/>
  <c r="FJ10" i="24" s="1"/>
  <c r="AU10" i="24"/>
  <c r="FK10" i="24" s="1"/>
  <c r="AV10" i="24"/>
  <c r="FL10" i="24" s="1"/>
  <c r="BD10" i="24"/>
  <c r="FT10" i="24" s="1"/>
  <c r="AG10" i="24"/>
  <c r="EW10" i="24" s="1"/>
  <c r="AH10" i="24"/>
  <c r="EX10" i="24" s="1"/>
  <c r="AI10" i="24"/>
  <c r="EY10" i="24" s="1"/>
  <c r="AJ10" i="24"/>
  <c r="EZ10" i="24" s="1"/>
  <c r="AK10" i="24"/>
  <c r="FA10" i="24" s="1"/>
  <c r="AL10" i="24"/>
  <c r="FB10" i="24" s="1"/>
  <c r="AM10" i="24"/>
  <c r="AE10" i="24"/>
  <c r="EU10" i="24" s="1"/>
  <c r="N10" i="24"/>
  <c r="ED10" i="24" s="1"/>
  <c r="P10" i="24"/>
  <c r="EF10" i="24" s="1"/>
  <c r="AC10" i="24"/>
  <c r="O10" i="24"/>
  <c r="EE10" i="24" s="1"/>
  <c r="AB10" i="24"/>
  <c r="ER10" i="24" s="1"/>
  <c r="V10" i="24"/>
  <c r="EL10" i="24" s="1"/>
  <c r="Y10" i="24"/>
  <c r="EO10" i="24" s="1"/>
  <c r="AA10" i="24"/>
  <c r="EQ10" i="24" s="1"/>
  <c r="AF10" i="24"/>
  <c r="EV10" i="24" s="1"/>
  <c r="Q10" i="24"/>
  <c r="EG10" i="24" s="1"/>
  <c r="AZ10" i="24"/>
  <c r="FP10" i="24" s="1"/>
  <c r="R10" i="24"/>
  <c r="EH10" i="24" s="1"/>
  <c r="AO10" i="24"/>
  <c r="FE10" i="24" s="1"/>
  <c r="BA10" i="24"/>
  <c r="FQ10" i="24" s="1"/>
  <c r="S10" i="24"/>
  <c r="W10" i="24"/>
  <c r="EM10" i="24" s="1"/>
  <c r="CD10" i="24"/>
  <c r="BB10" i="24"/>
  <c r="FR10" i="24" s="1"/>
  <c r="X10" i="24"/>
  <c r="EN10" i="24" s="1"/>
  <c r="Z10" i="24"/>
  <c r="EP10" i="24" s="1"/>
  <c r="CF10" i="24"/>
  <c r="BC10" i="24"/>
  <c r="FS10" i="24" s="1"/>
  <c r="AW10" i="24"/>
  <c r="EB10" i="24"/>
  <c r="M10" i="24"/>
  <c r="EC10" i="24" s="1"/>
  <c r="U10" i="24"/>
  <c r="EK10" i="24" s="1"/>
  <c r="A16" i="24"/>
  <c r="DQ15" i="24"/>
  <c r="DR15" i="24"/>
  <c r="DS15" i="24"/>
  <c r="DT15" i="24"/>
  <c r="DU15" i="24"/>
  <c r="DV15" i="24"/>
  <c r="DW15" i="24"/>
  <c r="DX15" i="24"/>
  <c r="DO15" i="24"/>
  <c r="DP15" i="24" s="1"/>
  <c r="DY15" i="24"/>
  <c r="DZ15" i="24" s="1"/>
  <c r="CR15" i="24"/>
  <c r="CS15" i="24"/>
  <c r="CT15" i="24"/>
  <c r="CU15" i="24"/>
  <c r="CV15" i="24" s="1"/>
  <c r="CM15" i="24"/>
  <c r="CN15" i="24"/>
  <c r="CO15" i="24"/>
  <c r="CC15" i="24"/>
  <c r="CP15" i="24"/>
  <c r="CD15" i="24"/>
  <c r="CQ15" i="24"/>
  <c r="CE15" i="24"/>
  <c r="CF15" i="24"/>
  <c r="CG15" i="24"/>
  <c r="CH15" i="24"/>
  <c r="CI15" i="24"/>
  <c r="CJ15" i="24"/>
  <c r="CK15" i="24"/>
  <c r="CL15" i="24" s="1"/>
  <c r="BZ15" i="24"/>
  <c r="CA15" i="24"/>
  <c r="CB15" i="24" s="1"/>
  <c r="BI15" i="24"/>
  <c r="BJ15" i="24"/>
  <c r="BK15" i="24"/>
  <c r="BL15" i="24"/>
  <c r="BM15" i="24"/>
  <c r="BV15" i="24"/>
  <c r="BN15" i="24"/>
  <c r="BD15" i="24"/>
  <c r="FT15" i="24" s="1"/>
  <c r="BW15" i="24"/>
  <c r="BO15" i="24"/>
  <c r="BE15" i="24"/>
  <c r="FU15" i="24" s="1"/>
  <c r="BX15" i="24"/>
  <c r="BP15" i="24"/>
  <c r="BF15" i="24"/>
  <c r="FV15" i="24" s="1"/>
  <c r="BY15" i="24"/>
  <c r="BQ15" i="24"/>
  <c r="BR15" i="24" s="1"/>
  <c r="BG15" i="24"/>
  <c r="AS15" i="24"/>
  <c r="FI15" i="24" s="1"/>
  <c r="AK15" i="24"/>
  <c r="FA15" i="24" s="1"/>
  <c r="AT15" i="24"/>
  <c r="FJ15" i="24" s="1"/>
  <c r="AL15" i="24"/>
  <c r="FB15" i="24" s="1"/>
  <c r="AU15" i="24"/>
  <c r="FK15" i="24" s="1"/>
  <c r="AM15" i="24"/>
  <c r="AY15" i="24"/>
  <c r="FO15" i="24" s="1"/>
  <c r="AV15" i="24"/>
  <c r="FL15" i="24" s="1"/>
  <c r="AZ15" i="24"/>
  <c r="FP15" i="24" s="1"/>
  <c r="AW15" i="24"/>
  <c r="BS15" i="24"/>
  <c r="BA15" i="24"/>
  <c r="FQ15" i="24" s="1"/>
  <c r="BT15" i="24"/>
  <c r="BB15" i="24"/>
  <c r="FR15" i="24" s="1"/>
  <c r="BU15" i="24"/>
  <c r="DK15" i="24"/>
  <c r="AO15" i="24"/>
  <c r="FE15" i="24" s="1"/>
  <c r="DL15" i="24"/>
  <c r="AP15" i="24"/>
  <c r="FF15" i="24" s="1"/>
  <c r="DM15" i="24"/>
  <c r="AQ15" i="24"/>
  <c r="FG15" i="24" s="1"/>
  <c r="U15" i="24"/>
  <c r="EK15" i="24" s="1"/>
  <c r="DN15" i="24"/>
  <c r="AR15" i="24"/>
  <c r="FH15" i="24" s="1"/>
  <c r="V15" i="24"/>
  <c r="EL15" i="24" s="1"/>
  <c r="W15" i="24"/>
  <c r="EM15" i="24" s="1"/>
  <c r="X15" i="24"/>
  <c r="EN15" i="24" s="1"/>
  <c r="Z15" i="24"/>
  <c r="EP15" i="24" s="1"/>
  <c r="AF15" i="24"/>
  <c r="EV15" i="24" s="1"/>
  <c r="M15" i="24"/>
  <c r="EC15" i="24" s="1"/>
  <c r="AC15" i="24"/>
  <c r="AG15" i="24"/>
  <c r="EW15" i="24" s="1"/>
  <c r="N15" i="24"/>
  <c r="ED15" i="24" s="1"/>
  <c r="AH15" i="24"/>
  <c r="EX15" i="24" s="1"/>
  <c r="O15" i="24"/>
  <c r="EE15" i="24" s="1"/>
  <c r="AB15" i="24"/>
  <c r="ER15" i="24" s="1"/>
  <c r="AI15" i="24"/>
  <c r="EY15" i="24" s="1"/>
  <c r="P15" i="24"/>
  <c r="EF15" i="24" s="1"/>
  <c r="AA15" i="24"/>
  <c r="EQ15" i="24" s="1"/>
  <c r="DG15" i="24"/>
  <c r="AJ15" i="24"/>
  <c r="EZ15" i="24" s="1"/>
  <c r="Q15" i="24"/>
  <c r="EG15" i="24" s="1"/>
  <c r="Y15" i="24"/>
  <c r="EO15" i="24" s="1"/>
  <c r="DH15" i="24"/>
  <c r="R15" i="24"/>
  <c r="EH15" i="24" s="1"/>
  <c r="S15" i="24"/>
  <c r="DI15" i="24"/>
  <c r="DJ15" i="24"/>
  <c r="K15" i="24"/>
  <c r="EA15" i="24" s="1"/>
  <c r="L15" i="24"/>
  <c r="EB15" i="24" s="1"/>
  <c r="BC15" i="24"/>
  <c r="FS15" i="24" s="1"/>
  <c r="AE15" i="24"/>
  <c r="EU15" i="24" s="1"/>
  <c r="A21" i="24"/>
  <c r="DQ20" i="24"/>
  <c r="DR20" i="24"/>
  <c r="DJ20" i="24"/>
  <c r="DK20" i="24"/>
  <c r="DL20" i="24"/>
  <c r="DM20" i="24"/>
  <c r="DS20" i="24"/>
  <c r="DN20" i="24"/>
  <c r="DT20" i="24"/>
  <c r="DO20" i="24"/>
  <c r="DP20" i="24" s="1"/>
  <c r="DU20" i="24"/>
  <c r="DV20" i="24"/>
  <c r="DG20" i="24"/>
  <c r="DH20" i="24"/>
  <c r="DI20" i="24"/>
  <c r="DW20" i="24"/>
  <c r="DX20" i="24"/>
  <c r="DY20" i="24"/>
  <c r="DZ20" i="24" s="1"/>
  <c r="CM20" i="24"/>
  <c r="CN20" i="24"/>
  <c r="CO20" i="24"/>
  <c r="CP20" i="24"/>
  <c r="CQ20" i="24"/>
  <c r="CR20" i="24"/>
  <c r="CS20" i="24"/>
  <c r="CT20" i="24"/>
  <c r="CU20" i="24"/>
  <c r="CV20" i="24" s="1"/>
  <c r="CC20" i="24"/>
  <c r="CD20" i="24"/>
  <c r="BU20" i="24"/>
  <c r="BV20" i="24"/>
  <c r="BW20" i="24"/>
  <c r="BX20" i="24"/>
  <c r="BY20" i="24"/>
  <c r="BZ20" i="24"/>
  <c r="CA20" i="24"/>
  <c r="CB20" i="24" s="1"/>
  <c r="AY20" i="24"/>
  <c r="FO20" i="24" s="1"/>
  <c r="AZ20" i="24"/>
  <c r="FP20" i="24" s="1"/>
  <c r="BA20" i="24"/>
  <c r="FQ20" i="24" s="1"/>
  <c r="BB20" i="24"/>
  <c r="FR20" i="24" s="1"/>
  <c r="BI20" i="24"/>
  <c r="BC20" i="24"/>
  <c r="FS20" i="24" s="1"/>
  <c r="BJ20" i="24"/>
  <c r="BD20" i="24"/>
  <c r="FT20" i="24" s="1"/>
  <c r="BS20" i="24"/>
  <c r="BK20" i="24"/>
  <c r="BE20" i="24"/>
  <c r="FU20" i="24" s="1"/>
  <c r="BT20" i="24"/>
  <c r="BL20" i="24"/>
  <c r="BF20" i="24"/>
  <c r="FV20" i="24" s="1"/>
  <c r="CE20" i="24"/>
  <c r="BQ20" i="24"/>
  <c r="BR20" i="24" s="1"/>
  <c r="AR20" i="24"/>
  <c r="FH20" i="24" s="1"/>
  <c r="AF20" i="24"/>
  <c r="EV20" i="24" s="1"/>
  <c r="CF20" i="24"/>
  <c r="AS20" i="24"/>
  <c r="FI20" i="24" s="1"/>
  <c r="AG20" i="24"/>
  <c r="EW20" i="24" s="1"/>
  <c r="CG20" i="24"/>
  <c r="AT20" i="24"/>
  <c r="FJ20" i="24" s="1"/>
  <c r="AH20" i="24"/>
  <c r="EX20" i="24" s="1"/>
  <c r="CH20" i="24"/>
  <c r="AU20" i="24"/>
  <c r="FK20" i="24" s="1"/>
  <c r="AI20" i="24"/>
  <c r="EY20" i="24" s="1"/>
  <c r="CI20" i="24"/>
  <c r="AV20" i="24"/>
  <c r="FL20" i="24" s="1"/>
  <c r="CJ20" i="24"/>
  <c r="AW20" i="24"/>
  <c r="AK20" i="24"/>
  <c r="FA20" i="24" s="1"/>
  <c r="CK20" i="24"/>
  <c r="CL20" i="24" s="1"/>
  <c r="AL20" i="24"/>
  <c r="FB20" i="24" s="1"/>
  <c r="BN20" i="24"/>
  <c r="BO20" i="24"/>
  <c r="BP20" i="24"/>
  <c r="AE20" i="24"/>
  <c r="EU20" i="24" s="1"/>
  <c r="AJ20" i="24"/>
  <c r="EZ20" i="24" s="1"/>
  <c r="BG20" i="24"/>
  <c r="AM20" i="24"/>
  <c r="AO20" i="24"/>
  <c r="FE20" i="24" s="1"/>
  <c r="U20" i="24"/>
  <c r="EK20" i="24" s="1"/>
  <c r="Z20" i="24"/>
  <c r="EP20" i="24" s="1"/>
  <c r="S20" i="24"/>
  <c r="AA20" i="24"/>
  <c r="EQ20" i="24" s="1"/>
  <c r="AB20" i="24"/>
  <c r="ER20" i="24" s="1"/>
  <c r="AC20" i="24"/>
  <c r="K20" i="24"/>
  <c r="EA20" i="24" s="1"/>
  <c r="Q20" i="24"/>
  <c r="EG20" i="24" s="1"/>
  <c r="AP20" i="24"/>
  <c r="FF20" i="24" s="1"/>
  <c r="L20" i="24"/>
  <c r="EB20" i="24" s="1"/>
  <c r="N20" i="24"/>
  <c r="ED20" i="24" s="1"/>
  <c r="M20" i="24"/>
  <c r="EC20" i="24" s="1"/>
  <c r="P20" i="24"/>
  <c r="EF20" i="24" s="1"/>
  <c r="R20" i="24"/>
  <c r="EH20" i="24" s="1"/>
  <c r="O20" i="24"/>
  <c r="EE20" i="24" s="1"/>
  <c r="AQ20" i="24"/>
  <c r="FG20" i="24" s="1"/>
  <c r="W20" i="24"/>
  <c r="EM20" i="24" s="1"/>
  <c r="X20" i="24"/>
  <c r="EN20" i="24" s="1"/>
  <c r="Y20" i="24"/>
  <c r="EO20" i="24" s="1"/>
  <c r="BM20" i="24"/>
  <c r="V20" i="24"/>
  <c r="EL20" i="24" s="1"/>
  <c r="DQ35" i="24"/>
  <c r="DR35" i="24"/>
  <c r="DS35" i="24"/>
  <c r="DT35" i="24"/>
  <c r="DU35" i="24"/>
  <c r="DV35" i="24"/>
  <c r="DW35" i="24"/>
  <c r="DO35" i="24"/>
  <c r="DP35" i="24" s="1"/>
  <c r="DG35" i="24"/>
  <c r="DH35" i="24"/>
  <c r="DI35" i="24"/>
  <c r="DJ35" i="24"/>
  <c r="DK35" i="24"/>
  <c r="DL35" i="24"/>
  <c r="DM35" i="24"/>
  <c r="DN35" i="24"/>
  <c r="DX35" i="24"/>
  <c r="CR35" i="24"/>
  <c r="DY35" i="24"/>
  <c r="DZ35" i="24" s="1"/>
  <c r="CS35" i="24"/>
  <c r="CT35" i="24"/>
  <c r="CU35" i="24"/>
  <c r="CV35" i="24" s="1"/>
  <c r="CC35" i="24"/>
  <c r="CD35" i="24"/>
  <c r="CE35" i="24"/>
  <c r="CN35" i="24"/>
  <c r="CF35" i="24"/>
  <c r="BZ35" i="24"/>
  <c r="CO35" i="24"/>
  <c r="CG35" i="24"/>
  <c r="CA35" i="24"/>
  <c r="CB35" i="24" s="1"/>
  <c r="CP35" i="24"/>
  <c r="CH35" i="24"/>
  <c r="CQ35" i="24"/>
  <c r="CI35" i="24"/>
  <c r="BI35" i="24"/>
  <c r="CJ35" i="24"/>
  <c r="BJ35" i="24"/>
  <c r="CK35" i="24"/>
  <c r="CL35" i="24" s="1"/>
  <c r="BK35" i="24"/>
  <c r="BL35" i="24"/>
  <c r="BM35" i="24"/>
  <c r="BD35" i="24"/>
  <c r="FT35" i="24" s="1"/>
  <c r="BE35" i="24"/>
  <c r="FU35" i="24" s="1"/>
  <c r="BF35" i="24"/>
  <c r="FV35" i="24" s="1"/>
  <c r="BG35" i="24"/>
  <c r="BS35" i="24"/>
  <c r="BT35" i="24"/>
  <c r="BU35" i="24"/>
  <c r="AQ35" i="24"/>
  <c r="FG35" i="24" s="1"/>
  <c r="AK35" i="24"/>
  <c r="FA35" i="24" s="1"/>
  <c r="AR35" i="24"/>
  <c r="FH35" i="24" s="1"/>
  <c r="AL35" i="24"/>
  <c r="FB35" i="24" s="1"/>
  <c r="AS35" i="24"/>
  <c r="FI35" i="24" s="1"/>
  <c r="AM35" i="24"/>
  <c r="AT35" i="24"/>
  <c r="FJ35" i="24" s="1"/>
  <c r="BN35" i="24"/>
  <c r="AU35" i="24"/>
  <c r="FK35" i="24" s="1"/>
  <c r="BO35" i="24"/>
  <c r="AV35" i="24"/>
  <c r="FL35" i="24" s="1"/>
  <c r="BP35" i="24"/>
  <c r="AW35" i="24"/>
  <c r="BB35" i="24"/>
  <c r="FR35" i="24" s="1"/>
  <c r="BC35" i="24"/>
  <c r="FS35" i="24" s="1"/>
  <c r="AE35" i="24"/>
  <c r="EU35" i="24" s="1"/>
  <c r="AF35" i="24"/>
  <c r="EV35" i="24" s="1"/>
  <c r="AO35" i="24"/>
  <c r="FE35" i="24" s="1"/>
  <c r="AG35" i="24"/>
  <c r="EW35" i="24" s="1"/>
  <c r="AP35" i="24"/>
  <c r="FF35" i="24" s="1"/>
  <c r="AH35" i="24"/>
  <c r="EX35" i="24" s="1"/>
  <c r="AI35" i="24"/>
  <c r="EY35" i="24" s="1"/>
  <c r="M35" i="24"/>
  <c r="EC35" i="24" s="1"/>
  <c r="BQ35" i="24"/>
  <c r="BR35" i="24" s="1"/>
  <c r="Z35" i="24"/>
  <c r="EP35" i="24" s="1"/>
  <c r="AA35" i="24"/>
  <c r="EQ35" i="24" s="1"/>
  <c r="AY35" i="24"/>
  <c r="FO35" i="24" s="1"/>
  <c r="AJ35" i="24"/>
  <c r="EZ35" i="24" s="1"/>
  <c r="N35" i="24"/>
  <c r="ED35" i="24" s="1"/>
  <c r="Y35" i="24"/>
  <c r="EO35" i="24" s="1"/>
  <c r="AZ35" i="24"/>
  <c r="FP35" i="24" s="1"/>
  <c r="O35" i="24"/>
  <c r="EE35" i="24" s="1"/>
  <c r="BA35" i="24"/>
  <c r="FQ35" i="24" s="1"/>
  <c r="P35" i="24"/>
  <c r="EF35" i="24" s="1"/>
  <c r="S35" i="24"/>
  <c r="X35" i="24"/>
  <c r="EN35" i="24" s="1"/>
  <c r="BV35" i="24"/>
  <c r="Q35" i="24"/>
  <c r="EG35" i="24" s="1"/>
  <c r="AB35" i="24"/>
  <c r="ER35" i="24" s="1"/>
  <c r="BW35" i="24"/>
  <c r="R35" i="24"/>
  <c r="EH35" i="24" s="1"/>
  <c r="V35" i="24"/>
  <c r="EL35" i="24" s="1"/>
  <c r="W35" i="24"/>
  <c r="EM35" i="24" s="1"/>
  <c r="BX35" i="24"/>
  <c r="CM35" i="24"/>
  <c r="BY35" i="24"/>
  <c r="U35" i="24"/>
  <c r="EK35" i="24" s="1"/>
  <c r="AC35" i="24"/>
  <c r="K35" i="24"/>
  <c r="EA35" i="24" s="1"/>
  <c r="L35" i="24"/>
  <c r="EB35" i="24" s="1"/>
  <c r="A26" i="24"/>
  <c r="A36" i="24"/>
  <c r="A46" i="24"/>
  <c r="DR45" i="24"/>
  <c r="DS45" i="24"/>
  <c r="DT45" i="24"/>
  <c r="DG45" i="24"/>
  <c r="DU45" i="24"/>
  <c r="DH45" i="24"/>
  <c r="DV45" i="24"/>
  <c r="DI45" i="24"/>
  <c r="DW45" i="24"/>
  <c r="DJ45" i="24"/>
  <c r="DX45" i="24"/>
  <c r="DK45" i="24"/>
  <c r="DY45" i="24"/>
  <c r="DZ45" i="24" s="1"/>
  <c r="DL45" i="24"/>
  <c r="DQ45" i="24"/>
  <c r="CM45" i="24"/>
  <c r="CN45" i="24"/>
  <c r="CO45" i="24"/>
  <c r="CH45" i="24"/>
  <c r="CI45" i="24"/>
  <c r="CJ45" i="24"/>
  <c r="CK45" i="24"/>
  <c r="CL45" i="24" s="1"/>
  <c r="CP45" i="24"/>
  <c r="CQ45" i="24"/>
  <c r="CR45" i="24"/>
  <c r="CS45" i="24"/>
  <c r="CC45" i="24"/>
  <c r="CT45" i="24"/>
  <c r="CD45" i="24"/>
  <c r="CU45" i="24"/>
  <c r="CV45" i="24" s="1"/>
  <c r="CE45" i="24"/>
  <c r="CF45" i="24"/>
  <c r="CG45" i="24"/>
  <c r="BP45" i="24"/>
  <c r="BQ45" i="24"/>
  <c r="BR45" i="24" s="1"/>
  <c r="BS45" i="24"/>
  <c r="BT45" i="24"/>
  <c r="BU45" i="24"/>
  <c r="BV45" i="24"/>
  <c r="BW45" i="24"/>
  <c r="DM45" i="24"/>
  <c r="BX45" i="24"/>
  <c r="AT45" i="24"/>
  <c r="FJ45" i="24" s="1"/>
  <c r="DN45" i="24"/>
  <c r="BY45" i="24"/>
  <c r="BI45" i="24"/>
  <c r="AU45" i="24"/>
  <c r="FK45" i="24" s="1"/>
  <c r="DO45" i="24"/>
  <c r="DP45" i="24" s="1"/>
  <c r="BZ45" i="24"/>
  <c r="BJ45" i="24"/>
  <c r="CA45" i="24"/>
  <c r="CB45" i="24" s="1"/>
  <c r="BK45" i="24"/>
  <c r="BL45" i="24"/>
  <c r="BM45" i="24"/>
  <c r="AY45" i="24"/>
  <c r="FO45" i="24" s="1"/>
  <c r="BN45" i="24"/>
  <c r="AZ45" i="24"/>
  <c r="FP45" i="24" s="1"/>
  <c r="BO45" i="24"/>
  <c r="BA45" i="24"/>
  <c r="FQ45" i="24" s="1"/>
  <c r="AO45" i="24"/>
  <c r="FE45" i="24" s="1"/>
  <c r="AP45" i="24"/>
  <c r="FF45" i="24" s="1"/>
  <c r="AQ45" i="24"/>
  <c r="FG45" i="24" s="1"/>
  <c r="AR45" i="24"/>
  <c r="FH45" i="24" s="1"/>
  <c r="BB45" i="24"/>
  <c r="FR45" i="24" s="1"/>
  <c r="AS45" i="24"/>
  <c r="FI45" i="24" s="1"/>
  <c r="BC45" i="24"/>
  <c r="FS45" i="24" s="1"/>
  <c r="AV45" i="24"/>
  <c r="FL45" i="24" s="1"/>
  <c r="BD45" i="24"/>
  <c r="FT45" i="24" s="1"/>
  <c r="AW45" i="24"/>
  <c r="AG45" i="24"/>
  <c r="EW45" i="24" s="1"/>
  <c r="AF45" i="24"/>
  <c r="EV45" i="24" s="1"/>
  <c r="AH45" i="24"/>
  <c r="EX45" i="24" s="1"/>
  <c r="AI45" i="24"/>
  <c r="EY45" i="24" s="1"/>
  <c r="AJ45" i="24"/>
  <c r="EZ45" i="24" s="1"/>
  <c r="AK45" i="24"/>
  <c r="FA45" i="24" s="1"/>
  <c r="AL45" i="24"/>
  <c r="FB45" i="24" s="1"/>
  <c r="AM45" i="24"/>
  <c r="BE45" i="24"/>
  <c r="FU45" i="24" s="1"/>
  <c r="W45" i="24"/>
  <c r="EM45" i="24" s="1"/>
  <c r="Q45" i="24"/>
  <c r="EG45" i="24" s="1"/>
  <c r="BF45" i="24"/>
  <c r="FV45" i="24" s="1"/>
  <c r="X45" i="24"/>
  <c r="EN45" i="24" s="1"/>
  <c r="BG45" i="24"/>
  <c r="Y45" i="24"/>
  <c r="EO45" i="24" s="1"/>
  <c r="P45" i="24"/>
  <c r="EF45" i="24" s="1"/>
  <c r="Z45" i="24"/>
  <c r="EP45" i="24" s="1"/>
  <c r="AA45" i="24"/>
  <c r="EQ45" i="24" s="1"/>
  <c r="L45" i="24"/>
  <c r="EB45" i="24" s="1"/>
  <c r="M45" i="24"/>
  <c r="EC45" i="24" s="1"/>
  <c r="O45" i="24"/>
  <c r="EE45" i="24" s="1"/>
  <c r="AB45" i="24"/>
  <c r="ER45" i="24" s="1"/>
  <c r="N45" i="24"/>
  <c r="ED45" i="24" s="1"/>
  <c r="AC45" i="24"/>
  <c r="K45" i="24"/>
  <c r="EA45" i="24" s="1"/>
  <c r="AE45" i="24"/>
  <c r="EU45" i="24" s="1"/>
  <c r="U45" i="24"/>
  <c r="EK45" i="24" s="1"/>
  <c r="V45" i="24"/>
  <c r="EL45" i="24" s="1"/>
  <c r="R45" i="24"/>
  <c r="EH45" i="24" s="1"/>
  <c r="S45" i="24"/>
  <c r="A41" i="24"/>
  <c r="A51" i="24"/>
  <c r="DU50" i="24"/>
  <c r="DV50" i="24"/>
  <c r="DW50" i="24"/>
  <c r="DX50" i="24"/>
  <c r="DY50" i="24"/>
  <c r="DZ50" i="24" s="1"/>
  <c r="DG50" i="24"/>
  <c r="DQ50" i="24"/>
  <c r="DH50" i="24"/>
  <c r="DR50" i="24"/>
  <c r="DI50" i="24"/>
  <c r="DS50" i="24"/>
  <c r="DJ50" i="24"/>
  <c r="DT50" i="24"/>
  <c r="DK50" i="24"/>
  <c r="DL50" i="24"/>
  <c r="DM50" i="24"/>
  <c r="DN50" i="24"/>
  <c r="DO50" i="24"/>
  <c r="DP50" i="24" s="1"/>
  <c r="CC50" i="24"/>
  <c r="CD50" i="24"/>
  <c r="CE50" i="24"/>
  <c r="CH50" i="24"/>
  <c r="CI50" i="24"/>
  <c r="CJ50" i="24"/>
  <c r="CO50" i="24"/>
  <c r="CP50" i="24"/>
  <c r="CQ50" i="24"/>
  <c r="CR50" i="24"/>
  <c r="CS50" i="24"/>
  <c r="CT50" i="24"/>
  <c r="CU50" i="24"/>
  <c r="CV50" i="24" s="1"/>
  <c r="BK50" i="24"/>
  <c r="BL50" i="24"/>
  <c r="BM50" i="24"/>
  <c r="BN50" i="24"/>
  <c r="BO50" i="24"/>
  <c r="BP50" i="24"/>
  <c r="BQ50" i="24"/>
  <c r="BR50" i="24" s="1"/>
  <c r="AO50" i="24"/>
  <c r="FE50" i="24" s="1"/>
  <c r="AP50" i="24"/>
  <c r="FF50" i="24" s="1"/>
  <c r="BS50" i="24"/>
  <c r="BT50" i="24"/>
  <c r="BU50" i="24"/>
  <c r="BV50" i="24"/>
  <c r="CK50" i="24"/>
  <c r="CL50" i="24" s="1"/>
  <c r="CA50" i="24"/>
  <c r="CB50" i="24" s="1"/>
  <c r="AQ50" i="24"/>
  <c r="FG50" i="24" s="1"/>
  <c r="AR50" i="24"/>
  <c r="FH50" i="24" s="1"/>
  <c r="AS50" i="24"/>
  <c r="FI50" i="24" s="1"/>
  <c r="AT50" i="24"/>
  <c r="FJ50" i="24" s="1"/>
  <c r="AU50" i="24"/>
  <c r="FK50" i="24" s="1"/>
  <c r="CM50" i="24"/>
  <c r="AV50" i="24"/>
  <c r="FL50" i="24" s="1"/>
  <c r="CN50" i="24"/>
  <c r="BW50" i="24"/>
  <c r="AH50" i="24"/>
  <c r="EX50" i="24" s="1"/>
  <c r="BX50" i="24"/>
  <c r="AI50" i="24"/>
  <c r="EY50" i="24" s="1"/>
  <c r="BY50" i="24"/>
  <c r="BI50" i="24"/>
  <c r="AJ50" i="24"/>
  <c r="EZ50" i="24" s="1"/>
  <c r="BZ50" i="24"/>
  <c r="BJ50" i="24"/>
  <c r="AK50" i="24"/>
  <c r="FA50" i="24" s="1"/>
  <c r="AL50" i="24"/>
  <c r="FB50" i="24" s="1"/>
  <c r="AM50" i="24"/>
  <c r="CF50" i="24"/>
  <c r="AW50" i="24"/>
  <c r="CG50" i="24"/>
  <c r="R50" i="24"/>
  <c r="EH50" i="24" s="1"/>
  <c r="S50" i="24"/>
  <c r="BB50" i="24"/>
  <c r="FR50" i="24" s="1"/>
  <c r="AA50" i="24"/>
  <c r="EQ50" i="24" s="1"/>
  <c r="BA50" i="24"/>
  <c r="FQ50" i="24" s="1"/>
  <c r="BC50" i="24"/>
  <c r="FS50" i="24" s="1"/>
  <c r="L50" i="24"/>
  <c r="EB50" i="24" s="1"/>
  <c r="U50" i="24"/>
  <c r="EK50" i="24" s="1"/>
  <c r="AZ50" i="24"/>
  <c r="FP50" i="24" s="1"/>
  <c r="AF50" i="24"/>
  <c r="EV50" i="24" s="1"/>
  <c r="AC50" i="24"/>
  <c r="V50" i="24"/>
  <c r="EL50" i="24" s="1"/>
  <c r="AY50" i="24"/>
  <c r="FO50" i="24" s="1"/>
  <c r="BD50" i="24"/>
  <c r="FT50" i="24" s="1"/>
  <c r="W50" i="24"/>
  <c r="EM50" i="24" s="1"/>
  <c r="Z50" i="24"/>
  <c r="EP50" i="24" s="1"/>
  <c r="AB50" i="24"/>
  <c r="ER50" i="24" s="1"/>
  <c r="BE50" i="24"/>
  <c r="FU50" i="24" s="1"/>
  <c r="BF50" i="24"/>
  <c r="FV50" i="24" s="1"/>
  <c r="X50" i="24"/>
  <c r="EN50" i="24" s="1"/>
  <c r="AE50" i="24"/>
  <c r="EU50" i="24" s="1"/>
  <c r="AG50" i="24"/>
  <c r="EW50" i="24" s="1"/>
  <c r="Y50" i="24"/>
  <c r="EO50" i="24" s="1"/>
  <c r="K50" i="24"/>
  <c r="EA50" i="24" s="1"/>
  <c r="O50" i="24"/>
  <c r="EE50" i="24" s="1"/>
  <c r="P50" i="24"/>
  <c r="EF50" i="24" s="1"/>
  <c r="N50" i="24"/>
  <c r="ED50" i="24" s="1"/>
  <c r="Q50" i="24"/>
  <c r="EG50" i="24" s="1"/>
  <c r="M50" i="24"/>
  <c r="EC50" i="24" s="1"/>
  <c r="BG50" i="24"/>
  <c r="DQ55" i="24"/>
  <c r="DR55" i="24"/>
  <c r="DS55" i="24"/>
  <c r="DT55" i="24"/>
  <c r="DU55" i="24"/>
  <c r="DV55" i="24"/>
  <c r="DW55" i="24"/>
  <c r="DO55" i="24"/>
  <c r="DP55" i="24" s="1"/>
  <c r="DX55" i="24"/>
  <c r="DY55" i="24"/>
  <c r="DZ55" i="24" s="1"/>
  <c r="DK55" i="24"/>
  <c r="CR55" i="24"/>
  <c r="DL55" i="24"/>
  <c r="CS55" i="24"/>
  <c r="DM55" i="24"/>
  <c r="CT55" i="24"/>
  <c r="DN55" i="24"/>
  <c r="CU55" i="24"/>
  <c r="CV55" i="24" s="1"/>
  <c r="CN55" i="24"/>
  <c r="CO55" i="24"/>
  <c r="CP55" i="24"/>
  <c r="CQ55" i="24"/>
  <c r="CD55" i="24"/>
  <c r="DG55" i="24"/>
  <c r="DH55" i="24"/>
  <c r="DI55" i="24"/>
  <c r="DJ55" i="24"/>
  <c r="CC55" i="24"/>
  <c r="CE55" i="24"/>
  <c r="BZ55" i="24"/>
  <c r="CA55" i="24"/>
  <c r="CB55" i="24" s="1"/>
  <c r="CM55" i="24"/>
  <c r="BI55" i="24"/>
  <c r="BJ55" i="24"/>
  <c r="BK55" i="24"/>
  <c r="BL55" i="24"/>
  <c r="BM55" i="24"/>
  <c r="CF55" i="24"/>
  <c r="BD55" i="24"/>
  <c r="FT55" i="24" s="1"/>
  <c r="CG55" i="24"/>
  <c r="BE55" i="24"/>
  <c r="FU55" i="24" s="1"/>
  <c r="CH55" i="24"/>
  <c r="BF55" i="24"/>
  <c r="FV55" i="24" s="1"/>
  <c r="CI55" i="24"/>
  <c r="BG55" i="24"/>
  <c r="CJ55" i="24"/>
  <c r="CK55" i="24"/>
  <c r="CL55" i="24" s="1"/>
  <c r="AZ55" i="24"/>
  <c r="FP55" i="24" s="1"/>
  <c r="AO55" i="24"/>
  <c r="FE55" i="24" s="1"/>
  <c r="AK55" i="24"/>
  <c r="FA55" i="24" s="1"/>
  <c r="BA55" i="24"/>
  <c r="FQ55" i="24" s="1"/>
  <c r="AP55" i="24"/>
  <c r="FF55" i="24" s="1"/>
  <c r="BB55" i="24"/>
  <c r="FR55" i="24" s="1"/>
  <c r="AQ55" i="24"/>
  <c r="FG55" i="24" s="1"/>
  <c r="AM55" i="24"/>
  <c r="BC55" i="24"/>
  <c r="FS55" i="24" s="1"/>
  <c r="AR55" i="24"/>
  <c r="FH55" i="24" s="1"/>
  <c r="AS55" i="24"/>
  <c r="FI55" i="24" s="1"/>
  <c r="AT55" i="24"/>
  <c r="FJ55" i="24" s="1"/>
  <c r="AU55" i="24"/>
  <c r="FK55" i="24" s="1"/>
  <c r="AI55" i="24"/>
  <c r="EY55" i="24" s="1"/>
  <c r="AJ55" i="24"/>
  <c r="EZ55" i="24" s="1"/>
  <c r="AL55" i="24"/>
  <c r="FB55" i="24" s="1"/>
  <c r="M55" i="24"/>
  <c r="EC55" i="24" s="1"/>
  <c r="Y55" i="24"/>
  <c r="EO55" i="24" s="1"/>
  <c r="AF55" i="24"/>
  <c r="EV55" i="24" s="1"/>
  <c r="AH55" i="24"/>
  <c r="EX55" i="24" s="1"/>
  <c r="BN55" i="24"/>
  <c r="N55" i="24"/>
  <c r="ED55" i="24" s="1"/>
  <c r="BT55" i="24"/>
  <c r="BW55" i="24"/>
  <c r="Z55" i="24"/>
  <c r="EP55" i="24" s="1"/>
  <c r="BO55" i="24"/>
  <c r="AY55" i="24"/>
  <c r="FO55" i="24" s="1"/>
  <c r="O55" i="24"/>
  <c r="EE55" i="24" s="1"/>
  <c r="AG55" i="24"/>
  <c r="EW55" i="24" s="1"/>
  <c r="BY55" i="24"/>
  <c r="BP55" i="24"/>
  <c r="P55" i="24"/>
  <c r="EF55" i="24" s="1"/>
  <c r="BS55" i="24"/>
  <c r="W55" i="24"/>
  <c r="EM55" i="24" s="1"/>
  <c r="BX55" i="24"/>
  <c r="BQ55" i="24"/>
  <c r="BR55" i="24" s="1"/>
  <c r="AV55" i="24"/>
  <c r="FL55" i="24" s="1"/>
  <c r="Q55" i="24"/>
  <c r="EG55" i="24" s="1"/>
  <c r="V55" i="24"/>
  <c r="EL55" i="24" s="1"/>
  <c r="BU55" i="24"/>
  <c r="X55" i="24"/>
  <c r="EN55" i="24" s="1"/>
  <c r="AW55" i="24"/>
  <c r="R55" i="24"/>
  <c r="EH55" i="24" s="1"/>
  <c r="BV55" i="24"/>
  <c r="S55" i="24"/>
  <c r="AE55" i="24"/>
  <c r="EU55" i="24" s="1"/>
  <c r="AA55" i="24"/>
  <c r="EQ55" i="24" s="1"/>
  <c r="U55" i="24"/>
  <c r="EK55" i="24" s="1"/>
  <c r="AB55" i="24"/>
  <c r="ER55" i="24" s="1"/>
  <c r="AC55" i="24"/>
  <c r="K55" i="24"/>
  <c r="EA55" i="24" s="1"/>
  <c r="L55" i="24"/>
  <c r="EB55" i="24" s="1"/>
  <c r="DQ60" i="24"/>
  <c r="DR60" i="24"/>
  <c r="DS60" i="24"/>
  <c r="DJ60" i="24"/>
  <c r="DT60" i="24"/>
  <c r="DK60" i="24"/>
  <c r="DU60" i="24"/>
  <c r="DL60" i="24"/>
  <c r="DV60" i="24"/>
  <c r="DM60" i="24"/>
  <c r="DW60" i="24"/>
  <c r="DN60" i="24"/>
  <c r="DX60" i="24"/>
  <c r="DO60" i="24"/>
  <c r="DP60" i="24" s="1"/>
  <c r="DY60" i="24"/>
  <c r="DZ60" i="24" s="1"/>
  <c r="CM60" i="24"/>
  <c r="CN60" i="24"/>
  <c r="CO60" i="24"/>
  <c r="CP60" i="24"/>
  <c r="CQ60" i="24"/>
  <c r="CR60" i="24"/>
  <c r="CS60" i="24"/>
  <c r="CT60" i="24"/>
  <c r="DG60" i="24"/>
  <c r="DH60" i="24"/>
  <c r="DI60" i="24"/>
  <c r="CC60" i="24"/>
  <c r="CD60" i="24"/>
  <c r="CE60" i="24"/>
  <c r="CF60" i="24"/>
  <c r="CG60" i="24"/>
  <c r="CH60" i="24"/>
  <c r="BU60" i="24"/>
  <c r="BV60" i="24"/>
  <c r="BW60" i="24"/>
  <c r="BX60" i="24"/>
  <c r="BY60" i="24"/>
  <c r="BZ60" i="24"/>
  <c r="CA60" i="24"/>
  <c r="CB60" i="24" s="1"/>
  <c r="BI60" i="24"/>
  <c r="AY60" i="24"/>
  <c r="FO60" i="24" s="1"/>
  <c r="BJ60" i="24"/>
  <c r="AZ60" i="24"/>
  <c r="FP60" i="24" s="1"/>
  <c r="BS60" i="24"/>
  <c r="BK60" i="24"/>
  <c r="BA60" i="24"/>
  <c r="FQ60" i="24" s="1"/>
  <c r="BT60" i="24"/>
  <c r="BL60" i="24"/>
  <c r="BB60" i="24"/>
  <c r="FR60" i="24" s="1"/>
  <c r="CU60" i="24"/>
  <c r="CV60" i="24" s="1"/>
  <c r="BM60" i="24"/>
  <c r="BC60" i="24"/>
  <c r="FS60" i="24" s="1"/>
  <c r="BN60" i="24"/>
  <c r="BD60" i="24"/>
  <c r="FT60" i="24" s="1"/>
  <c r="BO60" i="24"/>
  <c r="BE60" i="24"/>
  <c r="FU60" i="24" s="1"/>
  <c r="BP60" i="24"/>
  <c r="BF60" i="24"/>
  <c r="FV60" i="24" s="1"/>
  <c r="AF60" i="24"/>
  <c r="EV60" i="24" s="1"/>
  <c r="AH60" i="24"/>
  <c r="EX60" i="24" s="1"/>
  <c r="AO60" i="24"/>
  <c r="FE60" i="24" s="1"/>
  <c r="AP60" i="24"/>
  <c r="FF60" i="24" s="1"/>
  <c r="AL60" i="24"/>
  <c r="FB60" i="24" s="1"/>
  <c r="AS60" i="24"/>
  <c r="FI60" i="24" s="1"/>
  <c r="AM60" i="24"/>
  <c r="AT60" i="24"/>
  <c r="FJ60" i="24" s="1"/>
  <c r="BQ60" i="24"/>
  <c r="BR60" i="24" s="1"/>
  <c r="AU60" i="24"/>
  <c r="FK60" i="24" s="1"/>
  <c r="AV60" i="24"/>
  <c r="FL60" i="24" s="1"/>
  <c r="AW60" i="24"/>
  <c r="BG60" i="24"/>
  <c r="CI60" i="24"/>
  <c r="AB60" i="24"/>
  <c r="ER60" i="24" s="1"/>
  <c r="CJ60" i="24"/>
  <c r="AC60" i="24"/>
  <c r="P60" i="24"/>
  <c r="EF60" i="24" s="1"/>
  <c r="W60" i="24"/>
  <c r="EM60" i="24" s="1"/>
  <c r="CK60" i="24"/>
  <c r="CL60" i="24" s="1"/>
  <c r="AQ60" i="24"/>
  <c r="FG60" i="24" s="1"/>
  <c r="V60" i="24"/>
  <c r="EL60" i="24" s="1"/>
  <c r="AR60" i="24"/>
  <c r="FH60" i="24" s="1"/>
  <c r="K60" i="24"/>
  <c r="EA60" i="24" s="1"/>
  <c r="N60" i="24"/>
  <c r="ED60" i="24" s="1"/>
  <c r="U60" i="24"/>
  <c r="EK60" i="24" s="1"/>
  <c r="L60" i="24"/>
  <c r="EB60" i="24" s="1"/>
  <c r="Q60" i="24"/>
  <c r="EG60" i="24" s="1"/>
  <c r="M60" i="24"/>
  <c r="EC60" i="24" s="1"/>
  <c r="S60" i="24"/>
  <c r="AE60" i="24"/>
  <c r="EU60" i="24" s="1"/>
  <c r="O60" i="24"/>
  <c r="EE60" i="24" s="1"/>
  <c r="R60" i="24"/>
  <c r="EH60" i="24" s="1"/>
  <c r="Y60" i="24"/>
  <c r="EO60" i="24" s="1"/>
  <c r="Z60" i="24"/>
  <c r="EP60" i="24" s="1"/>
  <c r="X60" i="24"/>
  <c r="EN60" i="24" s="1"/>
  <c r="AA60" i="24"/>
  <c r="EQ60" i="24" s="1"/>
  <c r="AG60" i="24"/>
  <c r="EW60" i="24" s="1"/>
  <c r="AI60" i="24"/>
  <c r="EY60" i="24" s="1"/>
  <c r="AJ60" i="24"/>
  <c r="EZ60" i="24" s="1"/>
  <c r="AK60" i="24"/>
  <c r="FA60" i="24" s="1"/>
  <c r="A66" i="24"/>
  <c r="DG65" i="24"/>
  <c r="DH65" i="24"/>
  <c r="DI65" i="24"/>
  <c r="DJ65" i="24"/>
  <c r="DK65" i="24"/>
  <c r="DQ65" i="24"/>
  <c r="DL65" i="24"/>
  <c r="DM65" i="24"/>
  <c r="DN65" i="24"/>
  <c r="DO65" i="24"/>
  <c r="DP65" i="24" s="1"/>
  <c r="DV65" i="24"/>
  <c r="DW65" i="24"/>
  <c r="DX65" i="24"/>
  <c r="DY65" i="24"/>
  <c r="DZ65" i="24" s="1"/>
  <c r="CM65" i="24"/>
  <c r="CN65" i="24"/>
  <c r="CO65" i="24"/>
  <c r="CH65" i="24"/>
  <c r="CI65" i="24"/>
  <c r="CJ65" i="24"/>
  <c r="DR65" i="24"/>
  <c r="CD65" i="24"/>
  <c r="DS65" i="24"/>
  <c r="CE65" i="24"/>
  <c r="DT65" i="24"/>
  <c r="CF65" i="24"/>
  <c r="DU65" i="24"/>
  <c r="CG65" i="24"/>
  <c r="CK65" i="24"/>
  <c r="CL65" i="24" s="1"/>
  <c r="CT65" i="24"/>
  <c r="BP65" i="24"/>
  <c r="CU65" i="24"/>
  <c r="CV65" i="24" s="1"/>
  <c r="BQ65" i="24"/>
  <c r="BR65" i="24" s="1"/>
  <c r="BS65" i="24"/>
  <c r="BT65" i="24"/>
  <c r="BU65" i="24"/>
  <c r="BV65" i="24"/>
  <c r="BW65" i="24"/>
  <c r="AY65" i="24"/>
  <c r="FO65" i="24" s="1"/>
  <c r="AZ65" i="24"/>
  <c r="FP65" i="24" s="1"/>
  <c r="BA65" i="24"/>
  <c r="FQ65" i="24" s="1"/>
  <c r="BI65" i="24"/>
  <c r="BJ65" i="24"/>
  <c r="CC65" i="24"/>
  <c r="BK65" i="24"/>
  <c r="BX65" i="24"/>
  <c r="BL65" i="24"/>
  <c r="BY65" i="24"/>
  <c r="BM65" i="24"/>
  <c r="BZ65" i="24"/>
  <c r="BN65" i="24"/>
  <c r="AG65" i="24"/>
  <c r="EW65" i="24" s="1"/>
  <c r="CA65" i="24"/>
  <c r="CB65" i="24" s="1"/>
  <c r="BB65" i="24"/>
  <c r="FR65" i="24" s="1"/>
  <c r="BC65" i="24"/>
  <c r="FS65" i="24" s="1"/>
  <c r="CP65" i="24"/>
  <c r="BD65" i="24"/>
  <c r="FT65" i="24" s="1"/>
  <c r="CQ65" i="24"/>
  <c r="BE65" i="24"/>
  <c r="FU65" i="24" s="1"/>
  <c r="CR65" i="24"/>
  <c r="BF65" i="24"/>
  <c r="FV65" i="24" s="1"/>
  <c r="CS65" i="24"/>
  <c r="BG65" i="24"/>
  <c r="AO65" i="24"/>
  <c r="FE65" i="24" s="1"/>
  <c r="AT65" i="24"/>
  <c r="FJ65" i="24" s="1"/>
  <c r="AJ65" i="24"/>
  <c r="EZ65" i="24" s="1"/>
  <c r="W65" i="24"/>
  <c r="EM65" i="24" s="1"/>
  <c r="K65" i="24"/>
  <c r="EA65" i="24" s="1"/>
  <c r="M65" i="24"/>
  <c r="EC65" i="24" s="1"/>
  <c r="AU65" i="24"/>
  <c r="FK65" i="24" s="1"/>
  <c r="AK65" i="24"/>
  <c r="FA65" i="24" s="1"/>
  <c r="X65" i="24"/>
  <c r="EN65" i="24" s="1"/>
  <c r="Q65" i="24"/>
  <c r="EG65" i="24" s="1"/>
  <c r="AV65" i="24"/>
  <c r="FL65" i="24" s="1"/>
  <c r="AL65" i="24"/>
  <c r="FB65" i="24" s="1"/>
  <c r="Y65" i="24"/>
  <c r="EO65" i="24" s="1"/>
  <c r="L65" i="24"/>
  <c r="EB65" i="24" s="1"/>
  <c r="BO65" i="24"/>
  <c r="AW65" i="24"/>
  <c r="AM65" i="24"/>
  <c r="Z65" i="24"/>
  <c r="EP65" i="24" s="1"/>
  <c r="N65" i="24"/>
  <c r="ED65" i="24" s="1"/>
  <c r="AA65" i="24"/>
  <c r="EQ65" i="24" s="1"/>
  <c r="AB65" i="24"/>
  <c r="ER65" i="24" s="1"/>
  <c r="AC65" i="24"/>
  <c r="P65" i="24"/>
  <c r="EF65" i="24" s="1"/>
  <c r="O65" i="24"/>
  <c r="EE65" i="24" s="1"/>
  <c r="AF65" i="24"/>
  <c r="EV65" i="24" s="1"/>
  <c r="AE65" i="24"/>
  <c r="EU65" i="24" s="1"/>
  <c r="AS65" i="24"/>
  <c r="FI65" i="24" s="1"/>
  <c r="AH65" i="24"/>
  <c r="EX65" i="24" s="1"/>
  <c r="V65" i="24"/>
  <c r="EL65" i="24" s="1"/>
  <c r="R65" i="24"/>
  <c r="EH65" i="24" s="1"/>
  <c r="S65" i="24"/>
  <c r="AP65" i="24"/>
  <c r="FF65" i="24" s="1"/>
  <c r="U65" i="24"/>
  <c r="EK65" i="24" s="1"/>
  <c r="AI65" i="24"/>
  <c r="EY65" i="24" s="1"/>
  <c r="AQ65" i="24"/>
  <c r="FG65" i="24" s="1"/>
  <c r="AR65" i="24"/>
  <c r="FH65" i="24" s="1"/>
  <c r="A71" i="24"/>
  <c r="DU70" i="24"/>
  <c r="DV70" i="24"/>
  <c r="DW70" i="24"/>
  <c r="DX70" i="24"/>
  <c r="DY70" i="24"/>
  <c r="DZ70" i="24" s="1"/>
  <c r="DG70" i="24"/>
  <c r="DH70" i="24"/>
  <c r="DI70" i="24"/>
  <c r="DJ70" i="24"/>
  <c r="DK70" i="24"/>
  <c r="DL70" i="24"/>
  <c r="CO70" i="24"/>
  <c r="CC70" i="24"/>
  <c r="DM70" i="24"/>
  <c r="CP70" i="24"/>
  <c r="CD70" i="24"/>
  <c r="DN70" i="24"/>
  <c r="CQ70" i="24"/>
  <c r="CE70" i="24"/>
  <c r="DO70" i="24"/>
  <c r="DP70" i="24" s="1"/>
  <c r="CR70" i="24"/>
  <c r="CS70" i="24"/>
  <c r="CT70" i="24"/>
  <c r="CU70" i="24"/>
  <c r="CV70" i="24" s="1"/>
  <c r="CI70" i="24"/>
  <c r="CK70" i="24"/>
  <c r="CL70" i="24" s="1"/>
  <c r="DQ70" i="24"/>
  <c r="DR70" i="24"/>
  <c r="DS70" i="24"/>
  <c r="CM70" i="24"/>
  <c r="DT70" i="24"/>
  <c r="CN70" i="24"/>
  <c r="CF70" i="24"/>
  <c r="BK70" i="24"/>
  <c r="CG70" i="24"/>
  <c r="BL70" i="24"/>
  <c r="CH70" i="24"/>
  <c r="BM70" i="24"/>
  <c r="CJ70" i="24"/>
  <c r="BN70" i="24"/>
  <c r="BO70" i="24"/>
  <c r="BP70" i="24"/>
  <c r="BQ70" i="24"/>
  <c r="BR70" i="24" s="1"/>
  <c r="CA70" i="24"/>
  <c r="CB70" i="24" s="1"/>
  <c r="BS70" i="24"/>
  <c r="BA70" i="24"/>
  <c r="FQ70" i="24" s="1"/>
  <c r="AT70" i="24"/>
  <c r="FJ70" i="24" s="1"/>
  <c r="BT70" i="24"/>
  <c r="BB70" i="24"/>
  <c r="FR70" i="24" s="1"/>
  <c r="AU70" i="24"/>
  <c r="FK70" i="24" s="1"/>
  <c r="BU70" i="24"/>
  <c r="BI70" i="24"/>
  <c r="BC70" i="24"/>
  <c r="FS70" i="24" s="1"/>
  <c r="AV70" i="24"/>
  <c r="FL70" i="24" s="1"/>
  <c r="BV70" i="24"/>
  <c r="BJ70" i="24"/>
  <c r="BD70" i="24"/>
  <c r="FT70" i="24" s="1"/>
  <c r="AW70" i="24"/>
  <c r="BW70" i="24"/>
  <c r="BE70" i="24"/>
  <c r="FU70" i="24" s="1"/>
  <c r="BX70" i="24"/>
  <c r="BF70" i="24"/>
  <c r="FV70" i="24" s="1"/>
  <c r="BY70" i="24"/>
  <c r="BG70" i="24"/>
  <c r="BZ70" i="24"/>
  <c r="AQ70" i="24"/>
  <c r="FG70" i="24" s="1"/>
  <c r="AY70" i="24"/>
  <c r="FO70" i="24" s="1"/>
  <c r="AR70" i="24"/>
  <c r="FH70" i="24" s="1"/>
  <c r="AZ70" i="24"/>
  <c r="FP70" i="24" s="1"/>
  <c r="AS70" i="24"/>
  <c r="FI70" i="24" s="1"/>
  <c r="AG70" i="24"/>
  <c r="EW70" i="24" s="1"/>
  <c r="R70" i="24"/>
  <c r="EH70" i="24" s="1"/>
  <c r="AH70" i="24"/>
  <c r="EX70" i="24" s="1"/>
  <c r="S70" i="24"/>
  <c r="AI70" i="24"/>
  <c r="EY70" i="24" s="1"/>
  <c r="AJ70" i="24"/>
  <c r="EZ70" i="24" s="1"/>
  <c r="U70" i="24"/>
  <c r="EK70" i="24" s="1"/>
  <c r="AB70" i="24"/>
  <c r="ER70" i="24" s="1"/>
  <c r="L70" i="24"/>
  <c r="EB70" i="24" s="1"/>
  <c r="AK70" i="24"/>
  <c r="FA70" i="24" s="1"/>
  <c r="V70" i="24"/>
  <c r="EL70" i="24" s="1"/>
  <c r="Z70" i="24"/>
  <c r="EP70" i="24" s="1"/>
  <c r="AA70" i="24"/>
  <c r="EQ70" i="24" s="1"/>
  <c r="AL70" i="24"/>
  <c r="FB70" i="24" s="1"/>
  <c r="W70" i="24"/>
  <c r="EM70" i="24" s="1"/>
  <c r="AM70" i="24"/>
  <c r="X70" i="24"/>
  <c r="EN70" i="24" s="1"/>
  <c r="Y70" i="24"/>
  <c r="EO70" i="24" s="1"/>
  <c r="AC70" i="24"/>
  <c r="K70" i="24"/>
  <c r="EA70" i="24" s="1"/>
  <c r="AO70" i="24"/>
  <c r="FE70" i="24" s="1"/>
  <c r="AE70" i="24"/>
  <c r="EU70" i="24" s="1"/>
  <c r="AP70" i="24"/>
  <c r="FF70" i="24" s="1"/>
  <c r="AF70" i="24"/>
  <c r="EV70" i="24" s="1"/>
  <c r="M70" i="24"/>
  <c r="EC70" i="24" s="1"/>
  <c r="N70" i="24"/>
  <c r="ED70" i="24" s="1"/>
  <c r="Q70" i="24"/>
  <c r="EG70" i="24" s="1"/>
  <c r="O70" i="24"/>
  <c r="EE70" i="24" s="1"/>
  <c r="P70" i="24"/>
  <c r="EF70" i="24" s="1"/>
  <c r="A56" i="24"/>
  <c r="A61" i="24"/>
  <c r="A11" i="24"/>
  <c r="J74" i="24"/>
  <c r="J69" i="24"/>
  <c r="J64" i="24"/>
  <c r="J59" i="24"/>
  <c r="J54" i="24"/>
  <c r="J49" i="24"/>
  <c r="J44" i="24"/>
  <c r="J39" i="24"/>
  <c r="J34" i="24"/>
  <c r="J29" i="24"/>
  <c r="J24" i="24"/>
  <c r="J19" i="24"/>
  <c r="J14" i="24"/>
  <c r="J73" i="24"/>
  <c r="J68" i="24"/>
  <c r="J63" i="24"/>
  <c r="J58" i="24"/>
  <c r="J53" i="24"/>
  <c r="J48" i="24"/>
  <c r="J43" i="24"/>
  <c r="J38" i="24"/>
  <c r="J33" i="24"/>
  <c r="J28" i="24"/>
  <c r="J23" i="24"/>
  <c r="J18" i="24"/>
  <c r="J13" i="24"/>
  <c r="J72" i="24"/>
  <c r="J67" i="24"/>
  <c r="J62" i="24"/>
  <c r="J57" i="24"/>
  <c r="J52" i="24"/>
  <c r="J47" i="24"/>
  <c r="J42" i="24"/>
  <c r="J37" i="24"/>
  <c r="J32" i="24"/>
  <c r="J27" i="24"/>
  <c r="J22" i="24"/>
  <c r="J17" i="24"/>
  <c r="J12" i="24"/>
  <c r="J71" i="24"/>
  <c r="J66" i="24"/>
  <c r="J61" i="24"/>
  <c r="J56" i="24"/>
  <c r="J51" i="24"/>
  <c r="J46" i="24"/>
  <c r="J41" i="24"/>
  <c r="J36" i="24"/>
  <c r="J31" i="24"/>
  <c r="J26" i="24"/>
  <c r="J21" i="24"/>
  <c r="J16" i="24"/>
  <c r="J11" i="24"/>
  <c r="L11" i="24" l="1"/>
  <c r="S11" i="24"/>
  <c r="A47" i="24"/>
  <c r="DQ46" i="24"/>
  <c r="DR46" i="24"/>
  <c r="DS46" i="24"/>
  <c r="DT46" i="24"/>
  <c r="DU46" i="24"/>
  <c r="DV46" i="24"/>
  <c r="DW46" i="24"/>
  <c r="DX46" i="24"/>
  <c r="DH46" i="24"/>
  <c r="DI46" i="24"/>
  <c r="DJ46" i="24"/>
  <c r="DK46" i="24"/>
  <c r="DL46" i="24"/>
  <c r="DM46" i="24"/>
  <c r="DN46" i="24"/>
  <c r="DO46" i="24"/>
  <c r="DP46" i="24" s="1"/>
  <c r="DY46" i="24"/>
  <c r="DZ46" i="24" s="1"/>
  <c r="CS46" i="24"/>
  <c r="CT46" i="24"/>
  <c r="CU46" i="24"/>
  <c r="CV46" i="24" s="1"/>
  <c r="CD46" i="24"/>
  <c r="CE46" i="24"/>
  <c r="CF46" i="24"/>
  <c r="CM46" i="24"/>
  <c r="CN46" i="24"/>
  <c r="CO46" i="24"/>
  <c r="CJ46" i="24"/>
  <c r="CA46" i="24"/>
  <c r="CB46" i="24" s="1"/>
  <c r="CP46" i="24"/>
  <c r="CK46" i="24"/>
  <c r="CL46" i="24" s="1"/>
  <c r="CQ46" i="24"/>
  <c r="BI46" i="24"/>
  <c r="CR46" i="24"/>
  <c r="BJ46" i="24"/>
  <c r="BK46" i="24"/>
  <c r="BL46" i="24"/>
  <c r="BM46" i="24"/>
  <c r="BN46" i="24"/>
  <c r="CC46" i="24"/>
  <c r="BE46" i="24"/>
  <c r="FU46" i="24" s="1"/>
  <c r="CG46" i="24"/>
  <c r="BF46" i="24"/>
  <c r="FV46" i="24" s="1"/>
  <c r="CH46" i="24"/>
  <c r="BG46" i="24"/>
  <c r="DG46" i="24"/>
  <c r="CI46" i="24"/>
  <c r="BS46" i="24"/>
  <c r="BT46" i="24"/>
  <c r="BU46" i="24"/>
  <c r="BV46" i="24"/>
  <c r="BO46" i="24"/>
  <c r="AL46" i="24"/>
  <c r="FB46" i="24" s="1"/>
  <c r="BP46" i="24"/>
  <c r="BQ46" i="24"/>
  <c r="BR46" i="24" s="1"/>
  <c r="BW46" i="24"/>
  <c r="BX46" i="24"/>
  <c r="BY46" i="24"/>
  <c r="BZ46" i="24"/>
  <c r="BD46" i="24"/>
  <c r="FT46" i="24" s="1"/>
  <c r="AO46" i="24"/>
  <c r="FE46" i="24" s="1"/>
  <c r="AP46" i="24"/>
  <c r="FF46" i="24" s="1"/>
  <c r="AQ46" i="24"/>
  <c r="FG46" i="24" s="1"/>
  <c r="AR46" i="24"/>
  <c r="FH46" i="24" s="1"/>
  <c r="AS46" i="24"/>
  <c r="FI46" i="24" s="1"/>
  <c r="AT46" i="24"/>
  <c r="FJ46" i="24" s="1"/>
  <c r="AU46" i="24"/>
  <c r="FK46" i="24" s="1"/>
  <c r="AV46" i="24"/>
  <c r="FL46" i="24" s="1"/>
  <c r="AE46" i="24"/>
  <c r="EU46" i="24" s="1"/>
  <c r="N46" i="24"/>
  <c r="ED46" i="24" s="1"/>
  <c r="O46" i="24"/>
  <c r="EE46" i="24" s="1"/>
  <c r="AG46" i="24"/>
  <c r="EW46" i="24" s="1"/>
  <c r="AH46" i="24"/>
  <c r="EX46" i="24" s="1"/>
  <c r="P46" i="24"/>
  <c r="EF46" i="24" s="1"/>
  <c r="X46" i="24"/>
  <c r="EN46" i="24" s="1"/>
  <c r="AK46" i="24"/>
  <c r="FA46" i="24" s="1"/>
  <c r="AY46" i="24"/>
  <c r="FO46" i="24" s="1"/>
  <c r="Q46" i="24"/>
  <c r="EG46" i="24" s="1"/>
  <c r="W46" i="24"/>
  <c r="EM46" i="24" s="1"/>
  <c r="AZ46" i="24"/>
  <c r="FP46" i="24" s="1"/>
  <c r="R46" i="24"/>
  <c r="EH46" i="24" s="1"/>
  <c r="Y46" i="24"/>
  <c r="EO46" i="24" s="1"/>
  <c r="BA46" i="24"/>
  <c r="FQ46" i="24" s="1"/>
  <c r="S46" i="24"/>
  <c r="AI46" i="24"/>
  <c r="EY46" i="24" s="1"/>
  <c r="Z46" i="24"/>
  <c r="EP46" i="24" s="1"/>
  <c r="AM46" i="24"/>
  <c r="AB46" i="24"/>
  <c r="ER46" i="24" s="1"/>
  <c r="BB46" i="24"/>
  <c r="FR46" i="24" s="1"/>
  <c r="V46" i="24"/>
  <c r="EL46" i="24" s="1"/>
  <c r="AC46" i="24"/>
  <c r="BC46" i="24"/>
  <c r="FS46" i="24" s="1"/>
  <c r="U46" i="24"/>
  <c r="EK46" i="24" s="1"/>
  <c r="AF46" i="24"/>
  <c r="EV46" i="24" s="1"/>
  <c r="AJ46" i="24"/>
  <c r="EZ46" i="24" s="1"/>
  <c r="AA46" i="24"/>
  <c r="EQ46" i="24" s="1"/>
  <c r="L46" i="24"/>
  <c r="EB46" i="24" s="1"/>
  <c r="K46" i="24"/>
  <c r="EA46" i="24" s="1"/>
  <c r="AW46" i="24"/>
  <c r="M46" i="24"/>
  <c r="EC46" i="24" s="1"/>
  <c r="A57" i="24"/>
  <c r="DS56" i="24"/>
  <c r="DT56" i="24"/>
  <c r="DG56" i="24"/>
  <c r="DU56" i="24"/>
  <c r="DH56" i="24"/>
  <c r="DV56" i="24"/>
  <c r="DI56" i="24"/>
  <c r="DW56" i="24"/>
  <c r="DJ56" i="24"/>
  <c r="DX56" i="24"/>
  <c r="DK56" i="24"/>
  <c r="DY56" i="24"/>
  <c r="DZ56" i="24" s="1"/>
  <c r="DL56" i="24"/>
  <c r="DM56" i="24"/>
  <c r="DQ56" i="24"/>
  <c r="DR56" i="24"/>
  <c r="DN56" i="24"/>
  <c r="CM56" i="24"/>
  <c r="DO56" i="24"/>
  <c r="DP56" i="24" s="1"/>
  <c r="CN56" i="24"/>
  <c r="CO56" i="24"/>
  <c r="CP56" i="24"/>
  <c r="CI56" i="24"/>
  <c r="CJ56" i="24"/>
  <c r="CK56" i="24"/>
  <c r="CL56" i="24" s="1"/>
  <c r="CQ56" i="24"/>
  <c r="CR56" i="24"/>
  <c r="CS56" i="24"/>
  <c r="CT56" i="24"/>
  <c r="CU56" i="24"/>
  <c r="CV56" i="24" s="1"/>
  <c r="CE56" i="24"/>
  <c r="BQ56" i="24"/>
  <c r="BR56" i="24" s="1"/>
  <c r="CF56" i="24"/>
  <c r="CG56" i="24"/>
  <c r="BS56" i="24"/>
  <c r="CH56" i="24"/>
  <c r="BT56" i="24"/>
  <c r="BU56" i="24"/>
  <c r="BV56" i="24"/>
  <c r="BW56" i="24"/>
  <c r="BX56" i="24"/>
  <c r="BY56" i="24"/>
  <c r="BI56" i="24"/>
  <c r="BZ56" i="24"/>
  <c r="BJ56" i="24"/>
  <c r="CA56" i="24"/>
  <c r="CB56" i="24" s="1"/>
  <c r="BK56" i="24"/>
  <c r="BL56" i="24"/>
  <c r="BM56" i="24"/>
  <c r="AY56" i="24"/>
  <c r="FO56" i="24" s="1"/>
  <c r="BN56" i="24"/>
  <c r="AZ56" i="24"/>
  <c r="FP56" i="24" s="1"/>
  <c r="CC56" i="24"/>
  <c r="BO56" i="24"/>
  <c r="BA56" i="24"/>
  <c r="FQ56" i="24" s="1"/>
  <c r="CD56" i="24"/>
  <c r="BP56" i="24"/>
  <c r="BB56" i="24"/>
  <c r="FR56" i="24" s="1"/>
  <c r="BC56" i="24"/>
  <c r="FS56" i="24" s="1"/>
  <c r="BD56" i="24"/>
  <c r="FT56" i="24" s="1"/>
  <c r="BE56" i="24"/>
  <c r="FU56" i="24" s="1"/>
  <c r="AH56" i="24"/>
  <c r="EX56" i="24" s="1"/>
  <c r="AU56" i="24"/>
  <c r="FK56" i="24" s="1"/>
  <c r="AV56" i="24"/>
  <c r="FL56" i="24" s="1"/>
  <c r="AW56" i="24"/>
  <c r="AE56" i="24"/>
  <c r="EU56" i="24" s="1"/>
  <c r="AF56" i="24"/>
  <c r="EV56" i="24" s="1"/>
  <c r="AG56" i="24"/>
  <c r="EW56" i="24" s="1"/>
  <c r="AI56" i="24"/>
  <c r="EY56" i="24" s="1"/>
  <c r="AJ56" i="24"/>
  <c r="EZ56" i="24" s="1"/>
  <c r="X56" i="24"/>
  <c r="EN56" i="24" s="1"/>
  <c r="AQ56" i="24"/>
  <c r="FG56" i="24" s="1"/>
  <c r="AS56" i="24"/>
  <c r="FI56" i="24" s="1"/>
  <c r="O56" i="24"/>
  <c r="EE56" i="24" s="1"/>
  <c r="Y56" i="24"/>
  <c r="EO56" i="24" s="1"/>
  <c r="Z56" i="24"/>
  <c r="EP56" i="24" s="1"/>
  <c r="P56" i="24"/>
  <c r="EF56" i="24" s="1"/>
  <c r="BF56" i="24"/>
  <c r="FV56" i="24" s="1"/>
  <c r="AA56" i="24"/>
  <c r="EQ56" i="24" s="1"/>
  <c r="BG56" i="24"/>
  <c r="AB56" i="24"/>
  <c r="ER56" i="24" s="1"/>
  <c r="AR56" i="24"/>
  <c r="FH56" i="24" s="1"/>
  <c r="R56" i="24"/>
  <c r="EH56" i="24" s="1"/>
  <c r="AC56" i="24"/>
  <c r="L56" i="24"/>
  <c r="EB56" i="24" s="1"/>
  <c r="M56" i="24"/>
  <c r="EC56" i="24" s="1"/>
  <c r="N56" i="24"/>
  <c r="ED56" i="24" s="1"/>
  <c r="Q56" i="24"/>
  <c r="EG56" i="24" s="1"/>
  <c r="AO56" i="24"/>
  <c r="FE56" i="24" s="1"/>
  <c r="AP56" i="24"/>
  <c r="FF56" i="24" s="1"/>
  <c r="K56" i="24"/>
  <c r="EA56" i="24" s="1"/>
  <c r="AT56" i="24"/>
  <c r="FJ56" i="24" s="1"/>
  <c r="U56" i="24"/>
  <c r="EK56" i="24" s="1"/>
  <c r="V56" i="24"/>
  <c r="EL56" i="24" s="1"/>
  <c r="AM56" i="24"/>
  <c r="W56" i="24"/>
  <c r="EM56" i="24" s="1"/>
  <c r="S56" i="24"/>
  <c r="AK56" i="24"/>
  <c r="FA56" i="24" s="1"/>
  <c r="AL56" i="24"/>
  <c r="FB56" i="24" s="1"/>
  <c r="A37" i="24"/>
  <c r="DG36" i="24"/>
  <c r="DH36" i="24"/>
  <c r="DI36" i="24"/>
  <c r="DJ36" i="24"/>
  <c r="DK36" i="24"/>
  <c r="DL36" i="24"/>
  <c r="DM36" i="24"/>
  <c r="DW36" i="24"/>
  <c r="DX36" i="24"/>
  <c r="DY36" i="24"/>
  <c r="DZ36" i="24" s="1"/>
  <c r="DQ36" i="24"/>
  <c r="DR36" i="24"/>
  <c r="DS36" i="24"/>
  <c r="CM36" i="24"/>
  <c r="DT36" i="24"/>
  <c r="CN36" i="24"/>
  <c r="DU36" i="24"/>
  <c r="CO36" i="24"/>
  <c r="DV36" i="24"/>
  <c r="CP36" i="24"/>
  <c r="CU36" i="24"/>
  <c r="CV36" i="24" s="1"/>
  <c r="CI36" i="24"/>
  <c r="CJ36" i="24"/>
  <c r="CK36" i="24"/>
  <c r="CL36" i="24" s="1"/>
  <c r="DN36" i="24"/>
  <c r="DO36" i="24"/>
  <c r="DP36" i="24" s="1"/>
  <c r="BQ36" i="24"/>
  <c r="BR36" i="24" s="1"/>
  <c r="BS36" i="24"/>
  <c r="BT36" i="24"/>
  <c r="CQ36" i="24"/>
  <c r="BU36" i="24"/>
  <c r="CR36" i="24"/>
  <c r="BV36" i="24"/>
  <c r="CS36" i="24"/>
  <c r="CC36" i="24"/>
  <c r="BW36" i="24"/>
  <c r="CT36" i="24"/>
  <c r="CD36" i="24"/>
  <c r="BX36" i="24"/>
  <c r="CE36" i="24"/>
  <c r="AU36" i="24"/>
  <c r="FK36" i="24" s="1"/>
  <c r="CF36" i="24"/>
  <c r="AV36" i="24"/>
  <c r="FL36" i="24" s="1"/>
  <c r="CG36" i="24"/>
  <c r="CH36" i="24"/>
  <c r="AY36" i="24"/>
  <c r="FO36" i="24" s="1"/>
  <c r="AZ36" i="24"/>
  <c r="FP36" i="24" s="1"/>
  <c r="BA36" i="24"/>
  <c r="FQ36" i="24" s="1"/>
  <c r="BB36" i="24"/>
  <c r="FR36" i="24" s="1"/>
  <c r="BG36" i="24"/>
  <c r="AH36" i="24"/>
  <c r="EX36" i="24" s="1"/>
  <c r="BC36" i="24"/>
  <c r="FS36" i="24" s="1"/>
  <c r="BD36" i="24"/>
  <c r="FT36" i="24" s="1"/>
  <c r="BE36" i="24"/>
  <c r="FU36" i="24" s="1"/>
  <c r="BF36" i="24"/>
  <c r="FV36" i="24" s="1"/>
  <c r="BO36" i="24"/>
  <c r="AO36" i="24"/>
  <c r="FE36" i="24" s="1"/>
  <c r="X36" i="24"/>
  <c r="EN36" i="24" s="1"/>
  <c r="AM36" i="24"/>
  <c r="BP36" i="24"/>
  <c r="AP36" i="24"/>
  <c r="FF36" i="24" s="1"/>
  <c r="Y36" i="24"/>
  <c r="EO36" i="24" s="1"/>
  <c r="BZ36" i="24"/>
  <c r="AQ36" i="24"/>
  <c r="FG36" i="24" s="1"/>
  <c r="AE36" i="24"/>
  <c r="EU36" i="24" s="1"/>
  <c r="Z36" i="24"/>
  <c r="EP36" i="24" s="1"/>
  <c r="AL36" i="24"/>
  <c r="FB36" i="24" s="1"/>
  <c r="O36" i="24"/>
  <c r="EE36" i="24" s="1"/>
  <c r="AR36" i="24"/>
  <c r="FH36" i="24" s="1"/>
  <c r="AF36" i="24"/>
  <c r="EV36" i="24" s="1"/>
  <c r="AA36" i="24"/>
  <c r="EQ36" i="24" s="1"/>
  <c r="CA36" i="24"/>
  <c r="CB36" i="24" s="1"/>
  <c r="AS36" i="24"/>
  <c r="FI36" i="24" s="1"/>
  <c r="AG36" i="24"/>
  <c r="EW36" i="24" s="1"/>
  <c r="AB36" i="24"/>
  <c r="ER36" i="24" s="1"/>
  <c r="BY36" i="24"/>
  <c r="L36" i="24"/>
  <c r="EB36" i="24" s="1"/>
  <c r="AT36" i="24"/>
  <c r="FJ36" i="24" s="1"/>
  <c r="AI36" i="24"/>
  <c r="EY36" i="24" s="1"/>
  <c r="AC36" i="24"/>
  <c r="Q36" i="24"/>
  <c r="EG36" i="24" s="1"/>
  <c r="R36" i="24"/>
  <c r="EH36" i="24" s="1"/>
  <c r="AW36" i="24"/>
  <c r="AJ36" i="24"/>
  <c r="EZ36" i="24" s="1"/>
  <c r="N36" i="24"/>
  <c r="ED36" i="24" s="1"/>
  <c r="P36" i="24"/>
  <c r="EF36" i="24" s="1"/>
  <c r="BI36" i="24"/>
  <c r="BJ36" i="24"/>
  <c r="AK36" i="24"/>
  <c r="FA36" i="24" s="1"/>
  <c r="K36" i="24"/>
  <c r="EA36" i="24" s="1"/>
  <c r="M36" i="24"/>
  <c r="EC36" i="24" s="1"/>
  <c r="BL36" i="24"/>
  <c r="S36" i="24"/>
  <c r="BK36" i="24"/>
  <c r="U36" i="24"/>
  <c r="EK36" i="24" s="1"/>
  <c r="V36" i="24"/>
  <c r="EL36" i="24" s="1"/>
  <c r="W36" i="24"/>
  <c r="EM36" i="24" s="1"/>
  <c r="BM36" i="24"/>
  <c r="BN36" i="24"/>
  <c r="AN45" i="24"/>
  <c r="FD45" i="24" s="1"/>
  <c r="FC45" i="24"/>
  <c r="AX15" i="24"/>
  <c r="FN15" i="24" s="1"/>
  <c r="FM15" i="24"/>
  <c r="AX25" i="24"/>
  <c r="FN25" i="24" s="1"/>
  <c r="FM25" i="24"/>
  <c r="A52" i="24"/>
  <c r="DQ51" i="24"/>
  <c r="DR51" i="24"/>
  <c r="DS51" i="24"/>
  <c r="DK51" i="24"/>
  <c r="DL51" i="24"/>
  <c r="DM51" i="24"/>
  <c r="DN51" i="24"/>
  <c r="DO51" i="24"/>
  <c r="DP51" i="24" s="1"/>
  <c r="DT51" i="24"/>
  <c r="DU51" i="24"/>
  <c r="DV51" i="24"/>
  <c r="DW51" i="24"/>
  <c r="CN51" i="24"/>
  <c r="CO51" i="24"/>
  <c r="CP51" i="24"/>
  <c r="CQ51" i="24"/>
  <c r="DG51" i="24"/>
  <c r="CR51" i="24"/>
  <c r="DH51" i="24"/>
  <c r="CS51" i="24"/>
  <c r="DI51" i="24"/>
  <c r="CT51" i="24"/>
  <c r="DJ51" i="24"/>
  <c r="CU51" i="24"/>
  <c r="CV51" i="24" s="1"/>
  <c r="CF51" i="24"/>
  <c r="CG51" i="24"/>
  <c r="CH51" i="24"/>
  <c r="CI51" i="24"/>
  <c r="CJ51" i="24"/>
  <c r="CK51" i="24"/>
  <c r="CL51" i="24" s="1"/>
  <c r="CM51" i="24"/>
  <c r="BV51" i="24"/>
  <c r="BW51" i="24"/>
  <c r="BX51" i="24"/>
  <c r="BY51" i="24"/>
  <c r="BZ51" i="24"/>
  <c r="CA51" i="24"/>
  <c r="CB51" i="24" s="1"/>
  <c r="BI51" i="24"/>
  <c r="AZ51" i="24"/>
  <c r="FP51" i="24" s="1"/>
  <c r="BA51" i="24"/>
  <c r="FQ51" i="24" s="1"/>
  <c r="BB51" i="24"/>
  <c r="FR51" i="24" s="1"/>
  <c r="BC51" i="24"/>
  <c r="FS51" i="24" s="1"/>
  <c r="BD51" i="24"/>
  <c r="FT51" i="24" s="1"/>
  <c r="BE51" i="24"/>
  <c r="FU51" i="24" s="1"/>
  <c r="BF51" i="24"/>
  <c r="FV51" i="24" s="1"/>
  <c r="BG51" i="24"/>
  <c r="BN51" i="24"/>
  <c r="AG51" i="24"/>
  <c r="EW51" i="24" s="1"/>
  <c r="CC51" i="24"/>
  <c r="BS51" i="24"/>
  <c r="BO51" i="24"/>
  <c r="CD51" i="24"/>
  <c r="BT51" i="24"/>
  <c r="BP51" i="24"/>
  <c r="AI51" i="24"/>
  <c r="EY51" i="24" s="1"/>
  <c r="CE51" i="24"/>
  <c r="BU51" i="24"/>
  <c r="BQ51" i="24"/>
  <c r="BR51" i="24" s="1"/>
  <c r="DX51" i="24"/>
  <c r="DY51" i="24"/>
  <c r="DZ51" i="24" s="1"/>
  <c r="AM51" i="24"/>
  <c r="BJ51" i="24"/>
  <c r="BK51" i="24"/>
  <c r="BL51" i="24"/>
  <c r="AE51" i="24"/>
  <c r="EU51" i="24" s="1"/>
  <c r="BM51" i="24"/>
  <c r="AO51" i="24"/>
  <c r="FE51" i="24" s="1"/>
  <c r="AF51" i="24"/>
  <c r="EV51" i="24" s="1"/>
  <c r="AC51" i="24"/>
  <c r="AS51" i="24"/>
  <c r="FI51" i="24" s="1"/>
  <c r="R51" i="24"/>
  <c r="EH51" i="24" s="1"/>
  <c r="S51" i="24"/>
  <c r="AT51" i="24"/>
  <c r="FJ51" i="24" s="1"/>
  <c r="AJ51" i="24"/>
  <c r="EZ51" i="24" s="1"/>
  <c r="AV51" i="24"/>
  <c r="FL51" i="24" s="1"/>
  <c r="K51" i="24"/>
  <c r="EA51" i="24" s="1"/>
  <c r="AP51" i="24"/>
  <c r="FF51" i="24" s="1"/>
  <c r="AW51" i="24"/>
  <c r="L51" i="24"/>
  <c r="EB51" i="24" s="1"/>
  <c r="O51" i="24"/>
  <c r="EE51" i="24" s="1"/>
  <c r="Q51" i="24"/>
  <c r="EG51" i="24" s="1"/>
  <c r="AH51" i="24"/>
  <c r="EX51" i="24" s="1"/>
  <c r="U51" i="24"/>
  <c r="EK51" i="24" s="1"/>
  <c r="AU51" i="24"/>
  <c r="FK51" i="24" s="1"/>
  <c r="X51" i="24"/>
  <c r="EN51" i="24" s="1"/>
  <c r="M51" i="24"/>
  <c r="EC51" i="24" s="1"/>
  <c r="AK51" i="24"/>
  <c r="FA51" i="24" s="1"/>
  <c r="N51" i="24"/>
  <c r="ED51" i="24" s="1"/>
  <c r="AR51" i="24"/>
  <c r="FH51" i="24" s="1"/>
  <c r="V51" i="24"/>
  <c r="EL51" i="24" s="1"/>
  <c r="P51" i="24"/>
  <c r="EF51" i="24" s="1"/>
  <c r="AQ51" i="24"/>
  <c r="FG51" i="24" s="1"/>
  <c r="W51" i="24"/>
  <c r="EM51" i="24" s="1"/>
  <c r="AL51" i="24"/>
  <c r="FB51" i="24" s="1"/>
  <c r="Y51" i="24"/>
  <c r="EO51" i="24" s="1"/>
  <c r="AY51" i="24"/>
  <c r="FO51" i="24" s="1"/>
  <c r="AA51" i="24"/>
  <c r="EQ51" i="24" s="1"/>
  <c r="Z51" i="24"/>
  <c r="EP51" i="24" s="1"/>
  <c r="AB51" i="24"/>
  <c r="ER51" i="24" s="1"/>
  <c r="A32" i="24"/>
  <c r="DQ31" i="24"/>
  <c r="DR31" i="24"/>
  <c r="DS31" i="24"/>
  <c r="DK31" i="24"/>
  <c r="DL31" i="24"/>
  <c r="DM31" i="24"/>
  <c r="DN31" i="24"/>
  <c r="DT31" i="24"/>
  <c r="DO31" i="24"/>
  <c r="DP31" i="24" s="1"/>
  <c r="DU31" i="24"/>
  <c r="DV31" i="24"/>
  <c r="DW31" i="24"/>
  <c r="DX31" i="24"/>
  <c r="DG31" i="24"/>
  <c r="DY31" i="24"/>
  <c r="DZ31" i="24" s="1"/>
  <c r="DH31" i="24"/>
  <c r="DI31" i="24"/>
  <c r="DJ31" i="24"/>
  <c r="CN31" i="24"/>
  <c r="CO31" i="24"/>
  <c r="CP31" i="24"/>
  <c r="CQ31" i="24"/>
  <c r="CR31" i="24"/>
  <c r="CS31" i="24"/>
  <c r="CT31" i="24"/>
  <c r="CU31" i="24"/>
  <c r="CV31" i="24" s="1"/>
  <c r="CC31" i="24"/>
  <c r="CD31" i="24"/>
  <c r="CE31" i="24"/>
  <c r="BV31" i="24"/>
  <c r="BW31" i="24"/>
  <c r="BX31" i="24"/>
  <c r="BY31" i="24"/>
  <c r="BZ31" i="24"/>
  <c r="CA31" i="24"/>
  <c r="CB31" i="24" s="1"/>
  <c r="BI31" i="24"/>
  <c r="AZ31" i="24"/>
  <c r="FP31" i="24" s="1"/>
  <c r="BA31" i="24"/>
  <c r="FQ31" i="24" s="1"/>
  <c r="BB31" i="24"/>
  <c r="FR31" i="24" s="1"/>
  <c r="BC31" i="24"/>
  <c r="FS31" i="24" s="1"/>
  <c r="BJ31" i="24"/>
  <c r="BD31" i="24"/>
  <c r="FT31" i="24" s="1"/>
  <c r="BS31" i="24"/>
  <c r="BK31" i="24"/>
  <c r="BE31" i="24"/>
  <c r="FU31" i="24" s="1"/>
  <c r="BT31" i="24"/>
  <c r="BL31" i="24"/>
  <c r="BF31" i="24"/>
  <c r="FV31" i="24" s="1"/>
  <c r="BU31" i="24"/>
  <c r="BM31" i="24"/>
  <c r="BG31" i="24"/>
  <c r="AG31" i="24"/>
  <c r="EW31" i="24" s="1"/>
  <c r="AH31" i="24"/>
  <c r="EX31" i="24" s="1"/>
  <c r="AI31" i="24"/>
  <c r="EY31" i="24" s="1"/>
  <c r="AJ31" i="24"/>
  <c r="EZ31" i="24" s="1"/>
  <c r="AO31" i="24"/>
  <c r="FE31" i="24" s="1"/>
  <c r="AM31" i="24"/>
  <c r="AL31" i="24"/>
  <c r="FB31" i="24" s="1"/>
  <c r="BN31" i="24"/>
  <c r="BO31" i="24"/>
  <c r="AP31" i="24"/>
  <c r="FF31" i="24" s="1"/>
  <c r="BP31" i="24"/>
  <c r="AQ31" i="24"/>
  <c r="FG31" i="24" s="1"/>
  <c r="BQ31" i="24"/>
  <c r="BR31" i="24" s="1"/>
  <c r="AY31" i="24"/>
  <c r="FO31" i="24" s="1"/>
  <c r="AR31" i="24"/>
  <c r="FH31" i="24" s="1"/>
  <c r="AS31" i="24"/>
  <c r="FI31" i="24" s="1"/>
  <c r="AT31" i="24"/>
  <c r="FJ31" i="24" s="1"/>
  <c r="AU31" i="24"/>
  <c r="FK31" i="24" s="1"/>
  <c r="V31" i="24"/>
  <c r="EL31" i="24" s="1"/>
  <c r="CF31" i="24"/>
  <c r="AA31" i="24"/>
  <c r="EQ31" i="24" s="1"/>
  <c r="CG31" i="24"/>
  <c r="AB31" i="24"/>
  <c r="ER31" i="24" s="1"/>
  <c r="R31" i="24"/>
  <c r="EH31" i="24" s="1"/>
  <c r="CH31" i="24"/>
  <c r="AC31" i="24"/>
  <c r="K31" i="24"/>
  <c r="EA31" i="24" s="1"/>
  <c r="Q31" i="24"/>
  <c r="EG31" i="24" s="1"/>
  <c r="S31" i="24"/>
  <c r="CM31" i="24"/>
  <c r="CI31" i="24"/>
  <c r="L31" i="24"/>
  <c r="EB31" i="24" s="1"/>
  <c r="CJ31" i="24"/>
  <c r="M31" i="24"/>
  <c r="EC31" i="24" s="1"/>
  <c r="O31" i="24"/>
  <c r="EE31" i="24" s="1"/>
  <c r="AV31" i="24"/>
  <c r="FL31" i="24" s="1"/>
  <c r="CK31" i="24"/>
  <c r="CL31" i="24" s="1"/>
  <c r="AE31" i="24"/>
  <c r="EU31" i="24" s="1"/>
  <c r="N31" i="24"/>
  <c r="ED31" i="24" s="1"/>
  <c r="AW31" i="24"/>
  <c r="U31" i="24"/>
  <c r="EK31" i="24" s="1"/>
  <c r="AF31" i="24"/>
  <c r="EV31" i="24" s="1"/>
  <c r="AK31" i="24"/>
  <c r="FA31" i="24" s="1"/>
  <c r="P31" i="24"/>
  <c r="EF31" i="24" s="1"/>
  <c r="W31" i="24"/>
  <c r="EM31" i="24" s="1"/>
  <c r="Z31" i="24"/>
  <c r="EP31" i="24" s="1"/>
  <c r="Y31" i="24"/>
  <c r="EO31" i="24" s="1"/>
  <c r="X31" i="24"/>
  <c r="EN31" i="24" s="1"/>
  <c r="FW50" i="24"/>
  <c r="BH50" i="24"/>
  <c r="FX50" i="24" s="1"/>
  <c r="A17" i="24"/>
  <c r="DG16" i="24"/>
  <c r="DQ16" i="24"/>
  <c r="DH16" i="24"/>
  <c r="DR16" i="24"/>
  <c r="DI16" i="24"/>
  <c r="DS16" i="24"/>
  <c r="DJ16" i="24"/>
  <c r="DT16" i="24"/>
  <c r="DK16" i="24"/>
  <c r="DU16" i="24"/>
  <c r="DL16" i="24"/>
  <c r="DV16" i="24"/>
  <c r="DM16" i="24"/>
  <c r="DN16" i="24"/>
  <c r="DO16" i="24"/>
  <c r="DP16" i="24" s="1"/>
  <c r="DW16" i="24"/>
  <c r="CM16" i="24"/>
  <c r="DX16" i="24"/>
  <c r="CN16" i="24"/>
  <c r="DY16" i="24"/>
  <c r="DZ16" i="24" s="1"/>
  <c r="CO16" i="24"/>
  <c r="CP16" i="24"/>
  <c r="CI16" i="24"/>
  <c r="CJ16" i="24"/>
  <c r="CK16" i="24"/>
  <c r="CL16" i="24" s="1"/>
  <c r="CC16" i="24"/>
  <c r="CD16" i="24"/>
  <c r="CQ16" i="24"/>
  <c r="CE16" i="24"/>
  <c r="BQ16" i="24"/>
  <c r="BR16" i="24" s="1"/>
  <c r="CR16" i="24"/>
  <c r="CF16" i="24"/>
  <c r="CS16" i="24"/>
  <c r="CG16" i="24"/>
  <c r="BS16" i="24"/>
  <c r="CT16" i="24"/>
  <c r="CH16" i="24"/>
  <c r="BT16" i="24"/>
  <c r="CU16" i="24"/>
  <c r="CV16" i="24" s="1"/>
  <c r="BU16" i="24"/>
  <c r="BV16" i="24"/>
  <c r="BW16" i="24"/>
  <c r="BX16" i="24"/>
  <c r="AU16" i="24"/>
  <c r="FK16" i="24" s="1"/>
  <c r="AV16" i="24"/>
  <c r="FL16" i="24" s="1"/>
  <c r="BY16" i="24"/>
  <c r="BI16" i="24"/>
  <c r="AY16" i="24"/>
  <c r="FO16" i="24" s="1"/>
  <c r="BZ16" i="24"/>
  <c r="BJ16" i="24"/>
  <c r="AZ16" i="24"/>
  <c r="FP16" i="24" s="1"/>
  <c r="CA16" i="24"/>
  <c r="CB16" i="24" s="1"/>
  <c r="BK16" i="24"/>
  <c r="BA16" i="24"/>
  <c r="FQ16" i="24" s="1"/>
  <c r="BL16" i="24"/>
  <c r="BB16" i="24"/>
  <c r="FR16" i="24" s="1"/>
  <c r="AE16" i="24"/>
  <c r="EU16" i="24" s="1"/>
  <c r="BM16" i="24"/>
  <c r="BN16" i="24"/>
  <c r="AO16" i="24"/>
  <c r="FE16" i="24" s="1"/>
  <c r="AG16" i="24"/>
  <c r="EW16" i="24" s="1"/>
  <c r="BO16" i="24"/>
  <c r="AP16" i="24"/>
  <c r="FF16" i="24" s="1"/>
  <c r="AH16" i="24"/>
  <c r="EX16" i="24" s="1"/>
  <c r="AK16" i="24"/>
  <c r="FA16" i="24" s="1"/>
  <c r="AL16" i="24"/>
  <c r="FB16" i="24" s="1"/>
  <c r="AM16" i="24"/>
  <c r="AQ16" i="24"/>
  <c r="FG16" i="24" s="1"/>
  <c r="AR16" i="24"/>
  <c r="FH16" i="24" s="1"/>
  <c r="AS16" i="24"/>
  <c r="FI16" i="24" s="1"/>
  <c r="AT16" i="24"/>
  <c r="FJ16" i="24" s="1"/>
  <c r="BF16" i="24"/>
  <c r="FV16" i="24" s="1"/>
  <c r="AW16" i="24"/>
  <c r="AB16" i="24"/>
  <c r="ER16" i="24" s="1"/>
  <c r="BG16" i="24"/>
  <c r="AC16" i="24"/>
  <c r="N16" i="24"/>
  <c r="ED16" i="24" s="1"/>
  <c r="P16" i="24"/>
  <c r="EF16" i="24" s="1"/>
  <c r="U16" i="24"/>
  <c r="EK16" i="24" s="1"/>
  <c r="L16" i="24"/>
  <c r="EB16" i="24" s="1"/>
  <c r="R16" i="24"/>
  <c r="EH16" i="24" s="1"/>
  <c r="O16" i="24"/>
  <c r="EE16" i="24" s="1"/>
  <c r="Q16" i="24"/>
  <c r="EG16" i="24" s="1"/>
  <c r="AF16" i="24"/>
  <c r="EV16" i="24" s="1"/>
  <c r="AI16" i="24"/>
  <c r="EY16" i="24" s="1"/>
  <c r="M16" i="24"/>
  <c r="EC16" i="24" s="1"/>
  <c r="V16" i="24"/>
  <c r="EL16" i="24" s="1"/>
  <c r="AJ16" i="24"/>
  <c r="EZ16" i="24" s="1"/>
  <c r="K16" i="24"/>
  <c r="EA16" i="24" s="1"/>
  <c r="BP16" i="24"/>
  <c r="EM16" i="24"/>
  <c r="BD16" i="24"/>
  <c r="FT16" i="24" s="1"/>
  <c r="BE16" i="24"/>
  <c r="FU16" i="24" s="1"/>
  <c r="S16" i="24"/>
  <c r="X16" i="24"/>
  <c r="EN16" i="24" s="1"/>
  <c r="Z16" i="24"/>
  <c r="EP16" i="24" s="1"/>
  <c r="BC16" i="24"/>
  <c r="FS16" i="24" s="1"/>
  <c r="Y16" i="24"/>
  <c r="EO16" i="24" s="1"/>
  <c r="AA16" i="24"/>
  <c r="EQ16" i="24" s="1"/>
  <c r="T70" i="24"/>
  <c r="EJ70" i="24" s="1"/>
  <c r="EI70" i="24"/>
  <c r="ES45" i="24"/>
  <c r="AD45" i="24"/>
  <c r="ET45" i="24" s="1"/>
  <c r="T15" i="24"/>
  <c r="EJ15" i="24" s="1"/>
  <c r="EI15" i="24"/>
  <c r="FC10" i="24"/>
  <c r="AN10" i="24"/>
  <c r="FD10" i="24" s="1"/>
  <c r="AX50" i="24"/>
  <c r="FN50" i="24" s="1"/>
  <c r="FM50" i="24"/>
  <c r="A12" i="24"/>
  <c r="L12" i="24" s="1"/>
  <c r="DQ11" i="24"/>
  <c r="DR11" i="24"/>
  <c r="DS11" i="24"/>
  <c r="DX11" i="24"/>
  <c r="DK11" i="24"/>
  <c r="DY11" i="24"/>
  <c r="DZ11" i="24" s="1"/>
  <c r="DL11" i="24"/>
  <c r="DM11" i="24"/>
  <c r="DN11" i="24"/>
  <c r="DO11" i="24"/>
  <c r="DP11" i="24" s="1"/>
  <c r="CN11" i="24"/>
  <c r="CO11" i="24"/>
  <c r="CP11" i="24"/>
  <c r="CQ11" i="24"/>
  <c r="CR11" i="24"/>
  <c r="CS11" i="24"/>
  <c r="CT11" i="24"/>
  <c r="CU11" i="24"/>
  <c r="CV11" i="24" s="1"/>
  <c r="CM11" i="24"/>
  <c r="CF11" i="24"/>
  <c r="CG11" i="24"/>
  <c r="CH11" i="24"/>
  <c r="CI11" i="24"/>
  <c r="DT11" i="24"/>
  <c r="CJ11" i="24"/>
  <c r="DU11" i="24"/>
  <c r="CK11" i="24"/>
  <c r="CL11" i="24" s="1"/>
  <c r="DV11" i="24"/>
  <c r="DW11" i="24"/>
  <c r="BV11" i="24"/>
  <c r="BW11" i="24"/>
  <c r="BX11" i="24"/>
  <c r="BY11" i="24"/>
  <c r="DG11" i="24"/>
  <c r="BZ11" i="24"/>
  <c r="DH11" i="24"/>
  <c r="CC11" i="24"/>
  <c r="CA11" i="24"/>
  <c r="CB11" i="24" s="1"/>
  <c r="DI11" i="24"/>
  <c r="CD11" i="24"/>
  <c r="DJ11" i="24"/>
  <c r="CE11" i="24"/>
  <c r="BI11" i="24"/>
  <c r="BN11" i="24"/>
  <c r="AZ11" i="24"/>
  <c r="FP11" i="24" s="1"/>
  <c r="BO11" i="24"/>
  <c r="BA11" i="24"/>
  <c r="FQ11" i="24" s="1"/>
  <c r="BP11" i="24"/>
  <c r="BB11" i="24"/>
  <c r="FR11" i="24" s="1"/>
  <c r="BQ11" i="24"/>
  <c r="BR11" i="24" s="1"/>
  <c r="BC11" i="24"/>
  <c r="FS11" i="24" s="1"/>
  <c r="BD11" i="24"/>
  <c r="FT11" i="24" s="1"/>
  <c r="BE11" i="24"/>
  <c r="FU11" i="24" s="1"/>
  <c r="BF11" i="24"/>
  <c r="FV11" i="24" s="1"/>
  <c r="BG11" i="24"/>
  <c r="AK11" i="24"/>
  <c r="FA11" i="24" s="1"/>
  <c r="AM11" i="24"/>
  <c r="AY11" i="24"/>
  <c r="FO11" i="24" s="1"/>
  <c r="AO11" i="24"/>
  <c r="FE11" i="24" s="1"/>
  <c r="AP11" i="24"/>
  <c r="FF11" i="24" s="1"/>
  <c r="AQ11" i="24"/>
  <c r="FG11" i="24" s="1"/>
  <c r="BL11" i="24"/>
  <c r="AT11" i="24"/>
  <c r="FJ11" i="24" s="1"/>
  <c r="BM11" i="24"/>
  <c r="AU11" i="24"/>
  <c r="FK11" i="24" s="1"/>
  <c r="AV11" i="24"/>
  <c r="FL11" i="24" s="1"/>
  <c r="AW11" i="24"/>
  <c r="BS11" i="24"/>
  <c r="BT11" i="24"/>
  <c r="U11" i="24"/>
  <c r="EK11" i="24" s="1"/>
  <c r="BU11" i="24"/>
  <c r="V11" i="24"/>
  <c r="EL11" i="24" s="1"/>
  <c r="Q11" i="24"/>
  <c r="EG11" i="24" s="1"/>
  <c r="AE11" i="24"/>
  <c r="EU11" i="24" s="1"/>
  <c r="AF11" i="24"/>
  <c r="EV11" i="24" s="1"/>
  <c r="K11" i="24"/>
  <c r="EA11" i="24" s="1"/>
  <c r="AG11" i="24"/>
  <c r="EW11" i="24" s="1"/>
  <c r="EB11" i="24"/>
  <c r="O11" i="24"/>
  <c r="EE11" i="24" s="1"/>
  <c r="AH11" i="24"/>
  <c r="EX11" i="24" s="1"/>
  <c r="W11" i="24"/>
  <c r="EM11" i="24" s="1"/>
  <c r="M11" i="24"/>
  <c r="EC11" i="24" s="1"/>
  <c r="AI11" i="24"/>
  <c r="EY11" i="24" s="1"/>
  <c r="X11" i="24"/>
  <c r="EN11" i="24" s="1"/>
  <c r="N11" i="24"/>
  <c r="ED11" i="24" s="1"/>
  <c r="AB11" i="24"/>
  <c r="ER11" i="24" s="1"/>
  <c r="R11" i="24"/>
  <c r="EH11" i="24" s="1"/>
  <c r="AC11" i="24"/>
  <c r="BJ11" i="24"/>
  <c r="AR11" i="24"/>
  <c r="FH11" i="24" s="1"/>
  <c r="AJ11" i="24"/>
  <c r="EZ11" i="24" s="1"/>
  <c r="Y11" i="24"/>
  <c r="EO11" i="24" s="1"/>
  <c r="BK11" i="24"/>
  <c r="AS11" i="24"/>
  <c r="FI11" i="24" s="1"/>
  <c r="AL11" i="24"/>
  <c r="FB11" i="24" s="1"/>
  <c r="Z11" i="24"/>
  <c r="EP11" i="24" s="1"/>
  <c r="P11" i="24"/>
  <c r="EF11" i="24" s="1"/>
  <c r="AA11" i="24"/>
  <c r="EQ11" i="24" s="1"/>
  <c r="AN40" i="24"/>
  <c r="FD40" i="24" s="1"/>
  <c r="FC40" i="24"/>
  <c r="ES15" i="24"/>
  <c r="AD15" i="24"/>
  <c r="ET15" i="24" s="1"/>
  <c r="BH20" i="24"/>
  <c r="FX20" i="24" s="1"/>
  <c r="FW20" i="24"/>
  <c r="AD60" i="24"/>
  <c r="ET60" i="24" s="1"/>
  <c r="ES60" i="24"/>
  <c r="BH30" i="24"/>
  <c r="FX30" i="24" s="1"/>
  <c r="FW30" i="24"/>
  <c r="AX55" i="24"/>
  <c r="FN55" i="24" s="1"/>
  <c r="FM55" i="24"/>
  <c r="AD70" i="24"/>
  <c r="ET70" i="24" s="1"/>
  <c r="ES70" i="24"/>
  <c r="EI60" i="24"/>
  <c r="T60" i="24"/>
  <c r="EJ60" i="24" s="1"/>
  <c r="AN50" i="24"/>
  <c r="FD50" i="24" s="1"/>
  <c r="FC50" i="24"/>
  <c r="T10" i="24"/>
  <c r="EJ10" i="24" s="1"/>
  <c r="EI10" i="24"/>
  <c r="T30" i="24"/>
  <c r="EJ30" i="24" s="1"/>
  <c r="EI30" i="24"/>
  <c r="AN65" i="24"/>
  <c r="FD65" i="24" s="1"/>
  <c r="FC65" i="24"/>
  <c r="A22" i="24"/>
  <c r="DV21" i="24"/>
  <c r="DW21" i="24"/>
  <c r="DX21" i="24"/>
  <c r="DY21" i="24"/>
  <c r="DZ21" i="24" s="1"/>
  <c r="DG21" i="24"/>
  <c r="DH21" i="24"/>
  <c r="DI21" i="24"/>
  <c r="DJ21" i="24"/>
  <c r="DK21" i="24"/>
  <c r="DQ21" i="24"/>
  <c r="DL21" i="24"/>
  <c r="DR21" i="24"/>
  <c r="CT21" i="24"/>
  <c r="CD21" i="24"/>
  <c r="DS21" i="24"/>
  <c r="CU21" i="24"/>
  <c r="CV21" i="24" s="1"/>
  <c r="CE21" i="24"/>
  <c r="DT21" i="24"/>
  <c r="CF21" i="24"/>
  <c r="DU21" i="24"/>
  <c r="CG21" i="24"/>
  <c r="DM21" i="24"/>
  <c r="CH21" i="24"/>
  <c r="DN21" i="24"/>
  <c r="CI21" i="24"/>
  <c r="DO21" i="24"/>
  <c r="DP21" i="24" s="1"/>
  <c r="CJ21" i="24"/>
  <c r="CK21" i="24"/>
  <c r="CL21" i="24" s="1"/>
  <c r="CM21" i="24"/>
  <c r="CN21" i="24"/>
  <c r="CO21" i="24"/>
  <c r="BL21" i="24"/>
  <c r="BM21" i="24"/>
  <c r="BN21" i="24"/>
  <c r="BO21" i="24"/>
  <c r="BP21" i="24"/>
  <c r="BQ21" i="24"/>
  <c r="BR21" i="24" s="1"/>
  <c r="BS21" i="24"/>
  <c r="CP21" i="24"/>
  <c r="AP21" i="24"/>
  <c r="FF21" i="24" s="1"/>
  <c r="CQ21" i="24"/>
  <c r="AQ21" i="24"/>
  <c r="FG21" i="24" s="1"/>
  <c r="CR21" i="24"/>
  <c r="CS21" i="24"/>
  <c r="BT21" i="24"/>
  <c r="BF21" i="24"/>
  <c r="FV21" i="24" s="1"/>
  <c r="BU21" i="24"/>
  <c r="BI21" i="24"/>
  <c r="BG21" i="24"/>
  <c r="BV21" i="24"/>
  <c r="BJ21" i="24"/>
  <c r="BW21" i="24"/>
  <c r="BK21" i="24"/>
  <c r="BX21" i="24"/>
  <c r="BY21" i="24"/>
  <c r="BZ21" i="24"/>
  <c r="AO21" i="24"/>
  <c r="FE21" i="24" s="1"/>
  <c r="CC21" i="24"/>
  <c r="CA21" i="24"/>
  <c r="CB21" i="24" s="1"/>
  <c r="AB21" i="24"/>
  <c r="ER21" i="24" s="1"/>
  <c r="AC21" i="24"/>
  <c r="AY21" i="24"/>
  <c r="FO21" i="24" s="1"/>
  <c r="AE21" i="24"/>
  <c r="EU21" i="24" s="1"/>
  <c r="AF21" i="24"/>
  <c r="EV21" i="24" s="1"/>
  <c r="S21" i="24"/>
  <c r="Z21" i="24"/>
  <c r="EP21" i="24" s="1"/>
  <c r="AG21" i="24"/>
  <c r="EW21" i="24" s="1"/>
  <c r="Y21" i="24"/>
  <c r="EO21" i="24" s="1"/>
  <c r="AH21" i="24"/>
  <c r="EX21" i="24" s="1"/>
  <c r="BA21" i="24"/>
  <c r="FQ21" i="24" s="1"/>
  <c r="AI21" i="24"/>
  <c r="EY21" i="24" s="1"/>
  <c r="AJ21" i="24"/>
  <c r="EZ21" i="24" s="1"/>
  <c r="U21" i="24"/>
  <c r="EK21" i="24" s="1"/>
  <c r="BB21" i="24"/>
  <c r="FR21" i="24" s="1"/>
  <c r="BC21" i="24"/>
  <c r="FS21" i="24" s="1"/>
  <c r="BD21" i="24"/>
  <c r="FT21" i="24" s="1"/>
  <c r="M21" i="24"/>
  <c r="EC21" i="24" s="1"/>
  <c r="AK21" i="24"/>
  <c r="FA21" i="24" s="1"/>
  <c r="V21" i="24"/>
  <c r="EL21" i="24" s="1"/>
  <c r="AZ21" i="24"/>
  <c r="FP21" i="24" s="1"/>
  <c r="AL21" i="24"/>
  <c r="FB21" i="24" s="1"/>
  <c r="W21" i="24"/>
  <c r="EM21" i="24" s="1"/>
  <c r="AA21" i="24"/>
  <c r="EQ21" i="24" s="1"/>
  <c r="K21" i="24"/>
  <c r="EA21" i="24" s="1"/>
  <c r="BE21" i="24"/>
  <c r="FU21" i="24" s="1"/>
  <c r="L21" i="24"/>
  <c r="EB21" i="24" s="1"/>
  <c r="AR21" i="24"/>
  <c r="FH21" i="24" s="1"/>
  <c r="AS21" i="24"/>
  <c r="FI21" i="24" s="1"/>
  <c r="AM21" i="24"/>
  <c r="X21" i="24"/>
  <c r="EN21" i="24" s="1"/>
  <c r="AT21" i="24"/>
  <c r="FJ21" i="24" s="1"/>
  <c r="AV21" i="24"/>
  <c r="FL21" i="24" s="1"/>
  <c r="R21" i="24"/>
  <c r="EH21" i="24" s="1"/>
  <c r="Q21" i="24"/>
  <c r="EG21" i="24" s="1"/>
  <c r="P21" i="24"/>
  <c r="EF21" i="24" s="1"/>
  <c r="AU21" i="24"/>
  <c r="FK21" i="24" s="1"/>
  <c r="AW21" i="24"/>
  <c r="N21" i="24"/>
  <c r="ED21" i="24" s="1"/>
  <c r="O21" i="24"/>
  <c r="EE21" i="24" s="1"/>
  <c r="AX65" i="24"/>
  <c r="FN65" i="24" s="1"/>
  <c r="FM65" i="24"/>
  <c r="ES10" i="24"/>
  <c r="AD10" i="24"/>
  <c r="ET10" i="24" s="1"/>
  <c r="T65" i="24"/>
  <c r="EJ65" i="24" s="1"/>
  <c r="EI65" i="24"/>
  <c r="T55" i="24"/>
  <c r="EJ55" i="24" s="1"/>
  <c r="EI55" i="24"/>
  <c r="BH25" i="24"/>
  <c r="FX25" i="24" s="1"/>
  <c r="FW25" i="24"/>
  <c r="AX45" i="24"/>
  <c r="FN45" i="24" s="1"/>
  <c r="FM45" i="24"/>
  <c r="FM20" i="24"/>
  <c r="AX20" i="24"/>
  <c r="FN20" i="24" s="1"/>
  <c r="FW15" i="24"/>
  <c r="BH15" i="24"/>
  <c r="FX15" i="24" s="1"/>
  <c r="AX35" i="24"/>
  <c r="FN35" i="24" s="1"/>
  <c r="FM35" i="24"/>
  <c r="A67" i="24"/>
  <c r="DQ66" i="24"/>
  <c r="DR66" i="24"/>
  <c r="DS66" i="24"/>
  <c r="DT66" i="24"/>
  <c r="DU66" i="24"/>
  <c r="DV66" i="24"/>
  <c r="DW66" i="24"/>
  <c r="DX66" i="24"/>
  <c r="DG66" i="24"/>
  <c r="CS66" i="24"/>
  <c r="CT66" i="24"/>
  <c r="CU66" i="24"/>
  <c r="CV66" i="24" s="1"/>
  <c r="DY66" i="24"/>
  <c r="DZ66" i="24" s="1"/>
  <c r="CO66" i="24"/>
  <c r="CP66" i="24"/>
  <c r="CQ66" i="24"/>
  <c r="CR66" i="24"/>
  <c r="CE66" i="24"/>
  <c r="CC66" i="24"/>
  <c r="CD66" i="24"/>
  <c r="CF66" i="24"/>
  <c r="CG66" i="24"/>
  <c r="CA66" i="24"/>
  <c r="CB66" i="24" s="1"/>
  <c r="CH66" i="24"/>
  <c r="CM66" i="24"/>
  <c r="CI66" i="24"/>
  <c r="BI66" i="24"/>
  <c r="CN66" i="24"/>
  <c r="CJ66" i="24"/>
  <c r="BJ66" i="24"/>
  <c r="DH66" i="24"/>
  <c r="CK66" i="24"/>
  <c r="CL66" i="24" s="1"/>
  <c r="BK66" i="24"/>
  <c r="DI66" i="24"/>
  <c r="BL66" i="24"/>
  <c r="DJ66" i="24"/>
  <c r="BM66" i="24"/>
  <c r="DK66" i="24"/>
  <c r="BN66" i="24"/>
  <c r="BE66" i="24"/>
  <c r="FU66" i="24" s="1"/>
  <c r="BF66" i="24"/>
  <c r="FV66" i="24" s="1"/>
  <c r="BG66" i="24"/>
  <c r="BA66" i="24"/>
  <c r="FQ66" i="24" s="1"/>
  <c r="AP66" i="24"/>
  <c r="FF66" i="24" s="1"/>
  <c r="AL66" i="24"/>
  <c r="FB66" i="24" s="1"/>
  <c r="BB66" i="24"/>
  <c r="FR66" i="24" s="1"/>
  <c r="AQ66" i="24"/>
  <c r="FG66" i="24" s="1"/>
  <c r="BC66" i="24"/>
  <c r="FS66" i="24" s="1"/>
  <c r="AR66" i="24"/>
  <c r="FH66" i="24" s="1"/>
  <c r="BD66" i="24"/>
  <c r="FT66" i="24" s="1"/>
  <c r="AS66" i="24"/>
  <c r="FI66" i="24" s="1"/>
  <c r="AT66" i="24"/>
  <c r="FJ66" i="24" s="1"/>
  <c r="AU66" i="24"/>
  <c r="FK66" i="24" s="1"/>
  <c r="AV66" i="24"/>
  <c r="FL66" i="24" s="1"/>
  <c r="AE66" i="24"/>
  <c r="EU66" i="24" s="1"/>
  <c r="AF66" i="24"/>
  <c r="EV66" i="24" s="1"/>
  <c r="AG66" i="24"/>
  <c r="EW66" i="24" s="1"/>
  <c r="AH66" i="24"/>
  <c r="EX66" i="24" s="1"/>
  <c r="DL66" i="24"/>
  <c r="AI66" i="24"/>
  <c r="EY66" i="24" s="1"/>
  <c r="DM66" i="24"/>
  <c r="AJ66" i="24"/>
  <c r="EZ66" i="24" s="1"/>
  <c r="DN66" i="24"/>
  <c r="AK66" i="24"/>
  <c r="FA66" i="24" s="1"/>
  <c r="DO66" i="24"/>
  <c r="DP66" i="24" s="1"/>
  <c r="AM66" i="24"/>
  <c r="BS66" i="24"/>
  <c r="N66" i="24"/>
  <c r="ED66" i="24" s="1"/>
  <c r="X66" i="24"/>
  <c r="EN66" i="24" s="1"/>
  <c r="BT66" i="24"/>
  <c r="O66" i="24"/>
  <c r="EE66" i="24" s="1"/>
  <c r="BU66" i="24"/>
  <c r="P66" i="24"/>
  <c r="EF66" i="24" s="1"/>
  <c r="BV66" i="24"/>
  <c r="Q66" i="24"/>
  <c r="EG66" i="24" s="1"/>
  <c r="V66" i="24"/>
  <c r="EL66" i="24" s="1"/>
  <c r="Y66" i="24"/>
  <c r="EO66" i="24" s="1"/>
  <c r="BW66" i="24"/>
  <c r="AY66" i="24"/>
  <c r="FO66" i="24" s="1"/>
  <c r="AO66" i="24"/>
  <c r="FE66" i="24" s="1"/>
  <c r="R66" i="24"/>
  <c r="EH66" i="24" s="1"/>
  <c r="AB66" i="24"/>
  <c r="ER66" i="24" s="1"/>
  <c r="BX66" i="24"/>
  <c r="AZ66" i="24"/>
  <c r="FP66" i="24" s="1"/>
  <c r="AW66" i="24"/>
  <c r="S66" i="24"/>
  <c r="Z66" i="24"/>
  <c r="EP66" i="24" s="1"/>
  <c r="AA66" i="24"/>
  <c r="EQ66" i="24" s="1"/>
  <c r="BY66" i="24"/>
  <c r="W66" i="24"/>
  <c r="EM66" i="24" s="1"/>
  <c r="AC66" i="24"/>
  <c r="BZ66" i="24"/>
  <c r="U66" i="24"/>
  <c r="EK66" i="24" s="1"/>
  <c r="BO66" i="24"/>
  <c r="M66" i="24"/>
  <c r="EC66" i="24" s="1"/>
  <c r="BP66" i="24"/>
  <c r="BQ66" i="24"/>
  <c r="BR66" i="24" s="1"/>
  <c r="K66" i="24"/>
  <c r="EA66" i="24" s="1"/>
  <c r="L66" i="24"/>
  <c r="EB66" i="24" s="1"/>
  <c r="T45" i="24"/>
  <c r="EJ45" i="24" s="1"/>
  <c r="EI45" i="24"/>
  <c r="ES55" i="24"/>
  <c r="AD55" i="24"/>
  <c r="ET55" i="24" s="1"/>
  <c r="AN55" i="24"/>
  <c r="FD55" i="24" s="1"/>
  <c r="FC55" i="24"/>
  <c r="FC35" i="24"/>
  <c r="AN35" i="24"/>
  <c r="FD35" i="24" s="1"/>
  <c r="ES30" i="24"/>
  <c r="AD30" i="24"/>
  <c r="ET30" i="24" s="1"/>
  <c r="AN70" i="24"/>
  <c r="FD70" i="24" s="1"/>
  <c r="FC70" i="24"/>
  <c r="FW55" i="24"/>
  <c r="BH55" i="24"/>
  <c r="FX55" i="24" s="1"/>
  <c r="BH10" i="24"/>
  <c r="FX10" i="24" s="1"/>
  <c r="FW10" i="24"/>
  <c r="AN30" i="24"/>
  <c r="FD30" i="24" s="1"/>
  <c r="FC30" i="24"/>
  <c r="AD25" i="24"/>
  <c r="ET25" i="24" s="1"/>
  <c r="ES25" i="24"/>
  <c r="A62" i="24"/>
  <c r="DV61" i="24"/>
  <c r="DW61" i="24"/>
  <c r="DX61" i="24"/>
  <c r="DY61" i="24"/>
  <c r="DZ61" i="24" s="1"/>
  <c r="DG61" i="24"/>
  <c r="DQ61" i="24"/>
  <c r="DH61" i="24"/>
  <c r="DI61" i="24"/>
  <c r="DJ61" i="24"/>
  <c r="DK61" i="24"/>
  <c r="DL61" i="24"/>
  <c r="DM61" i="24"/>
  <c r="DN61" i="24"/>
  <c r="DO61" i="24"/>
  <c r="DP61" i="24" s="1"/>
  <c r="CD61" i="24"/>
  <c r="CE61" i="24"/>
  <c r="CF61" i="24"/>
  <c r="CJ61" i="24"/>
  <c r="CT61" i="24"/>
  <c r="CU61" i="24"/>
  <c r="CV61" i="24" s="1"/>
  <c r="CG61" i="24"/>
  <c r="BL61" i="24"/>
  <c r="CH61" i="24"/>
  <c r="BM61" i="24"/>
  <c r="CI61" i="24"/>
  <c r="BN61" i="24"/>
  <c r="CK61" i="24"/>
  <c r="CL61" i="24" s="1"/>
  <c r="BO61" i="24"/>
  <c r="BP61" i="24"/>
  <c r="BQ61" i="24"/>
  <c r="BR61" i="24" s="1"/>
  <c r="BS61" i="24"/>
  <c r="BT61" i="24"/>
  <c r="CM61" i="24"/>
  <c r="BU61" i="24"/>
  <c r="CN61" i="24"/>
  <c r="BV61" i="24"/>
  <c r="CO61" i="24"/>
  <c r="BW61" i="24"/>
  <c r="AU61" i="24"/>
  <c r="FK61" i="24" s="1"/>
  <c r="AV61" i="24"/>
  <c r="FL61" i="24" s="1"/>
  <c r="AW61" i="24"/>
  <c r="CP61" i="24"/>
  <c r="BX61" i="24"/>
  <c r="CQ61" i="24"/>
  <c r="BY61" i="24"/>
  <c r="AE61" i="24"/>
  <c r="EU61" i="24" s="1"/>
  <c r="CR61" i="24"/>
  <c r="BZ61" i="24"/>
  <c r="AF61" i="24"/>
  <c r="EV61" i="24" s="1"/>
  <c r="CS61" i="24"/>
  <c r="CA61" i="24"/>
  <c r="CB61" i="24" s="1"/>
  <c r="BI61" i="24"/>
  <c r="AG61" i="24"/>
  <c r="EW61" i="24" s="1"/>
  <c r="BJ61" i="24"/>
  <c r="AH61" i="24"/>
  <c r="EX61" i="24" s="1"/>
  <c r="BK61" i="24"/>
  <c r="AO61" i="24"/>
  <c r="FE61" i="24" s="1"/>
  <c r="AI61" i="24"/>
  <c r="EY61" i="24" s="1"/>
  <c r="AY61" i="24"/>
  <c r="FO61" i="24" s="1"/>
  <c r="AP61" i="24"/>
  <c r="FF61" i="24" s="1"/>
  <c r="AJ61" i="24"/>
  <c r="EZ61" i="24" s="1"/>
  <c r="AZ61" i="24"/>
  <c r="FP61" i="24" s="1"/>
  <c r="AQ61" i="24"/>
  <c r="FG61" i="24" s="1"/>
  <c r="AK61" i="24"/>
  <c r="FA61" i="24" s="1"/>
  <c r="AL61" i="24"/>
  <c r="FB61" i="24" s="1"/>
  <c r="S61" i="24"/>
  <c r="AA61" i="24"/>
  <c r="EQ61" i="24" s="1"/>
  <c r="AM61" i="24"/>
  <c r="AC61" i="24"/>
  <c r="BB61" i="24"/>
  <c r="FR61" i="24" s="1"/>
  <c r="U61" i="24"/>
  <c r="EK61" i="24" s="1"/>
  <c r="L61" i="24"/>
  <c r="EB61" i="24" s="1"/>
  <c r="BC61" i="24"/>
  <c r="FS61" i="24" s="1"/>
  <c r="CC61" i="24"/>
  <c r="V61" i="24"/>
  <c r="EL61" i="24" s="1"/>
  <c r="BA61" i="24"/>
  <c r="FQ61" i="24" s="1"/>
  <c r="DR61" i="24"/>
  <c r="AR61" i="24"/>
  <c r="FH61" i="24" s="1"/>
  <c r="W61" i="24"/>
  <c r="EM61" i="24" s="1"/>
  <c r="DS61" i="24"/>
  <c r="AS61" i="24"/>
  <c r="FI61" i="24" s="1"/>
  <c r="X61" i="24"/>
  <c r="EN61" i="24" s="1"/>
  <c r="K61" i="24"/>
  <c r="EA61" i="24" s="1"/>
  <c r="DT61" i="24"/>
  <c r="AT61" i="24"/>
  <c r="FJ61" i="24" s="1"/>
  <c r="Y61" i="24"/>
  <c r="EO61" i="24" s="1"/>
  <c r="M61" i="24"/>
  <c r="EC61" i="24" s="1"/>
  <c r="DU61" i="24"/>
  <c r="Z61" i="24"/>
  <c r="EP61" i="24" s="1"/>
  <c r="AB61" i="24"/>
  <c r="ER61" i="24" s="1"/>
  <c r="BD61" i="24"/>
  <c r="FT61" i="24" s="1"/>
  <c r="O61" i="24"/>
  <c r="EE61" i="24" s="1"/>
  <c r="N61" i="24"/>
  <c r="ED61" i="24" s="1"/>
  <c r="R61" i="24"/>
  <c r="EH61" i="24" s="1"/>
  <c r="BG61" i="24"/>
  <c r="P61" i="24"/>
  <c r="EF61" i="24" s="1"/>
  <c r="BE61" i="24"/>
  <c r="FU61" i="24" s="1"/>
  <c r="Q61" i="24"/>
  <c r="EG61" i="24" s="1"/>
  <c r="BF61" i="24"/>
  <c r="FV61" i="24" s="1"/>
  <c r="AX30" i="24"/>
  <c r="FN30" i="24" s="1"/>
  <c r="FM30" i="24"/>
  <c r="A27" i="24"/>
  <c r="DQ26" i="24"/>
  <c r="DR26" i="24"/>
  <c r="DS26" i="24"/>
  <c r="DT26" i="24"/>
  <c r="DU26" i="24"/>
  <c r="DV26" i="24"/>
  <c r="DW26" i="24"/>
  <c r="DX26" i="24"/>
  <c r="DY26" i="24"/>
  <c r="DZ26" i="24" s="1"/>
  <c r="CS26" i="24"/>
  <c r="CT26" i="24"/>
  <c r="CU26" i="24"/>
  <c r="CV26" i="24" s="1"/>
  <c r="DG26" i="24"/>
  <c r="DH26" i="24"/>
  <c r="DI26" i="24"/>
  <c r="DJ26" i="24"/>
  <c r="DK26" i="24"/>
  <c r="CM26" i="24"/>
  <c r="CN26" i="24"/>
  <c r="CO26" i="24"/>
  <c r="CC26" i="24"/>
  <c r="CP26" i="24"/>
  <c r="CD26" i="24"/>
  <c r="CQ26" i="24"/>
  <c r="CE26" i="24"/>
  <c r="CR26" i="24"/>
  <c r="CF26" i="24"/>
  <c r="CG26" i="24"/>
  <c r="CH26" i="24"/>
  <c r="CI26" i="24"/>
  <c r="CJ26" i="24"/>
  <c r="CK26" i="24"/>
  <c r="CL26" i="24" s="1"/>
  <c r="CA26" i="24"/>
  <c r="CB26" i="24" s="1"/>
  <c r="BI26" i="24"/>
  <c r="BJ26" i="24"/>
  <c r="BK26" i="24"/>
  <c r="BL26" i="24"/>
  <c r="BM26" i="24"/>
  <c r="BN26" i="24"/>
  <c r="BW26" i="24"/>
  <c r="BO26" i="24"/>
  <c r="BE26" i="24"/>
  <c r="FU26" i="24" s="1"/>
  <c r="BX26" i="24"/>
  <c r="BP26" i="24"/>
  <c r="BF26" i="24"/>
  <c r="FV26" i="24" s="1"/>
  <c r="BY26" i="24"/>
  <c r="BQ26" i="24"/>
  <c r="BR26" i="24" s="1"/>
  <c r="BG26" i="24"/>
  <c r="BZ26" i="24"/>
  <c r="DL26" i="24"/>
  <c r="BS26" i="24"/>
  <c r="AL26" i="24"/>
  <c r="FB26" i="24" s="1"/>
  <c r="DM26" i="24"/>
  <c r="BT26" i="24"/>
  <c r="AM26" i="24"/>
  <c r="DN26" i="24"/>
  <c r="BU26" i="24"/>
  <c r="AY26" i="24"/>
  <c r="FO26" i="24" s="1"/>
  <c r="DO26" i="24"/>
  <c r="DP26" i="24" s="1"/>
  <c r="BV26" i="24"/>
  <c r="AZ26" i="24"/>
  <c r="FP26" i="24" s="1"/>
  <c r="BA26" i="24"/>
  <c r="FQ26" i="24" s="1"/>
  <c r="BB26" i="24"/>
  <c r="FR26" i="24" s="1"/>
  <c r="AO26" i="24"/>
  <c r="FE26" i="24" s="1"/>
  <c r="BC26" i="24"/>
  <c r="FS26" i="24" s="1"/>
  <c r="AP26" i="24"/>
  <c r="FF26" i="24" s="1"/>
  <c r="AU26" i="24"/>
  <c r="FK26" i="24" s="1"/>
  <c r="AV26" i="24"/>
  <c r="FL26" i="24" s="1"/>
  <c r="AW26" i="24"/>
  <c r="AE26" i="24"/>
  <c r="EU26" i="24" s="1"/>
  <c r="AF26" i="24"/>
  <c r="EV26" i="24" s="1"/>
  <c r="W26" i="24"/>
  <c r="EM26" i="24" s="1"/>
  <c r="AG26" i="24"/>
  <c r="EW26" i="24" s="1"/>
  <c r="X26" i="24"/>
  <c r="EN26" i="24" s="1"/>
  <c r="AH26" i="24"/>
  <c r="EX26" i="24" s="1"/>
  <c r="Y26" i="24"/>
  <c r="EO26" i="24" s="1"/>
  <c r="AI26" i="24"/>
  <c r="EY26" i="24" s="1"/>
  <c r="BD26" i="24"/>
  <c r="FT26" i="24" s="1"/>
  <c r="AJ26" i="24"/>
  <c r="EZ26" i="24" s="1"/>
  <c r="AA26" i="24"/>
  <c r="EQ26" i="24" s="1"/>
  <c r="N26" i="24"/>
  <c r="ED26" i="24" s="1"/>
  <c r="U26" i="24"/>
  <c r="EK26" i="24" s="1"/>
  <c r="O26" i="24"/>
  <c r="EE26" i="24" s="1"/>
  <c r="V26" i="24"/>
  <c r="EL26" i="24" s="1"/>
  <c r="P26" i="24"/>
  <c r="EF26" i="24" s="1"/>
  <c r="AR26" i="24"/>
  <c r="FH26" i="24" s="1"/>
  <c r="Z26" i="24"/>
  <c r="EP26" i="24" s="1"/>
  <c r="Q26" i="24"/>
  <c r="EG26" i="24" s="1"/>
  <c r="AT26" i="24"/>
  <c r="FJ26" i="24" s="1"/>
  <c r="AK26" i="24"/>
  <c r="FA26" i="24" s="1"/>
  <c r="AB26" i="24"/>
  <c r="ER26" i="24" s="1"/>
  <c r="R26" i="24"/>
  <c r="EH26" i="24" s="1"/>
  <c r="AQ26" i="24"/>
  <c r="FG26" i="24" s="1"/>
  <c r="AS26" i="24"/>
  <c r="FI26" i="24" s="1"/>
  <c r="AC26" i="24"/>
  <c r="S26" i="24"/>
  <c r="K26" i="24"/>
  <c r="EA26" i="24" s="1"/>
  <c r="L26" i="24"/>
  <c r="EB26" i="24" s="1"/>
  <c r="M26" i="24"/>
  <c r="EC26" i="24" s="1"/>
  <c r="AN25" i="24"/>
  <c r="FD25" i="24" s="1"/>
  <c r="FC25" i="24"/>
  <c r="AD35" i="24"/>
  <c r="ET35" i="24" s="1"/>
  <c r="ES35" i="24"/>
  <c r="FM10" i="24"/>
  <c r="AX10" i="24"/>
  <c r="FN10" i="24" s="1"/>
  <c r="T50" i="24"/>
  <c r="EJ50" i="24" s="1"/>
  <c r="EI50" i="24"/>
  <c r="FM60" i="24"/>
  <c r="AX60" i="24"/>
  <c r="FN60" i="24" s="1"/>
  <c r="ES65" i="24"/>
  <c r="AD65" i="24"/>
  <c r="ET65" i="24" s="1"/>
  <c r="FC60" i="24"/>
  <c r="AN60" i="24"/>
  <c r="FD60" i="24" s="1"/>
  <c r="BH35" i="24"/>
  <c r="FX35" i="24" s="1"/>
  <c r="FW35" i="24"/>
  <c r="EI20" i="24"/>
  <c r="T20" i="24"/>
  <c r="EJ20" i="24" s="1"/>
  <c r="AN15" i="24"/>
  <c r="FD15" i="24" s="1"/>
  <c r="FC15" i="24"/>
  <c r="BH70" i="24"/>
  <c r="FX70" i="24" s="1"/>
  <c r="FW70" i="24"/>
  <c r="BH45" i="24"/>
  <c r="FX45" i="24" s="1"/>
  <c r="FW45" i="24"/>
  <c r="AD20" i="24"/>
  <c r="ET20" i="24" s="1"/>
  <c r="ES20" i="24"/>
  <c r="T40" i="24"/>
  <c r="EJ40" i="24" s="1"/>
  <c r="EI40" i="24"/>
  <c r="AD50" i="24"/>
  <c r="ET50" i="24" s="1"/>
  <c r="ES50" i="24"/>
  <c r="A42" i="24"/>
  <c r="DV41" i="24"/>
  <c r="DW41" i="24"/>
  <c r="DX41" i="24"/>
  <c r="DY41" i="24"/>
  <c r="DZ41" i="24" s="1"/>
  <c r="DR41" i="24"/>
  <c r="DS41" i="24"/>
  <c r="DT41" i="24"/>
  <c r="DU41" i="24"/>
  <c r="DG41" i="24"/>
  <c r="DH41" i="24"/>
  <c r="CD41" i="24"/>
  <c r="CM41" i="24"/>
  <c r="CE41" i="24"/>
  <c r="CN41" i="24"/>
  <c r="CF41" i="24"/>
  <c r="CO41" i="24"/>
  <c r="CG41" i="24"/>
  <c r="DI41" i="24"/>
  <c r="CP41" i="24"/>
  <c r="CH41" i="24"/>
  <c r="DJ41" i="24"/>
  <c r="CQ41" i="24"/>
  <c r="CI41" i="24"/>
  <c r="DK41" i="24"/>
  <c r="CR41" i="24"/>
  <c r="CJ41" i="24"/>
  <c r="DQ41" i="24"/>
  <c r="DL41" i="24"/>
  <c r="CS41" i="24"/>
  <c r="CK41" i="24"/>
  <c r="CL41" i="24" s="1"/>
  <c r="CC41" i="24"/>
  <c r="DM41" i="24"/>
  <c r="DN41" i="24"/>
  <c r="DO41" i="24"/>
  <c r="DP41" i="24" s="1"/>
  <c r="BL41" i="24"/>
  <c r="BM41" i="24"/>
  <c r="BN41" i="24"/>
  <c r="BO41" i="24"/>
  <c r="BP41" i="24"/>
  <c r="BQ41" i="24"/>
  <c r="BR41" i="24" s="1"/>
  <c r="BS41" i="24"/>
  <c r="BX41" i="24"/>
  <c r="AP41" i="24"/>
  <c r="FF41" i="24" s="1"/>
  <c r="BY41" i="24"/>
  <c r="BI41" i="24"/>
  <c r="AQ41" i="24"/>
  <c r="FG41" i="24" s="1"/>
  <c r="BZ41" i="24"/>
  <c r="BJ41" i="24"/>
  <c r="CA41" i="24"/>
  <c r="CB41" i="24" s="1"/>
  <c r="BK41" i="24"/>
  <c r="CT41" i="24"/>
  <c r="CU41" i="24"/>
  <c r="CV41" i="24" s="1"/>
  <c r="AY41" i="24"/>
  <c r="FO41" i="24" s="1"/>
  <c r="AZ41" i="24"/>
  <c r="FP41" i="24" s="1"/>
  <c r="BA41" i="24"/>
  <c r="FQ41" i="24" s="1"/>
  <c r="BB41" i="24"/>
  <c r="FR41" i="24" s="1"/>
  <c r="BC41" i="24"/>
  <c r="FS41" i="24" s="1"/>
  <c r="BD41" i="24"/>
  <c r="FT41" i="24" s="1"/>
  <c r="BT41" i="24"/>
  <c r="BF41" i="24"/>
  <c r="FV41" i="24" s="1"/>
  <c r="AV41" i="24"/>
  <c r="FL41" i="24" s="1"/>
  <c r="BU41" i="24"/>
  <c r="BG41" i="24"/>
  <c r="AW41" i="24"/>
  <c r="BV41" i="24"/>
  <c r="BW41" i="24"/>
  <c r="AR41" i="24"/>
  <c r="FH41" i="24" s="1"/>
  <c r="S41" i="24"/>
  <c r="AB41" i="24"/>
  <c r="ER41" i="24" s="1"/>
  <c r="AS41" i="24"/>
  <c r="FI41" i="24" s="1"/>
  <c r="AA41" i="24"/>
  <c r="EQ41" i="24" s="1"/>
  <c r="AT41" i="24"/>
  <c r="FJ41" i="24" s="1"/>
  <c r="U41" i="24"/>
  <c r="EK41" i="24" s="1"/>
  <c r="AU41" i="24"/>
  <c r="FK41" i="24" s="1"/>
  <c r="V41" i="24"/>
  <c r="EL41" i="24" s="1"/>
  <c r="K41" i="24"/>
  <c r="EA41" i="24" s="1"/>
  <c r="AE41" i="24"/>
  <c r="EU41" i="24" s="1"/>
  <c r="W41" i="24"/>
  <c r="EM41" i="24" s="1"/>
  <c r="AJ41" i="24"/>
  <c r="EZ41" i="24" s="1"/>
  <c r="AL41" i="24"/>
  <c r="FB41" i="24" s="1"/>
  <c r="L41" i="24"/>
  <c r="EB41" i="24" s="1"/>
  <c r="BE41" i="24"/>
  <c r="FU41" i="24" s="1"/>
  <c r="AF41" i="24"/>
  <c r="EV41" i="24" s="1"/>
  <c r="X41" i="24"/>
  <c r="EN41" i="24" s="1"/>
  <c r="AI41" i="24"/>
  <c r="EY41" i="24" s="1"/>
  <c r="AM41" i="24"/>
  <c r="AG41" i="24"/>
  <c r="EW41" i="24" s="1"/>
  <c r="Y41" i="24"/>
  <c r="EO41" i="24" s="1"/>
  <c r="AC41" i="24"/>
  <c r="M41" i="24"/>
  <c r="EC41" i="24" s="1"/>
  <c r="AH41" i="24"/>
  <c r="EX41" i="24" s="1"/>
  <c r="Z41" i="24"/>
  <c r="EP41" i="24" s="1"/>
  <c r="AK41" i="24"/>
  <c r="FA41" i="24" s="1"/>
  <c r="P41" i="24"/>
  <c r="EF41" i="24" s="1"/>
  <c r="N41" i="24"/>
  <c r="ED41" i="24" s="1"/>
  <c r="Q41" i="24"/>
  <c r="EG41" i="24" s="1"/>
  <c r="AO41" i="24"/>
  <c r="FE41" i="24" s="1"/>
  <c r="R41" i="24"/>
  <c r="EH41" i="24" s="1"/>
  <c r="O41" i="24"/>
  <c r="EE41" i="24" s="1"/>
  <c r="A72" i="24"/>
  <c r="DQ71" i="24"/>
  <c r="DR71" i="24"/>
  <c r="DS71" i="24"/>
  <c r="DT71" i="24"/>
  <c r="DK71" i="24"/>
  <c r="DU71" i="24"/>
  <c r="DL71" i="24"/>
  <c r="DV71" i="24"/>
  <c r="DM71" i="24"/>
  <c r="DW71" i="24"/>
  <c r="DN71" i="24"/>
  <c r="DX71" i="24"/>
  <c r="DO71" i="24"/>
  <c r="DP71" i="24" s="1"/>
  <c r="DY71" i="24"/>
  <c r="DZ71" i="24" s="1"/>
  <c r="CN71" i="24"/>
  <c r="CO71" i="24"/>
  <c r="CP71" i="24"/>
  <c r="CQ71" i="24"/>
  <c r="CR71" i="24"/>
  <c r="CS71" i="24"/>
  <c r="CT71" i="24"/>
  <c r="CU71" i="24"/>
  <c r="CV71" i="24" s="1"/>
  <c r="DG71" i="24"/>
  <c r="DH71" i="24"/>
  <c r="DI71" i="24"/>
  <c r="DJ71" i="24"/>
  <c r="CM71" i="24"/>
  <c r="CC71" i="24"/>
  <c r="CD71" i="24"/>
  <c r="CE71" i="24"/>
  <c r="CF71" i="24"/>
  <c r="CG71" i="24"/>
  <c r="CH71" i="24"/>
  <c r="CI71" i="24"/>
  <c r="BV71" i="24"/>
  <c r="BW71" i="24"/>
  <c r="BX71" i="24"/>
  <c r="BY71" i="24"/>
  <c r="CJ71" i="24"/>
  <c r="BZ71" i="24"/>
  <c r="CK71" i="24"/>
  <c r="CL71" i="24" s="1"/>
  <c r="CA71" i="24"/>
  <c r="CB71" i="24" s="1"/>
  <c r="BI71" i="24"/>
  <c r="BJ71" i="24"/>
  <c r="AZ71" i="24"/>
  <c r="FP71" i="24" s="1"/>
  <c r="BS71" i="24"/>
  <c r="BK71" i="24"/>
  <c r="BA71" i="24"/>
  <c r="FQ71" i="24" s="1"/>
  <c r="BT71" i="24"/>
  <c r="BL71" i="24"/>
  <c r="BB71" i="24"/>
  <c r="FR71" i="24" s="1"/>
  <c r="BU71" i="24"/>
  <c r="BM71" i="24"/>
  <c r="BC71" i="24"/>
  <c r="FS71" i="24" s="1"/>
  <c r="BN71" i="24"/>
  <c r="BD71" i="24"/>
  <c r="FT71" i="24" s="1"/>
  <c r="BO71" i="24"/>
  <c r="BE71" i="24"/>
  <c r="FU71" i="24" s="1"/>
  <c r="BP71" i="24"/>
  <c r="BF71" i="24"/>
  <c r="FV71" i="24" s="1"/>
  <c r="BQ71" i="24"/>
  <c r="BR71" i="24" s="1"/>
  <c r="BG71" i="24"/>
  <c r="AG71" i="24"/>
  <c r="EW71" i="24" s="1"/>
  <c r="AI71" i="24"/>
  <c r="EY71" i="24" s="1"/>
  <c r="AO71" i="24"/>
  <c r="FE71" i="24" s="1"/>
  <c r="AP71" i="24"/>
  <c r="FF71" i="24" s="1"/>
  <c r="AQ71" i="24"/>
  <c r="FG71" i="24" s="1"/>
  <c r="AM71" i="24"/>
  <c r="AF71" i="24"/>
  <c r="EV71" i="24" s="1"/>
  <c r="AH71" i="24"/>
  <c r="EX71" i="24" s="1"/>
  <c r="AJ71" i="24"/>
  <c r="EZ71" i="24" s="1"/>
  <c r="AY71" i="24"/>
  <c r="FO71" i="24" s="1"/>
  <c r="AR71" i="24"/>
  <c r="FH71" i="24" s="1"/>
  <c r="AK71" i="24"/>
  <c r="FA71" i="24" s="1"/>
  <c r="AS71" i="24"/>
  <c r="FI71" i="24" s="1"/>
  <c r="AL71" i="24"/>
  <c r="FB71" i="24" s="1"/>
  <c r="AT71" i="24"/>
  <c r="FJ71" i="24" s="1"/>
  <c r="AU71" i="24"/>
  <c r="FK71" i="24" s="1"/>
  <c r="AV71" i="24"/>
  <c r="FL71" i="24" s="1"/>
  <c r="AW71" i="24"/>
  <c r="AC71" i="24"/>
  <c r="U71" i="24"/>
  <c r="EK71" i="24" s="1"/>
  <c r="W71" i="24"/>
  <c r="EM71" i="24" s="1"/>
  <c r="V71" i="24"/>
  <c r="EL71" i="24" s="1"/>
  <c r="K71" i="24"/>
  <c r="EA71" i="24" s="1"/>
  <c r="L71" i="24"/>
  <c r="EB71" i="24" s="1"/>
  <c r="M71" i="24"/>
  <c r="EC71" i="24" s="1"/>
  <c r="Q71" i="24"/>
  <c r="EG71" i="24" s="1"/>
  <c r="X71" i="24"/>
  <c r="EN71" i="24" s="1"/>
  <c r="N71" i="24"/>
  <c r="ED71" i="24" s="1"/>
  <c r="O71" i="24"/>
  <c r="EE71" i="24" s="1"/>
  <c r="S71" i="24"/>
  <c r="AE71" i="24"/>
  <c r="EU71" i="24" s="1"/>
  <c r="P71" i="24"/>
  <c r="EF71" i="24" s="1"/>
  <c r="R71" i="24"/>
  <c r="EH71" i="24" s="1"/>
  <c r="AA71" i="24"/>
  <c r="EQ71" i="24" s="1"/>
  <c r="AB71" i="24"/>
  <c r="ER71" i="24" s="1"/>
  <c r="Z71" i="24"/>
  <c r="EP71" i="24" s="1"/>
  <c r="Y71" i="24"/>
  <c r="EO71" i="24" s="1"/>
  <c r="AX70" i="24"/>
  <c r="FN70" i="24" s="1"/>
  <c r="FM70" i="24"/>
  <c r="FC20" i="24"/>
  <c r="AN20" i="24"/>
  <c r="FD20" i="24" s="1"/>
  <c r="AX40" i="24"/>
  <c r="FN40" i="24" s="1"/>
  <c r="FM40" i="24"/>
  <c r="T25" i="24"/>
  <c r="EJ25" i="24" s="1"/>
  <c r="EI25" i="24"/>
  <c r="BH40" i="24"/>
  <c r="FX40" i="24" s="1"/>
  <c r="FW40" i="24"/>
  <c r="FW60" i="24"/>
  <c r="BH60" i="24"/>
  <c r="FX60" i="24" s="1"/>
  <c r="BH65" i="24"/>
  <c r="FX65" i="24" s="1"/>
  <c r="FW65" i="24"/>
  <c r="T35" i="24"/>
  <c r="EJ35" i="24" s="1"/>
  <c r="EI35" i="24"/>
  <c r="ES40" i="24"/>
  <c r="AD40" i="24"/>
  <c r="ET40" i="24" s="1"/>
  <c r="E99" i="70"/>
  <c r="F99" i="70" s="1"/>
  <c r="I109" i="70"/>
  <c r="J109" i="70"/>
  <c r="I113" i="70"/>
  <c r="J113" i="70"/>
  <c r="I100" i="70"/>
  <c r="J100" i="70"/>
  <c r="I101" i="70"/>
  <c r="J101" i="70"/>
  <c r="I102" i="70"/>
  <c r="J102" i="70"/>
  <c r="I103" i="70"/>
  <c r="J103" i="70"/>
  <c r="I105" i="70"/>
  <c r="J105" i="70"/>
  <c r="I106" i="70"/>
  <c r="J106" i="70"/>
  <c r="I108" i="70"/>
  <c r="J108" i="70"/>
  <c r="E107" i="70"/>
  <c r="E92" i="70"/>
  <c r="D115" i="70"/>
  <c r="J115" i="70" s="1"/>
  <c r="C115" i="70"/>
  <c r="I115" i="70" s="1"/>
  <c r="D107" i="70"/>
  <c r="C107" i="70"/>
  <c r="D99" i="70"/>
  <c r="J99" i="70" s="1"/>
  <c r="I99" i="70"/>
  <c r="D92" i="70"/>
  <c r="J92" i="70" s="1"/>
  <c r="C92" i="70"/>
  <c r="I92" i="70" s="1"/>
  <c r="BH26" i="24" l="1"/>
  <c r="FX26" i="24" s="1"/>
  <c r="FW26" i="24"/>
  <c r="A18" i="24"/>
  <c r="DR17" i="24"/>
  <c r="DS17" i="24"/>
  <c r="DT17" i="24"/>
  <c r="DU17" i="24"/>
  <c r="DV17" i="24"/>
  <c r="DW17" i="24"/>
  <c r="DX17" i="24"/>
  <c r="DY17" i="24"/>
  <c r="DZ17" i="24" s="1"/>
  <c r="DG17" i="24"/>
  <c r="DH17" i="24"/>
  <c r="DI17" i="24"/>
  <c r="DJ17" i="24"/>
  <c r="DK17" i="24"/>
  <c r="DL17" i="24"/>
  <c r="CT17" i="24"/>
  <c r="CU17" i="24"/>
  <c r="CV17" i="24" s="1"/>
  <c r="DQ17" i="24"/>
  <c r="DM17" i="24"/>
  <c r="DN17" i="24"/>
  <c r="DO17" i="24"/>
  <c r="DP17" i="24" s="1"/>
  <c r="CC17" i="24"/>
  <c r="CD17" i="24"/>
  <c r="CE17" i="24"/>
  <c r="CF17" i="24"/>
  <c r="CG17" i="24"/>
  <c r="BI17" i="24"/>
  <c r="BJ17" i="24"/>
  <c r="BK17" i="24"/>
  <c r="CH17" i="24"/>
  <c r="BL17" i="24"/>
  <c r="CM17" i="24"/>
  <c r="CI17" i="24"/>
  <c r="BM17" i="24"/>
  <c r="CN17" i="24"/>
  <c r="CJ17" i="24"/>
  <c r="BN17" i="24"/>
  <c r="CO17" i="24"/>
  <c r="CK17" i="24"/>
  <c r="CL17" i="24" s="1"/>
  <c r="BO17" i="24"/>
  <c r="BF17" i="24"/>
  <c r="FV17" i="24" s="1"/>
  <c r="BG17" i="24"/>
  <c r="BS17" i="24"/>
  <c r="AW17" i="24"/>
  <c r="AM17" i="24"/>
  <c r="CP17" i="24"/>
  <c r="CQ17" i="24"/>
  <c r="CR17" i="24"/>
  <c r="CS17" i="24"/>
  <c r="BE17" i="24"/>
  <c r="FU17" i="24" s="1"/>
  <c r="U17" i="24"/>
  <c r="EK17" i="24" s="1"/>
  <c r="V17" i="24"/>
  <c r="EL17" i="24" s="1"/>
  <c r="W17" i="24"/>
  <c r="EM17" i="24" s="1"/>
  <c r="AE17" i="24"/>
  <c r="EU17" i="24" s="1"/>
  <c r="X17" i="24"/>
  <c r="EN17" i="24" s="1"/>
  <c r="AF17" i="24"/>
  <c r="EV17" i="24" s="1"/>
  <c r="Y17" i="24"/>
  <c r="EO17" i="24" s="1"/>
  <c r="AG17" i="24"/>
  <c r="EW17" i="24" s="1"/>
  <c r="Z17" i="24"/>
  <c r="EP17" i="24" s="1"/>
  <c r="AH17" i="24"/>
  <c r="EX17" i="24" s="1"/>
  <c r="AI17" i="24"/>
  <c r="EY17" i="24" s="1"/>
  <c r="AB17" i="24"/>
  <c r="ER17" i="24" s="1"/>
  <c r="O17" i="24"/>
  <c r="EE17" i="24" s="1"/>
  <c r="AJ17" i="24"/>
  <c r="EZ17" i="24" s="1"/>
  <c r="CA17" i="24"/>
  <c r="CB17" i="24" s="1"/>
  <c r="BQ17" i="24"/>
  <c r="BR17" i="24" s="1"/>
  <c r="AO17" i="24"/>
  <c r="FE17" i="24" s="1"/>
  <c r="P17" i="24"/>
  <c r="EF17" i="24" s="1"/>
  <c r="AV17" i="24"/>
  <c r="FL17" i="24" s="1"/>
  <c r="AY17" i="24"/>
  <c r="FO17" i="24" s="1"/>
  <c r="AP17" i="24"/>
  <c r="FF17" i="24" s="1"/>
  <c r="AA17" i="24"/>
  <c r="EQ17" i="24" s="1"/>
  <c r="Q17" i="24"/>
  <c r="EG17" i="24" s="1"/>
  <c r="AL17" i="24"/>
  <c r="FB17" i="24" s="1"/>
  <c r="AZ17" i="24"/>
  <c r="FP17" i="24" s="1"/>
  <c r="AQ17" i="24"/>
  <c r="FG17" i="24" s="1"/>
  <c r="AC17" i="24"/>
  <c r="R17" i="24"/>
  <c r="EH17" i="24" s="1"/>
  <c r="BX17" i="24"/>
  <c r="AK17" i="24"/>
  <c r="FA17" i="24" s="1"/>
  <c r="BP17" i="24"/>
  <c r="BT17" i="24"/>
  <c r="BA17" i="24"/>
  <c r="FQ17" i="24" s="1"/>
  <c r="AR17" i="24"/>
  <c r="FH17" i="24" s="1"/>
  <c r="S17" i="24"/>
  <c r="BU17" i="24"/>
  <c r="BB17" i="24"/>
  <c r="FR17" i="24" s="1"/>
  <c r="AS17" i="24"/>
  <c r="FI17" i="24" s="1"/>
  <c r="BV17" i="24"/>
  <c r="BC17" i="24"/>
  <c r="FS17" i="24" s="1"/>
  <c r="AT17" i="24"/>
  <c r="FJ17" i="24" s="1"/>
  <c r="BZ17" i="24"/>
  <c r="BW17" i="24"/>
  <c r="BD17" i="24"/>
  <c r="FT17" i="24" s="1"/>
  <c r="AU17" i="24"/>
  <c r="FK17" i="24" s="1"/>
  <c r="BY17" i="24"/>
  <c r="N17" i="24"/>
  <c r="ED17" i="24" s="1"/>
  <c r="K17" i="24"/>
  <c r="EA17" i="24" s="1"/>
  <c r="L17" i="24"/>
  <c r="EB17" i="24" s="1"/>
  <c r="M17" i="24"/>
  <c r="EC17" i="24" s="1"/>
  <c r="T21" i="24"/>
  <c r="EJ21" i="24" s="1"/>
  <c r="EI21" i="24"/>
  <c r="AD11" i="24"/>
  <c r="ET11" i="24" s="1"/>
  <c r="ES11" i="24"/>
  <c r="AN51" i="24"/>
  <c r="FD51" i="24" s="1"/>
  <c r="FC51" i="24"/>
  <c r="A13" i="24"/>
  <c r="DW12" i="24"/>
  <c r="DX12" i="24"/>
  <c r="DY12" i="24"/>
  <c r="DZ12" i="24" s="1"/>
  <c r="DQ12" i="24"/>
  <c r="DR12" i="24"/>
  <c r="DS12" i="24"/>
  <c r="DT12" i="24"/>
  <c r="DG12" i="24"/>
  <c r="DU12" i="24"/>
  <c r="DH12" i="24"/>
  <c r="DV12" i="24"/>
  <c r="DI12" i="24"/>
  <c r="DN12" i="24"/>
  <c r="DO12" i="24"/>
  <c r="DP12" i="24" s="1"/>
  <c r="DJ12" i="24"/>
  <c r="DK12" i="24"/>
  <c r="DL12" i="24"/>
  <c r="DM12" i="24"/>
  <c r="CE12" i="24"/>
  <c r="CF12" i="24"/>
  <c r="CG12" i="24"/>
  <c r="CH12" i="24"/>
  <c r="CM12" i="24"/>
  <c r="CI12" i="24"/>
  <c r="CN12" i="24"/>
  <c r="CJ12" i="24"/>
  <c r="CO12" i="24"/>
  <c r="CK12" i="24"/>
  <c r="CL12" i="24" s="1"/>
  <c r="CP12" i="24"/>
  <c r="CU12" i="24"/>
  <c r="CV12" i="24" s="1"/>
  <c r="CC12" i="24"/>
  <c r="CD12" i="24"/>
  <c r="BM12" i="24"/>
  <c r="BN12" i="24"/>
  <c r="BO12" i="24"/>
  <c r="BP12" i="24"/>
  <c r="BQ12" i="24"/>
  <c r="BR12" i="24" s="1"/>
  <c r="BS12" i="24"/>
  <c r="BT12" i="24"/>
  <c r="BU12" i="24"/>
  <c r="AQ12" i="24"/>
  <c r="FG12" i="24" s="1"/>
  <c r="BV12" i="24"/>
  <c r="AR12" i="24"/>
  <c r="FH12" i="24" s="1"/>
  <c r="BW12" i="24"/>
  <c r="BX12" i="24"/>
  <c r="BY12" i="24"/>
  <c r="BI12" i="24"/>
  <c r="BZ12" i="24"/>
  <c r="BJ12" i="24"/>
  <c r="CA12" i="24"/>
  <c r="CB12" i="24" s="1"/>
  <c r="BK12" i="24"/>
  <c r="BL12" i="24"/>
  <c r="CQ12" i="24"/>
  <c r="CR12" i="24"/>
  <c r="CS12" i="24"/>
  <c r="CT12" i="24"/>
  <c r="AY12" i="24"/>
  <c r="FO12" i="24" s="1"/>
  <c r="AZ12" i="24"/>
  <c r="FP12" i="24" s="1"/>
  <c r="BA12" i="24"/>
  <c r="FQ12" i="24" s="1"/>
  <c r="AH12" i="24"/>
  <c r="EX12" i="24" s="1"/>
  <c r="BG12" i="24"/>
  <c r="AJ12" i="24"/>
  <c r="EZ12" i="24" s="1"/>
  <c r="Z12" i="24"/>
  <c r="EP12" i="24" s="1"/>
  <c r="AK12" i="24"/>
  <c r="FA12" i="24" s="1"/>
  <c r="AA12" i="24"/>
  <c r="EQ12" i="24" s="1"/>
  <c r="AL12" i="24"/>
  <c r="FB12" i="24" s="1"/>
  <c r="AB12" i="24"/>
  <c r="ER12" i="24" s="1"/>
  <c r="AM12" i="24"/>
  <c r="AC12" i="24"/>
  <c r="AO12" i="24"/>
  <c r="FE12" i="24" s="1"/>
  <c r="AP12" i="24"/>
  <c r="FF12" i="24" s="1"/>
  <c r="AS12" i="24"/>
  <c r="FI12" i="24" s="1"/>
  <c r="AT12" i="24"/>
  <c r="FJ12" i="24" s="1"/>
  <c r="BC12" i="24"/>
  <c r="FS12" i="24" s="1"/>
  <c r="W12" i="24"/>
  <c r="EM12" i="24" s="1"/>
  <c r="X12" i="24"/>
  <c r="EN12" i="24" s="1"/>
  <c r="N12" i="24"/>
  <c r="ED12" i="24" s="1"/>
  <c r="V12" i="24"/>
  <c r="EL12" i="24" s="1"/>
  <c r="AV12" i="24"/>
  <c r="FL12" i="24" s="1"/>
  <c r="BB12" i="24"/>
  <c r="FR12" i="24" s="1"/>
  <c r="BD12" i="24"/>
  <c r="FT12" i="24" s="1"/>
  <c r="BF12" i="24"/>
  <c r="FV12" i="24" s="1"/>
  <c r="AU12" i="24"/>
  <c r="FK12" i="24" s="1"/>
  <c r="K12" i="24"/>
  <c r="EA12" i="24" s="1"/>
  <c r="AF12" i="24"/>
  <c r="EV12" i="24" s="1"/>
  <c r="AW12" i="24"/>
  <c r="AI12" i="24"/>
  <c r="EY12" i="24" s="1"/>
  <c r="BE12" i="24"/>
  <c r="FU12" i="24" s="1"/>
  <c r="Y12" i="24"/>
  <c r="EO12" i="24" s="1"/>
  <c r="AE12" i="24"/>
  <c r="EU12" i="24" s="1"/>
  <c r="U12" i="24"/>
  <c r="EK12" i="24" s="1"/>
  <c r="AG12" i="24"/>
  <c r="EW12" i="24" s="1"/>
  <c r="EB12" i="24"/>
  <c r="M12" i="24"/>
  <c r="EC12" i="24" s="1"/>
  <c r="P12" i="24"/>
  <c r="EF12" i="24" s="1"/>
  <c r="Q12" i="24"/>
  <c r="EG12" i="24" s="1"/>
  <c r="R12" i="24"/>
  <c r="EH12" i="24" s="1"/>
  <c r="S12" i="24"/>
  <c r="O12" i="24"/>
  <c r="EE12" i="24" s="1"/>
  <c r="AX26" i="24"/>
  <c r="FN26" i="24" s="1"/>
  <c r="FM26" i="24"/>
  <c r="BH21" i="24"/>
  <c r="FX21" i="24" s="1"/>
  <c r="FW21" i="24"/>
  <c r="AN61" i="24"/>
  <c r="FD61" i="24" s="1"/>
  <c r="FC61" i="24"/>
  <c r="T61" i="24"/>
  <c r="EJ61" i="24" s="1"/>
  <c r="EI61" i="24"/>
  <c r="T66" i="24"/>
  <c r="EJ66" i="24" s="1"/>
  <c r="EI66" i="24"/>
  <c r="AN66" i="24"/>
  <c r="FD66" i="24" s="1"/>
  <c r="FC66" i="24"/>
  <c r="T31" i="24"/>
  <c r="EJ31" i="24" s="1"/>
  <c r="EI31" i="24"/>
  <c r="A33" i="24"/>
  <c r="DW32" i="24"/>
  <c r="DX32" i="24"/>
  <c r="DY32" i="24"/>
  <c r="DZ32" i="24" s="1"/>
  <c r="DG32" i="24"/>
  <c r="DH32" i="24"/>
  <c r="DI32" i="24"/>
  <c r="DQ32" i="24"/>
  <c r="DR32" i="24"/>
  <c r="DS32" i="24"/>
  <c r="DJ32" i="24"/>
  <c r="DT32" i="24"/>
  <c r="DK32" i="24"/>
  <c r="DU32" i="24"/>
  <c r="DL32" i="24"/>
  <c r="DV32" i="24"/>
  <c r="DM32" i="24"/>
  <c r="DN32" i="24"/>
  <c r="DO32" i="24"/>
  <c r="DP32" i="24" s="1"/>
  <c r="CU32" i="24"/>
  <c r="CV32" i="24" s="1"/>
  <c r="CE32" i="24"/>
  <c r="CF32" i="24"/>
  <c r="CG32" i="24"/>
  <c r="CH32" i="24"/>
  <c r="CI32" i="24"/>
  <c r="CJ32" i="24"/>
  <c r="CK32" i="24"/>
  <c r="CL32" i="24" s="1"/>
  <c r="CM32" i="24"/>
  <c r="CN32" i="24"/>
  <c r="CO32" i="24"/>
  <c r="CP32" i="24"/>
  <c r="CQ32" i="24"/>
  <c r="CR32" i="24"/>
  <c r="CS32" i="24"/>
  <c r="CT32" i="24"/>
  <c r="BM32" i="24"/>
  <c r="BN32" i="24"/>
  <c r="BO32" i="24"/>
  <c r="BP32" i="24"/>
  <c r="BQ32" i="24"/>
  <c r="BR32" i="24" s="1"/>
  <c r="BS32" i="24"/>
  <c r="BT32" i="24"/>
  <c r="AQ32" i="24"/>
  <c r="FG32" i="24" s="1"/>
  <c r="AR32" i="24"/>
  <c r="FH32" i="24" s="1"/>
  <c r="BY32" i="24"/>
  <c r="BG32" i="24"/>
  <c r="AV32" i="24"/>
  <c r="FL32" i="24" s="1"/>
  <c r="BZ32" i="24"/>
  <c r="AW32" i="24"/>
  <c r="CA32" i="24"/>
  <c r="CB32" i="24" s="1"/>
  <c r="AE32" i="24"/>
  <c r="EU32" i="24" s="1"/>
  <c r="AF32" i="24"/>
  <c r="EV32" i="24" s="1"/>
  <c r="AG32" i="24"/>
  <c r="EW32" i="24" s="1"/>
  <c r="AC32" i="24"/>
  <c r="BU32" i="24"/>
  <c r="AH32" i="24"/>
  <c r="EX32" i="24" s="1"/>
  <c r="BV32" i="24"/>
  <c r="BI32" i="24"/>
  <c r="AY32" i="24"/>
  <c r="FO32" i="24" s="1"/>
  <c r="AI32" i="24"/>
  <c r="EY32" i="24" s="1"/>
  <c r="BW32" i="24"/>
  <c r="BJ32" i="24"/>
  <c r="AZ32" i="24"/>
  <c r="FP32" i="24" s="1"/>
  <c r="AJ32" i="24"/>
  <c r="EZ32" i="24" s="1"/>
  <c r="BX32" i="24"/>
  <c r="BK32" i="24"/>
  <c r="BA32" i="24"/>
  <c r="FQ32" i="24" s="1"/>
  <c r="AK32" i="24"/>
  <c r="FA32" i="24" s="1"/>
  <c r="L32" i="24"/>
  <c r="EB32" i="24" s="1"/>
  <c r="AO32" i="24"/>
  <c r="FE32" i="24" s="1"/>
  <c r="AT32" i="24"/>
  <c r="FJ32" i="24" s="1"/>
  <c r="AM32" i="24"/>
  <c r="AA32" i="24"/>
  <c r="EQ32" i="24" s="1"/>
  <c r="AP32" i="24"/>
  <c r="FF32" i="24" s="1"/>
  <c r="N32" i="24"/>
  <c r="ED32" i="24" s="1"/>
  <c r="U32" i="24"/>
  <c r="EK32" i="24" s="1"/>
  <c r="BL32" i="24"/>
  <c r="BC32" i="24"/>
  <c r="FS32" i="24" s="1"/>
  <c r="M32" i="24"/>
  <c r="EC32" i="24" s="1"/>
  <c r="V32" i="24"/>
  <c r="EL32" i="24" s="1"/>
  <c r="AB32" i="24"/>
  <c r="ER32" i="24" s="1"/>
  <c r="K32" i="24"/>
  <c r="EA32" i="24" s="1"/>
  <c r="W32" i="24"/>
  <c r="EM32" i="24" s="1"/>
  <c r="Z32" i="24"/>
  <c r="EP32" i="24" s="1"/>
  <c r="BB32" i="24"/>
  <c r="FR32" i="24" s="1"/>
  <c r="CC32" i="24"/>
  <c r="X32" i="24"/>
  <c r="EN32" i="24" s="1"/>
  <c r="AL32" i="24"/>
  <c r="FB32" i="24" s="1"/>
  <c r="BD32" i="24"/>
  <c r="FT32" i="24" s="1"/>
  <c r="BE32" i="24"/>
  <c r="FU32" i="24" s="1"/>
  <c r="CD32" i="24"/>
  <c r="Y32" i="24"/>
  <c r="EO32" i="24" s="1"/>
  <c r="AS32" i="24"/>
  <c r="FI32" i="24" s="1"/>
  <c r="AU32" i="24"/>
  <c r="FK32" i="24" s="1"/>
  <c r="Q32" i="24"/>
  <c r="EG32" i="24" s="1"/>
  <c r="R32" i="24"/>
  <c r="EH32" i="24" s="1"/>
  <c r="S32" i="24"/>
  <c r="BF32" i="24"/>
  <c r="FV32" i="24" s="1"/>
  <c r="O32" i="24"/>
  <c r="EE32" i="24" s="1"/>
  <c r="P32" i="24"/>
  <c r="EF32" i="24" s="1"/>
  <c r="A53" i="24"/>
  <c r="DW52" i="24"/>
  <c r="DX52" i="24"/>
  <c r="DY52" i="24"/>
  <c r="DZ52" i="24" s="1"/>
  <c r="DS52" i="24"/>
  <c r="DT52" i="24"/>
  <c r="DU52" i="24"/>
  <c r="DV52" i="24"/>
  <c r="DG52" i="24"/>
  <c r="DH52" i="24"/>
  <c r="DI52" i="24"/>
  <c r="CM52" i="24"/>
  <c r="CE52" i="24"/>
  <c r="CN52" i="24"/>
  <c r="CF52" i="24"/>
  <c r="CO52" i="24"/>
  <c r="CG52" i="24"/>
  <c r="CP52" i="24"/>
  <c r="DJ52" i="24"/>
  <c r="CQ52" i="24"/>
  <c r="DK52" i="24"/>
  <c r="CR52" i="24"/>
  <c r="DL52" i="24"/>
  <c r="CS52" i="24"/>
  <c r="CK52" i="24"/>
  <c r="CL52" i="24" s="1"/>
  <c r="DM52" i="24"/>
  <c r="CT52" i="24"/>
  <c r="CC52" i="24"/>
  <c r="CD52" i="24"/>
  <c r="CH52" i="24"/>
  <c r="BM52" i="24"/>
  <c r="CI52" i="24"/>
  <c r="BN52" i="24"/>
  <c r="CJ52" i="24"/>
  <c r="BO52" i="24"/>
  <c r="BP52" i="24"/>
  <c r="BQ52" i="24"/>
  <c r="BR52" i="24" s="1"/>
  <c r="BS52" i="24"/>
  <c r="BT52" i="24"/>
  <c r="BY52" i="24"/>
  <c r="BI52" i="24"/>
  <c r="AQ52" i="24"/>
  <c r="FG52" i="24" s="1"/>
  <c r="BZ52" i="24"/>
  <c r="BJ52" i="24"/>
  <c r="AR52" i="24"/>
  <c r="FH52" i="24" s="1"/>
  <c r="CA52" i="24"/>
  <c r="CB52" i="24" s="1"/>
  <c r="BK52" i="24"/>
  <c r="BL52" i="24"/>
  <c r="AY52" i="24"/>
  <c r="FO52" i="24" s="1"/>
  <c r="AT52" i="24"/>
  <c r="FJ52" i="24" s="1"/>
  <c r="AZ52" i="24"/>
  <c r="FP52" i="24" s="1"/>
  <c r="AU52" i="24"/>
  <c r="FK52" i="24" s="1"/>
  <c r="BA52" i="24"/>
  <c r="FQ52" i="24" s="1"/>
  <c r="AV52" i="24"/>
  <c r="FL52" i="24" s="1"/>
  <c r="BB52" i="24"/>
  <c r="FR52" i="24" s="1"/>
  <c r="AW52" i="24"/>
  <c r="DN52" i="24"/>
  <c r="BU52" i="24"/>
  <c r="BC52" i="24"/>
  <c r="FS52" i="24" s="1"/>
  <c r="DO52" i="24"/>
  <c r="DP52" i="24" s="1"/>
  <c r="BV52" i="24"/>
  <c r="BD52" i="24"/>
  <c r="FT52" i="24" s="1"/>
  <c r="DQ52" i="24"/>
  <c r="BW52" i="24"/>
  <c r="BE52" i="24"/>
  <c r="FU52" i="24" s="1"/>
  <c r="DR52" i="24"/>
  <c r="BX52" i="24"/>
  <c r="AM52" i="24"/>
  <c r="AI52" i="24"/>
  <c r="EY52" i="24" s="1"/>
  <c r="AJ52" i="24"/>
  <c r="EZ52" i="24" s="1"/>
  <c r="U52" i="24"/>
  <c r="EK52" i="24" s="1"/>
  <c r="AK52" i="24"/>
  <c r="FA52" i="24" s="1"/>
  <c r="V52" i="24"/>
  <c r="EL52" i="24" s="1"/>
  <c r="AL52" i="24"/>
  <c r="FB52" i="24" s="1"/>
  <c r="W52" i="24"/>
  <c r="EM52" i="24" s="1"/>
  <c r="M52" i="24"/>
  <c r="EC52" i="24" s="1"/>
  <c r="N52" i="24"/>
  <c r="ED52" i="24" s="1"/>
  <c r="X52" i="24"/>
  <c r="EN52" i="24" s="1"/>
  <c r="AB52" i="24"/>
  <c r="ER52" i="24" s="1"/>
  <c r="Y52" i="24"/>
  <c r="EO52" i="24" s="1"/>
  <c r="CU52" i="24"/>
  <c r="CV52" i="24" s="1"/>
  <c r="AC52" i="24"/>
  <c r="Z52" i="24"/>
  <c r="EP52" i="24" s="1"/>
  <c r="L52" i="24"/>
  <c r="EB52" i="24" s="1"/>
  <c r="AA52" i="24"/>
  <c r="EQ52" i="24" s="1"/>
  <c r="K52" i="24"/>
  <c r="EA52" i="24" s="1"/>
  <c r="AS52" i="24"/>
  <c r="FI52" i="24" s="1"/>
  <c r="BG52" i="24"/>
  <c r="AE52" i="24"/>
  <c r="EU52" i="24" s="1"/>
  <c r="O52" i="24"/>
  <c r="EE52" i="24" s="1"/>
  <c r="P52" i="24"/>
  <c r="EF52" i="24" s="1"/>
  <c r="AP52" i="24"/>
  <c r="FF52" i="24" s="1"/>
  <c r="AF52" i="24"/>
  <c r="EV52" i="24" s="1"/>
  <c r="AG52" i="24"/>
  <c r="EW52" i="24" s="1"/>
  <c r="Q52" i="24"/>
  <c r="EG52" i="24" s="1"/>
  <c r="S52" i="24"/>
  <c r="AH52" i="24"/>
  <c r="EX52" i="24" s="1"/>
  <c r="R52" i="24"/>
  <c r="EH52" i="24" s="1"/>
  <c r="AO52" i="24"/>
  <c r="FE52" i="24" s="1"/>
  <c r="BF52" i="24"/>
  <c r="FV52" i="24" s="1"/>
  <c r="AN46" i="24"/>
  <c r="FD46" i="24" s="1"/>
  <c r="FC46" i="24"/>
  <c r="AN36" i="24"/>
  <c r="FD36" i="24" s="1"/>
  <c r="FC36" i="24"/>
  <c r="AX41" i="24"/>
  <c r="FN41" i="24" s="1"/>
  <c r="FM41" i="24"/>
  <c r="AD71" i="24"/>
  <c r="ET71" i="24" s="1"/>
  <c r="ES71" i="24"/>
  <c r="T11" i="24"/>
  <c r="EJ11" i="24" s="1"/>
  <c r="EI11" i="24"/>
  <c r="AX66" i="24"/>
  <c r="FN66" i="24" s="1"/>
  <c r="FM66" i="24"/>
  <c r="FM11" i="24"/>
  <c r="AX11" i="24"/>
  <c r="FN11" i="24" s="1"/>
  <c r="FM56" i="24"/>
  <c r="AX56" i="24"/>
  <c r="FN56" i="24" s="1"/>
  <c r="BH71" i="24"/>
  <c r="FX71" i="24" s="1"/>
  <c r="FW71" i="24"/>
  <c r="A73" i="24"/>
  <c r="DW72" i="24"/>
  <c r="DX72" i="24"/>
  <c r="DY72" i="24"/>
  <c r="DZ72" i="24" s="1"/>
  <c r="DG72" i="24"/>
  <c r="DQ72" i="24"/>
  <c r="DH72" i="24"/>
  <c r="DR72" i="24"/>
  <c r="DI72" i="24"/>
  <c r="DJ72" i="24"/>
  <c r="DK72" i="24"/>
  <c r="DL72" i="24"/>
  <c r="DM72" i="24"/>
  <c r="DN72" i="24"/>
  <c r="DO72" i="24"/>
  <c r="DP72" i="24" s="1"/>
  <c r="DS72" i="24"/>
  <c r="CE72" i="24"/>
  <c r="DT72" i="24"/>
  <c r="CF72" i="24"/>
  <c r="DU72" i="24"/>
  <c r="CG72" i="24"/>
  <c r="DV72" i="24"/>
  <c r="CK72" i="24"/>
  <c r="CL72" i="24" s="1"/>
  <c r="BM72" i="24"/>
  <c r="BN72" i="24"/>
  <c r="BO72" i="24"/>
  <c r="BP72" i="24"/>
  <c r="BQ72" i="24"/>
  <c r="BR72" i="24" s="1"/>
  <c r="CC72" i="24"/>
  <c r="BS72" i="24"/>
  <c r="CD72" i="24"/>
  <c r="BT72" i="24"/>
  <c r="CQ72" i="24"/>
  <c r="CR72" i="24"/>
  <c r="CS72" i="24"/>
  <c r="CT72" i="24"/>
  <c r="CU72" i="24"/>
  <c r="CV72" i="24" s="1"/>
  <c r="CH72" i="24"/>
  <c r="BU72" i="24"/>
  <c r="CI72" i="24"/>
  <c r="BV72" i="24"/>
  <c r="CJ72" i="24"/>
  <c r="BW72" i="24"/>
  <c r="BX72" i="24"/>
  <c r="CM72" i="24"/>
  <c r="AV72" i="24"/>
  <c r="FL72" i="24" s="1"/>
  <c r="CN72" i="24"/>
  <c r="AW72" i="24"/>
  <c r="CO72" i="24"/>
  <c r="CP72" i="24"/>
  <c r="BI72" i="24"/>
  <c r="BJ72" i="24"/>
  <c r="BK72" i="24"/>
  <c r="BY72" i="24"/>
  <c r="BZ72" i="24"/>
  <c r="CA72" i="24"/>
  <c r="CB72" i="24" s="1"/>
  <c r="AY72" i="24"/>
  <c r="FO72" i="24" s="1"/>
  <c r="AZ72" i="24"/>
  <c r="FP72" i="24" s="1"/>
  <c r="AE72" i="24"/>
  <c r="EU72" i="24" s="1"/>
  <c r="BA72" i="24"/>
  <c r="FQ72" i="24" s="1"/>
  <c r="AF72" i="24"/>
  <c r="EV72" i="24" s="1"/>
  <c r="BL72" i="24"/>
  <c r="BB72" i="24"/>
  <c r="FR72" i="24" s="1"/>
  <c r="AG72" i="24"/>
  <c r="EW72" i="24" s="1"/>
  <c r="BG72" i="24"/>
  <c r="AI72" i="24"/>
  <c r="EY72" i="24" s="1"/>
  <c r="AK72" i="24"/>
  <c r="FA72" i="24" s="1"/>
  <c r="M72" i="24"/>
  <c r="EC72" i="24" s="1"/>
  <c r="AO72" i="24"/>
  <c r="FE72" i="24" s="1"/>
  <c r="U72" i="24"/>
  <c r="EK72" i="24" s="1"/>
  <c r="AC72" i="24"/>
  <c r="L72" i="24"/>
  <c r="EB72" i="24" s="1"/>
  <c r="AP72" i="24"/>
  <c r="FF72" i="24" s="1"/>
  <c r="V72" i="24"/>
  <c r="EL72" i="24" s="1"/>
  <c r="AH72" i="24"/>
  <c r="EX72" i="24" s="1"/>
  <c r="K72" i="24"/>
  <c r="EA72" i="24" s="1"/>
  <c r="AQ72" i="24"/>
  <c r="FG72" i="24" s="1"/>
  <c r="W72" i="24"/>
  <c r="EM72" i="24" s="1"/>
  <c r="AM72" i="24"/>
  <c r="AR72" i="24"/>
  <c r="FH72" i="24" s="1"/>
  <c r="X72" i="24"/>
  <c r="EN72" i="24" s="1"/>
  <c r="AL72" i="24"/>
  <c r="FB72" i="24" s="1"/>
  <c r="AS72" i="24"/>
  <c r="FI72" i="24" s="1"/>
  <c r="Y72" i="24"/>
  <c r="EO72" i="24" s="1"/>
  <c r="AJ72" i="24"/>
  <c r="EZ72" i="24" s="1"/>
  <c r="N72" i="24"/>
  <c r="ED72" i="24" s="1"/>
  <c r="AT72" i="24"/>
  <c r="FJ72" i="24" s="1"/>
  <c r="Z72" i="24"/>
  <c r="EP72" i="24" s="1"/>
  <c r="AU72" i="24"/>
  <c r="FK72" i="24" s="1"/>
  <c r="AA72" i="24"/>
  <c r="EQ72" i="24" s="1"/>
  <c r="AB72" i="24"/>
  <c r="ER72" i="24" s="1"/>
  <c r="BD72" i="24"/>
  <c r="FT72" i="24" s="1"/>
  <c r="P72" i="24"/>
  <c r="EF72" i="24" s="1"/>
  <c r="BE72" i="24"/>
  <c r="FU72" i="24" s="1"/>
  <c r="R72" i="24"/>
  <c r="EH72" i="24" s="1"/>
  <c r="BF72" i="24"/>
  <c r="FV72" i="24" s="1"/>
  <c r="BC72" i="24"/>
  <c r="FS72" i="24" s="1"/>
  <c r="O72" i="24"/>
  <c r="EE72" i="24" s="1"/>
  <c r="S72" i="24"/>
  <c r="Q72" i="24"/>
  <c r="EG72" i="24" s="1"/>
  <c r="AD16" i="24"/>
  <c r="ET16" i="24" s="1"/>
  <c r="ES16" i="24"/>
  <c r="AX51" i="24"/>
  <c r="FN51" i="24" s="1"/>
  <c r="FM51" i="24"/>
  <c r="AD56" i="24"/>
  <c r="ET56" i="24" s="1"/>
  <c r="ES56" i="24"/>
  <c r="FW46" i="24"/>
  <c r="BH46" i="24"/>
  <c r="FX46" i="24" s="1"/>
  <c r="AX21" i="24"/>
  <c r="FN21" i="24" s="1"/>
  <c r="FM21" i="24"/>
  <c r="T26" i="24"/>
  <c r="EJ26" i="24" s="1"/>
  <c r="EI26" i="24"/>
  <c r="T51" i="24"/>
  <c r="EJ51" i="24" s="1"/>
  <c r="EI51" i="24"/>
  <c r="AX46" i="24"/>
  <c r="FN46" i="24" s="1"/>
  <c r="FM46" i="24"/>
  <c r="BH31" i="24"/>
  <c r="FX31" i="24" s="1"/>
  <c r="FW31" i="24"/>
  <c r="T56" i="24"/>
  <c r="EJ56" i="24" s="1"/>
  <c r="EI56" i="24"/>
  <c r="AN11" i="24"/>
  <c r="FD11" i="24" s="1"/>
  <c r="FC11" i="24"/>
  <c r="EI36" i="24"/>
  <c r="T36" i="24"/>
  <c r="EJ36" i="24" s="1"/>
  <c r="AN21" i="24"/>
  <c r="FD21" i="24" s="1"/>
  <c r="FC21" i="24"/>
  <c r="ES21" i="24"/>
  <c r="AD21" i="24"/>
  <c r="ET21" i="24" s="1"/>
  <c r="FW16" i="24"/>
  <c r="BH16" i="24"/>
  <c r="FX16" i="24" s="1"/>
  <c r="AD31" i="24"/>
  <c r="ET31" i="24" s="1"/>
  <c r="ES31" i="24"/>
  <c r="AN31" i="24"/>
  <c r="FD31" i="24" s="1"/>
  <c r="FC31" i="24"/>
  <c r="AX36" i="24"/>
  <c r="FN36" i="24" s="1"/>
  <c r="FM36" i="24"/>
  <c r="T46" i="24"/>
  <c r="EJ46" i="24" s="1"/>
  <c r="EI46" i="24"/>
  <c r="FC41" i="24"/>
  <c r="AN41" i="24"/>
  <c r="FD41" i="24" s="1"/>
  <c r="AD26" i="24"/>
  <c r="ET26" i="24" s="1"/>
  <c r="ES26" i="24"/>
  <c r="FC56" i="24"/>
  <c r="AN56" i="24"/>
  <c r="FD56" i="24" s="1"/>
  <c r="BH11" i="24"/>
  <c r="FX11" i="24" s="1"/>
  <c r="FW11" i="24"/>
  <c r="AD66" i="24"/>
  <c r="ET66" i="24" s="1"/>
  <c r="ES66" i="24"/>
  <c r="T71" i="24"/>
  <c r="EJ71" i="24" s="1"/>
  <c r="EI71" i="24"/>
  <c r="A28" i="24"/>
  <c r="DG27" i="24"/>
  <c r="DQ27" i="24"/>
  <c r="DH27" i="24"/>
  <c r="DR27" i="24"/>
  <c r="DI27" i="24"/>
  <c r="DS27" i="24"/>
  <c r="DJ27" i="24"/>
  <c r="DT27" i="24"/>
  <c r="DK27" i="24"/>
  <c r="DU27" i="24"/>
  <c r="DL27" i="24"/>
  <c r="DV27" i="24"/>
  <c r="DM27" i="24"/>
  <c r="DW27" i="24"/>
  <c r="DN27" i="24"/>
  <c r="DO27" i="24"/>
  <c r="DP27" i="24" s="1"/>
  <c r="CM27" i="24"/>
  <c r="DX27" i="24"/>
  <c r="CN27" i="24"/>
  <c r="DY27" i="24"/>
  <c r="DZ27" i="24" s="1"/>
  <c r="CO27" i="24"/>
  <c r="CP27" i="24"/>
  <c r="CQ27" i="24"/>
  <c r="CJ27" i="24"/>
  <c r="CK27" i="24"/>
  <c r="CL27" i="24" s="1"/>
  <c r="CR27" i="24"/>
  <c r="CS27" i="24"/>
  <c r="CC27" i="24"/>
  <c r="CT27" i="24"/>
  <c r="CD27" i="24"/>
  <c r="CU27" i="24"/>
  <c r="CV27" i="24" s="1"/>
  <c r="CE27" i="24"/>
  <c r="BS27" i="24"/>
  <c r="BT27" i="24"/>
  <c r="BU27" i="24"/>
  <c r="BV27" i="24"/>
  <c r="BW27" i="24"/>
  <c r="BX27" i="24"/>
  <c r="BY27" i="24"/>
  <c r="AV27" i="24"/>
  <c r="FL27" i="24" s="1"/>
  <c r="AW27" i="24"/>
  <c r="BI27" i="24"/>
  <c r="AY27" i="24"/>
  <c r="FO27" i="24" s="1"/>
  <c r="CF27" i="24"/>
  <c r="BZ27" i="24"/>
  <c r="BJ27" i="24"/>
  <c r="AZ27" i="24"/>
  <c r="FP27" i="24" s="1"/>
  <c r="CG27" i="24"/>
  <c r="CA27" i="24"/>
  <c r="CB27" i="24" s="1"/>
  <c r="BK27" i="24"/>
  <c r="BA27" i="24"/>
  <c r="FQ27" i="24" s="1"/>
  <c r="CH27" i="24"/>
  <c r="BL27" i="24"/>
  <c r="BB27" i="24"/>
  <c r="FR27" i="24" s="1"/>
  <c r="CI27" i="24"/>
  <c r="BM27" i="24"/>
  <c r="BC27" i="24"/>
  <c r="FS27" i="24" s="1"/>
  <c r="BN27" i="24"/>
  <c r="AU27" i="24"/>
  <c r="FK27" i="24" s="1"/>
  <c r="BO27" i="24"/>
  <c r="BP27" i="24"/>
  <c r="AE27" i="24"/>
  <c r="EU27" i="24" s="1"/>
  <c r="BQ27" i="24"/>
  <c r="BR27" i="24" s="1"/>
  <c r="AF27" i="24"/>
  <c r="EV27" i="24" s="1"/>
  <c r="AI27" i="24"/>
  <c r="EY27" i="24" s="1"/>
  <c r="AO27" i="24"/>
  <c r="FE27" i="24" s="1"/>
  <c r="AP27" i="24"/>
  <c r="FF27" i="24" s="1"/>
  <c r="AQ27" i="24"/>
  <c r="FG27" i="24" s="1"/>
  <c r="AR27" i="24"/>
  <c r="FH27" i="24" s="1"/>
  <c r="AS27" i="24"/>
  <c r="FI27" i="24" s="1"/>
  <c r="BD27" i="24"/>
  <c r="FT27" i="24" s="1"/>
  <c r="AM27" i="24"/>
  <c r="R27" i="24"/>
  <c r="EH27" i="24" s="1"/>
  <c r="S27" i="24"/>
  <c r="BE27" i="24"/>
  <c r="FU27" i="24" s="1"/>
  <c r="Y27" i="24"/>
  <c r="EO27" i="24" s="1"/>
  <c r="BF27" i="24"/>
  <c r="FV27" i="24" s="1"/>
  <c r="BG27" i="24"/>
  <c r="K27" i="24"/>
  <c r="EA27" i="24" s="1"/>
  <c r="AK27" i="24"/>
  <c r="FA27" i="24" s="1"/>
  <c r="X27" i="24"/>
  <c r="EN27" i="24" s="1"/>
  <c r="N27" i="24"/>
  <c r="ED27" i="24" s="1"/>
  <c r="O27" i="24"/>
  <c r="EE27" i="24" s="1"/>
  <c r="Q27" i="24"/>
  <c r="EG27" i="24" s="1"/>
  <c r="AG27" i="24"/>
  <c r="EW27" i="24" s="1"/>
  <c r="P27" i="24"/>
  <c r="EF27" i="24" s="1"/>
  <c r="AA27" i="24"/>
  <c r="EQ27" i="24" s="1"/>
  <c r="AC27" i="24"/>
  <c r="AH27" i="24"/>
  <c r="EX27" i="24" s="1"/>
  <c r="U27" i="24"/>
  <c r="EK27" i="24" s="1"/>
  <c r="W27" i="24"/>
  <c r="EM27" i="24" s="1"/>
  <c r="M27" i="24"/>
  <c r="EC27" i="24" s="1"/>
  <c r="AJ27" i="24"/>
  <c r="EZ27" i="24" s="1"/>
  <c r="V27" i="24"/>
  <c r="EL27" i="24" s="1"/>
  <c r="L27" i="24"/>
  <c r="EB27" i="24" s="1"/>
  <c r="AL27" i="24"/>
  <c r="FB27" i="24" s="1"/>
  <c r="Z27" i="24"/>
  <c r="EP27" i="24" s="1"/>
  <c r="AB27" i="24"/>
  <c r="ER27" i="24" s="1"/>
  <c r="AT27" i="24"/>
  <c r="FJ27" i="24" s="1"/>
  <c r="BH66" i="24"/>
  <c r="FX66" i="24" s="1"/>
  <c r="FW66" i="24"/>
  <c r="A23" i="24"/>
  <c r="DQ22" i="24"/>
  <c r="DR22" i="24"/>
  <c r="DS22" i="24"/>
  <c r="DT22" i="24"/>
  <c r="DY22" i="24"/>
  <c r="DZ22" i="24" s="1"/>
  <c r="DL22" i="24"/>
  <c r="DM22" i="24"/>
  <c r="DN22" i="24"/>
  <c r="DO22" i="24"/>
  <c r="DP22" i="24" s="1"/>
  <c r="CO22" i="24"/>
  <c r="CP22" i="24"/>
  <c r="CQ22" i="24"/>
  <c r="CR22" i="24"/>
  <c r="CS22" i="24"/>
  <c r="CT22" i="24"/>
  <c r="CU22" i="24"/>
  <c r="CV22" i="24" s="1"/>
  <c r="CM22" i="24"/>
  <c r="CN22" i="24"/>
  <c r="DU22" i="24"/>
  <c r="DV22" i="24"/>
  <c r="DW22" i="24"/>
  <c r="DX22" i="24"/>
  <c r="DG22" i="24"/>
  <c r="DH22" i="24"/>
  <c r="CG22" i="24"/>
  <c r="DI22" i="24"/>
  <c r="CH22" i="24"/>
  <c r="DJ22" i="24"/>
  <c r="CI22" i="24"/>
  <c r="DK22" i="24"/>
  <c r="CJ22" i="24"/>
  <c r="CK22" i="24"/>
  <c r="CL22" i="24" s="1"/>
  <c r="CC22" i="24"/>
  <c r="BW22" i="24"/>
  <c r="CD22" i="24"/>
  <c r="BX22" i="24"/>
  <c r="CE22" i="24"/>
  <c r="BY22" i="24"/>
  <c r="CF22" i="24"/>
  <c r="BZ22" i="24"/>
  <c r="CA22" i="24"/>
  <c r="CB22" i="24" s="1"/>
  <c r="BI22" i="24"/>
  <c r="BJ22" i="24"/>
  <c r="BO22" i="24"/>
  <c r="BA22" i="24"/>
  <c r="FQ22" i="24" s="1"/>
  <c r="BP22" i="24"/>
  <c r="BB22" i="24"/>
  <c r="FR22" i="24" s="1"/>
  <c r="BQ22" i="24"/>
  <c r="BR22" i="24" s="1"/>
  <c r="BC22" i="24"/>
  <c r="FS22" i="24" s="1"/>
  <c r="BD22" i="24"/>
  <c r="FT22" i="24" s="1"/>
  <c r="BE22" i="24"/>
  <c r="FU22" i="24" s="1"/>
  <c r="BF22" i="24"/>
  <c r="FV22" i="24" s="1"/>
  <c r="BG22" i="24"/>
  <c r="AV22" i="24"/>
  <c r="FL22" i="24" s="1"/>
  <c r="AH22" i="24"/>
  <c r="EX22" i="24" s="1"/>
  <c r="AW22" i="24"/>
  <c r="AI22" i="24"/>
  <c r="EY22" i="24" s="1"/>
  <c r="AY22" i="24"/>
  <c r="FO22" i="24" s="1"/>
  <c r="AJ22" i="24"/>
  <c r="EZ22" i="24" s="1"/>
  <c r="AZ22" i="24"/>
  <c r="FP22" i="24" s="1"/>
  <c r="AK22" i="24"/>
  <c r="FA22" i="24" s="1"/>
  <c r="BK22" i="24"/>
  <c r="BL22" i="24"/>
  <c r="BM22" i="24"/>
  <c r="AS22" i="24"/>
  <c r="FI22" i="24" s="1"/>
  <c r="AM22" i="24"/>
  <c r="AT22" i="24"/>
  <c r="FJ22" i="24" s="1"/>
  <c r="AU22" i="24"/>
  <c r="FK22" i="24" s="1"/>
  <c r="BN22" i="24"/>
  <c r="BS22" i="24"/>
  <c r="BT22" i="24"/>
  <c r="U22" i="24"/>
  <c r="EK22" i="24" s="1"/>
  <c r="BU22" i="24"/>
  <c r="BV22" i="24"/>
  <c r="W22" i="24"/>
  <c r="EM22" i="24" s="1"/>
  <c r="AO22" i="24"/>
  <c r="FE22" i="24" s="1"/>
  <c r="AP22" i="24"/>
  <c r="FF22" i="24" s="1"/>
  <c r="K22" i="24"/>
  <c r="EA22" i="24" s="1"/>
  <c r="AE22" i="24"/>
  <c r="EU22" i="24" s="1"/>
  <c r="AA22" i="24"/>
  <c r="EQ22" i="24" s="1"/>
  <c r="AQ22" i="24"/>
  <c r="FG22" i="24" s="1"/>
  <c r="L22" i="24"/>
  <c r="EB22" i="24" s="1"/>
  <c r="Z22" i="24"/>
  <c r="EP22" i="24" s="1"/>
  <c r="AR22" i="24"/>
  <c r="FH22" i="24" s="1"/>
  <c r="M22" i="24"/>
  <c r="EC22" i="24" s="1"/>
  <c r="N22" i="24"/>
  <c r="ED22" i="24" s="1"/>
  <c r="AG22" i="24"/>
  <c r="EW22" i="24" s="1"/>
  <c r="Y22" i="24"/>
  <c r="EO22" i="24" s="1"/>
  <c r="O22" i="24"/>
  <c r="EE22" i="24" s="1"/>
  <c r="P22" i="24"/>
  <c r="EF22" i="24" s="1"/>
  <c r="AF22" i="24"/>
  <c r="EV22" i="24" s="1"/>
  <c r="V22" i="24"/>
  <c r="EL22" i="24" s="1"/>
  <c r="X22" i="24"/>
  <c r="EN22" i="24" s="1"/>
  <c r="Q22" i="24"/>
  <c r="EG22" i="24" s="1"/>
  <c r="R22" i="24"/>
  <c r="EH22" i="24" s="1"/>
  <c r="S22" i="24"/>
  <c r="AL22" i="24"/>
  <c r="FB22" i="24" s="1"/>
  <c r="AB22" i="24"/>
  <c r="ER22" i="24" s="1"/>
  <c r="AC22" i="24"/>
  <c r="T16" i="24"/>
  <c r="EJ16" i="24" s="1"/>
  <c r="EI16" i="24"/>
  <c r="ES51" i="24"/>
  <c r="AD51" i="24"/>
  <c r="ET51" i="24" s="1"/>
  <c r="FW51" i="24"/>
  <c r="BH51" i="24"/>
  <c r="FX51" i="24" s="1"/>
  <c r="BH36" i="24"/>
  <c r="FX36" i="24" s="1"/>
  <c r="FW36" i="24"/>
  <c r="AD46" i="24"/>
  <c r="ET46" i="24" s="1"/>
  <c r="ES46" i="24"/>
  <c r="AD41" i="24"/>
  <c r="ET41" i="24" s="1"/>
  <c r="ES41" i="24"/>
  <c r="FM61" i="24"/>
  <c r="AX61" i="24"/>
  <c r="FN61" i="24" s="1"/>
  <c r="FM16" i="24"/>
  <c r="AX16" i="24"/>
  <c r="FN16" i="24" s="1"/>
  <c r="AN26" i="24"/>
  <c r="FD26" i="24" s="1"/>
  <c r="FC26" i="24"/>
  <c r="AX31" i="24"/>
  <c r="FN31" i="24" s="1"/>
  <c r="FM31" i="24"/>
  <c r="FW41" i="24"/>
  <c r="BH41" i="24"/>
  <c r="FX41" i="24" s="1"/>
  <c r="FW61" i="24"/>
  <c r="BH61" i="24"/>
  <c r="FX61" i="24" s="1"/>
  <c r="AN16" i="24"/>
  <c r="FD16" i="24" s="1"/>
  <c r="FC16" i="24"/>
  <c r="AX71" i="24"/>
  <c r="FN71" i="24" s="1"/>
  <c r="FM71" i="24"/>
  <c r="A43" i="24"/>
  <c r="DQ42" i="24"/>
  <c r="DR42" i="24"/>
  <c r="DS42" i="24"/>
  <c r="DT42" i="24"/>
  <c r="DL42" i="24"/>
  <c r="DM42" i="24"/>
  <c r="DN42" i="24"/>
  <c r="DO42" i="24"/>
  <c r="DP42" i="24" s="1"/>
  <c r="DU42" i="24"/>
  <c r="DV42" i="24"/>
  <c r="DW42" i="24"/>
  <c r="DX42" i="24"/>
  <c r="DH42" i="24"/>
  <c r="DI42" i="24"/>
  <c r="DJ42" i="24"/>
  <c r="DK42" i="24"/>
  <c r="CO42" i="24"/>
  <c r="CP42" i="24"/>
  <c r="CQ42" i="24"/>
  <c r="CR42" i="24"/>
  <c r="CS42" i="24"/>
  <c r="CT42" i="24"/>
  <c r="CU42" i="24"/>
  <c r="CV42" i="24" s="1"/>
  <c r="DY42" i="24"/>
  <c r="DZ42" i="24" s="1"/>
  <c r="CC42" i="24"/>
  <c r="CD42" i="24"/>
  <c r="CE42" i="24"/>
  <c r="DG42" i="24"/>
  <c r="CF42" i="24"/>
  <c r="BW42" i="24"/>
  <c r="BX42" i="24"/>
  <c r="BY42" i="24"/>
  <c r="BZ42" i="24"/>
  <c r="CG42" i="24"/>
  <c r="CA42" i="24"/>
  <c r="CB42" i="24" s="1"/>
  <c r="CH42" i="24"/>
  <c r="CI42" i="24"/>
  <c r="BI42" i="24"/>
  <c r="CJ42" i="24"/>
  <c r="BJ42" i="24"/>
  <c r="BA42" i="24"/>
  <c r="FQ42" i="24" s="1"/>
  <c r="BB42" i="24"/>
  <c r="FR42" i="24" s="1"/>
  <c r="BC42" i="24"/>
  <c r="FS42" i="24" s="1"/>
  <c r="BD42" i="24"/>
  <c r="FT42" i="24" s="1"/>
  <c r="BS42" i="24"/>
  <c r="BK42" i="24"/>
  <c r="BE42" i="24"/>
  <c r="FU42" i="24" s="1"/>
  <c r="BT42" i="24"/>
  <c r="BL42" i="24"/>
  <c r="BF42" i="24"/>
  <c r="FV42" i="24" s="1"/>
  <c r="CM42" i="24"/>
  <c r="BU42" i="24"/>
  <c r="BM42" i="24"/>
  <c r="BG42" i="24"/>
  <c r="CN42" i="24"/>
  <c r="BV42" i="24"/>
  <c r="BN42" i="24"/>
  <c r="AT42" i="24"/>
  <c r="FJ42" i="24" s="1"/>
  <c r="AH42" i="24"/>
  <c r="EX42" i="24" s="1"/>
  <c r="AU42" i="24"/>
  <c r="FK42" i="24" s="1"/>
  <c r="AV42" i="24"/>
  <c r="FL42" i="24" s="1"/>
  <c r="AJ42" i="24"/>
  <c r="EZ42" i="24" s="1"/>
  <c r="AW42" i="24"/>
  <c r="AI42" i="24"/>
  <c r="EY42" i="24" s="1"/>
  <c r="AK42" i="24"/>
  <c r="FA42" i="24" s="1"/>
  <c r="AY42" i="24"/>
  <c r="FO42" i="24" s="1"/>
  <c r="AO42" i="24"/>
  <c r="FE42" i="24" s="1"/>
  <c r="AL42" i="24"/>
  <c r="FB42" i="24" s="1"/>
  <c r="BO42" i="24"/>
  <c r="AZ42" i="24"/>
  <c r="FP42" i="24" s="1"/>
  <c r="AP42" i="24"/>
  <c r="FF42" i="24" s="1"/>
  <c r="AM42" i="24"/>
  <c r="BP42" i="24"/>
  <c r="AQ42" i="24"/>
  <c r="FG42" i="24" s="1"/>
  <c r="BQ42" i="24"/>
  <c r="BR42" i="24" s="1"/>
  <c r="AR42" i="24"/>
  <c r="FH42" i="24" s="1"/>
  <c r="AS42" i="24"/>
  <c r="FI42" i="24" s="1"/>
  <c r="K42" i="24"/>
  <c r="EA42" i="24" s="1"/>
  <c r="R42" i="24"/>
  <c r="EH42" i="24" s="1"/>
  <c r="Y42" i="24"/>
  <c r="EO42" i="24" s="1"/>
  <c r="L42" i="24"/>
  <c r="EB42" i="24" s="1"/>
  <c r="X42" i="24"/>
  <c r="EN42" i="24" s="1"/>
  <c r="M42" i="24"/>
  <c r="EC42" i="24" s="1"/>
  <c r="AF42" i="24"/>
  <c r="EV42" i="24" s="1"/>
  <c r="N42" i="24"/>
  <c r="ED42" i="24" s="1"/>
  <c r="W42" i="24"/>
  <c r="EM42" i="24" s="1"/>
  <c r="O42" i="24"/>
  <c r="EE42" i="24" s="1"/>
  <c r="AG42" i="24"/>
  <c r="EW42" i="24" s="1"/>
  <c r="P42" i="24"/>
  <c r="EF42" i="24" s="1"/>
  <c r="S42" i="24"/>
  <c r="AE42" i="24"/>
  <c r="EU42" i="24" s="1"/>
  <c r="Q42" i="24"/>
  <c r="EG42" i="24" s="1"/>
  <c r="CK42" i="24"/>
  <c r="CL42" i="24" s="1"/>
  <c r="U42" i="24"/>
  <c r="EK42" i="24" s="1"/>
  <c r="V42" i="24"/>
  <c r="EL42" i="24" s="1"/>
  <c r="AB42" i="24"/>
  <c r="ER42" i="24" s="1"/>
  <c r="AA42" i="24"/>
  <c r="EQ42" i="24" s="1"/>
  <c r="Z42" i="24"/>
  <c r="EP42" i="24" s="1"/>
  <c r="AC42" i="24"/>
  <c r="ES61" i="24"/>
  <c r="AD61" i="24"/>
  <c r="ET61" i="24" s="1"/>
  <c r="FC71" i="24"/>
  <c r="AN71" i="24"/>
  <c r="FD71" i="24" s="1"/>
  <c r="T41" i="24"/>
  <c r="EJ41" i="24" s="1"/>
  <c r="EI41" i="24"/>
  <c r="A63" i="24"/>
  <c r="DQ62" i="24"/>
  <c r="DR62" i="24"/>
  <c r="DS62" i="24"/>
  <c r="DT62" i="24"/>
  <c r="DL62" i="24"/>
  <c r="DM62" i="24"/>
  <c r="DN62" i="24"/>
  <c r="DO62" i="24"/>
  <c r="DP62" i="24" s="1"/>
  <c r="DU62" i="24"/>
  <c r="DV62" i="24"/>
  <c r="DW62" i="24"/>
  <c r="DX62" i="24"/>
  <c r="DY62" i="24"/>
  <c r="DZ62" i="24" s="1"/>
  <c r="DG62" i="24"/>
  <c r="DH62" i="24"/>
  <c r="CO62" i="24"/>
  <c r="DI62" i="24"/>
  <c r="CP62" i="24"/>
  <c r="DJ62" i="24"/>
  <c r="CQ62" i="24"/>
  <c r="DK62" i="24"/>
  <c r="CR62" i="24"/>
  <c r="CS62" i="24"/>
  <c r="CT62" i="24"/>
  <c r="CU62" i="24"/>
  <c r="CV62" i="24" s="1"/>
  <c r="CG62" i="24"/>
  <c r="CH62" i="24"/>
  <c r="CM62" i="24"/>
  <c r="CI62" i="24"/>
  <c r="CN62" i="24"/>
  <c r="CJ62" i="24"/>
  <c r="CK62" i="24"/>
  <c r="CL62" i="24" s="1"/>
  <c r="BW62" i="24"/>
  <c r="BX62" i="24"/>
  <c r="BY62" i="24"/>
  <c r="BZ62" i="24"/>
  <c r="CC62" i="24"/>
  <c r="CA62" i="24"/>
  <c r="CB62" i="24" s="1"/>
  <c r="CD62" i="24"/>
  <c r="CE62" i="24"/>
  <c r="BI62" i="24"/>
  <c r="CF62" i="24"/>
  <c r="BJ62" i="24"/>
  <c r="BA62" i="24"/>
  <c r="FQ62" i="24" s="1"/>
  <c r="BB62" i="24"/>
  <c r="FR62" i="24" s="1"/>
  <c r="BC62" i="24"/>
  <c r="FS62" i="24" s="1"/>
  <c r="BD62" i="24"/>
  <c r="FT62" i="24" s="1"/>
  <c r="BE62" i="24"/>
  <c r="FU62" i="24" s="1"/>
  <c r="BF62" i="24"/>
  <c r="FV62" i="24" s="1"/>
  <c r="BG62" i="24"/>
  <c r="AH62" i="24"/>
  <c r="EX62" i="24" s="1"/>
  <c r="AJ62" i="24"/>
  <c r="EZ62" i="24" s="1"/>
  <c r="AO62" i="24"/>
  <c r="FE62" i="24" s="1"/>
  <c r="AP62" i="24"/>
  <c r="FF62" i="24" s="1"/>
  <c r="AQ62" i="24"/>
  <c r="FG62" i="24" s="1"/>
  <c r="AR62" i="24"/>
  <c r="FH62" i="24" s="1"/>
  <c r="BS62" i="24"/>
  <c r="BT62" i="24"/>
  <c r="BU62" i="24"/>
  <c r="BK62" i="24"/>
  <c r="BV62" i="24"/>
  <c r="BL62" i="24"/>
  <c r="AZ62" i="24"/>
  <c r="FP62" i="24" s="1"/>
  <c r="K62" i="24"/>
  <c r="EA62" i="24" s="1"/>
  <c r="AE62" i="24"/>
  <c r="EU62" i="24" s="1"/>
  <c r="L62" i="24"/>
  <c r="EB62" i="24" s="1"/>
  <c r="AU62" i="24"/>
  <c r="FK62" i="24" s="1"/>
  <c r="BO62" i="24"/>
  <c r="Y62" i="24"/>
  <c r="EO62" i="24" s="1"/>
  <c r="AF62" i="24"/>
  <c r="EV62" i="24" s="1"/>
  <c r="M62" i="24"/>
  <c r="EC62" i="24" s="1"/>
  <c r="AT62" i="24"/>
  <c r="FJ62" i="24" s="1"/>
  <c r="X62" i="24"/>
  <c r="EN62" i="24" s="1"/>
  <c r="AG62" i="24"/>
  <c r="EW62" i="24" s="1"/>
  <c r="N62" i="24"/>
  <c r="ED62" i="24" s="1"/>
  <c r="P62" i="24"/>
  <c r="EF62" i="24" s="1"/>
  <c r="AV62" i="24"/>
  <c r="FL62" i="24" s="1"/>
  <c r="BP62" i="24"/>
  <c r="W62" i="24"/>
  <c r="EM62" i="24" s="1"/>
  <c r="AI62" i="24"/>
  <c r="EY62" i="24" s="1"/>
  <c r="O62" i="24"/>
  <c r="EE62" i="24" s="1"/>
  <c r="BN62" i="24"/>
  <c r="BQ62" i="24"/>
  <c r="BR62" i="24" s="1"/>
  <c r="AK62" i="24"/>
  <c r="FA62" i="24" s="1"/>
  <c r="AM62" i="24"/>
  <c r="R62" i="24"/>
  <c r="EH62" i="24" s="1"/>
  <c r="S62" i="24"/>
  <c r="AW62" i="24"/>
  <c r="U62" i="24"/>
  <c r="EK62" i="24" s="1"/>
  <c r="AS62" i="24"/>
  <c r="FI62" i="24" s="1"/>
  <c r="AL62" i="24"/>
  <c r="FB62" i="24" s="1"/>
  <c r="Q62" i="24"/>
  <c r="EG62" i="24" s="1"/>
  <c r="BM62" i="24"/>
  <c r="V62" i="24"/>
  <c r="EL62" i="24" s="1"/>
  <c r="Z62" i="24"/>
  <c r="EP62" i="24" s="1"/>
  <c r="AA62" i="24"/>
  <c r="EQ62" i="24" s="1"/>
  <c r="AC62" i="24"/>
  <c r="AY62" i="24"/>
  <c r="FO62" i="24" s="1"/>
  <c r="AB62" i="24"/>
  <c r="ER62" i="24" s="1"/>
  <c r="A68" i="24"/>
  <c r="DT67" i="24"/>
  <c r="DG67" i="24"/>
  <c r="DU67" i="24"/>
  <c r="DH67" i="24"/>
  <c r="DV67" i="24"/>
  <c r="DI67" i="24"/>
  <c r="DW67" i="24"/>
  <c r="DJ67" i="24"/>
  <c r="DX67" i="24"/>
  <c r="DK67" i="24"/>
  <c r="DY67" i="24"/>
  <c r="DZ67" i="24" s="1"/>
  <c r="DL67" i="24"/>
  <c r="DM67" i="24"/>
  <c r="DN67" i="24"/>
  <c r="DO67" i="24"/>
  <c r="DP67" i="24" s="1"/>
  <c r="CM67" i="24"/>
  <c r="CN67" i="24"/>
  <c r="DQ67" i="24"/>
  <c r="CO67" i="24"/>
  <c r="DR67" i="24"/>
  <c r="CP67" i="24"/>
  <c r="DS67" i="24"/>
  <c r="CQ67" i="24"/>
  <c r="CJ67" i="24"/>
  <c r="CK67" i="24"/>
  <c r="CL67" i="24" s="1"/>
  <c r="CR67" i="24"/>
  <c r="CS67" i="24"/>
  <c r="CT67" i="24"/>
  <c r="CU67" i="24"/>
  <c r="CV67" i="24" s="1"/>
  <c r="BS67" i="24"/>
  <c r="BT67" i="24"/>
  <c r="BU67" i="24"/>
  <c r="BV67" i="24"/>
  <c r="CC67" i="24"/>
  <c r="BW67" i="24"/>
  <c r="CD67" i="24"/>
  <c r="BX67" i="24"/>
  <c r="CE67" i="24"/>
  <c r="BY67" i="24"/>
  <c r="BZ67" i="24"/>
  <c r="BJ67" i="24"/>
  <c r="CA67" i="24"/>
  <c r="CB67" i="24" s="1"/>
  <c r="BK67" i="24"/>
  <c r="BL67" i="24"/>
  <c r="BM67" i="24"/>
  <c r="AY67" i="24"/>
  <c r="FO67" i="24" s="1"/>
  <c r="BN67" i="24"/>
  <c r="AZ67" i="24"/>
  <c r="FP67" i="24" s="1"/>
  <c r="BO67" i="24"/>
  <c r="BA67" i="24"/>
  <c r="FQ67" i="24" s="1"/>
  <c r="BP67" i="24"/>
  <c r="BB67" i="24"/>
  <c r="FR67" i="24" s="1"/>
  <c r="BQ67" i="24"/>
  <c r="BR67" i="24" s="1"/>
  <c r="BC67" i="24"/>
  <c r="FS67" i="24" s="1"/>
  <c r="AE67" i="24"/>
  <c r="EU67" i="24" s="1"/>
  <c r="CF67" i="24"/>
  <c r="BD67" i="24"/>
  <c r="FT67" i="24" s="1"/>
  <c r="CG67" i="24"/>
  <c r="BE67" i="24"/>
  <c r="FU67" i="24" s="1"/>
  <c r="CH67" i="24"/>
  <c r="BF67" i="24"/>
  <c r="FV67" i="24" s="1"/>
  <c r="AI67" i="24"/>
  <c r="EY67" i="24" s="1"/>
  <c r="CI67" i="24"/>
  <c r="AQ67" i="24"/>
  <c r="FG67" i="24" s="1"/>
  <c r="AR67" i="24"/>
  <c r="FH67" i="24" s="1"/>
  <c r="AS67" i="24"/>
  <c r="FI67" i="24" s="1"/>
  <c r="AT67" i="24"/>
  <c r="FJ67" i="24" s="1"/>
  <c r="AU67" i="24"/>
  <c r="FK67" i="24" s="1"/>
  <c r="AV67" i="24"/>
  <c r="FL67" i="24" s="1"/>
  <c r="AW67" i="24"/>
  <c r="Y67" i="24"/>
  <c r="EO67" i="24" s="1"/>
  <c r="Q67" i="24"/>
  <c r="EG67" i="24" s="1"/>
  <c r="Z67" i="24"/>
  <c r="EP67" i="24" s="1"/>
  <c r="R67" i="24"/>
  <c r="EH67" i="24" s="1"/>
  <c r="AA67" i="24"/>
  <c r="EQ67" i="24" s="1"/>
  <c r="M67" i="24"/>
  <c r="EC67" i="24" s="1"/>
  <c r="AL67" i="24"/>
  <c r="FB67" i="24" s="1"/>
  <c r="O67" i="24"/>
  <c r="EE67" i="24" s="1"/>
  <c r="S67" i="24"/>
  <c r="AB67" i="24"/>
  <c r="ER67" i="24" s="1"/>
  <c r="K67" i="24"/>
  <c r="EA67" i="24" s="1"/>
  <c r="AK67" i="24"/>
  <c r="FA67" i="24" s="1"/>
  <c r="N67" i="24"/>
  <c r="ED67" i="24" s="1"/>
  <c r="AF67" i="24"/>
  <c r="EV67" i="24" s="1"/>
  <c r="AC67" i="24"/>
  <c r="P67" i="24"/>
  <c r="EF67" i="24" s="1"/>
  <c r="AG67" i="24"/>
  <c r="EW67" i="24" s="1"/>
  <c r="BG67" i="24"/>
  <c r="AO67" i="24"/>
  <c r="FE67" i="24" s="1"/>
  <c r="AH67" i="24"/>
  <c r="EX67" i="24" s="1"/>
  <c r="AM67" i="24"/>
  <c r="AP67" i="24"/>
  <c r="FF67" i="24" s="1"/>
  <c r="AJ67" i="24"/>
  <c r="EZ67" i="24" s="1"/>
  <c r="L67" i="24"/>
  <c r="EB67" i="24" s="1"/>
  <c r="V67" i="24"/>
  <c r="EL67" i="24" s="1"/>
  <c r="U67" i="24"/>
  <c r="EK67" i="24" s="1"/>
  <c r="W67" i="24"/>
  <c r="EM67" i="24" s="1"/>
  <c r="X67" i="24"/>
  <c r="EN67" i="24" s="1"/>
  <c r="BI67" i="24"/>
  <c r="AD36" i="24"/>
  <c r="ET36" i="24" s="1"/>
  <c r="ES36" i="24"/>
  <c r="A38" i="24"/>
  <c r="DR37" i="24"/>
  <c r="DS37" i="24"/>
  <c r="DT37" i="24"/>
  <c r="DU37" i="24"/>
  <c r="DV37" i="24"/>
  <c r="DW37" i="24"/>
  <c r="DX37" i="24"/>
  <c r="DY37" i="24"/>
  <c r="DZ37" i="24" s="1"/>
  <c r="DQ37" i="24"/>
  <c r="DI37" i="24"/>
  <c r="CT37" i="24"/>
  <c r="DJ37" i="24"/>
  <c r="CU37" i="24"/>
  <c r="CV37" i="24" s="1"/>
  <c r="DK37" i="24"/>
  <c r="DL37" i="24"/>
  <c r="DM37" i="24"/>
  <c r="DN37" i="24"/>
  <c r="DO37" i="24"/>
  <c r="DP37" i="24" s="1"/>
  <c r="CM37" i="24"/>
  <c r="CN37" i="24"/>
  <c r="CO37" i="24"/>
  <c r="CC37" i="24"/>
  <c r="CP37" i="24"/>
  <c r="CD37" i="24"/>
  <c r="CQ37" i="24"/>
  <c r="CE37" i="24"/>
  <c r="CR37" i="24"/>
  <c r="CF37" i="24"/>
  <c r="CS37" i="24"/>
  <c r="CG37" i="24"/>
  <c r="CH37" i="24"/>
  <c r="CI37" i="24"/>
  <c r="DG37" i="24"/>
  <c r="CJ37" i="24"/>
  <c r="DH37" i="24"/>
  <c r="CK37" i="24"/>
  <c r="CL37" i="24" s="1"/>
  <c r="BI37" i="24"/>
  <c r="BJ37" i="24"/>
  <c r="BK37" i="24"/>
  <c r="BL37" i="24"/>
  <c r="BM37" i="24"/>
  <c r="BN37" i="24"/>
  <c r="BO37" i="24"/>
  <c r="BX37" i="24"/>
  <c r="BP37" i="24"/>
  <c r="BF37" i="24"/>
  <c r="FV37" i="24" s="1"/>
  <c r="BY37" i="24"/>
  <c r="BQ37" i="24"/>
  <c r="BR37" i="24" s="1"/>
  <c r="BG37" i="24"/>
  <c r="BZ37" i="24"/>
  <c r="CA37" i="24"/>
  <c r="CB37" i="24" s="1"/>
  <c r="AU37" i="24"/>
  <c r="FK37" i="24" s="1"/>
  <c r="AM37" i="24"/>
  <c r="AY37" i="24"/>
  <c r="FO37" i="24" s="1"/>
  <c r="AV37" i="24"/>
  <c r="FL37" i="24" s="1"/>
  <c r="AZ37" i="24"/>
  <c r="FP37" i="24" s="1"/>
  <c r="AW37" i="24"/>
  <c r="BA37" i="24"/>
  <c r="FQ37" i="24" s="1"/>
  <c r="BB37" i="24"/>
  <c r="FR37" i="24" s="1"/>
  <c r="BC37" i="24"/>
  <c r="FS37" i="24" s="1"/>
  <c r="BD37" i="24"/>
  <c r="FT37" i="24" s="1"/>
  <c r="AT37" i="24"/>
  <c r="FJ37" i="24" s="1"/>
  <c r="AG37" i="24"/>
  <c r="EW37" i="24" s="1"/>
  <c r="AH37" i="24"/>
  <c r="EX37" i="24" s="1"/>
  <c r="AI37" i="24"/>
  <c r="EY37" i="24" s="1"/>
  <c r="AJ37" i="24"/>
  <c r="EZ37" i="24" s="1"/>
  <c r="AK37" i="24"/>
  <c r="FA37" i="24" s="1"/>
  <c r="AL37" i="24"/>
  <c r="FB37" i="24" s="1"/>
  <c r="BE37" i="24"/>
  <c r="FU37" i="24" s="1"/>
  <c r="O37" i="24"/>
  <c r="EE37" i="24" s="1"/>
  <c r="AF37" i="24"/>
  <c r="EV37" i="24" s="1"/>
  <c r="AA37" i="24"/>
  <c r="EQ37" i="24" s="1"/>
  <c r="BW37" i="24"/>
  <c r="P37" i="24"/>
  <c r="EF37" i="24" s="1"/>
  <c r="AS37" i="24"/>
  <c r="FI37" i="24" s="1"/>
  <c r="AB37" i="24"/>
  <c r="ER37" i="24" s="1"/>
  <c r="Q37" i="24"/>
  <c r="EG37" i="24" s="1"/>
  <c r="BS37" i="24"/>
  <c r="Z37" i="24"/>
  <c r="EP37" i="24" s="1"/>
  <c r="R37" i="24"/>
  <c r="EH37" i="24" s="1"/>
  <c r="AR37" i="24"/>
  <c r="FH37" i="24" s="1"/>
  <c r="Y37" i="24"/>
  <c r="EO37" i="24" s="1"/>
  <c r="S37" i="24"/>
  <c r="W37" i="24"/>
  <c r="EM37" i="24" s="1"/>
  <c r="X37" i="24"/>
  <c r="EN37" i="24" s="1"/>
  <c r="BT37" i="24"/>
  <c r="AE37" i="24"/>
  <c r="EU37" i="24" s="1"/>
  <c r="BV37" i="24"/>
  <c r="U37" i="24"/>
  <c r="EK37" i="24" s="1"/>
  <c r="AP37" i="24"/>
  <c r="FF37" i="24" s="1"/>
  <c r="AQ37" i="24"/>
  <c r="FG37" i="24" s="1"/>
  <c r="AC37" i="24"/>
  <c r="AO37" i="24"/>
  <c r="FE37" i="24" s="1"/>
  <c r="V37" i="24"/>
  <c r="EL37" i="24" s="1"/>
  <c r="BU37" i="24"/>
  <c r="K37" i="24"/>
  <c r="EA37" i="24" s="1"/>
  <c r="L37" i="24"/>
  <c r="EB37" i="24" s="1"/>
  <c r="N37" i="24"/>
  <c r="ED37" i="24" s="1"/>
  <c r="M37" i="24"/>
  <c r="EC37" i="24" s="1"/>
  <c r="BH56" i="24"/>
  <c r="FX56" i="24" s="1"/>
  <c r="FW56" i="24"/>
  <c r="A58" i="24"/>
  <c r="DR57" i="24"/>
  <c r="DS57" i="24"/>
  <c r="DT57" i="24"/>
  <c r="DU57" i="24"/>
  <c r="DV57" i="24"/>
  <c r="DW57" i="24"/>
  <c r="DX57" i="24"/>
  <c r="DY57" i="24"/>
  <c r="DZ57" i="24" s="1"/>
  <c r="DQ57" i="24"/>
  <c r="DI57" i="24"/>
  <c r="DJ57" i="24"/>
  <c r="DK57" i="24"/>
  <c r="DL57" i="24"/>
  <c r="DM57" i="24"/>
  <c r="DN57" i="24"/>
  <c r="DO57" i="24"/>
  <c r="DP57" i="24" s="1"/>
  <c r="CT57" i="24"/>
  <c r="CU57" i="24"/>
  <c r="CV57" i="24" s="1"/>
  <c r="DG57" i="24"/>
  <c r="DH57" i="24"/>
  <c r="CF57" i="24"/>
  <c r="CC57" i="24"/>
  <c r="CM57" i="24"/>
  <c r="CD57" i="24"/>
  <c r="CN57" i="24"/>
  <c r="CE57" i="24"/>
  <c r="CO57" i="24"/>
  <c r="CG57" i="24"/>
  <c r="CP57" i="24"/>
  <c r="CH57" i="24"/>
  <c r="CQ57" i="24"/>
  <c r="CI57" i="24"/>
  <c r="CR57" i="24"/>
  <c r="CJ57" i="24"/>
  <c r="CS57" i="24"/>
  <c r="CK57" i="24"/>
  <c r="CL57" i="24" s="1"/>
  <c r="BI57" i="24"/>
  <c r="BJ57" i="24"/>
  <c r="BK57" i="24"/>
  <c r="BL57" i="24"/>
  <c r="BM57" i="24"/>
  <c r="BN57" i="24"/>
  <c r="BO57" i="24"/>
  <c r="BF57" i="24"/>
  <c r="FV57" i="24" s="1"/>
  <c r="BG57" i="24"/>
  <c r="BS57" i="24"/>
  <c r="BT57" i="24"/>
  <c r="BU57" i="24"/>
  <c r="BV57" i="24"/>
  <c r="BW57" i="24"/>
  <c r="BX57" i="24"/>
  <c r="AQ57" i="24"/>
  <c r="FG57" i="24" s="1"/>
  <c r="AM57" i="24"/>
  <c r="BY57" i="24"/>
  <c r="AR57" i="24"/>
  <c r="FH57" i="24" s="1"/>
  <c r="BZ57" i="24"/>
  <c r="AS57" i="24"/>
  <c r="FI57" i="24" s="1"/>
  <c r="CA57" i="24"/>
  <c r="CB57" i="24" s="1"/>
  <c r="AT57" i="24"/>
  <c r="FJ57" i="24" s="1"/>
  <c r="AU57" i="24"/>
  <c r="FK57" i="24" s="1"/>
  <c r="AV57" i="24"/>
  <c r="FL57" i="24" s="1"/>
  <c r="AW57" i="24"/>
  <c r="AO57" i="24"/>
  <c r="FE57" i="24" s="1"/>
  <c r="AP57" i="24"/>
  <c r="FF57" i="24" s="1"/>
  <c r="AF57" i="24"/>
  <c r="EV57" i="24" s="1"/>
  <c r="O57" i="24"/>
  <c r="EE57" i="24" s="1"/>
  <c r="BD57" i="24"/>
  <c r="FT57" i="24" s="1"/>
  <c r="BE57" i="24"/>
  <c r="FU57" i="24" s="1"/>
  <c r="AG57" i="24"/>
  <c r="EW57" i="24" s="1"/>
  <c r="P57" i="24"/>
  <c r="EF57" i="24" s="1"/>
  <c r="X57" i="24"/>
  <c r="EN57" i="24" s="1"/>
  <c r="AC57" i="24"/>
  <c r="AH57" i="24"/>
  <c r="EX57" i="24" s="1"/>
  <c r="Q57" i="24"/>
  <c r="EG57" i="24" s="1"/>
  <c r="W57" i="24"/>
  <c r="EM57" i="24" s="1"/>
  <c r="Z57" i="24"/>
  <c r="EP57" i="24" s="1"/>
  <c r="AB57" i="24"/>
  <c r="ER57" i="24" s="1"/>
  <c r="AI57" i="24"/>
  <c r="EY57" i="24" s="1"/>
  <c r="R57" i="24"/>
  <c r="EH57" i="24" s="1"/>
  <c r="AJ57" i="24"/>
  <c r="EZ57" i="24" s="1"/>
  <c r="S57" i="24"/>
  <c r="BP57" i="24"/>
  <c r="AY57" i="24"/>
  <c r="FO57" i="24" s="1"/>
  <c r="AK57" i="24"/>
  <c r="FA57" i="24" s="1"/>
  <c r="BB57" i="24"/>
  <c r="FR57" i="24" s="1"/>
  <c r="BC57" i="24"/>
  <c r="FS57" i="24" s="1"/>
  <c r="BQ57" i="24"/>
  <c r="BR57" i="24" s="1"/>
  <c r="AZ57" i="24"/>
  <c r="FP57" i="24" s="1"/>
  <c r="AL57" i="24"/>
  <c r="FB57" i="24" s="1"/>
  <c r="U57" i="24"/>
  <c r="EK57" i="24" s="1"/>
  <c r="Y57" i="24"/>
  <c r="EO57" i="24" s="1"/>
  <c r="AA57" i="24"/>
  <c r="EQ57" i="24" s="1"/>
  <c r="BA57" i="24"/>
  <c r="FQ57" i="24" s="1"/>
  <c r="V57" i="24"/>
  <c r="EL57" i="24" s="1"/>
  <c r="K57" i="24"/>
  <c r="EA57" i="24" s="1"/>
  <c r="AE57" i="24"/>
  <c r="EU57" i="24" s="1"/>
  <c r="N57" i="24"/>
  <c r="ED57" i="24" s="1"/>
  <c r="L57" i="24"/>
  <c r="EB57" i="24" s="1"/>
  <c r="M57" i="24"/>
  <c r="EC57" i="24" s="1"/>
  <c r="A48" i="24"/>
  <c r="DG47" i="24"/>
  <c r="DH47" i="24"/>
  <c r="DI47" i="24"/>
  <c r="DJ47" i="24"/>
  <c r="DK47" i="24"/>
  <c r="DL47" i="24"/>
  <c r="DM47" i="24"/>
  <c r="DN47" i="24"/>
  <c r="DQ47" i="24"/>
  <c r="DR47" i="24"/>
  <c r="DS47" i="24"/>
  <c r="CM47" i="24"/>
  <c r="DT47" i="24"/>
  <c r="CN47" i="24"/>
  <c r="DU47" i="24"/>
  <c r="CO47" i="24"/>
  <c r="DV47" i="24"/>
  <c r="CP47" i="24"/>
  <c r="DW47" i="24"/>
  <c r="CQ47" i="24"/>
  <c r="CJ47" i="24"/>
  <c r="CK47" i="24"/>
  <c r="CL47" i="24" s="1"/>
  <c r="CI47" i="24"/>
  <c r="BS47" i="24"/>
  <c r="CC47" i="24"/>
  <c r="BT47" i="24"/>
  <c r="CD47" i="24"/>
  <c r="BU47" i="24"/>
  <c r="DX47" i="24"/>
  <c r="CR47" i="24"/>
  <c r="CE47" i="24"/>
  <c r="BV47" i="24"/>
  <c r="DY47" i="24"/>
  <c r="DZ47" i="24" s="1"/>
  <c r="CS47" i="24"/>
  <c r="CF47" i="24"/>
  <c r="BW47" i="24"/>
  <c r="CT47" i="24"/>
  <c r="CG47" i="24"/>
  <c r="BX47" i="24"/>
  <c r="CU47" i="24"/>
  <c r="CV47" i="24" s="1"/>
  <c r="CH47" i="24"/>
  <c r="BY47" i="24"/>
  <c r="AV47" i="24"/>
  <c r="FL47" i="24" s="1"/>
  <c r="AW47" i="24"/>
  <c r="AY47" i="24"/>
  <c r="FO47" i="24" s="1"/>
  <c r="DO47" i="24"/>
  <c r="DP47" i="24" s="1"/>
  <c r="AZ47" i="24"/>
  <c r="FP47" i="24" s="1"/>
  <c r="BA47" i="24"/>
  <c r="FQ47" i="24" s="1"/>
  <c r="BB47" i="24"/>
  <c r="FR47" i="24" s="1"/>
  <c r="BC47" i="24"/>
  <c r="FS47" i="24" s="1"/>
  <c r="AS47" i="24"/>
  <c r="FI47" i="24" s="1"/>
  <c r="AT47" i="24"/>
  <c r="FJ47" i="24" s="1"/>
  <c r="AU47" i="24"/>
  <c r="FK47" i="24" s="1"/>
  <c r="AE47" i="24"/>
  <c r="EU47" i="24" s="1"/>
  <c r="BI47" i="24"/>
  <c r="BJ47" i="24"/>
  <c r="BK47" i="24"/>
  <c r="BL47" i="24"/>
  <c r="AI47" i="24"/>
  <c r="EY47" i="24" s="1"/>
  <c r="AL47" i="24"/>
  <c r="FB47" i="24" s="1"/>
  <c r="BD47" i="24"/>
  <c r="FT47" i="24" s="1"/>
  <c r="AM47" i="24"/>
  <c r="BE47" i="24"/>
  <c r="FU47" i="24" s="1"/>
  <c r="BF47" i="24"/>
  <c r="FV47" i="24" s="1"/>
  <c r="BG47" i="24"/>
  <c r="BZ47" i="24"/>
  <c r="AR47" i="24"/>
  <c r="FH47" i="24" s="1"/>
  <c r="Y47" i="24"/>
  <c r="EO47" i="24" s="1"/>
  <c r="M47" i="24"/>
  <c r="EC47" i="24" s="1"/>
  <c r="O47" i="24"/>
  <c r="EE47" i="24" s="1"/>
  <c r="BQ47" i="24"/>
  <c r="BR47" i="24" s="1"/>
  <c r="CA47" i="24"/>
  <c r="CB47" i="24" s="1"/>
  <c r="Z47" i="24"/>
  <c r="EP47" i="24" s="1"/>
  <c r="S47" i="24"/>
  <c r="AA47" i="24"/>
  <c r="EQ47" i="24" s="1"/>
  <c r="N47" i="24"/>
  <c r="ED47" i="24" s="1"/>
  <c r="AB47" i="24"/>
  <c r="ER47" i="24" s="1"/>
  <c r="P47" i="24"/>
  <c r="EF47" i="24" s="1"/>
  <c r="BO47" i="24"/>
  <c r="AC47" i="24"/>
  <c r="BN47" i="24"/>
  <c r="BP47" i="24"/>
  <c r="AF47" i="24"/>
  <c r="EV47" i="24" s="1"/>
  <c r="K47" i="24"/>
  <c r="EA47" i="24" s="1"/>
  <c r="R47" i="24"/>
  <c r="EH47" i="24" s="1"/>
  <c r="L47" i="24"/>
  <c r="EB47" i="24" s="1"/>
  <c r="BM47" i="24"/>
  <c r="Q47" i="24"/>
  <c r="EG47" i="24" s="1"/>
  <c r="AH47" i="24"/>
  <c r="EX47" i="24" s="1"/>
  <c r="AJ47" i="24"/>
  <c r="EZ47" i="24" s="1"/>
  <c r="AK47" i="24"/>
  <c r="FA47" i="24" s="1"/>
  <c r="U47" i="24"/>
  <c r="EK47" i="24" s="1"/>
  <c r="AO47" i="24"/>
  <c r="FE47" i="24" s="1"/>
  <c r="V47" i="24"/>
  <c r="EL47" i="24" s="1"/>
  <c r="AP47" i="24"/>
  <c r="FF47" i="24" s="1"/>
  <c r="W47" i="24"/>
  <c r="EM47" i="24" s="1"/>
  <c r="AQ47" i="24"/>
  <c r="FG47" i="24" s="1"/>
  <c r="X47" i="24"/>
  <c r="EN47" i="24" s="1"/>
  <c r="AG47" i="24"/>
  <c r="EW47" i="24" s="1"/>
  <c r="P29" i="36"/>
  <c r="Q29" i="36" l="1"/>
  <c r="Q33" i="36" s="1"/>
  <c r="G32" i="36"/>
  <c r="G34" i="36" s="1"/>
  <c r="T32" i="24"/>
  <c r="EJ32" i="24" s="1"/>
  <c r="EI32" i="24"/>
  <c r="FW37" i="24"/>
  <c r="BH37" i="24"/>
  <c r="FX37" i="24" s="1"/>
  <c r="AX52" i="24"/>
  <c r="FN52" i="24" s="1"/>
  <c r="FM52" i="24"/>
  <c r="AX62" i="24"/>
  <c r="FN62" i="24" s="1"/>
  <c r="FM62" i="24"/>
  <c r="BH42" i="24"/>
  <c r="FX42" i="24" s="1"/>
  <c r="FW42" i="24"/>
  <c r="A14" i="24"/>
  <c r="DQ13" i="24"/>
  <c r="DR13" i="24"/>
  <c r="DS13" i="24"/>
  <c r="DT13" i="24"/>
  <c r="DU13" i="24"/>
  <c r="DM13" i="24"/>
  <c r="DN13" i="24"/>
  <c r="DO13" i="24"/>
  <c r="DP13" i="24" s="1"/>
  <c r="DV13" i="24"/>
  <c r="DW13" i="24"/>
  <c r="DX13" i="24"/>
  <c r="DG13" i="24"/>
  <c r="DY13" i="24"/>
  <c r="DZ13" i="24" s="1"/>
  <c r="DH13" i="24"/>
  <c r="DI13" i="24"/>
  <c r="DJ13" i="24"/>
  <c r="DK13" i="24"/>
  <c r="DL13" i="24"/>
  <c r="CP13" i="24"/>
  <c r="CQ13" i="24"/>
  <c r="CR13" i="24"/>
  <c r="CS13" i="24"/>
  <c r="CT13" i="24"/>
  <c r="CU13" i="24"/>
  <c r="CV13" i="24" s="1"/>
  <c r="CC13" i="24"/>
  <c r="CM13" i="24"/>
  <c r="CN13" i="24"/>
  <c r="CO13" i="24"/>
  <c r="BX13" i="24"/>
  <c r="BY13" i="24"/>
  <c r="BZ13" i="24"/>
  <c r="CA13" i="24"/>
  <c r="CB13" i="24" s="1"/>
  <c r="BI13" i="24"/>
  <c r="BJ13" i="24"/>
  <c r="BK13" i="24"/>
  <c r="BB13" i="24"/>
  <c r="FR13" i="24" s="1"/>
  <c r="BC13" i="24"/>
  <c r="FS13" i="24" s="1"/>
  <c r="BD13" i="24"/>
  <c r="FT13" i="24" s="1"/>
  <c r="BE13" i="24"/>
  <c r="FU13" i="24" s="1"/>
  <c r="BF13" i="24"/>
  <c r="FV13" i="24" s="1"/>
  <c r="BG13" i="24"/>
  <c r="BS13" i="24"/>
  <c r="AO13" i="24"/>
  <c r="FE13" i="24" s="1"/>
  <c r="AM13" i="24"/>
  <c r="AP13" i="24"/>
  <c r="FF13" i="24" s="1"/>
  <c r="AQ13" i="24"/>
  <c r="FG13" i="24" s="1"/>
  <c r="AR13" i="24"/>
  <c r="FH13" i="24" s="1"/>
  <c r="AS13" i="24"/>
  <c r="FI13" i="24" s="1"/>
  <c r="AT13" i="24"/>
  <c r="FJ13" i="24" s="1"/>
  <c r="AU13" i="24"/>
  <c r="FK13" i="24" s="1"/>
  <c r="CH13" i="24"/>
  <c r="CI13" i="24"/>
  <c r="AY13" i="24"/>
  <c r="FO13" i="24" s="1"/>
  <c r="CJ13" i="24"/>
  <c r="BL13" i="24"/>
  <c r="AZ13" i="24"/>
  <c r="FP13" i="24" s="1"/>
  <c r="CK13" i="24"/>
  <c r="CL13" i="24" s="1"/>
  <c r="BM13" i="24"/>
  <c r="BA13" i="24"/>
  <c r="FQ13" i="24" s="1"/>
  <c r="BN13" i="24"/>
  <c r="AE13" i="24"/>
  <c r="EU13" i="24" s="1"/>
  <c r="U13" i="24"/>
  <c r="EK13" i="24" s="1"/>
  <c r="BO13" i="24"/>
  <c r="AF13" i="24"/>
  <c r="EV13" i="24" s="1"/>
  <c r="V13" i="24"/>
  <c r="EL13" i="24" s="1"/>
  <c r="BP13" i="24"/>
  <c r="AG13" i="24"/>
  <c r="EW13" i="24" s="1"/>
  <c r="BQ13" i="24"/>
  <c r="BR13" i="24" s="1"/>
  <c r="AH13" i="24"/>
  <c r="EX13" i="24" s="1"/>
  <c r="X13" i="24"/>
  <c r="EN13" i="24" s="1"/>
  <c r="BT13" i="24"/>
  <c r="AB13" i="24"/>
  <c r="ER13" i="24" s="1"/>
  <c r="K13" i="24"/>
  <c r="EA13" i="24" s="1"/>
  <c r="BU13" i="24"/>
  <c r="AC13" i="24"/>
  <c r="L13" i="24"/>
  <c r="EB13" i="24" s="1"/>
  <c r="BV13" i="24"/>
  <c r="M13" i="24"/>
  <c r="EC13" i="24" s="1"/>
  <c r="S13" i="24"/>
  <c r="BW13" i="24"/>
  <c r="N13" i="24"/>
  <c r="ED13" i="24" s="1"/>
  <c r="O13" i="24"/>
  <c r="EE13" i="24" s="1"/>
  <c r="P13" i="24"/>
  <c r="EF13" i="24" s="1"/>
  <c r="AI13" i="24"/>
  <c r="EY13" i="24" s="1"/>
  <c r="AL13" i="24"/>
  <c r="FB13" i="24" s="1"/>
  <c r="Q13" i="24"/>
  <c r="EG13" i="24" s="1"/>
  <c r="AW13" i="24"/>
  <c r="AJ13" i="24"/>
  <c r="EZ13" i="24" s="1"/>
  <c r="AK13" i="24"/>
  <c r="FA13" i="24" s="1"/>
  <c r="R13" i="24"/>
  <c r="EH13" i="24" s="1"/>
  <c r="AV13" i="24"/>
  <c r="FL13" i="24" s="1"/>
  <c r="AA13" i="24"/>
  <c r="EQ13" i="24" s="1"/>
  <c r="CF13" i="24"/>
  <c r="CG13" i="24"/>
  <c r="CD13" i="24"/>
  <c r="Y13" i="24"/>
  <c r="EO13" i="24" s="1"/>
  <c r="Z13" i="24"/>
  <c r="EP13" i="24" s="1"/>
  <c r="CE13" i="24"/>
  <c r="W13" i="24"/>
  <c r="EM13" i="24" s="1"/>
  <c r="FM72" i="24"/>
  <c r="AX72" i="24"/>
  <c r="FN72" i="24" s="1"/>
  <c r="BH32" i="24"/>
  <c r="FX32" i="24" s="1"/>
  <c r="FW32" i="24"/>
  <c r="AN22" i="24"/>
  <c r="FD22" i="24" s="1"/>
  <c r="FC22" i="24"/>
  <c r="AN67" i="24"/>
  <c r="FD67" i="24" s="1"/>
  <c r="FC67" i="24"/>
  <c r="AD12" i="24"/>
  <c r="ET12" i="24" s="1"/>
  <c r="ES12" i="24"/>
  <c r="BH47" i="24"/>
  <c r="FX47" i="24" s="1"/>
  <c r="FW47" i="24"/>
  <c r="BH57" i="24"/>
  <c r="FX57" i="24" s="1"/>
  <c r="FW57" i="24"/>
  <c r="AN47" i="24"/>
  <c r="FD47" i="24" s="1"/>
  <c r="FC47" i="24"/>
  <c r="AD22" i="24"/>
  <c r="ET22" i="24" s="1"/>
  <c r="ES22" i="24"/>
  <c r="FM27" i="24"/>
  <c r="AX27" i="24"/>
  <c r="FN27" i="24" s="1"/>
  <c r="ES47" i="24"/>
  <c r="AD47" i="24"/>
  <c r="ET47" i="24" s="1"/>
  <c r="A59" i="24"/>
  <c r="DH58" i="24"/>
  <c r="DI58" i="24"/>
  <c r="DJ58" i="24"/>
  <c r="DK58" i="24"/>
  <c r="DL58" i="24"/>
  <c r="DM58" i="24"/>
  <c r="DN58" i="24"/>
  <c r="DO58" i="24"/>
  <c r="DP58" i="24" s="1"/>
  <c r="DQ58" i="24"/>
  <c r="DR58" i="24"/>
  <c r="DS58" i="24"/>
  <c r="DT58" i="24"/>
  <c r="DG58" i="24"/>
  <c r="CM58" i="24"/>
  <c r="CN58" i="24"/>
  <c r="DU58" i="24"/>
  <c r="CO58" i="24"/>
  <c r="DV58" i="24"/>
  <c r="CP58" i="24"/>
  <c r="DW58" i="24"/>
  <c r="CQ58" i="24"/>
  <c r="DX58" i="24"/>
  <c r="CR58" i="24"/>
  <c r="CK58" i="24"/>
  <c r="CL58" i="24" s="1"/>
  <c r="DY58" i="24"/>
  <c r="DZ58" i="24" s="1"/>
  <c r="BS58" i="24"/>
  <c r="BT58" i="24"/>
  <c r="BU58" i="24"/>
  <c r="BV58" i="24"/>
  <c r="CS58" i="24"/>
  <c r="CC58" i="24"/>
  <c r="BW58" i="24"/>
  <c r="CT58" i="24"/>
  <c r="CD58" i="24"/>
  <c r="BX58" i="24"/>
  <c r="CU58" i="24"/>
  <c r="CV58" i="24" s="1"/>
  <c r="CE58" i="24"/>
  <c r="BY58" i="24"/>
  <c r="CF58" i="24"/>
  <c r="BZ58" i="24"/>
  <c r="AY58" i="24"/>
  <c r="FO58" i="24" s="1"/>
  <c r="AZ58" i="24"/>
  <c r="FP58" i="24" s="1"/>
  <c r="BA58" i="24"/>
  <c r="FQ58" i="24" s="1"/>
  <c r="BB58" i="24"/>
  <c r="FR58" i="24" s="1"/>
  <c r="BC58" i="24"/>
  <c r="FS58" i="24" s="1"/>
  <c r="BD58" i="24"/>
  <c r="FT58" i="24" s="1"/>
  <c r="BK58" i="24"/>
  <c r="BL58" i="24"/>
  <c r="BM58" i="24"/>
  <c r="AF58" i="24"/>
  <c r="EV58" i="24" s="1"/>
  <c r="BN58" i="24"/>
  <c r="CA58" i="24"/>
  <c r="CB58" i="24" s="1"/>
  <c r="BO58" i="24"/>
  <c r="BP58" i="24"/>
  <c r="BQ58" i="24"/>
  <c r="BR58" i="24" s="1"/>
  <c r="AJ58" i="24"/>
  <c r="EZ58" i="24" s="1"/>
  <c r="BJ58" i="24"/>
  <c r="BE58" i="24"/>
  <c r="FU58" i="24" s="1"/>
  <c r="AG58" i="24"/>
  <c r="EW58" i="24" s="1"/>
  <c r="BF58" i="24"/>
  <c r="FV58" i="24" s="1"/>
  <c r="AH58" i="24"/>
  <c r="EX58" i="24" s="1"/>
  <c r="BG58" i="24"/>
  <c r="AI58" i="24"/>
  <c r="EY58" i="24" s="1"/>
  <c r="AK58" i="24"/>
  <c r="FA58" i="24" s="1"/>
  <c r="AL58" i="24"/>
  <c r="FB58" i="24" s="1"/>
  <c r="AO58" i="24"/>
  <c r="FE58" i="24" s="1"/>
  <c r="AM58" i="24"/>
  <c r="AP58" i="24"/>
  <c r="FF58" i="24" s="1"/>
  <c r="AQ58" i="24"/>
  <c r="FG58" i="24" s="1"/>
  <c r="Z58" i="24"/>
  <c r="EP58" i="24" s="1"/>
  <c r="O58" i="24"/>
  <c r="EE58" i="24" s="1"/>
  <c r="CG58" i="24"/>
  <c r="AR58" i="24"/>
  <c r="FH58" i="24" s="1"/>
  <c r="S58" i="24"/>
  <c r="U58" i="24"/>
  <c r="EK58" i="24" s="1"/>
  <c r="AA58" i="24"/>
  <c r="EQ58" i="24" s="1"/>
  <c r="Q58" i="24"/>
  <c r="EG58" i="24" s="1"/>
  <c r="AB58" i="24"/>
  <c r="ER58" i="24" s="1"/>
  <c r="AC58" i="24"/>
  <c r="P58" i="24"/>
  <c r="EF58" i="24" s="1"/>
  <c r="R58" i="24"/>
  <c r="EH58" i="24" s="1"/>
  <c r="AT58" i="24"/>
  <c r="FJ58" i="24" s="1"/>
  <c r="CH58" i="24"/>
  <c r="CI58" i="24"/>
  <c r="CJ58" i="24"/>
  <c r="K58" i="24"/>
  <c r="EA58" i="24" s="1"/>
  <c r="L58" i="24"/>
  <c r="EB58" i="24" s="1"/>
  <c r="AS58" i="24"/>
  <c r="FI58" i="24" s="1"/>
  <c r="AU58" i="24"/>
  <c r="FK58" i="24" s="1"/>
  <c r="BI58" i="24"/>
  <c r="AE58" i="24"/>
  <c r="EU58" i="24" s="1"/>
  <c r="M58" i="24"/>
  <c r="EC58" i="24" s="1"/>
  <c r="N58" i="24"/>
  <c r="ED58" i="24" s="1"/>
  <c r="V58" i="24"/>
  <c r="EL58" i="24" s="1"/>
  <c r="AW58" i="24"/>
  <c r="W58" i="24"/>
  <c r="EM58" i="24" s="1"/>
  <c r="X58" i="24"/>
  <c r="EN58" i="24" s="1"/>
  <c r="Y58" i="24"/>
  <c r="EO58" i="24" s="1"/>
  <c r="AV58" i="24"/>
  <c r="FL58" i="24" s="1"/>
  <c r="AX32" i="24"/>
  <c r="FN32" i="24" s="1"/>
  <c r="FM32" i="24"/>
  <c r="A39" i="24"/>
  <c r="DQ38" i="24"/>
  <c r="DH38" i="24"/>
  <c r="DR38" i="24"/>
  <c r="DI38" i="24"/>
  <c r="DS38" i="24"/>
  <c r="DJ38" i="24"/>
  <c r="DT38" i="24"/>
  <c r="DK38" i="24"/>
  <c r="DU38" i="24"/>
  <c r="DL38" i="24"/>
  <c r="DV38" i="24"/>
  <c r="DM38" i="24"/>
  <c r="DW38" i="24"/>
  <c r="DN38" i="24"/>
  <c r="DX38" i="24"/>
  <c r="DO38" i="24"/>
  <c r="DP38" i="24" s="1"/>
  <c r="DY38" i="24"/>
  <c r="DZ38" i="24" s="1"/>
  <c r="CM38" i="24"/>
  <c r="CN38" i="24"/>
  <c r="CO38" i="24"/>
  <c r="CP38" i="24"/>
  <c r="CQ38" i="24"/>
  <c r="DG38" i="24"/>
  <c r="CR38" i="24"/>
  <c r="CK38" i="24"/>
  <c r="CL38" i="24" s="1"/>
  <c r="CS38" i="24"/>
  <c r="CT38" i="24"/>
  <c r="CU38" i="24"/>
  <c r="CV38" i="24" s="1"/>
  <c r="CC38" i="24"/>
  <c r="CD38" i="24"/>
  <c r="CE38" i="24"/>
  <c r="CF38" i="24"/>
  <c r="BS38" i="24"/>
  <c r="BT38" i="24"/>
  <c r="BU38" i="24"/>
  <c r="BV38" i="24"/>
  <c r="BW38" i="24"/>
  <c r="BX38" i="24"/>
  <c r="BY38" i="24"/>
  <c r="BZ38" i="24"/>
  <c r="AW38" i="24"/>
  <c r="BI38" i="24"/>
  <c r="AY38" i="24"/>
  <c r="FO38" i="24" s="1"/>
  <c r="BJ38" i="24"/>
  <c r="AZ38" i="24"/>
  <c r="FP38" i="24" s="1"/>
  <c r="CG38" i="24"/>
  <c r="CA38" i="24"/>
  <c r="CB38" i="24" s="1"/>
  <c r="BK38" i="24"/>
  <c r="BA38" i="24"/>
  <c r="FQ38" i="24" s="1"/>
  <c r="CH38" i="24"/>
  <c r="BL38" i="24"/>
  <c r="BB38" i="24"/>
  <c r="FR38" i="24" s="1"/>
  <c r="CI38" i="24"/>
  <c r="BM38" i="24"/>
  <c r="BC38" i="24"/>
  <c r="FS38" i="24" s="1"/>
  <c r="CJ38" i="24"/>
  <c r="BN38" i="24"/>
  <c r="BD38" i="24"/>
  <c r="FT38" i="24" s="1"/>
  <c r="AF38" i="24"/>
  <c r="EV38" i="24" s="1"/>
  <c r="AO38" i="24"/>
  <c r="FE38" i="24" s="1"/>
  <c r="AP38" i="24"/>
  <c r="FF38" i="24" s="1"/>
  <c r="AQ38" i="24"/>
  <c r="FG38" i="24" s="1"/>
  <c r="AR38" i="24"/>
  <c r="FH38" i="24" s="1"/>
  <c r="AJ38" i="24"/>
  <c r="EZ38" i="24" s="1"/>
  <c r="BQ38" i="24"/>
  <c r="BR38" i="24" s="1"/>
  <c r="AS38" i="24"/>
  <c r="FI38" i="24" s="1"/>
  <c r="AT38" i="24"/>
  <c r="FJ38" i="24" s="1"/>
  <c r="AU38" i="24"/>
  <c r="FK38" i="24" s="1"/>
  <c r="AV38" i="24"/>
  <c r="FL38" i="24" s="1"/>
  <c r="AE38" i="24"/>
  <c r="EU38" i="24" s="1"/>
  <c r="BE38" i="24"/>
  <c r="FU38" i="24" s="1"/>
  <c r="AG38" i="24"/>
  <c r="EW38" i="24" s="1"/>
  <c r="Z38" i="24"/>
  <c r="EP38" i="24" s="1"/>
  <c r="O38" i="24"/>
  <c r="EE38" i="24" s="1"/>
  <c r="Q38" i="24"/>
  <c r="EG38" i="24" s="1"/>
  <c r="AA38" i="24"/>
  <c r="EQ38" i="24" s="1"/>
  <c r="S38" i="24"/>
  <c r="BO38" i="24"/>
  <c r="AB38" i="24"/>
  <c r="ER38" i="24" s="1"/>
  <c r="AH38" i="24"/>
  <c r="EX38" i="24" s="1"/>
  <c r="R38" i="24"/>
  <c r="EH38" i="24" s="1"/>
  <c r="BP38" i="24"/>
  <c r="AC38" i="24"/>
  <c r="AI38" i="24"/>
  <c r="EY38" i="24" s="1"/>
  <c r="AL38" i="24"/>
  <c r="FB38" i="24" s="1"/>
  <c r="BF38" i="24"/>
  <c r="FV38" i="24" s="1"/>
  <c r="BG38" i="24"/>
  <c r="K38" i="24"/>
  <c r="EA38" i="24" s="1"/>
  <c r="L38" i="24"/>
  <c r="EB38" i="24" s="1"/>
  <c r="N38" i="24"/>
  <c r="ED38" i="24" s="1"/>
  <c r="P38" i="24"/>
  <c r="EF38" i="24" s="1"/>
  <c r="M38" i="24"/>
  <c r="EC38" i="24" s="1"/>
  <c r="AK38" i="24"/>
  <c r="FA38" i="24" s="1"/>
  <c r="U38" i="24"/>
  <c r="EK38" i="24" s="1"/>
  <c r="W38" i="24"/>
  <c r="EM38" i="24" s="1"/>
  <c r="V38" i="24"/>
  <c r="EL38" i="24" s="1"/>
  <c r="Y38" i="24"/>
  <c r="EO38" i="24" s="1"/>
  <c r="X38" i="24"/>
  <c r="EN38" i="24" s="1"/>
  <c r="AM38" i="24"/>
  <c r="AX37" i="24"/>
  <c r="FN37" i="24" s="1"/>
  <c r="FM37" i="24"/>
  <c r="T67" i="24"/>
  <c r="EJ67" i="24" s="1"/>
  <c r="EI67" i="24"/>
  <c r="BH22" i="24"/>
  <c r="FX22" i="24" s="1"/>
  <c r="FW22" i="24"/>
  <c r="AX17" i="24"/>
  <c r="FN17" i="24" s="1"/>
  <c r="FM17" i="24"/>
  <c r="T72" i="24"/>
  <c r="EJ72" i="24" s="1"/>
  <c r="EI72" i="24"/>
  <c r="AD17" i="24"/>
  <c r="ET17" i="24" s="1"/>
  <c r="ES17" i="24"/>
  <c r="AD32" i="24"/>
  <c r="ET32" i="24" s="1"/>
  <c r="ES32" i="24"/>
  <c r="T62" i="24"/>
  <c r="EJ62" i="24" s="1"/>
  <c r="EI62" i="24"/>
  <c r="EI37" i="24"/>
  <c r="T37" i="24"/>
  <c r="EJ37" i="24" s="1"/>
  <c r="T47" i="24"/>
  <c r="EJ47" i="24" s="1"/>
  <c r="EI47" i="24"/>
  <c r="T27" i="24"/>
  <c r="EJ27" i="24" s="1"/>
  <c r="EI27" i="24"/>
  <c r="BH72" i="24"/>
  <c r="FX72" i="24" s="1"/>
  <c r="FW72" i="24"/>
  <c r="AD42" i="24"/>
  <c r="ET42" i="24" s="1"/>
  <c r="ES42" i="24"/>
  <c r="BH62" i="24"/>
  <c r="FX62" i="24" s="1"/>
  <c r="FW62" i="24"/>
  <c r="AN32" i="24"/>
  <c r="FD32" i="24" s="1"/>
  <c r="FC32" i="24"/>
  <c r="AN62" i="24"/>
  <c r="FD62" i="24" s="1"/>
  <c r="FC62" i="24"/>
  <c r="FW52" i="24"/>
  <c r="BH52" i="24"/>
  <c r="FX52" i="24" s="1"/>
  <c r="AN17" i="24"/>
  <c r="FD17" i="24" s="1"/>
  <c r="FC17" i="24"/>
  <c r="AN57" i="24"/>
  <c r="FD57" i="24" s="1"/>
  <c r="FC57" i="24"/>
  <c r="AD62" i="24"/>
  <c r="ET62" i="24" s="1"/>
  <c r="ES62" i="24"/>
  <c r="AX42" i="24"/>
  <c r="FN42" i="24" s="1"/>
  <c r="FM42" i="24"/>
  <c r="ES52" i="24"/>
  <c r="AD52" i="24"/>
  <c r="ET52" i="24" s="1"/>
  <c r="BH17" i="24"/>
  <c r="FX17" i="24" s="1"/>
  <c r="FW17" i="24"/>
  <c r="EI52" i="24"/>
  <c r="T52" i="24"/>
  <c r="EJ52" i="24" s="1"/>
  <c r="AN12" i="24"/>
  <c r="FD12" i="24" s="1"/>
  <c r="FC12" i="24"/>
  <c r="FM57" i="24"/>
  <c r="AX57" i="24"/>
  <c r="FN57" i="24" s="1"/>
  <c r="A29" i="24"/>
  <c r="DS28" i="24"/>
  <c r="DT28" i="24"/>
  <c r="DU28" i="24"/>
  <c r="DV28" i="24"/>
  <c r="DW28" i="24"/>
  <c r="DX28" i="24"/>
  <c r="DY28" i="24"/>
  <c r="DZ28" i="24" s="1"/>
  <c r="DG28" i="24"/>
  <c r="DH28" i="24"/>
  <c r="DI28" i="24"/>
  <c r="DJ28" i="24"/>
  <c r="DK28" i="24"/>
  <c r="DL28" i="24"/>
  <c r="DM28" i="24"/>
  <c r="CU28" i="24"/>
  <c r="CV28" i="24" s="1"/>
  <c r="DQ28" i="24"/>
  <c r="DR28" i="24"/>
  <c r="DN28" i="24"/>
  <c r="DO28" i="24"/>
  <c r="DP28" i="24" s="1"/>
  <c r="CC28" i="24"/>
  <c r="CD28" i="24"/>
  <c r="CE28" i="24"/>
  <c r="CF28" i="24"/>
  <c r="CG28" i="24"/>
  <c r="CH28" i="24"/>
  <c r="CI28" i="24"/>
  <c r="BI28" i="24"/>
  <c r="CJ28" i="24"/>
  <c r="BJ28" i="24"/>
  <c r="CK28" i="24"/>
  <c r="CL28" i="24" s="1"/>
  <c r="BK28" i="24"/>
  <c r="BL28" i="24"/>
  <c r="CM28" i="24"/>
  <c r="BM28" i="24"/>
  <c r="CN28" i="24"/>
  <c r="BN28" i="24"/>
  <c r="CO28" i="24"/>
  <c r="BO28" i="24"/>
  <c r="CP28" i="24"/>
  <c r="BP28" i="24"/>
  <c r="BG28" i="24"/>
  <c r="BS28" i="24"/>
  <c r="BT28" i="24"/>
  <c r="AO28" i="24"/>
  <c r="FE28" i="24" s="1"/>
  <c r="AP28" i="24"/>
  <c r="FF28" i="24" s="1"/>
  <c r="AQ28" i="24"/>
  <c r="FG28" i="24" s="1"/>
  <c r="BU28" i="24"/>
  <c r="BQ28" i="24"/>
  <c r="BR28" i="24" s="1"/>
  <c r="AR28" i="24"/>
  <c r="FH28" i="24" s="1"/>
  <c r="BV28" i="24"/>
  <c r="AS28" i="24"/>
  <c r="FI28" i="24" s="1"/>
  <c r="BW28" i="24"/>
  <c r="AT28" i="24"/>
  <c r="FJ28" i="24" s="1"/>
  <c r="BX28" i="24"/>
  <c r="AJ28" i="24"/>
  <c r="EZ28" i="24" s="1"/>
  <c r="AK28" i="24"/>
  <c r="FA28" i="24" s="1"/>
  <c r="AL28" i="24"/>
  <c r="FB28" i="24" s="1"/>
  <c r="AM28" i="24"/>
  <c r="Y28" i="24"/>
  <c r="EO28" i="24" s="1"/>
  <c r="CQ28" i="24"/>
  <c r="Z28" i="24"/>
  <c r="EP28" i="24" s="1"/>
  <c r="CR28" i="24"/>
  <c r="AA28" i="24"/>
  <c r="EQ28" i="24" s="1"/>
  <c r="CS28" i="24"/>
  <c r="CT28" i="24"/>
  <c r="AC28" i="24"/>
  <c r="BY28" i="24"/>
  <c r="P28" i="24"/>
  <c r="EF28" i="24" s="1"/>
  <c r="AF28" i="24"/>
  <c r="EV28" i="24" s="1"/>
  <c r="BZ28" i="24"/>
  <c r="Q28" i="24"/>
  <c r="EG28" i="24" s="1"/>
  <c r="BD28" i="24"/>
  <c r="FT28" i="24" s="1"/>
  <c r="AH28" i="24"/>
  <c r="EX28" i="24" s="1"/>
  <c r="AI28" i="24"/>
  <c r="EY28" i="24" s="1"/>
  <c r="CA28" i="24"/>
  <c r="CB28" i="24" s="1"/>
  <c r="R28" i="24"/>
  <c r="EH28" i="24" s="1"/>
  <c r="AE28" i="24"/>
  <c r="EU28" i="24" s="1"/>
  <c r="S28" i="24"/>
  <c r="BC28" i="24"/>
  <c r="FS28" i="24" s="1"/>
  <c r="AY28" i="24"/>
  <c r="FO28" i="24" s="1"/>
  <c r="AZ28" i="24"/>
  <c r="FP28" i="24" s="1"/>
  <c r="AG28" i="24"/>
  <c r="EW28" i="24" s="1"/>
  <c r="BA28" i="24"/>
  <c r="FQ28" i="24" s="1"/>
  <c r="BE28" i="24"/>
  <c r="FU28" i="24" s="1"/>
  <c r="U28" i="24"/>
  <c r="EK28" i="24" s="1"/>
  <c r="BB28" i="24"/>
  <c r="FR28" i="24" s="1"/>
  <c r="BF28" i="24"/>
  <c r="FV28" i="24" s="1"/>
  <c r="O28" i="24"/>
  <c r="EE28" i="24" s="1"/>
  <c r="V28" i="24"/>
  <c r="EL28" i="24" s="1"/>
  <c r="AU28" i="24"/>
  <c r="FK28" i="24" s="1"/>
  <c r="M28" i="24"/>
  <c r="EC28" i="24" s="1"/>
  <c r="L28" i="24"/>
  <c r="EB28" i="24" s="1"/>
  <c r="W28" i="24"/>
  <c r="EM28" i="24" s="1"/>
  <c r="N28" i="24"/>
  <c r="ED28" i="24" s="1"/>
  <c r="AV28" i="24"/>
  <c r="FL28" i="24" s="1"/>
  <c r="X28" i="24"/>
  <c r="EN28" i="24" s="1"/>
  <c r="AB28" i="24"/>
  <c r="ER28" i="24" s="1"/>
  <c r="AW28" i="24"/>
  <c r="K28" i="24"/>
  <c r="EA28" i="24" s="1"/>
  <c r="FW12" i="24"/>
  <c r="BH12" i="24"/>
  <c r="FX12" i="24" s="1"/>
  <c r="AX22" i="24"/>
  <c r="FN22" i="24" s="1"/>
  <c r="FM22" i="24"/>
  <c r="A69" i="24"/>
  <c r="DS68" i="24"/>
  <c r="DT68" i="24"/>
  <c r="DU68" i="24"/>
  <c r="DV68" i="24"/>
  <c r="DW68" i="24"/>
  <c r="DX68" i="24"/>
  <c r="DY68" i="24"/>
  <c r="DZ68" i="24" s="1"/>
  <c r="DQ68" i="24"/>
  <c r="DR68" i="24"/>
  <c r="DJ68" i="24"/>
  <c r="DK68" i="24"/>
  <c r="DL68" i="24"/>
  <c r="DM68" i="24"/>
  <c r="DN68" i="24"/>
  <c r="DO68" i="24"/>
  <c r="DP68" i="24" s="1"/>
  <c r="CU68" i="24"/>
  <c r="CV68" i="24" s="1"/>
  <c r="DG68" i="24"/>
  <c r="DH68" i="24"/>
  <c r="DI68" i="24"/>
  <c r="CC68" i="24"/>
  <c r="CG68" i="24"/>
  <c r="CQ68" i="24"/>
  <c r="CD68" i="24"/>
  <c r="CR68" i="24"/>
  <c r="CE68" i="24"/>
  <c r="CS68" i="24"/>
  <c r="CF68" i="24"/>
  <c r="CT68" i="24"/>
  <c r="CH68" i="24"/>
  <c r="CI68" i="24"/>
  <c r="CJ68" i="24"/>
  <c r="CK68" i="24"/>
  <c r="CL68" i="24" s="1"/>
  <c r="BI68" i="24"/>
  <c r="BJ68" i="24"/>
  <c r="BK68" i="24"/>
  <c r="BL68" i="24"/>
  <c r="CM68" i="24"/>
  <c r="BM68" i="24"/>
  <c r="CN68" i="24"/>
  <c r="BN68" i="24"/>
  <c r="CO68" i="24"/>
  <c r="BO68" i="24"/>
  <c r="CP68" i="24"/>
  <c r="BP68" i="24"/>
  <c r="BG68" i="24"/>
  <c r="BS68" i="24"/>
  <c r="BT68" i="24"/>
  <c r="BU68" i="24"/>
  <c r="BV68" i="24"/>
  <c r="BW68" i="24"/>
  <c r="BX68" i="24"/>
  <c r="AR68" i="24"/>
  <c r="FH68" i="24" s="1"/>
  <c r="AS68" i="24"/>
  <c r="FI68" i="24" s="1"/>
  <c r="AT68" i="24"/>
  <c r="FJ68" i="24" s="1"/>
  <c r="AU68" i="24"/>
  <c r="FK68" i="24" s="1"/>
  <c r="AV68" i="24"/>
  <c r="FL68" i="24" s="1"/>
  <c r="AW68" i="24"/>
  <c r="AJ68" i="24"/>
  <c r="EZ68" i="24" s="1"/>
  <c r="AK68" i="24"/>
  <c r="FA68" i="24" s="1"/>
  <c r="AL68" i="24"/>
  <c r="FB68" i="24" s="1"/>
  <c r="AM68" i="24"/>
  <c r="AO68" i="24"/>
  <c r="FE68" i="24" s="1"/>
  <c r="P68" i="24"/>
  <c r="EF68" i="24" s="1"/>
  <c r="BZ68" i="24"/>
  <c r="CA68" i="24"/>
  <c r="CB68" i="24" s="1"/>
  <c r="BF68" i="24"/>
  <c r="FV68" i="24" s="1"/>
  <c r="Q68" i="24"/>
  <c r="EG68" i="24" s="1"/>
  <c r="AP68" i="24"/>
  <c r="FF68" i="24" s="1"/>
  <c r="AQ68" i="24"/>
  <c r="FG68" i="24" s="1"/>
  <c r="BB68" i="24"/>
  <c r="FR68" i="24" s="1"/>
  <c r="BD68" i="24"/>
  <c r="FT68" i="24" s="1"/>
  <c r="AH68" i="24"/>
  <c r="EX68" i="24" s="1"/>
  <c r="R68" i="24"/>
  <c r="EH68" i="24" s="1"/>
  <c r="Y68" i="24"/>
  <c r="EO68" i="24" s="1"/>
  <c r="AF68" i="24"/>
  <c r="EV68" i="24" s="1"/>
  <c r="AI68" i="24"/>
  <c r="EY68" i="24" s="1"/>
  <c r="S68" i="24"/>
  <c r="AZ68" i="24"/>
  <c r="FP68" i="24" s="1"/>
  <c r="BC68" i="24"/>
  <c r="FS68" i="24" s="1"/>
  <c r="AB68" i="24"/>
  <c r="ER68" i="24" s="1"/>
  <c r="AA68" i="24"/>
  <c r="EQ68" i="24" s="1"/>
  <c r="U68" i="24"/>
  <c r="EK68" i="24" s="1"/>
  <c r="X68" i="24"/>
  <c r="EN68" i="24" s="1"/>
  <c r="Z68" i="24"/>
  <c r="EP68" i="24" s="1"/>
  <c r="BE68" i="24"/>
  <c r="FU68" i="24" s="1"/>
  <c r="V68" i="24"/>
  <c r="EL68" i="24" s="1"/>
  <c r="BA68" i="24"/>
  <c r="FQ68" i="24" s="1"/>
  <c r="AC68" i="24"/>
  <c r="AY68" i="24"/>
  <c r="FO68" i="24" s="1"/>
  <c r="W68" i="24"/>
  <c r="EM68" i="24" s="1"/>
  <c r="BY68" i="24"/>
  <c r="AE68" i="24"/>
  <c r="EU68" i="24" s="1"/>
  <c r="AG68" i="24"/>
  <c r="EW68" i="24" s="1"/>
  <c r="M68" i="24"/>
  <c r="EC68" i="24" s="1"/>
  <c r="L68" i="24"/>
  <c r="EB68" i="24" s="1"/>
  <c r="N68" i="24"/>
  <c r="ED68" i="24" s="1"/>
  <c r="O68" i="24"/>
  <c r="EE68" i="24" s="1"/>
  <c r="K68" i="24"/>
  <c r="EA68" i="24" s="1"/>
  <c r="BQ68" i="24"/>
  <c r="BR68" i="24" s="1"/>
  <c r="T12" i="24"/>
  <c r="EJ12" i="24" s="1"/>
  <c r="EI12" i="24"/>
  <c r="ES57" i="24"/>
  <c r="AD57" i="24"/>
  <c r="ET57" i="24" s="1"/>
  <c r="AN27" i="24"/>
  <c r="FD27" i="24" s="1"/>
  <c r="FC27" i="24"/>
  <c r="A54" i="24"/>
  <c r="DQ53" i="24"/>
  <c r="DR53" i="24"/>
  <c r="DS53" i="24"/>
  <c r="DT53" i="24"/>
  <c r="DU53" i="24"/>
  <c r="DM53" i="24"/>
  <c r="DN53" i="24"/>
  <c r="DO53" i="24"/>
  <c r="DP53" i="24" s="1"/>
  <c r="DV53" i="24"/>
  <c r="DW53" i="24"/>
  <c r="DX53" i="24"/>
  <c r="DY53" i="24"/>
  <c r="DZ53" i="24" s="1"/>
  <c r="DI53" i="24"/>
  <c r="DJ53" i="24"/>
  <c r="DK53" i="24"/>
  <c r="DL53" i="24"/>
  <c r="CP53" i="24"/>
  <c r="CQ53" i="24"/>
  <c r="CR53" i="24"/>
  <c r="CS53" i="24"/>
  <c r="CT53" i="24"/>
  <c r="CU53" i="24"/>
  <c r="CV53" i="24" s="1"/>
  <c r="BX53" i="24"/>
  <c r="BY53" i="24"/>
  <c r="BZ53" i="24"/>
  <c r="CC53" i="24"/>
  <c r="CA53" i="24"/>
  <c r="CB53" i="24" s="1"/>
  <c r="CD53" i="24"/>
  <c r="CE53" i="24"/>
  <c r="BI53" i="24"/>
  <c r="CF53" i="24"/>
  <c r="BJ53" i="24"/>
  <c r="CG53" i="24"/>
  <c r="BK53" i="24"/>
  <c r="BB53" i="24"/>
  <c r="FR53" i="24" s="1"/>
  <c r="BC53" i="24"/>
  <c r="FS53" i="24" s="1"/>
  <c r="BD53" i="24"/>
  <c r="FT53" i="24" s="1"/>
  <c r="BS53" i="24"/>
  <c r="BE53" i="24"/>
  <c r="FU53" i="24" s="1"/>
  <c r="BT53" i="24"/>
  <c r="BL53" i="24"/>
  <c r="BF53" i="24"/>
  <c r="FV53" i="24" s="1"/>
  <c r="BU53" i="24"/>
  <c r="BM53" i="24"/>
  <c r="BG53" i="24"/>
  <c r="BV53" i="24"/>
  <c r="BN53" i="24"/>
  <c r="BW53" i="24"/>
  <c r="BO53" i="24"/>
  <c r="AI53" i="24"/>
  <c r="EY53" i="24" s="1"/>
  <c r="AK53" i="24"/>
  <c r="FA53" i="24" s="1"/>
  <c r="CH53" i="24"/>
  <c r="BP53" i="24"/>
  <c r="AO53" i="24"/>
  <c r="FE53" i="24" s="1"/>
  <c r="CI53" i="24"/>
  <c r="BQ53" i="24"/>
  <c r="BR53" i="24" s="1"/>
  <c r="AP53" i="24"/>
  <c r="FF53" i="24" s="1"/>
  <c r="DG53" i="24"/>
  <c r="CJ53" i="24"/>
  <c r="AQ53" i="24"/>
  <c r="FG53" i="24" s="1"/>
  <c r="DH53" i="24"/>
  <c r="CK53" i="24"/>
  <c r="CL53" i="24" s="1"/>
  <c r="AY53" i="24"/>
  <c r="FO53" i="24" s="1"/>
  <c r="AS53" i="24"/>
  <c r="FI53" i="24" s="1"/>
  <c r="AZ53" i="24"/>
  <c r="FP53" i="24" s="1"/>
  <c r="AT53" i="24"/>
  <c r="FJ53" i="24" s="1"/>
  <c r="AE53" i="24"/>
  <c r="EU53" i="24" s="1"/>
  <c r="BA53" i="24"/>
  <c r="FQ53" i="24" s="1"/>
  <c r="AU53" i="24"/>
  <c r="FK53" i="24" s="1"/>
  <c r="AF53" i="24"/>
  <c r="EV53" i="24" s="1"/>
  <c r="AV53" i="24"/>
  <c r="FL53" i="24" s="1"/>
  <c r="AG53" i="24"/>
  <c r="EW53" i="24" s="1"/>
  <c r="AW53" i="24"/>
  <c r="AH53" i="24"/>
  <c r="EX53" i="24" s="1"/>
  <c r="AJ53" i="24"/>
  <c r="EZ53" i="24" s="1"/>
  <c r="AL53" i="24"/>
  <c r="FB53" i="24" s="1"/>
  <c r="AM53" i="24"/>
  <c r="K53" i="24"/>
  <c r="EA53" i="24" s="1"/>
  <c r="X53" i="24"/>
  <c r="EN53" i="24" s="1"/>
  <c r="Y53" i="24"/>
  <c r="EO53" i="24" s="1"/>
  <c r="L53" i="24"/>
  <c r="EB53" i="24" s="1"/>
  <c r="CN53" i="24"/>
  <c r="M53" i="24"/>
  <c r="EC53" i="24" s="1"/>
  <c r="N53" i="24"/>
  <c r="ED53" i="24" s="1"/>
  <c r="CM53" i="24"/>
  <c r="CO53" i="24"/>
  <c r="O53" i="24"/>
  <c r="EE53" i="24" s="1"/>
  <c r="Q53" i="24"/>
  <c r="EG53" i="24" s="1"/>
  <c r="S53" i="24"/>
  <c r="U53" i="24"/>
  <c r="EK53" i="24" s="1"/>
  <c r="W53" i="24"/>
  <c r="EM53" i="24" s="1"/>
  <c r="Z53" i="24"/>
  <c r="EP53" i="24" s="1"/>
  <c r="P53" i="24"/>
  <c r="EF53" i="24" s="1"/>
  <c r="R53" i="24"/>
  <c r="EH53" i="24" s="1"/>
  <c r="V53" i="24"/>
  <c r="EL53" i="24" s="1"/>
  <c r="AA53" i="24"/>
  <c r="EQ53" i="24" s="1"/>
  <c r="AB53" i="24"/>
  <c r="ER53" i="24" s="1"/>
  <c r="AC53" i="24"/>
  <c r="AR53" i="24"/>
  <c r="FH53" i="24" s="1"/>
  <c r="A34" i="24"/>
  <c r="DQ33" i="24"/>
  <c r="DR33" i="24"/>
  <c r="DS33" i="24"/>
  <c r="DT33" i="24"/>
  <c r="DU33" i="24"/>
  <c r="DM33" i="24"/>
  <c r="DN33" i="24"/>
  <c r="DO33" i="24"/>
  <c r="DP33" i="24" s="1"/>
  <c r="CP33" i="24"/>
  <c r="CQ33" i="24"/>
  <c r="CR33" i="24"/>
  <c r="CS33" i="24"/>
  <c r="CT33" i="24"/>
  <c r="CU33" i="24"/>
  <c r="CV33" i="24" s="1"/>
  <c r="DG33" i="24"/>
  <c r="DH33" i="24"/>
  <c r="CM33" i="24"/>
  <c r="CN33" i="24"/>
  <c r="CO33" i="24"/>
  <c r="CC33" i="24"/>
  <c r="DV33" i="24"/>
  <c r="CH33" i="24"/>
  <c r="DW33" i="24"/>
  <c r="CI33" i="24"/>
  <c r="DX33" i="24"/>
  <c r="CJ33" i="24"/>
  <c r="DY33" i="24"/>
  <c r="DZ33" i="24" s="1"/>
  <c r="CK33" i="24"/>
  <c r="CL33" i="24" s="1"/>
  <c r="DI33" i="24"/>
  <c r="BX33" i="24"/>
  <c r="DJ33" i="24"/>
  <c r="BY33" i="24"/>
  <c r="DK33" i="24"/>
  <c r="BZ33" i="24"/>
  <c r="DL33" i="24"/>
  <c r="CA33" i="24"/>
  <c r="CB33" i="24" s="1"/>
  <c r="BI33" i="24"/>
  <c r="BJ33" i="24"/>
  <c r="BK33" i="24"/>
  <c r="BP33" i="24"/>
  <c r="BB33" i="24"/>
  <c r="FR33" i="24" s="1"/>
  <c r="BQ33" i="24"/>
  <c r="BR33" i="24" s="1"/>
  <c r="BC33" i="24"/>
  <c r="FS33" i="24" s="1"/>
  <c r="BD33" i="24"/>
  <c r="FT33" i="24" s="1"/>
  <c r="BE33" i="24"/>
  <c r="FU33" i="24" s="1"/>
  <c r="BF33" i="24"/>
  <c r="FV33" i="24" s="1"/>
  <c r="BG33" i="24"/>
  <c r="CD33" i="24"/>
  <c r="BL33" i="24"/>
  <c r="AI33" i="24"/>
  <c r="EY33" i="24" s="1"/>
  <c r="CE33" i="24"/>
  <c r="BM33" i="24"/>
  <c r="AY33" i="24"/>
  <c r="FO33" i="24" s="1"/>
  <c r="AJ33" i="24"/>
  <c r="EZ33" i="24" s="1"/>
  <c r="CF33" i="24"/>
  <c r="BN33" i="24"/>
  <c r="AZ33" i="24"/>
  <c r="FP33" i="24" s="1"/>
  <c r="AO33" i="24"/>
  <c r="FE33" i="24" s="1"/>
  <c r="AK33" i="24"/>
  <c r="FA33" i="24" s="1"/>
  <c r="CG33" i="24"/>
  <c r="BS33" i="24"/>
  <c r="BO33" i="24"/>
  <c r="BA33" i="24"/>
  <c r="FQ33" i="24" s="1"/>
  <c r="AP33" i="24"/>
  <c r="FF33" i="24" s="1"/>
  <c r="BT33" i="24"/>
  <c r="AQ33" i="24"/>
  <c r="FG33" i="24" s="1"/>
  <c r="BU33" i="24"/>
  <c r="AR33" i="24"/>
  <c r="FH33" i="24" s="1"/>
  <c r="BV33" i="24"/>
  <c r="AS33" i="24"/>
  <c r="FI33" i="24" s="1"/>
  <c r="BW33" i="24"/>
  <c r="V33" i="24"/>
  <c r="EL33" i="24" s="1"/>
  <c r="K33" i="24"/>
  <c r="EA33" i="24" s="1"/>
  <c r="L33" i="24"/>
  <c r="EB33" i="24" s="1"/>
  <c r="AF33" i="24"/>
  <c r="EV33" i="24" s="1"/>
  <c r="AT33" i="24"/>
  <c r="FJ33" i="24" s="1"/>
  <c r="M33" i="24"/>
  <c r="EC33" i="24" s="1"/>
  <c r="AM33" i="24"/>
  <c r="N33" i="24"/>
  <c r="ED33" i="24" s="1"/>
  <c r="S33" i="24"/>
  <c r="W33" i="24"/>
  <c r="EM33" i="24" s="1"/>
  <c r="Z33" i="24"/>
  <c r="EP33" i="24" s="1"/>
  <c r="O33" i="24"/>
  <c r="EE33" i="24" s="1"/>
  <c r="AG33" i="24"/>
  <c r="EW33" i="24" s="1"/>
  <c r="P33" i="24"/>
  <c r="EF33" i="24" s="1"/>
  <c r="U33" i="24"/>
  <c r="EK33" i="24" s="1"/>
  <c r="Q33" i="24"/>
  <c r="EG33" i="24" s="1"/>
  <c r="AE33" i="24"/>
  <c r="EU33" i="24" s="1"/>
  <c r="X33" i="24"/>
  <c r="EN33" i="24" s="1"/>
  <c r="AL33" i="24"/>
  <c r="FB33" i="24" s="1"/>
  <c r="R33" i="24"/>
  <c r="EH33" i="24" s="1"/>
  <c r="AH33" i="24"/>
  <c r="EX33" i="24" s="1"/>
  <c r="Y33" i="24"/>
  <c r="EO33" i="24" s="1"/>
  <c r="AB33" i="24"/>
  <c r="ER33" i="24" s="1"/>
  <c r="AV33" i="24"/>
  <c r="FL33" i="24" s="1"/>
  <c r="AC33" i="24"/>
  <c r="AU33" i="24"/>
  <c r="FK33" i="24" s="1"/>
  <c r="AW33" i="24"/>
  <c r="AA33" i="24"/>
  <c r="EQ33" i="24" s="1"/>
  <c r="A19" i="24"/>
  <c r="DY18" i="24"/>
  <c r="DZ18" i="24" s="1"/>
  <c r="DH18" i="24"/>
  <c r="DI18" i="24"/>
  <c r="DJ18" i="24"/>
  <c r="DK18" i="24"/>
  <c r="DL18" i="24"/>
  <c r="DM18" i="24"/>
  <c r="DN18" i="24"/>
  <c r="DO18" i="24"/>
  <c r="DP18" i="24" s="1"/>
  <c r="DU18" i="24"/>
  <c r="DV18" i="24"/>
  <c r="DW18" i="24"/>
  <c r="DX18" i="24"/>
  <c r="CM18" i="24"/>
  <c r="CN18" i="24"/>
  <c r="CO18" i="24"/>
  <c r="CP18" i="24"/>
  <c r="CQ18" i="24"/>
  <c r="CR18" i="24"/>
  <c r="CS18" i="24"/>
  <c r="CK18" i="24"/>
  <c r="CL18" i="24" s="1"/>
  <c r="CT18" i="24"/>
  <c r="CU18" i="24"/>
  <c r="CV18" i="24" s="1"/>
  <c r="DG18" i="24"/>
  <c r="CG18" i="24"/>
  <c r="CH18" i="24"/>
  <c r="CI18" i="24"/>
  <c r="CJ18" i="24"/>
  <c r="BS18" i="24"/>
  <c r="BT18" i="24"/>
  <c r="BU18" i="24"/>
  <c r="BV18" i="24"/>
  <c r="BW18" i="24"/>
  <c r="BX18" i="24"/>
  <c r="BY18" i="24"/>
  <c r="BZ18" i="24"/>
  <c r="DQ18" i="24"/>
  <c r="BO18" i="24"/>
  <c r="AW18" i="24"/>
  <c r="DR18" i="24"/>
  <c r="BP18" i="24"/>
  <c r="DS18" i="24"/>
  <c r="BQ18" i="24"/>
  <c r="BR18" i="24" s="1"/>
  <c r="AY18" i="24"/>
  <c r="FO18" i="24" s="1"/>
  <c r="DT18" i="24"/>
  <c r="AZ18" i="24"/>
  <c r="FP18" i="24" s="1"/>
  <c r="CC18" i="24"/>
  <c r="BA18" i="24"/>
  <c r="FQ18" i="24" s="1"/>
  <c r="CD18" i="24"/>
  <c r="BB18" i="24"/>
  <c r="FR18" i="24" s="1"/>
  <c r="CE18" i="24"/>
  <c r="BC18" i="24"/>
  <c r="FS18" i="24" s="1"/>
  <c r="CF18" i="24"/>
  <c r="BD18" i="24"/>
  <c r="FT18" i="24" s="1"/>
  <c r="BE18" i="24"/>
  <c r="FU18" i="24" s="1"/>
  <c r="BF18" i="24"/>
  <c r="FV18" i="24" s="1"/>
  <c r="AO18" i="24"/>
  <c r="FE18" i="24" s="1"/>
  <c r="AE18" i="24"/>
  <c r="EU18" i="24" s="1"/>
  <c r="BG18" i="24"/>
  <c r="AP18" i="24"/>
  <c r="FF18" i="24" s="1"/>
  <c r="AF18" i="24"/>
  <c r="EV18" i="24" s="1"/>
  <c r="AQ18" i="24"/>
  <c r="FG18" i="24" s="1"/>
  <c r="AG18" i="24"/>
  <c r="EW18" i="24" s="1"/>
  <c r="AR18" i="24"/>
  <c r="FH18" i="24" s="1"/>
  <c r="AS18" i="24"/>
  <c r="FI18" i="24" s="1"/>
  <c r="AI18" i="24"/>
  <c r="EY18" i="24" s="1"/>
  <c r="AT18" i="24"/>
  <c r="FJ18" i="24" s="1"/>
  <c r="AJ18" i="24"/>
  <c r="EZ18" i="24" s="1"/>
  <c r="CA18" i="24"/>
  <c r="CB18" i="24" s="1"/>
  <c r="O18" i="24"/>
  <c r="EE18" i="24" s="1"/>
  <c r="AL18" i="24"/>
  <c r="FB18" i="24" s="1"/>
  <c r="Z18" i="24"/>
  <c r="EP18" i="24" s="1"/>
  <c r="AB18" i="24"/>
  <c r="ER18" i="24" s="1"/>
  <c r="BK18" i="24"/>
  <c r="Y18" i="24"/>
  <c r="EO18" i="24" s="1"/>
  <c r="Q18" i="24"/>
  <c r="EG18" i="24" s="1"/>
  <c r="L18" i="24"/>
  <c r="EB18" i="24" s="1"/>
  <c r="AU18" i="24"/>
  <c r="FK18" i="24" s="1"/>
  <c r="R18" i="24"/>
  <c r="EH18" i="24" s="1"/>
  <c r="U18" i="24"/>
  <c r="EK18" i="24" s="1"/>
  <c r="N18" i="24"/>
  <c r="ED18" i="24" s="1"/>
  <c r="V18" i="24"/>
  <c r="EL18" i="24" s="1"/>
  <c r="K18" i="24"/>
  <c r="EA18" i="24" s="1"/>
  <c r="AV18" i="24"/>
  <c r="FL18" i="24" s="1"/>
  <c r="S18" i="24"/>
  <c r="BJ18" i="24"/>
  <c r="AM18" i="24"/>
  <c r="W18" i="24"/>
  <c r="EM18" i="24" s="1"/>
  <c r="P18" i="24"/>
  <c r="EF18" i="24" s="1"/>
  <c r="AH18" i="24"/>
  <c r="EX18" i="24" s="1"/>
  <c r="AK18" i="24"/>
  <c r="FA18" i="24" s="1"/>
  <c r="X18" i="24"/>
  <c r="EN18" i="24" s="1"/>
  <c r="M18" i="24"/>
  <c r="EC18" i="24" s="1"/>
  <c r="AA18" i="24"/>
  <c r="EQ18" i="24" s="1"/>
  <c r="AC18" i="24"/>
  <c r="BI18" i="24"/>
  <c r="BL18" i="24"/>
  <c r="BM18" i="24"/>
  <c r="BN18" i="24"/>
  <c r="AD27" i="24"/>
  <c r="ET27" i="24" s="1"/>
  <c r="ES27" i="24"/>
  <c r="FM47" i="24"/>
  <c r="AX47" i="24"/>
  <c r="FN47" i="24" s="1"/>
  <c r="AN42" i="24"/>
  <c r="FD42" i="24" s="1"/>
  <c r="FC42" i="24"/>
  <c r="A24" i="24"/>
  <c r="DX23" i="24"/>
  <c r="DY23" i="24"/>
  <c r="DZ23" i="24" s="1"/>
  <c r="DQ23" i="24"/>
  <c r="DR23" i="24"/>
  <c r="DS23" i="24"/>
  <c r="DT23" i="24"/>
  <c r="DG23" i="24"/>
  <c r="DU23" i="24"/>
  <c r="DH23" i="24"/>
  <c r="DV23" i="24"/>
  <c r="DI23" i="24"/>
  <c r="DW23" i="24"/>
  <c r="DJ23" i="24"/>
  <c r="DO23" i="24"/>
  <c r="DP23" i="24" s="1"/>
  <c r="CM23" i="24"/>
  <c r="CF23" i="24"/>
  <c r="CG23" i="24"/>
  <c r="CH23" i="24"/>
  <c r="CI23" i="24"/>
  <c r="CN23" i="24"/>
  <c r="CJ23" i="24"/>
  <c r="CO23" i="24"/>
  <c r="CK23" i="24"/>
  <c r="CL23" i="24" s="1"/>
  <c r="CP23" i="24"/>
  <c r="CQ23" i="24"/>
  <c r="DK23" i="24"/>
  <c r="DL23" i="24"/>
  <c r="CC23" i="24"/>
  <c r="DM23" i="24"/>
  <c r="CD23" i="24"/>
  <c r="DN23" i="24"/>
  <c r="CE23" i="24"/>
  <c r="BN23" i="24"/>
  <c r="BO23" i="24"/>
  <c r="BP23" i="24"/>
  <c r="BQ23" i="24"/>
  <c r="BR23" i="24" s="1"/>
  <c r="BS23" i="24"/>
  <c r="BT23" i="24"/>
  <c r="BU23" i="24"/>
  <c r="BV23" i="24"/>
  <c r="AR23" i="24"/>
  <c r="FH23" i="24" s="1"/>
  <c r="BW23" i="24"/>
  <c r="AS23" i="24"/>
  <c r="FI23" i="24" s="1"/>
  <c r="BX23" i="24"/>
  <c r="BY23" i="24"/>
  <c r="BI23" i="24"/>
  <c r="CR23" i="24"/>
  <c r="BZ23" i="24"/>
  <c r="BJ23" i="24"/>
  <c r="CS23" i="24"/>
  <c r="CA23" i="24"/>
  <c r="CB23" i="24" s="1"/>
  <c r="BK23" i="24"/>
  <c r="CT23" i="24"/>
  <c r="BL23" i="24"/>
  <c r="CU23" i="24"/>
  <c r="CV23" i="24" s="1"/>
  <c r="BM23" i="24"/>
  <c r="AY23" i="24"/>
  <c r="FO23" i="24" s="1"/>
  <c r="AO23" i="24"/>
  <c r="FE23" i="24" s="1"/>
  <c r="AP23" i="24"/>
  <c r="FF23" i="24" s="1"/>
  <c r="AZ23" i="24"/>
  <c r="FP23" i="24" s="1"/>
  <c r="AQ23" i="24"/>
  <c r="FG23" i="24" s="1"/>
  <c r="BA23" i="24"/>
  <c r="FQ23" i="24" s="1"/>
  <c r="AT23" i="24"/>
  <c r="FJ23" i="24" s="1"/>
  <c r="BB23" i="24"/>
  <c r="FR23" i="24" s="1"/>
  <c r="AU23" i="24"/>
  <c r="FK23" i="24" s="1"/>
  <c r="AE23" i="24"/>
  <c r="EU23" i="24" s="1"/>
  <c r="AF23" i="24"/>
  <c r="EV23" i="24" s="1"/>
  <c r="AG23" i="24"/>
  <c r="EW23" i="24" s="1"/>
  <c r="AV23" i="24"/>
  <c r="FL23" i="24" s="1"/>
  <c r="AH23" i="24"/>
  <c r="EX23" i="24" s="1"/>
  <c r="AW23" i="24"/>
  <c r="AI23" i="24"/>
  <c r="EY23" i="24" s="1"/>
  <c r="AJ23" i="24"/>
  <c r="EZ23" i="24" s="1"/>
  <c r="AK23" i="24"/>
  <c r="FA23" i="24" s="1"/>
  <c r="AL23" i="24"/>
  <c r="FB23" i="24" s="1"/>
  <c r="W23" i="24"/>
  <c r="EM23" i="24" s="1"/>
  <c r="BD23" i="24"/>
  <c r="FT23" i="24" s="1"/>
  <c r="X23" i="24"/>
  <c r="EN23" i="24" s="1"/>
  <c r="L23" i="24"/>
  <c r="EB23" i="24" s="1"/>
  <c r="AM23" i="24"/>
  <c r="N23" i="24"/>
  <c r="ED23" i="24" s="1"/>
  <c r="Y23" i="24"/>
  <c r="EO23" i="24" s="1"/>
  <c r="Z23" i="24"/>
  <c r="EP23" i="24" s="1"/>
  <c r="AA23" i="24"/>
  <c r="EQ23" i="24" s="1"/>
  <c r="AB23" i="24"/>
  <c r="ER23" i="24" s="1"/>
  <c r="M23" i="24"/>
  <c r="EC23" i="24" s="1"/>
  <c r="AC23" i="24"/>
  <c r="O23" i="24"/>
  <c r="EE23" i="24" s="1"/>
  <c r="K23" i="24"/>
  <c r="EA23" i="24" s="1"/>
  <c r="BC23" i="24"/>
  <c r="FS23" i="24" s="1"/>
  <c r="BF23" i="24"/>
  <c r="FV23" i="24" s="1"/>
  <c r="R23" i="24"/>
  <c r="EH23" i="24" s="1"/>
  <c r="BG23" i="24"/>
  <c r="S23" i="24"/>
  <c r="U23" i="24"/>
  <c r="EK23" i="24" s="1"/>
  <c r="V23" i="24"/>
  <c r="EL23" i="24" s="1"/>
  <c r="P23" i="24"/>
  <c r="EF23" i="24" s="1"/>
  <c r="Q23" i="24"/>
  <c r="EG23" i="24" s="1"/>
  <c r="BE23" i="24"/>
  <c r="FU23" i="24" s="1"/>
  <c r="EI57" i="24"/>
  <c r="T57" i="24"/>
  <c r="EJ57" i="24" s="1"/>
  <c r="A49" i="24"/>
  <c r="DS48" i="24"/>
  <c r="DT48" i="24"/>
  <c r="DU48" i="24"/>
  <c r="DV48" i="24"/>
  <c r="DW48" i="24"/>
  <c r="DX48" i="24"/>
  <c r="DY48" i="24"/>
  <c r="DZ48" i="24" s="1"/>
  <c r="DN48" i="24"/>
  <c r="CU48" i="24"/>
  <c r="CV48" i="24" s="1"/>
  <c r="DO48" i="24"/>
  <c r="DP48" i="24" s="1"/>
  <c r="DJ48" i="24"/>
  <c r="CM48" i="24"/>
  <c r="DK48" i="24"/>
  <c r="CN48" i="24"/>
  <c r="DL48" i="24"/>
  <c r="CO48" i="24"/>
  <c r="CC48" i="24"/>
  <c r="DM48" i="24"/>
  <c r="CP48" i="24"/>
  <c r="CD48" i="24"/>
  <c r="CQ48" i="24"/>
  <c r="CR48" i="24"/>
  <c r="CF48" i="24"/>
  <c r="CS48" i="24"/>
  <c r="CG48" i="24"/>
  <c r="CT48" i="24"/>
  <c r="CH48" i="24"/>
  <c r="CE48" i="24"/>
  <c r="CI48" i="24"/>
  <c r="CJ48" i="24"/>
  <c r="CK48" i="24"/>
  <c r="CL48" i="24" s="1"/>
  <c r="BI48" i="24"/>
  <c r="BJ48" i="24"/>
  <c r="BK48" i="24"/>
  <c r="BL48" i="24"/>
  <c r="BM48" i="24"/>
  <c r="BN48" i="24"/>
  <c r="DQ48" i="24"/>
  <c r="BO48" i="24"/>
  <c r="DR48" i="24"/>
  <c r="BP48" i="24"/>
  <c r="BY48" i="24"/>
  <c r="BQ48" i="24"/>
  <c r="BR48" i="24" s="1"/>
  <c r="BG48" i="24"/>
  <c r="BZ48" i="24"/>
  <c r="CA48" i="24"/>
  <c r="CB48" i="24" s="1"/>
  <c r="DG48" i="24"/>
  <c r="DH48" i="24"/>
  <c r="DI48" i="24"/>
  <c r="AY48" i="24"/>
  <c r="FO48" i="24" s="1"/>
  <c r="AZ48" i="24"/>
  <c r="FP48" i="24" s="1"/>
  <c r="BA48" i="24"/>
  <c r="FQ48" i="24" s="1"/>
  <c r="BB48" i="24"/>
  <c r="FR48" i="24" s="1"/>
  <c r="AO48" i="24"/>
  <c r="FE48" i="24" s="1"/>
  <c r="BC48" i="24"/>
  <c r="FS48" i="24" s="1"/>
  <c r="AP48" i="24"/>
  <c r="FF48" i="24" s="1"/>
  <c r="BD48" i="24"/>
  <c r="FT48" i="24" s="1"/>
  <c r="AQ48" i="24"/>
  <c r="FG48" i="24" s="1"/>
  <c r="BE48" i="24"/>
  <c r="FU48" i="24" s="1"/>
  <c r="AR48" i="24"/>
  <c r="FH48" i="24" s="1"/>
  <c r="AE48" i="24"/>
  <c r="EU48" i="24" s="1"/>
  <c r="AF48" i="24"/>
  <c r="EV48" i="24" s="1"/>
  <c r="AG48" i="24"/>
  <c r="EW48" i="24" s="1"/>
  <c r="BF48" i="24"/>
  <c r="FV48" i="24" s="1"/>
  <c r="AH48" i="24"/>
  <c r="EX48" i="24" s="1"/>
  <c r="AI48" i="24"/>
  <c r="EY48" i="24" s="1"/>
  <c r="AJ48" i="24"/>
  <c r="EZ48" i="24" s="1"/>
  <c r="AK48" i="24"/>
  <c r="FA48" i="24" s="1"/>
  <c r="P48" i="24"/>
  <c r="EF48" i="24" s="1"/>
  <c r="Z48" i="24"/>
  <c r="EP48" i="24" s="1"/>
  <c r="AS48" i="24"/>
  <c r="FI48" i="24" s="1"/>
  <c r="AL48" i="24"/>
  <c r="FB48" i="24" s="1"/>
  <c r="Q48" i="24"/>
  <c r="EG48" i="24" s="1"/>
  <c r="AB48" i="24"/>
  <c r="ER48" i="24" s="1"/>
  <c r="BS48" i="24"/>
  <c r="AT48" i="24"/>
  <c r="FJ48" i="24" s="1"/>
  <c r="AM48" i="24"/>
  <c r="R48" i="24"/>
  <c r="EH48" i="24" s="1"/>
  <c r="BT48" i="24"/>
  <c r="AU48" i="24"/>
  <c r="FK48" i="24" s="1"/>
  <c r="S48" i="24"/>
  <c r="X48" i="24"/>
  <c r="EN48" i="24" s="1"/>
  <c r="BU48" i="24"/>
  <c r="AV48" i="24"/>
  <c r="FL48" i="24" s="1"/>
  <c r="BV48" i="24"/>
  <c r="AW48" i="24"/>
  <c r="U48" i="24"/>
  <c r="EK48" i="24" s="1"/>
  <c r="AA48" i="24"/>
  <c r="EQ48" i="24" s="1"/>
  <c r="AC48" i="24"/>
  <c r="BW48" i="24"/>
  <c r="V48" i="24"/>
  <c r="EL48" i="24" s="1"/>
  <c r="Y48" i="24"/>
  <c r="EO48" i="24" s="1"/>
  <c r="BX48" i="24"/>
  <c r="W48" i="24"/>
  <c r="EM48" i="24" s="1"/>
  <c r="O48" i="24"/>
  <c r="EE48" i="24" s="1"/>
  <c r="K48" i="24"/>
  <c r="EA48" i="24" s="1"/>
  <c r="L48" i="24"/>
  <c r="EB48" i="24" s="1"/>
  <c r="N48" i="24"/>
  <c r="ED48" i="24" s="1"/>
  <c r="M48" i="24"/>
  <c r="EC48" i="24" s="1"/>
  <c r="AD72" i="24"/>
  <c r="ET72" i="24" s="1"/>
  <c r="ES72" i="24"/>
  <c r="FC52" i="24"/>
  <c r="AN52" i="24"/>
  <c r="FD52" i="24" s="1"/>
  <c r="T22" i="24"/>
  <c r="EJ22" i="24" s="1"/>
  <c r="EI22" i="24"/>
  <c r="AN37" i="24"/>
  <c r="FD37" i="24" s="1"/>
  <c r="FC37" i="24"/>
  <c r="AN72" i="24"/>
  <c r="FD72" i="24" s="1"/>
  <c r="FC72" i="24"/>
  <c r="AX67" i="24"/>
  <c r="FN67" i="24" s="1"/>
  <c r="FM67" i="24"/>
  <c r="BH67" i="24"/>
  <c r="FX67" i="24" s="1"/>
  <c r="FW67" i="24"/>
  <c r="FM12" i="24"/>
  <c r="AX12" i="24"/>
  <c r="FN12" i="24" s="1"/>
  <c r="AD67" i="24"/>
  <c r="ET67" i="24" s="1"/>
  <c r="ES67" i="24"/>
  <c r="EI42" i="24"/>
  <c r="T42" i="24"/>
  <c r="EJ42" i="24" s="1"/>
  <c r="BH27" i="24"/>
  <c r="FX27" i="24" s="1"/>
  <c r="FW27" i="24"/>
  <c r="A64" i="24"/>
  <c r="DX63" i="24"/>
  <c r="DY63" i="24"/>
  <c r="DZ63" i="24" s="1"/>
  <c r="DT63" i="24"/>
  <c r="DU63" i="24"/>
  <c r="DV63" i="24"/>
  <c r="DW63" i="24"/>
  <c r="DG63" i="24"/>
  <c r="DH63" i="24"/>
  <c r="DI63" i="24"/>
  <c r="DJ63" i="24"/>
  <c r="DQ63" i="24"/>
  <c r="DR63" i="24"/>
  <c r="DS63" i="24"/>
  <c r="DK63" i="24"/>
  <c r="DL63" i="24"/>
  <c r="DM63" i="24"/>
  <c r="DN63" i="24"/>
  <c r="CM63" i="24"/>
  <c r="CN63" i="24"/>
  <c r="CF63" i="24"/>
  <c r="CO63" i="24"/>
  <c r="CG63" i="24"/>
  <c r="CP63" i="24"/>
  <c r="CH63" i="24"/>
  <c r="CQ63" i="24"/>
  <c r="CR63" i="24"/>
  <c r="CS63" i="24"/>
  <c r="CT63" i="24"/>
  <c r="CU63" i="24"/>
  <c r="CV63" i="24" s="1"/>
  <c r="CC63" i="24"/>
  <c r="CD63" i="24"/>
  <c r="CE63" i="24"/>
  <c r="DO63" i="24"/>
  <c r="DP63" i="24" s="1"/>
  <c r="BN63" i="24"/>
  <c r="BO63" i="24"/>
  <c r="BP63" i="24"/>
  <c r="BQ63" i="24"/>
  <c r="BR63" i="24" s="1"/>
  <c r="BS63" i="24"/>
  <c r="BT63" i="24"/>
  <c r="BU63" i="24"/>
  <c r="CI63" i="24"/>
  <c r="BZ63" i="24"/>
  <c r="BJ63" i="24"/>
  <c r="CJ63" i="24"/>
  <c r="CA63" i="24"/>
  <c r="CB63" i="24" s="1"/>
  <c r="BK63" i="24"/>
  <c r="CK63" i="24"/>
  <c r="CL63" i="24" s="1"/>
  <c r="BL63" i="24"/>
  <c r="BM63" i="24"/>
  <c r="AY63" i="24"/>
  <c r="FO63" i="24" s="1"/>
  <c r="BV63" i="24"/>
  <c r="AZ63" i="24"/>
  <c r="FP63" i="24" s="1"/>
  <c r="AW63" i="24"/>
  <c r="BW63" i="24"/>
  <c r="BA63" i="24"/>
  <c r="FQ63" i="24" s="1"/>
  <c r="BX63" i="24"/>
  <c r="BB63" i="24"/>
  <c r="FR63" i="24" s="1"/>
  <c r="BY63" i="24"/>
  <c r="BC63" i="24"/>
  <c r="FS63" i="24" s="1"/>
  <c r="BD63" i="24"/>
  <c r="FT63" i="24" s="1"/>
  <c r="BE63" i="24"/>
  <c r="FU63" i="24" s="1"/>
  <c r="BF63" i="24"/>
  <c r="FV63" i="24" s="1"/>
  <c r="AE63" i="24"/>
  <c r="EU63" i="24" s="1"/>
  <c r="AS63" i="24"/>
  <c r="FI63" i="24" s="1"/>
  <c r="AI63" i="24"/>
  <c r="EY63" i="24" s="1"/>
  <c r="AT63" i="24"/>
  <c r="FJ63" i="24" s="1"/>
  <c r="AJ63" i="24"/>
  <c r="EZ63" i="24" s="1"/>
  <c r="AU63" i="24"/>
  <c r="FK63" i="24" s="1"/>
  <c r="AK63" i="24"/>
  <c r="FA63" i="24" s="1"/>
  <c r="AV63" i="24"/>
  <c r="FL63" i="24" s="1"/>
  <c r="AL63" i="24"/>
  <c r="FB63" i="24" s="1"/>
  <c r="AM63" i="24"/>
  <c r="U63" i="24"/>
  <c r="EK63" i="24" s="1"/>
  <c r="O63" i="24"/>
  <c r="EE63" i="24" s="1"/>
  <c r="BG63" i="24"/>
  <c r="V63" i="24"/>
  <c r="EL63" i="24" s="1"/>
  <c r="AH63" i="24"/>
  <c r="EX63" i="24" s="1"/>
  <c r="W63" i="24"/>
  <c r="EM63" i="24" s="1"/>
  <c r="X63" i="24"/>
  <c r="EN63" i="24" s="1"/>
  <c r="AO63" i="24"/>
  <c r="FE63" i="24" s="1"/>
  <c r="Y63" i="24"/>
  <c r="EO63" i="24" s="1"/>
  <c r="AG63" i="24"/>
  <c r="EW63" i="24" s="1"/>
  <c r="K63" i="24"/>
  <c r="EA63" i="24" s="1"/>
  <c r="M63" i="24"/>
  <c r="EC63" i="24" s="1"/>
  <c r="AP63" i="24"/>
  <c r="FF63" i="24" s="1"/>
  <c r="N63" i="24"/>
  <c r="ED63" i="24" s="1"/>
  <c r="Z63" i="24"/>
  <c r="EP63" i="24" s="1"/>
  <c r="L63" i="24"/>
  <c r="EB63" i="24" s="1"/>
  <c r="BI63" i="24"/>
  <c r="AR63" i="24"/>
  <c r="FH63" i="24" s="1"/>
  <c r="AA63" i="24"/>
  <c r="EQ63" i="24" s="1"/>
  <c r="AC63" i="24"/>
  <c r="AQ63" i="24"/>
  <c r="FG63" i="24" s="1"/>
  <c r="AB63" i="24"/>
  <c r="ER63" i="24" s="1"/>
  <c r="AF63" i="24"/>
  <c r="EV63" i="24" s="1"/>
  <c r="P63" i="24"/>
  <c r="EF63" i="24" s="1"/>
  <c r="S63" i="24"/>
  <c r="R63" i="24"/>
  <c r="EH63" i="24" s="1"/>
  <c r="Q63" i="24"/>
  <c r="EG63" i="24" s="1"/>
  <c r="T17" i="24"/>
  <c r="EJ17" i="24" s="1"/>
  <c r="EI17" i="24"/>
  <c r="AD37" i="24"/>
  <c r="ET37" i="24" s="1"/>
  <c r="ES37" i="24"/>
  <c r="A44" i="24"/>
  <c r="DX43" i="24"/>
  <c r="DY43" i="24"/>
  <c r="DZ43" i="24" s="1"/>
  <c r="DG43" i="24"/>
  <c r="DH43" i="24"/>
  <c r="DI43" i="24"/>
  <c r="DJ43" i="24"/>
  <c r="DT43" i="24"/>
  <c r="DU43" i="24"/>
  <c r="DV43" i="24"/>
  <c r="DW43" i="24"/>
  <c r="DK43" i="24"/>
  <c r="DL43" i="24"/>
  <c r="DM43" i="24"/>
  <c r="DN43" i="24"/>
  <c r="DO43" i="24"/>
  <c r="DP43" i="24" s="1"/>
  <c r="CM43" i="24"/>
  <c r="CF43" i="24"/>
  <c r="CG43" i="24"/>
  <c r="CH43" i="24"/>
  <c r="CI43" i="24"/>
  <c r="CJ43" i="24"/>
  <c r="CK43" i="24"/>
  <c r="CL43" i="24" s="1"/>
  <c r="CR43" i="24"/>
  <c r="CS43" i="24"/>
  <c r="CT43" i="24"/>
  <c r="CU43" i="24"/>
  <c r="CV43" i="24" s="1"/>
  <c r="DQ43" i="24"/>
  <c r="DR43" i="24"/>
  <c r="DS43" i="24"/>
  <c r="BN43" i="24"/>
  <c r="BO43" i="24"/>
  <c r="BP43" i="24"/>
  <c r="BQ43" i="24"/>
  <c r="BR43" i="24" s="1"/>
  <c r="BS43" i="24"/>
  <c r="BT43" i="24"/>
  <c r="BU43" i="24"/>
  <c r="AR43" i="24"/>
  <c r="FH43" i="24" s="1"/>
  <c r="AS43" i="24"/>
  <c r="FI43" i="24" s="1"/>
  <c r="AY43" i="24"/>
  <c r="FO43" i="24" s="1"/>
  <c r="CN43" i="24"/>
  <c r="CO43" i="24"/>
  <c r="CP43" i="24"/>
  <c r="CQ43" i="24"/>
  <c r="AO43" i="24"/>
  <c r="FE43" i="24" s="1"/>
  <c r="AP43" i="24"/>
  <c r="FF43" i="24" s="1"/>
  <c r="AQ43" i="24"/>
  <c r="FG43" i="24" s="1"/>
  <c r="AE43" i="24"/>
  <c r="EU43" i="24" s="1"/>
  <c r="BV43" i="24"/>
  <c r="AZ43" i="24"/>
  <c r="FP43" i="24" s="1"/>
  <c r="AF43" i="24"/>
  <c r="EV43" i="24" s="1"/>
  <c r="BW43" i="24"/>
  <c r="BA43" i="24"/>
  <c r="FQ43" i="24" s="1"/>
  <c r="AG43" i="24"/>
  <c r="EW43" i="24" s="1"/>
  <c r="BX43" i="24"/>
  <c r="BI43" i="24"/>
  <c r="BB43" i="24"/>
  <c r="FR43" i="24" s="1"/>
  <c r="AH43" i="24"/>
  <c r="EX43" i="24" s="1"/>
  <c r="BY43" i="24"/>
  <c r="BJ43" i="24"/>
  <c r="BC43" i="24"/>
  <c r="FS43" i="24" s="1"/>
  <c r="AT43" i="24"/>
  <c r="FJ43" i="24" s="1"/>
  <c r="AI43" i="24"/>
  <c r="EY43" i="24" s="1"/>
  <c r="U43" i="24"/>
  <c r="EK43" i="24" s="1"/>
  <c r="AC43" i="24"/>
  <c r="N43" i="24"/>
  <c r="ED43" i="24" s="1"/>
  <c r="V43" i="24"/>
  <c r="EL43" i="24" s="1"/>
  <c r="W43" i="24"/>
  <c r="EM43" i="24" s="1"/>
  <c r="CD43" i="24"/>
  <c r="X43" i="24"/>
  <c r="EN43" i="24" s="1"/>
  <c r="CC43" i="24"/>
  <c r="BK43" i="24"/>
  <c r="AU43" i="24"/>
  <c r="FK43" i="24" s="1"/>
  <c r="Y43" i="24"/>
  <c r="EO43" i="24" s="1"/>
  <c r="BL43" i="24"/>
  <c r="AV43" i="24"/>
  <c r="FL43" i="24" s="1"/>
  <c r="Z43" i="24"/>
  <c r="EP43" i="24" s="1"/>
  <c r="M43" i="24"/>
  <c r="EC43" i="24" s="1"/>
  <c r="BM43" i="24"/>
  <c r="AW43" i="24"/>
  <c r="AA43" i="24"/>
  <c r="EQ43" i="24" s="1"/>
  <c r="CE43" i="24"/>
  <c r="L43" i="24"/>
  <c r="EB43" i="24" s="1"/>
  <c r="AB43" i="24"/>
  <c r="ER43" i="24" s="1"/>
  <c r="K43" i="24"/>
  <c r="EA43" i="24" s="1"/>
  <c r="O43" i="24"/>
  <c r="EE43" i="24" s="1"/>
  <c r="BD43" i="24"/>
  <c r="FT43" i="24" s="1"/>
  <c r="AL43" i="24"/>
  <c r="FB43" i="24" s="1"/>
  <c r="Q43" i="24"/>
  <c r="EG43" i="24" s="1"/>
  <c r="BG43" i="24"/>
  <c r="P43" i="24"/>
  <c r="EF43" i="24" s="1"/>
  <c r="AK43" i="24"/>
  <c r="FA43" i="24" s="1"/>
  <c r="AM43" i="24"/>
  <c r="BE43" i="24"/>
  <c r="FU43" i="24" s="1"/>
  <c r="BF43" i="24"/>
  <c r="FV43" i="24" s="1"/>
  <c r="R43" i="24"/>
  <c r="EH43" i="24" s="1"/>
  <c r="AJ43" i="24"/>
  <c r="EZ43" i="24" s="1"/>
  <c r="S43" i="24"/>
  <c r="CA43" i="24"/>
  <c r="CB43" i="24" s="1"/>
  <c r="BZ43" i="24"/>
  <c r="A74" i="24"/>
  <c r="DQ73" i="24"/>
  <c r="DR73" i="24"/>
  <c r="DS73" i="24"/>
  <c r="DT73" i="24"/>
  <c r="DU73" i="24"/>
  <c r="DM73" i="24"/>
  <c r="DN73" i="24"/>
  <c r="DO73" i="24"/>
  <c r="DP73" i="24" s="1"/>
  <c r="DG73" i="24"/>
  <c r="DH73" i="24"/>
  <c r="CP73" i="24"/>
  <c r="CQ73" i="24"/>
  <c r="CR73" i="24"/>
  <c r="CS73" i="24"/>
  <c r="CT73" i="24"/>
  <c r="CU73" i="24"/>
  <c r="CV73" i="24" s="1"/>
  <c r="DV73" i="24"/>
  <c r="DW73" i="24"/>
  <c r="DX73" i="24"/>
  <c r="DY73" i="24"/>
  <c r="DZ73" i="24" s="1"/>
  <c r="DI73" i="24"/>
  <c r="CH73" i="24"/>
  <c r="DJ73" i="24"/>
  <c r="CI73" i="24"/>
  <c r="DK73" i="24"/>
  <c r="CJ73" i="24"/>
  <c r="DL73" i="24"/>
  <c r="CK73" i="24"/>
  <c r="CL73" i="24" s="1"/>
  <c r="BX73" i="24"/>
  <c r="BY73" i="24"/>
  <c r="BZ73" i="24"/>
  <c r="CA73" i="24"/>
  <c r="CB73" i="24" s="1"/>
  <c r="BI73" i="24"/>
  <c r="BJ73" i="24"/>
  <c r="BK73" i="24"/>
  <c r="BB73" i="24"/>
  <c r="FR73" i="24" s="1"/>
  <c r="BC73" i="24"/>
  <c r="FS73" i="24" s="1"/>
  <c r="BD73" i="24"/>
  <c r="FT73" i="24" s="1"/>
  <c r="BE73" i="24"/>
  <c r="FU73" i="24" s="1"/>
  <c r="BF73" i="24"/>
  <c r="FV73" i="24" s="1"/>
  <c r="CM73" i="24"/>
  <c r="BG73" i="24"/>
  <c r="CN73" i="24"/>
  <c r="CO73" i="24"/>
  <c r="CC73" i="24"/>
  <c r="AI73" i="24"/>
  <c r="EY73" i="24" s="1"/>
  <c r="AO73" i="24"/>
  <c r="FE73" i="24" s="1"/>
  <c r="AK73" i="24"/>
  <c r="FA73" i="24" s="1"/>
  <c r="AP73" i="24"/>
  <c r="FF73" i="24" s="1"/>
  <c r="AQ73" i="24"/>
  <c r="FG73" i="24" s="1"/>
  <c r="AR73" i="24"/>
  <c r="FH73" i="24" s="1"/>
  <c r="AS73" i="24"/>
  <c r="FI73" i="24" s="1"/>
  <c r="AM73" i="24"/>
  <c r="BS73" i="24"/>
  <c r="CD73" i="24"/>
  <c r="BT73" i="24"/>
  <c r="CE73" i="24"/>
  <c r="BU73" i="24"/>
  <c r="CF73" i="24"/>
  <c r="BV73" i="24"/>
  <c r="CG73" i="24"/>
  <c r="BW73" i="24"/>
  <c r="BL73" i="24"/>
  <c r="K73" i="24"/>
  <c r="EA73" i="24" s="1"/>
  <c r="V73" i="24"/>
  <c r="EL73" i="24" s="1"/>
  <c r="X73" i="24"/>
  <c r="EN73" i="24" s="1"/>
  <c r="BM73" i="24"/>
  <c r="AY73" i="24"/>
  <c r="FO73" i="24" s="1"/>
  <c r="L73" i="24"/>
  <c r="EB73" i="24" s="1"/>
  <c r="BN73" i="24"/>
  <c r="AZ73" i="24"/>
  <c r="FP73" i="24" s="1"/>
  <c r="M73" i="24"/>
  <c r="EC73" i="24" s="1"/>
  <c r="AV73" i="24"/>
  <c r="FL73" i="24" s="1"/>
  <c r="BO73" i="24"/>
  <c r="BA73" i="24"/>
  <c r="FQ73" i="24" s="1"/>
  <c r="N73" i="24"/>
  <c r="ED73" i="24" s="1"/>
  <c r="O73" i="24"/>
  <c r="EE73" i="24" s="1"/>
  <c r="AU73" i="24"/>
  <c r="FK73" i="24" s="1"/>
  <c r="AE73" i="24"/>
  <c r="EU73" i="24" s="1"/>
  <c r="AF73" i="24"/>
  <c r="EV73" i="24" s="1"/>
  <c r="BP73" i="24"/>
  <c r="Q73" i="24"/>
  <c r="EG73" i="24" s="1"/>
  <c r="U73" i="24"/>
  <c r="EK73" i="24" s="1"/>
  <c r="W73" i="24"/>
  <c r="EM73" i="24" s="1"/>
  <c r="BQ73" i="24"/>
  <c r="BR73" i="24" s="1"/>
  <c r="P73" i="24"/>
  <c r="EF73" i="24" s="1"/>
  <c r="AW73" i="24"/>
  <c r="Y73" i="24"/>
  <c r="EO73" i="24" s="1"/>
  <c r="R73" i="24"/>
  <c r="EH73" i="24" s="1"/>
  <c r="AT73" i="24"/>
  <c r="FJ73" i="24" s="1"/>
  <c r="S73" i="24"/>
  <c r="Z73" i="24"/>
  <c r="EP73" i="24" s="1"/>
  <c r="AB73" i="24"/>
  <c r="ER73" i="24" s="1"/>
  <c r="AC73" i="24"/>
  <c r="AG73" i="24"/>
  <c r="EW73" i="24" s="1"/>
  <c r="AA73" i="24"/>
  <c r="EQ73" i="24" s="1"/>
  <c r="AH73" i="24"/>
  <c r="EX73" i="24" s="1"/>
  <c r="AJ73" i="24"/>
  <c r="EZ73" i="24" s="1"/>
  <c r="AL73" i="24"/>
  <c r="FB73" i="24" s="1"/>
  <c r="D48" i="36" l="1"/>
  <c r="I48" i="36"/>
  <c r="S48" i="36"/>
  <c r="N48" i="36"/>
  <c r="X48" i="36"/>
  <c r="V34" i="36"/>
  <c r="R33" i="36"/>
  <c r="W33" i="36" s="1"/>
  <c r="L32" i="36"/>
  <c r="L34" i="36" s="1"/>
  <c r="ES38" i="24"/>
  <c r="AD38" i="24"/>
  <c r="ET38" i="24" s="1"/>
  <c r="AX13" i="24"/>
  <c r="FN13" i="24" s="1"/>
  <c r="FM13" i="24"/>
  <c r="EI23" i="24"/>
  <c r="T23" i="24"/>
  <c r="EJ23" i="24" s="1"/>
  <c r="DT19" i="24"/>
  <c r="DU19" i="24"/>
  <c r="DV19" i="24"/>
  <c r="DW19" i="24"/>
  <c r="DX19" i="24"/>
  <c r="DY19" i="24"/>
  <c r="DZ19" i="24" s="1"/>
  <c r="DQ19" i="24"/>
  <c r="DR19" i="24"/>
  <c r="DS19" i="24"/>
  <c r="DO19" i="24"/>
  <c r="DP19" i="24" s="1"/>
  <c r="DG19" i="24"/>
  <c r="DH19" i="24"/>
  <c r="DI19" i="24"/>
  <c r="DJ19" i="24"/>
  <c r="DK19" i="24"/>
  <c r="DL19" i="24"/>
  <c r="DM19" i="24"/>
  <c r="DN19" i="24"/>
  <c r="CC19" i="24"/>
  <c r="CD19" i="24"/>
  <c r="CM19" i="24"/>
  <c r="CE19" i="24"/>
  <c r="CN19" i="24"/>
  <c r="CF19" i="24"/>
  <c r="CO19" i="24"/>
  <c r="CG19" i="24"/>
  <c r="CP19" i="24"/>
  <c r="CH19" i="24"/>
  <c r="CQ19" i="24"/>
  <c r="CI19" i="24"/>
  <c r="CR19" i="24"/>
  <c r="CS19" i="24"/>
  <c r="CT19" i="24"/>
  <c r="CU19" i="24"/>
  <c r="CV19" i="24" s="1"/>
  <c r="CJ19" i="24"/>
  <c r="CK19" i="24"/>
  <c r="CL19" i="24" s="1"/>
  <c r="BJ19" i="24"/>
  <c r="BK19" i="24"/>
  <c r="BL19" i="24"/>
  <c r="BM19" i="24"/>
  <c r="BN19" i="24"/>
  <c r="BO19" i="24"/>
  <c r="BP19" i="24"/>
  <c r="BQ19" i="24"/>
  <c r="BR19" i="24" s="1"/>
  <c r="BV19" i="24"/>
  <c r="BW19" i="24"/>
  <c r="AO19" i="24"/>
  <c r="FE19" i="24" s="1"/>
  <c r="BX19" i="24"/>
  <c r="BY19" i="24"/>
  <c r="BI19" i="24"/>
  <c r="BZ19" i="24"/>
  <c r="CA19" i="24"/>
  <c r="CB19" i="24" s="1"/>
  <c r="AY19" i="24"/>
  <c r="FO19" i="24" s="1"/>
  <c r="AZ19" i="24"/>
  <c r="FP19" i="24" s="1"/>
  <c r="BA19" i="24"/>
  <c r="FQ19" i="24" s="1"/>
  <c r="BB19" i="24"/>
  <c r="FR19" i="24" s="1"/>
  <c r="AQ19" i="24"/>
  <c r="FG19" i="24" s="1"/>
  <c r="AJ19" i="24"/>
  <c r="EZ19" i="24" s="1"/>
  <c r="W19" i="24"/>
  <c r="EM19" i="24" s="1"/>
  <c r="BS19" i="24"/>
  <c r="BC19" i="24"/>
  <c r="FS19" i="24" s="1"/>
  <c r="AR19" i="24"/>
  <c r="FH19" i="24" s="1"/>
  <c r="AK19" i="24"/>
  <c r="FA19" i="24" s="1"/>
  <c r="X19" i="24"/>
  <c r="EN19" i="24" s="1"/>
  <c r="BT19" i="24"/>
  <c r="BD19" i="24"/>
  <c r="FT19" i="24" s="1"/>
  <c r="AS19" i="24"/>
  <c r="FI19" i="24" s="1"/>
  <c r="AL19" i="24"/>
  <c r="FB19" i="24" s="1"/>
  <c r="Y19" i="24"/>
  <c r="EO19" i="24" s="1"/>
  <c r="BU19" i="24"/>
  <c r="BE19" i="24"/>
  <c r="FU19" i="24" s="1"/>
  <c r="AT19" i="24"/>
  <c r="FJ19" i="24" s="1"/>
  <c r="AM19" i="24"/>
  <c r="Z19" i="24"/>
  <c r="EP19" i="24" s="1"/>
  <c r="BF19" i="24"/>
  <c r="FV19" i="24" s="1"/>
  <c r="AU19" i="24"/>
  <c r="FK19" i="24" s="1"/>
  <c r="AA19" i="24"/>
  <c r="EQ19" i="24" s="1"/>
  <c r="BG19" i="24"/>
  <c r="AV19" i="24"/>
  <c r="FL19" i="24" s="1"/>
  <c r="AB19" i="24"/>
  <c r="ER19" i="24" s="1"/>
  <c r="AW19" i="24"/>
  <c r="Q19" i="24"/>
  <c r="EG19" i="24" s="1"/>
  <c r="AE19" i="24"/>
  <c r="EU19" i="24" s="1"/>
  <c r="AC19" i="24"/>
  <c r="R19" i="24"/>
  <c r="EH19" i="24" s="1"/>
  <c r="V19" i="24"/>
  <c r="EL19" i="24" s="1"/>
  <c r="S19" i="24"/>
  <c r="U19" i="24"/>
  <c r="EK19" i="24" s="1"/>
  <c r="AP19" i="24"/>
  <c r="FF19" i="24" s="1"/>
  <c r="K19" i="24"/>
  <c r="EA19" i="24" s="1"/>
  <c r="AG19" i="24"/>
  <c r="EW19" i="24" s="1"/>
  <c r="AF19" i="24"/>
  <c r="EV19" i="24" s="1"/>
  <c r="AI19" i="24"/>
  <c r="EY19" i="24" s="1"/>
  <c r="M19" i="24"/>
  <c r="EC19" i="24" s="1"/>
  <c r="O19" i="24"/>
  <c r="EE19" i="24" s="1"/>
  <c r="L19" i="24"/>
  <c r="EB19" i="24" s="1"/>
  <c r="P19" i="24"/>
  <c r="EF19" i="24" s="1"/>
  <c r="N19" i="24"/>
  <c r="ED19" i="24" s="1"/>
  <c r="AH19" i="24"/>
  <c r="EX19" i="24" s="1"/>
  <c r="T33" i="24"/>
  <c r="EJ33" i="24" s="1"/>
  <c r="EI33" i="24"/>
  <c r="DY34" i="24"/>
  <c r="DZ34" i="24" s="1"/>
  <c r="DQ34" i="24"/>
  <c r="DR34" i="24"/>
  <c r="DS34" i="24"/>
  <c r="DT34" i="24"/>
  <c r="DG34" i="24"/>
  <c r="DU34" i="24"/>
  <c r="DH34" i="24"/>
  <c r="DV34" i="24"/>
  <c r="DI34" i="24"/>
  <c r="DW34" i="24"/>
  <c r="DJ34" i="24"/>
  <c r="DX34" i="24"/>
  <c r="DK34" i="24"/>
  <c r="CM34" i="24"/>
  <c r="CN34" i="24"/>
  <c r="CG34" i="24"/>
  <c r="CH34" i="24"/>
  <c r="CI34" i="24"/>
  <c r="CJ34" i="24"/>
  <c r="CO34" i="24"/>
  <c r="CK34" i="24"/>
  <c r="CL34" i="24" s="1"/>
  <c r="CP34" i="24"/>
  <c r="CQ34" i="24"/>
  <c r="CR34" i="24"/>
  <c r="CC34" i="24"/>
  <c r="CD34" i="24"/>
  <c r="CE34" i="24"/>
  <c r="CF34" i="24"/>
  <c r="BO34" i="24"/>
  <c r="BP34" i="24"/>
  <c r="BQ34" i="24"/>
  <c r="BR34" i="24" s="1"/>
  <c r="DL34" i="24"/>
  <c r="BS34" i="24"/>
  <c r="DM34" i="24"/>
  <c r="BT34" i="24"/>
  <c r="DN34" i="24"/>
  <c r="BU34" i="24"/>
  <c r="DO34" i="24"/>
  <c r="DP34" i="24" s="1"/>
  <c r="BV34" i="24"/>
  <c r="BW34" i="24"/>
  <c r="AS34" i="24"/>
  <c r="FI34" i="24" s="1"/>
  <c r="BX34" i="24"/>
  <c r="AT34" i="24"/>
  <c r="FJ34" i="24" s="1"/>
  <c r="BY34" i="24"/>
  <c r="BI34" i="24"/>
  <c r="BZ34" i="24"/>
  <c r="BJ34" i="24"/>
  <c r="CA34" i="24"/>
  <c r="CB34" i="24" s="1"/>
  <c r="BK34" i="24"/>
  <c r="BL34" i="24"/>
  <c r="BM34" i="24"/>
  <c r="AY34" i="24"/>
  <c r="FO34" i="24" s="1"/>
  <c r="BN34" i="24"/>
  <c r="AZ34" i="24"/>
  <c r="FP34" i="24" s="1"/>
  <c r="BA34" i="24"/>
  <c r="FQ34" i="24" s="1"/>
  <c r="BB34" i="24"/>
  <c r="FR34" i="24" s="1"/>
  <c r="BC34" i="24"/>
  <c r="FS34" i="24" s="1"/>
  <c r="AF34" i="24"/>
  <c r="EV34" i="24" s="1"/>
  <c r="AP34" i="24"/>
  <c r="FF34" i="24" s="1"/>
  <c r="AJ34" i="24"/>
  <c r="EZ34" i="24" s="1"/>
  <c r="AQ34" i="24"/>
  <c r="FG34" i="24" s="1"/>
  <c r="AK34" i="24"/>
  <c r="FA34" i="24" s="1"/>
  <c r="AR34" i="24"/>
  <c r="FH34" i="24" s="1"/>
  <c r="AL34" i="24"/>
  <c r="FB34" i="24" s="1"/>
  <c r="AU34" i="24"/>
  <c r="FK34" i="24" s="1"/>
  <c r="AM34" i="24"/>
  <c r="AV34" i="24"/>
  <c r="FL34" i="24" s="1"/>
  <c r="AW34" i="24"/>
  <c r="BG34" i="24"/>
  <c r="V34" i="24"/>
  <c r="EL34" i="24" s="1"/>
  <c r="W34" i="24"/>
  <c r="EM34" i="24" s="1"/>
  <c r="L34" i="24"/>
  <c r="EB34" i="24" s="1"/>
  <c r="N34" i="24"/>
  <c r="ED34" i="24" s="1"/>
  <c r="X34" i="24"/>
  <c r="EN34" i="24" s="1"/>
  <c r="Y34" i="24"/>
  <c r="EO34" i="24" s="1"/>
  <c r="K34" i="24"/>
  <c r="EA34" i="24" s="1"/>
  <c r="P34" i="24"/>
  <c r="EF34" i="24" s="1"/>
  <c r="CS34" i="24"/>
  <c r="Z34" i="24"/>
  <c r="EP34" i="24" s="1"/>
  <c r="CT34" i="24"/>
  <c r="AA34" i="24"/>
  <c r="EQ34" i="24" s="1"/>
  <c r="CU34" i="24"/>
  <c r="CV34" i="24" s="1"/>
  <c r="AB34" i="24"/>
  <c r="ER34" i="24" s="1"/>
  <c r="O34" i="24"/>
  <c r="EE34" i="24" s="1"/>
  <c r="AC34" i="24"/>
  <c r="M34" i="24"/>
  <c r="EC34" i="24" s="1"/>
  <c r="AI34" i="24"/>
  <c r="EY34" i="24" s="1"/>
  <c r="U34" i="24"/>
  <c r="EK34" i="24" s="1"/>
  <c r="Q34" i="24"/>
  <c r="EG34" i="24" s="1"/>
  <c r="R34" i="24"/>
  <c r="EH34" i="24" s="1"/>
  <c r="AG34" i="24"/>
  <c r="EW34" i="24" s="1"/>
  <c r="AH34" i="24"/>
  <c r="EX34" i="24" s="1"/>
  <c r="BD34" i="24"/>
  <c r="FT34" i="24" s="1"/>
  <c r="BE34" i="24"/>
  <c r="FU34" i="24" s="1"/>
  <c r="S34" i="24"/>
  <c r="AE34" i="24"/>
  <c r="EU34" i="24" s="1"/>
  <c r="BF34" i="24"/>
  <c r="FV34" i="24" s="1"/>
  <c r="AO34" i="24"/>
  <c r="FE34" i="24" s="1"/>
  <c r="DY54" i="24"/>
  <c r="DZ54" i="24" s="1"/>
  <c r="DG54" i="24"/>
  <c r="DH54" i="24"/>
  <c r="DI54" i="24"/>
  <c r="DJ54" i="24"/>
  <c r="DK54" i="24"/>
  <c r="DL54" i="24"/>
  <c r="DM54" i="24"/>
  <c r="DN54" i="24"/>
  <c r="DO54" i="24"/>
  <c r="DP54" i="24" s="1"/>
  <c r="DU54" i="24"/>
  <c r="DV54" i="24"/>
  <c r="DW54" i="24"/>
  <c r="DX54" i="24"/>
  <c r="CM54" i="24"/>
  <c r="CN54" i="24"/>
  <c r="DQ54" i="24"/>
  <c r="CG54" i="24"/>
  <c r="DR54" i="24"/>
  <c r="CH54" i="24"/>
  <c r="DS54" i="24"/>
  <c r="CI54" i="24"/>
  <c r="DT54" i="24"/>
  <c r="CC54" i="24"/>
  <c r="CD54" i="24"/>
  <c r="CE54" i="24"/>
  <c r="CF54" i="24"/>
  <c r="CJ54" i="24"/>
  <c r="CK54" i="24"/>
  <c r="CL54" i="24" s="1"/>
  <c r="CS54" i="24"/>
  <c r="BO54" i="24"/>
  <c r="CT54" i="24"/>
  <c r="BP54" i="24"/>
  <c r="CU54" i="24"/>
  <c r="CV54" i="24" s="1"/>
  <c r="BQ54" i="24"/>
  <c r="BR54" i="24" s="1"/>
  <c r="BS54" i="24"/>
  <c r="BT54" i="24"/>
  <c r="BU54" i="24"/>
  <c r="BV54" i="24"/>
  <c r="CO54" i="24"/>
  <c r="AS54" i="24"/>
  <c r="FI54" i="24" s="1"/>
  <c r="CP54" i="24"/>
  <c r="AT54" i="24"/>
  <c r="FJ54" i="24" s="1"/>
  <c r="CQ54" i="24"/>
  <c r="CR54" i="24"/>
  <c r="AY54" i="24"/>
  <c r="FO54" i="24" s="1"/>
  <c r="AZ54" i="24"/>
  <c r="FP54" i="24" s="1"/>
  <c r="BI54" i="24"/>
  <c r="AF54" i="24"/>
  <c r="EV54" i="24" s="1"/>
  <c r="BA54" i="24"/>
  <c r="FQ54" i="24" s="1"/>
  <c r="BW54" i="24"/>
  <c r="BB54" i="24"/>
  <c r="FR54" i="24" s="1"/>
  <c r="BX54" i="24"/>
  <c r="BC54" i="24"/>
  <c r="FS54" i="24" s="1"/>
  <c r="AO54" i="24"/>
  <c r="FE54" i="24" s="1"/>
  <c r="BY54" i="24"/>
  <c r="BD54" i="24"/>
  <c r="FT54" i="24" s="1"/>
  <c r="AP54" i="24"/>
  <c r="FF54" i="24" s="1"/>
  <c r="BZ54" i="24"/>
  <c r="BE54" i="24"/>
  <c r="FU54" i="24" s="1"/>
  <c r="AQ54" i="24"/>
  <c r="FG54" i="24" s="1"/>
  <c r="BN54" i="24"/>
  <c r="BF54" i="24"/>
  <c r="FV54" i="24" s="1"/>
  <c r="AR54" i="24"/>
  <c r="FH54" i="24" s="1"/>
  <c r="V54" i="24"/>
  <c r="EL54" i="24" s="1"/>
  <c r="AJ54" i="24"/>
  <c r="EZ54" i="24" s="1"/>
  <c r="BG54" i="24"/>
  <c r="AU54" i="24"/>
  <c r="FK54" i="24" s="1"/>
  <c r="W54" i="24"/>
  <c r="EM54" i="24" s="1"/>
  <c r="N54" i="24"/>
  <c r="ED54" i="24" s="1"/>
  <c r="O54" i="24"/>
  <c r="EE54" i="24" s="1"/>
  <c r="AV54" i="24"/>
  <c r="FL54" i="24" s="1"/>
  <c r="X54" i="24"/>
  <c r="EN54" i="24" s="1"/>
  <c r="AL54" i="24"/>
  <c r="FB54" i="24" s="1"/>
  <c r="M54" i="24"/>
  <c r="EC54" i="24" s="1"/>
  <c r="AW54" i="24"/>
  <c r="Y54" i="24"/>
  <c r="EO54" i="24" s="1"/>
  <c r="AK54" i="24"/>
  <c r="FA54" i="24" s="1"/>
  <c r="AM54" i="24"/>
  <c r="AE54" i="24"/>
  <c r="EU54" i="24" s="1"/>
  <c r="Z54" i="24"/>
  <c r="EP54" i="24" s="1"/>
  <c r="AG54" i="24"/>
  <c r="EW54" i="24" s="1"/>
  <c r="AA54" i="24"/>
  <c r="EQ54" i="24" s="1"/>
  <c r="CA54" i="24"/>
  <c r="CB54" i="24" s="1"/>
  <c r="P54" i="24"/>
  <c r="EF54" i="24" s="1"/>
  <c r="AH54" i="24"/>
  <c r="EX54" i="24" s="1"/>
  <c r="AB54" i="24"/>
  <c r="ER54" i="24" s="1"/>
  <c r="L54" i="24"/>
  <c r="EB54" i="24" s="1"/>
  <c r="AI54" i="24"/>
  <c r="EY54" i="24" s="1"/>
  <c r="AC54" i="24"/>
  <c r="K54" i="24"/>
  <c r="EA54" i="24" s="1"/>
  <c r="BK54" i="24"/>
  <c r="S54" i="24"/>
  <c r="U54" i="24"/>
  <c r="EK54" i="24" s="1"/>
  <c r="BL54" i="24"/>
  <c r="BM54" i="24"/>
  <c r="Q54" i="24"/>
  <c r="EG54" i="24" s="1"/>
  <c r="R54" i="24"/>
  <c r="EH54" i="24" s="1"/>
  <c r="BJ54" i="24"/>
  <c r="AX33" i="24"/>
  <c r="FN33" i="24" s="1"/>
  <c r="FM33" i="24"/>
  <c r="FC33" i="24"/>
  <c r="AN33" i="24"/>
  <c r="FD33" i="24" s="1"/>
  <c r="AD53" i="24"/>
  <c r="ET53" i="24" s="1"/>
  <c r="ES53" i="24"/>
  <c r="DT39" i="24"/>
  <c r="DU39" i="24"/>
  <c r="DV39" i="24"/>
  <c r="DW39" i="24"/>
  <c r="DX39" i="24"/>
  <c r="DY39" i="24"/>
  <c r="DZ39" i="24" s="1"/>
  <c r="DG39" i="24"/>
  <c r="DH39" i="24"/>
  <c r="DI39" i="24"/>
  <c r="DJ39" i="24"/>
  <c r="DK39" i="24"/>
  <c r="DQ39" i="24"/>
  <c r="DL39" i="24"/>
  <c r="DR39" i="24"/>
  <c r="DM39" i="24"/>
  <c r="DS39" i="24"/>
  <c r="DN39" i="24"/>
  <c r="DO39" i="24"/>
  <c r="DP39" i="24" s="1"/>
  <c r="CC39" i="24"/>
  <c r="CD39" i="24"/>
  <c r="CE39" i="24"/>
  <c r="CF39" i="24"/>
  <c r="CG39" i="24"/>
  <c r="CH39" i="24"/>
  <c r="CI39" i="24"/>
  <c r="CM39" i="24"/>
  <c r="CN39" i="24"/>
  <c r="CO39" i="24"/>
  <c r="CP39" i="24"/>
  <c r="CQ39" i="24"/>
  <c r="BJ39" i="24"/>
  <c r="BK39" i="24"/>
  <c r="BL39" i="24"/>
  <c r="BM39" i="24"/>
  <c r="BN39" i="24"/>
  <c r="BO39" i="24"/>
  <c r="BP39" i="24"/>
  <c r="BQ39" i="24"/>
  <c r="BR39" i="24" s="1"/>
  <c r="CR39" i="24"/>
  <c r="CS39" i="24"/>
  <c r="AO39" i="24"/>
  <c r="FE39" i="24" s="1"/>
  <c r="CT39" i="24"/>
  <c r="CU39" i="24"/>
  <c r="CV39" i="24" s="1"/>
  <c r="BS39" i="24"/>
  <c r="BT39" i="24"/>
  <c r="BU39" i="24"/>
  <c r="BV39" i="24"/>
  <c r="BW39" i="24"/>
  <c r="BX39" i="24"/>
  <c r="BY39" i="24"/>
  <c r="CJ39" i="24"/>
  <c r="BZ39" i="24"/>
  <c r="CK39" i="24"/>
  <c r="CL39" i="24" s="1"/>
  <c r="CA39" i="24"/>
  <c r="CB39" i="24" s="1"/>
  <c r="AL39" i="24"/>
  <c r="FB39" i="24" s="1"/>
  <c r="BI39" i="24"/>
  <c r="AM39" i="24"/>
  <c r="AP39" i="24"/>
  <c r="FF39" i="24" s="1"/>
  <c r="AQ39" i="24"/>
  <c r="FG39" i="24" s="1"/>
  <c r="AR39" i="24"/>
  <c r="FH39" i="24" s="1"/>
  <c r="AH39" i="24"/>
  <c r="EX39" i="24" s="1"/>
  <c r="Q39" i="24"/>
  <c r="EG39" i="24" s="1"/>
  <c r="BB39" i="24"/>
  <c r="FR39" i="24" s="1"/>
  <c r="AT39" i="24"/>
  <c r="FJ39" i="24" s="1"/>
  <c r="AU39" i="24"/>
  <c r="FK39" i="24" s="1"/>
  <c r="AI39" i="24"/>
  <c r="EY39" i="24" s="1"/>
  <c r="R39" i="24"/>
  <c r="EH39" i="24" s="1"/>
  <c r="Z39" i="24"/>
  <c r="EP39" i="24" s="1"/>
  <c r="AB39" i="24"/>
  <c r="ER39" i="24" s="1"/>
  <c r="AJ39" i="24"/>
  <c r="EZ39" i="24" s="1"/>
  <c r="S39" i="24"/>
  <c r="Y39" i="24"/>
  <c r="EO39" i="24" s="1"/>
  <c r="AK39" i="24"/>
  <c r="FA39" i="24" s="1"/>
  <c r="BG39" i="24"/>
  <c r="U39" i="24"/>
  <c r="EK39" i="24" s="1"/>
  <c r="K39" i="24"/>
  <c r="EA39" i="24" s="1"/>
  <c r="AV39" i="24"/>
  <c r="FL39" i="24" s="1"/>
  <c r="V39" i="24"/>
  <c r="EL39" i="24" s="1"/>
  <c r="BC39" i="24"/>
  <c r="FS39" i="24" s="1"/>
  <c r="BD39" i="24"/>
  <c r="FT39" i="24" s="1"/>
  <c r="AS39" i="24"/>
  <c r="FI39" i="24" s="1"/>
  <c r="AY39" i="24"/>
  <c r="FO39" i="24" s="1"/>
  <c r="W39" i="24"/>
  <c r="EM39" i="24" s="1"/>
  <c r="AC39" i="24"/>
  <c r="AZ39" i="24"/>
  <c r="FP39" i="24" s="1"/>
  <c r="X39" i="24"/>
  <c r="EN39" i="24" s="1"/>
  <c r="BA39" i="24"/>
  <c r="FQ39" i="24" s="1"/>
  <c r="AA39" i="24"/>
  <c r="EQ39" i="24" s="1"/>
  <c r="BE39" i="24"/>
  <c r="FU39" i="24" s="1"/>
  <c r="BF39" i="24"/>
  <c r="FV39" i="24" s="1"/>
  <c r="L39" i="24"/>
  <c r="EB39" i="24" s="1"/>
  <c r="AG39" i="24"/>
  <c r="EW39" i="24" s="1"/>
  <c r="M39" i="24"/>
  <c r="EC39" i="24" s="1"/>
  <c r="O39" i="24"/>
  <c r="EE39" i="24" s="1"/>
  <c r="P39" i="24"/>
  <c r="EF39" i="24" s="1"/>
  <c r="AE39" i="24"/>
  <c r="EU39" i="24" s="1"/>
  <c r="AF39" i="24"/>
  <c r="EV39" i="24" s="1"/>
  <c r="N39" i="24"/>
  <c r="ED39" i="24" s="1"/>
  <c r="AW39" i="24"/>
  <c r="BH58" i="24"/>
  <c r="FX58" i="24" s="1"/>
  <c r="FW58" i="24"/>
  <c r="FC13" i="24"/>
  <c r="AN13" i="24"/>
  <c r="FD13" i="24" s="1"/>
  <c r="BH23" i="24"/>
  <c r="FX23" i="24" s="1"/>
  <c r="FW23" i="24"/>
  <c r="AN53" i="24"/>
  <c r="FD53" i="24" s="1"/>
  <c r="FC53" i="24"/>
  <c r="FC38" i="24"/>
  <c r="AN38" i="24"/>
  <c r="FD38" i="24" s="1"/>
  <c r="BH43" i="24"/>
  <c r="FX43" i="24" s="1"/>
  <c r="FW43" i="24"/>
  <c r="AN58" i="24"/>
  <c r="FD58" i="24" s="1"/>
  <c r="FC58" i="24"/>
  <c r="FM73" i="24"/>
  <c r="AX73" i="24"/>
  <c r="FN73" i="24" s="1"/>
  <c r="AD48" i="24"/>
  <c r="ET48" i="24" s="1"/>
  <c r="ES48" i="24"/>
  <c r="AX23" i="24"/>
  <c r="FN23" i="24" s="1"/>
  <c r="FM23" i="24"/>
  <c r="BH73" i="24"/>
  <c r="FX73" i="24" s="1"/>
  <c r="FW73" i="24"/>
  <c r="AD33" i="24"/>
  <c r="ET33" i="24" s="1"/>
  <c r="ES33" i="24"/>
  <c r="AD28" i="24"/>
  <c r="ET28" i="24" s="1"/>
  <c r="ES28" i="24"/>
  <c r="DT59" i="24"/>
  <c r="DU59" i="24"/>
  <c r="DV59" i="24"/>
  <c r="DW59" i="24"/>
  <c r="DX59" i="24"/>
  <c r="DY59" i="24"/>
  <c r="DZ59" i="24" s="1"/>
  <c r="DK59" i="24"/>
  <c r="CN59" i="24"/>
  <c r="DL59" i="24"/>
  <c r="CO59" i="24"/>
  <c r="CC59" i="24"/>
  <c r="DM59" i="24"/>
  <c r="CP59" i="24"/>
  <c r="CD59" i="24"/>
  <c r="DN59" i="24"/>
  <c r="CQ59" i="24"/>
  <c r="DO59" i="24"/>
  <c r="DP59" i="24" s="1"/>
  <c r="CR59" i="24"/>
  <c r="DQ59" i="24"/>
  <c r="CS59" i="24"/>
  <c r="DR59" i="24"/>
  <c r="CT59" i="24"/>
  <c r="CH59" i="24"/>
  <c r="DS59" i="24"/>
  <c r="CU59" i="24"/>
  <c r="CV59" i="24" s="1"/>
  <c r="CJ59" i="24"/>
  <c r="CK59" i="24"/>
  <c r="CL59" i="24" s="1"/>
  <c r="DG59" i="24"/>
  <c r="DH59" i="24"/>
  <c r="DI59" i="24"/>
  <c r="DJ59" i="24"/>
  <c r="BJ59" i="24"/>
  <c r="BK59" i="24"/>
  <c r="BL59" i="24"/>
  <c r="BM59" i="24"/>
  <c r="BN59" i="24"/>
  <c r="BO59" i="24"/>
  <c r="BP59" i="24"/>
  <c r="CM59" i="24"/>
  <c r="BQ59" i="24"/>
  <c r="BR59" i="24" s="1"/>
  <c r="BZ59" i="24"/>
  <c r="CA59" i="24"/>
  <c r="CB59" i="24" s="1"/>
  <c r="AZ59" i="24"/>
  <c r="FP59" i="24" s="1"/>
  <c r="AS59" i="24"/>
  <c r="FI59" i="24" s="1"/>
  <c r="BA59" i="24"/>
  <c r="FQ59" i="24" s="1"/>
  <c r="AT59" i="24"/>
  <c r="FJ59" i="24" s="1"/>
  <c r="BB59" i="24"/>
  <c r="FR59" i="24" s="1"/>
  <c r="AU59" i="24"/>
  <c r="FK59" i="24" s="1"/>
  <c r="BC59" i="24"/>
  <c r="FS59" i="24" s="1"/>
  <c r="AV59" i="24"/>
  <c r="FL59" i="24" s="1"/>
  <c r="BD59" i="24"/>
  <c r="FT59" i="24" s="1"/>
  <c r="AW59" i="24"/>
  <c r="BS59" i="24"/>
  <c r="BE59" i="24"/>
  <c r="FU59" i="24" s="1"/>
  <c r="BT59" i="24"/>
  <c r="BF59" i="24"/>
  <c r="FV59" i="24" s="1"/>
  <c r="BU59" i="24"/>
  <c r="BI59" i="24"/>
  <c r="AY59" i="24"/>
  <c r="FO59" i="24" s="1"/>
  <c r="BG59" i="24"/>
  <c r="AE59" i="24"/>
  <c r="EU59" i="24" s="1"/>
  <c r="AF59" i="24"/>
  <c r="EV59" i="24" s="1"/>
  <c r="AQ59" i="24"/>
  <c r="FG59" i="24" s="1"/>
  <c r="Q59" i="24"/>
  <c r="EG59" i="24" s="1"/>
  <c r="Z59" i="24"/>
  <c r="EP59" i="24" s="1"/>
  <c r="AI59" i="24"/>
  <c r="EY59" i="24" s="1"/>
  <c r="AM59" i="24"/>
  <c r="AR59" i="24"/>
  <c r="FH59" i="24" s="1"/>
  <c r="R59" i="24"/>
  <c r="EH59" i="24" s="1"/>
  <c r="AG59" i="24"/>
  <c r="EW59" i="24" s="1"/>
  <c r="Y59" i="24"/>
  <c r="EO59" i="24" s="1"/>
  <c r="AB59" i="24"/>
  <c r="ER59" i="24" s="1"/>
  <c r="AK59" i="24"/>
  <c r="FA59" i="24" s="1"/>
  <c r="S59" i="24"/>
  <c r="AJ59" i="24"/>
  <c r="EZ59" i="24" s="1"/>
  <c r="AC59" i="24"/>
  <c r="U59" i="24"/>
  <c r="EK59" i="24" s="1"/>
  <c r="AL59" i="24"/>
  <c r="FB59" i="24" s="1"/>
  <c r="V59" i="24"/>
  <c r="EL59" i="24" s="1"/>
  <c r="AH59" i="24"/>
  <c r="EX59" i="24" s="1"/>
  <c r="W59" i="24"/>
  <c r="EM59" i="24" s="1"/>
  <c r="X59" i="24"/>
  <c r="EN59" i="24" s="1"/>
  <c r="AA59" i="24"/>
  <c r="EQ59" i="24" s="1"/>
  <c r="K59" i="24"/>
  <c r="EA59" i="24" s="1"/>
  <c r="CF59" i="24"/>
  <c r="N59" i="24"/>
  <c r="ED59" i="24" s="1"/>
  <c r="BX59" i="24"/>
  <c r="CG59" i="24"/>
  <c r="O59" i="24"/>
  <c r="EE59" i="24" s="1"/>
  <c r="L59" i="24"/>
  <c r="EB59" i="24" s="1"/>
  <c r="CI59" i="24"/>
  <c r="P59" i="24"/>
  <c r="EF59" i="24" s="1"/>
  <c r="AP59" i="24"/>
  <c r="FF59" i="24" s="1"/>
  <c r="CE59" i="24"/>
  <c r="BV59" i="24"/>
  <c r="M59" i="24"/>
  <c r="EC59" i="24" s="1"/>
  <c r="BY59" i="24"/>
  <c r="AO59" i="24"/>
  <c r="FE59" i="24" s="1"/>
  <c r="BW59" i="24"/>
  <c r="AD63" i="24"/>
  <c r="ET63" i="24" s="1"/>
  <c r="ES63" i="24"/>
  <c r="BH68" i="24"/>
  <c r="FX68" i="24" s="1"/>
  <c r="FW68" i="24"/>
  <c r="AX38" i="24"/>
  <c r="FN38" i="24" s="1"/>
  <c r="FM38" i="24"/>
  <c r="ES43" i="24"/>
  <c r="AD43" i="24"/>
  <c r="ET43" i="24" s="1"/>
  <c r="AD18" i="24"/>
  <c r="ET18" i="24" s="1"/>
  <c r="ES18" i="24"/>
  <c r="AN68" i="24"/>
  <c r="FD68" i="24" s="1"/>
  <c r="FC68" i="24"/>
  <c r="EI38" i="24"/>
  <c r="T38" i="24"/>
  <c r="EJ38" i="24" s="1"/>
  <c r="AD58" i="24"/>
  <c r="ET58" i="24" s="1"/>
  <c r="ES58" i="24"/>
  <c r="BH13" i="24"/>
  <c r="FX13" i="24" s="1"/>
  <c r="FW13" i="24"/>
  <c r="DQ69" i="24"/>
  <c r="DI69" i="24"/>
  <c r="DJ69" i="24"/>
  <c r="DK69" i="24"/>
  <c r="DL69" i="24"/>
  <c r="DM69" i="24"/>
  <c r="DN69" i="24"/>
  <c r="DO69" i="24"/>
  <c r="DP69" i="24" s="1"/>
  <c r="DR69" i="24"/>
  <c r="DS69" i="24"/>
  <c r="DT69" i="24"/>
  <c r="DU69" i="24"/>
  <c r="DV69" i="24"/>
  <c r="DW69" i="24"/>
  <c r="DX69" i="24"/>
  <c r="DG69" i="24"/>
  <c r="DY69" i="24"/>
  <c r="DZ69" i="24" s="1"/>
  <c r="DH69" i="24"/>
  <c r="CM69" i="24"/>
  <c r="CN69" i="24"/>
  <c r="CO69" i="24"/>
  <c r="CP69" i="24"/>
  <c r="CQ69" i="24"/>
  <c r="CR69" i="24"/>
  <c r="CS69" i="24"/>
  <c r="CT69" i="24"/>
  <c r="CU69" i="24"/>
  <c r="CV69" i="24" s="1"/>
  <c r="CC69" i="24"/>
  <c r="BT69" i="24"/>
  <c r="BU69" i="24"/>
  <c r="BV69" i="24"/>
  <c r="BW69" i="24"/>
  <c r="BX69" i="24"/>
  <c r="BY69" i="24"/>
  <c r="BZ69" i="24"/>
  <c r="CA69" i="24"/>
  <c r="CB69" i="24" s="1"/>
  <c r="CH69" i="24"/>
  <c r="CI69" i="24"/>
  <c r="AY69" i="24"/>
  <c r="FO69" i="24" s="1"/>
  <c r="CJ69" i="24"/>
  <c r="AZ69" i="24"/>
  <c r="FP69" i="24" s="1"/>
  <c r="CK69" i="24"/>
  <c r="CL69" i="24" s="1"/>
  <c r="BA69" i="24"/>
  <c r="FQ69" i="24" s="1"/>
  <c r="BB69" i="24"/>
  <c r="FR69" i="24" s="1"/>
  <c r="BC69" i="24"/>
  <c r="FS69" i="24" s="1"/>
  <c r="BD69" i="24"/>
  <c r="FT69" i="24" s="1"/>
  <c r="BE69" i="24"/>
  <c r="FU69" i="24" s="1"/>
  <c r="BP69" i="24"/>
  <c r="AE69" i="24"/>
  <c r="EU69" i="24" s="1"/>
  <c r="BQ69" i="24"/>
  <c r="BR69" i="24" s="1"/>
  <c r="AG69" i="24"/>
  <c r="EW69" i="24" s="1"/>
  <c r="AO69" i="24"/>
  <c r="FE69" i="24" s="1"/>
  <c r="AK69" i="24"/>
  <c r="FA69" i="24" s="1"/>
  <c r="CD69" i="24"/>
  <c r="BI69" i="24"/>
  <c r="BG69" i="24"/>
  <c r="CE69" i="24"/>
  <c r="BJ69" i="24"/>
  <c r="CF69" i="24"/>
  <c r="BK69" i="24"/>
  <c r="CG69" i="24"/>
  <c r="BL69" i="24"/>
  <c r="BM69" i="24"/>
  <c r="AF69" i="24"/>
  <c r="EV69" i="24" s="1"/>
  <c r="BN69" i="24"/>
  <c r="AH69" i="24"/>
  <c r="EX69" i="24" s="1"/>
  <c r="BO69" i="24"/>
  <c r="AI69" i="24"/>
  <c r="EY69" i="24" s="1"/>
  <c r="AJ69" i="24"/>
  <c r="EZ69" i="24" s="1"/>
  <c r="AA69" i="24"/>
  <c r="EQ69" i="24" s="1"/>
  <c r="AB69" i="24"/>
  <c r="ER69" i="24" s="1"/>
  <c r="P69" i="24"/>
  <c r="EF69" i="24" s="1"/>
  <c r="Q69" i="24"/>
  <c r="EG69" i="24" s="1"/>
  <c r="AC69" i="24"/>
  <c r="AS69" i="24"/>
  <c r="FI69" i="24" s="1"/>
  <c r="K69" i="24"/>
  <c r="EA69" i="24" s="1"/>
  <c r="O69" i="24"/>
  <c r="EE69" i="24" s="1"/>
  <c r="BF69" i="24"/>
  <c r="FV69" i="24" s="1"/>
  <c r="V69" i="24"/>
  <c r="EL69" i="24" s="1"/>
  <c r="AQ69" i="24"/>
  <c r="FG69" i="24" s="1"/>
  <c r="L69" i="24"/>
  <c r="EB69" i="24" s="1"/>
  <c r="AP69" i="24"/>
  <c r="FF69" i="24" s="1"/>
  <c r="BS69" i="24"/>
  <c r="AT69" i="24"/>
  <c r="FJ69" i="24" s="1"/>
  <c r="M69" i="24"/>
  <c r="EC69" i="24" s="1"/>
  <c r="AR69" i="24"/>
  <c r="FH69" i="24" s="1"/>
  <c r="S69" i="24"/>
  <c r="N69" i="24"/>
  <c r="ED69" i="24" s="1"/>
  <c r="R69" i="24"/>
  <c r="EH69" i="24" s="1"/>
  <c r="U69" i="24"/>
  <c r="EK69" i="24" s="1"/>
  <c r="AU69" i="24"/>
  <c r="FK69" i="24" s="1"/>
  <c r="AW69" i="24"/>
  <c r="AM69" i="24"/>
  <c r="AV69" i="24"/>
  <c r="FL69" i="24" s="1"/>
  <c r="W69" i="24"/>
  <c r="EM69" i="24" s="1"/>
  <c r="X69" i="24"/>
  <c r="EN69" i="24" s="1"/>
  <c r="Y69" i="24"/>
  <c r="EO69" i="24" s="1"/>
  <c r="Z69" i="24"/>
  <c r="EP69" i="24" s="1"/>
  <c r="AL69" i="24"/>
  <c r="FB69" i="24" s="1"/>
  <c r="DY14" i="24"/>
  <c r="DZ14" i="24" s="1"/>
  <c r="DG14" i="24"/>
  <c r="DH14" i="24"/>
  <c r="DI14" i="24"/>
  <c r="DJ14" i="24"/>
  <c r="DK14" i="24"/>
  <c r="DQ14" i="24"/>
  <c r="DR14" i="24"/>
  <c r="DS14" i="24"/>
  <c r="DT14" i="24"/>
  <c r="DU14" i="24"/>
  <c r="DV14" i="24"/>
  <c r="DW14" i="24"/>
  <c r="DX14" i="24"/>
  <c r="DL14" i="24"/>
  <c r="DM14" i="24"/>
  <c r="DN14" i="24"/>
  <c r="CM14" i="24"/>
  <c r="DO14" i="24"/>
  <c r="DP14" i="24" s="1"/>
  <c r="CN14" i="24"/>
  <c r="CS14" i="24"/>
  <c r="CG14" i="24"/>
  <c r="CT14" i="24"/>
  <c r="CH14" i="24"/>
  <c r="CU14" i="24"/>
  <c r="CV14" i="24" s="1"/>
  <c r="CI14" i="24"/>
  <c r="CJ14" i="24"/>
  <c r="CK14" i="24"/>
  <c r="CL14" i="24" s="1"/>
  <c r="CO14" i="24"/>
  <c r="CP14" i="24"/>
  <c r="CQ14" i="24"/>
  <c r="CR14" i="24"/>
  <c r="BO14" i="24"/>
  <c r="BP14" i="24"/>
  <c r="BQ14" i="24"/>
  <c r="BR14" i="24" s="1"/>
  <c r="BS14" i="24"/>
  <c r="BT14" i="24"/>
  <c r="BU14" i="24"/>
  <c r="BV14" i="24"/>
  <c r="CC14" i="24"/>
  <c r="AS14" i="24"/>
  <c r="FI14" i="24" s="1"/>
  <c r="CD14" i="24"/>
  <c r="AT14" i="24"/>
  <c r="FJ14" i="24" s="1"/>
  <c r="CE14" i="24"/>
  <c r="CF14" i="24"/>
  <c r="AY14" i="24"/>
  <c r="FO14" i="24" s="1"/>
  <c r="AZ14" i="24"/>
  <c r="FP14" i="24" s="1"/>
  <c r="BW14" i="24"/>
  <c r="BK14" i="24"/>
  <c r="BE14" i="24"/>
  <c r="FU14" i="24" s="1"/>
  <c r="BX14" i="24"/>
  <c r="BL14" i="24"/>
  <c r="BF14" i="24"/>
  <c r="FV14" i="24" s="1"/>
  <c r="BY14" i="24"/>
  <c r="BM14" i="24"/>
  <c r="BG14" i="24"/>
  <c r="AF14" i="24"/>
  <c r="EV14" i="24" s="1"/>
  <c r="BZ14" i="24"/>
  <c r="BN14" i="24"/>
  <c r="CA14" i="24"/>
  <c r="CB14" i="24" s="1"/>
  <c r="AJ14" i="24"/>
  <c r="EZ14" i="24" s="1"/>
  <c r="AB14" i="24"/>
  <c r="ER14" i="24" s="1"/>
  <c r="AC14" i="24"/>
  <c r="BA14" i="24"/>
  <c r="FQ14" i="24" s="1"/>
  <c r="BB14" i="24"/>
  <c r="FR14" i="24" s="1"/>
  <c r="BC14" i="24"/>
  <c r="FS14" i="24" s="1"/>
  <c r="BD14" i="24"/>
  <c r="FT14" i="24" s="1"/>
  <c r="AK14" i="24"/>
  <c r="FA14" i="24" s="1"/>
  <c r="N14" i="24"/>
  <c r="ED14" i="24" s="1"/>
  <c r="AL14" i="24"/>
  <c r="FB14" i="24" s="1"/>
  <c r="K14" i="24"/>
  <c r="EA14" i="24" s="1"/>
  <c r="AM14" i="24"/>
  <c r="U14" i="24"/>
  <c r="EK14" i="24" s="1"/>
  <c r="BJ14" i="24"/>
  <c r="L14" i="24"/>
  <c r="EB14" i="24" s="1"/>
  <c r="P14" i="24"/>
  <c r="EF14" i="24" s="1"/>
  <c r="V14" i="24"/>
  <c r="EL14" i="24" s="1"/>
  <c r="BI14" i="24"/>
  <c r="O14" i="24"/>
  <c r="EE14" i="24" s="1"/>
  <c r="W14" i="24"/>
  <c r="EM14" i="24" s="1"/>
  <c r="AA14" i="24"/>
  <c r="EQ14" i="24" s="1"/>
  <c r="X14" i="24"/>
  <c r="EN14" i="24" s="1"/>
  <c r="AP14" i="24"/>
  <c r="FF14" i="24" s="1"/>
  <c r="Y14" i="24"/>
  <c r="EO14" i="24" s="1"/>
  <c r="AO14" i="24"/>
  <c r="FE14" i="24" s="1"/>
  <c r="Z14" i="24"/>
  <c r="EP14" i="24" s="1"/>
  <c r="M14" i="24"/>
  <c r="EC14" i="24" s="1"/>
  <c r="AQ14" i="24"/>
  <c r="FG14" i="24" s="1"/>
  <c r="S14" i="24"/>
  <c r="AI14" i="24"/>
  <c r="EY14" i="24" s="1"/>
  <c r="AR14" i="24"/>
  <c r="FH14" i="24" s="1"/>
  <c r="AU14" i="24"/>
  <c r="FK14" i="24" s="1"/>
  <c r="AE14" i="24"/>
  <c r="EU14" i="24" s="1"/>
  <c r="AV14" i="24"/>
  <c r="FL14" i="24" s="1"/>
  <c r="AW14" i="24"/>
  <c r="AH14" i="24"/>
  <c r="EX14" i="24" s="1"/>
  <c r="AG14" i="24"/>
  <c r="EW14" i="24" s="1"/>
  <c r="Q14" i="24"/>
  <c r="EG14" i="24" s="1"/>
  <c r="R14" i="24"/>
  <c r="EH14" i="24" s="1"/>
  <c r="AD68" i="24"/>
  <c r="ET68" i="24" s="1"/>
  <c r="ES68" i="24"/>
  <c r="DQ44" i="24"/>
  <c r="DR44" i="24"/>
  <c r="DS44" i="24"/>
  <c r="DT44" i="24"/>
  <c r="DU44" i="24"/>
  <c r="DV44" i="24"/>
  <c r="DN44" i="24"/>
  <c r="DO44" i="24"/>
  <c r="DP44" i="24" s="1"/>
  <c r="DW44" i="24"/>
  <c r="DX44" i="24"/>
  <c r="DY44" i="24"/>
  <c r="DZ44" i="24" s="1"/>
  <c r="CQ44" i="24"/>
  <c r="DG44" i="24"/>
  <c r="CR44" i="24"/>
  <c r="DH44" i="24"/>
  <c r="CS44" i="24"/>
  <c r="DI44" i="24"/>
  <c r="CT44" i="24"/>
  <c r="DJ44" i="24"/>
  <c r="CU44" i="24"/>
  <c r="CV44" i="24" s="1"/>
  <c r="DK44" i="24"/>
  <c r="DL44" i="24"/>
  <c r="DM44" i="24"/>
  <c r="CM44" i="24"/>
  <c r="CN44" i="24"/>
  <c r="CO44" i="24"/>
  <c r="CP44" i="24"/>
  <c r="CC44" i="24"/>
  <c r="CD44" i="24"/>
  <c r="CI44" i="24"/>
  <c r="CJ44" i="24"/>
  <c r="CK44" i="24"/>
  <c r="CL44" i="24" s="1"/>
  <c r="BY44" i="24"/>
  <c r="BZ44" i="24"/>
  <c r="CA44" i="24"/>
  <c r="CB44" i="24" s="1"/>
  <c r="BI44" i="24"/>
  <c r="BJ44" i="24"/>
  <c r="BK44" i="24"/>
  <c r="BL44" i="24"/>
  <c r="BQ44" i="24"/>
  <c r="BR44" i="24" s="1"/>
  <c r="BC44" i="24"/>
  <c r="FS44" i="24" s="1"/>
  <c r="BD44" i="24"/>
  <c r="FT44" i="24" s="1"/>
  <c r="BE44" i="24"/>
  <c r="FU44" i="24" s="1"/>
  <c r="BF44" i="24"/>
  <c r="FV44" i="24" s="1"/>
  <c r="BG44" i="24"/>
  <c r="BU44" i="24"/>
  <c r="AY44" i="24"/>
  <c r="FO44" i="24" s="1"/>
  <c r="AJ44" i="24"/>
  <c r="EZ44" i="24" s="1"/>
  <c r="BV44" i="24"/>
  <c r="AZ44" i="24"/>
  <c r="FP44" i="24" s="1"/>
  <c r="BW44" i="24"/>
  <c r="BA44" i="24"/>
  <c r="FQ44" i="24" s="1"/>
  <c r="AL44" i="24"/>
  <c r="FB44" i="24" s="1"/>
  <c r="BX44" i="24"/>
  <c r="BB44" i="24"/>
  <c r="FR44" i="24" s="1"/>
  <c r="CE44" i="24"/>
  <c r="CF44" i="24"/>
  <c r="CG44" i="24"/>
  <c r="CH44" i="24"/>
  <c r="AE44" i="24"/>
  <c r="EU44" i="24" s="1"/>
  <c r="L44" i="24"/>
  <c r="EB44" i="24" s="1"/>
  <c r="AQ44" i="24"/>
  <c r="FG44" i="24" s="1"/>
  <c r="AW44" i="24"/>
  <c r="AF44" i="24"/>
  <c r="EV44" i="24" s="1"/>
  <c r="M44" i="24"/>
  <c r="EC44" i="24" s="1"/>
  <c r="V44" i="24"/>
  <c r="EL44" i="24" s="1"/>
  <c r="AG44" i="24"/>
  <c r="EW44" i="24" s="1"/>
  <c r="N44" i="24"/>
  <c r="ED44" i="24" s="1"/>
  <c r="AT44" i="24"/>
  <c r="FJ44" i="24" s="1"/>
  <c r="X44" i="24"/>
  <c r="EN44" i="24" s="1"/>
  <c r="AV44" i="24"/>
  <c r="FL44" i="24" s="1"/>
  <c r="AA44" i="24"/>
  <c r="EQ44" i="24" s="1"/>
  <c r="AH44" i="24"/>
  <c r="EX44" i="24" s="1"/>
  <c r="O44" i="24"/>
  <c r="EE44" i="24" s="1"/>
  <c r="R44" i="24"/>
  <c r="EH44" i="24" s="1"/>
  <c r="BO44" i="24"/>
  <c r="AS44" i="24"/>
  <c r="FI44" i="24" s="1"/>
  <c r="Y44" i="24"/>
  <c r="EO44" i="24" s="1"/>
  <c r="Z44" i="24"/>
  <c r="EP44" i="24" s="1"/>
  <c r="AI44" i="24"/>
  <c r="EY44" i="24" s="1"/>
  <c r="P44" i="24"/>
  <c r="EF44" i="24" s="1"/>
  <c r="AK44" i="24"/>
  <c r="FA44" i="24" s="1"/>
  <c r="Q44" i="24"/>
  <c r="EG44" i="24" s="1"/>
  <c r="BN44" i="24"/>
  <c r="AP44" i="24"/>
  <c r="FF44" i="24" s="1"/>
  <c r="AU44" i="24"/>
  <c r="FK44" i="24" s="1"/>
  <c r="AM44" i="24"/>
  <c r="BP44" i="24"/>
  <c r="W44" i="24"/>
  <c r="EM44" i="24" s="1"/>
  <c r="BM44" i="24"/>
  <c r="AO44" i="24"/>
  <c r="FE44" i="24" s="1"/>
  <c r="S44" i="24"/>
  <c r="U44" i="24"/>
  <c r="EK44" i="24" s="1"/>
  <c r="AR44" i="24"/>
  <c r="FH44" i="24" s="1"/>
  <c r="AC44" i="24"/>
  <c r="BT44" i="24"/>
  <c r="BS44" i="24"/>
  <c r="K44" i="24"/>
  <c r="EA44" i="24" s="1"/>
  <c r="AB44" i="24"/>
  <c r="ER44" i="24" s="1"/>
  <c r="AX43" i="24"/>
  <c r="FN43" i="24" s="1"/>
  <c r="FM43" i="24"/>
  <c r="AD23" i="24"/>
  <c r="ET23" i="24" s="1"/>
  <c r="ES23" i="24"/>
  <c r="FM53" i="24"/>
  <c r="AX53" i="24"/>
  <c r="FN53" i="24" s="1"/>
  <c r="T13" i="24"/>
  <c r="EJ13" i="24" s="1"/>
  <c r="EI13" i="24"/>
  <c r="AX18" i="24"/>
  <c r="FN18" i="24" s="1"/>
  <c r="FM18" i="24"/>
  <c r="DY74" i="24"/>
  <c r="DZ74" i="24" s="1"/>
  <c r="DU74" i="24"/>
  <c r="DV74" i="24"/>
  <c r="DW74" i="24"/>
  <c r="DX74" i="24"/>
  <c r="DG74" i="24"/>
  <c r="DH74" i="24"/>
  <c r="DI74" i="24"/>
  <c r="DJ74" i="24"/>
  <c r="DK74" i="24"/>
  <c r="DQ74" i="24"/>
  <c r="DR74" i="24"/>
  <c r="DS74" i="24"/>
  <c r="DT74" i="24"/>
  <c r="DL74" i="24"/>
  <c r="DM74" i="24"/>
  <c r="DN74" i="24"/>
  <c r="DO74" i="24"/>
  <c r="DP74" i="24" s="1"/>
  <c r="CM74" i="24"/>
  <c r="CN74" i="24"/>
  <c r="CO74" i="24"/>
  <c r="CG74" i="24"/>
  <c r="CP74" i="24"/>
  <c r="CH74" i="24"/>
  <c r="CQ74" i="24"/>
  <c r="CI74" i="24"/>
  <c r="CR74" i="24"/>
  <c r="CS74" i="24"/>
  <c r="CT74" i="24"/>
  <c r="CU74" i="24"/>
  <c r="CV74" i="24" s="1"/>
  <c r="CC74" i="24"/>
  <c r="CD74" i="24"/>
  <c r="CE74" i="24"/>
  <c r="CF74" i="24"/>
  <c r="BO74" i="24"/>
  <c r="BP74" i="24"/>
  <c r="BQ74" i="24"/>
  <c r="BR74" i="24" s="1"/>
  <c r="BS74" i="24"/>
  <c r="BT74" i="24"/>
  <c r="BU74" i="24"/>
  <c r="BV74" i="24"/>
  <c r="CA74" i="24"/>
  <c r="CB74" i="24" s="1"/>
  <c r="BK74" i="24"/>
  <c r="BL74" i="24"/>
  <c r="BM74" i="24"/>
  <c r="BN74" i="24"/>
  <c r="AY74" i="24"/>
  <c r="FO74" i="24" s="1"/>
  <c r="AZ74" i="24"/>
  <c r="FP74" i="24" s="1"/>
  <c r="BA74" i="24"/>
  <c r="FQ74" i="24" s="1"/>
  <c r="BB74" i="24"/>
  <c r="FR74" i="24" s="1"/>
  <c r="BC74" i="24"/>
  <c r="FS74" i="24" s="1"/>
  <c r="BD74" i="24"/>
  <c r="FT74" i="24" s="1"/>
  <c r="BE74" i="24"/>
  <c r="FU74" i="24" s="1"/>
  <c r="BF74" i="24"/>
  <c r="FV74" i="24" s="1"/>
  <c r="BG74" i="24"/>
  <c r="AF74" i="24"/>
  <c r="EV74" i="24" s="1"/>
  <c r="AO74" i="24"/>
  <c r="FE74" i="24" s="1"/>
  <c r="AP74" i="24"/>
  <c r="FF74" i="24" s="1"/>
  <c r="AE74" i="24"/>
  <c r="EU74" i="24" s="1"/>
  <c r="AQ74" i="24"/>
  <c r="FG74" i="24" s="1"/>
  <c r="AG74" i="24"/>
  <c r="EW74" i="24" s="1"/>
  <c r="AR74" i="24"/>
  <c r="FH74" i="24" s="1"/>
  <c r="AH74" i="24"/>
  <c r="EX74" i="24" s="1"/>
  <c r="AS74" i="24"/>
  <c r="FI74" i="24" s="1"/>
  <c r="AI74" i="24"/>
  <c r="EY74" i="24" s="1"/>
  <c r="AT74" i="24"/>
  <c r="FJ74" i="24" s="1"/>
  <c r="AJ74" i="24"/>
  <c r="EZ74" i="24" s="1"/>
  <c r="AU74" i="24"/>
  <c r="FK74" i="24" s="1"/>
  <c r="AK74" i="24"/>
  <c r="FA74" i="24" s="1"/>
  <c r="AV74" i="24"/>
  <c r="FL74" i="24" s="1"/>
  <c r="AL74" i="24"/>
  <c r="FB74" i="24" s="1"/>
  <c r="AM74" i="24"/>
  <c r="V74" i="24"/>
  <c r="EL74" i="24" s="1"/>
  <c r="M74" i="24"/>
  <c r="EC74" i="24" s="1"/>
  <c r="W74" i="24"/>
  <c r="EM74" i="24" s="1"/>
  <c r="X74" i="24"/>
  <c r="EN74" i="24" s="1"/>
  <c r="N74" i="24"/>
  <c r="ED74" i="24" s="1"/>
  <c r="Y74" i="24"/>
  <c r="EO74" i="24" s="1"/>
  <c r="L74" i="24"/>
  <c r="EB74" i="24" s="1"/>
  <c r="BX74" i="24"/>
  <c r="O74" i="24"/>
  <c r="EE74" i="24" s="1"/>
  <c r="CJ74" i="24"/>
  <c r="Z74" i="24"/>
  <c r="EP74" i="24" s="1"/>
  <c r="AW74" i="24"/>
  <c r="BY74" i="24"/>
  <c r="P74" i="24"/>
  <c r="EF74" i="24" s="1"/>
  <c r="CK74" i="24"/>
  <c r="CL74" i="24" s="1"/>
  <c r="AA74" i="24"/>
  <c r="EQ74" i="24" s="1"/>
  <c r="K74" i="24"/>
  <c r="EA74" i="24" s="1"/>
  <c r="BI74" i="24"/>
  <c r="AB74" i="24"/>
  <c r="ER74" i="24" s="1"/>
  <c r="BW74" i="24"/>
  <c r="BZ74" i="24"/>
  <c r="BJ74" i="24"/>
  <c r="AC74" i="24"/>
  <c r="S74" i="24"/>
  <c r="Q74" i="24"/>
  <c r="EG74" i="24" s="1"/>
  <c r="U74" i="24"/>
  <c r="EK74" i="24" s="1"/>
  <c r="R74" i="24"/>
  <c r="EH74" i="24" s="1"/>
  <c r="AX48" i="24"/>
  <c r="FN48" i="24" s="1"/>
  <c r="FM48" i="24"/>
  <c r="BH48" i="24"/>
  <c r="FX48" i="24" s="1"/>
  <c r="FW48" i="24"/>
  <c r="BH18" i="24"/>
  <c r="FX18" i="24" s="1"/>
  <c r="FW18" i="24"/>
  <c r="T43" i="24"/>
  <c r="EJ43" i="24" s="1"/>
  <c r="EI43" i="24"/>
  <c r="T68" i="24"/>
  <c r="EJ68" i="24" s="1"/>
  <c r="EI68" i="24"/>
  <c r="AX68" i="24"/>
  <c r="FN68" i="24" s="1"/>
  <c r="FM68" i="24"/>
  <c r="BH28" i="24"/>
  <c r="FX28" i="24" s="1"/>
  <c r="FW28" i="24"/>
  <c r="AX58" i="24"/>
  <c r="FN58" i="24" s="1"/>
  <c r="FM58" i="24"/>
  <c r="DQ64" i="24"/>
  <c r="DR64" i="24"/>
  <c r="DS64" i="24"/>
  <c r="DT64" i="24"/>
  <c r="DU64" i="24"/>
  <c r="DV64" i="24"/>
  <c r="DN64" i="24"/>
  <c r="DO64" i="24"/>
  <c r="DP64" i="24" s="1"/>
  <c r="DW64" i="24"/>
  <c r="DX64" i="24"/>
  <c r="DY64" i="24"/>
  <c r="DZ64" i="24" s="1"/>
  <c r="DJ64" i="24"/>
  <c r="DK64" i="24"/>
  <c r="DL64" i="24"/>
  <c r="DM64" i="24"/>
  <c r="CQ64" i="24"/>
  <c r="CR64" i="24"/>
  <c r="CS64" i="24"/>
  <c r="CT64" i="24"/>
  <c r="CU64" i="24"/>
  <c r="CV64" i="24" s="1"/>
  <c r="CC64" i="24"/>
  <c r="CM64" i="24"/>
  <c r="CN64" i="24"/>
  <c r="CO64" i="24"/>
  <c r="CP64" i="24"/>
  <c r="BY64" i="24"/>
  <c r="DG64" i="24"/>
  <c r="BZ64" i="24"/>
  <c r="DH64" i="24"/>
  <c r="CA64" i="24"/>
  <c r="CB64" i="24" s="1"/>
  <c r="DI64" i="24"/>
  <c r="BI64" i="24"/>
  <c r="BJ64" i="24"/>
  <c r="BK64" i="24"/>
  <c r="BL64" i="24"/>
  <c r="BC64" i="24"/>
  <c r="FS64" i="24" s="1"/>
  <c r="BD64" i="24"/>
  <c r="FT64" i="24" s="1"/>
  <c r="BS64" i="24"/>
  <c r="BE64" i="24"/>
  <c r="FU64" i="24" s="1"/>
  <c r="CD64" i="24"/>
  <c r="BT64" i="24"/>
  <c r="BF64" i="24"/>
  <c r="FV64" i="24" s="1"/>
  <c r="CE64" i="24"/>
  <c r="BU64" i="24"/>
  <c r="BM64" i="24"/>
  <c r="BG64" i="24"/>
  <c r="CF64" i="24"/>
  <c r="BV64" i="24"/>
  <c r="BN64" i="24"/>
  <c r="CG64" i="24"/>
  <c r="BW64" i="24"/>
  <c r="BO64" i="24"/>
  <c r="CH64" i="24"/>
  <c r="BX64" i="24"/>
  <c r="BP64" i="24"/>
  <c r="CI64" i="24"/>
  <c r="BQ64" i="24"/>
  <c r="BR64" i="24" s="1"/>
  <c r="AJ64" i="24"/>
  <c r="EZ64" i="24" s="1"/>
  <c r="CJ64" i="24"/>
  <c r="AO64" i="24"/>
  <c r="FE64" i="24" s="1"/>
  <c r="CK64" i="24"/>
  <c r="CL64" i="24" s="1"/>
  <c r="AP64" i="24"/>
  <c r="FF64" i="24" s="1"/>
  <c r="AL64" i="24"/>
  <c r="FB64" i="24" s="1"/>
  <c r="AQ64" i="24"/>
  <c r="FG64" i="24" s="1"/>
  <c r="AR64" i="24"/>
  <c r="FH64" i="24" s="1"/>
  <c r="AS64" i="24"/>
  <c r="FI64" i="24" s="1"/>
  <c r="AT64" i="24"/>
  <c r="FJ64" i="24" s="1"/>
  <c r="BA64" i="24"/>
  <c r="FQ64" i="24" s="1"/>
  <c r="BB64" i="24"/>
  <c r="FR64" i="24" s="1"/>
  <c r="AU64" i="24"/>
  <c r="FK64" i="24" s="1"/>
  <c r="AV64" i="24"/>
  <c r="FL64" i="24" s="1"/>
  <c r="AE64" i="24"/>
  <c r="EU64" i="24" s="1"/>
  <c r="AW64" i="24"/>
  <c r="AF64" i="24"/>
  <c r="EV64" i="24" s="1"/>
  <c r="AG64" i="24"/>
  <c r="EW64" i="24" s="1"/>
  <c r="L64" i="24"/>
  <c r="EB64" i="24" s="1"/>
  <c r="AH64" i="24"/>
  <c r="EX64" i="24" s="1"/>
  <c r="M64" i="24"/>
  <c r="EC64" i="24" s="1"/>
  <c r="X64" i="24"/>
  <c r="EN64" i="24" s="1"/>
  <c r="AM64" i="24"/>
  <c r="AY64" i="24"/>
  <c r="FO64" i="24" s="1"/>
  <c r="N64" i="24"/>
  <c r="ED64" i="24" s="1"/>
  <c r="V64" i="24"/>
  <c r="EL64" i="24" s="1"/>
  <c r="AZ64" i="24"/>
  <c r="FP64" i="24" s="1"/>
  <c r="O64" i="24"/>
  <c r="EE64" i="24" s="1"/>
  <c r="P64" i="24"/>
  <c r="EF64" i="24" s="1"/>
  <c r="U64" i="24"/>
  <c r="EK64" i="24" s="1"/>
  <c r="Q64" i="24"/>
  <c r="EG64" i="24" s="1"/>
  <c r="R64" i="24"/>
  <c r="EH64" i="24" s="1"/>
  <c r="W64" i="24"/>
  <c r="EM64" i="24" s="1"/>
  <c r="AI64" i="24"/>
  <c r="EY64" i="24" s="1"/>
  <c r="Z64" i="24"/>
  <c r="EP64" i="24" s="1"/>
  <c r="AA64" i="24"/>
  <c r="EQ64" i="24" s="1"/>
  <c r="S64" i="24"/>
  <c r="Y64" i="24"/>
  <c r="EO64" i="24" s="1"/>
  <c r="AK64" i="24"/>
  <c r="FA64" i="24" s="1"/>
  <c r="K64" i="24"/>
  <c r="EA64" i="24" s="1"/>
  <c r="AC64" i="24"/>
  <c r="AB64" i="24"/>
  <c r="ER64" i="24" s="1"/>
  <c r="T53" i="24"/>
  <c r="EJ53" i="24" s="1"/>
  <c r="EI53" i="24"/>
  <c r="AD13" i="24"/>
  <c r="ET13" i="24" s="1"/>
  <c r="ES13" i="24"/>
  <c r="T48" i="24"/>
  <c r="EJ48" i="24" s="1"/>
  <c r="EI48" i="24"/>
  <c r="AD73" i="24"/>
  <c r="ET73" i="24" s="1"/>
  <c r="ES73" i="24"/>
  <c r="DQ49" i="24"/>
  <c r="DR49" i="24"/>
  <c r="DI49" i="24"/>
  <c r="DS49" i="24"/>
  <c r="DJ49" i="24"/>
  <c r="DT49" i="24"/>
  <c r="DK49" i="24"/>
  <c r="DU49" i="24"/>
  <c r="DL49" i="24"/>
  <c r="DV49" i="24"/>
  <c r="DM49" i="24"/>
  <c r="DW49" i="24"/>
  <c r="DN49" i="24"/>
  <c r="DX49" i="24"/>
  <c r="DO49" i="24"/>
  <c r="DP49" i="24" s="1"/>
  <c r="DY49" i="24"/>
  <c r="DZ49" i="24" s="1"/>
  <c r="CM49" i="24"/>
  <c r="DG49" i="24"/>
  <c r="CN49" i="24"/>
  <c r="DH49" i="24"/>
  <c r="CO49" i="24"/>
  <c r="CP49" i="24"/>
  <c r="CQ49" i="24"/>
  <c r="CR49" i="24"/>
  <c r="CS49" i="24"/>
  <c r="CC49" i="24"/>
  <c r="CD49" i="24"/>
  <c r="CE49" i="24"/>
  <c r="BT49" i="24"/>
  <c r="BU49" i="24"/>
  <c r="BV49" i="24"/>
  <c r="BW49" i="24"/>
  <c r="BX49" i="24"/>
  <c r="BY49" i="24"/>
  <c r="BZ49" i="24"/>
  <c r="CA49" i="24"/>
  <c r="CB49" i="24" s="1"/>
  <c r="BI49" i="24"/>
  <c r="AY49" i="24"/>
  <c r="FO49" i="24" s="1"/>
  <c r="BJ49" i="24"/>
  <c r="AZ49" i="24"/>
  <c r="FP49" i="24" s="1"/>
  <c r="BS49" i="24"/>
  <c r="BK49" i="24"/>
  <c r="BA49" i="24"/>
  <c r="FQ49" i="24" s="1"/>
  <c r="CF49" i="24"/>
  <c r="BL49" i="24"/>
  <c r="BB49" i="24"/>
  <c r="FR49" i="24" s="1"/>
  <c r="CG49" i="24"/>
  <c r="BM49" i="24"/>
  <c r="BC49" i="24"/>
  <c r="FS49" i="24" s="1"/>
  <c r="CH49" i="24"/>
  <c r="BN49" i="24"/>
  <c r="BD49" i="24"/>
  <c r="FT49" i="24" s="1"/>
  <c r="CI49" i="24"/>
  <c r="BO49" i="24"/>
  <c r="BE49" i="24"/>
  <c r="FU49" i="24" s="1"/>
  <c r="AW49" i="24"/>
  <c r="AE49" i="24"/>
  <c r="EU49" i="24" s="1"/>
  <c r="AG49" i="24"/>
  <c r="EW49" i="24" s="1"/>
  <c r="CT49" i="24"/>
  <c r="CU49" i="24"/>
  <c r="CV49" i="24" s="1"/>
  <c r="AK49" i="24"/>
  <c r="FA49" i="24" s="1"/>
  <c r="BP49" i="24"/>
  <c r="AQ49" i="24"/>
  <c r="FG49" i="24" s="1"/>
  <c r="BQ49" i="24"/>
  <c r="BR49" i="24" s="1"/>
  <c r="AR49" i="24"/>
  <c r="FH49" i="24" s="1"/>
  <c r="AS49" i="24"/>
  <c r="FI49" i="24" s="1"/>
  <c r="AT49" i="24"/>
  <c r="FJ49" i="24" s="1"/>
  <c r="CJ49" i="24"/>
  <c r="AU49" i="24"/>
  <c r="FK49" i="24" s="1"/>
  <c r="CK49" i="24"/>
  <c r="CL49" i="24" s="1"/>
  <c r="AV49" i="24"/>
  <c r="FL49" i="24" s="1"/>
  <c r="BF49" i="24"/>
  <c r="FV49" i="24" s="1"/>
  <c r="BG49" i="24"/>
  <c r="AA49" i="24"/>
  <c r="EQ49" i="24" s="1"/>
  <c r="S49" i="24"/>
  <c r="AB49" i="24"/>
  <c r="ER49" i="24" s="1"/>
  <c r="AC49" i="24"/>
  <c r="O49" i="24"/>
  <c r="EE49" i="24" s="1"/>
  <c r="Q49" i="24"/>
  <c r="EG49" i="24" s="1"/>
  <c r="AF49" i="24"/>
  <c r="EV49" i="24" s="1"/>
  <c r="P49" i="24"/>
  <c r="EF49" i="24" s="1"/>
  <c r="AH49" i="24"/>
  <c r="EX49" i="24" s="1"/>
  <c r="K49" i="24"/>
  <c r="EA49" i="24" s="1"/>
  <c r="M49" i="24"/>
  <c r="EC49" i="24" s="1"/>
  <c r="AM49" i="24"/>
  <c r="R49" i="24"/>
  <c r="EH49" i="24" s="1"/>
  <c r="U49" i="24"/>
  <c r="EK49" i="24" s="1"/>
  <c r="AI49" i="24"/>
  <c r="EY49" i="24" s="1"/>
  <c r="L49" i="24"/>
  <c r="EB49" i="24" s="1"/>
  <c r="V49" i="24"/>
  <c r="EL49" i="24" s="1"/>
  <c r="AO49" i="24"/>
  <c r="FE49" i="24" s="1"/>
  <c r="AJ49" i="24"/>
  <c r="EZ49" i="24" s="1"/>
  <c r="AP49" i="24"/>
  <c r="FF49" i="24" s="1"/>
  <c r="AL49" i="24"/>
  <c r="FB49" i="24" s="1"/>
  <c r="N49" i="24"/>
  <c r="ED49" i="24" s="1"/>
  <c r="Z49" i="24"/>
  <c r="EP49" i="24" s="1"/>
  <c r="W49" i="24"/>
  <c r="EM49" i="24" s="1"/>
  <c r="X49" i="24"/>
  <c r="EN49" i="24" s="1"/>
  <c r="Y49" i="24"/>
  <c r="EO49" i="24" s="1"/>
  <c r="FM28" i="24"/>
  <c r="AX28" i="24"/>
  <c r="FN28" i="24" s="1"/>
  <c r="EI28" i="24"/>
  <c r="T28" i="24"/>
  <c r="EJ28" i="24" s="1"/>
  <c r="AN28" i="24"/>
  <c r="FD28" i="24" s="1"/>
  <c r="FC28" i="24"/>
  <c r="AN63" i="24"/>
  <c r="FD63" i="24" s="1"/>
  <c r="FC63" i="24"/>
  <c r="AN73" i="24"/>
  <c r="FD73" i="24" s="1"/>
  <c r="FC73" i="24"/>
  <c r="EI63" i="24"/>
  <c r="T63" i="24"/>
  <c r="EJ63" i="24" s="1"/>
  <c r="AN18" i="24"/>
  <c r="FD18" i="24" s="1"/>
  <c r="FC18" i="24"/>
  <c r="FW33" i="24"/>
  <c r="BH33" i="24"/>
  <c r="FX33" i="24" s="1"/>
  <c r="AX63" i="24"/>
  <c r="FN63" i="24" s="1"/>
  <c r="FM63" i="24"/>
  <c r="FC43" i="24"/>
  <c r="AN43" i="24"/>
  <c r="FD43" i="24" s="1"/>
  <c r="AN23" i="24"/>
  <c r="FD23" i="24" s="1"/>
  <c r="FC23" i="24"/>
  <c r="DQ24" i="24"/>
  <c r="DR24" i="24"/>
  <c r="DS24" i="24"/>
  <c r="DT24" i="24"/>
  <c r="DU24" i="24"/>
  <c r="DV24" i="24"/>
  <c r="DN24" i="24"/>
  <c r="DO24" i="24"/>
  <c r="DP24" i="24" s="1"/>
  <c r="DG24" i="24"/>
  <c r="DH24" i="24"/>
  <c r="DI24" i="24"/>
  <c r="DJ24" i="24"/>
  <c r="DK24" i="24"/>
  <c r="DL24" i="24"/>
  <c r="DM24" i="24"/>
  <c r="DW24" i="24"/>
  <c r="CQ24" i="24"/>
  <c r="DX24" i="24"/>
  <c r="CR24" i="24"/>
  <c r="DY24" i="24"/>
  <c r="DZ24" i="24" s="1"/>
  <c r="CS24" i="24"/>
  <c r="CT24" i="24"/>
  <c r="CU24" i="24"/>
  <c r="CV24" i="24" s="1"/>
  <c r="CC24" i="24"/>
  <c r="CD24" i="24"/>
  <c r="CM24" i="24"/>
  <c r="BY24" i="24"/>
  <c r="CN24" i="24"/>
  <c r="BZ24" i="24"/>
  <c r="CO24" i="24"/>
  <c r="CA24" i="24"/>
  <c r="CB24" i="24" s="1"/>
  <c r="CP24" i="24"/>
  <c r="CE24" i="24"/>
  <c r="BI24" i="24"/>
  <c r="CF24" i="24"/>
  <c r="BJ24" i="24"/>
  <c r="CG24" i="24"/>
  <c r="BK24" i="24"/>
  <c r="CH24" i="24"/>
  <c r="BL24" i="24"/>
  <c r="BC24" i="24"/>
  <c r="FS24" i="24" s="1"/>
  <c r="BD24" i="24"/>
  <c r="FT24" i="24" s="1"/>
  <c r="BE24" i="24"/>
  <c r="FU24" i="24" s="1"/>
  <c r="BF24" i="24"/>
  <c r="FV24" i="24" s="1"/>
  <c r="BG24" i="24"/>
  <c r="BS24" i="24"/>
  <c r="BT24" i="24"/>
  <c r="AJ24" i="24"/>
  <c r="EZ24" i="24" s="1"/>
  <c r="AK24" i="24"/>
  <c r="FA24" i="24" s="1"/>
  <c r="AL24" i="24"/>
  <c r="FB24" i="24" s="1"/>
  <c r="AM24" i="24"/>
  <c r="AZ24" i="24"/>
  <c r="FP24" i="24" s="1"/>
  <c r="BA24" i="24"/>
  <c r="FQ24" i="24" s="1"/>
  <c r="BB24" i="24"/>
  <c r="FR24" i="24" s="1"/>
  <c r="U24" i="24"/>
  <c r="EK24" i="24" s="1"/>
  <c r="CI24" i="24"/>
  <c r="BM24" i="24"/>
  <c r="V24" i="24"/>
  <c r="EL24" i="24" s="1"/>
  <c r="CJ24" i="24"/>
  <c r="BN24" i="24"/>
  <c r="AO24" i="24"/>
  <c r="FE24" i="24" s="1"/>
  <c r="W24" i="24"/>
  <c r="EM24" i="24" s="1"/>
  <c r="CK24" i="24"/>
  <c r="CL24" i="24" s="1"/>
  <c r="BO24" i="24"/>
  <c r="AP24" i="24"/>
  <c r="FF24" i="24" s="1"/>
  <c r="BP24" i="24"/>
  <c r="AQ24" i="24"/>
  <c r="FG24" i="24" s="1"/>
  <c r="Y24" i="24"/>
  <c r="EO24" i="24" s="1"/>
  <c r="BQ24" i="24"/>
  <c r="BR24" i="24" s="1"/>
  <c r="L24" i="24"/>
  <c r="EB24" i="24" s="1"/>
  <c r="Z24" i="24"/>
  <c r="EP24" i="24" s="1"/>
  <c r="M24" i="24"/>
  <c r="EC24" i="24" s="1"/>
  <c r="AW24" i="24"/>
  <c r="N24" i="24"/>
  <c r="ED24" i="24" s="1"/>
  <c r="AB24" i="24"/>
  <c r="ER24" i="24" s="1"/>
  <c r="BV24" i="24"/>
  <c r="BW24" i="24"/>
  <c r="O24" i="24"/>
  <c r="EE24" i="24" s="1"/>
  <c r="AC24" i="24"/>
  <c r="BU24" i="24"/>
  <c r="AR24" i="24"/>
  <c r="FH24" i="24" s="1"/>
  <c r="P24" i="24"/>
  <c r="EF24" i="24" s="1"/>
  <c r="AE24" i="24"/>
  <c r="EU24" i="24" s="1"/>
  <c r="AF24" i="24"/>
  <c r="EV24" i="24" s="1"/>
  <c r="BX24" i="24"/>
  <c r="AS24" i="24"/>
  <c r="FI24" i="24" s="1"/>
  <c r="Q24" i="24"/>
  <c r="EG24" i="24" s="1"/>
  <c r="AT24" i="24"/>
  <c r="FJ24" i="24" s="1"/>
  <c r="R24" i="24"/>
  <c r="EH24" i="24" s="1"/>
  <c r="AG24" i="24"/>
  <c r="EW24" i="24" s="1"/>
  <c r="AU24" i="24"/>
  <c r="FK24" i="24" s="1"/>
  <c r="X24" i="24"/>
  <c r="EN24" i="24" s="1"/>
  <c r="S24" i="24"/>
  <c r="AV24" i="24"/>
  <c r="FL24" i="24" s="1"/>
  <c r="AA24" i="24"/>
  <c r="EQ24" i="24" s="1"/>
  <c r="AI24" i="24"/>
  <c r="EY24" i="24" s="1"/>
  <c r="AY24" i="24"/>
  <c r="FO24" i="24" s="1"/>
  <c r="K24" i="24"/>
  <c r="EA24" i="24" s="1"/>
  <c r="AH24" i="24"/>
  <c r="EX24" i="24" s="1"/>
  <c r="DQ29" i="24"/>
  <c r="DI29" i="24"/>
  <c r="DJ29" i="24"/>
  <c r="DK29" i="24"/>
  <c r="DL29" i="24"/>
  <c r="DM29" i="24"/>
  <c r="DN29" i="24"/>
  <c r="DO29" i="24"/>
  <c r="DP29" i="24" s="1"/>
  <c r="CM29" i="24"/>
  <c r="CN29" i="24"/>
  <c r="CO29" i="24"/>
  <c r="CP29" i="24"/>
  <c r="CQ29" i="24"/>
  <c r="CR29" i="24"/>
  <c r="CS29" i="24"/>
  <c r="CT29" i="24"/>
  <c r="CU29" i="24"/>
  <c r="CV29" i="24" s="1"/>
  <c r="DG29" i="24"/>
  <c r="DH29" i="24"/>
  <c r="CH29" i="24"/>
  <c r="CI29" i="24"/>
  <c r="CJ29" i="24"/>
  <c r="CK29" i="24"/>
  <c r="CL29" i="24" s="1"/>
  <c r="DV29" i="24"/>
  <c r="BT29" i="24"/>
  <c r="DW29" i="24"/>
  <c r="BU29" i="24"/>
  <c r="DX29" i="24"/>
  <c r="BV29" i="24"/>
  <c r="DY29" i="24"/>
  <c r="DZ29" i="24" s="1"/>
  <c r="CC29" i="24"/>
  <c r="BW29" i="24"/>
  <c r="CD29" i="24"/>
  <c r="BX29" i="24"/>
  <c r="CE29" i="24"/>
  <c r="BY29" i="24"/>
  <c r="CF29" i="24"/>
  <c r="BZ29" i="24"/>
  <c r="CG29" i="24"/>
  <c r="CA29" i="24"/>
  <c r="CB29" i="24" s="1"/>
  <c r="BP29" i="24"/>
  <c r="BQ29" i="24"/>
  <c r="BR29" i="24" s="1"/>
  <c r="AY29" i="24"/>
  <c r="FO29" i="24" s="1"/>
  <c r="AZ29" i="24"/>
  <c r="FP29" i="24" s="1"/>
  <c r="BA29" i="24"/>
  <c r="FQ29" i="24" s="1"/>
  <c r="DR29" i="24"/>
  <c r="BB29" i="24"/>
  <c r="FR29" i="24" s="1"/>
  <c r="DS29" i="24"/>
  <c r="BC29" i="24"/>
  <c r="FS29" i="24" s="1"/>
  <c r="DT29" i="24"/>
  <c r="BD29" i="24"/>
  <c r="FT29" i="24" s="1"/>
  <c r="DU29" i="24"/>
  <c r="BE29" i="24"/>
  <c r="FU29" i="24" s="1"/>
  <c r="BF29" i="24"/>
  <c r="FV29" i="24" s="1"/>
  <c r="AE29" i="24"/>
  <c r="EU29" i="24" s="1"/>
  <c r="BG29" i="24"/>
  <c r="AF29" i="24"/>
  <c r="EV29" i="24" s="1"/>
  <c r="AG29" i="24"/>
  <c r="EW29" i="24" s="1"/>
  <c r="AH29" i="24"/>
  <c r="EX29" i="24" s="1"/>
  <c r="BI29" i="24"/>
  <c r="BJ29" i="24"/>
  <c r="AK29" i="24"/>
  <c r="FA29" i="24" s="1"/>
  <c r="BO29" i="24"/>
  <c r="AW29" i="24"/>
  <c r="AI29" i="24"/>
  <c r="EY29" i="24" s="1"/>
  <c r="AJ29" i="24"/>
  <c r="EZ29" i="24" s="1"/>
  <c r="AL29" i="24"/>
  <c r="FB29" i="24" s="1"/>
  <c r="AM29" i="24"/>
  <c r="AO29" i="24"/>
  <c r="FE29" i="24" s="1"/>
  <c r="U29" i="24"/>
  <c r="EK29" i="24" s="1"/>
  <c r="O29" i="24"/>
  <c r="EE29" i="24" s="1"/>
  <c r="Q29" i="24"/>
  <c r="EG29" i="24" s="1"/>
  <c r="AP29" i="24"/>
  <c r="FF29" i="24" s="1"/>
  <c r="V29" i="24"/>
  <c r="EL29" i="24" s="1"/>
  <c r="BL29" i="24"/>
  <c r="AQ29" i="24"/>
  <c r="FG29" i="24" s="1"/>
  <c r="W29" i="24"/>
  <c r="EM29" i="24" s="1"/>
  <c r="BS29" i="24"/>
  <c r="AR29" i="24"/>
  <c r="FH29" i="24" s="1"/>
  <c r="X29" i="24"/>
  <c r="EN29" i="24" s="1"/>
  <c r="AC29" i="24"/>
  <c r="R29" i="24"/>
  <c r="EH29" i="24" s="1"/>
  <c r="AS29" i="24"/>
  <c r="FI29" i="24" s="1"/>
  <c r="Y29" i="24"/>
  <c r="EO29" i="24" s="1"/>
  <c r="K29" i="24"/>
  <c r="EA29" i="24" s="1"/>
  <c r="BK29" i="24"/>
  <c r="AT29" i="24"/>
  <c r="FJ29" i="24" s="1"/>
  <c r="Z29" i="24"/>
  <c r="EP29" i="24" s="1"/>
  <c r="L29" i="24"/>
  <c r="EB29" i="24" s="1"/>
  <c r="M29" i="24"/>
  <c r="EC29" i="24" s="1"/>
  <c r="P29" i="24"/>
  <c r="EF29" i="24" s="1"/>
  <c r="BM29" i="24"/>
  <c r="BN29" i="24"/>
  <c r="AU29" i="24"/>
  <c r="FK29" i="24" s="1"/>
  <c r="AA29" i="24"/>
  <c r="EQ29" i="24" s="1"/>
  <c r="AV29" i="24"/>
  <c r="FL29" i="24" s="1"/>
  <c r="AB29" i="24"/>
  <c r="ER29" i="24" s="1"/>
  <c r="N29" i="24"/>
  <c r="ED29" i="24" s="1"/>
  <c r="S29" i="24"/>
  <c r="T58" i="24"/>
  <c r="EJ58" i="24" s="1"/>
  <c r="EI58" i="24"/>
  <c r="EI73" i="24"/>
  <c r="T73" i="24"/>
  <c r="EJ73" i="24" s="1"/>
  <c r="BH63" i="24"/>
  <c r="FX63" i="24" s="1"/>
  <c r="FW63" i="24"/>
  <c r="AN48" i="24"/>
  <c r="FD48" i="24" s="1"/>
  <c r="FC48" i="24"/>
  <c r="T18" i="24"/>
  <c r="EJ18" i="24" s="1"/>
  <c r="EI18" i="24"/>
  <c r="BH53" i="24"/>
  <c r="FX53" i="24" s="1"/>
  <c r="FW53" i="24"/>
  <c r="BH38" i="24"/>
  <c r="FX38" i="24" s="1"/>
  <c r="FW38" i="24"/>
  <c r="A9" i="25"/>
  <c r="D54" i="36" l="1"/>
  <c r="I54" i="36"/>
  <c r="S54" i="36"/>
  <c r="N54" i="36"/>
  <c r="X54" i="36"/>
  <c r="T24" i="24"/>
  <c r="EJ24" i="24" s="1"/>
  <c r="EI24" i="24"/>
  <c r="BH49" i="24"/>
  <c r="FX49" i="24" s="1"/>
  <c r="FW49" i="24"/>
  <c r="AX44" i="24"/>
  <c r="FN44" i="24" s="1"/>
  <c r="FM44" i="24"/>
  <c r="BH59" i="24"/>
  <c r="FX59" i="24" s="1"/>
  <c r="FW59" i="24"/>
  <c r="AD54" i="24"/>
  <c r="ET54" i="24" s="1"/>
  <c r="ES54" i="24"/>
  <c r="FM34" i="24"/>
  <c r="AX34" i="24"/>
  <c r="FN34" i="24" s="1"/>
  <c r="BH34" i="24"/>
  <c r="FX34" i="24" s="1"/>
  <c r="FW34" i="24"/>
  <c r="AD14" i="24"/>
  <c r="ET14" i="24" s="1"/>
  <c r="ES14" i="24"/>
  <c r="AD39" i="24"/>
  <c r="ET39" i="24" s="1"/>
  <c r="ES39" i="24"/>
  <c r="EI54" i="24"/>
  <c r="T54" i="24"/>
  <c r="EJ54" i="24" s="1"/>
  <c r="AX24" i="24"/>
  <c r="FN24" i="24" s="1"/>
  <c r="FM24" i="24"/>
  <c r="AN24" i="24"/>
  <c r="FD24" i="24" s="1"/>
  <c r="FC24" i="24"/>
  <c r="AD64" i="24"/>
  <c r="ET64" i="24" s="1"/>
  <c r="ES64" i="24"/>
  <c r="FC74" i="24"/>
  <c r="AN74" i="24"/>
  <c r="FD74" i="24" s="1"/>
  <c r="FC34" i="24"/>
  <c r="AN34" i="24"/>
  <c r="FD34" i="24" s="1"/>
  <c r="EI19" i="24"/>
  <c r="T19" i="24"/>
  <c r="EJ19" i="24" s="1"/>
  <c r="AD59" i="24"/>
  <c r="ET59" i="24" s="1"/>
  <c r="ES59" i="24"/>
  <c r="BH29" i="24"/>
  <c r="FX29" i="24" s="1"/>
  <c r="FW29" i="24"/>
  <c r="AX49" i="24"/>
  <c r="FN49" i="24" s="1"/>
  <c r="FM49" i="24"/>
  <c r="AN19" i="24"/>
  <c r="FD19" i="24" s="1"/>
  <c r="FC19" i="24"/>
  <c r="T74" i="24"/>
  <c r="EJ74" i="24" s="1"/>
  <c r="EI74" i="24"/>
  <c r="FC29" i="24"/>
  <c r="AN29" i="24"/>
  <c r="FD29" i="24" s="1"/>
  <c r="T64" i="24"/>
  <c r="EJ64" i="24" s="1"/>
  <c r="EI64" i="24"/>
  <c r="FC44" i="24"/>
  <c r="AN44" i="24"/>
  <c r="FD44" i="24" s="1"/>
  <c r="BH44" i="24"/>
  <c r="FX44" i="24" s="1"/>
  <c r="FW44" i="24"/>
  <c r="FM64" i="24"/>
  <c r="AX64" i="24"/>
  <c r="FN64" i="24" s="1"/>
  <c r="T59" i="24"/>
  <c r="EJ59" i="24" s="1"/>
  <c r="EI59" i="24"/>
  <c r="AX39" i="24"/>
  <c r="FN39" i="24" s="1"/>
  <c r="FM39" i="24"/>
  <c r="ES19" i="24"/>
  <c r="AD19" i="24"/>
  <c r="ET19" i="24" s="1"/>
  <c r="T49" i="24"/>
  <c r="EJ49" i="24" s="1"/>
  <c r="EI49" i="24"/>
  <c r="BH69" i="24"/>
  <c r="FX69" i="24" s="1"/>
  <c r="FW69" i="24"/>
  <c r="AD44" i="24"/>
  <c r="ET44" i="24" s="1"/>
  <c r="ES44" i="24"/>
  <c r="BH14" i="24"/>
  <c r="FX14" i="24" s="1"/>
  <c r="FW14" i="24"/>
  <c r="AX59" i="24"/>
  <c r="FN59" i="24" s="1"/>
  <c r="FM59" i="24"/>
  <c r="FC39" i="24"/>
  <c r="AN39" i="24"/>
  <c r="FD39" i="24" s="1"/>
  <c r="AX14" i="24"/>
  <c r="FN14" i="24" s="1"/>
  <c r="FM14" i="24"/>
  <c r="AD69" i="24"/>
  <c r="ET69" i="24" s="1"/>
  <c r="ES69" i="24"/>
  <c r="AX19" i="24"/>
  <c r="FN19" i="24" s="1"/>
  <c r="FM19" i="24"/>
  <c r="EI69" i="24"/>
  <c r="T69" i="24"/>
  <c r="EJ69" i="24" s="1"/>
  <c r="ES74" i="24"/>
  <c r="AD74" i="24"/>
  <c r="ET74" i="24" s="1"/>
  <c r="FW24" i="24"/>
  <c r="BH24" i="24"/>
  <c r="FX24" i="24" s="1"/>
  <c r="FC69" i="24"/>
  <c r="AN69" i="24"/>
  <c r="FD69" i="24" s="1"/>
  <c r="BH74" i="24"/>
  <c r="FX74" i="24" s="1"/>
  <c r="FW74" i="24"/>
  <c r="FW54" i="24"/>
  <c r="BH54" i="24"/>
  <c r="FX54" i="24" s="1"/>
  <c r="AD29" i="24"/>
  <c r="ET29" i="24" s="1"/>
  <c r="ES29" i="24"/>
  <c r="AX69" i="24"/>
  <c r="FN69" i="24" s="1"/>
  <c r="FM69" i="24"/>
  <c r="FW39" i="24"/>
  <c r="BH39" i="24"/>
  <c r="FX39" i="24" s="1"/>
  <c r="AN54" i="24"/>
  <c r="FD54" i="24" s="1"/>
  <c r="FC54" i="24"/>
  <c r="AD34" i="24"/>
  <c r="ET34" i="24" s="1"/>
  <c r="ES34" i="24"/>
  <c r="AX29" i="24"/>
  <c r="FN29" i="24" s="1"/>
  <c r="FM29" i="24"/>
  <c r="T44" i="24"/>
  <c r="EJ44" i="24" s="1"/>
  <c r="EI44" i="24"/>
  <c r="AD24" i="24"/>
  <c r="ET24" i="24" s="1"/>
  <c r="ES24" i="24"/>
  <c r="BH19" i="24"/>
  <c r="FX19" i="24" s="1"/>
  <c r="FW19" i="24"/>
  <c r="EI29" i="24"/>
  <c r="T29" i="24"/>
  <c r="EJ29" i="24" s="1"/>
  <c r="BH64" i="24"/>
  <c r="FX64" i="24" s="1"/>
  <c r="FW64" i="24"/>
  <c r="AN59" i="24"/>
  <c r="FD59" i="24" s="1"/>
  <c r="FC59" i="24"/>
  <c r="EI34" i="24"/>
  <c r="T34" i="24"/>
  <c r="EJ34" i="24" s="1"/>
  <c r="AN14" i="24"/>
  <c r="FD14" i="24" s="1"/>
  <c r="FC14" i="24"/>
  <c r="T39" i="24"/>
  <c r="EJ39" i="24" s="1"/>
  <c r="EI39" i="24"/>
  <c r="AX54" i="24"/>
  <c r="FN54" i="24" s="1"/>
  <c r="FM54" i="24"/>
  <c r="FC64" i="24"/>
  <c r="AN64" i="24"/>
  <c r="FD64" i="24" s="1"/>
  <c r="AN49" i="24"/>
  <c r="FD49" i="24" s="1"/>
  <c r="FC49" i="24"/>
  <c r="FM74" i="24"/>
  <c r="AX74" i="24"/>
  <c r="FN74" i="24" s="1"/>
  <c r="AD49" i="24"/>
  <c r="ET49" i="24" s="1"/>
  <c r="ES49" i="24"/>
  <c r="EI14" i="24"/>
  <c r="T14" i="24"/>
  <c r="EJ14" i="24" s="1"/>
  <c r="B13" i="27"/>
  <c r="C13" i="27"/>
  <c r="B14" i="27"/>
  <c r="C14" i="27"/>
  <c r="B15" i="27"/>
  <c r="C15" i="27"/>
  <c r="J3" i="70" l="1"/>
  <c r="J4" i="70"/>
  <c r="J5" i="70"/>
  <c r="J6" i="70"/>
  <c r="J7" i="70"/>
  <c r="J8" i="70"/>
  <c r="J9" i="70"/>
  <c r="J10" i="70"/>
  <c r="J11" i="70"/>
  <c r="J12" i="70"/>
  <c r="J13" i="70"/>
  <c r="J14" i="70"/>
  <c r="J2" i="70"/>
  <c r="G76" i="70" l="1"/>
  <c r="E76" i="70"/>
  <c r="G75" i="70"/>
  <c r="E75" i="70"/>
  <c r="G74" i="70"/>
  <c r="E74" i="70"/>
  <c r="G73" i="70"/>
  <c r="E73" i="70"/>
  <c r="B89" i="70" s="1"/>
  <c r="G72" i="70"/>
  <c r="E72" i="70"/>
  <c r="G71" i="70"/>
  <c r="E71" i="70"/>
  <c r="B79" i="70" s="1"/>
  <c r="H15" i="70"/>
  <c r="G15" i="70"/>
  <c r="B80" i="70" l="1"/>
  <c r="B83" i="70"/>
  <c r="B85" i="70"/>
  <c r="B84" i="70"/>
  <c r="B88" i="70"/>
  <c r="B86" i="70"/>
  <c r="B87" i="70"/>
  <c r="B90" i="70" l="1"/>
  <c r="E15" i="23" l="1"/>
  <c r="E9" i="23"/>
  <c r="E11" i="23"/>
  <c r="E12" i="23"/>
  <c r="E13" i="23"/>
  <c r="E14" i="23"/>
  <c r="E10" i="23"/>
  <c r="E8" i="23"/>
  <c r="E7" i="23"/>
  <c r="T4" i="66" l="1"/>
  <c r="T5" i="66"/>
  <c r="T6" i="66"/>
  <c r="T7" i="66"/>
  <c r="T8" i="66"/>
  <c r="T9" i="66"/>
  <c r="T10" i="66"/>
  <c r="T11" i="66"/>
  <c r="T12" i="66"/>
  <c r="T13" i="66"/>
  <c r="T14" i="66"/>
  <c r="T15" i="66"/>
  <c r="T16" i="66"/>
  <c r="T17" i="66"/>
  <c r="T3" i="66"/>
  <c r="R29" i="36" l="1"/>
  <c r="AG18" i="66"/>
  <c r="C31" i="49"/>
  <c r="D31" i="49"/>
  <c r="E31" i="49"/>
  <c r="F31" i="49"/>
  <c r="G31" i="49"/>
  <c r="H31" i="49"/>
  <c r="I31" i="49"/>
  <c r="J31" i="49"/>
  <c r="K31" i="49"/>
  <c r="L31" i="49"/>
  <c r="M31" i="49"/>
  <c r="N31" i="49"/>
  <c r="C44" i="49"/>
  <c r="D44" i="49"/>
  <c r="E44" i="49"/>
  <c r="F44" i="49"/>
  <c r="G44" i="49"/>
  <c r="H44" i="49"/>
  <c r="I44" i="49"/>
  <c r="J44" i="49"/>
  <c r="K44" i="49"/>
  <c r="L44" i="49"/>
  <c r="M44" i="49"/>
  <c r="N44" i="49"/>
  <c r="C45" i="49"/>
  <c r="D45" i="49"/>
  <c r="E45" i="49"/>
  <c r="F45" i="49"/>
  <c r="G45" i="49"/>
  <c r="H45" i="49"/>
  <c r="I45" i="49"/>
  <c r="J45" i="49"/>
  <c r="K45" i="49"/>
  <c r="L45" i="49"/>
  <c r="M45" i="49"/>
  <c r="N45" i="49"/>
  <c r="C59" i="49"/>
  <c r="D59" i="49"/>
  <c r="E59" i="49"/>
  <c r="F59" i="49"/>
  <c r="G59" i="49"/>
  <c r="H59" i="49"/>
  <c r="I59" i="49"/>
  <c r="J59" i="49"/>
  <c r="K59" i="49"/>
  <c r="L59" i="49"/>
  <c r="M59" i="49"/>
  <c r="N59" i="49"/>
  <c r="C17" i="49"/>
  <c r="D17" i="49"/>
  <c r="E17" i="49"/>
  <c r="F17" i="49"/>
  <c r="G17" i="49"/>
  <c r="H17" i="49"/>
  <c r="I17" i="49"/>
  <c r="J17" i="49"/>
  <c r="K17" i="49"/>
  <c r="L17" i="49"/>
  <c r="M17" i="49"/>
  <c r="N17" i="49"/>
  <c r="D64" i="49"/>
  <c r="A15" i="23" l="1"/>
  <c r="B17" i="14" s="1"/>
  <c r="B20" i="14"/>
  <c r="U93" i="36" l="1"/>
  <c r="Z45" i="66"/>
  <c r="W45" i="66"/>
  <c r="V45" i="66"/>
  <c r="S44" i="66"/>
  <c r="U44" i="66" s="1"/>
  <c r="AA44" i="66" s="1"/>
  <c r="S43" i="66"/>
  <c r="U43" i="66" s="1"/>
  <c r="AA43" i="66" s="1"/>
  <c r="S42" i="66"/>
  <c r="U42" i="66" s="1"/>
  <c r="X42" i="66" s="1"/>
  <c r="S41" i="66"/>
  <c r="U41" i="66" s="1"/>
  <c r="S40" i="66"/>
  <c r="U40" i="66" s="1"/>
  <c r="AA40" i="66" s="1"/>
  <c r="C9" i="25"/>
  <c r="B9" i="25"/>
  <c r="Y14" i="66"/>
  <c r="S31" i="66" s="1"/>
  <c r="U31" i="66" s="1"/>
  <c r="X37" i="66"/>
  <c r="W20" i="66"/>
  <c r="V34" i="66"/>
  <c r="X34" i="66" s="1"/>
  <c r="Y34" i="66" s="1"/>
  <c r="V33" i="66"/>
  <c r="X33" i="66" s="1"/>
  <c r="Y33" i="66" s="1"/>
  <c r="V32" i="66"/>
  <c r="X32" i="66" s="1"/>
  <c r="Y32" i="66" s="1"/>
  <c r="V31" i="66"/>
  <c r="W31" i="66" s="1"/>
  <c r="V30" i="66"/>
  <c r="X30" i="66" s="1"/>
  <c r="Y30" i="66" s="1"/>
  <c r="V29" i="66"/>
  <c r="X29" i="66" s="1"/>
  <c r="Y29" i="66" s="1"/>
  <c r="V28" i="66"/>
  <c r="X28" i="66" s="1"/>
  <c r="Y28" i="66" s="1"/>
  <c r="V27" i="66"/>
  <c r="X27" i="66" s="1"/>
  <c r="Y27" i="66" s="1"/>
  <c r="V26" i="66"/>
  <c r="X26" i="66" s="1"/>
  <c r="V25" i="66"/>
  <c r="X25" i="66" s="1"/>
  <c r="Y25" i="66" s="1"/>
  <c r="V24" i="66"/>
  <c r="V23" i="66"/>
  <c r="X23" i="66" s="1"/>
  <c r="Y23" i="66" s="1"/>
  <c r="V22" i="66"/>
  <c r="X22" i="66" s="1"/>
  <c r="Y22" i="66" s="1"/>
  <c r="V21" i="66"/>
  <c r="V20" i="66"/>
  <c r="Y31" i="66"/>
  <c r="S20" i="66"/>
  <c r="W17" i="66"/>
  <c r="V16" i="66"/>
  <c r="W16" i="66" s="1"/>
  <c r="Y15" i="66"/>
  <c r="Y13" i="66"/>
  <c r="V12" i="66"/>
  <c r="Y12" i="66" s="1"/>
  <c r="W11" i="66"/>
  <c r="Y10" i="66"/>
  <c r="AA10" i="66" s="1"/>
  <c r="W9" i="66"/>
  <c r="Y8" i="66"/>
  <c r="AA8" i="66" s="1"/>
  <c r="W7" i="66"/>
  <c r="W5" i="66"/>
  <c r="AA5" i="66" s="1"/>
  <c r="Y5" i="66" s="1"/>
  <c r="Y4" i="66"/>
  <c r="S21" i="66" s="1"/>
  <c r="W4" i="66"/>
  <c r="V3" i="66"/>
  <c r="W3" i="66" s="1"/>
  <c r="X3" i="66" s="1"/>
  <c r="N45" i="67"/>
  <c r="M45" i="67"/>
  <c r="L45" i="67"/>
  <c r="K45" i="67"/>
  <c r="J45" i="67"/>
  <c r="I45" i="67"/>
  <c r="H45" i="67"/>
  <c r="G45" i="67"/>
  <c r="F45" i="67"/>
  <c r="E45" i="67"/>
  <c r="D45" i="67"/>
  <c r="C45" i="67"/>
  <c r="N30" i="67"/>
  <c r="M30" i="67"/>
  <c r="L30" i="67"/>
  <c r="K30" i="67"/>
  <c r="J30" i="67"/>
  <c r="I30" i="67"/>
  <c r="H30" i="67"/>
  <c r="G30" i="67"/>
  <c r="F30" i="67"/>
  <c r="E30" i="67"/>
  <c r="D30" i="67"/>
  <c r="C30" i="67"/>
  <c r="N15" i="67"/>
  <c r="M15" i="67"/>
  <c r="L15" i="67"/>
  <c r="K15" i="67"/>
  <c r="J15" i="67"/>
  <c r="I15" i="67"/>
  <c r="H15" i="67"/>
  <c r="G12" i="66" s="1"/>
  <c r="G15" i="67"/>
  <c r="F15" i="67"/>
  <c r="E12" i="66" s="1"/>
  <c r="E15" i="67"/>
  <c r="D15" i="67"/>
  <c r="C12" i="66" s="1"/>
  <c r="C15" i="67"/>
  <c r="N9" i="67"/>
  <c r="M9" i="67"/>
  <c r="L9" i="67"/>
  <c r="K9" i="67"/>
  <c r="J9" i="67"/>
  <c r="I9" i="67"/>
  <c r="H9" i="67"/>
  <c r="G9" i="67"/>
  <c r="F9" i="67"/>
  <c r="E9" i="67"/>
  <c r="D9" i="67"/>
  <c r="C9" i="67"/>
  <c r="C9" i="49"/>
  <c r="C18" i="49" s="1"/>
  <c r="D9" i="49"/>
  <c r="D18" i="49" s="1"/>
  <c r="E9" i="49"/>
  <c r="E18" i="49" s="1"/>
  <c r="F9" i="49"/>
  <c r="F18" i="49" s="1"/>
  <c r="G9" i="49"/>
  <c r="G18" i="49" s="1"/>
  <c r="H9" i="49"/>
  <c r="H18" i="49" s="1"/>
  <c r="I9" i="49"/>
  <c r="I18" i="49" s="1"/>
  <c r="J9" i="49"/>
  <c r="J18" i="49" s="1"/>
  <c r="K9" i="49"/>
  <c r="K18" i="49" s="1"/>
  <c r="L9" i="49"/>
  <c r="L18" i="49" s="1"/>
  <c r="M9" i="49"/>
  <c r="M18" i="49" s="1"/>
  <c r="N9" i="49"/>
  <c r="N18" i="49" s="1"/>
  <c r="X24" i="66" l="1"/>
  <c r="X35" i="66" s="1"/>
  <c r="V35" i="66"/>
  <c r="E16" i="67"/>
  <c r="X14" i="66"/>
  <c r="Y16" i="66"/>
  <c r="S33" i="66" s="1"/>
  <c r="U33" i="66" s="1"/>
  <c r="AA4" i="66"/>
  <c r="Z4" i="66" s="1"/>
  <c r="X20" i="66"/>
  <c r="Y20" i="66" s="1"/>
  <c r="C11" i="36"/>
  <c r="Y9" i="66"/>
  <c r="S26" i="66" s="1"/>
  <c r="U26" i="66" s="1"/>
  <c r="Y26" i="66"/>
  <c r="C10" i="36"/>
  <c r="Y17" i="66"/>
  <c r="F16" i="67"/>
  <c r="I12" i="66"/>
  <c r="J16" i="67"/>
  <c r="M12" i="66"/>
  <c r="N16" i="67"/>
  <c r="L12" i="66"/>
  <c r="M16" i="67"/>
  <c r="F12" i="66"/>
  <c r="G16" i="67"/>
  <c r="H12" i="66"/>
  <c r="I16" i="67"/>
  <c r="J12" i="66"/>
  <c r="K16" i="67"/>
  <c r="D16" i="67"/>
  <c r="H16" i="67"/>
  <c r="K12" i="66"/>
  <c r="L16" i="67"/>
  <c r="S30" i="66"/>
  <c r="U30" i="66" s="1"/>
  <c r="AA13" i="66"/>
  <c r="C93" i="36"/>
  <c r="W10" i="66"/>
  <c r="Z10" i="66" s="1"/>
  <c r="AA41" i="66"/>
  <c r="X41" i="66"/>
  <c r="D87" i="36" s="1"/>
  <c r="S45" i="66"/>
  <c r="U20" i="66"/>
  <c r="S27" i="66"/>
  <c r="U27" i="66" s="1"/>
  <c r="Y24" i="66"/>
  <c r="D88" i="36"/>
  <c r="Y42" i="66"/>
  <c r="AA42" i="66"/>
  <c r="X21" i="66"/>
  <c r="V36" i="66"/>
  <c r="X43" i="66"/>
  <c r="Y6" i="66"/>
  <c r="W6" i="66"/>
  <c r="X40" i="66"/>
  <c r="D86" i="36" s="1"/>
  <c r="X44" i="66"/>
  <c r="U21" i="66"/>
  <c r="U45" i="66"/>
  <c r="S32" i="66"/>
  <c r="U32" i="66" s="1"/>
  <c r="AA15" i="66"/>
  <c r="S22" i="66"/>
  <c r="U22" i="66" s="1"/>
  <c r="X5" i="66"/>
  <c r="S29" i="66"/>
  <c r="U29" i="66" s="1"/>
  <c r="AA12" i="66"/>
  <c r="S25" i="66"/>
  <c r="U25" i="66" s="1"/>
  <c r="Y7" i="66"/>
  <c r="W8" i="66"/>
  <c r="Y11" i="66"/>
  <c r="W12" i="66"/>
  <c r="W15" i="66"/>
  <c r="A19" i="23"/>
  <c r="B21" i="14" s="1"/>
  <c r="B19" i="14"/>
  <c r="B18" i="14"/>
  <c r="A14" i="23"/>
  <c r="B16" i="14" s="1"/>
  <c r="A13" i="23"/>
  <c r="B15" i="14" s="1"/>
  <c r="A12" i="23"/>
  <c r="B14" i="14" s="1"/>
  <c r="A11" i="23"/>
  <c r="B13" i="14" s="1"/>
  <c r="A10" i="23"/>
  <c r="B12" i="14" s="1"/>
  <c r="A9" i="23"/>
  <c r="B11" i="14" s="1"/>
  <c r="A8" i="23"/>
  <c r="B10" i="14" s="1"/>
  <c r="A7" i="23"/>
  <c r="B9" i="14" s="1"/>
  <c r="AA16" i="66" l="1"/>
  <c r="Z16" i="66" s="1"/>
  <c r="AA9" i="66"/>
  <c r="Z9" i="66" s="1"/>
  <c r="Y41" i="66"/>
  <c r="S34" i="66"/>
  <c r="U34" i="66" s="1"/>
  <c r="AA17" i="66"/>
  <c r="Z17" i="66" s="1"/>
  <c r="Y40" i="66"/>
  <c r="AA45" i="66"/>
  <c r="Y37" i="66"/>
  <c r="Y44" i="66"/>
  <c r="D90" i="36"/>
  <c r="X45" i="66"/>
  <c r="AA6" i="66"/>
  <c r="Z6" i="66" s="1"/>
  <c r="S23" i="66"/>
  <c r="Y35" i="66"/>
  <c r="Y21" i="66"/>
  <c r="X36" i="66"/>
  <c r="Z8" i="66"/>
  <c r="D89" i="36"/>
  <c r="Y43" i="66"/>
  <c r="D11" i="36"/>
  <c r="E11" i="36"/>
  <c r="E10" i="36"/>
  <c r="D10" i="36"/>
  <c r="E86" i="36" s="1"/>
  <c r="I86" i="36" s="1"/>
  <c r="C88" i="36"/>
  <c r="C91" i="36"/>
  <c r="C90" i="36"/>
  <c r="C86" i="36"/>
  <c r="C87" i="36"/>
  <c r="C92" i="36"/>
  <c r="C89" i="36"/>
  <c r="S24" i="66"/>
  <c r="AA7" i="66"/>
  <c r="Z7" i="66" s="1"/>
  <c r="S28" i="66"/>
  <c r="U28" i="66" s="1"/>
  <c r="AA11" i="66"/>
  <c r="Z11" i="66" s="1"/>
  <c r="R24" i="36"/>
  <c r="R23" i="36"/>
  <c r="R22" i="36"/>
  <c r="R21" i="36"/>
  <c r="Y45" i="66" l="1"/>
  <c r="D93" i="36"/>
  <c r="H92" i="36"/>
  <c r="H91" i="36"/>
  <c r="H90" i="36"/>
  <c r="H87" i="36"/>
  <c r="H88" i="36"/>
  <c r="H89" i="36"/>
  <c r="H86" i="36"/>
  <c r="U23" i="66"/>
  <c r="S36" i="66"/>
  <c r="U24" i="66"/>
  <c r="S35" i="66"/>
  <c r="E90" i="36"/>
  <c r="I90" i="36" s="1"/>
  <c r="E89" i="36"/>
  <c r="I89" i="36" s="1"/>
  <c r="D79" i="36"/>
  <c r="E92" i="36"/>
  <c r="F92" i="36" s="1"/>
  <c r="E91" i="36"/>
  <c r="F91" i="36" s="1"/>
  <c r="E87" i="36"/>
  <c r="E88" i="36"/>
  <c r="F89" i="36" l="1"/>
  <c r="G89" i="36" s="1"/>
  <c r="I87" i="36"/>
  <c r="F87" i="36"/>
  <c r="G87" i="36" s="1"/>
  <c r="F90" i="36"/>
  <c r="G90" i="36" s="1"/>
  <c r="G15" i="36"/>
  <c r="E93" i="36"/>
  <c r="F86" i="36"/>
  <c r="G86" i="36" s="1"/>
  <c r="I88" i="36"/>
  <c r="F88" i="36"/>
  <c r="G88" i="36" s="1"/>
  <c r="H93" i="36"/>
  <c r="J70" i="24"/>
  <c r="J65" i="24"/>
  <c r="J60" i="24"/>
  <c r="J55" i="24"/>
  <c r="J50" i="24"/>
  <c r="J45" i="24"/>
  <c r="J40" i="24"/>
  <c r="J35" i="24"/>
  <c r="J30" i="24"/>
  <c r="J25" i="24"/>
  <c r="J20" i="24"/>
  <c r="J15" i="24"/>
  <c r="J10" i="24"/>
  <c r="D70" i="24"/>
  <c r="D71" i="24" s="1"/>
  <c r="D72" i="24" s="1"/>
  <c r="D73" i="24" s="1"/>
  <c r="D74" i="24" s="1"/>
  <c r="E65" i="24"/>
  <c r="E66" i="24" s="1"/>
  <c r="E67" i="24" s="1"/>
  <c r="E68" i="24" s="1"/>
  <c r="E69" i="24" s="1"/>
  <c r="D65" i="24"/>
  <c r="D66" i="24" s="1"/>
  <c r="D67" i="24" s="1"/>
  <c r="D68" i="24" s="1"/>
  <c r="D69" i="24" s="1"/>
  <c r="E60" i="24"/>
  <c r="E61" i="24" s="1"/>
  <c r="E62" i="24" s="1"/>
  <c r="E63" i="24" s="1"/>
  <c r="E64" i="24" s="1"/>
  <c r="D60" i="24"/>
  <c r="D61" i="24" s="1"/>
  <c r="D62" i="24" s="1"/>
  <c r="D63" i="24" s="1"/>
  <c r="D64" i="24" s="1"/>
  <c r="D55" i="24"/>
  <c r="D56" i="24" s="1"/>
  <c r="D57" i="24" s="1"/>
  <c r="D58" i="24" s="1"/>
  <c r="D59" i="24" s="1"/>
  <c r="E50" i="24"/>
  <c r="E51" i="24" s="1"/>
  <c r="E52" i="24" s="1"/>
  <c r="E53" i="24" s="1"/>
  <c r="E54" i="24" s="1"/>
  <c r="D50" i="24"/>
  <c r="D51" i="24" s="1"/>
  <c r="D52" i="24" s="1"/>
  <c r="D53" i="24" s="1"/>
  <c r="D54" i="24" s="1"/>
  <c r="E45" i="24"/>
  <c r="E46" i="24" s="1"/>
  <c r="E47" i="24" s="1"/>
  <c r="E48" i="24" s="1"/>
  <c r="E49" i="24" s="1"/>
  <c r="D45" i="24"/>
  <c r="D46" i="24" s="1"/>
  <c r="D47" i="24" s="1"/>
  <c r="D48" i="24" s="1"/>
  <c r="D49" i="24" s="1"/>
  <c r="E40" i="24"/>
  <c r="E41" i="24" s="1"/>
  <c r="E42" i="24" s="1"/>
  <c r="E43" i="24" s="1"/>
  <c r="E44" i="24" s="1"/>
  <c r="D40" i="24"/>
  <c r="D41" i="24" s="1"/>
  <c r="D42" i="24" s="1"/>
  <c r="D43" i="24" s="1"/>
  <c r="D44" i="24" s="1"/>
  <c r="E35" i="24"/>
  <c r="E36" i="24" s="1"/>
  <c r="E37" i="24" s="1"/>
  <c r="E38" i="24" s="1"/>
  <c r="E39" i="24" s="1"/>
  <c r="D35" i="24"/>
  <c r="D36" i="24" s="1"/>
  <c r="D37" i="24" s="1"/>
  <c r="D38" i="24" s="1"/>
  <c r="D39" i="24" s="1"/>
  <c r="E30" i="24"/>
  <c r="E31" i="24" s="1"/>
  <c r="E32" i="24" s="1"/>
  <c r="E33" i="24" s="1"/>
  <c r="E34" i="24" s="1"/>
  <c r="D30" i="24"/>
  <c r="D31" i="24" s="1"/>
  <c r="D32" i="24" s="1"/>
  <c r="D33" i="24" s="1"/>
  <c r="D34" i="24" s="1"/>
  <c r="E25" i="24"/>
  <c r="E26" i="24" s="1"/>
  <c r="E27" i="24" s="1"/>
  <c r="E28" i="24" s="1"/>
  <c r="E29" i="24" s="1"/>
  <c r="D25" i="24"/>
  <c r="D26" i="24" s="1"/>
  <c r="D27" i="24" s="1"/>
  <c r="D28" i="24" s="1"/>
  <c r="D29" i="24" s="1"/>
  <c r="E20" i="24"/>
  <c r="E21" i="24" s="1"/>
  <c r="E22" i="24" s="1"/>
  <c r="E23" i="24" s="1"/>
  <c r="E24" i="24" s="1"/>
  <c r="D20" i="24"/>
  <c r="D21" i="24" s="1"/>
  <c r="D22" i="24" s="1"/>
  <c r="D23" i="24" s="1"/>
  <c r="D24" i="24" s="1"/>
  <c r="E15" i="24"/>
  <c r="E16" i="24" s="1"/>
  <c r="E17" i="24" s="1"/>
  <c r="E18" i="24" s="1"/>
  <c r="E19" i="24" s="1"/>
  <c r="D15" i="24"/>
  <c r="D16" i="24" s="1"/>
  <c r="D17" i="24" s="1"/>
  <c r="D18" i="24" s="1"/>
  <c r="D19" i="24" s="1"/>
  <c r="E10" i="24"/>
  <c r="E11" i="24" s="1"/>
  <c r="E12" i="24" s="1"/>
  <c r="E13" i="24" s="1"/>
  <c r="E14" i="24" s="1"/>
  <c r="D10" i="24"/>
  <c r="D11" i="24" s="1"/>
  <c r="D12" i="24" s="1"/>
  <c r="D13" i="24" s="1"/>
  <c r="D14" i="24" s="1"/>
  <c r="F93" i="36" l="1"/>
  <c r="G93" i="36"/>
  <c r="I93" i="36"/>
  <c r="K88" i="34" l="1"/>
  <c r="K87" i="34"/>
  <c r="K79" i="34" s="1"/>
  <c r="K86" i="34"/>
  <c r="K84" i="34"/>
  <c r="K83" i="34"/>
  <c r="K81" i="34"/>
  <c r="K80" i="34"/>
  <c r="K77" i="34"/>
  <c r="K76" i="34"/>
  <c r="K69" i="34"/>
  <c r="K68" i="34"/>
  <c r="K64" i="34"/>
  <c r="K60" i="34"/>
  <c r="K59" i="34"/>
  <c r="K56" i="34"/>
  <c r="K51" i="34"/>
  <c r="K50" i="34"/>
  <c r="K49" i="34"/>
  <c r="K46" i="34"/>
  <c r="K45" i="34"/>
  <c r="K39" i="34" s="1"/>
  <c r="K44" i="34"/>
  <c r="K43" i="34"/>
  <c r="K41" i="34"/>
  <c r="K40" i="34"/>
  <c r="K22" i="34"/>
  <c r="K21" i="34"/>
  <c r="K18" i="34"/>
  <c r="K11" i="34"/>
  <c r="K10" i="34"/>
  <c r="K9" i="34"/>
  <c r="D32" i="48" l="1"/>
  <c r="I49" i="45" l="1"/>
  <c r="H49" i="45"/>
  <c r="G49" i="45"/>
  <c r="F49" i="45"/>
  <c r="E49" i="45"/>
  <c r="D49" i="45"/>
  <c r="C49" i="45"/>
  <c r="I44" i="45"/>
  <c r="H44" i="45"/>
  <c r="G44" i="45"/>
  <c r="F44" i="45"/>
  <c r="E44" i="45"/>
  <c r="D44" i="45"/>
  <c r="C44" i="45"/>
  <c r="I39" i="45"/>
  <c r="H39" i="45"/>
  <c r="G39" i="45"/>
  <c r="F39" i="45"/>
  <c r="E39" i="45"/>
  <c r="D39" i="45"/>
  <c r="C39" i="45"/>
  <c r="I34" i="45"/>
  <c r="H34" i="45"/>
  <c r="G34" i="45"/>
  <c r="F34" i="45"/>
  <c r="E34" i="45"/>
  <c r="D34" i="45"/>
  <c r="C34" i="45"/>
  <c r="I29" i="45"/>
  <c r="H29" i="45"/>
  <c r="G29" i="45"/>
  <c r="F29" i="45"/>
  <c r="E29" i="45"/>
  <c r="D29" i="45"/>
  <c r="C29" i="45"/>
  <c r="I24" i="45"/>
  <c r="H24" i="45"/>
  <c r="G24" i="45"/>
  <c r="F24" i="45"/>
  <c r="E24" i="45"/>
  <c r="D24" i="45"/>
  <c r="C24" i="45"/>
  <c r="I19" i="45"/>
  <c r="H19" i="45"/>
  <c r="G19" i="45"/>
  <c r="F19" i="45"/>
  <c r="E19" i="45"/>
  <c r="D19" i="45"/>
  <c r="C19" i="45"/>
  <c r="I14" i="45"/>
  <c r="H14" i="45"/>
  <c r="G14" i="45"/>
  <c r="F14" i="45"/>
  <c r="E14" i="45"/>
  <c r="D14" i="45"/>
  <c r="C14" i="45"/>
  <c r="I9" i="45"/>
  <c r="H9" i="45"/>
  <c r="G9" i="45"/>
  <c r="F9" i="45"/>
  <c r="E9" i="45"/>
  <c r="D9" i="45"/>
  <c r="C9" i="45"/>
  <c r="J20" i="64"/>
  <c r="AJ31" i="34" s="1"/>
  <c r="AK31" i="34" s="1"/>
  <c r="AL31" i="34" s="1"/>
  <c r="AM31" i="34" s="1"/>
  <c r="I20" i="64"/>
  <c r="AI31" i="34" s="1"/>
  <c r="H20" i="64"/>
  <c r="AA43" i="64" s="1"/>
  <c r="G20" i="64"/>
  <c r="AG31" i="34" s="1"/>
  <c r="F20" i="64"/>
  <c r="AF31" i="34" s="1"/>
  <c r="E20" i="64"/>
  <c r="AE31" i="34" s="1"/>
  <c r="D20" i="64"/>
  <c r="C43" i="64" s="1"/>
  <c r="C20" i="64"/>
  <c r="AC31" i="34" s="1"/>
  <c r="J19" i="64"/>
  <c r="AF42" i="64" s="1"/>
  <c r="I19" i="64"/>
  <c r="AI30" i="34" s="1"/>
  <c r="H19" i="64"/>
  <c r="AH30" i="34" s="1"/>
  <c r="G19" i="64"/>
  <c r="AG30" i="34" s="1"/>
  <c r="F19" i="64"/>
  <c r="E19" i="64"/>
  <c r="AE30" i="34" s="1"/>
  <c r="D19" i="64"/>
  <c r="AD30" i="34" s="1"/>
  <c r="C19" i="64"/>
  <c r="AC30" i="34" s="1"/>
  <c r="J18" i="64"/>
  <c r="AJ29" i="34" s="1"/>
  <c r="AK29" i="34" s="1"/>
  <c r="AL29" i="34" s="1"/>
  <c r="AM29" i="34" s="1"/>
  <c r="I18" i="64"/>
  <c r="H18" i="64"/>
  <c r="U41" i="64" s="1"/>
  <c r="G18" i="64"/>
  <c r="AG29" i="34" s="1"/>
  <c r="F18" i="64"/>
  <c r="AF29" i="34" s="1"/>
  <c r="E18" i="64"/>
  <c r="D18" i="64"/>
  <c r="AD29" i="34" s="1"/>
  <c r="C18" i="64"/>
  <c r="AC29" i="34" s="1"/>
  <c r="J17" i="64"/>
  <c r="I17" i="64"/>
  <c r="H17" i="64"/>
  <c r="Y40" i="64" s="1"/>
  <c r="G17" i="64"/>
  <c r="F17" i="64"/>
  <c r="E17" i="64"/>
  <c r="D17" i="64"/>
  <c r="I40" i="64" s="1"/>
  <c r="C17" i="64"/>
  <c r="J16" i="64"/>
  <c r="I16" i="64"/>
  <c r="AI27" i="34" s="1"/>
  <c r="H16" i="64"/>
  <c r="AH27" i="34" s="1"/>
  <c r="G16" i="64"/>
  <c r="AG27" i="34" s="1"/>
  <c r="F16" i="64"/>
  <c r="R39" i="64" s="1"/>
  <c r="E16" i="64"/>
  <c r="AE27" i="34" s="1"/>
  <c r="D16" i="64"/>
  <c r="AD27" i="34" s="1"/>
  <c r="C16" i="64"/>
  <c r="AC27" i="34" s="1"/>
  <c r="J15" i="64"/>
  <c r="I15" i="64"/>
  <c r="I21" i="64" s="1"/>
  <c r="H15" i="64"/>
  <c r="AA38" i="64" s="1"/>
  <c r="G15" i="64"/>
  <c r="G21" i="64" s="1"/>
  <c r="F15" i="64"/>
  <c r="E15" i="64"/>
  <c r="E21" i="64" s="1"/>
  <c r="D15" i="64"/>
  <c r="G38" i="64" s="1"/>
  <c r="C15" i="64"/>
  <c r="C21" i="64" s="1"/>
  <c r="J11" i="64"/>
  <c r="I11" i="64"/>
  <c r="H11" i="64"/>
  <c r="G11" i="64"/>
  <c r="F11" i="64"/>
  <c r="E11" i="64"/>
  <c r="D11" i="64"/>
  <c r="C11" i="64"/>
  <c r="AC25" i="34" s="1"/>
  <c r="J10" i="64"/>
  <c r="I10" i="64"/>
  <c r="AI24" i="34" s="1"/>
  <c r="H10" i="64"/>
  <c r="G10" i="64"/>
  <c r="AG24" i="34" s="1"/>
  <c r="F10" i="64"/>
  <c r="AF24" i="34" s="1"/>
  <c r="E10" i="64"/>
  <c r="AE24" i="34" s="1"/>
  <c r="D10" i="64"/>
  <c r="C10" i="64"/>
  <c r="AC24" i="34" s="1"/>
  <c r="J9" i="64"/>
  <c r="I9" i="64"/>
  <c r="H9" i="64"/>
  <c r="G9" i="64"/>
  <c r="F9" i="64"/>
  <c r="E9" i="64"/>
  <c r="D9" i="64"/>
  <c r="C9" i="64"/>
  <c r="AC23" i="34" s="1"/>
  <c r="J8" i="64"/>
  <c r="AJ31" i="64" s="1"/>
  <c r="I8" i="64"/>
  <c r="H8" i="64"/>
  <c r="AA31" i="64" s="1"/>
  <c r="G8" i="64"/>
  <c r="AG22" i="34" s="1"/>
  <c r="F8" i="64"/>
  <c r="R31" i="64" s="1"/>
  <c r="E8" i="64"/>
  <c r="AE22" i="34" s="1"/>
  <c r="D8" i="64"/>
  <c r="I31" i="64" s="1"/>
  <c r="C8" i="64"/>
  <c r="AC22" i="34" s="1"/>
  <c r="J7" i="64"/>
  <c r="AJ30" i="64" s="1"/>
  <c r="I7" i="64"/>
  <c r="H7" i="64"/>
  <c r="AA30" i="64" s="1"/>
  <c r="G7" i="64"/>
  <c r="F7" i="64"/>
  <c r="R30" i="64" s="1"/>
  <c r="E7" i="64"/>
  <c r="D7" i="64"/>
  <c r="I30" i="64" s="1"/>
  <c r="C7" i="64"/>
  <c r="J6" i="64"/>
  <c r="AJ29" i="64" s="1"/>
  <c r="I6" i="64"/>
  <c r="I12" i="64" s="1"/>
  <c r="H6" i="64"/>
  <c r="Y29" i="64" s="1"/>
  <c r="G6" i="64"/>
  <c r="G12" i="64" s="1"/>
  <c r="F6" i="64"/>
  <c r="R29" i="64" s="1"/>
  <c r="E6" i="64"/>
  <c r="E12" i="64" s="1"/>
  <c r="D6" i="64"/>
  <c r="G29" i="64" s="1"/>
  <c r="C6" i="64"/>
  <c r="C12" i="64" s="1"/>
  <c r="O11" i="36"/>
  <c r="AG23" i="34" l="1"/>
  <c r="I32" i="64"/>
  <c r="AA32" i="64"/>
  <c r="Y33" i="64"/>
  <c r="AH24" i="34"/>
  <c r="AI22" i="34"/>
  <c r="AE23" i="34"/>
  <c r="AI23" i="34"/>
  <c r="AE28" i="34"/>
  <c r="AI28" i="34"/>
  <c r="AG25" i="34"/>
  <c r="I33" i="64"/>
  <c r="R32" i="64"/>
  <c r="AH32" i="64"/>
  <c r="AJ24" i="34"/>
  <c r="AK24" i="34" s="1"/>
  <c r="AL24" i="34" s="1"/>
  <c r="AM24" i="34" s="1"/>
  <c r="P34" i="64"/>
  <c r="AJ34" i="64"/>
  <c r="AJ26" i="34"/>
  <c r="AH39" i="64"/>
  <c r="AJ28" i="34"/>
  <c r="P42" i="64"/>
  <c r="AF20" i="34"/>
  <c r="AF25" i="34"/>
  <c r="AC21" i="34"/>
  <c r="AG28" i="34"/>
  <c r="AF26" i="34"/>
  <c r="AC28" i="34"/>
  <c r="AE21" i="34"/>
  <c r="AI21" i="34"/>
  <c r="AE25" i="34"/>
  <c r="AI25" i="34"/>
  <c r="AE29" i="34"/>
  <c r="AI29" i="34"/>
  <c r="AD22" i="34"/>
  <c r="AG21" i="34"/>
  <c r="AC26" i="34"/>
  <c r="AD31" i="34"/>
  <c r="AF28" i="34"/>
  <c r="AF27" i="34"/>
  <c r="AJ27" i="34"/>
  <c r="AK27" i="34" s="1"/>
  <c r="AL27" i="34" s="1"/>
  <c r="AM27" i="34" s="1"/>
  <c r="AH29" i="34"/>
  <c r="AH31" i="34"/>
  <c r="AF22" i="34"/>
  <c r="AF30" i="34"/>
  <c r="AJ30" i="34"/>
  <c r="AK30" i="34" s="1"/>
  <c r="AL30" i="34" s="1"/>
  <c r="AM30" i="34" s="1"/>
  <c r="T34" i="64"/>
  <c r="O38" i="64"/>
  <c r="AE38" i="64"/>
  <c r="B39" i="64"/>
  <c r="Z39" i="64"/>
  <c r="Q40" i="64"/>
  <c r="AG40" i="64"/>
  <c r="D41" i="64"/>
  <c r="X42" i="64"/>
  <c r="S43" i="64"/>
  <c r="AI43" i="64"/>
  <c r="AS30" i="64"/>
  <c r="K43" i="64"/>
  <c r="J39" i="64"/>
  <c r="AB34" i="64"/>
  <c r="E29" i="64"/>
  <c r="I29" i="64"/>
  <c r="W29" i="64"/>
  <c r="AA29" i="64"/>
  <c r="AS29" i="64" s="1"/>
  <c r="L30" i="64"/>
  <c r="P30" i="64"/>
  <c r="AD30" i="64"/>
  <c r="AH30" i="64"/>
  <c r="C31" i="64"/>
  <c r="G31" i="64"/>
  <c r="U31" i="64"/>
  <c r="Y31" i="64"/>
  <c r="L32" i="64"/>
  <c r="P32" i="64"/>
  <c r="AD32" i="64"/>
  <c r="E33" i="64"/>
  <c r="U33" i="64"/>
  <c r="L34" i="64"/>
  <c r="AF34" i="64"/>
  <c r="C38" i="64"/>
  <c r="W38" i="64"/>
  <c r="N39" i="64"/>
  <c r="AD39" i="64"/>
  <c r="E40" i="64"/>
  <c r="U40" i="64"/>
  <c r="V30" i="64"/>
  <c r="F30" i="64"/>
  <c r="C29" i="64"/>
  <c r="U29" i="64"/>
  <c r="N30" i="64"/>
  <c r="AF30" i="64"/>
  <c r="E31" i="64"/>
  <c r="W31" i="64"/>
  <c r="N32" i="64"/>
  <c r="AC41" i="64"/>
  <c r="AC40" i="64"/>
  <c r="M41" i="64"/>
  <c r="M40" i="64"/>
  <c r="H42" i="64"/>
  <c r="H41" i="64"/>
  <c r="AK41" i="64"/>
  <c r="AK40" i="64"/>
  <c r="M29" i="64"/>
  <c r="Q29" i="64"/>
  <c r="AC29" i="64"/>
  <c r="AG29" i="64"/>
  <c r="AK29" i="64"/>
  <c r="D30" i="64"/>
  <c r="H30" i="64"/>
  <c r="T30" i="64"/>
  <c r="X30" i="64"/>
  <c r="AB30" i="64"/>
  <c r="K31" i="64"/>
  <c r="O31" i="64"/>
  <c r="S31" i="64"/>
  <c r="AE31" i="64"/>
  <c r="AI31" i="64"/>
  <c r="B32" i="64"/>
  <c r="F32" i="64"/>
  <c r="J32" i="64"/>
  <c r="V32" i="64"/>
  <c r="Z32" i="64"/>
  <c r="M33" i="64"/>
  <c r="AC33" i="64"/>
  <c r="AK33" i="64"/>
  <c r="H34" i="64"/>
  <c r="X34" i="64"/>
  <c r="K38" i="64"/>
  <c r="S38" i="64"/>
  <c r="AI38" i="64"/>
  <c r="F39" i="64"/>
  <c r="V39" i="64"/>
  <c r="J29" i="64"/>
  <c r="AB29" i="64"/>
  <c r="S30" i="64"/>
  <c r="AK30" i="64"/>
  <c r="J31" i="64"/>
  <c r="AB31" i="64"/>
  <c r="S32" i="64"/>
  <c r="K29" i="64"/>
  <c r="O29" i="64"/>
  <c r="S29" i="64"/>
  <c r="AE29" i="64"/>
  <c r="AI29" i="64"/>
  <c r="B30" i="64"/>
  <c r="J30" i="64"/>
  <c r="Z30" i="64"/>
  <c r="M31" i="64"/>
  <c r="Q31" i="64"/>
  <c r="AC31" i="64"/>
  <c r="AG31" i="64"/>
  <c r="AK31" i="64"/>
  <c r="AS31" i="64"/>
  <c r="D32" i="64"/>
  <c r="H32" i="64"/>
  <c r="T32" i="64"/>
  <c r="X32" i="64"/>
  <c r="Q33" i="64"/>
  <c r="AG33" i="64"/>
  <c r="D34" i="64"/>
  <c r="AK32" i="64"/>
  <c r="AI32" i="64"/>
  <c r="AG32" i="64"/>
  <c r="AE32" i="64"/>
  <c r="AC32" i="64"/>
  <c r="J33" i="64"/>
  <c r="H33" i="64"/>
  <c r="F33" i="64"/>
  <c r="D33" i="64"/>
  <c r="B33" i="64"/>
  <c r="R33" i="64"/>
  <c r="P33" i="64"/>
  <c r="N33" i="64"/>
  <c r="L33" i="64"/>
  <c r="AB33" i="64"/>
  <c r="Z33" i="64"/>
  <c r="X33" i="64"/>
  <c r="V33" i="64"/>
  <c r="T33" i="64"/>
  <c r="AJ33" i="64"/>
  <c r="AH33" i="64"/>
  <c r="AF33" i="64"/>
  <c r="AD33" i="64"/>
  <c r="I34" i="64"/>
  <c r="G34" i="64"/>
  <c r="E34" i="64"/>
  <c r="C34" i="64"/>
  <c r="S34" i="64"/>
  <c r="Q34" i="64"/>
  <c r="O34" i="64"/>
  <c r="M34" i="64"/>
  <c r="K34" i="64"/>
  <c r="AA34" i="64"/>
  <c r="Y34" i="64"/>
  <c r="W34" i="64"/>
  <c r="U34" i="64"/>
  <c r="AK34" i="64"/>
  <c r="AI34" i="64"/>
  <c r="AG34" i="64"/>
  <c r="AE34" i="64"/>
  <c r="AC34" i="64"/>
  <c r="D12" i="64"/>
  <c r="F12" i="64"/>
  <c r="H12" i="64"/>
  <c r="J12" i="64"/>
  <c r="J38" i="64"/>
  <c r="H38" i="64"/>
  <c r="F38" i="64"/>
  <c r="D38" i="64"/>
  <c r="B38" i="64"/>
  <c r="R38" i="64"/>
  <c r="P38" i="64"/>
  <c r="N38" i="64"/>
  <c r="L38" i="64"/>
  <c r="AB38" i="64"/>
  <c r="Z38" i="64"/>
  <c r="X38" i="64"/>
  <c r="V38" i="64"/>
  <c r="T38" i="64"/>
  <c r="AJ38" i="64"/>
  <c r="AH38" i="64"/>
  <c r="AF38" i="64"/>
  <c r="AD38" i="64"/>
  <c r="I39" i="64"/>
  <c r="G39" i="64"/>
  <c r="E39" i="64"/>
  <c r="C39" i="64"/>
  <c r="S39" i="64"/>
  <c r="Q39" i="64"/>
  <c r="O39" i="64"/>
  <c r="M39" i="64"/>
  <c r="K39" i="64"/>
  <c r="AA39" i="64"/>
  <c r="Y39" i="64"/>
  <c r="AQ39" i="64" s="1"/>
  <c r="W39" i="64"/>
  <c r="U39" i="64"/>
  <c r="AK39" i="64"/>
  <c r="AI39" i="64"/>
  <c r="AG39" i="64"/>
  <c r="AE39" i="64"/>
  <c r="AC39" i="64"/>
  <c r="J40" i="64"/>
  <c r="H40" i="64"/>
  <c r="F40" i="64"/>
  <c r="D40" i="64"/>
  <c r="B40" i="64"/>
  <c r="R40" i="64"/>
  <c r="P40" i="64"/>
  <c r="N40" i="64"/>
  <c r="L40" i="64"/>
  <c r="AB40" i="64"/>
  <c r="Z40" i="64"/>
  <c r="X40" i="64"/>
  <c r="V40" i="64"/>
  <c r="T40" i="64"/>
  <c r="AJ40" i="64"/>
  <c r="AH40" i="64"/>
  <c r="AF40" i="64"/>
  <c r="AD40" i="64"/>
  <c r="I41" i="64"/>
  <c r="G41" i="64"/>
  <c r="E41" i="64"/>
  <c r="C41" i="64"/>
  <c r="R41" i="64"/>
  <c r="P41" i="64"/>
  <c r="N41" i="64"/>
  <c r="L41" i="64"/>
  <c r="S41" i="64"/>
  <c r="O41" i="64"/>
  <c r="K41" i="64"/>
  <c r="AB41" i="64"/>
  <c r="Z41" i="64"/>
  <c r="X41" i="64"/>
  <c r="V41" i="64"/>
  <c r="T41" i="64"/>
  <c r="AA41" i="64"/>
  <c r="W41" i="64"/>
  <c r="AJ41" i="64"/>
  <c r="AH41" i="64"/>
  <c r="AF41" i="64"/>
  <c r="AD41" i="64"/>
  <c r="AM41" i="64" s="1"/>
  <c r="AI41" i="64"/>
  <c r="AE41" i="64"/>
  <c r="I42" i="64"/>
  <c r="G42" i="64"/>
  <c r="E42" i="64"/>
  <c r="C42" i="64"/>
  <c r="J42" i="64"/>
  <c r="F42" i="64"/>
  <c r="B42" i="64"/>
  <c r="S42" i="64"/>
  <c r="Q42" i="64"/>
  <c r="O42" i="64"/>
  <c r="M42" i="64"/>
  <c r="K42" i="64"/>
  <c r="R42" i="64"/>
  <c r="N42" i="64"/>
  <c r="AA42" i="64"/>
  <c r="Y42" i="64"/>
  <c r="W42" i="64"/>
  <c r="U42" i="64"/>
  <c r="Z42" i="64"/>
  <c r="V42" i="64"/>
  <c r="AK42" i="64"/>
  <c r="AI42" i="64"/>
  <c r="AG42" i="64"/>
  <c r="AE42" i="64"/>
  <c r="AC42" i="64"/>
  <c r="AH42" i="64"/>
  <c r="AD42" i="64"/>
  <c r="J43" i="64"/>
  <c r="H43" i="64"/>
  <c r="F43" i="64"/>
  <c r="D43" i="64"/>
  <c r="B43" i="64"/>
  <c r="I43" i="64"/>
  <c r="E43" i="64"/>
  <c r="R43" i="64"/>
  <c r="P43" i="64"/>
  <c r="N43" i="64"/>
  <c r="L43" i="64"/>
  <c r="Q43" i="64"/>
  <c r="M43" i="64"/>
  <c r="AB43" i="64"/>
  <c r="Z43" i="64"/>
  <c r="X43" i="64"/>
  <c r="V43" i="64"/>
  <c r="T43" i="64"/>
  <c r="Y43" i="64"/>
  <c r="U43" i="64"/>
  <c r="AJ43" i="64"/>
  <c r="AH43" i="64"/>
  <c r="AF43" i="64"/>
  <c r="AD43" i="64"/>
  <c r="AK43" i="64"/>
  <c r="AG43" i="64"/>
  <c r="AC43" i="64"/>
  <c r="D21" i="64"/>
  <c r="F21" i="64"/>
  <c r="H21" i="64"/>
  <c r="J21" i="64"/>
  <c r="B29" i="64"/>
  <c r="D29" i="64"/>
  <c r="F29" i="64"/>
  <c r="H29" i="64"/>
  <c r="L29" i="64"/>
  <c r="N29" i="64"/>
  <c r="P29" i="64"/>
  <c r="T29" i="64"/>
  <c r="V29" i="64"/>
  <c r="X29" i="64"/>
  <c r="Z29" i="64"/>
  <c r="AD29" i="64"/>
  <c r="AF29" i="64"/>
  <c r="AH29" i="64"/>
  <c r="C30" i="64"/>
  <c r="E30" i="64"/>
  <c r="G30" i="64"/>
  <c r="K30" i="64"/>
  <c r="M30" i="64"/>
  <c r="O30" i="64"/>
  <c r="Q30" i="64"/>
  <c r="U30" i="64"/>
  <c r="W30" i="64"/>
  <c r="Y30" i="64"/>
  <c r="AC30" i="64"/>
  <c r="AE30" i="64"/>
  <c r="AG30" i="64"/>
  <c r="AI30" i="64"/>
  <c r="B31" i="64"/>
  <c r="D31" i="64"/>
  <c r="F31" i="64"/>
  <c r="H31" i="64"/>
  <c r="L31" i="64"/>
  <c r="N31" i="64"/>
  <c r="P31" i="64"/>
  <c r="T31" i="64"/>
  <c r="V31" i="64"/>
  <c r="X31" i="64"/>
  <c r="Z31" i="64"/>
  <c r="AD31" i="64"/>
  <c r="AF31" i="64"/>
  <c r="AH31" i="64"/>
  <c r="C32" i="64"/>
  <c r="E32" i="64"/>
  <c r="G32" i="64"/>
  <c r="K32" i="64"/>
  <c r="M32" i="64"/>
  <c r="O32" i="64"/>
  <c r="Q32" i="64"/>
  <c r="U32" i="64"/>
  <c r="W32" i="64"/>
  <c r="Y32" i="64"/>
  <c r="AB32" i="64"/>
  <c r="AF32" i="64"/>
  <c r="AJ32" i="64"/>
  <c r="C33" i="64"/>
  <c r="G33" i="64"/>
  <c r="K33" i="64"/>
  <c r="O33" i="64"/>
  <c r="S33" i="64"/>
  <c r="W33" i="64"/>
  <c r="AA33" i="64"/>
  <c r="AE33" i="64"/>
  <c r="AI33" i="64"/>
  <c r="B34" i="64"/>
  <c r="F34" i="64"/>
  <c r="J34" i="64"/>
  <c r="N34" i="64"/>
  <c r="R34" i="64"/>
  <c r="V34" i="64"/>
  <c r="Z34" i="64"/>
  <c r="AD34" i="64"/>
  <c r="AH34" i="64"/>
  <c r="AQ34" i="64" s="1"/>
  <c r="E38" i="64"/>
  <c r="I38" i="64"/>
  <c r="M38" i="64"/>
  <c r="Q38" i="64"/>
  <c r="U38" i="64"/>
  <c r="Y38" i="64"/>
  <c r="AC38" i="64"/>
  <c r="AG38" i="64"/>
  <c r="AK38" i="64"/>
  <c r="D39" i="64"/>
  <c r="H39" i="64"/>
  <c r="L39" i="64"/>
  <c r="P39" i="64"/>
  <c r="T39" i="64"/>
  <c r="X39" i="64"/>
  <c r="AB39" i="64"/>
  <c r="AF39" i="64"/>
  <c r="AO39" i="64" s="1"/>
  <c r="AJ39" i="64"/>
  <c r="C40" i="64"/>
  <c r="G40" i="64"/>
  <c r="K40" i="64"/>
  <c r="O40" i="64"/>
  <c r="S40" i="64"/>
  <c r="W40" i="64"/>
  <c r="AA40" i="64"/>
  <c r="AE40" i="64"/>
  <c r="AI40" i="64"/>
  <c r="B41" i="64"/>
  <c r="F41" i="64"/>
  <c r="J41" i="64"/>
  <c r="Q41" i="64"/>
  <c r="Y41" i="64"/>
  <c r="AG41" i="64"/>
  <c r="D42" i="64"/>
  <c r="L42" i="64"/>
  <c r="T42" i="64"/>
  <c r="AB42" i="64"/>
  <c r="AJ42" i="64"/>
  <c r="G43" i="64"/>
  <c r="O43" i="64"/>
  <c r="W43" i="64"/>
  <c r="AE43" i="64"/>
  <c r="C38" i="46"/>
  <c r="C37" i="46"/>
  <c r="AD24" i="34" l="1"/>
  <c r="AD25" i="34"/>
  <c r="AJ25" i="34"/>
  <c r="AK25" i="34" s="1"/>
  <c r="AL25" i="34" s="1"/>
  <c r="AM25" i="34" s="1"/>
  <c r="L632" i="30"/>
  <c r="L628" i="30"/>
  <c r="L624" i="30"/>
  <c r="L620" i="30"/>
  <c r="L616" i="30"/>
  <c r="G613" i="30"/>
  <c r="L612" i="30"/>
  <c r="H612" i="30"/>
  <c r="G609" i="30"/>
  <c r="L608" i="30"/>
  <c r="H608" i="30"/>
  <c r="L604" i="30"/>
  <c r="L600" i="30"/>
  <c r="L596" i="30"/>
  <c r="L592" i="30"/>
  <c r="L588" i="30"/>
  <c r="G585" i="30"/>
  <c r="L584" i="30"/>
  <c r="G581" i="30"/>
  <c r="L580" i="30"/>
  <c r="L576" i="30"/>
  <c r="L572" i="30"/>
  <c r="L568" i="30"/>
  <c r="L564" i="30"/>
  <c r="L560" i="30"/>
  <c r="L556" i="30"/>
  <c r="L552" i="30"/>
  <c r="L548" i="30"/>
  <c r="L544" i="30"/>
  <c r="L540" i="30"/>
  <c r="L528" i="30"/>
  <c r="L524" i="30"/>
  <c r="L520" i="30"/>
  <c r="L516" i="30"/>
  <c r="L512" i="30"/>
  <c r="L508" i="30"/>
  <c r="L504" i="30"/>
  <c r="L631" i="30"/>
  <c r="L627" i="30"/>
  <c r="L623" i="30"/>
  <c r="L619" i="30"/>
  <c r="L615" i="30"/>
  <c r="G612" i="30"/>
  <c r="L611" i="30"/>
  <c r="H611" i="30"/>
  <c r="G608" i="30"/>
  <c r="L607" i="30"/>
  <c r="L603" i="30"/>
  <c r="L599" i="30"/>
  <c r="L595" i="30"/>
  <c r="L591" i="30"/>
  <c r="L587" i="30"/>
  <c r="G584" i="30"/>
  <c r="L583" i="30"/>
  <c r="G580" i="30"/>
  <c r="L579" i="30"/>
  <c r="L575" i="30"/>
  <c r="L571" i="30"/>
  <c r="L567" i="30"/>
  <c r="L563" i="30"/>
  <c r="L559" i="30"/>
  <c r="L555" i="30"/>
  <c r="L551" i="30"/>
  <c r="L547" i="30"/>
  <c r="L543" i="30"/>
  <c r="L531" i="30"/>
  <c r="L527" i="30"/>
  <c r="L523" i="30"/>
  <c r="L519" i="30"/>
  <c r="L515" i="30"/>
  <c r="L511" i="30"/>
  <c r="L507" i="30"/>
  <c r="L503" i="30"/>
  <c r="L630" i="30"/>
  <c r="L626" i="30"/>
  <c r="L622" i="30"/>
  <c r="L618" i="30"/>
  <c r="L614" i="30"/>
  <c r="G611" i="30"/>
  <c r="L610" i="30"/>
  <c r="H610" i="30"/>
  <c r="L606" i="30"/>
  <c r="L602" i="30"/>
  <c r="L598" i="30"/>
  <c r="L594" i="30"/>
  <c r="L590" i="30"/>
  <c r="L586" i="30"/>
  <c r="G583" i="30"/>
  <c r="L582" i="30"/>
  <c r="G579" i="30"/>
  <c r="L578" i="30"/>
  <c r="L574" i="30"/>
  <c r="L570" i="30"/>
  <c r="L566" i="30"/>
  <c r="L562" i="30"/>
  <c r="L558" i="30"/>
  <c r="L554" i="30"/>
  <c r="L550" i="30"/>
  <c r="L546" i="30"/>
  <c r="L542" i="30"/>
  <c r="L530" i="30"/>
  <c r="L526" i="30"/>
  <c r="L522" i="30"/>
  <c r="L518" i="30"/>
  <c r="L514" i="30"/>
  <c r="L510" i="30"/>
  <c r="L506" i="30"/>
  <c r="L621" i="30"/>
  <c r="H609" i="30"/>
  <c r="L605" i="30"/>
  <c r="L589" i="30"/>
  <c r="L573" i="30"/>
  <c r="L557" i="30"/>
  <c r="L541" i="30"/>
  <c r="L525" i="30"/>
  <c r="L509" i="30"/>
  <c r="G500" i="30"/>
  <c r="L499" i="30"/>
  <c r="G496" i="30"/>
  <c r="L495" i="30"/>
  <c r="L491" i="30"/>
  <c r="L487" i="30"/>
  <c r="L483" i="30"/>
  <c r="L471" i="30"/>
  <c r="L467" i="30"/>
  <c r="L463" i="30"/>
  <c r="L459" i="30"/>
  <c r="L455" i="30"/>
  <c r="G432" i="30"/>
  <c r="L431" i="30"/>
  <c r="H431" i="30"/>
  <c r="G428" i="30"/>
  <c r="L427" i="30"/>
  <c r="H427" i="30"/>
  <c r="G424" i="30"/>
  <c r="L423" i="30"/>
  <c r="H423" i="30"/>
  <c r="L419" i="30"/>
  <c r="L415" i="30"/>
  <c r="L411" i="30"/>
  <c r="L407" i="30"/>
  <c r="L403" i="30"/>
  <c r="L633" i="30"/>
  <c r="L617" i="30"/>
  <c r="L601" i="30"/>
  <c r="L585" i="30"/>
  <c r="G582" i="30"/>
  <c r="L569" i="30"/>
  <c r="L553" i="30"/>
  <c r="L521" i="30"/>
  <c r="L505" i="30"/>
  <c r="L502" i="30"/>
  <c r="G499" i="30"/>
  <c r="L498" i="30"/>
  <c r="G495" i="30"/>
  <c r="L494" i="30"/>
  <c r="L490" i="30"/>
  <c r="L486" i="30"/>
  <c r="L470" i="30"/>
  <c r="L466" i="30"/>
  <c r="L462" i="30"/>
  <c r="L458" i="30"/>
  <c r="L454" i="30"/>
  <c r="G431" i="30"/>
  <c r="L430" i="30"/>
  <c r="H430" i="30"/>
  <c r="G427" i="30"/>
  <c r="L426" i="30"/>
  <c r="H426" i="30"/>
  <c r="G423" i="30"/>
  <c r="L422" i="30"/>
  <c r="H422" i="30"/>
  <c r="L418" i="30"/>
  <c r="L414" i="30"/>
  <c r="L410" i="30"/>
  <c r="L406" i="30"/>
  <c r="L402" i="30"/>
  <c r="L629" i="30"/>
  <c r="L613" i="30"/>
  <c r="G610" i="30"/>
  <c r="L597" i="30"/>
  <c r="L581" i="30"/>
  <c r="L565" i="30"/>
  <c r="L549" i="30"/>
  <c r="L517" i="30"/>
  <c r="L501" i="30"/>
  <c r="G498" i="30"/>
  <c r="L497" i="30"/>
  <c r="G494" i="30"/>
  <c r="L493" i="30"/>
  <c r="L489" i="30"/>
  <c r="L485" i="30"/>
  <c r="L473" i="30"/>
  <c r="L469" i="30"/>
  <c r="L465" i="30"/>
  <c r="L461" i="30"/>
  <c r="L457" i="30"/>
  <c r="L453" i="30"/>
  <c r="G430" i="30"/>
  <c r="L429" i="30"/>
  <c r="H429" i="30"/>
  <c r="G426" i="30"/>
  <c r="L425" i="30"/>
  <c r="H425" i="30"/>
  <c r="G422" i="30"/>
  <c r="L421" i="30"/>
  <c r="L417" i="30"/>
  <c r="L413" i="30"/>
  <c r="L409" i="30"/>
  <c r="L405" i="30"/>
  <c r="L401" i="30"/>
  <c r="L609" i="30"/>
  <c r="L545" i="30"/>
  <c r="L492" i="30"/>
  <c r="L460" i="30"/>
  <c r="H432" i="30"/>
  <c r="L428" i="30"/>
  <c r="G425" i="30"/>
  <c r="L412" i="30"/>
  <c r="L379" i="30"/>
  <c r="L375" i="30"/>
  <c r="L371" i="30"/>
  <c r="L367" i="30"/>
  <c r="L363" i="30"/>
  <c r="L359" i="30"/>
  <c r="K356" i="30"/>
  <c r="G356" i="30"/>
  <c r="L355" i="30"/>
  <c r="H355" i="30"/>
  <c r="I354" i="30"/>
  <c r="K352" i="30"/>
  <c r="G352" i="30"/>
  <c r="L351" i="30"/>
  <c r="H351" i="30"/>
  <c r="I350" i="30"/>
  <c r="L347" i="30"/>
  <c r="L343" i="30"/>
  <c r="L339" i="30"/>
  <c r="L335" i="30"/>
  <c r="L323" i="30"/>
  <c r="H323" i="30"/>
  <c r="I322" i="30"/>
  <c r="K320" i="30"/>
  <c r="G320" i="30"/>
  <c r="L319" i="30"/>
  <c r="H319" i="30"/>
  <c r="I318" i="30"/>
  <c r="K316" i="30"/>
  <c r="G316" i="30"/>
  <c r="L315" i="30"/>
  <c r="H315" i="30"/>
  <c r="I314" i="30"/>
  <c r="K312" i="30"/>
  <c r="G312" i="30"/>
  <c r="L311" i="30"/>
  <c r="H311" i="30"/>
  <c r="I310" i="30"/>
  <c r="K308" i="30"/>
  <c r="G308" i="30"/>
  <c r="L307" i="30"/>
  <c r="H307" i="30"/>
  <c r="I306" i="30"/>
  <c r="K304" i="30"/>
  <c r="G304" i="30"/>
  <c r="L303" i="30"/>
  <c r="H303" i="30"/>
  <c r="L299" i="30"/>
  <c r="L295" i="30"/>
  <c r="L291" i="30"/>
  <c r="L287" i="30"/>
  <c r="L283" i="30"/>
  <c r="L279" i="30"/>
  <c r="L275" i="30"/>
  <c r="L593" i="30"/>
  <c r="L529" i="30"/>
  <c r="L488" i="30"/>
  <c r="L472" i="30"/>
  <c r="L456" i="30"/>
  <c r="H428" i="30"/>
  <c r="L424" i="30"/>
  <c r="L408" i="30"/>
  <c r="L378" i="30"/>
  <c r="L374" i="30"/>
  <c r="L370" i="30"/>
  <c r="L366" i="30"/>
  <c r="L362" i="30"/>
  <c r="L358" i="30"/>
  <c r="I357" i="30"/>
  <c r="K355" i="30"/>
  <c r="G355" i="30"/>
  <c r="L354" i="30"/>
  <c r="H354" i="30"/>
  <c r="I353" i="30"/>
  <c r="K351" i="30"/>
  <c r="G351" i="30"/>
  <c r="L350" i="30"/>
  <c r="H350" i="30"/>
  <c r="I349" i="30"/>
  <c r="L346" i="30"/>
  <c r="L342" i="30"/>
  <c r="L338" i="30"/>
  <c r="L334" i="30"/>
  <c r="K323" i="30"/>
  <c r="G323" i="30"/>
  <c r="L322" i="30"/>
  <c r="H322" i="30"/>
  <c r="I321" i="30"/>
  <c r="K319" i="30"/>
  <c r="G319" i="30"/>
  <c r="L318" i="30"/>
  <c r="H318" i="30"/>
  <c r="I317" i="30"/>
  <c r="K315" i="30"/>
  <c r="G315" i="30"/>
  <c r="L314" i="30"/>
  <c r="H314" i="30"/>
  <c r="I313" i="30"/>
  <c r="K311" i="30"/>
  <c r="G311" i="30"/>
  <c r="L310" i="30"/>
  <c r="H310" i="30"/>
  <c r="I309" i="30"/>
  <c r="K307" i="30"/>
  <c r="G307" i="30"/>
  <c r="L306" i="30"/>
  <c r="H306" i="30"/>
  <c r="I305" i="30"/>
  <c r="K303" i="30"/>
  <c r="G303" i="30"/>
  <c r="L302" i="30"/>
  <c r="L298" i="30"/>
  <c r="L294" i="30"/>
  <c r="L290" i="30"/>
  <c r="L286" i="30"/>
  <c r="L282" i="30"/>
  <c r="L278" i="30"/>
  <c r="L274" i="30"/>
  <c r="H613" i="30"/>
  <c r="L577" i="30"/>
  <c r="L513" i="30"/>
  <c r="L500" i="30"/>
  <c r="G497" i="30"/>
  <c r="L484" i="30"/>
  <c r="L468" i="30"/>
  <c r="L452" i="30"/>
  <c r="H424" i="30"/>
  <c r="L420" i="30"/>
  <c r="L404" i="30"/>
  <c r="L377" i="30"/>
  <c r="L373" i="30"/>
  <c r="L369" i="30"/>
  <c r="L365" i="30"/>
  <c r="L361" i="30"/>
  <c r="L357" i="30"/>
  <c r="H357" i="30"/>
  <c r="I356" i="30"/>
  <c r="K354" i="30"/>
  <c r="G354" i="30"/>
  <c r="L353" i="30"/>
  <c r="H353" i="30"/>
  <c r="I352" i="30"/>
  <c r="K350" i="30"/>
  <c r="G350" i="30"/>
  <c r="L349" i="30"/>
  <c r="H349" i="30"/>
  <c r="L345" i="30"/>
  <c r="L341" i="30"/>
  <c r="L337" i="30"/>
  <c r="L333" i="30"/>
  <c r="K322" i="30"/>
  <c r="G322" i="30"/>
  <c r="L321" i="30"/>
  <c r="H321" i="30"/>
  <c r="I320" i="30"/>
  <c r="K318" i="30"/>
  <c r="G318" i="30"/>
  <c r="L317" i="30"/>
  <c r="H317" i="30"/>
  <c r="I316" i="30"/>
  <c r="K314" i="30"/>
  <c r="G314" i="30"/>
  <c r="L313" i="30"/>
  <c r="H313" i="30"/>
  <c r="I312" i="30"/>
  <c r="K310" i="30"/>
  <c r="G310" i="30"/>
  <c r="L309" i="30"/>
  <c r="H309" i="30"/>
  <c r="I308" i="30"/>
  <c r="K306" i="30"/>
  <c r="G306" i="30"/>
  <c r="L305" i="30"/>
  <c r="H305" i="30"/>
  <c r="I304" i="30"/>
  <c r="L301" i="30"/>
  <c r="L297" i="30"/>
  <c r="L293" i="30"/>
  <c r="L289" i="30"/>
  <c r="L285" i="30"/>
  <c r="L281" i="30"/>
  <c r="L277" i="30"/>
  <c r="L561" i="30"/>
  <c r="L496" i="30"/>
  <c r="L432" i="30"/>
  <c r="L364" i="30"/>
  <c r="K357" i="30"/>
  <c r="H352" i="30"/>
  <c r="L348" i="30"/>
  <c r="L332" i="30"/>
  <c r="H320" i="30"/>
  <c r="L316" i="30"/>
  <c r="G313" i="30"/>
  <c r="I311" i="30"/>
  <c r="K309" i="30"/>
  <c r="H304" i="30"/>
  <c r="L300" i="30"/>
  <c r="L284" i="30"/>
  <c r="L272" i="30"/>
  <c r="H272" i="30"/>
  <c r="I271" i="30"/>
  <c r="K269" i="30"/>
  <c r="G269" i="30"/>
  <c r="L268" i="30"/>
  <c r="H268" i="30"/>
  <c r="I267" i="30"/>
  <c r="K265" i="30"/>
  <c r="G265" i="30"/>
  <c r="L264" i="30"/>
  <c r="H264" i="30"/>
  <c r="I263" i="30"/>
  <c r="H252" i="30"/>
  <c r="I251" i="30"/>
  <c r="K249" i="30"/>
  <c r="G249" i="30"/>
  <c r="H248" i="30"/>
  <c r="I247" i="30"/>
  <c r="K245" i="30"/>
  <c r="G245" i="30"/>
  <c r="H244" i="30"/>
  <c r="I243" i="30"/>
  <c r="K241" i="30"/>
  <c r="G241" i="30"/>
  <c r="I239" i="30"/>
  <c r="K237" i="30"/>
  <c r="G237" i="30"/>
  <c r="I235" i="30"/>
  <c r="K233" i="30"/>
  <c r="G233" i="30"/>
  <c r="I231" i="30"/>
  <c r="K229" i="30"/>
  <c r="I227" i="30"/>
  <c r="K225" i="30"/>
  <c r="K213" i="30"/>
  <c r="G213" i="30"/>
  <c r="H212" i="30"/>
  <c r="I211" i="30"/>
  <c r="K209" i="30"/>
  <c r="G209" i="30"/>
  <c r="H208" i="30"/>
  <c r="I207" i="30"/>
  <c r="I195" i="30"/>
  <c r="K193" i="30"/>
  <c r="G193" i="30"/>
  <c r="I191" i="30"/>
  <c r="K189" i="30"/>
  <c r="G189" i="30"/>
  <c r="I187" i="30"/>
  <c r="K185" i="30"/>
  <c r="I183" i="30"/>
  <c r="K181" i="30"/>
  <c r="I179" i="30"/>
  <c r="L176" i="30"/>
  <c r="L172" i="30"/>
  <c r="L168" i="30"/>
  <c r="L164" i="30"/>
  <c r="L160" i="30"/>
  <c r="L156" i="30"/>
  <c r="I155" i="30"/>
  <c r="K153" i="30"/>
  <c r="G153" i="30"/>
  <c r="H152" i="30"/>
  <c r="I151" i="30"/>
  <c r="K149" i="30"/>
  <c r="G149" i="30"/>
  <c r="H148" i="30"/>
  <c r="L416" i="30"/>
  <c r="L376" i="30"/>
  <c r="L360" i="30"/>
  <c r="G357" i="30"/>
  <c r="I355" i="30"/>
  <c r="K353" i="30"/>
  <c r="L344" i="30"/>
  <c r="I323" i="30"/>
  <c r="K321" i="30"/>
  <c r="H316" i="30"/>
  <c r="L312" i="30"/>
  <c r="G309" i="30"/>
  <c r="I307" i="30"/>
  <c r="K305" i="30"/>
  <c r="L296" i="30"/>
  <c r="L280" i="30"/>
  <c r="K272" i="30"/>
  <c r="G272" i="30"/>
  <c r="L271" i="30"/>
  <c r="H271" i="30"/>
  <c r="I270" i="30"/>
  <c r="K268" i="30"/>
  <c r="G268" i="30"/>
  <c r="L267" i="30"/>
  <c r="H267" i="30"/>
  <c r="I266" i="30"/>
  <c r="K264" i="30"/>
  <c r="G264" i="30"/>
  <c r="L263" i="30"/>
  <c r="H263" i="30"/>
  <c r="I262" i="30"/>
  <c r="K252" i="30"/>
  <c r="G252" i="30"/>
  <c r="H251" i="30"/>
  <c r="I250" i="30"/>
  <c r="K248" i="30"/>
  <c r="G248" i="30"/>
  <c r="H247" i="30"/>
  <c r="I246" i="30"/>
  <c r="K244" i="30"/>
  <c r="G244" i="30"/>
  <c r="H243" i="30"/>
  <c r="I242" i="30"/>
  <c r="K240" i="30"/>
  <c r="G240" i="30"/>
  <c r="I238" i="30"/>
  <c r="K236" i="30"/>
  <c r="G236" i="30"/>
  <c r="I234" i="30"/>
  <c r="K232" i="30"/>
  <c r="G232" i="30"/>
  <c r="I230" i="30"/>
  <c r="K228" i="30"/>
  <c r="I226" i="30"/>
  <c r="K224" i="30"/>
  <c r="I214" i="30"/>
  <c r="K212" i="30"/>
  <c r="G212" i="30"/>
  <c r="H211" i="30"/>
  <c r="I210" i="30"/>
  <c r="K208" i="30"/>
  <c r="G208" i="30"/>
  <c r="H207" i="30"/>
  <c r="I206" i="30"/>
  <c r="K196" i="30"/>
  <c r="G196" i="30"/>
  <c r="I194" i="30"/>
  <c r="K192" i="30"/>
  <c r="G192" i="30"/>
  <c r="I190" i="30"/>
  <c r="K188" i="30"/>
  <c r="G188" i="30"/>
  <c r="I186" i="30"/>
  <c r="K184" i="30"/>
  <c r="I182" i="30"/>
  <c r="K180" i="30"/>
  <c r="I178" i="30"/>
  <c r="L175" i="30"/>
  <c r="L171" i="30"/>
  <c r="L167" i="30"/>
  <c r="L163" i="30"/>
  <c r="L159" i="30"/>
  <c r="H155" i="30"/>
  <c r="I154" i="30"/>
  <c r="K152" i="30"/>
  <c r="G152" i="30"/>
  <c r="H151" i="30"/>
  <c r="I150" i="30"/>
  <c r="K148" i="30"/>
  <c r="G148" i="30"/>
  <c r="H147" i="30"/>
  <c r="I146" i="30"/>
  <c r="L135" i="30"/>
  <c r="L131" i="30"/>
  <c r="L127" i="30"/>
  <c r="K124" i="30"/>
  <c r="G124" i="30"/>
  <c r="I122" i="30"/>
  <c r="K120" i="30"/>
  <c r="G120" i="30"/>
  <c r="I118" i="30"/>
  <c r="K116" i="30"/>
  <c r="G116" i="30"/>
  <c r="I114" i="30"/>
  <c r="K112" i="30"/>
  <c r="I110" i="30"/>
  <c r="K108" i="30"/>
  <c r="I106" i="30"/>
  <c r="K104" i="30"/>
  <c r="G104" i="30"/>
  <c r="I102" i="30"/>
  <c r="K100" i="30"/>
  <c r="G100" i="30"/>
  <c r="I98" i="30"/>
  <c r="K96" i="30"/>
  <c r="G96" i="30"/>
  <c r="K92" i="30"/>
  <c r="K88" i="30"/>
  <c r="L83" i="30"/>
  <c r="L79" i="30"/>
  <c r="L75" i="30"/>
  <c r="L71" i="30"/>
  <c r="L67" i="30"/>
  <c r="L464" i="30"/>
  <c r="G429" i="30"/>
  <c r="L400" i="30"/>
  <c r="L372" i="30"/>
  <c r="L356" i="30"/>
  <c r="G353" i="30"/>
  <c r="I351" i="30"/>
  <c r="K349" i="30"/>
  <c r="L340" i="30"/>
  <c r="G321" i="30"/>
  <c r="I319" i="30"/>
  <c r="K317" i="30"/>
  <c r="H312" i="30"/>
  <c r="L308" i="30"/>
  <c r="G305" i="30"/>
  <c r="I303" i="30"/>
  <c r="L292" i="30"/>
  <c r="L276" i="30"/>
  <c r="K271" i="30"/>
  <c r="G271" i="30"/>
  <c r="L270" i="30"/>
  <c r="H270" i="30"/>
  <c r="I269" i="30"/>
  <c r="K267" i="30"/>
  <c r="G267" i="30"/>
  <c r="L266" i="30"/>
  <c r="H266" i="30"/>
  <c r="I265" i="30"/>
  <c r="K263" i="30"/>
  <c r="G263" i="30"/>
  <c r="L262" i="30"/>
  <c r="H262" i="30"/>
  <c r="K251" i="30"/>
  <c r="G251" i="30"/>
  <c r="H250" i="30"/>
  <c r="I249" i="30"/>
  <c r="K247" i="30"/>
  <c r="G247" i="30"/>
  <c r="H246" i="30"/>
  <c r="I245" i="30"/>
  <c r="K243" i="30"/>
  <c r="G243" i="30"/>
  <c r="H242" i="30"/>
  <c r="I241" i="30"/>
  <c r="K239" i="30"/>
  <c r="G239" i="30"/>
  <c r="I237" i="30"/>
  <c r="K235" i="30"/>
  <c r="G235" i="30"/>
  <c r="I233" i="30"/>
  <c r="K231" i="30"/>
  <c r="I229" i="30"/>
  <c r="K227" i="30"/>
  <c r="I225" i="30"/>
  <c r="H214" i="30"/>
  <c r="I213" i="30"/>
  <c r="K211" i="30"/>
  <c r="G211" i="30"/>
  <c r="H210" i="30"/>
  <c r="I209" i="30"/>
  <c r="K207" i="30"/>
  <c r="G207" i="30"/>
  <c r="H206" i="30"/>
  <c r="K195" i="30"/>
  <c r="G195" i="30"/>
  <c r="I193" i="30"/>
  <c r="K191" i="30"/>
  <c r="G191" i="30"/>
  <c r="I189" i="30"/>
  <c r="K187" i="30"/>
  <c r="G187" i="30"/>
  <c r="I185" i="30"/>
  <c r="K183" i="30"/>
  <c r="I181" i="30"/>
  <c r="K179" i="30"/>
  <c r="L174" i="30"/>
  <c r="L170" i="30"/>
  <c r="L166" i="30"/>
  <c r="L162" i="30"/>
  <c r="L158" i="30"/>
  <c r="K155" i="30"/>
  <c r="G155" i="30"/>
  <c r="H154" i="30"/>
  <c r="I153" i="30"/>
  <c r="K151" i="30"/>
  <c r="G151" i="30"/>
  <c r="H150" i="30"/>
  <c r="I149" i="30"/>
  <c r="K147" i="30"/>
  <c r="G147" i="30"/>
  <c r="H146" i="30"/>
  <c r="I145" i="30"/>
  <c r="L134" i="30"/>
  <c r="L130" i="30"/>
  <c r="L126" i="30"/>
  <c r="K123" i="30"/>
  <c r="G123" i="30"/>
  <c r="I121" i="30"/>
  <c r="K119" i="30"/>
  <c r="G119" i="30"/>
  <c r="I117" i="30"/>
  <c r="K115" i="30"/>
  <c r="G115" i="30"/>
  <c r="I113" i="30"/>
  <c r="K111" i="30"/>
  <c r="I109" i="30"/>
  <c r="K107" i="30"/>
  <c r="I105" i="30"/>
  <c r="K103" i="30"/>
  <c r="G103" i="30"/>
  <c r="I101" i="30"/>
  <c r="K99" i="30"/>
  <c r="G99" i="30"/>
  <c r="I97" i="30"/>
  <c r="K95" i="30"/>
  <c r="G95" i="30"/>
  <c r="K91" i="30"/>
  <c r="K87" i="30"/>
  <c r="L82" i="30"/>
  <c r="L78" i="30"/>
  <c r="L74" i="30"/>
  <c r="L70" i="30"/>
  <c r="L66" i="30"/>
  <c r="K63" i="30"/>
  <c r="G63" i="30"/>
  <c r="I61" i="30"/>
  <c r="K59" i="30"/>
  <c r="G59" i="30"/>
  <c r="I57" i="30"/>
  <c r="K55" i="30"/>
  <c r="G55" i="30"/>
  <c r="I53" i="30"/>
  <c r="K51" i="30"/>
  <c r="G51" i="30"/>
  <c r="I49" i="30"/>
  <c r="K47" i="30"/>
  <c r="G47" i="30"/>
  <c r="I45" i="30"/>
  <c r="K43" i="30"/>
  <c r="G43" i="30"/>
  <c r="J21" i="30"/>
  <c r="I20" i="30"/>
  <c r="K19" i="30"/>
  <c r="G19" i="30"/>
  <c r="J18" i="30"/>
  <c r="L17" i="30"/>
  <c r="H17" i="30"/>
  <c r="K16" i="30"/>
  <c r="G16" i="30"/>
  <c r="I15" i="30"/>
  <c r="L14" i="30"/>
  <c r="H14" i="30"/>
  <c r="J13" i="30"/>
  <c r="I12" i="30"/>
  <c r="K11" i="30"/>
  <c r="G11" i="30"/>
  <c r="J10" i="30"/>
  <c r="L9" i="30"/>
  <c r="H9" i="30"/>
  <c r="K8" i="30"/>
  <c r="G8" i="30"/>
  <c r="L625" i="30"/>
  <c r="L368" i="30"/>
  <c r="L304" i="30"/>
  <c r="L273" i="30"/>
  <c r="G270" i="30"/>
  <c r="I268" i="30"/>
  <c r="K266" i="30"/>
  <c r="I252" i="30"/>
  <c r="K250" i="30"/>
  <c r="H245" i="30"/>
  <c r="G238" i="30"/>
  <c r="I236" i="30"/>
  <c r="K234" i="30"/>
  <c r="H213" i="30"/>
  <c r="G206" i="30"/>
  <c r="G190" i="30"/>
  <c r="I188" i="30"/>
  <c r="K186" i="30"/>
  <c r="L177" i="30"/>
  <c r="L161" i="30"/>
  <c r="K154" i="30"/>
  <c r="H149" i="30"/>
  <c r="K146" i="30"/>
  <c r="L129" i="30"/>
  <c r="I124" i="30"/>
  <c r="K122" i="30"/>
  <c r="G118" i="30"/>
  <c r="I116" i="30"/>
  <c r="K114" i="30"/>
  <c r="I108" i="30"/>
  <c r="K106" i="30"/>
  <c r="G102" i="30"/>
  <c r="I100" i="30"/>
  <c r="K98" i="30"/>
  <c r="K90" i="30"/>
  <c r="L81" i="30"/>
  <c r="L73" i="30"/>
  <c r="L65" i="30"/>
  <c r="K62" i="30"/>
  <c r="G56" i="30"/>
  <c r="I54" i="30"/>
  <c r="G53" i="30"/>
  <c r="K52" i="30"/>
  <c r="I51" i="30"/>
  <c r="G50" i="30"/>
  <c r="K49" i="30"/>
  <c r="I48" i="30"/>
  <c r="K46" i="30"/>
  <c r="I21" i="30"/>
  <c r="K20" i="30"/>
  <c r="L19" i="30"/>
  <c r="H18" i="30"/>
  <c r="I17" i="30"/>
  <c r="J16" i="30"/>
  <c r="K15" i="30"/>
  <c r="G14" i="30"/>
  <c r="H13" i="30"/>
  <c r="J12" i="30"/>
  <c r="J11" i="30"/>
  <c r="L10" i="30"/>
  <c r="G10" i="30"/>
  <c r="G9" i="30"/>
  <c r="I8" i="30"/>
  <c r="L165" i="30"/>
  <c r="K117" i="30"/>
  <c r="I111" i="30"/>
  <c r="I103" i="30"/>
  <c r="K101" i="30"/>
  <c r="I95" i="30"/>
  <c r="L68" i="30"/>
  <c r="G52" i="30"/>
  <c r="I50" i="30"/>
  <c r="K48" i="30"/>
  <c r="H19" i="30"/>
  <c r="L16" i="30"/>
  <c r="I14" i="30"/>
  <c r="L11" i="30"/>
  <c r="I9" i="30"/>
  <c r="J8" i="30"/>
  <c r="L352" i="30"/>
  <c r="G317" i="30"/>
  <c r="L288" i="30"/>
  <c r="L269" i="30"/>
  <c r="G266" i="30"/>
  <c r="I264" i="30"/>
  <c r="K262" i="30"/>
  <c r="G250" i="30"/>
  <c r="I248" i="30"/>
  <c r="K246" i="30"/>
  <c r="G234" i="30"/>
  <c r="I232" i="30"/>
  <c r="K230" i="30"/>
  <c r="K214" i="30"/>
  <c r="H209" i="30"/>
  <c r="G186" i="30"/>
  <c r="I184" i="30"/>
  <c r="K182" i="30"/>
  <c r="L173" i="30"/>
  <c r="L157" i="30"/>
  <c r="G154" i="30"/>
  <c r="I152" i="30"/>
  <c r="K150" i="30"/>
  <c r="I147" i="30"/>
  <c r="K145" i="30"/>
  <c r="L128" i="30"/>
  <c r="I123" i="30"/>
  <c r="K121" i="30"/>
  <c r="G117" i="30"/>
  <c r="I115" i="30"/>
  <c r="K113" i="30"/>
  <c r="I107" i="30"/>
  <c r="K105" i="30"/>
  <c r="G101" i="30"/>
  <c r="I99" i="30"/>
  <c r="K97" i="30"/>
  <c r="K89" i="30"/>
  <c r="L80" i="30"/>
  <c r="L72" i="30"/>
  <c r="G60" i="30"/>
  <c r="I58" i="30"/>
  <c r="G57" i="30"/>
  <c r="K56" i="30"/>
  <c r="I55" i="30"/>
  <c r="G54" i="30"/>
  <c r="K53" i="30"/>
  <c r="I52" i="30"/>
  <c r="K50" i="30"/>
  <c r="G44" i="30"/>
  <c r="I42" i="30"/>
  <c r="H21" i="30"/>
  <c r="J20" i="30"/>
  <c r="J19" i="30"/>
  <c r="L18" i="30"/>
  <c r="M18" i="30" s="1"/>
  <c r="N18" i="30" s="1"/>
  <c r="O18" i="30" s="1"/>
  <c r="G18" i="30"/>
  <c r="G17" i="30"/>
  <c r="I16" i="30"/>
  <c r="J15" i="30"/>
  <c r="K14" i="30"/>
  <c r="L13" i="30"/>
  <c r="G13" i="30"/>
  <c r="H12" i="30"/>
  <c r="I11" i="30"/>
  <c r="K10" i="30"/>
  <c r="K9" i="30"/>
  <c r="H8" i="30"/>
  <c r="G145" i="30"/>
  <c r="L132" i="30"/>
  <c r="G121" i="30"/>
  <c r="K109" i="30"/>
  <c r="L84" i="30"/>
  <c r="L76" i="30"/>
  <c r="I63" i="30"/>
  <c r="K61" i="30"/>
  <c r="G49" i="30"/>
  <c r="I47" i="30"/>
  <c r="G46" i="30"/>
  <c r="I44" i="30"/>
  <c r="K42" i="30"/>
  <c r="L20" i="30"/>
  <c r="I18" i="30"/>
  <c r="L15" i="30"/>
  <c r="I13" i="30"/>
  <c r="L336" i="30"/>
  <c r="I315" i="30"/>
  <c r="H308" i="30"/>
  <c r="H269" i="30"/>
  <c r="L265" i="30"/>
  <c r="G262" i="30"/>
  <c r="G246" i="30"/>
  <c r="I244" i="30"/>
  <c r="K242" i="30"/>
  <c r="I228" i="30"/>
  <c r="K226" i="30"/>
  <c r="G214" i="30"/>
  <c r="I212" i="30"/>
  <c r="K210" i="30"/>
  <c r="I196" i="30"/>
  <c r="K194" i="30"/>
  <c r="I180" i="30"/>
  <c r="K178" i="30"/>
  <c r="L169" i="30"/>
  <c r="G150" i="30"/>
  <c r="I148" i="30"/>
  <c r="G146" i="30"/>
  <c r="H145" i="30"/>
  <c r="L133" i="30"/>
  <c r="L125" i="30"/>
  <c r="G122" i="30"/>
  <c r="I120" i="30"/>
  <c r="K118" i="30"/>
  <c r="I112" i="30"/>
  <c r="K110" i="30"/>
  <c r="I104" i="30"/>
  <c r="K102" i="30"/>
  <c r="G98" i="30"/>
  <c r="I96" i="30"/>
  <c r="K94" i="30"/>
  <c r="K86" i="30"/>
  <c r="L85" i="30"/>
  <c r="L77" i="30"/>
  <c r="L69" i="30"/>
  <c r="L64" i="30"/>
  <c r="I62" i="30"/>
  <c r="G61" i="30"/>
  <c r="K60" i="30"/>
  <c r="I59" i="30"/>
  <c r="G58" i="30"/>
  <c r="K57" i="30"/>
  <c r="I56" i="30"/>
  <c r="K54" i="30"/>
  <c r="G48" i="30"/>
  <c r="I46" i="30"/>
  <c r="G45" i="30"/>
  <c r="K44" i="30"/>
  <c r="I43" i="30"/>
  <c r="G42" i="30"/>
  <c r="L21" i="30"/>
  <c r="G21" i="30"/>
  <c r="H20" i="30"/>
  <c r="I19" i="30"/>
  <c r="K18" i="30"/>
  <c r="K17" i="30"/>
  <c r="H16" i="30"/>
  <c r="H15" i="30"/>
  <c r="J14" i="30"/>
  <c r="K13" i="30"/>
  <c r="L12" i="30"/>
  <c r="M12" i="30" s="1"/>
  <c r="N12" i="30" s="1"/>
  <c r="O12" i="30" s="1"/>
  <c r="G12" i="30"/>
  <c r="H11" i="30"/>
  <c r="I10" i="30"/>
  <c r="J9" i="30"/>
  <c r="L8" i="30"/>
  <c r="H356" i="30"/>
  <c r="G349" i="30"/>
  <c r="L320" i="30"/>
  <c r="K313" i="30"/>
  <c r="I272" i="30"/>
  <c r="K270" i="30"/>
  <c r="H265" i="30"/>
  <c r="H249" i="30"/>
  <c r="G242" i="30"/>
  <c r="I240" i="30"/>
  <c r="K238" i="30"/>
  <c r="I224" i="30"/>
  <c r="G210" i="30"/>
  <c r="I208" i="30"/>
  <c r="K206" i="30"/>
  <c r="G194" i="30"/>
  <c r="I192" i="30"/>
  <c r="K190" i="30"/>
  <c r="H153" i="30"/>
  <c r="I119" i="30"/>
  <c r="G97" i="30"/>
  <c r="K93" i="30"/>
  <c r="G62" i="30"/>
  <c r="I60" i="30"/>
  <c r="K58" i="30"/>
  <c r="K45" i="30"/>
  <c r="K21" i="30"/>
  <c r="G20" i="30"/>
  <c r="J17" i="30"/>
  <c r="G15" i="30"/>
  <c r="K12" i="30"/>
  <c r="H10" i="30"/>
  <c r="AK26" i="34"/>
  <c r="AL26" i="34" s="1"/>
  <c r="AM26" i="34" s="1"/>
  <c r="K74" i="34"/>
  <c r="K67" i="34" s="1"/>
  <c r="K70" i="34"/>
  <c r="K73" i="34"/>
  <c r="K75" i="34"/>
  <c r="AJ22" i="34"/>
  <c r="AK22" i="34" s="1"/>
  <c r="AL22" i="34" s="1"/>
  <c r="AM22" i="34" s="1"/>
  <c r="H114" i="30"/>
  <c r="H63" i="30"/>
  <c r="H118" i="30"/>
  <c r="AJ21" i="34"/>
  <c r="L111" i="30"/>
  <c r="L45" i="30"/>
  <c r="L62" i="30"/>
  <c r="L95" i="30"/>
  <c r="AJ20" i="34"/>
  <c r="L23" i="30"/>
  <c r="L381" i="30"/>
  <c r="L436" i="30"/>
  <c r="L146" i="30"/>
  <c r="AJ23" i="34"/>
  <c r="L244" i="30"/>
  <c r="L232" i="30"/>
  <c r="L195" i="30"/>
  <c r="L180" i="30"/>
  <c r="L228" i="30"/>
  <c r="L210" i="30"/>
  <c r="AD23" i="34"/>
  <c r="AP41" i="64"/>
  <c r="I446" i="30"/>
  <c r="J98" i="30"/>
  <c r="J115" i="30"/>
  <c r="J58" i="30"/>
  <c r="J110" i="30"/>
  <c r="AF21" i="34"/>
  <c r="AH22" i="34"/>
  <c r="J90" i="30"/>
  <c r="L451" i="30"/>
  <c r="H450" i="30"/>
  <c r="AH25" i="34"/>
  <c r="J34" i="34"/>
  <c r="J37" i="34"/>
  <c r="J35" i="34"/>
  <c r="J32" i="34"/>
  <c r="J23" i="34"/>
  <c r="J36" i="34"/>
  <c r="J24" i="34"/>
  <c r="J432" i="30"/>
  <c r="J446" i="30"/>
  <c r="AR41" i="64"/>
  <c r="AS41" i="64"/>
  <c r="J312" i="30"/>
  <c r="J355" i="30"/>
  <c r="K444" i="30"/>
  <c r="J17" i="34"/>
  <c r="J16" i="34"/>
  <c r="J14" i="34"/>
  <c r="J15" i="34"/>
  <c r="J12" i="34"/>
  <c r="AK28" i="34"/>
  <c r="AL28" i="34" s="1"/>
  <c r="AM28" i="34" s="1"/>
  <c r="K58" i="34"/>
  <c r="K54" i="34"/>
  <c r="K57" i="34"/>
  <c r="K48" i="34" s="1"/>
  <c r="K52" i="34"/>
  <c r="L398" i="30"/>
  <c r="H195" i="30"/>
  <c r="AF23" i="34"/>
  <c r="H230" i="30"/>
  <c r="J52" i="34"/>
  <c r="J58" i="34"/>
  <c r="J54" i="34"/>
  <c r="J57" i="34"/>
  <c r="J231" i="30"/>
  <c r="AH23" i="34"/>
  <c r="J182" i="30"/>
  <c r="J196" i="30"/>
  <c r="J234" i="30"/>
  <c r="F3" i="30"/>
  <c r="AE20" i="34"/>
  <c r="G27" i="30"/>
  <c r="AI20" i="34"/>
  <c r="J65" i="34" s="1"/>
  <c r="K30" i="30"/>
  <c r="AL30" i="64"/>
  <c r="AN39" i="64"/>
  <c r="AR39" i="64"/>
  <c r="H50" i="30"/>
  <c r="AT30" i="64"/>
  <c r="J266" i="30"/>
  <c r="AH28" i="34"/>
  <c r="J323" i="30"/>
  <c r="AC20" i="34"/>
  <c r="I440" i="30"/>
  <c r="AG26" i="34"/>
  <c r="I398" i="30"/>
  <c r="AI26" i="34"/>
  <c r="K439" i="30"/>
  <c r="K393" i="30"/>
  <c r="AH21" i="34"/>
  <c r="H392" i="30"/>
  <c r="AD20" i="34"/>
  <c r="AD26" i="34"/>
  <c r="H25" i="30"/>
  <c r="J154" i="30"/>
  <c r="J246" i="30"/>
  <c r="J32" i="30"/>
  <c r="AH20" i="34"/>
  <c r="I23" i="30"/>
  <c r="AG20" i="34"/>
  <c r="AH26" i="34"/>
  <c r="J389" i="30"/>
  <c r="AD28" i="34"/>
  <c r="AE26" i="34"/>
  <c r="G442" i="30"/>
  <c r="G394" i="30"/>
  <c r="AD21" i="34"/>
  <c r="AN33" i="64"/>
  <c r="AP34" i="64"/>
  <c r="AP40" i="64"/>
  <c r="AL34" i="64"/>
  <c r="AN30" i="64"/>
  <c r="AT34" i="64"/>
  <c r="AQ30" i="64"/>
  <c r="AO34" i="64"/>
  <c r="AL33" i="64"/>
  <c r="AQ32" i="64"/>
  <c r="AT41" i="64"/>
  <c r="AL41" i="64"/>
  <c r="AS39" i="64"/>
  <c r="AP30" i="64"/>
  <c r="G45" i="64"/>
  <c r="C45" i="64"/>
  <c r="AO41" i="64"/>
  <c r="AM39" i="64"/>
  <c r="AN34" i="64"/>
  <c r="E45" i="64"/>
  <c r="I45" i="64"/>
  <c r="AS33" i="64"/>
  <c r="AN43" i="64"/>
  <c r="AS42" i="64"/>
  <c r="AN40" i="64"/>
  <c r="AP38" i="64"/>
  <c r="AS32" i="64"/>
  <c r="AO31" i="64"/>
  <c r="AF45" i="64"/>
  <c r="AO29" i="64"/>
  <c r="Z45" i="64"/>
  <c r="V45" i="64"/>
  <c r="P45" i="64"/>
  <c r="L45" i="64"/>
  <c r="F45" i="64"/>
  <c r="B45" i="64"/>
  <c r="AP43" i="64"/>
  <c r="AM43" i="64"/>
  <c r="AQ43" i="64"/>
  <c r="AM42" i="64"/>
  <c r="AL42" i="64"/>
  <c r="AP42" i="64"/>
  <c r="AT42" i="64"/>
  <c r="AO40" i="64"/>
  <c r="AS40" i="64"/>
  <c r="AO38" i="64"/>
  <c r="AS38" i="64"/>
  <c r="AR34" i="64"/>
  <c r="AO33" i="64"/>
  <c r="AN32" i="64"/>
  <c r="AR32" i="64"/>
  <c r="AP31" i="64"/>
  <c r="AE45" i="64"/>
  <c r="AN29" i="64"/>
  <c r="W45" i="64"/>
  <c r="O45" i="64"/>
  <c r="AB45" i="64"/>
  <c r="R45" i="64"/>
  <c r="AR38" i="64"/>
  <c r="AR31" i="64"/>
  <c r="AK45" i="64"/>
  <c r="AT29" i="64"/>
  <c r="AC45" i="64"/>
  <c r="AL29" i="64"/>
  <c r="U45" i="64"/>
  <c r="M45" i="64"/>
  <c r="AN38" i="64"/>
  <c r="AR40" i="64"/>
  <c r="AT38" i="64"/>
  <c r="AL38" i="64"/>
  <c r="AM34" i="64"/>
  <c r="AR33" i="64"/>
  <c r="AO32" i="64"/>
  <c r="AQ31" i="64"/>
  <c r="AM31" i="64"/>
  <c r="AR30" i="64"/>
  <c r="AH45" i="64"/>
  <c r="AQ29" i="64"/>
  <c r="AD45" i="64"/>
  <c r="AM29" i="64"/>
  <c r="X45" i="64"/>
  <c r="T45" i="64"/>
  <c r="N45" i="64"/>
  <c r="H45" i="64"/>
  <c r="D45" i="64"/>
  <c r="AL43" i="64"/>
  <c r="AT43" i="64"/>
  <c r="AO43" i="64"/>
  <c r="AS43" i="64"/>
  <c r="AQ42" i="64"/>
  <c r="AN42" i="64"/>
  <c r="AR42" i="64"/>
  <c r="AN41" i="64"/>
  <c r="AQ41" i="64"/>
  <c r="AM40" i="64"/>
  <c r="AQ40" i="64"/>
  <c r="AL39" i="64"/>
  <c r="AP39" i="64"/>
  <c r="AT39" i="64"/>
  <c r="AM38" i="64"/>
  <c r="AQ38" i="64"/>
  <c r="AM33" i="64"/>
  <c r="AQ33" i="64"/>
  <c r="AL32" i="64"/>
  <c r="AP32" i="64"/>
  <c r="AT32" i="64"/>
  <c r="AO42" i="64"/>
  <c r="AS34" i="64"/>
  <c r="AP33" i="64"/>
  <c r="AM32" i="64"/>
  <c r="AT31" i="64"/>
  <c r="AL31" i="64"/>
  <c r="AM30" i="64"/>
  <c r="AI45" i="64"/>
  <c r="AR29" i="64"/>
  <c r="AA45" i="64"/>
  <c r="S45" i="64"/>
  <c r="K45" i="64"/>
  <c r="AJ45" i="64"/>
  <c r="J45" i="64"/>
  <c r="AT33" i="64"/>
  <c r="AN31" i="64"/>
  <c r="AO30" i="64"/>
  <c r="AG45" i="64"/>
  <c r="AP29" i="64"/>
  <c r="Y45" i="64"/>
  <c r="Q45" i="64"/>
  <c r="AT40" i="64"/>
  <c r="AR43" i="64"/>
  <c r="AL40" i="64"/>
  <c r="H24" i="30" l="1"/>
  <c r="J306" i="30"/>
  <c r="J31" i="30"/>
  <c r="H121" i="30"/>
  <c r="J187" i="30"/>
  <c r="L249" i="30"/>
  <c r="J86" i="30"/>
  <c r="J118" i="30"/>
  <c r="G22" i="30"/>
  <c r="G24" i="30"/>
  <c r="H47" i="30"/>
  <c r="H109" i="30"/>
  <c r="H110" i="30"/>
  <c r="L178" i="30"/>
  <c r="L182" i="30"/>
  <c r="J117" i="30"/>
  <c r="J181" i="30"/>
  <c r="L227" i="30"/>
  <c r="I395" i="30"/>
  <c r="L184" i="30"/>
  <c r="J318" i="30"/>
  <c r="J351" i="30"/>
  <c r="J357" i="30"/>
  <c r="J399" i="30"/>
  <c r="L445" i="30"/>
  <c r="H391" i="30"/>
  <c r="L384" i="30"/>
  <c r="G32" i="30"/>
  <c r="H52" i="30"/>
  <c r="H113" i="30"/>
  <c r="H189" i="30"/>
  <c r="J251" i="30"/>
  <c r="G30" i="30"/>
  <c r="J94" i="30"/>
  <c r="G28" i="30"/>
  <c r="H45" i="30"/>
  <c r="L57" i="30"/>
  <c r="H61" i="30"/>
  <c r="H193" i="30"/>
  <c r="K441" i="30"/>
  <c r="J25" i="30"/>
  <c r="L55" i="30"/>
  <c r="H28" i="30"/>
  <c r="L56" i="30"/>
  <c r="J91" i="30"/>
  <c r="L105" i="30"/>
  <c r="J123" i="30"/>
  <c r="J243" i="30"/>
  <c r="H22" i="30"/>
  <c r="H54" i="30"/>
  <c r="H106" i="30"/>
  <c r="L226" i="30"/>
  <c r="J244" i="30"/>
  <c r="J101" i="30"/>
  <c r="J245" i="30"/>
  <c r="J250" i="30"/>
  <c r="J303" i="30"/>
  <c r="H53" i="30"/>
  <c r="L229" i="30"/>
  <c r="L245" i="30"/>
  <c r="G26" i="30"/>
  <c r="L61" i="30"/>
  <c r="L109" i="30"/>
  <c r="J30" i="30"/>
  <c r="L63" i="30"/>
  <c r="H116" i="30"/>
  <c r="H59" i="30"/>
  <c r="H120" i="30"/>
  <c r="L59" i="30"/>
  <c r="G23" i="30"/>
  <c r="L54" i="30"/>
  <c r="L58" i="30"/>
  <c r="L98" i="30"/>
  <c r="J116" i="30"/>
  <c r="J120" i="30"/>
  <c r="J124" i="30"/>
  <c r="J180" i="30"/>
  <c r="L242" i="30"/>
  <c r="J248" i="30"/>
  <c r="J310" i="30"/>
  <c r="L99" i="30"/>
  <c r="L179" i="30"/>
  <c r="L211" i="30"/>
  <c r="J229" i="30"/>
  <c r="L243" i="30"/>
  <c r="L248" i="30"/>
  <c r="J319" i="30"/>
  <c r="G437" i="30"/>
  <c r="J431" i="30"/>
  <c r="K391" i="30"/>
  <c r="J247" i="30"/>
  <c r="G29" i="30"/>
  <c r="H55" i="30"/>
  <c r="L185" i="30"/>
  <c r="J322" i="30"/>
  <c r="H56" i="30"/>
  <c r="H112" i="30"/>
  <c r="J59" i="30"/>
  <c r="L112" i="30"/>
  <c r="L108" i="30"/>
  <c r="J23" i="30"/>
  <c r="J61" i="30"/>
  <c r="G31" i="30"/>
  <c r="L114" i="30"/>
  <c r="H186" i="30"/>
  <c r="H190" i="30"/>
  <c r="H188" i="30"/>
  <c r="K389" i="30"/>
  <c r="K438" i="30"/>
  <c r="H435" i="30"/>
  <c r="H440" i="30"/>
  <c r="H442" i="30"/>
  <c r="H441" i="30"/>
  <c r="H438" i="30"/>
  <c r="H437" i="30"/>
  <c r="H434" i="30"/>
  <c r="H439" i="30"/>
  <c r="H433" i="30"/>
  <c r="J433" i="30"/>
  <c r="J440" i="30"/>
  <c r="J439" i="30"/>
  <c r="J441" i="30"/>
  <c r="J436" i="30"/>
  <c r="J435" i="30"/>
  <c r="J442" i="30"/>
  <c r="J438" i="30"/>
  <c r="J214" i="30"/>
  <c r="J209" i="30"/>
  <c r="J208" i="30"/>
  <c r="J211" i="30"/>
  <c r="J210" i="30"/>
  <c r="J206" i="30"/>
  <c r="J207" i="30"/>
  <c r="J48" i="30"/>
  <c r="J46" i="30"/>
  <c r="J44" i="30"/>
  <c r="J43" i="30"/>
  <c r="J45" i="30"/>
  <c r="I28" i="30"/>
  <c r="M14" i="30"/>
  <c r="N14" i="30" s="1"/>
  <c r="O14" i="30" s="1"/>
  <c r="I29" i="30"/>
  <c r="H436" i="30"/>
  <c r="H232" i="30"/>
  <c r="H233" i="30"/>
  <c r="H239" i="30"/>
  <c r="H238" i="30"/>
  <c r="H240" i="30"/>
  <c r="H235" i="30"/>
  <c r="H234" i="30"/>
  <c r="L30" i="30"/>
  <c r="L27" i="30"/>
  <c r="L32" i="30"/>
  <c r="L26" i="30"/>
  <c r="L24" i="30"/>
  <c r="L31" i="30"/>
  <c r="L29" i="30"/>
  <c r="L22" i="30"/>
  <c r="L28" i="30"/>
  <c r="J75" i="34"/>
  <c r="J74" i="34"/>
  <c r="J70" i="34"/>
  <c r="J73" i="34"/>
  <c r="J150" i="30"/>
  <c r="J145" i="30"/>
  <c r="J147" i="30"/>
  <c r="J151" i="30"/>
  <c r="J155" i="30"/>
  <c r="J146" i="30"/>
  <c r="J153" i="30"/>
  <c r="J152" i="30"/>
  <c r="I394" i="30"/>
  <c r="I389" i="30"/>
  <c r="I390" i="30"/>
  <c r="I397" i="30"/>
  <c r="I396" i="30"/>
  <c r="I391" i="30"/>
  <c r="I399" i="30"/>
  <c r="I393" i="30"/>
  <c r="K23" i="30"/>
  <c r="K29" i="30"/>
  <c r="K26" i="30"/>
  <c r="K25" i="30"/>
  <c r="K24" i="30"/>
  <c r="K22" i="30"/>
  <c r="K31" i="30"/>
  <c r="K32" i="30"/>
  <c r="H451" i="30"/>
  <c r="H446" i="30"/>
  <c r="H445" i="30"/>
  <c r="H447" i="30"/>
  <c r="H443" i="30"/>
  <c r="H448" i="30"/>
  <c r="H444" i="30"/>
  <c r="H449" i="30"/>
  <c r="L148" i="30"/>
  <c r="L154" i="30"/>
  <c r="L153" i="30"/>
  <c r="L155" i="30"/>
  <c r="L151" i="30"/>
  <c r="L150" i="30"/>
  <c r="L145" i="30"/>
  <c r="L149" i="30"/>
  <c r="L121" i="30"/>
  <c r="L116" i="30"/>
  <c r="L123" i="30"/>
  <c r="L122" i="30"/>
  <c r="L119" i="30"/>
  <c r="L118" i="30"/>
  <c r="L120" i="30"/>
  <c r="L94" i="30"/>
  <c r="L90" i="30"/>
  <c r="L89" i="30"/>
  <c r="L93" i="30"/>
  <c r="L91" i="30"/>
  <c r="L92" i="30"/>
  <c r="L87" i="30"/>
  <c r="L86" i="30"/>
  <c r="L88" i="30"/>
  <c r="J51" i="30"/>
  <c r="M21" i="30"/>
  <c r="N21" i="30" s="1"/>
  <c r="O21" i="30" s="1"/>
  <c r="J50" i="30"/>
  <c r="J42" i="30"/>
  <c r="M9" i="30"/>
  <c r="N9" i="30" s="1"/>
  <c r="O9" i="30" s="1"/>
  <c r="J100" i="30"/>
  <c r="L194" i="30"/>
  <c r="J193" i="30"/>
  <c r="J192" i="30"/>
  <c r="J195" i="30"/>
  <c r="J194" i="30"/>
  <c r="J189" i="30"/>
  <c r="J188" i="30"/>
  <c r="J190" i="30"/>
  <c r="H227" i="30"/>
  <c r="H226" i="30"/>
  <c r="H225" i="30"/>
  <c r="H228" i="30"/>
  <c r="H224" i="30"/>
  <c r="H229" i="30"/>
  <c r="L399" i="30"/>
  <c r="L394" i="30"/>
  <c r="L393" i="30"/>
  <c r="L395" i="30"/>
  <c r="L390" i="30"/>
  <c r="L389" i="30"/>
  <c r="L391" i="30"/>
  <c r="L397" i="30"/>
  <c r="L396" i="30"/>
  <c r="L392" i="30"/>
  <c r="K424" i="30"/>
  <c r="K431" i="30"/>
  <c r="K430" i="30"/>
  <c r="K432" i="30"/>
  <c r="K427" i="30"/>
  <c r="K426" i="30"/>
  <c r="K422" i="30"/>
  <c r="K428" i="30"/>
  <c r="K423" i="30"/>
  <c r="K429" i="30"/>
  <c r="K425" i="30"/>
  <c r="L447" i="30"/>
  <c r="L444" i="30"/>
  <c r="L443" i="30"/>
  <c r="L450" i="30"/>
  <c r="L449" i="30"/>
  <c r="L446" i="30"/>
  <c r="L448" i="30"/>
  <c r="J113" i="30"/>
  <c r="J112" i="30"/>
  <c r="J107" i="30"/>
  <c r="J114" i="30"/>
  <c r="J106" i="30"/>
  <c r="J109" i="30"/>
  <c r="J108" i="30"/>
  <c r="J111" i="30"/>
  <c r="J105" i="30"/>
  <c r="I426" i="30"/>
  <c r="I423" i="30"/>
  <c r="I422" i="30"/>
  <c r="I432" i="30"/>
  <c r="I429" i="30"/>
  <c r="I428" i="30"/>
  <c r="I427" i="30"/>
  <c r="I430" i="30"/>
  <c r="I425" i="30"/>
  <c r="I431" i="30"/>
  <c r="L212" i="30"/>
  <c r="L207" i="30"/>
  <c r="L206" i="30"/>
  <c r="L213" i="30"/>
  <c r="L209" i="30"/>
  <c r="L208" i="30"/>
  <c r="L214" i="30"/>
  <c r="L239" i="30"/>
  <c r="L238" i="30"/>
  <c r="L233" i="30"/>
  <c r="L240" i="30"/>
  <c r="L235" i="30"/>
  <c r="L234" i="30"/>
  <c r="L237" i="30"/>
  <c r="L236" i="30"/>
  <c r="L442" i="30"/>
  <c r="L441" i="30"/>
  <c r="L440" i="30"/>
  <c r="L438" i="30"/>
  <c r="L437" i="30"/>
  <c r="L439" i="30"/>
  <c r="L434" i="30"/>
  <c r="L433" i="30"/>
  <c r="L435" i="30"/>
  <c r="AK20" i="34"/>
  <c r="AL20" i="34" s="1"/>
  <c r="AM20" i="34" s="1"/>
  <c r="K65" i="34"/>
  <c r="K62" i="34" s="1"/>
  <c r="L46" i="30"/>
  <c r="L51" i="30"/>
  <c r="L49" i="30"/>
  <c r="L43" i="30"/>
  <c r="L52" i="30"/>
  <c r="L42" i="30"/>
  <c r="L48" i="30"/>
  <c r="L47" i="30"/>
  <c r="H99" i="30"/>
  <c r="H98" i="30"/>
  <c r="H101" i="30"/>
  <c r="H104" i="30"/>
  <c r="H96" i="30"/>
  <c r="H100" i="30"/>
  <c r="H95" i="30"/>
  <c r="H97" i="30"/>
  <c r="M8" i="30"/>
  <c r="N8" i="30" s="1"/>
  <c r="O8" i="30" s="1"/>
  <c r="K28" i="30"/>
  <c r="J47" i="30"/>
  <c r="H237" i="30"/>
  <c r="J434" i="30"/>
  <c r="M13" i="30"/>
  <c r="N13" i="30" s="1"/>
  <c r="O13" i="30" s="1"/>
  <c r="L25" i="30"/>
  <c r="J49" i="30"/>
  <c r="J52" i="30"/>
  <c r="H103" i="30"/>
  <c r="L115" i="30"/>
  <c r="J149" i="30"/>
  <c r="H231" i="30"/>
  <c r="H236" i="30"/>
  <c r="I25" i="30"/>
  <c r="I32" i="30"/>
  <c r="I30" i="30"/>
  <c r="I22" i="30"/>
  <c r="I27" i="30"/>
  <c r="I31" i="30"/>
  <c r="I26" i="30"/>
  <c r="J262" i="30"/>
  <c r="J272" i="30"/>
  <c r="J263" i="30"/>
  <c r="J267" i="30"/>
  <c r="J269" i="30"/>
  <c r="J268" i="30"/>
  <c r="J270" i="30"/>
  <c r="J265" i="30"/>
  <c r="J264" i="30"/>
  <c r="J271" i="30"/>
  <c r="J396" i="30"/>
  <c r="J395" i="30"/>
  <c r="J390" i="30"/>
  <c r="J397" i="30"/>
  <c r="J392" i="30"/>
  <c r="J391" i="30"/>
  <c r="J393" i="30"/>
  <c r="J398" i="30"/>
  <c r="J394" i="30"/>
  <c r="J241" i="30"/>
  <c r="J240" i="30"/>
  <c r="J239" i="30"/>
  <c r="J237" i="30"/>
  <c r="J236" i="30"/>
  <c r="J238" i="30"/>
  <c r="J233" i="30"/>
  <c r="J232" i="30"/>
  <c r="J230" i="30"/>
  <c r="J225" i="30"/>
  <c r="J224" i="30"/>
  <c r="J226" i="30"/>
  <c r="K451" i="30"/>
  <c r="K450" i="30"/>
  <c r="K447" i="30"/>
  <c r="K446" i="30"/>
  <c r="K448" i="30"/>
  <c r="K443" i="30"/>
  <c r="K449" i="30"/>
  <c r="J97" i="30"/>
  <c r="J96" i="30"/>
  <c r="J102" i="30"/>
  <c r="J104" i="30"/>
  <c r="J99" i="30"/>
  <c r="L196" i="30"/>
  <c r="L191" i="30"/>
  <c r="L190" i="30"/>
  <c r="L189" i="30"/>
  <c r="L192" i="30"/>
  <c r="L187" i="30"/>
  <c r="L186" i="30"/>
  <c r="L188" i="30"/>
  <c r="L193" i="30"/>
  <c r="H115" i="30"/>
  <c r="H124" i="30"/>
  <c r="H123" i="30"/>
  <c r="H122" i="30"/>
  <c r="H117" i="30"/>
  <c r="J95" i="30"/>
  <c r="L117" i="30"/>
  <c r="J235" i="30"/>
  <c r="L152" i="30"/>
  <c r="K445" i="30"/>
  <c r="L124" i="30"/>
  <c r="I24" i="30"/>
  <c r="J103" i="30"/>
  <c r="M10" i="30"/>
  <c r="N10" i="30" s="1"/>
  <c r="O10" i="30" s="1"/>
  <c r="M20" i="30"/>
  <c r="N20" i="30" s="1"/>
  <c r="O20" i="30" s="1"/>
  <c r="L44" i="30"/>
  <c r="J191" i="30"/>
  <c r="H241" i="30"/>
  <c r="J227" i="30"/>
  <c r="L241" i="30"/>
  <c r="K27" i="30"/>
  <c r="L50" i="30"/>
  <c r="H102" i="30"/>
  <c r="J148" i="30"/>
  <c r="J212" i="30"/>
  <c r="J228" i="30"/>
  <c r="H119" i="30"/>
  <c r="L147" i="30"/>
  <c r="J213" i="30"/>
  <c r="J186" i="30"/>
  <c r="I392" i="30"/>
  <c r="I424" i="30"/>
  <c r="J437" i="30"/>
  <c r="J26" i="30"/>
  <c r="H31" i="30"/>
  <c r="H57" i="30"/>
  <c r="L113" i="30"/>
  <c r="J179" i="30"/>
  <c r="M17" i="30"/>
  <c r="N17" i="30" s="1"/>
  <c r="O17" i="30" s="1"/>
  <c r="J24" i="30"/>
  <c r="H26" i="30"/>
  <c r="H42" i="30"/>
  <c r="J56" i="30"/>
  <c r="H58" i="30"/>
  <c r="J88" i="30"/>
  <c r="L102" i="30"/>
  <c r="J184" i="30"/>
  <c r="L230" i="30"/>
  <c r="L246" i="30"/>
  <c r="L388" i="30"/>
  <c r="I443" i="30"/>
  <c r="J89" i="30"/>
  <c r="L103" i="30"/>
  <c r="H107" i="30"/>
  <c r="J121" i="30"/>
  <c r="L183" i="30"/>
  <c r="J185" i="30"/>
  <c r="H187" i="30"/>
  <c r="L231" i="30"/>
  <c r="L247" i="30"/>
  <c r="J249" i="30"/>
  <c r="J314" i="30"/>
  <c r="H192" i="30"/>
  <c r="L252" i="30"/>
  <c r="G397" i="30"/>
  <c r="J307" i="30"/>
  <c r="L385" i="30"/>
  <c r="I439" i="30"/>
  <c r="J447" i="30"/>
  <c r="G396" i="30"/>
  <c r="G391" i="30"/>
  <c r="G390" i="30"/>
  <c r="G392" i="30"/>
  <c r="G393" i="30"/>
  <c r="G399" i="30"/>
  <c r="G398" i="30"/>
  <c r="J321" i="30"/>
  <c r="J320" i="30"/>
  <c r="J317" i="30"/>
  <c r="J353" i="30"/>
  <c r="J352" i="30"/>
  <c r="J349" i="30"/>
  <c r="I447" i="30"/>
  <c r="I449" i="30"/>
  <c r="I448" i="30"/>
  <c r="I450" i="30"/>
  <c r="I445" i="30"/>
  <c r="I444" i="30"/>
  <c r="J53" i="30"/>
  <c r="M15" i="30"/>
  <c r="N15" i="30" s="1"/>
  <c r="O15" i="30" s="1"/>
  <c r="L100" i="30"/>
  <c r="J62" i="30"/>
  <c r="L96" i="30"/>
  <c r="J29" i="30"/>
  <c r="J55" i="30"/>
  <c r="H60" i="30"/>
  <c r="J28" i="30"/>
  <c r="H46" i="30"/>
  <c r="J92" i="30"/>
  <c r="L250" i="30"/>
  <c r="J252" i="30"/>
  <c r="J450" i="30"/>
  <c r="J93" i="30"/>
  <c r="L107" i="30"/>
  <c r="H111" i="30"/>
  <c r="H191" i="30"/>
  <c r="L251" i="30"/>
  <c r="J178" i="30"/>
  <c r="H196" i="30"/>
  <c r="L224" i="30"/>
  <c r="J242" i="30"/>
  <c r="J350" i="30"/>
  <c r="J311" i="30"/>
  <c r="J422" i="30"/>
  <c r="J308" i="30"/>
  <c r="I451" i="30"/>
  <c r="G395" i="30"/>
  <c r="K392" i="30"/>
  <c r="K397" i="30"/>
  <c r="K399" i="30"/>
  <c r="K398" i="30"/>
  <c r="K395" i="30"/>
  <c r="K394" i="30"/>
  <c r="J449" i="30"/>
  <c r="J444" i="30"/>
  <c r="J443" i="30"/>
  <c r="J445" i="30"/>
  <c r="J451" i="30"/>
  <c r="L383" i="30"/>
  <c r="L382" i="30"/>
  <c r="H29" i="30"/>
  <c r="H48" i="30"/>
  <c r="H27" i="30"/>
  <c r="J354" i="30"/>
  <c r="H30" i="30"/>
  <c r="J60" i="30"/>
  <c r="H62" i="30"/>
  <c r="L106" i="30"/>
  <c r="G439" i="30"/>
  <c r="G438" i="30"/>
  <c r="G433" i="30"/>
  <c r="G440" i="30"/>
  <c r="G435" i="30"/>
  <c r="G434" i="30"/>
  <c r="G436" i="30"/>
  <c r="G441" i="30"/>
  <c r="H398" i="30"/>
  <c r="H397" i="30"/>
  <c r="H399" i="30"/>
  <c r="H394" i="30"/>
  <c r="H393" i="30"/>
  <c r="H395" i="30"/>
  <c r="H390" i="30"/>
  <c r="K440" i="30"/>
  <c r="K435" i="30"/>
  <c r="K434" i="30"/>
  <c r="K437" i="30"/>
  <c r="K433" i="30"/>
  <c r="K436" i="30"/>
  <c r="K442" i="30"/>
  <c r="I442" i="30"/>
  <c r="I437" i="30"/>
  <c r="I436" i="30"/>
  <c r="I438" i="30"/>
  <c r="I433" i="30"/>
  <c r="I434" i="30"/>
  <c r="J305" i="30"/>
  <c r="J304" i="30"/>
  <c r="J428" i="30"/>
  <c r="J427" i="30"/>
  <c r="J430" i="30"/>
  <c r="J426" i="30"/>
  <c r="J429" i="30"/>
  <c r="J424" i="30"/>
  <c r="J423" i="30"/>
  <c r="J425" i="30"/>
  <c r="K37" i="34"/>
  <c r="K35" i="34"/>
  <c r="K20" i="34" s="1"/>
  <c r="K32" i="34"/>
  <c r="K23" i="34"/>
  <c r="K34" i="34"/>
  <c r="K36" i="34"/>
  <c r="K24" i="34"/>
  <c r="AK23" i="34"/>
  <c r="AL23" i="34" s="1"/>
  <c r="AM23" i="34" s="1"/>
  <c r="AK21" i="34"/>
  <c r="AL21" i="34" s="1"/>
  <c r="AM21" i="34" s="1"/>
  <c r="K16" i="34"/>
  <c r="K8" i="34" s="1"/>
  <c r="K14" i="34"/>
  <c r="L14" i="34" s="1"/>
  <c r="M14" i="34" s="1"/>
  <c r="N14" i="34" s="1"/>
  <c r="K15" i="34"/>
  <c r="K17" i="34"/>
  <c r="K12" i="34"/>
  <c r="L181" i="30"/>
  <c r="M16" i="30"/>
  <c r="N16" i="30" s="1"/>
  <c r="O16" i="30" s="1"/>
  <c r="H23" i="30"/>
  <c r="H49" i="30"/>
  <c r="J63" i="30"/>
  <c r="J87" i="30"/>
  <c r="L101" i="30"/>
  <c r="H105" i="30"/>
  <c r="J119" i="30"/>
  <c r="J54" i="30"/>
  <c r="J183" i="30"/>
  <c r="G25" i="30"/>
  <c r="J27" i="30"/>
  <c r="H32" i="30"/>
  <c r="H51" i="30"/>
  <c r="L60" i="30"/>
  <c r="L104" i="30"/>
  <c r="H108" i="30"/>
  <c r="J122" i="30"/>
  <c r="M11" i="30"/>
  <c r="N11" i="30" s="1"/>
  <c r="O11" i="30" s="1"/>
  <c r="J22" i="30"/>
  <c r="H43" i="30"/>
  <c r="J57" i="30"/>
  <c r="M19" i="30"/>
  <c r="N19" i="30" s="1"/>
  <c r="O19" i="30" s="1"/>
  <c r="H44" i="30"/>
  <c r="L53" i="30"/>
  <c r="L97" i="30"/>
  <c r="L225" i="30"/>
  <c r="L110" i="30"/>
  <c r="H194" i="30"/>
  <c r="G389" i="30"/>
  <c r="L380" i="30"/>
  <c r="J315" i="30"/>
  <c r="H389" i="30"/>
  <c r="J316" i="30"/>
  <c r="J356" i="30"/>
  <c r="L386" i="30"/>
  <c r="H396" i="30"/>
  <c r="I435" i="30"/>
  <c r="J309" i="30"/>
  <c r="J313" i="30"/>
  <c r="L387" i="30"/>
  <c r="K390" i="30"/>
  <c r="I441" i="30"/>
  <c r="J448" i="30"/>
  <c r="K396" i="30"/>
  <c r="AQ45" i="64"/>
  <c r="AL45" i="64"/>
  <c r="AP45" i="64"/>
  <c r="AS45" i="64"/>
  <c r="AR45" i="64"/>
  <c r="AM45" i="64"/>
  <c r="AT45" i="64"/>
  <c r="AN45" i="64"/>
  <c r="AO45" i="64"/>
  <c r="L143" i="30" l="1"/>
  <c r="L142" i="30"/>
  <c r="L136" i="30"/>
  <c r="L140" i="30"/>
  <c r="L139" i="30"/>
  <c r="L138" i="30"/>
  <c r="L137" i="30"/>
  <c r="L144" i="30"/>
  <c r="L141" i="30"/>
  <c r="L479" i="30"/>
  <c r="L474" i="30"/>
  <c r="L475" i="30"/>
  <c r="L482" i="30"/>
  <c r="L481" i="30"/>
  <c r="L476" i="30"/>
  <c r="L477" i="30"/>
  <c r="L478" i="30"/>
  <c r="L480" i="30"/>
  <c r="L260" i="30"/>
  <c r="L255" i="30"/>
  <c r="L254" i="30"/>
  <c r="L253" i="30"/>
  <c r="L261" i="30"/>
  <c r="L256" i="30"/>
  <c r="L257" i="30"/>
  <c r="L259" i="30"/>
  <c r="L258" i="30"/>
  <c r="J32" i="48"/>
  <c r="I32" i="48" l="1"/>
  <c r="G32" i="48"/>
  <c r="E32" i="48"/>
  <c r="E29" i="48" s="1"/>
  <c r="C32" i="48"/>
  <c r="D29" i="48" s="1"/>
  <c r="J29" i="48" l="1"/>
  <c r="G23" i="34"/>
  <c r="C10" i="46"/>
  <c r="C11" i="46"/>
  <c r="C12" i="46"/>
  <c r="C13" i="46"/>
  <c r="C14" i="46"/>
  <c r="C15" i="46"/>
  <c r="C16" i="46"/>
  <c r="C17" i="46"/>
  <c r="C18" i="46"/>
  <c r="C19" i="46"/>
  <c r="C20" i="46"/>
  <c r="C21" i="46"/>
  <c r="C22" i="46"/>
  <c r="C23" i="46"/>
  <c r="C24" i="46"/>
  <c r="C25" i="46"/>
  <c r="C26" i="46"/>
  <c r="C27" i="46"/>
  <c r="C28" i="46"/>
  <c r="C29" i="46"/>
  <c r="C30" i="46"/>
  <c r="C31" i="46"/>
  <c r="C32" i="46"/>
  <c r="C33" i="46"/>
  <c r="C34" i="46"/>
  <c r="C35" i="46"/>
  <c r="C36" i="46"/>
  <c r="C9" i="46"/>
  <c r="F20" i="30" l="1"/>
  <c r="F16" i="30"/>
  <c r="F12" i="30"/>
  <c r="F8" i="30"/>
  <c r="F14" i="30"/>
  <c r="F21" i="30"/>
  <c r="F17" i="30"/>
  <c r="F13" i="30"/>
  <c r="F19" i="30"/>
  <c r="F15" i="30"/>
  <c r="F11" i="30"/>
  <c r="F18" i="30"/>
  <c r="F10" i="30"/>
  <c r="F9" i="30"/>
  <c r="F610" i="30"/>
  <c r="F608" i="30"/>
  <c r="F581" i="30"/>
  <c r="F585" i="30"/>
  <c r="F534" i="30"/>
  <c r="F538" i="30"/>
  <c r="F498" i="30"/>
  <c r="F445" i="30"/>
  <c r="F449" i="30"/>
  <c r="F434" i="30"/>
  <c r="F438" i="30"/>
  <c r="F442" i="30"/>
  <c r="F423" i="30"/>
  <c r="F427" i="30"/>
  <c r="F431" i="30"/>
  <c r="F392" i="30"/>
  <c r="F396" i="30"/>
  <c r="F389" i="30"/>
  <c r="F352" i="30"/>
  <c r="F356" i="30"/>
  <c r="F335" i="30"/>
  <c r="F339" i="30"/>
  <c r="F327" i="30"/>
  <c r="F331" i="30"/>
  <c r="F317" i="30"/>
  <c r="F321" i="30"/>
  <c r="F306" i="30"/>
  <c r="F310" i="30"/>
  <c r="F303" i="30"/>
  <c r="F296" i="30"/>
  <c r="F300" i="30"/>
  <c r="F263" i="30"/>
  <c r="F267" i="30"/>
  <c r="F271" i="30"/>
  <c r="F228" i="30"/>
  <c r="F224" i="30"/>
  <c r="F179" i="30"/>
  <c r="F183" i="30"/>
  <c r="F96" i="30"/>
  <c r="F100" i="30"/>
  <c r="F104" i="30"/>
  <c r="F56" i="30"/>
  <c r="F60" i="30"/>
  <c r="F53" i="30"/>
  <c r="F43" i="30"/>
  <c r="F47" i="30"/>
  <c r="F51" i="30"/>
  <c r="F448" i="30"/>
  <c r="F430" i="30"/>
  <c r="F334" i="30"/>
  <c r="F320" i="30"/>
  <c r="F295" i="30"/>
  <c r="F266" i="30"/>
  <c r="F182" i="30"/>
  <c r="F63" i="30"/>
  <c r="F611" i="30"/>
  <c r="F582" i="30"/>
  <c r="F579" i="30"/>
  <c r="F535" i="30"/>
  <c r="F539" i="30"/>
  <c r="F495" i="30"/>
  <c r="F499" i="30"/>
  <c r="F446" i="30"/>
  <c r="F450" i="30"/>
  <c r="F435" i="30"/>
  <c r="F439" i="30"/>
  <c r="F433" i="30"/>
  <c r="F424" i="30"/>
  <c r="F428" i="30"/>
  <c r="F432" i="30"/>
  <c r="F393" i="30"/>
  <c r="F397" i="30"/>
  <c r="F353" i="30"/>
  <c r="F357" i="30"/>
  <c r="F336" i="30"/>
  <c r="F332" i="30"/>
  <c r="F328" i="30"/>
  <c r="F324" i="30"/>
  <c r="F318" i="30"/>
  <c r="F322" i="30"/>
  <c r="F307" i="30"/>
  <c r="F311" i="30"/>
  <c r="F297" i="30"/>
  <c r="F301" i="30"/>
  <c r="F264" i="30"/>
  <c r="F268" i="30"/>
  <c r="F272" i="30"/>
  <c r="F225" i="30"/>
  <c r="F229" i="30"/>
  <c r="F180" i="30"/>
  <c r="F184" i="30"/>
  <c r="F97" i="30"/>
  <c r="F101" i="30"/>
  <c r="F95" i="30"/>
  <c r="F57" i="30"/>
  <c r="F61" i="30"/>
  <c r="F44" i="30"/>
  <c r="F48" i="30"/>
  <c r="F52" i="30"/>
  <c r="F609" i="30"/>
  <c r="F580" i="30"/>
  <c r="F537" i="30"/>
  <c r="F497" i="30"/>
  <c r="F443" i="30"/>
  <c r="F441" i="30"/>
  <c r="F395" i="30"/>
  <c r="F351" i="30"/>
  <c r="F338" i="30"/>
  <c r="F330" i="30"/>
  <c r="F316" i="30"/>
  <c r="F309" i="30"/>
  <c r="F270" i="30"/>
  <c r="F227" i="30"/>
  <c r="F178" i="30"/>
  <c r="F99" i="30"/>
  <c r="F55" i="30"/>
  <c r="F50" i="30"/>
  <c r="F612" i="30"/>
  <c r="F583" i="30"/>
  <c r="F536" i="30"/>
  <c r="F532" i="30"/>
  <c r="F496" i="30"/>
  <c r="F500" i="30"/>
  <c r="F447" i="30"/>
  <c r="F451" i="30"/>
  <c r="F436" i="30"/>
  <c r="F440" i="30"/>
  <c r="F425" i="30"/>
  <c r="F429" i="30"/>
  <c r="F422" i="30"/>
  <c r="F390" i="30"/>
  <c r="F394" i="30"/>
  <c r="F398" i="30"/>
  <c r="F350" i="30"/>
  <c r="F354" i="30"/>
  <c r="F349" i="30"/>
  <c r="F333" i="30"/>
  <c r="F337" i="30"/>
  <c r="F325" i="30"/>
  <c r="F329" i="30"/>
  <c r="F315" i="30"/>
  <c r="F319" i="30"/>
  <c r="F323" i="30"/>
  <c r="F304" i="30"/>
  <c r="F308" i="30"/>
  <c r="F312" i="30"/>
  <c r="F298" i="30"/>
  <c r="F302" i="30"/>
  <c r="F265" i="30"/>
  <c r="F269" i="30"/>
  <c r="F262" i="30"/>
  <c r="F226" i="30"/>
  <c r="F230" i="30"/>
  <c r="F181" i="30"/>
  <c r="F185" i="30"/>
  <c r="F98" i="30"/>
  <c r="F102" i="30"/>
  <c r="F54" i="30"/>
  <c r="F58" i="30"/>
  <c r="F62" i="30"/>
  <c r="F45" i="30"/>
  <c r="F49" i="30"/>
  <c r="F42" i="30"/>
  <c r="F613" i="30"/>
  <c r="F584" i="30"/>
  <c r="F533" i="30"/>
  <c r="F494" i="30"/>
  <c r="F444" i="30"/>
  <c r="F437" i="30"/>
  <c r="F426" i="30"/>
  <c r="F391" i="30"/>
  <c r="F399" i="30"/>
  <c r="F355" i="30"/>
  <c r="F326" i="30"/>
  <c r="F314" i="30"/>
  <c r="F305" i="30"/>
  <c r="F313" i="30"/>
  <c r="F299" i="30"/>
  <c r="F231" i="30"/>
  <c r="F103" i="30"/>
  <c r="F59" i="30"/>
  <c r="F46" i="30"/>
  <c r="F186" i="30"/>
  <c r="F190" i="30"/>
  <c r="F196" i="30"/>
  <c r="F238" i="30"/>
  <c r="F241" i="30"/>
  <c r="F193" i="30"/>
  <c r="F240" i="30"/>
  <c r="F192" i="30"/>
  <c r="F189" i="30"/>
  <c r="F232" i="30"/>
  <c r="F191" i="30"/>
  <c r="F188" i="30"/>
  <c r="F233" i="30"/>
  <c r="F237" i="30"/>
  <c r="F234" i="30"/>
  <c r="F194" i="30"/>
  <c r="F239" i="30"/>
  <c r="F235" i="30"/>
  <c r="F236" i="30"/>
  <c r="F187" i="30"/>
  <c r="F195" i="30"/>
  <c r="F208" i="30"/>
  <c r="F214" i="30"/>
  <c r="F213" i="30"/>
  <c r="F244" i="30"/>
  <c r="F247" i="30"/>
  <c r="F153" i="30"/>
  <c r="F154" i="30"/>
  <c r="F152" i="30"/>
  <c r="F30" i="30"/>
  <c r="F23" i="30"/>
  <c r="F25" i="30"/>
  <c r="F252" i="30"/>
  <c r="F155" i="30"/>
  <c r="F148" i="30"/>
  <c r="F26" i="30"/>
  <c r="F22" i="30"/>
  <c r="F209" i="30"/>
  <c r="F251" i="30"/>
  <c r="F245" i="30"/>
  <c r="F149" i="30"/>
  <c r="F145" i="30"/>
  <c r="F24" i="30"/>
  <c r="F206" i="30"/>
  <c r="F207" i="30"/>
  <c r="F243" i="30"/>
  <c r="F248" i="30"/>
  <c r="F147" i="30"/>
  <c r="F31" i="30"/>
  <c r="F211" i="30"/>
  <c r="F250" i="30"/>
  <c r="F150" i="30"/>
  <c r="F28" i="30"/>
  <c r="F210" i="30"/>
  <c r="F212" i="30"/>
  <c r="F249" i="30"/>
  <c r="F242" i="30"/>
  <c r="F246" i="30"/>
  <c r="F151" i="30"/>
  <c r="F32" i="30"/>
  <c r="F146" i="30"/>
  <c r="F29" i="30"/>
  <c r="F27" i="30"/>
  <c r="E855" i="30"/>
  <c r="E851" i="30"/>
  <c r="E847" i="30"/>
  <c r="E843" i="30"/>
  <c r="E856" i="30"/>
  <c r="E850" i="30"/>
  <c r="E845" i="30"/>
  <c r="E840" i="30"/>
  <c r="E836" i="30"/>
  <c r="E832" i="30"/>
  <c r="E828" i="30"/>
  <c r="E824" i="30"/>
  <c r="E820" i="30"/>
  <c r="E816" i="30"/>
  <c r="E812" i="30"/>
  <c r="E808" i="30"/>
  <c r="E804" i="30"/>
  <c r="E800" i="30"/>
  <c r="E796" i="30"/>
  <c r="E792" i="30"/>
  <c r="E788" i="30"/>
  <c r="E784" i="30"/>
  <c r="E780" i="30"/>
  <c r="E776" i="30"/>
  <c r="E772" i="30"/>
  <c r="E768" i="30"/>
  <c r="E764" i="30"/>
  <c r="E760" i="30"/>
  <c r="E756" i="30"/>
  <c r="E752" i="30"/>
  <c r="E748" i="30"/>
  <c r="E744" i="30"/>
  <c r="E740" i="30"/>
  <c r="E736" i="30"/>
  <c r="E732" i="30"/>
  <c r="E728" i="30"/>
  <c r="E724" i="30"/>
  <c r="E720" i="30"/>
  <c r="E716" i="30"/>
  <c r="E712" i="30"/>
  <c r="E708" i="30"/>
  <c r="E704" i="30"/>
  <c r="E700" i="30"/>
  <c r="E696" i="30"/>
  <c r="E692" i="30"/>
  <c r="E688" i="30"/>
  <c r="E676" i="30"/>
  <c r="E672" i="30"/>
  <c r="E668" i="30"/>
  <c r="E664" i="30"/>
  <c r="E660" i="30"/>
  <c r="E656" i="30"/>
  <c r="E652" i="30"/>
  <c r="E640" i="30"/>
  <c r="E636" i="30"/>
  <c r="E632" i="30"/>
  <c r="E628" i="30"/>
  <c r="E612" i="30"/>
  <c r="E608" i="30"/>
  <c r="E584" i="30"/>
  <c r="E580" i="30"/>
  <c r="E564" i="30"/>
  <c r="E560" i="30"/>
  <c r="E556" i="30"/>
  <c r="E552" i="30"/>
  <c r="E536" i="30"/>
  <c r="E532" i="30"/>
  <c r="E528" i="30"/>
  <c r="E524" i="30"/>
  <c r="E500" i="30"/>
  <c r="E496" i="30"/>
  <c r="E480" i="30"/>
  <c r="E476" i="30"/>
  <c r="E448" i="30"/>
  <c r="E444" i="30"/>
  <c r="E440" i="30"/>
  <c r="E436" i="30"/>
  <c r="E396" i="30"/>
  <c r="E392" i="30"/>
  <c r="E388" i="30"/>
  <c r="E384" i="30"/>
  <c r="E380" i="30"/>
  <c r="E356" i="30"/>
  <c r="E352" i="30"/>
  <c r="E336" i="30"/>
  <c r="E332" i="30"/>
  <c r="E328" i="30"/>
  <c r="E324" i="30"/>
  <c r="E320" i="30"/>
  <c r="E316" i="30"/>
  <c r="E300" i="30"/>
  <c r="E296" i="30"/>
  <c r="E272" i="30"/>
  <c r="E268" i="30"/>
  <c r="E264" i="30"/>
  <c r="E260" i="30"/>
  <c r="E256" i="30"/>
  <c r="E252" i="30"/>
  <c r="E248" i="30"/>
  <c r="E244" i="30"/>
  <c r="E228" i="30"/>
  <c r="E224" i="30"/>
  <c r="E220" i="30"/>
  <c r="E216" i="30"/>
  <c r="E212" i="30"/>
  <c r="E208" i="30"/>
  <c r="E184" i="30"/>
  <c r="E180" i="30"/>
  <c r="E152" i="30"/>
  <c r="E148" i="30"/>
  <c r="E144" i="30"/>
  <c r="E140" i="30"/>
  <c r="E136" i="30"/>
  <c r="E104" i="30"/>
  <c r="E100" i="30"/>
  <c r="E96" i="30"/>
  <c r="E92" i="30"/>
  <c r="E88" i="30"/>
  <c r="E52" i="30"/>
  <c r="E48" i="30"/>
  <c r="E44" i="30"/>
  <c r="E32" i="30"/>
  <c r="E28" i="30"/>
  <c r="E24" i="30"/>
  <c r="E20" i="30"/>
  <c r="E16" i="30"/>
  <c r="E12" i="30"/>
  <c r="E8" i="30"/>
  <c r="E846" i="30"/>
  <c r="E833" i="30"/>
  <c r="E821" i="30"/>
  <c r="E809" i="30"/>
  <c r="E797" i="30"/>
  <c r="E785" i="30"/>
  <c r="E773" i="30"/>
  <c r="E765" i="30"/>
  <c r="E753" i="30"/>
  <c r="E741" i="30"/>
  <c r="E725" i="30"/>
  <c r="E713" i="30"/>
  <c r="E701" i="30"/>
  <c r="E689" i="30"/>
  <c r="E677" i="30"/>
  <c r="E661" i="30"/>
  <c r="E653" i="30"/>
  <c r="E641" i="30"/>
  <c r="E629" i="30"/>
  <c r="E581" i="30"/>
  <c r="E553" i="30"/>
  <c r="E525" i="30"/>
  <c r="E477" i="30"/>
  <c r="E445" i="30"/>
  <c r="E433" i="30"/>
  <c r="E397" i="30"/>
  <c r="E385" i="30"/>
  <c r="E357" i="30"/>
  <c r="E321" i="30"/>
  <c r="E265" i="30"/>
  <c r="E249" i="30"/>
  <c r="E225" i="30"/>
  <c r="E213" i="30"/>
  <c r="E145" i="30"/>
  <c r="E137" i="30"/>
  <c r="E93" i="30"/>
  <c r="E45" i="30"/>
  <c r="E21" i="30"/>
  <c r="E9" i="30"/>
  <c r="E854" i="30"/>
  <c r="E849" i="30"/>
  <c r="E844" i="30"/>
  <c r="E839" i="30"/>
  <c r="E835" i="30"/>
  <c r="E831" i="30"/>
  <c r="E827" i="30"/>
  <c r="E823" i="30"/>
  <c r="E819" i="30"/>
  <c r="E815" i="30"/>
  <c r="E811" i="30"/>
  <c r="E807" i="30"/>
  <c r="E803" i="30"/>
  <c r="E799" i="30"/>
  <c r="E795" i="30"/>
  <c r="E791" i="30"/>
  <c r="E787" i="30"/>
  <c r="E783" i="30"/>
  <c r="E779" i="30"/>
  <c r="E775" i="30"/>
  <c r="E771" i="30"/>
  <c r="E767" i="30"/>
  <c r="E763" i="30"/>
  <c r="E759" i="30"/>
  <c r="E755" i="30"/>
  <c r="E751" i="30"/>
  <c r="E747" i="30"/>
  <c r="E743" i="30"/>
  <c r="E739" i="30"/>
  <c r="E735" i="30"/>
  <c r="E731" i="30"/>
  <c r="E727" i="30"/>
  <c r="E723" i="30"/>
  <c r="E719" i="30"/>
  <c r="E715" i="30"/>
  <c r="E711" i="30"/>
  <c r="E707" i="30"/>
  <c r="E703" i="30"/>
  <c r="E699" i="30"/>
  <c r="E695" i="30"/>
  <c r="E691" i="30"/>
  <c r="E675" i="30"/>
  <c r="E671" i="30"/>
  <c r="E667" i="30"/>
  <c r="E663" i="30"/>
  <c r="E659" i="30"/>
  <c r="E655" i="30"/>
  <c r="E639" i="30"/>
  <c r="E635" i="30"/>
  <c r="E631" i="30"/>
  <c r="E627" i="30"/>
  <c r="E611" i="30"/>
  <c r="E583" i="30"/>
  <c r="E579" i="30"/>
  <c r="E567" i="30"/>
  <c r="E563" i="30"/>
  <c r="E559" i="30"/>
  <c r="E555" i="30"/>
  <c r="E551" i="30"/>
  <c r="E539" i="30"/>
  <c r="E535" i="30"/>
  <c r="E531" i="30"/>
  <c r="E527" i="30"/>
  <c r="E523" i="30"/>
  <c r="E499" i="30"/>
  <c r="E495" i="30"/>
  <c r="E479" i="30"/>
  <c r="E475" i="30"/>
  <c r="E451" i="30"/>
  <c r="E447" i="30"/>
  <c r="E443" i="30"/>
  <c r="E439" i="30"/>
  <c r="E435" i="30"/>
  <c r="E399" i="30"/>
  <c r="E395" i="30"/>
  <c r="E391" i="30"/>
  <c r="E387" i="30"/>
  <c r="E383" i="30"/>
  <c r="E355" i="30"/>
  <c r="E351" i="30"/>
  <c r="E339" i="30"/>
  <c r="E335" i="30"/>
  <c r="E331" i="30"/>
  <c r="E327" i="30"/>
  <c r="E323" i="30"/>
  <c r="E319" i="30"/>
  <c r="E315" i="30"/>
  <c r="E299" i="30"/>
  <c r="E295" i="30"/>
  <c r="E271" i="30"/>
  <c r="E267" i="30"/>
  <c r="E263" i="30"/>
  <c r="E259" i="30"/>
  <c r="E255" i="30"/>
  <c r="E251" i="30"/>
  <c r="E247" i="30"/>
  <c r="E243" i="30"/>
  <c r="E231" i="30"/>
  <c r="E227" i="30"/>
  <c r="E223" i="30"/>
  <c r="E219" i="30"/>
  <c r="E215" i="30"/>
  <c r="E211" i="30"/>
  <c r="E207" i="30"/>
  <c r="E183" i="30"/>
  <c r="E179" i="30"/>
  <c r="E155" i="30"/>
  <c r="E151" i="30"/>
  <c r="E147" i="30"/>
  <c r="E143" i="30"/>
  <c r="E139" i="30"/>
  <c r="E103" i="30"/>
  <c r="E99" i="30"/>
  <c r="E95" i="30"/>
  <c r="E91" i="30"/>
  <c r="E87" i="30"/>
  <c r="E51" i="30"/>
  <c r="E47" i="30"/>
  <c r="E43" i="30"/>
  <c r="E31" i="30"/>
  <c r="E27" i="30"/>
  <c r="E23" i="30"/>
  <c r="E19" i="30"/>
  <c r="E15" i="30"/>
  <c r="E11" i="30"/>
  <c r="E852" i="30"/>
  <c r="E837" i="30"/>
  <c r="E825" i="30"/>
  <c r="E813" i="30"/>
  <c r="E801" i="30"/>
  <c r="E793" i="30"/>
  <c r="E781" i="30"/>
  <c r="E769" i="30"/>
  <c r="E757" i="30"/>
  <c r="E745" i="30"/>
  <c r="E733" i="30"/>
  <c r="E729" i="30"/>
  <c r="E717" i="30"/>
  <c r="E705" i="30"/>
  <c r="E693" i="30"/>
  <c r="E669" i="30"/>
  <c r="E657" i="30"/>
  <c r="E633" i="30"/>
  <c r="E625" i="30"/>
  <c r="E613" i="30"/>
  <c r="E565" i="30"/>
  <c r="E537" i="30"/>
  <c r="E529" i="30"/>
  <c r="E497" i="30"/>
  <c r="E441" i="30"/>
  <c r="E393" i="30"/>
  <c r="E381" i="30"/>
  <c r="E353" i="30"/>
  <c r="E333" i="30"/>
  <c r="E325" i="30"/>
  <c r="E297" i="30"/>
  <c r="E269" i="30"/>
  <c r="E257" i="30"/>
  <c r="E229" i="30"/>
  <c r="E217" i="30"/>
  <c r="E209" i="30"/>
  <c r="E185" i="30"/>
  <c r="E149" i="30"/>
  <c r="E141" i="30"/>
  <c r="E101" i="30"/>
  <c r="E89" i="30"/>
  <c r="E25" i="30"/>
  <c r="E17" i="30"/>
  <c r="E858" i="30"/>
  <c r="E853" i="30"/>
  <c r="E848" i="30"/>
  <c r="E842" i="30"/>
  <c r="E838" i="30"/>
  <c r="E834" i="30"/>
  <c r="E830" i="30"/>
  <c r="E826" i="30"/>
  <c r="E822" i="30"/>
  <c r="E818" i="30"/>
  <c r="E814" i="30"/>
  <c r="E810" i="30"/>
  <c r="E806" i="30"/>
  <c r="E802" i="30"/>
  <c r="E798" i="30"/>
  <c r="E794" i="30"/>
  <c r="E790" i="30"/>
  <c r="E786" i="30"/>
  <c r="E782" i="30"/>
  <c r="E778" i="30"/>
  <c r="E774" i="30"/>
  <c r="E770" i="30"/>
  <c r="E766" i="30"/>
  <c r="E762" i="30"/>
  <c r="E758" i="30"/>
  <c r="E754" i="30"/>
  <c r="E750" i="30"/>
  <c r="E746" i="30"/>
  <c r="E742" i="30"/>
  <c r="E738" i="30"/>
  <c r="E734" i="30"/>
  <c r="E730" i="30"/>
  <c r="E726" i="30"/>
  <c r="E722" i="30"/>
  <c r="E718" i="30"/>
  <c r="E714" i="30"/>
  <c r="E710" i="30"/>
  <c r="E706" i="30"/>
  <c r="E702" i="30"/>
  <c r="E698" i="30"/>
  <c r="E694" i="30"/>
  <c r="E690" i="30"/>
  <c r="E678" i="30"/>
  <c r="E674" i="30"/>
  <c r="E670" i="30"/>
  <c r="E666" i="30"/>
  <c r="E662" i="30"/>
  <c r="E658" i="30"/>
  <c r="E654" i="30"/>
  <c r="E642" i="30"/>
  <c r="E638" i="30"/>
  <c r="E634" i="30"/>
  <c r="E630" i="30"/>
  <c r="E626" i="30"/>
  <c r="E610" i="30"/>
  <c r="E582" i="30"/>
  <c r="E566" i="30"/>
  <c r="E562" i="30"/>
  <c r="E558" i="30"/>
  <c r="E554" i="30"/>
  <c r="E550" i="30"/>
  <c r="E538" i="30"/>
  <c r="E534" i="30"/>
  <c r="E530" i="30"/>
  <c r="E526" i="30"/>
  <c r="E498" i="30"/>
  <c r="E494" i="30"/>
  <c r="E482" i="30"/>
  <c r="E478" i="30"/>
  <c r="E474" i="30"/>
  <c r="E450" i="30"/>
  <c r="E446" i="30"/>
  <c r="E442" i="30"/>
  <c r="E438" i="30"/>
  <c r="E434" i="30"/>
  <c r="E398" i="30"/>
  <c r="E394" i="30"/>
  <c r="E390" i="30"/>
  <c r="E386" i="30"/>
  <c r="E382" i="30"/>
  <c r="E354" i="30"/>
  <c r="E350" i="30"/>
  <c r="E338" i="30"/>
  <c r="E334" i="30"/>
  <c r="E330" i="30"/>
  <c r="E326" i="30"/>
  <c r="E322" i="30"/>
  <c r="E318" i="30"/>
  <c r="E314" i="30"/>
  <c r="E302" i="30"/>
  <c r="E298" i="30"/>
  <c r="E270" i="30"/>
  <c r="E266" i="30"/>
  <c r="E262" i="30"/>
  <c r="E258" i="30"/>
  <c r="E254" i="30"/>
  <c r="E250" i="30"/>
  <c r="E246" i="30"/>
  <c r="E242" i="30"/>
  <c r="E230" i="30"/>
  <c r="E226" i="30"/>
  <c r="E222" i="30"/>
  <c r="E218" i="30"/>
  <c r="E214" i="30"/>
  <c r="E210" i="30"/>
  <c r="E206" i="30"/>
  <c r="E182" i="30"/>
  <c r="E178" i="30"/>
  <c r="E154" i="30"/>
  <c r="E150" i="30"/>
  <c r="E146" i="30"/>
  <c r="E142" i="30"/>
  <c r="E138" i="30"/>
  <c r="E102" i="30"/>
  <c r="E98" i="30"/>
  <c r="E94" i="30"/>
  <c r="E90" i="30"/>
  <c r="E86" i="30"/>
  <c r="E50" i="30"/>
  <c r="E46" i="30"/>
  <c r="E42" i="30"/>
  <c r="E30" i="30"/>
  <c r="E26" i="30"/>
  <c r="E22" i="30"/>
  <c r="E18" i="30"/>
  <c r="E14" i="30"/>
  <c r="E10" i="30"/>
  <c r="E857" i="30"/>
  <c r="E841" i="30"/>
  <c r="E829" i="30"/>
  <c r="E817" i="30"/>
  <c r="E805" i="30"/>
  <c r="E789" i="30"/>
  <c r="E777" i="30"/>
  <c r="E761" i="30"/>
  <c r="E749" i="30"/>
  <c r="E737" i="30"/>
  <c r="E721" i="30"/>
  <c r="E709" i="30"/>
  <c r="E697" i="30"/>
  <c r="E673" i="30"/>
  <c r="E665" i="30"/>
  <c r="E637" i="30"/>
  <c r="E609" i="30"/>
  <c r="E585" i="30"/>
  <c r="E561" i="30"/>
  <c r="E557" i="30"/>
  <c r="E533" i="30"/>
  <c r="E481" i="30"/>
  <c r="E449" i="30"/>
  <c r="E437" i="30"/>
  <c r="E389" i="30"/>
  <c r="E349" i="30"/>
  <c r="E337" i="30"/>
  <c r="E329" i="30"/>
  <c r="E317" i="30"/>
  <c r="E301" i="30"/>
  <c r="E261" i="30"/>
  <c r="E253" i="30"/>
  <c r="E245" i="30"/>
  <c r="E221" i="30"/>
  <c r="E181" i="30"/>
  <c r="E153" i="30"/>
  <c r="E97" i="30"/>
  <c r="E49" i="30"/>
  <c r="E29" i="30"/>
  <c r="E13" i="30"/>
  <c r="K86" i="36"/>
  <c r="L86" i="36"/>
  <c r="M86" i="36"/>
  <c r="V86" i="36"/>
  <c r="W86" i="36"/>
  <c r="X86" i="36"/>
  <c r="Y86" i="36"/>
  <c r="G16" i="36"/>
  <c r="K87" i="36"/>
  <c r="L87" i="36"/>
  <c r="S87" i="36" s="1"/>
  <c r="J16" i="36" s="1"/>
  <c r="M87" i="36"/>
  <c r="T87" i="36" s="1"/>
  <c r="K16" i="36" s="1"/>
  <c r="V87" i="36"/>
  <c r="W87" i="36"/>
  <c r="X87" i="36"/>
  <c r="Y87" i="36"/>
  <c r="G17" i="36"/>
  <c r="K88" i="36"/>
  <c r="L88" i="36"/>
  <c r="S88" i="36" s="1"/>
  <c r="J17" i="36" s="1"/>
  <c r="M88" i="36"/>
  <c r="T88" i="36" s="1"/>
  <c r="K17" i="36" s="1"/>
  <c r="V88" i="36"/>
  <c r="W88" i="36"/>
  <c r="X88" i="36"/>
  <c r="Y88" i="36"/>
  <c r="G18" i="36"/>
  <c r="K89" i="36"/>
  <c r="L89" i="36"/>
  <c r="S89" i="36" s="1"/>
  <c r="J18" i="36" s="1"/>
  <c r="M89" i="36"/>
  <c r="T89" i="36" s="1"/>
  <c r="K18" i="36" s="1"/>
  <c r="V89" i="36"/>
  <c r="W89" i="36"/>
  <c r="X89" i="36"/>
  <c r="Y89" i="36"/>
  <c r="G19" i="36"/>
  <c r="K90" i="36"/>
  <c r="L90" i="36"/>
  <c r="S90" i="36" s="1"/>
  <c r="J19" i="36" s="1"/>
  <c r="M90" i="36"/>
  <c r="T90" i="36" s="1"/>
  <c r="K19" i="36" s="1"/>
  <c r="V90" i="36"/>
  <c r="W90" i="36"/>
  <c r="X90" i="36"/>
  <c r="Y90" i="36"/>
  <c r="G22" i="36"/>
  <c r="F97" i="36"/>
  <c r="N86" i="36" s="1"/>
  <c r="D15" i="36" s="1"/>
  <c r="D29" i="36" s="1"/>
  <c r="F98" i="36"/>
  <c r="F99" i="36"/>
  <c r="F100" i="36"/>
  <c r="F101" i="36"/>
  <c r="E104" i="36"/>
  <c r="T105" i="36"/>
  <c r="Z87" i="31"/>
  <c r="Y87" i="31"/>
  <c r="X87" i="31"/>
  <c r="W87" i="31"/>
  <c r="V87" i="31"/>
  <c r="O16" i="36"/>
  <c r="O15" i="36"/>
  <c r="O14" i="36"/>
  <c r="O13" i="36"/>
  <c r="O12" i="36"/>
  <c r="J88" i="34"/>
  <c r="J87" i="34"/>
  <c r="V87" i="34" s="1"/>
  <c r="AE490" i="30" s="1"/>
  <c r="J86" i="34"/>
  <c r="J85" i="34"/>
  <c r="AC536" i="30" s="1"/>
  <c r="J84" i="34"/>
  <c r="L84" i="34" s="1"/>
  <c r="M84" i="34" s="1"/>
  <c r="N84" i="34" s="1"/>
  <c r="J83" i="34"/>
  <c r="V83" i="34" s="1"/>
  <c r="AE519" i="30" s="1"/>
  <c r="J81" i="34"/>
  <c r="J80" i="34"/>
  <c r="J77" i="34"/>
  <c r="J76" i="34"/>
  <c r="L76" i="34" s="1"/>
  <c r="M76" i="34" s="1"/>
  <c r="N76" i="34" s="1"/>
  <c r="J69" i="34"/>
  <c r="L69" i="34" s="1"/>
  <c r="J68" i="34"/>
  <c r="L68" i="34" s="1"/>
  <c r="M68" i="34" s="1"/>
  <c r="N68" i="34" s="1"/>
  <c r="J64" i="34"/>
  <c r="V64" i="34" s="1"/>
  <c r="AE345" i="30" s="1"/>
  <c r="J60" i="34"/>
  <c r="L60" i="34" s="1"/>
  <c r="M60" i="34" s="1"/>
  <c r="N60" i="34" s="1"/>
  <c r="J59" i="34"/>
  <c r="J56" i="34"/>
  <c r="L56" i="34" s="1"/>
  <c r="M56" i="34" s="1"/>
  <c r="N56" i="34" s="1"/>
  <c r="J55" i="34"/>
  <c r="AC328" i="30" s="1"/>
  <c r="J51" i="34"/>
  <c r="L51" i="34" s="1"/>
  <c r="M51" i="34" s="1"/>
  <c r="N51" i="34" s="1"/>
  <c r="J50" i="34"/>
  <c r="V50" i="34" s="1"/>
  <c r="AE291" i="30" s="1"/>
  <c r="J49" i="34"/>
  <c r="L49" i="34" s="1"/>
  <c r="M49" i="34" s="1"/>
  <c r="N49" i="34" s="1"/>
  <c r="J46" i="34"/>
  <c r="K61" i="31" s="1"/>
  <c r="J45" i="34"/>
  <c r="J39" i="34" s="1"/>
  <c r="L39" i="34" s="1"/>
  <c r="M39" i="34" s="1"/>
  <c r="N39" i="34" s="1"/>
  <c r="J44" i="34"/>
  <c r="J43" i="34"/>
  <c r="L43" i="34" s="1"/>
  <c r="M43" i="34" s="1"/>
  <c r="N43" i="34" s="1"/>
  <c r="J41" i="34"/>
  <c r="J40" i="34"/>
  <c r="L40" i="34" s="1"/>
  <c r="M40" i="34" s="1"/>
  <c r="N40" i="34" s="1"/>
  <c r="J33" i="34"/>
  <c r="AC203" i="30"/>
  <c r="J22" i="34"/>
  <c r="J21" i="34"/>
  <c r="V21" i="34" s="1"/>
  <c r="J18" i="34"/>
  <c r="L18" i="34" s="1"/>
  <c r="J11" i="34"/>
  <c r="L11" i="34" s="1"/>
  <c r="M11" i="34" s="1"/>
  <c r="N11" i="34" s="1"/>
  <c r="J10" i="34"/>
  <c r="J9" i="34"/>
  <c r="L9" i="34" s="1"/>
  <c r="M9" i="34" s="1"/>
  <c r="N9" i="34" s="1"/>
  <c r="L86" i="31"/>
  <c r="W86" i="31" s="1"/>
  <c r="AE694" i="30" s="1"/>
  <c r="G50" i="50"/>
  <c r="N50" i="50"/>
  <c r="G51" i="50"/>
  <c r="N51" i="50"/>
  <c r="G52" i="50"/>
  <c r="N52" i="50"/>
  <c r="G53" i="50"/>
  <c r="E169" i="14"/>
  <c r="D169" i="14"/>
  <c r="E168" i="14"/>
  <c r="D168" i="14"/>
  <c r="E167" i="14"/>
  <c r="D167" i="14"/>
  <c r="E166" i="14"/>
  <c r="D166" i="14"/>
  <c r="E165" i="14"/>
  <c r="D165" i="14"/>
  <c r="E164" i="14"/>
  <c r="D164" i="14"/>
  <c r="E163" i="14"/>
  <c r="D163" i="14"/>
  <c r="E162" i="14"/>
  <c r="D162" i="14"/>
  <c r="E161" i="14"/>
  <c r="D161" i="14"/>
  <c r="E160" i="14"/>
  <c r="D160" i="14"/>
  <c r="E159" i="14"/>
  <c r="D159" i="14"/>
  <c r="E158" i="14"/>
  <c r="D158" i="14"/>
  <c r="E157" i="14"/>
  <c r="D157" i="14"/>
  <c r="E156" i="14"/>
  <c r="D156" i="14"/>
  <c r="E155" i="14"/>
  <c r="D155" i="14"/>
  <c r="E154" i="14"/>
  <c r="D154" i="14"/>
  <c r="E153" i="14"/>
  <c r="D153" i="14"/>
  <c r="E152" i="14"/>
  <c r="D152" i="14"/>
  <c r="E151" i="14"/>
  <c r="D151" i="14"/>
  <c r="E150" i="14"/>
  <c r="D150" i="14"/>
  <c r="E149" i="14"/>
  <c r="D149" i="14"/>
  <c r="E148" i="14"/>
  <c r="D148" i="14"/>
  <c r="E147" i="14"/>
  <c r="D147" i="14"/>
  <c r="E146" i="14"/>
  <c r="D146" i="14"/>
  <c r="E145" i="14"/>
  <c r="D145" i="14"/>
  <c r="E144" i="14"/>
  <c r="D144" i="14"/>
  <c r="E143" i="14"/>
  <c r="D143" i="14"/>
  <c r="E142" i="14"/>
  <c r="D142" i="14"/>
  <c r="E141" i="14"/>
  <c r="D141" i="14"/>
  <c r="E140" i="14"/>
  <c r="D140" i="14"/>
  <c r="E139" i="14"/>
  <c r="D139" i="14"/>
  <c r="E138" i="14"/>
  <c r="D138" i="14"/>
  <c r="E137" i="14"/>
  <c r="D137" i="14"/>
  <c r="E136" i="14"/>
  <c r="D136" i="14"/>
  <c r="E135" i="14"/>
  <c r="D135" i="14"/>
  <c r="E171" i="14"/>
  <c r="D171" i="14"/>
  <c r="E134" i="14"/>
  <c r="D134" i="14"/>
  <c r="E133" i="14"/>
  <c r="D133" i="14"/>
  <c r="E132" i="14"/>
  <c r="D132" i="14"/>
  <c r="E131" i="14"/>
  <c r="D131" i="14"/>
  <c r="E130" i="14"/>
  <c r="D130" i="14"/>
  <c r="E129" i="14"/>
  <c r="D129" i="14"/>
  <c r="E128" i="14"/>
  <c r="D128" i="14"/>
  <c r="E127" i="14"/>
  <c r="D127" i="14"/>
  <c r="E126" i="14"/>
  <c r="D126" i="14"/>
  <c r="E125" i="14"/>
  <c r="D125" i="14"/>
  <c r="E124" i="14"/>
  <c r="D124" i="14"/>
  <c r="E123" i="14"/>
  <c r="D123" i="14"/>
  <c r="E122" i="14"/>
  <c r="D122" i="14"/>
  <c r="E121" i="14"/>
  <c r="D121" i="14"/>
  <c r="E120" i="14"/>
  <c r="D120" i="14"/>
  <c r="E119" i="14"/>
  <c r="D119" i="14"/>
  <c r="E170" i="14"/>
  <c r="D170" i="14"/>
  <c r="E118" i="14"/>
  <c r="D118" i="14"/>
  <c r="E117" i="14"/>
  <c r="D117" i="14"/>
  <c r="E116" i="14"/>
  <c r="D116" i="14"/>
  <c r="E115" i="14"/>
  <c r="D115" i="14"/>
  <c r="E114" i="14"/>
  <c r="D114" i="14"/>
  <c r="E113" i="14"/>
  <c r="D113" i="14"/>
  <c r="E112" i="14"/>
  <c r="D112" i="14"/>
  <c r="E111" i="14"/>
  <c r="D111" i="14"/>
  <c r="E110" i="14"/>
  <c r="D110" i="14"/>
  <c r="E109" i="14"/>
  <c r="D109" i="14"/>
  <c r="E108" i="14"/>
  <c r="D108" i="14"/>
  <c r="E107" i="14"/>
  <c r="D107" i="14"/>
  <c r="E106" i="14"/>
  <c r="D106" i="14"/>
  <c r="E105" i="14"/>
  <c r="D105" i="14"/>
  <c r="E104" i="14"/>
  <c r="D104" i="14"/>
  <c r="E103" i="14"/>
  <c r="D103" i="14"/>
  <c r="E102" i="14"/>
  <c r="D102" i="14"/>
  <c r="E101" i="14"/>
  <c r="D101" i="14"/>
  <c r="E100" i="14"/>
  <c r="D100" i="14"/>
  <c r="E99" i="14"/>
  <c r="D99" i="14"/>
  <c r="E98" i="14"/>
  <c r="D98" i="14"/>
  <c r="E97" i="14"/>
  <c r="D97" i="14"/>
  <c r="E96" i="14"/>
  <c r="D96" i="14"/>
  <c r="E95" i="14"/>
  <c r="D95" i="14"/>
  <c r="E94" i="14"/>
  <c r="D94" i="14"/>
  <c r="E93" i="14"/>
  <c r="D93" i="14"/>
  <c r="E92" i="14"/>
  <c r="D92" i="14"/>
  <c r="E91" i="14"/>
  <c r="D91" i="14"/>
  <c r="E76" i="14"/>
  <c r="C19" i="23" s="1"/>
  <c r="E21" i="14" s="1"/>
  <c r="D76" i="14"/>
  <c r="B19" i="23" s="1"/>
  <c r="D21" i="14" s="1"/>
  <c r="E75" i="14"/>
  <c r="C18" i="23" s="1"/>
  <c r="D75" i="14"/>
  <c r="B18" i="23" s="1"/>
  <c r="E74" i="14"/>
  <c r="C17" i="23" s="1"/>
  <c r="D74" i="14"/>
  <c r="B17" i="23" s="1"/>
  <c r="E73" i="14"/>
  <c r="C16" i="23" s="1"/>
  <c r="D73" i="14"/>
  <c r="B16" i="23" s="1"/>
  <c r="E72" i="14"/>
  <c r="C15" i="23" s="1"/>
  <c r="E17" i="14" s="1"/>
  <c r="D72" i="14"/>
  <c r="B15" i="23" s="1"/>
  <c r="D17" i="14" s="1"/>
  <c r="E71" i="14"/>
  <c r="C14" i="23" s="1"/>
  <c r="E16" i="14" s="1"/>
  <c r="D71" i="14"/>
  <c r="B14" i="23" s="1"/>
  <c r="D16" i="14" s="1"/>
  <c r="E70" i="14"/>
  <c r="C13" i="23" s="1"/>
  <c r="E15" i="14" s="1"/>
  <c r="D70" i="14"/>
  <c r="B13" i="23" s="1"/>
  <c r="D15" i="14" s="1"/>
  <c r="E69" i="14"/>
  <c r="C12" i="23" s="1"/>
  <c r="E14" i="14" s="1"/>
  <c r="D69" i="14"/>
  <c r="B12" i="23" s="1"/>
  <c r="D14" i="14" s="1"/>
  <c r="E68" i="14"/>
  <c r="C11" i="23" s="1"/>
  <c r="E13" i="14" s="1"/>
  <c r="D68" i="14"/>
  <c r="B11" i="23" s="1"/>
  <c r="D13" i="14" s="1"/>
  <c r="E67" i="14"/>
  <c r="C10" i="23" s="1"/>
  <c r="E12" i="14" s="1"/>
  <c r="D67" i="14"/>
  <c r="B10" i="23" s="1"/>
  <c r="D12" i="14" s="1"/>
  <c r="E66" i="14"/>
  <c r="C9" i="23" s="1"/>
  <c r="E11" i="14" s="1"/>
  <c r="D66" i="14"/>
  <c r="B9" i="23" s="1"/>
  <c r="D11" i="14" s="1"/>
  <c r="E65" i="14"/>
  <c r="C8" i="23" s="1"/>
  <c r="E10" i="14" s="1"/>
  <c r="D65" i="14"/>
  <c r="B8" i="23" s="1"/>
  <c r="E64" i="14"/>
  <c r="C7" i="23" s="1"/>
  <c r="E9" i="14" s="1"/>
  <c r="D64" i="14"/>
  <c r="B7" i="23" s="1"/>
  <c r="I45" i="34"/>
  <c r="AC574" i="30" s="1"/>
  <c r="I87" i="34"/>
  <c r="K29" i="31"/>
  <c r="J35" i="31" s="1"/>
  <c r="K35" i="31" s="1"/>
  <c r="M35" i="31" s="1"/>
  <c r="N35" i="31" s="1"/>
  <c r="F86" i="34"/>
  <c r="R86" i="34" s="1"/>
  <c r="AE542" i="30" s="1"/>
  <c r="F11" i="34"/>
  <c r="E615" i="30"/>
  <c r="E120" i="30"/>
  <c r="E572" i="30"/>
  <c r="E600" i="30"/>
  <c r="E586" i="30"/>
  <c r="E547" i="30"/>
  <c r="E519" i="30"/>
  <c r="E504" i="30"/>
  <c r="E493" i="30"/>
  <c r="E471" i="30"/>
  <c r="E456" i="30"/>
  <c r="E424" i="30"/>
  <c r="E420" i="30"/>
  <c r="E408" i="30"/>
  <c r="E376" i="30"/>
  <c r="E360" i="30"/>
  <c r="E344" i="30"/>
  <c r="E312" i="30"/>
  <c r="E288" i="30"/>
  <c r="E280" i="30"/>
  <c r="E232" i="30"/>
  <c r="E196" i="30"/>
  <c r="E168" i="30"/>
  <c r="E160" i="30"/>
  <c r="E128" i="30"/>
  <c r="E108" i="30"/>
  <c r="E76" i="30"/>
  <c r="E72" i="30"/>
  <c r="E56" i="30"/>
  <c r="AI18" i="30"/>
  <c r="E200" i="30"/>
  <c r="E40" i="30"/>
  <c r="I88" i="34"/>
  <c r="I46" i="34"/>
  <c r="AC620" i="30" s="1"/>
  <c r="D33" i="48"/>
  <c r="D34" i="48" s="1"/>
  <c r="H33" i="48"/>
  <c r="I33" i="48"/>
  <c r="J33" i="48"/>
  <c r="L33" i="48"/>
  <c r="M33" i="48"/>
  <c r="C33" i="48"/>
  <c r="C34" i="48" s="1"/>
  <c r="F33" i="48"/>
  <c r="G33" i="48"/>
  <c r="G34" i="48" s="1"/>
  <c r="K33" i="48"/>
  <c r="F32" i="48"/>
  <c r="H32" i="48"/>
  <c r="E33" i="48"/>
  <c r="E34" i="48" s="1"/>
  <c r="S12" i="36"/>
  <c r="S13" i="36"/>
  <c r="S14" i="36"/>
  <c r="S15" i="36"/>
  <c r="P22" i="36"/>
  <c r="P23" i="36"/>
  <c r="P24" i="36"/>
  <c r="B10" i="43"/>
  <c r="D10" i="43"/>
  <c r="E10" i="43" s="1"/>
  <c r="B11" i="43"/>
  <c r="D11" i="43"/>
  <c r="E11" i="43" s="1"/>
  <c r="B12" i="43"/>
  <c r="D12" i="43"/>
  <c r="E12" i="43" s="1"/>
  <c r="B13" i="43"/>
  <c r="D13" i="43"/>
  <c r="E13" i="43" s="1"/>
  <c r="B14" i="43"/>
  <c r="D14" i="43"/>
  <c r="E14" i="43" s="1"/>
  <c r="B15" i="43"/>
  <c r="D15" i="43"/>
  <c r="E15" i="43" s="1"/>
  <c r="C16" i="43"/>
  <c r="D16" i="43" s="1"/>
  <c r="E16" i="43" s="1"/>
  <c r="W16" i="43"/>
  <c r="Z16" i="43"/>
  <c r="C17" i="43"/>
  <c r="AC19" i="43"/>
  <c r="T32" i="43"/>
  <c r="U32" i="43"/>
  <c r="W32" i="43"/>
  <c r="T38" i="43"/>
  <c r="U38" i="43"/>
  <c r="W38" i="43"/>
  <c r="T45" i="43"/>
  <c r="U45" i="43"/>
  <c r="W45" i="43"/>
  <c r="T51" i="43"/>
  <c r="U51" i="43"/>
  <c r="W51" i="43"/>
  <c r="T58" i="43"/>
  <c r="U58" i="43"/>
  <c r="W58" i="43"/>
  <c r="T64" i="43"/>
  <c r="U64" i="43"/>
  <c r="W64" i="43"/>
  <c r="T71" i="43"/>
  <c r="S16" i="43" s="1"/>
  <c r="U71" i="43"/>
  <c r="T77" i="43"/>
  <c r="U77" i="43"/>
  <c r="Y84" i="43"/>
  <c r="Y90" i="43"/>
  <c r="B19" i="31"/>
  <c r="D9" i="34"/>
  <c r="P9" i="34" s="1"/>
  <c r="AE65" i="30" s="1"/>
  <c r="E9" i="34"/>
  <c r="Q9" i="34" s="1"/>
  <c r="AE66" i="30" s="1"/>
  <c r="F9" i="34"/>
  <c r="R9" i="34" s="1"/>
  <c r="AE67" i="30" s="1"/>
  <c r="G9" i="34"/>
  <c r="S9" i="34" s="1"/>
  <c r="AE68" i="30" s="1"/>
  <c r="H9" i="34"/>
  <c r="I9" i="34"/>
  <c r="AC70" i="30" s="1"/>
  <c r="D10" i="34"/>
  <c r="P10" i="34" s="1"/>
  <c r="AE76" i="30" s="1"/>
  <c r="E10" i="34"/>
  <c r="Q10" i="34" s="1"/>
  <c r="AE77" i="30" s="1"/>
  <c r="F10" i="34"/>
  <c r="G10" i="34"/>
  <c r="S10" i="34" s="1"/>
  <c r="AE79" i="30" s="1"/>
  <c r="H10" i="34"/>
  <c r="I10" i="34"/>
  <c r="AC81" i="30" s="1"/>
  <c r="E11" i="34"/>
  <c r="G11" i="34"/>
  <c r="S11" i="34" s="1"/>
  <c r="AE88" i="30" s="1"/>
  <c r="H11" i="34"/>
  <c r="T11" i="34" s="1"/>
  <c r="AE89" i="30" s="1"/>
  <c r="I11" i="34"/>
  <c r="AC90" i="30" s="1"/>
  <c r="D12" i="34"/>
  <c r="P12" i="34" s="1"/>
  <c r="AE54" i="30" s="1"/>
  <c r="E14" i="34"/>
  <c r="Q14" i="34" s="1"/>
  <c r="AE96" i="30" s="1"/>
  <c r="D15" i="34"/>
  <c r="E15" i="34"/>
  <c r="F15" i="34"/>
  <c r="R15" i="34" s="1"/>
  <c r="AE107" i="30" s="1"/>
  <c r="AC15" i="34"/>
  <c r="D17" i="34"/>
  <c r="E47" i="31" s="1"/>
  <c r="P47" i="31" s="1"/>
  <c r="E17" i="34"/>
  <c r="Q17" i="34" s="1"/>
  <c r="AE116" i="30" s="1"/>
  <c r="AC17" i="34"/>
  <c r="D18" i="34"/>
  <c r="E18" i="34"/>
  <c r="Q18" i="34" s="1"/>
  <c r="AE127" i="30" s="1"/>
  <c r="F18" i="34"/>
  <c r="G18" i="34"/>
  <c r="S18" i="34" s="1"/>
  <c r="AE129" i="30" s="1"/>
  <c r="H18" i="34"/>
  <c r="T18" i="34" s="1"/>
  <c r="AE130" i="30" s="1"/>
  <c r="I18" i="34"/>
  <c r="AC131" i="30" s="1"/>
  <c r="D21" i="34"/>
  <c r="E21" i="34"/>
  <c r="Q21" i="34" s="1"/>
  <c r="AE158" i="30" s="1"/>
  <c r="F21" i="34"/>
  <c r="R21" i="34" s="1"/>
  <c r="AE159" i="30" s="1"/>
  <c r="G21" i="34"/>
  <c r="H21" i="34"/>
  <c r="I21" i="34"/>
  <c r="D22" i="34"/>
  <c r="P22" i="34" s="1"/>
  <c r="AE168" i="30" s="1"/>
  <c r="E22" i="34"/>
  <c r="F22" i="34"/>
  <c r="G22" i="34"/>
  <c r="S22" i="34" s="1"/>
  <c r="AE171" i="30" s="1"/>
  <c r="H22" i="34"/>
  <c r="T22" i="34" s="1"/>
  <c r="AE172" i="30" s="1"/>
  <c r="I22" i="34"/>
  <c r="AC173" i="30" s="1"/>
  <c r="F23" i="34"/>
  <c r="R23" i="34" s="1"/>
  <c r="AE178" i="30" s="1"/>
  <c r="D24" i="34"/>
  <c r="P24" i="34" s="1"/>
  <c r="AE187" i="30" s="1"/>
  <c r="P31" i="34"/>
  <c r="AC198" i="30"/>
  <c r="U31" i="34"/>
  <c r="AE201" i="30" s="1"/>
  <c r="E33" i="34"/>
  <c r="Q33" i="34" s="1"/>
  <c r="AE215" i="30" s="1"/>
  <c r="F33" i="34"/>
  <c r="R33" i="34" s="1"/>
  <c r="AE216" i="30" s="1"/>
  <c r="G33" i="34"/>
  <c r="S33" i="34" s="1"/>
  <c r="AE217" i="30" s="1"/>
  <c r="H33" i="34"/>
  <c r="T33" i="34" s="1"/>
  <c r="AE218" i="30" s="1"/>
  <c r="I33" i="34"/>
  <c r="U33" i="34" s="1"/>
  <c r="AE219" i="30" s="1"/>
  <c r="F34" i="34"/>
  <c r="AC224" i="30" s="1"/>
  <c r="D36" i="34"/>
  <c r="D45" i="34"/>
  <c r="D39" i="34" s="1"/>
  <c r="E45" i="34"/>
  <c r="F45" i="34"/>
  <c r="F39" i="34" s="1"/>
  <c r="G45" i="34"/>
  <c r="G39" i="34" s="1"/>
  <c r="H45" i="34"/>
  <c r="H39" i="34" s="1"/>
  <c r="G40" i="34"/>
  <c r="S40" i="34" s="1"/>
  <c r="AE579" i="30" s="1"/>
  <c r="H40" i="34"/>
  <c r="AC580" i="30" s="1"/>
  <c r="I40" i="34"/>
  <c r="D41" i="34"/>
  <c r="P41" i="34" s="1"/>
  <c r="AE587" i="30" s="1"/>
  <c r="E41" i="34"/>
  <c r="Q41" i="34" s="1"/>
  <c r="AE588" i="30" s="1"/>
  <c r="F41" i="34"/>
  <c r="R41" i="34" s="1"/>
  <c r="AE589" i="30" s="1"/>
  <c r="G41" i="34"/>
  <c r="H41" i="34"/>
  <c r="T41" i="34" s="1"/>
  <c r="AE591" i="30" s="1"/>
  <c r="I41" i="34"/>
  <c r="AC592" i="30" s="1"/>
  <c r="D43" i="34"/>
  <c r="P43" i="34" s="1"/>
  <c r="AE598" i="30" s="1"/>
  <c r="E43" i="34"/>
  <c r="Q43" i="34" s="1"/>
  <c r="AE599" i="30" s="1"/>
  <c r="F43" i="34"/>
  <c r="G43" i="34"/>
  <c r="S43" i="34" s="1"/>
  <c r="AE601" i="30" s="1"/>
  <c r="H43" i="34"/>
  <c r="T43" i="34" s="1"/>
  <c r="AE602" i="30" s="1"/>
  <c r="I43" i="34"/>
  <c r="AC603" i="30" s="1"/>
  <c r="H44" i="34"/>
  <c r="T44" i="34" s="1"/>
  <c r="AE608" i="30" s="1"/>
  <c r="I44" i="34"/>
  <c r="U44" i="34" s="1"/>
  <c r="AE609" i="30" s="1"/>
  <c r="D46" i="34"/>
  <c r="E46" i="34"/>
  <c r="Q46" i="34" s="1"/>
  <c r="AE616" i="30" s="1"/>
  <c r="F46" i="34"/>
  <c r="R46" i="34" s="1"/>
  <c r="AE617" i="30" s="1"/>
  <c r="G46" i="34"/>
  <c r="S46" i="34" s="1"/>
  <c r="AE618" i="30" s="1"/>
  <c r="H46" i="34"/>
  <c r="AC619" i="30" s="1"/>
  <c r="AD619" i="30" s="1"/>
  <c r="D49" i="34"/>
  <c r="P49" i="34" s="1"/>
  <c r="AE274" i="30" s="1"/>
  <c r="E49" i="34"/>
  <c r="Q49" i="34" s="1"/>
  <c r="AE275" i="30" s="1"/>
  <c r="F49" i="34"/>
  <c r="R49" i="34" s="1"/>
  <c r="AE276" i="30" s="1"/>
  <c r="G49" i="34"/>
  <c r="H49" i="34"/>
  <c r="T49" i="34" s="1"/>
  <c r="AE278" i="30" s="1"/>
  <c r="I49" i="34"/>
  <c r="U49" i="34" s="1"/>
  <c r="AE279" i="30" s="1"/>
  <c r="D50" i="34"/>
  <c r="P50" i="34" s="1"/>
  <c r="AE285" i="30" s="1"/>
  <c r="E50" i="34"/>
  <c r="F50" i="34"/>
  <c r="R50" i="34" s="1"/>
  <c r="AE287" i="30" s="1"/>
  <c r="G50" i="34"/>
  <c r="S50" i="34" s="1"/>
  <c r="AE288" i="30" s="1"/>
  <c r="H50" i="34"/>
  <c r="AC289" i="30" s="1"/>
  <c r="I50" i="34"/>
  <c r="AC290" i="30" s="1"/>
  <c r="AJ50" i="34"/>
  <c r="AK50" i="34" s="1"/>
  <c r="AL50" i="34" s="1"/>
  <c r="AM50" i="34" s="1"/>
  <c r="F51" i="34"/>
  <c r="AC295" i="30" s="1"/>
  <c r="G51" i="34"/>
  <c r="S51" i="34" s="1"/>
  <c r="AE296" i="30" s="1"/>
  <c r="H51" i="34"/>
  <c r="I51" i="34"/>
  <c r="AC298" i="30" s="1"/>
  <c r="AJ51" i="34"/>
  <c r="D52" i="34"/>
  <c r="P52" i="34" s="1"/>
  <c r="AE304" i="30" s="1"/>
  <c r="F55" i="34"/>
  <c r="R55" i="34" s="1"/>
  <c r="AE324" i="30" s="1"/>
  <c r="G55" i="34"/>
  <c r="S55" i="34" s="1"/>
  <c r="AE325" i="30" s="1"/>
  <c r="H55" i="34"/>
  <c r="I55" i="34"/>
  <c r="F56" i="34"/>
  <c r="G56" i="34"/>
  <c r="S56" i="34" s="1"/>
  <c r="AE333" i="30" s="1"/>
  <c r="H56" i="34"/>
  <c r="T56" i="34" s="1"/>
  <c r="AE334" i="30" s="1"/>
  <c r="I56" i="34"/>
  <c r="U56" i="34" s="1"/>
  <c r="AE335" i="30" s="1"/>
  <c r="E58" i="34"/>
  <c r="AC349" i="30" s="1"/>
  <c r="D59" i="34"/>
  <c r="P59" i="34" s="1"/>
  <c r="AE359" i="30" s="1"/>
  <c r="E59" i="34"/>
  <c r="Q59" i="34" s="1"/>
  <c r="AE360" i="30" s="1"/>
  <c r="F59" i="34"/>
  <c r="R59" i="34" s="1"/>
  <c r="AE361" i="30" s="1"/>
  <c r="G59" i="34"/>
  <c r="H59" i="34"/>
  <c r="T59" i="34" s="1"/>
  <c r="AE363" i="30" s="1"/>
  <c r="I59" i="34"/>
  <c r="AC364" i="30" s="1"/>
  <c r="D60" i="34"/>
  <c r="P60" i="34" s="1"/>
  <c r="AE370" i="30" s="1"/>
  <c r="E60" i="34"/>
  <c r="Q60" i="34" s="1"/>
  <c r="AE371" i="30" s="1"/>
  <c r="F60" i="34"/>
  <c r="R60" i="34" s="1"/>
  <c r="AE372" i="30" s="1"/>
  <c r="G60" i="34"/>
  <c r="S60" i="34" s="1"/>
  <c r="AE373" i="30" s="1"/>
  <c r="H60" i="34"/>
  <c r="T60" i="34" s="1"/>
  <c r="AE374" i="30" s="1"/>
  <c r="I60" i="34"/>
  <c r="D64" i="34"/>
  <c r="P64" i="34" s="1"/>
  <c r="E64" i="34"/>
  <c r="Q64" i="34" s="1"/>
  <c r="AE340" i="30" s="1"/>
  <c r="F64" i="34"/>
  <c r="R64" i="34" s="1"/>
  <c r="AE341" i="30" s="1"/>
  <c r="G64" i="34"/>
  <c r="S64" i="34" s="1"/>
  <c r="AE342" i="30" s="1"/>
  <c r="H64" i="34"/>
  <c r="T64" i="34" s="1"/>
  <c r="AE343" i="30" s="1"/>
  <c r="I64" i="34"/>
  <c r="AC344" i="30" s="1"/>
  <c r="D66" i="34"/>
  <c r="E66" i="34" s="1"/>
  <c r="F75" i="31" s="1"/>
  <c r="D68" i="34"/>
  <c r="P68" i="34" s="1"/>
  <c r="AE401" i="30" s="1"/>
  <c r="E68" i="34"/>
  <c r="Q68" i="34" s="1"/>
  <c r="AE402" i="30" s="1"/>
  <c r="F68" i="34"/>
  <c r="R68" i="34" s="1"/>
  <c r="AE403" i="30" s="1"/>
  <c r="G68" i="34"/>
  <c r="S68" i="34" s="1"/>
  <c r="AE404" i="30" s="1"/>
  <c r="H68" i="34"/>
  <c r="I68" i="34"/>
  <c r="U68" i="34" s="1"/>
  <c r="AE406" i="30" s="1"/>
  <c r="D69" i="34"/>
  <c r="P69" i="34" s="1"/>
  <c r="AE412" i="30" s="1"/>
  <c r="E69" i="34"/>
  <c r="Q69" i="34" s="1"/>
  <c r="AE413" i="30" s="1"/>
  <c r="F69" i="34"/>
  <c r="G69" i="34"/>
  <c r="S69" i="34" s="1"/>
  <c r="AE415" i="30" s="1"/>
  <c r="H69" i="34"/>
  <c r="T69" i="34" s="1"/>
  <c r="AE416" i="30" s="1"/>
  <c r="I69" i="34"/>
  <c r="D70" i="34"/>
  <c r="V72" i="34"/>
  <c r="F75" i="34"/>
  <c r="G79" i="31" s="1"/>
  <c r="Q75" i="34"/>
  <c r="AE443" i="30" s="1"/>
  <c r="D76" i="34"/>
  <c r="E76" i="34"/>
  <c r="Q76" i="34" s="1"/>
  <c r="AE454" i="30" s="1"/>
  <c r="F76" i="34"/>
  <c r="R76" i="34" s="1"/>
  <c r="AE455" i="30" s="1"/>
  <c r="G76" i="34"/>
  <c r="S76" i="34" s="1"/>
  <c r="AE456" i="30" s="1"/>
  <c r="H76" i="34"/>
  <c r="I76" i="34"/>
  <c r="AC458" i="30" s="1"/>
  <c r="D77" i="34"/>
  <c r="P77" i="34" s="1"/>
  <c r="AE464" i="30" s="1"/>
  <c r="E77" i="34"/>
  <c r="Q77" i="34" s="1"/>
  <c r="AE465" i="30" s="1"/>
  <c r="F77" i="34"/>
  <c r="R77" i="34" s="1"/>
  <c r="AE466" i="30" s="1"/>
  <c r="G77" i="34"/>
  <c r="S77" i="34" s="1"/>
  <c r="AE467" i="30" s="1"/>
  <c r="H77" i="34"/>
  <c r="T77" i="34" s="1"/>
  <c r="AE468" i="30" s="1"/>
  <c r="I77" i="34"/>
  <c r="U77" i="34" s="1"/>
  <c r="AE469" i="30" s="1"/>
  <c r="AF469" i="30" s="1"/>
  <c r="Q78" i="34"/>
  <c r="AE474" i="30" s="1"/>
  <c r="D87" i="34"/>
  <c r="D79" i="34" s="1"/>
  <c r="E85" i="31" s="1"/>
  <c r="P85" i="31" s="1"/>
  <c r="E87" i="34"/>
  <c r="E79" i="34" s="1"/>
  <c r="F88" i="31" s="1"/>
  <c r="F87" i="34"/>
  <c r="F79" i="34" s="1"/>
  <c r="G85" i="31" s="1"/>
  <c r="G87" i="34"/>
  <c r="G79" i="34" s="1"/>
  <c r="H88" i="31" s="1"/>
  <c r="S88" i="31" s="1"/>
  <c r="H87" i="34"/>
  <c r="H79" i="34" s="1"/>
  <c r="G80" i="34"/>
  <c r="AC494" i="30" s="1"/>
  <c r="H80" i="34"/>
  <c r="AC495" i="30" s="1"/>
  <c r="I80" i="34"/>
  <c r="U80" i="34" s="1"/>
  <c r="AE496" i="30" s="1"/>
  <c r="D81" i="34"/>
  <c r="P81" i="34" s="1"/>
  <c r="AE502" i="30" s="1"/>
  <c r="E81" i="34"/>
  <c r="Q81" i="34" s="1"/>
  <c r="AE503" i="30" s="1"/>
  <c r="F81" i="34"/>
  <c r="G81" i="34"/>
  <c r="S81" i="34" s="1"/>
  <c r="AE505" i="30" s="1"/>
  <c r="H81" i="34"/>
  <c r="T81" i="34" s="1"/>
  <c r="AE506" i="30" s="1"/>
  <c r="I81" i="34"/>
  <c r="U81" i="34" s="1"/>
  <c r="AE507" i="30" s="1"/>
  <c r="V82" i="34"/>
  <c r="D83" i="34"/>
  <c r="P83" i="34" s="1"/>
  <c r="AE513" i="30" s="1"/>
  <c r="E83" i="34"/>
  <c r="F83" i="34"/>
  <c r="R83" i="34" s="1"/>
  <c r="AE515" i="30" s="1"/>
  <c r="G83" i="34"/>
  <c r="S83" i="34" s="1"/>
  <c r="AE516" i="30" s="1"/>
  <c r="H83" i="34"/>
  <c r="T83" i="34" s="1"/>
  <c r="AE517" i="30" s="1"/>
  <c r="I83" i="34"/>
  <c r="AC518" i="30" s="1"/>
  <c r="E84" i="34"/>
  <c r="Q84" i="34" s="1"/>
  <c r="AE523" i="30" s="1"/>
  <c r="F84" i="34"/>
  <c r="G84" i="34"/>
  <c r="S84" i="34" s="1"/>
  <c r="AE525" i="30" s="1"/>
  <c r="H84" i="34"/>
  <c r="AC526" i="30" s="1"/>
  <c r="I84" i="34"/>
  <c r="U84" i="34" s="1"/>
  <c r="AE527" i="30" s="1"/>
  <c r="F85" i="34"/>
  <c r="AC532" i="30" s="1"/>
  <c r="G85" i="34"/>
  <c r="S85" i="34" s="1"/>
  <c r="AE533" i="30" s="1"/>
  <c r="H85" i="34"/>
  <c r="T85" i="34" s="1"/>
  <c r="AE534" i="30" s="1"/>
  <c r="I85" i="34"/>
  <c r="AC535" i="30" s="1"/>
  <c r="D86" i="34"/>
  <c r="P86" i="34" s="1"/>
  <c r="AE540" i="30" s="1"/>
  <c r="E86" i="34"/>
  <c r="Q86" i="34" s="1"/>
  <c r="AE541" i="30" s="1"/>
  <c r="G86" i="34"/>
  <c r="S86" i="34" s="1"/>
  <c r="AE543" i="30" s="1"/>
  <c r="H86" i="34"/>
  <c r="AC544" i="30" s="1"/>
  <c r="I86" i="34"/>
  <c r="E88" i="34"/>
  <c r="F86" i="31" s="1"/>
  <c r="Q86" i="31" s="1"/>
  <c r="F88" i="34"/>
  <c r="G86" i="31" s="1"/>
  <c r="G88" i="34"/>
  <c r="H86" i="31" s="1"/>
  <c r="S86" i="31" s="1"/>
  <c r="AE690" i="30" s="1"/>
  <c r="H88" i="34"/>
  <c r="E39" i="31"/>
  <c r="E40" i="31"/>
  <c r="F79" i="31"/>
  <c r="E79" i="31" s="1"/>
  <c r="F83" i="31"/>
  <c r="E83" i="31" s="1"/>
  <c r="F84" i="31"/>
  <c r="E84" i="31" s="1"/>
  <c r="Q87" i="31"/>
  <c r="R87" i="31"/>
  <c r="S87" i="31"/>
  <c r="T87" i="31"/>
  <c r="U87" i="31"/>
  <c r="AB8" i="30"/>
  <c r="AI15" i="30"/>
  <c r="AC17" i="30"/>
  <c r="AD17" i="30" s="1"/>
  <c r="AE17" i="30" s="1"/>
  <c r="AI19" i="30"/>
  <c r="AB20" i="30"/>
  <c r="AB24" i="30"/>
  <c r="AI25" i="30"/>
  <c r="AI26" i="30"/>
  <c r="AB30" i="30"/>
  <c r="AB37" i="30"/>
  <c r="AB41" i="30"/>
  <c r="AB45" i="30"/>
  <c r="AB49" i="30"/>
  <c r="AB53" i="30"/>
  <c r="AB56" i="30"/>
  <c r="AB60" i="30"/>
  <c r="AB64" i="30"/>
  <c r="AB71" i="30"/>
  <c r="AB75" i="30"/>
  <c r="AB78" i="30"/>
  <c r="AB81" i="30"/>
  <c r="AB85" i="30"/>
  <c r="AB89" i="30"/>
  <c r="AB93" i="30"/>
  <c r="AB97" i="30"/>
  <c r="AB101" i="30"/>
  <c r="AB103" i="30"/>
  <c r="AB105" i="30"/>
  <c r="AB107" i="30"/>
  <c r="AB109" i="30"/>
  <c r="AB111" i="30"/>
  <c r="AB113" i="30"/>
  <c r="AB115" i="30"/>
  <c r="AB117" i="30"/>
  <c r="AB119" i="30"/>
  <c r="AB121" i="30"/>
  <c r="AB123" i="30"/>
  <c r="AB125" i="30"/>
  <c r="AB130" i="30"/>
  <c r="AB132" i="30"/>
  <c r="AB134" i="30"/>
  <c r="AB136" i="30"/>
  <c r="AB138" i="30"/>
  <c r="AB140" i="30"/>
  <c r="AB142" i="30"/>
  <c r="AB144" i="30"/>
  <c r="AB146" i="30"/>
  <c r="AB148" i="30"/>
  <c r="AB150" i="30"/>
  <c r="AB152" i="30"/>
  <c r="AB154" i="30"/>
  <c r="AB156" i="30"/>
  <c r="AB158" i="30"/>
  <c r="AB159" i="30"/>
  <c r="AB161" i="30"/>
  <c r="AB163" i="30"/>
  <c r="AB165" i="30"/>
  <c r="AB167" i="30"/>
  <c r="AB169" i="30"/>
  <c r="AB171" i="30"/>
  <c r="AB172" i="30"/>
  <c r="AB174" i="30"/>
  <c r="AB176" i="30"/>
  <c r="AB178" i="30"/>
  <c r="AB179" i="30"/>
  <c r="AB181" i="30"/>
  <c r="AB183" i="30"/>
  <c r="AB185" i="30"/>
  <c r="AB187" i="30"/>
  <c r="AB189" i="30"/>
  <c r="AB191" i="30"/>
  <c r="AB193" i="30"/>
  <c r="AB195" i="30"/>
  <c r="AB197" i="30"/>
  <c r="AC197" i="30"/>
  <c r="AB198" i="30"/>
  <c r="AB199" i="30"/>
  <c r="AC199" i="30"/>
  <c r="AB200" i="30"/>
  <c r="AB203" i="30"/>
  <c r="AB205" i="30"/>
  <c r="AB207" i="30"/>
  <c r="AB209" i="30"/>
  <c r="AB211" i="30"/>
  <c r="AB213" i="30"/>
  <c r="AB215" i="30"/>
  <c r="AB217" i="30"/>
  <c r="AB218" i="30"/>
  <c r="AB219" i="30"/>
  <c r="AB220" i="30"/>
  <c r="AB222" i="30"/>
  <c r="AB224" i="30"/>
  <c r="AB226" i="30"/>
  <c r="AB228" i="30"/>
  <c r="AB230" i="30"/>
  <c r="AB232" i="30"/>
  <c r="AB234" i="30"/>
  <c r="AB236" i="30"/>
  <c r="AB238" i="30"/>
  <c r="AB240" i="30"/>
  <c r="AB242" i="30"/>
  <c r="AB244" i="30"/>
  <c r="AB246" i="30"/>
  <c r="AB248" i="30"/>
  <c r="AB250" i="30"/>
  <c r="AB252" i="30"/>
  <c r="AB254" i="30"/>
  <c r="AB256" i="30"/>
  <c r="AB258" i="30"/>
  <c r="AB260" i="30"/>
  <c r="AB262" i="30"/>
  <c r="AB264" i="30"/>
  <c r="AB266" i="30"/>
  <c r="AB268" i="30"/>
  <c r="AB270" i="30"/>
  <c r="AB272" i="30"/>
  <c r="AB276" i="30"/>
  <c r="AB278" i="30"/>
  <c r="AB280" i="30"/>
  <c r="AB282" i="30"/>
  <c r="AB284" i="30"/>
  <c r="AB287" i="30"/>
  <c r="AB289" i="30"/>
  <c r="AB291" i="30"/>
  <c r="AB293" i="30"/>
  <c r="AB295" i="30"/>
  <c r="AB296" i="30"/>
  <c r="AB298" i="30"/>
  <c r="AB300" i="30"/>
  <c r="AB302" i="30"/>
  <c r="AB304" i="30"/>
  <c r="AB306" i="30"/>
  <c r="AB308" i="30"/>
  <c r="AB310" i="30"/>
  <c r="AB312" i="30"/>
  <c r="AB314" i="30"/>
  <c r="AB316" i="30"/>
  <c r="AB318" i="30"/>
  <c r="AB320" i="30"/>
  <c r="AB322" i="30"/>
  <c r="AB324" i="30"/>
  <c r="AB326" i="30"/>
  <c r="AB329" i="30"/>
  <c r="AB331" i="30"/>
  <c r="AB333" i="30"/>
  <c r="AB335" i="30"/>
  <c r="AB337" i="30"/>
  <c r="AB339" i="30"/>
  <c r="AB341" i="30"/>
  <c r="AB343" i="30"/>
  <c r="AB345" i="30"/>
  <c r="AB347" i="30"/>
  <c r="AB349" i="30"/>
  <c r="AB351" i="30"/>
  <c r="AB353" i="30"/>
  <c r="AB355" i="30"/>
  <c r="AB357" i="30"/>
  <c r="AB359" i="30"/>
  <c r="AB361" i="30"/>
  <c r="AB363" i="30"/>
  <c r="AB365" i="30"/>
  <c r="AB367" i="30"/>
  <c r="AB369" i="30"/>
  <c r="AB371" i="30"/>
  <c r="AB373" i="30"/>
  <c r="AB375" i="30"/>
  <c r="AB378" i="30"/>
  <c r="AB380" i="30"/>
  <c r="AB382" i="30"/>
  <c r="AB384" i="30"/>
  <c r="AB386" i="30"/>
  <c r="AB388" i="30"/>
  <c r="AB390" i="30"/>
  <c r="AB392" i="30"/>
  <c r="AB394" i="30"/>
  <c r="AB395" i="30"/>
  <c r="AB396" i="30"/>
  <c r="AB397" i="30"/>
  <c r="AB398" i="30"/>
  <c r="AB399" i="30"/>
  <c r="AB400" i="30"/>
  <c r="AB401" i="30"/>
  <c r="AB402" i="30"/>
  <c r="AB403" i="30"/>
  <c r="AB404" i="30"/>
  <c r="AB405" i="30"/>
  <c r="AB406" i="30"/>
  <c r="AB407" i="30"/>
  <c r="AB408" i="30"/>
  <c r="AB409" i="30"/>
  <c r="AB410" i="30"/>
  <c r="AB411" i="30"/>
  <c r="AB412" i="30"/>
  <c r="AB413" i="30"/>
  <c r="AB414" i="30"/>
  <c r="AB415" i="30"/>
  <c r="AB416" i="30"/>
  <c r="AB417" i="30"/>
  <c r="AB418" i="30"/>
  <c r="AB419" i="30"/>
  <c r="AB420" i="30"/>
  <c r="AB421" i="30"/>
  <c r="AB422" i="30"/>
  <c r="AB423" i="30"/>
  <c r="AB424" i="30"/>
  <c r="AB425" i="30"/>
  <c r="AB426" i="30"/>
  <c r="AB427" i="30"/>
  <c r="AB428" i="30"/>
  <c r="AB429" i="30"/>
  <c r="AB430" i="30"/>
  <c r="AB431" i="30"/>
  <c r="AB432" i="30"/>
  <c r="AB433" i="30"/>
  <c r="AB434" i="30"/>
  <c r="AB435" i="30"/>
  <c r="AB436" i="30"/>
  <c r="AB437" i="30"/>
  <c r="AB438" i="30"/>
  <c r="AB439" i="30"/>
  <c r="AB440" i="30"/>
  <c r="AB441" i="30"/>
  <c r="AB442" i="30"/>
  <c r="AB443" i="30"/>
  <c r="AC443" i="30"/>
  <c r="AB444" i="30"/>
  <c r="AB445" i="30"/>
  <c r="AB446" i="30"/>
  <c r="AB447" i="30"/>
  <c r="AB448" i="30"/>
  <c r="AB449" i="30"/>
  <c r="AB450" i="30"/>
  <c r="AB451" i="30"/>
  <c r="AB452" i="30"/>
  <c r="AB453" i="30"/>
  <c r="AB454" i="30"/>
  <c r="AB455" i="30"/>
  <c r="AB456" i="30"/>
  <c r="AB457" i="30"/>
  <c r="AB458" i="30"/>
  <c r="AB459" i="30"/>
  <c r="AB460" i="30"/>
  <c r="AB461" i="30"/>
  <c r="AB462" i="30"/>
  <c r="AB463" i="30"/>
  <c r="AB464" i="30"/>
  <c r="AB465" i="30"/>
  <c r="AB466" i="30"/>
  <c r="AB467" i="30"/>
  <c r="AB468" i="30"/>
  <c r="AB469" i="30"/>
  <c r="AB470" i="30"/>
  <c r="AB471" i="30"/>
  <c r="AB472" i="30"/>
  <c r="AB473" i="30"/>
  <c r="AB474" i="30"/>
  <c r="AC474" i="30"/>
  <c r="AB475" i="30"/>
  <c r="AB476" i="30"/>
  <c r="AB477" i="30"/>
  <c r="AB478" i="30"/>
  <c r="AB479" i="30"/>
  <c r="AB480" i="30"/>
  <c r="AB481" i="30"/>
  <c r="AB482" i="30"/>
  <c r="AB483" i="30"/>
  <c r="AB484" i="30"/>
  <c r="AB485" i="30"/>
  <c r="AB486" i="30"/>
  <c r="AB487" i="30"/>
  <c r="AB488" i="30"/>
  <c r="AB489" i="30"/>
  <c r="AB490" i="30"/>
  <c r="AC490" i="30"/>
  <c r="AB491" i="30"/>
  <c r="AB492" i="30"/>
  <c r="AB493" i="30"/>
  <c r="AB494" i="30"/>
  <c r="AB495" i="30"/>
  <c r="AB496" i="30"/>
  <c r="AB497" i="30"/>
  <c r="AB498" i="30"/>
  <c r="AB499" i="30"/>
  <c r="AB500" i="30"/>
  <c r="AB501" i="30"/>
  <c r="AB502" i="30"/>
  <c r="AB503" i="30"/>
  <c r="AB504" i="30"/>
  <c r="AB505" i="30"/>
  <c r="AB506" i="30"/>
  <c r="AB507" i="30"/>
  <c r="AB508" i="30"/>
  <c r="AB509" i="30"/>
  <c r="AB510" i="30"/>
  <c r="AB511" i="30"/>
  <c r="AB512" i="30"/>
  <c r="AB513" i="30"/>
  <c r="AB514" i="30"/>
  <c r="AB515" i="30"/>
  <c r="AB516" i="30"/>
  <c r="AB517" i="30"/>
  <c r="AB518" i="30"/>
  <c r="AB519" i="30"/>
  <c r="AB520" i="30"/>
  <c r="AB521" i="30"/>
  <c r="AB522" i="30"/>
  <c r="AB523" i="30"/>
  <c r="AB524" i="30"/>
  <c r="AB525" i="30"/>
  <c r="AB526" i="30"/>
  <c r="AB527" i="30"/>
  <c r="AB528" i="30"/>
  <c r="AB529" i="30"/>
  <c r="AB530" i="30"/>
  <c r="AB531" i="30"/>
  <c r="AB532" i="30"/>
  <c r="AB533" i="30"/>
  <c r="AB534" i="30"/>
  <c r="AB535" i="30"/>
  <c r="AB536" i="30"/>
  <c r="AB537" i="30"/>
  <c r="AB538" i="30"/>
  <c r="AB539" i="30"/>
  <c r="AB540" i="30"/>
  <c r="AB541" i="30"/>
  <c r="AB542" i="30"/>
  <c r="AB543" i="30"/>
  <c r="AB544" i="30"/>
  <c r="AB545" i="30"/>
  <c r="AB546" i="30"/>
  <c r="AB547" i="30"/>
  <c r="AB548" i="30"/>
  <c r="AB549" i="30"/>
  <c r="AB550" i="30"/>
  <c r="AB551" i="30"/>
  <c r="AB552" i="30"/>
  <c r="AB553" i="30"/>
  <c r="AB554" i="30"/>
  <c r="AB555" i="30"/>
  <c r="AB556" i="30"/>
  <c r="AB557" i="30"/>
  <c r="AB558" i="30"/>
  <c r="AB559" i="30"/>
  <c r="AB560" i="30"/>
  <c r="AB561" i="30"/>
  <c r="AB562" i="30"/>
  <c r="AB563" i="30"/>
  <c r="AB564" i="30"/>
  <c r="AB565" i="30"/>
  <c r="AB566" i="30"/>
  <c r="AB567" i="30"/>
  <c r="AB568" i="30"/>
  <c r="AB569" i="30"/>
  <c r="AB570" i="30"/>
  <c r="AB571" i="30"/>
  <c r="AB572" i="30"/>
  <c r="AB573" i="30"/>
  <c r="AB574" i="30"/>
  <c r="AB575" i="30"/>
  <c r="AB576" i="30"/>
  <c r="AB577" i="30"/>
  <c r="AB578" i="30"/>
  <c r="AB579" i="30"/>
  <c r="AB580" i="30"/>
  <c r="AB581" i="30"/>
  <c r="AB582" i="30"/>
  <c r="AB583" i="30"/>
  <c r="AB584" i="30"/>
  <c r="AB585" i="30"/>
  <c r="AB586" i="30"/>
  <c r="AB587" i="30"/>
  <c r="AC587" i="30"/>
  <c r="AB588" i="30"/>
  <c r="AB589" i="30"/>
  <c r="AB590" i="30"/>
  <c r="AB591" i="30"/>
  <c r="AB592" i="30"/>
  <c r="AB593" i="30"/>
  <c r="AB594" i="30"/>
  <c r="AB595" i="30"/>
  <c r="AB596" i="30"/>
  <c r="AB597" i="30"/>
  <c r="AB598" i="30"/>
  <c r="AB599" i="30"/>
  <c r="AB600" i="30"/>
  <c r="AB601" i="30"/>
  <c r="AB602" i="30"/>
  <c r="AB603" i="30"/>
  <c r="AB604" i="30"/>
  <c r="AB605" i="30"/>
  <c r="AB606" i="30"/>
  <c r="AB607" i="30"/>
  <c r="AB608" i="30"/>
  <c r="AB609" i="30"/>
  <c r="AB610" i="30"/>
  <c r="AB611" i="30"/>
  <c r="AB612" i="30"/>
  <c r="AB613" i="30"/>
  <c r="AB614" i="30"/>
  <c r="AB615" i="30"/>
  <c r="AB616" i="30"/>
  <c r="AB617" i="30"/>
  <c r="AB618" i="30"/>
  <c r="AB619" i="30"/>
  <c r="AB620" i="30"/>
  <c r="AB621" i="30"/>
  <c r="AC621" i="30"/>
  <c r="AD621" i="30" s="1"/>
  <c r="AB622" i="30"/>
  <c r="AB623" i="30"/>
  <c r="AB624" i="30"/>
  <c r="AB625" i="30"/>
  <c r="AB626" i="30"/>
  <c r="AB627" i="30"/>
  <c r="AB628" i="30"/>
  <c r="AB629" i="30"/>
  <c r="AB630" i="30"/>
  <c r="AB631" i="30"/>
  <c r="AB632" i="30"/>
  <c r="AB633" i="30"/>
  <c r="AB634" i="30"/>
  <c r="AB635" i="30"/>
  <c r="AB636" i="30"/>
  <c r="AB637" i="30"/>
  <c r="AB638" i="30"/>
  <c r="AB639" i="30"/>
  <c r="AB640" i="30"/>
  <c r="AB641" i="30"/>
  <c r="AB642" i="30"/>
  <c r="AB643" i="30"/>
  <c r="AB644" i="30"/>
  <c r="AB645" i="30"/>
  <c r="AB646" i="30"/>
  <c r="AB647" i="30"/>
  <c r="AB648" i="30"/>
  <c r="AB649" i="30"/>
  <c r="AB650" i="30"/>
  <c r="AB651" i="30"/>
  <c r="AB652" i="30"/>
  <c r="AB653" i="30"/>
  <c r="AB654" i="30"/>
  <c r="AB655" i="30"/>
  <c r="AB656" i="30"/>
  <c r="AB657" i="30"/>
  <c r="AB658" i="30"/>
  <c r="AB659" i="30"/>
  <c r="AB660" i="30"/>
  <c r="AB661" i="30"/>
  <c r="AB662" i="30"/>
  <c r="AB663" i="30"/>
  <c r="AB664" i="30"/>
  <c r="AB665" i="30"/>
  <c r="AB666" i="30"/>
  <c r="AB667" i="30"/>
  <c r="AB668" i="30"/>
  <c r="AB669" i="30"/>
  <c r="AB670" i="30"/>
  <c r="AB671" i="30"/>
  <c r="AB672" i="30"/>
  <c r="AB673" i="30"/>
  <c r="AB674" i="30"/>
  <c r="AB675" i="30"/>
  <c r="AB676" i="30"/>
  <c r="AB677" i="30"/>
  <c r="AB678" i="30"/>
  <c r="AB679" i="30"/>
  <c r="AB680" i="30"/>
  <c r="AB681" i="30"/>
  <c r="AB682" i="30"/>
  <c r="AB683" i="30"/>
  <c r="AB684" i="30"/>
  <c r="AB685" i="30"/>
  <c r="AB686" i="30"/>
  <c r="AB687" i="30"/>
  <c r="AB688" i="30"/>
  <c r="AB689" i="30"/>
  <c r="AB690" i="30"/>
  <c r="AB691" i="30"/>
  <c r="AB692" i="30"/>
  <c r="AB693" i="30"/>
  <c r="AB694" i="30"/>
  <c r="AB695" i="30"/>
  <c r="AB696" i="30"/>
  <c r="AB697" i="30"/>
  <c r="AB698" i="30"/>
  <c r="AB699" i="30"/>
  <c r="AB700" i="30"/>
  <c r="AB701" i="30"/>
  <c r="AB702" i="30"/>
  <c r="AB703" i="30"/>
  <c r="AB704" i="30"/>
  <c r="AB705" i="30"/>
  <c r="AB706" i="30"/>
  <c r="AB707" i="30"/>
  <c r="AB708" i="30"/>
  <c r="AB709" i="30"/>
  <c r="AB710" i="30"/>
  <c r="AB711" i="30"/>
  <c r="AB712" i="30"/>
  <c r="AB713" i="30"/>
  <c r="AB714" i="30"/>
  <c r="AB715" i="30"/>
  <c r="AB716" i="30"/>
  <c r="AB717" i="30"/>
  <c r="AB718" i="30"/>
  <c r="AB719" i="30"/>
  <c r="AB720" i="30"/>
  <c r="AB721" i="30"/>
  <c r="AB722" i="30"/>
  <c r="AB723" i="30"/>
  <c r="AB724" i="30"/>
  <c r="AB725" i="30"/>
  <c r="AB726" i="30"/>
  <c r="AB727" i="30"/>
  <c r="AB728" i="30"/>
  <c r="AB729" i="30"/>
  <c r="AB730" i="30"/>
  <c r="AB731" i="30"/>
  <c r="AB732" i="30"/>
  <c r="AB733" i="30"/>
  <c r="AB734" i="30"/>
  <c r="AB735" i="30"/>
  <c r="AB736" i="30"/>
  <c r="AB737" i="30"/>
  <c r="AB738" i="30"/>
  <c r="AB739" i="30"/>
  <c r="AB740" i="30"/>
  <c r="AB741" i="30"/>
  <c r="AB742" i="30"/>
  <c r="AB743" i="30"/>
  <c r="AB744" i="30"/>
  <c r="AB745" i="30"/>
  <c r="AB746" i="30"/>
  <c r="AB747" i="30"/>
  <c r="AB748" i="30"/>
  <c r="AB749" i="30"/>
  <c r="AB750" i="30"/>
  <c r="AB751" i="30"/>
  <c r="AB752" i="30"/>
  <c r="AB753" i="30"/>
  <c r="AB754" i="30"/>
  <c r="AB755" i="30"/>
  <c r="AB756" i="30"/>
  <c r="AB757" i="30"/>
  <c r="AB758" i="30"/>
  <c r="AB759" i="30"/>
  <c r="AB760" i="30"/>
  <c r="AB761" i="30"/>
  <c r="AB762" i="30"/>
  <c r="AB763" i="30"/>
  <c r="AB764" i="30"/>
  <c r="AB765" i="30"/>
  <c r="AB766" i="30"/>
  <c r="AB767" i="30"/>
  <c r="AB768" i="30"/>
  <c r="AB769" i="30"/>
  <c r="AB770" i="30"/>
  <c r="AB771" i="30"/>
  <c r="AB772" i="30"/>
  <c r="AB773" i="30"/>
  <c r="AB774" i="30"/>
  <c r="AB775" i="30"/>
  <c r="AB776" i="30"/>
  <c r="AB777" i="30"/>
  <c r="AB778" i="30"/>
  <c r="AB779" i="30"/>
  <c r="AB780" i="30"/>
  <c r="AB781" i="30"/>
  <c r="AB782" i="30"/>
  <c r="AB783" i="30"/>
  <c r="AB784" i="30"/>
  <c r="AB785" i="30"/>
  <c r="AB786" i="30"/>
  <c r="AB787" i="30"/>
  <c r="AB788" i="30"/>
  <c r="AB789" i="30"/>
  <c r="AB790" i="30"/>
  <c r="AB791" i="30"/>
  <c r="AB792" i="30"/>
  <c r="AB793" i="30"/>
  <c r="AB794" i="30"/>
  <c r="AB795" i="30"/>
  <c r="AB796" i="30"/>
  <c r="AB797" i="30"/>
  <c r="AB798" i="30"/>
  <c r="AB799" i="30"/>
  <c r="AB800" i="30"/>
  <c r="AB801" i="30"/>
  <c r="AB802" i="30"/>
  <c r="AB803" i="30"/>
  <c r="AB804" i="30"/>
  <c r="AB805" i="30"/>
  <c r="AB806" i="30"/>
  <c r="AB807" i="30"/>
  <c r="AB808" i="30"/>
  <c r="AB809" i="30"/>
  <c r="AB810" i="30"/>
  <c r="AB811" i="30"/>
  <c r="AB812" i="30"/>
  <c r="AB813" i="30"/>
  <c r="AB814" i="30"/>
  <c r="AB815" i="30"/>
  <c r="AB816" i="30"/>
  <c r="AB817" i="30"/>
  <c r="AB818" i="30"/>
  <c r="AB819" i="30"/>
  <c r="AB820" i="30"/>
  <c r="AB821" i="30"/>
  <c r="AB822" i="30"/>
  <c r="AB823" i="30"/>
  <c r="AB824" i="30"/>
  <c r="AB825" i="30"/>
  <c r="AB826" i="30"/>
  <c r="AB827" i="30"/>
  <c r="AB828" i="30"/>
  <c r="AB829" i="30"/>
  <c r="AB830" i="30"/>
  <c r="AB831" i="30"/>
  <c r="AB832" i="30"/>
  <c r="AB833" i="30"/>
  <c r="AB834" i="30"/>
  <c r="AB835" i="30"/>
  <c r="AB836" i="30"/>
  <c r="AB837" i="30"/>
  <c r="AB838" i="30"/>
  <c r="AB839" i="30"/>
  <c r="AB840" i="30"/>
  <c r="AB841" i="30"/>
  <c r="AB842" i="30"/>
  <c r="AB843" i="30"/>
  <c r="AB844" i="30"/>
  <c r="AB845" i="30"/>
  <c r="AB846" i="30"/>
  <c r="AB847" i="30"/>
  <c r="AB848" i="30"/>
  <c r="AB849" i="30"/>
  <c r="AB850" i="30"/>
  <c r="AB851" i="30"/>
  <c r="AB852" i="30"/>
  <c r="AB853" i="30"/>
  <c r="AB854" i="30"/>
  <c r="AB855" i="30"/>
  <c r="AB856" i="30"/>
  <c r="AB857" i="30"/>
  <c r="AB858" i="30"/>
  <c r="B8" i="27"/>
  <c r="C8" i="27"/>
  <c r="B9" i="27"/>
  <c r="C9" i="27"/>
  <c r="B10" i="27"/>
  <c r="C10" i="27"/>
  <c r="B11" i="27"/>
  <c r="C11" i="27"/>
  <c r="B12" i="27"/>
  <c r="C12" i="27"/>
  <c r="F7" i="23"/>
  <c r="F10" i="24" s="1"/>
  <c r="F11" i="24" s="1"/>
  <c r="F12" i="24" s="1"/>
  <c r="F13" i="24" s="1"/>
  <c r="F14" i="24" s="1"/>
  <c r="F8" i="23"/>
  <c r="F15" i="24" s="1"/>
  <c r="F16" i="24" s="1"/>
  <c r="F17" i="24" s="1"/>
  <c r="F18" i="24" s="1"/>
  <c r="F19" i="24" s="1"/>
  <c r="F9" i="23"/>
  <c r="F20" i="24" s="1"/>
  <c r="F21" i="24" s="1"/>
  <c r="F22" i="24" s="1"/>
  <c r="F23" i="24" s="1"/>
  <c r="F24" i="24" s="1"/>
  <c r="F10" i="23"/>
  <c r="F25" i="24" s="1"/>
  <c r="F26" i="24" s="1"/>
  <c r="F27" i="24" s="1"/>
  <c r="F28" i="24" s="1"/>
  <c r="F29" i="24" s="1"/>
  <c r="F11" i="23"/>
  <c r="F30" i="24" s="1"/>
  <c r="F31" i="24" s="1"/>
  <c r="F32" i="24" s="1"/>
  <c r="F33" i="24" s="1"/>
  <c r="F34" i="24" s="1"/>
  <c r="F12" i="23"/>
  <c r="F35" i="24" s="1"/>
  <c r="F36" i="24" s="1"/>
  <c r="F37" i="24" s="1"/>
  <c r="F38" i="24" s="1"/>
  <c r="F39" i="24" s="1"/>
  <c r="F13" i="23"/>
  <c r="F40" i="24" s="1"/>
  <c r="F41" i="24" s="1"/>
  <c r="F42" i="24" s="1"/>
  <c r="F43" i="24" s="1"/>
  <c r="F44" i="24" s="1"/>
  <c r="F14" i="23"/>
  <c r="F45" i="24" s="1"/>
  <c r="F46" i="24" s="1"/>
  <c r="F47" i="24" s="1"/>
  <c r="F48" i="24" s="1"/>
  <c r="F49" i="24" s="1"/>
  <c r="F15" i="23"/>
  <c r="F50" i="24" s="1"/>
  <c r="F51" i="24" s="1"/>
  <c r="F52" i="24" s="1"/>
  <c r="F53" i="24" s="1"/>
  <c r="F54" i="24" s="1"/>
  <c r="E16" i="23"/>
  <c r="F16" i="23"/>
  <c r="F55" i="24" s="1"/>
  <c r="F56" i="24" s="1"/>
  <c r="F57" i="24" s="1"/>
  <c r="F58" i="24" s="1"/>
  <c r="F59" i="24" s="1"/>
  <c r="F17" i="23"/>
  <c r="F60" i="24" s="1"/>
  <c r="F61" i="24" s="1"/>
  <c r="F62" i="24" s="1"/>
  <c r="F63" i="24" s="1"/>
  <c r="F64" i="24" s="1"/>
  <c r="F18" i="23"/>
  <c r="F65" i="24" s="1"/>
  <c r="F66" i="24" s="1"/>
  <c r="F67" i="24" s="1"/>
  <c r="F68" i="24" s="1"/>
  <c r="F69" i="24" s="1"/>
  <c r="E19" i="23"/>
  <c r="E70" i="24" s="1"/>
  <c r="E71" i="24" s="1"/>
  <c r="E72" i="24" s="1"/>
  <c r="E73" i="24" s="1"/>
  <c r="E74" i="24" s="1"/>
  <c r="F19" i="23"/>
  <c r="F70" i="24" s="1"/>
  <c r="F71" i="24" s="1"/>
  <c r="F72" i="24" s="1"/>
  <c r="F73" i="24" s="1"/>
  <c r="F74" i="24" s="1"/>
  <c r="J7" i="23"/>
  <c r="AK9" i="66"/>
  <c r="I16" i="23"/>
  <c r="I17" i="23"/>
  <c r="I18" i="23"/>
  <c r="J18" i="23"/>
  <c r="I19" i="23"/>
  <c r="AC519" i="30"/>
  <c r="AC460" i="30"/>
  <c r="AC418" i="30"/>
  <c r="AC377" i="30"/>
  <c r="AC407" i="30"/>
  <c r="AC299" i="30"/>
  <c r="AC605" i="30"/>
  <c r="AC220" i="30"/>
  <c r="AC202" i="30"/>
  <c r="AC132" i="30"/>
  <c r="AC18" i="43"/>
  <c r="AC602" i="30"/>
  <c r="AC554" i="30"/>
  <c r="AC459" i="30"/>
  <c r="AC417" i="30"/>
  <c r="AC88" i="30"/>
  <c r="U69" i="34"/>
  <c r="AE417" i="30" s="1"/>
  <c r="O17" i="43"/>
  <c r="J34" i="31"/>
  <c r="K34" i="31" s="1"/>
  <c r="M34" i="31" s="1"/>
  <c r="AC408" i="30"/>
  <c r="AC133" i="30"/>
  <c r="AC300" i="30"/>
  <c r="AC498" i="30"/>
  <c r="AC302" i="30"/>
  <c r="AC74" i="30"/>
  <c r="AC273" i="30"/>
  <c r="Q79" i="31"/>
  <c r="P79" i="31" s="1"/>
  <c r="R45" i="34"/>
  <c r="AE571" i="30" s="1"/>
  <c r="U21" i="34"/>
  <c r="AE162" i="30" s="1"/>
  <c r="AC469" i="30"/>
  <c r="AC341" i="30"/>
  <c r="AC162" i="30"/>
  <c r="AC159" i="30"/>
  <c r="AC301" i="30"/>
  <c r="AD301" i="30" s="1"/>
  <c r="T40" i="34"/>
  <c r="AE580" i="30" s="1"/>
  <c r="R79" i="34"/>
  <c r="AC583" i="30"/>
  <c r="AC529" i="30"/>
  <c r="AE163" i="30"/>
  <c r="AF163" i="30" s="1"/>
  <c r="AC694" i="30"/>
  <c r="AC523" i="30" l="1"/>
  <c r="AD523" i="30" s="1"/>
  <c r="AC361" i="30"/>
  <c r="U59" i="34"/>
  <c r="AE364" i="30" s="1"/>
  <c r="AF364" i="30" s="1"/>
  <c r="AC172" i="30"/>
  <c r="AD172" i="30" s="1"/>
  <c r="AC374" i="30"/>
  <c r="AC404" i="30"/>
  <c r="AC456" i="30"/>
  <c r="AC413" i="30"/>
  <c r="S79" i="34"/>
  <c r="AC219" i="30"/>
  <c r="AD219" i="30" s="1"/>
  <c r="S87" i="34"/>
  <c r="AE487" i="30" s="1"/>
  <c r="E75" i="31"/>
  <c r="P75" i="31" s="1"/>
  <c r="AC496" i="30"/>
  <c r="AC516" i="30"/>
  <c r="AC274" i="30"/>
  <c r="AD274" i="30" s="1"/>
  <c r="AC370" i="30"/>
  <c r="U10" i="34"/>
  <c r="AE81" i="30" s="1"/>
  <c r="AC571" i="30"/>
  <c r="R51" i="34"/>
  <c r="AE295" i="30" s="1"/>
  <c r="S45" i="34"/>
  <c r="AE572" i="30" s="1"/>
  <c r="AF572" i="30" s="1"/>
  <c r="AC616" i="30"/>
  <c r="AC465" i="30"/>
  <c r="U50" i="34"/>
  <c r="AE290" i="30" s="1"/>
  <c r="H85" i="31"/>
  <c r="S85" i="31" s="1"/>
  <c r="Q79" i="34"/>
  <c r="AC690" i="30"/>
  <c r="AD690" i="30" s="1"/>
  <c r="F85" i="31"/>
  <c r="Q85" i="31" s="1"/>
  <c r="Q88" i="34"/>
  <c r="AE550" i="30" s="1"/>
  <c r="AC485" i="30"/>
  <c r="AC507" i="30"/>
  <c r="AC73" i="30"/>
  <c r="AC575" i="30"/>
  <c r="AD575" i="30" s="1"/>
  <c r="AC217" i="30"/>
  <c r="AD217" i="30" s="1"/>
  <c r="AC285" i="30"/>
  <c r="AC588" i="30"/>
  <c r="AC296" i="30"/>
  <c r="AC171" i="30"/>
  <c r="AC609" i="30"/>
  <c r="Q87" i="34"/>
  <c r="AE485" i="30" s="1"/>
  <c r="AF485" i="30" s="1"/>
  <c r="T86" i="34"/>
  <c r="AE544" i="30" s="1"/>
  <c r="AF544" i="30" s="1"/>
  <c r="S88" i="34"/>
  <c r="AE552" i="30" s="1"/>
  <c r="AC467" i="30"/>
  <c r="AD467" i="30" s="1"/>
  <c r="AC455" i="30"/>
  <c r="AC579" i="30"/>
  <c r="AD579" i="30" s="1"/>
  <c r="R88" i="34"/>
  <c r="AE551" i="30" s="1"/>
  <c r="AC517" i="30"/>
  <c r="AD517" i="30" s="1"/>
  <c r="AC484" i="30"/>
  <c r="S80" i="34"/>
  <c r="AE494" i="30" s="1"/>
  <c r="U85" i="34"/>
  <c r="AE535" i="30" s="1"/>
  <c r="AC158" i="30"/>
  <c r="D9" i="14"/>
  <c r="B10" i="24"/>
  <c r="B55" i="24"/>
  <c r="B56" i="24" s="1"/>
  <c r="B57" i="24" s="1"/>
  <c r="B58" i="24" s="1"/>
  <c r="B59" i="24" s="1"/>
  <c r="D18" i="14"/>
  <c r="C55" i="24"/>
  <c r="C56" i="24" s="1"/>
  <c r="C57" i="24" s="1"/>
  <c r="C58" i="24" s="1"/>
  <c r="C59" i="24" s="1"/>
  <c r="E18" i="14"/>
  <c r="B60" i="24"/>
  <c r="B61" i="24" s="1"/>
  <c r="B62" i="24" s="1"/>
  <c r="B63" i="24" s="1"/>
  <c r="B64" i="24" s="1"/>
  <c r="D19" i="14"/>
  <c r="C60" i="24"/>
  <c r="C61" i="24" s="1"/>
  <c r="C62" i="24" s="1"/>
  <c r="C63" i="24" s="1"/>
  <c r="C64" i="24" s="1"/>
  <c r="E19" i="14"/>
  <c r="B15" i="24"/>
  <c r="B16" i="24" s="1"/>
  <c r="B17" i="24" s="1"/>
  <c r="B18" i="24" s="1"/>
  <c r="B19" i="24" s="1"/>
  <c r="D10" i="14"/>
  <c r="B65" i="24"/>
  <c r="B66" i="24" s="1"/>
  <c r="B67" i="24" s="1"/>
  <c r="B68" i="24" s="1"/>
  <c r="B69" i="24" s="1"/>
  <c r="D20" i="14"/>
  <c r="C65" i="24"/>
  <c r="C66" i="24" s="1"/>
  <c r="C67" i="24" s="1"/>
  <c r="C68" i="24" s="1"/>
  <c r="C69" i="24" s="1"/>
  <c r="E20" i="14"/>
  <c r="E55" i="24"/>
  <c r="E56" i="24" s="1"/>
  <c r="E57" i="24" s="1"/>
  <c r="E58" i="24" s="1"/>
  <c r="E59" i="24" s="1"/>
  <c r="AF496" i="30"/>
  <c r="F34" i="48"/>
  <c r="AD620" i="30"/>
  <c r="P160" i="30"/>
  <c r="P232" i="30"/>
  <c r="P360" i="30"/>
  <c r="P408" i="30"/>
  <c r="P424" i="30"/>
  <c r="B70" i="24"/>
  <c r="B71" i="24" s="1"/>
  <c r="B72" i="24" s="1"/>
  <c r="B73" i="24" s="1"/>
  <c r="B74" i="24" s="1"/>
  <c r="A55" i="36"/>
  <c r="C70" i="24"/>
  <c r="C71" i="24" s="1"/>
  <c r="C72" i="24" s="1"/>
  <c r="C73" i="24" s="1"/>
  <c r="C74" i="24" s="1"/>
  <c r="B55" i="36"/>
  <c r="N53" i="50"/>
  <c r="AC406" i="30"/>
  <c r="AD406" i="30" s="1"/>
  <c r="AC542" i="30"/>
  <c r="AD542" i="30" s="1"/>
  <c r="Q84" i="31"/>
  <c r="AE823" i="30" s="1"/>
  <c r="AD341" i="30"/>
  <c r="AC372" i="30"/>
  <c r="AD372" i="30" s="1"/>
  <c r="AD456" i="30"/>
  <c r="AD485" i="30"/>
  <c r="Q83" i="31"/>
  <c r="AE715" i="30" s="1"/>
  <c r="AF715" i="30" s="1"/>
  <c r="AC282" i="30"/>
  <c r="F89" i="31"/>
  <c r="AD694" i="30"/>
  <c r="AD583" i="30"/>
  <c r="U76" i="34"/>
  <c r="AE458" i="30" s="1"/>
  <c r="AD159" i="30"/>
  <c r="AC359" i="30"/>
  <c r="AD359" i="30" s="1"/>
  <c r="AC487" i="30"/>
  <c r="AF162" i="30"/>
  <c r="U43" i="34"/>
  <c r="AE603" i="30" s="1"/>
  <c r="AF603" i="30" s="1"/>
  <c r="AC400" i="30"/>
  <c r="U51" i="34"/>
  <c r="AE298" i="30" s="1"/>
  <c r="AC68" i="30"/>
  <c r="AD68" i="30" s="1"/>
  <c r="AC91" i="30"/>
  <c r="AD91" i="30" s="1"/>
  <c r="AC599" i="30"/>
  <c r="AC533" i="30"/>
  <c r="AC218" i="30"/>
  <c r="AD218" i="30" s="1"/>
  <c r="F29" i="48"/>
  <c r="G29" i="48"/>
  <c r="P76" i="30"/>
  <c r="P196" i="30"/>
  <c r="P493" i="30"/>
  <c r="P572" i="30"/>
  <c r="P40" i="30"/>
  <c r="P56" i="30"/>
  <c r="P128" i="30"/>
  <c r="P168" i="30"/>
  <c r="P344" i="30"/>
  <c r="P376" i="30"/>
  <c r="P420" i="30"/>
  <c r="P547" i="30"/>
  <c r="S17" i="43"/>
  <c r="T17" i="43" s="1"/>
  <c r="U17" i="43" s="1"/>
  <c r="P108" i="30"/>
  <c r="P288" i="30"/>
  <c r="P471" i="30"/>
  <c r="P519" i="30"/>
  <c r="P586" i="30"/>
  <c r="P615" i="30"/>
  <c r="H34" i="48"/>
  <c r="H29" i="48"/>
  <c r="I29" i="48"/>
  <c r="AK10" i="66"/>
  <c r="AK5" i="66"/>
  <c r="AD9" i="66" s="1"/>
  <c r="AB9" i="66" s="1"/>
  <c r="AK3" i="66"/>
  <c r="AK8" i="66"/>
  <c r="AK4" i="66"/>
  <c r="AK6" i="66"/>
  <c r="AK11" i="66"/>
  <c r="AD7" i="66" s="1"/>
  <c r="AB7" i="66" s="1"/>
  <c r="AK7" i="66"/>
  <c r="C25" i="24"/>
  <c r="C26" i="24" s="1"/>
  <c r="C27" i="24" s="1"/>
  <c r="C28" i="24" s="1"/>
  <c r="C29" i="24" s="1"/>
  <c r="AJ6" i="66"/>
  <c r="C45" i="24"/>
  <c r="C46" i="24" s="1"/>
  <c r="C47" i="24" s="1"/>
  <c r="C48" i="24" s="1"/>
  <c r="C49" i="24" s="1"/>
  <c r="AJ10" i="66"/>
  <c r="B30" i="24"/>
  <c r="B31" i="24" s="1"/>
  <c r="B32" i="24" s="1"/>
  <c r="B33" i="24" s="1"/>
  <c r="B34" i="24" s="1"/>
  <c r="AI7" i="66"/>
  <c r="C10" i="24"/>
  <c r="C11" i="24" s="1"/>
  <c r="C12" i="24" s="1"/>
  <c r="C13" i="24" s="1"/>
  <c r="C14" i="24" s="1"/>
  <c r="AJ3" i="66"/>
  <c r="C20" i="24"/>
  <c r="C21" i="24" s="1"/>
  <c r="C22" i="24" s="1"/>
  <c r="C23" i="24" s="1"/>
  <c r="C24" i="24" s="1"/>
  <c r="AJ5" i="66"/>
  <c r="C30" i="24"/>
  <c r="C31" i="24" s="1"/>
  <c r="C32" i="24" s="1"/>
  <c r="C33" i="24" s="1"/>
  <c r="C34" i="24" s="1"/>
  <c r="AJ7" i="66"/>
  <c r="C40" i="24"/>
  <c r="C41" i="24" s="1"/>
  <c r="C42" i="24" s="1"/>
  <c r="C43" i="24" s="1"/>
  <c r="C44" i="24" s="1"/>
  <c r="AJ9" i="66"/>
  <c r="C50" i="24"/>
  <c r="C51" i="24" s="1"/>
  <c r="C52" i="24" s="1"/>
  <c r="C53" i="24" s="1"/>
  <c r="C54" i="24" s="1"/>
  <c r="AJ11" i="66"/>
  <c r="C15" i="24"/>
  <c r="C16" i="24" s="1"/>
  <c r="C17" i="24" s="1"/>
  <c r="C18" i="24" s="1"/>
  <c r="C19" i="24" s="1"/>
  <c r="AJ4" i="66"/>
  <c r="C35" i="24"/>
  <c r="C36" i="24" s="1"/>
  <c r="C37" i="24" s="1"/>
  <c r="C38" i="24" s="1"/>
  <c r="C39" i="24" s="1"/>
  <c r="AJ8" i="66"/>
  <c r="B11" i="24"/>
  <c r="B12" i="24" s="1"/>
  <c r="B13" i="24" s="1"/>
  <c r="B14" i="24" s="1"/>
  <c r="AI3" i="66"/>
  <c r="B20" i="24"/>
  <c r="B21" i="24" s="1"/>
  <c r="B22" i="24" s="1"/>
  <c r="B23" i="24" s="1"/>
  <c r="B24" i="24" s="1"/>
  <c r="AI5" i="66"/>
  <c r="B40" i="24"/>
  <c r="B41" i="24" s="1"/>
  <c r="B42" i="24" s="1"/>
  <c r="B43" i="24" s="1"/>
  <c r="B44" i="24" s="1"/>
  <c r="AI9" i="66"/>
  <c r="B50" i="24"/>
  <c r="B51" i="24" s="1"/>
  <c r="B52" i="24" s="1"/>
  <c r="B53" i="24" s="1"/>
  <c r="B54" i="24" s="1"/>
  <c r="AI11" i="66"/>
  <c r="AI4" i="66"/>
  <c r="B25" i="24"/>
  <c r="B26" i="24" s="1"/>
  <c r="B27" i="24" s="1"/>
  <c r="B28" i="24" s="1"/>
  <c r="B29" i="24" s="1"/>
  <c r="AI6" i="66"/>
  <c r="B35" i="24"/>
  <c r="B36" i="24" s="1"/>
  <c r="B37" i="24" s="1"/>
  <c r="B38" i="24" s="1"/>
  <c r="B39" i="24" s="1"/>
  <c r="AI8" i="66"/>
  <c r="B45" i="24"/>
  <c r="B46" i="24" s="1"/>
  <c r="B47" i="24" s="1"/>
  <c r="B48" i="24" s="1"/>
  <c r="B49" i="24" s="1"/>
  <c r="AI10" i="66"/>
  <c r="M521" i="30"/>
  <c r="X521" i="30" s="1"/>
  <c r="M522" i="30"/>
  <c r="M517" i="30"/>
  <c r="M518" i="30"/>
  <c r="X518" i="30" s="1"/>
  <c r="M513" i="30"/>
  <c r="M512" i="30"/>
  <c r="M514" i="30"/>
  <c r="X514" i="30" s="1"/>
  <c r="M516" i="30"/>
  <c r="M515" i="30"/>
  <c r="X515" i="30" s="1"/>
  <c r="M519" i="30"/>
  <c r="X519" i="30" s="1"/>
  <c r="M520" i="30"/>
  <c r="F203" i="30"/>
  <c r="Q203" i="30" s="1"/>
  <c r="F198" i="30"/>
  <c r="Q198" i="30" s="1"/>
  <c r="F200" i="30"/>
  <c r="Q200" i="30" s="1"/>
  <c r="F197" i="30"/>
  <c r="Q197" i="30" s="1"/>
  <c r="F201" i="30"/>
  <c r="Q201" i="30" s="1"/>
  <c r="F199" i="30"/>
  <c r="Q199" i="30" s="1"/>
  <c r="F204" i="30"/>
  <c r="Q204" i="30" s="1"/>
  <c r="F205" i="30"/>
  <c r="Q205" i="30" s="1"/>
  <c r="F202" i="30"/>
  <c r="Q202" i="30" s="1"/>
  <c r="H83" i="30"/>
  <c r="S83" i="30" s="1"/>
  <c r="H82" i="30"/>
  <c r="S82" i="30" s="1"/>
  <c r="H76" i="30"/>
  <c r="H79" i="30"/>
  <c r="H78" i="30"/>
  <c r="S78" i="30" s="1"/>
  <c r="H75" i="30"/>
  <c r="H85" i="30"/>
  <c r="H80" i="30"/>
  <c r="S80" i="30" s="1"/>
  <c r="H81" i="30"/>
  <c r="H77" i="30"/>
  <c r="H84" i="30"/>
  <c r="S84" i="30" s="1"/>
  <c r="G177" i="30"/>
  <c r="G172" i="30"/>
  <c r="R172" i="30" s="1"/>
  <c r="G171" i="30"/>
  <c r="R171" i="30" s="1"/>
  <c r="G173" i="30"/>
  <c r="G168" i="30"/>
  <c r="G167" i="30"/>
  <c r="R167" i="30" s="1"/>
  <c r="G174" i="30"/>
  <c r="G169" i="30"/>
  <c r="G176" i="30"/>
  <c r="R176" i="30" s="1"/>
  <c r="G175" i="30"/>
  <c r="G170" i="30"/>
  <c r="G379" i="30"/>
  <c r="R379" i="30" s="1"/>
  <c r="G376" i="30"/>
  <c r="G372" i="30"/>
  <c r="R372" i="30" s="1"/>
  <c r="G374" i="30"/>
  <c r="R374" i="30" s="1"/>
  <c r="G370" i="30"/>
  <c r="G373" i="30"/>
  <c r="G369" i="30"/>
  <c r="R369" i="30" s="1"/>
  <c r="G371" i="30"/>
  <c r="G377" i="30"/>
  <c r="G375" i="30"/>
  <c r="R375" i="30" s="1"/>
  <c r="G378" i="30"/>
  <c r="H462" i="30"/>
  <c r="H461" i="30"/>
  <c r="S461" i="30" s="1"/>
  <c r="H458" i="30"/>
  <c r="H457" i="30"/>
  <c r="S457" i="30" s="1"/>
  <c r="H459" i="30"/>
  <c r="S459" i="30" s="1"/>
  <c r="H454" i="30"/>
  <c r="H453" i="30"/>
  <c r="H455" i="30"/>
  <c r="S455" i="30" s="1"/>
  <c r="H460" i="30"/>
  <c r="H456" i="30"/>
  <c r="H452" i="30"/>
  <c r="S452" i="30" s="1"/>
  <c r="F469" i="30"/>
  <c r="Q469" i="30" s="1"/>
  <c r="F470" i="30"/>
  <c r="Q470" i="30" s="1"/>
  <c r="F468" i="30"/>
  <c r="Q468" i="30" s="1"/>
  <c r="F471" i="30"/>
  <c r="Q471" i="30" s="1"/>
  <c r="F473" i="30"/>
  <c r="Q473" i="30" s="1"/>
  <c r="F464" i="30"/>
  <c r="Q464" i="30" s="1"/>
  <c r="F463" i="30"/>
  <c r="Q463" i="30" s="1"/>
  <c r="F472" i="30"/>
  <c r="Q472" i="30" s="1"/>
  <c r="F465" i="30"/>
  <c r="Q465" i="30" s="1"/>
  <c r="F466" i="30"/>
  <c r="Q466" i="30" s="1"/>
  <c r="F467" i="30"/>
  <c r="Q467" i="30" s="1"/>
  <c r="J465" i="30"/>
  <c r="U465" i="30" s="1"/>
  <c r="J472" i="30"/>
  <c r="J471" i="30"/>
  <c r="J473" i="30"/>
  <c r="U473" i="30" s="1"/>
  <c r="J468" i="30"/>
  <c r="J467" i="30"/>
  <c r="U467" i="30" s="1"/>
  <c r="J470" i="30"/>
  <c r="J464" i="30"/>
  <c r="J466" i="30"/>
  <c r="J469" i="30"/>
  <c r="U469" i="30" s="1"/>
  <c r="J463" i="30"/>
  <c r="J497" i="30"/>
  <c r="J494" i="30"/>
  <c r="U494" i="30" s="1"/>
  <c r="J500" i="30"/>
  <c r="J499" i="30"/>
  <c r="J498" i="30"/>
  <c r="U498" i="30" s="1"/>
  <c r="J496" i="30"/>
  <c r="J495" i="30"/>
  <c r="U495" i="30" s="1"/>
  <c r="H508" i="30"/>
  <c r="S508" i="30" s="1"/>
  <c r="H507" i="30"/>
  <c r="H509" i="30"/>
  <c r="H505" i="30"/>
  <c r="S505" i="30" s="1"/>
  <c r="H503" i="30"/>
  <c r="H510" i="30"/>
  <c r="H502" i="30"/>
  <c r="S502" i="30" s="1"/>
  <c r="H501" i="30"/>
  <c r="H506" i="30"/>
  <c r="H511" i="30"/>
  <c r="S511" i="30" s="1"/>
  <c r="H504" i="30"/>
  <c r="F516" i="30"/>
  <c r="Q516" i="30" s="1"/>
  <c r="F519" i="30"/>
  <c r="Q519" i="30" s="1"/>
  <c r="F514" i="30"/>
  <c r="Q514" i="30" s="1"/>
  <c r="F512" i="30"/>
  <c r="Q512" i="30" s="1"/>
  <c r="F520" i="30"/>
  <c r="Q520" i="30" s="1"/>
  <c r="F513" i="30"/>
  <c r="Q513" i="30" s="1"/>
  <c r="F518" i="30"/>
  <c r="Q518" i="30" s="1"/>
  <c r="F517" i="30"/>
  <c r="Q517" i="30" s="1"/>
  <c r="F522" i="30"/>
  <c r="Q522" i="30" s="1"/>
  <c r="F521" i="30"/>
  <c r="Q521" i="30" s="1"/>
  <c r="F515" i="30"/>
  <c r="Q515" i="30" s="1"/>
  <c r="J518" i="30"/>
  <c r="J521" i="30"/>
  <c r="U521" i="30" s="1"/>
  <c r="J516" i="30"/>
  <c r="J519" i="30"/>
  <c r="J514" i="30"/>
  <c r="J517" i="30"/>
  <c r="U517" i="30" s="1"/>
  <c r="J512" i="30"/>
  <c r="J513" i="30"/>
  <c r="J522" i="30"/>
  <c r="U522" i="30" s="1"/>
  <c r="J520" i="30"/>
  <c r="J515" i="30"/>
  <c r="I527" i="30"/>
  <c r="T527" i="30" s="1"/>
  <c r="I531" i="30"/>
  <c r="I530" i="30"/>
  <c r="T530" i="30" s="1"/>
  <c r="I525" i="30"/>
  <c r="T525" i="30" s="1"/>
  <c r="I524" i="30"/>
  <c r="I523" i="30"/>
  <c r="I526" i="30"/>
  <c r="T526" i="30" s="1"/>
  <c r="I529" i="30"/>
  <c r="I528" i="30"/>
  <c r="I536" i="30"/>
  <c r="T536" i="30" s="1"/>
  <c r="I535" i="30"/>
  <c r="I537" i="30"/>
  <c r="I539" i="30"/>
  <c r="T539" i="30" s="1"/>
  <c r="I538" i="30"/>
  <c r="I533" i="30"/>
  <c r="T533" i="30" s="1"/>
  <c r="I534" i="30"/>
  <c r="T534" i="30" s="1"/>
  <c r="I532" i="30"/>
  <c r="G545" i="30"/>
  <c r="G548" i="30"/>
  <c r="R548" i="30" s="1"/>
  <c r="G543" i="30"/>
  <c r="G549" i="30"/>
  <c r="G544" i="30"/>
  <c r="R544" i="30" s="1"/>
  <c r="G546" i="30"/>
  <c r="G540" i="30"/>
  <c r="G542" i="30"/>
  <c r="R542" i="30" s="1"/>
  <c r="G547" i="30"/>
  <c r="G541" i="30"/>
  <c r="R541" i="30" s="1"/>
  <c r="H584" i="30"/>
  <c r="S584" i="30" s="1"/>
  <c r="H582" i="30"/>
  <c r="H581" i="30"/>
  <c r="H583" i="30"/>
  <c r="S583" i="30" s="1"/>
  <c r="H579" i="30"/>
  <c r="H580" i="30"/>
  <c r="H585" i="30"/>
  <c r="S585" i="30" s="1"/>
  <c r="F591" i="30"/>
  <c r="Q591" i="30" s="1"/>
  <c r="F592" i="30"/>
  <c r="Q592" i="30" s="1"/>
  <c r="F593" i="30"/>
  <c r="Q593" i="30" s="1"/>
  <c r="F590" i="30"/>
  <c r="Q590" i="30" s="1"/>
  <c r="F589" i="30"/>
  <c r="Q589" i="30" s="1"/>
  <c r="F595" i="30"/>
  <c r="Q595" i="30" s="1"/>
  <c r="F586" i="30"/>
  <c r="Q586" i="30" s="1"/>
  <c r="F596" i="30"/>
  <c r="Q596" i="30" s="1"/>
  <c r="F594" i="30"/>
  <c r="Q594" i="30" s="1"/>
  <c r="F587" i="30"/>
  <c r="Q587" i="30" s="1"/>
  <c r="F588" i="30"/>
  <c r="Q588" i="30" s="1"/>
  <c r="J586" i="30"/>
  <c r="U586" i="30" s="1"/>
  <c r="J594" i="30"/>
  <c r="J596" i="30"/>
  <c r="J587" i="30"/>
  <c r="U587" i="30" s="1"/>
  <c r="J590" i="30"/>
  <c r="J592" i="30"/>
  <c r="U592" i="30" s="1"/>
  <c r="J591" i="30"/>
  <c r="U591" i="30" s="1"/>
  <c r="J593" i="30"/>
  <c r="J588" i="30"/>
  <c r="J595" i="30"/>
  <c r="U595" i="30" s="1"/>
  <c r="J589" i="30"/>
  <c r="H604" i="30"/>
  <c r="H600" i="30"/>
  <c r="S600" i="30" s="1"/>
  <c r="H603" i="30"/>
  <c r="H598" i="30"/>
  <c r="H599" i="30"/>
  <c r="S599" i="30" s="1"/>
  <c r="H606" i="30"/>
  <c r="H605" i="30"/>
  <c r="S605" i="30" s="1"/>
  <c r="H601" i="30"/>
  <c r="S601" i="30" s="1"/>
  <c r="H602" i="30"/>
  <c r="H597" i="30"/>
  <c r="H607" i="30"/>
  <c r="S607" i="30" s="1"/>
  <c r="J612" i="30"/>
  <c r="J613" i="30"/>
  <c r="J608" i="30"/>
  <c r="U608" i="30" s="1"/>
  <c r="J610" i="30"/>
  <c r="J609" i="30"/>
  <c r="J611" i="30"/>
  <c r="U611" i="30" s="1"/>
  <c r="F120" i="30"/>
  <c r="Q120" i="30" s="1"/>
  <c r="F123" i="30"/>
  <c r="Q123" i="30" s="1"/>
  <c r="F121" i="30"/>
  <c r="Q121" i="30" s="1"/>
  <c r="F124" i="30"/>
  <c r="Q124" i="30" s="1"/>
  <c r="F115" i="30"/>
  <c r="Q115" i="30" s="1"/>
  <c r="F118" i="30"/>
  <c r="Q118" i="30" s="1"/>
  <c r="F122" i="30"/>
  <c r="Q122" i="30" s="1"/>
  <c r="F116" i="30"/>
  <c r="Q116" i="30" s="1"/>
  <c r="F117" i="30"/>
  <c r="Q117" i="30" s="1"/>
  <c r="F119" i="30"/>
  <c r="Q119" i="30" s="1"/>
  <c r="H624" i="30"/>
  <c r="H620" i="30"/>
  <c r="S620" i="30" s="1"/>
  <c r="H616" i="30"/>
  <c r="H614" i="30"/>
  <c r="S614" i="30" s="1"/>
  <c r="H615" i="30"/>
  <c r="H621" i="30"/>
  <c r="H617" i="30"/>
  <c r="H619" i="30"/>
  <c r="S619" i="30" s="1"/>
  <c r="H622" i="30"/>
  <c r="H623" i="30"/>
  <c r="H618" i="30"/>
  <c r="S618" i="30" s="1"/>
  <c r="G555" i="30"/>
  <c r="G550" i="30"/>
  <c r="G553" i="30"/>
  <c r="R553" i="30" s="1"/>
  <c r="G556" i="30"/>
  <c r="G551" i="30"/>
  <c r="R551" i="30" s="1"/>
  <c r="G554" i="30"/>
  <c r="G552" i="30"/>
  <c r="G557" i="30"/>
  <c r="G558" i="30"/>
  <c r="R558" i="30" s="1"/>
  <c r="F572" i="30"/>
  <c r="Q572" i="30" s="1"/>
  <c r="F578" i="30"/>
  <c r="Q578" i="30" s="1"/>
  <c r="F573" i="30"/>
  <c r="Q573" i="30" s="1"/>
  <c r="F571" i="30"/>
  <c r="Q571" i="30" s="1"/>
  <c r="F576" i="30"/>
  <c r="Q576" i="30" s="1"/>
  <c r="F577" i="30"/>
  <c r="Q577" i="30" s="1"/>
  <c r="F575" i="30"/>
  <c r="Q575" i="30" s="1"/>
  <c r="F574" i="30"/>
  <c r="Q574" i="30" s="1"/>
  <c r="F568" i="30"/>
  <c r="Q568" i="30" s="1"/>
  <c r="F570" i="30"/>
  <c r="Q570" i="30" s="1"/>
  <c r="F569" i="30"/>
  <c r="Q569" i="30" s="1"/>
  <c r="J570" i="30"/>
  <c r="J569" i="30"/>
  <c r="J578" i="30"/>
  <c r="J576" i="30"/>
  <c r="U576" i="30" s="1"/>
  <c r="J571" i="30"/>
  <c r="J574" i="30"/>
  <c r="J577" i="30"/>
  <c r="U577" i="30" s="1"/>
  <c r="J572" i="30"/>
  <c r="J575" i="30"/>
  <c r="U575" i="30" s="1"/>
  <c r="J573" i="30"/>
  <c r="U573" i="30" s="1"/>
  <c r="J568" i="30"/>
  <c r="I490" i="30"/>
  <c r="I485" i="30"/>
  <c r="I484" i="30"/>
  <c r="I487" i="30"/>
  <c r="I483" i="30"/>
  <c r="T483" i="30" s="1"/>
  <c r="I486" i="30"/>
  <c r="I493" i="30"/>
  <c r="I492" i="30"/>
  <c r="T492" i="30" s="1"/>
  <c r="I489" i="30"/>
  <c r="I488" i="30"/>
  <c r="T488" i="30" s="1"/>
  <c r="I491" i="30"/>
  <c r="T491" i="30" s="1"/>
  <c r="K33" i="34"/>
  <c r="AC221" i="30" s="1"/>
  <c r="AD221" i="30" s="1"/>
  <c r="K85" i="30"/>
  <c r="K83" i="30"/>
  <c r="K84" i="30"/>
  <c r="V84" i="30" s="1"/>
  <c r="K82" i="30"/>
  <c r="K81" i="30"/>
  <c r="K80" i="30"/>
  <c r="V80" i="30" s="1"/>
  <c r="K79" i="30"/>
  <c r="K77" i="30"/>
  <c r="K75" i="30"/>
  <c r="V75" i="30" s="1"/>
  <c r="K78" i="30"/>
  <c r="K76" i="30"/>
  <c r="K205" i="30"/>
  <c r="K200" i="30"/>
  <c r="K199" i="30"/>
  <c r="V199" i="30" s="1"/>
  <c r="K201" i="30"/>
  <c r="K202" i="30"/>
  <c r="K197" i="30"/>
  <c r="V197" i="30" s="1"/>
  <c r="K198" i="30"/>
  <c r="K204" i="30"/>
  <c r="V204" i="30" s="1"/>
  <c r="K203" i="30"/>
  <c r="V203" i="30" s="1"/>
  <c r="K605" i="30"/>
  <c r="K597" i="30"/>
  <c r="K603" i="30"/>
  <c r="V603" i="30" s="1"/>
  <c r="K604" i="30"/>
  <c r="K599" i="30"/>
  <c r="K598" i="30"/>
  <c r="V598" i="30" s="1"/>
  <c r="K602" i="30"/>
  <c r="K601" i="30"/>
  <c r="K600" i="30"/>
  <c r="V600" i="30" s="1"/>
  <c r="K607" i="30"/>
  <c r="K606" i="30"/>
  <c r="V606" i="30" s="1"/>
  <c r="K280" i="30"/>
  <c r="V280" i="30" s="1"/>
  <c r="K279" i="30"/>
  <c r="V279" i="30" s="1"/>
  <c r="K276" i="30"/>
  <c r="K274" i="30"/>
  <c r="V274" i="30" s="1"/>
  <c r="K283" i="30"/>
  <c r="K282" i="30"/>
  <c r="K277" i="30"/>
  <c r="V277" i="30" s="1"/>
  <c r="K278" i="30"/>
  <c r="K281" i="30"/>
  <c r="K275" i="30"/>
  <c r="K273" i="30"/>
  <c r="K338" i="30"/>
  <c r="V338" i="30" s="1"/>
  <c r="K332" i="30"/>
  <c r="K335" i="30"/>
  <c r="K334" i="30"/>
  <c r="K337" i="30"/>
  <c r="V337" i="30" s="1"/>
  <c r="K333" i="30"/>
  <c r="K339" i="30"/>
  <c r="K336" i="30"/>
  <c r="V336" i="30" s="1"/>
  <c r="K408" i="30"/>
  <c r="K403" i="30"/>
  <c r="K402" i="30"/>
  <c r="V402" i="30" s="1"/>
  <c r="K404" i="30"/>
  <c r="K400" i="30"/>
  <c r="K410" i="30"/>
  <c r="V410" i="30" s="1"/>
  <c r="K405" i="30"/>
  <c r="K407" i="30"/>
  <c r="K406" i="30"/>
  <c r="V406" i="30" s="1"/>
  <c r="K409" i="30"/>
  <c r="K401" i="30"/>
  <c r="K499" i="30"/>
  <c r="V499" i="30" s="1"/>
  <c r="K498" i="30"/>
  <c r="K497" i="30"/>
  <c r="K500" i="30"/>
  <c r="V500" i="30" s="1"/>
  <c r="K495" i="30"/>
  <c r="K494" i="30"/>
  <c r="V494" i="30" s="1"/>
  <c r="K496" i="30"/>
  <c r="V496" i="30" s="1"/>
  <c r="K533" i="30"/>
  <c r="K539" i="30"/>
  <c r="V539" i="30" s="1"/>
  <c r="K537" i="30"/>
  <c r="K535" i="30"/>
  <c r="V535" i="30" s="1"/>
  <c r="K534" i="30"/>
  <c r="V534" i="30" s="1"/>
  <c r="K536" i="30"/>
  <c r="K538" i="30"/>
  <c r="K532" i="30"/>
  <c r="V532" i="30" s="1"/>
  <c r="F104" i="36"/>
  <c r="W93" i="36"/>
  <c r="E41" i="30"/>
  <c r="P41" i="30" s="1"/>
  <c r="P97" i="30"/>
  <c r="P153" i="30"/>
  <c r="E205" i="30"/>
  <c r="P205" i="30" s="1"/>
  <c r="P253" i="30"/>
  <c r="P337" i="30"/>
  <c r="P389" i="30"/>
  <c r="P437" i="30"/>
  <c r="E545" i="30"/>
  <c r="P545" i="30" s="1"/>
  <c r="P637" i="30"/>
  <c r="P737" i="30"/>
  <c r="P789" i="30"/>
  <c r="P841" i="30"/>
  <c r="P18" i="30"/>
  <c r="E34" i="30"/>
  <c r="P34" i="30" s="1"/>
  <c r="P50" i="30"/>
  <c r="E66" i="30"/>
  <c r="P66" i="30" s="1"/>
  <c r="E82" i="30"/>
  <c r="P82" i="30" s="1"/>
  <c r="P98" i="30"/>
  <c r="E114" i="30"/>
  <c r="P114" i="30" s="1"/>
  <c r="E130" i="30"/>
  <c r="P130" i="30" s="1"/>
  <c r="P146" i="30"/>
  <c r="E162" i="30"/>
  <c r="P162" i="30" s="1"/>
  <c r="P178" i="30"/>
  <c r="E194" i="30"/>
  <c r="P194" i="30" s="1"/>
  <c r="P210" i="30"/>
  <c r="P226" i="30"/>
  <c r="P242" i="30"/>
  <c r="P258" i="30"/>
  <c r="E274" i="30"/>
  <c r="P274" i="30" s="1"/>
  <c r="E290" i="30"/>
  <c r="P290" i="30" s="1"/>
  <c r="E306" i="30"/>
  <c r="P306" i="30" s="1"/>
  <c r="P322" i="30"/>
  <c r="P338" i="30"/>
  <c r="P354" i="30"/>
  <c r="E370" i="30"/>
  <c r="P370" i="30" s="1"/>
  <c r="P386" i="30"/>
  <c r="E402" i="30"/>
  <c r="P402" i="30" s="1"/>
  <c r="E418" i="30"/>
  <c r="P418" i="30" s="1"/>
  <c r="P434" i="30"/>
  <c r="E466" i="30"/>
  <c r="P466" i="30" s="1"/>
  <c r="P482" i="30"/>
  <c r="P498" i="30"/>
  <c r="E514" i="30"/>
  <c r="P514" i="30" s="1"/>
  <c r="P530" i="30"/>
  <c r="E546" i="30"/>
  <c r="P546" i="30" s="1"/>
  <c r="E578" i="30"/>
  <c r="P578" i="30" s="1"/>
  <c r="E594" i="30"/>
  <c r="P594" i="30" s="1"/>
  <c r="P610" i="30"/>
  <c r="P626" i="30"/>
  <c r="P642" i="30"/>
  <c r="P658" i="30"/>
  <c r="P674" i="30"/>
  <c r="P690" i="30"/>
  <c r="P706" i="30"/>
  <c r="P722" i="30"/>
  <c r="P738" i="30"/>
  <c r="P754" i="30"/>
  <c r="P770" i="30"/>
  <c r="P786" i="30"/>
  <c r="P802" i="30"/>
  <c r="P818" i="30"/>
  <c r="P834" i="30"/>
  <c r="P853" i="30"/>
  <c r="E37" i="30"/>
  <c r="P37" i="30" s="1"/>
  <c r="P89" i="30"/>
  <c r="P141" i="30"/>
  <c r="P185" i="30"/>
  <c r="P229" i="30"/>
  <c r="E277" i="30"/>
  <c r="P277" i="30" s="1"/>
  <c r="P325" i="30"/>
  <c r="E369" i="30"/>
  <c r="P369" i="30" s="1"/>
  <c r="E413" i="30"/>
  <c r="P413" i="30" s="1"/>
  <c r="E461" i="30"/>
  <c r="P461" i="30" s="1"/>
  <c r="E509" i="30"/>
  <c r="P509" i="30" s="1"/>
  <c r="E549" i="30"/>
  <c r="P549" i="30" s="1"/>
  <c r="E601" i="30"/>
  <c r="P601" i="30" s="1"/>
  <c r="P693" i="30"/>
  <c r="P733" i="30"/>
  <c r="P781" i="30"/>
  <c r="P825" i="30"/>
  <c r="P15" i="30"/>
  <c r="P31" i="30"/>
  <c r="P47" i="30"/>
  <c r="E63" i="30"/>
  <c r="P63" i="30" s="1"/>
  <c r="E79" i="30"/>
  <c r="P79" i="30" s="1"/>
  <c r="P95" i="30"/>
  <c r="E111" i="30"/>
  <c r="P111" i="30" s="1"/>
  <c r="E127" i="30"/>
  <c r="P127" i="30" s="1"/>
  <c r="P143" i="30"/>
  <c r="E159" i="30"/>
  <c r="P159" i="30" s="1"/>
  <c r="E175" i="30"/>
  <c r="P175" i="30" s="1"/>
  <c r="E191" i="30"/>
  <c r="P191" i="30" s="1"/>
  <c r="P207" i="30"/>
  <c r="P223" i="30"/>
  <c r="E239" i="30"/>
  <c r="P239" i="30" s="1"/>
  <c r="P255" i="30"/>
  <c r="P271" i="30"/>
  <c r="E287" i="30"/>
  <c r="P287" i="30" s="1"/>
  <c r="E303" i="30"/>
  <c r="P303" i="30" s="1"/>
  <c r="P319" i="30"/>
  <c r="P335" i="30"/>
  <c r="P351" i="30"/>
  <c r="E367" i="30"/>
  <c r="P367" i="30" s="1"/>
  <c r="P383" i="30"/>
  <c r="P399" i="30"/>
  <c r="E415" i="30"/>
  <c r="P415" i="30" s="1"/>
  <c r="E431" i="30"/>
  <c r="P431" i="30" s="1"/>
  <c r="E463" i="30"/>
  <c r="P463" i="30" s="1"/>
  <c r="P479" i="30"/>
  <c r="P495" i="30"/>
  <c r="E511" i="30"/>
  <c r="P511" i="30" s="1"/>
  <c r="P527" i="30"/>
  <c r="E543" i="30"/>
  <c r="P543" i="30" s="1"/>
  <c r="E575" i="30"/>
  <c r="P575" i="30" s="1"/>
  <c r="E591" i="30"/>
  <c r="P591" i="30" s="1"/>
  <c r="E607" i="30"/>
  <c r="P607" i="30" s="1"/>
  <c r="E623" i="30"/>
  <c r="P623" i="30" s="1"/>
  <c r="P639" i="30"/>
  <c r="P655" i="30"/>
  <c r="P671" i="30"/>
  <c r="P703" i="30"/>
  <c r="P719" i="30"/>
  <c r="P735" i="30"/>
  <c r="P751" i="30"/>
  <c r="P767" i="30"/>
  <c r="P783" i="30"/>
  <c r="P799" i="30"/>
  <c r="P815" i="30"/>
  <c r="P831" i="30"/>
  <c r="P849" i="30"/>
  <c r="E33" i="30"/>
  <c r="P33" i="30" s="1"/>
  <c r="E73" i="30"/>
  <c r="P73" i="30" s="1"/>
  <c r="E117" i="30"/>
  <c r="P117" i="30" s="1"/>
  <c r="E157" i="30"/>
  <c r="P157" i="30" s="1"/>
  <c r="E201" i="30"/>
  <c r="P201" i="30" s="1"/>
  <c r="P249" i="30"/>
  <c r="E305" i="30"/>
  <c r="P305" i="30" s="1"/>
  <c r="E365" i="30"/>
  <c r="P365" i="30" s="1"/>
  <c r="E409" i="30"/>
  <c r="P409" i="30" s="1"/>
  <c r="E457" i="30"/>
  <c r="P457" i="30" s="1"/>
  <c r="E501" i="30"/>
  <c r="P501" i="30" s="1"/>
  <c r="P553" i="30"/>
  <c r="E605" i="30"/>
  <c r="P605" i="30" s="1"/>
  <c r="P653" i="30"/>
  <c r="P701" i="30"/>
  <c r="P753" i="30"/>
  <c r="P797" i="30"/>
  <c r="P846" i="30"/>
  <c r="P20" i="30"/>
  <c r="E36" i="30"/>
  <c r="P36" i="30" s="1"/>
  <c r="E60" i="30"/>
  <c r="P60" i="30" s="1"/>
  <c r="E80" i="30"/>
  <c r="P80" i="30" s="1"/>
  <c r="P96" i="30"/>
  <c r="E112" i="30"/>
  <c r="P112" i="30" s="1"/>
  <c r="E132" i="30"/>
  <c r="P132" i="30" s="1"/>
  <c r="P148" i="30"/>
  <c r="E164" i="30"/>
  <c r="P164" i="30" s="1"/>
  <c r="E204" i="30"/>
  <c r="P204" i="30" s="1"/>
  <c r="P220" i="30"/>
  <c r="E240" i="30"/>
  <c r="P240" i="30" s="1"/>
  <c r="P256" i="30"/>
  <c r="P272" i="30"/>
  <c r="E292" i="30"/>
  <c r="P292" i="30" s="1"/>
  <c r="E308" i="30"/>
  <c r="P308" i="30" s="1"/>
  <c r="E348" i="30"/>
  <c r="P348" i="30" s="1"/>
  <c r="E368" i="30"/>
  <c r="P368" i="30" s="1"/>
  <c r="P388" i="30"/>
  <c r="E404" i="30"/>
  <c r="P404" i="30" s="1"/>
  <c r="E428" i="30"/>
  <c r="P428" i="30" s="1"/>
  <c r="E468" i="30"/>
  <c r="P468" i="30" s="1"/>
  <c r="E604" i="30"/>
  <c r="P604" i="30" s="1"/>
  <c r="P652" i="30"/>
  <c r="P668" i="30"/>
  <c r="M166" i="30"/>
  <c r="X166" i="30" s="1"/>
  <c r="M165" i="30"/>
  <c r="M161" i="30"/>
  <c r="M162" i="30"/>
  <c r="X162" i="30" s="1"/>
  <c r="M160" i="30"/>
  <c r="M163" i="30"/>
  <c r="X163" i="30" s="1"/>
  <c r="M158" i="30"/>
  <c r="X158" i="30" s="1"/>
  <c r="M157" i="30"/>
  <c r="X157" i="30" s="1"/>
  <c r="M164" i="30"/>
  <c r="M156" i="30"/>
  <c r="X156" i="30" s="1"/>
  <c r="M159" i="30"/>
  <c r="J65" i="30"/>
  <c r="J64" i="30"/>
  <c r="U64" i="30" s="1"/>
  <c r="J70" i="30"/>
  <c r="J74" i="30"/>
  <c r="J73" i="30"/>
  <c r="U73" i="30" s="1"/>
  <c r="J72" i="30"/>
  <c r="J67" i="30"/>
  <c r="U67" i="30" s="1"/>
  <c r="J68" i="30"/>
  <c r="U68" i="30" s="1"/>
  <c r="J69" i="30"/>
  <c r="U69" i="30" s="1"/>
  <c r="J66" i="30"/>
  <c r="J71" i="30"/>
  <c r="U71" i="30" s="1"/>
  <c r="H279" i="30"/>
  <c r="H282" i="30"/>
  <c r="H274" i="30"/>
  <c r="S274" i="30" s="1"/>
  <c r="H276" i="30"/>
  <c r="H275" i="30"/>
  <c r="H283" i="30"/>
  <c r="S283" i="30" s="1"/>
  <c r="H281" i="30"/>
  <c r="H273" i="30"/>
  <c r="S273" i="30" s="1"/>
  <c r="H277" i="30"/>
  <c r="S277" i="30" s="1"/>
  <c r="H278" i="30"/>
  <c r="S278" i="30" s="1"/>
  <c r="H280" i="30"/>
  <c r="F293" i="30"/>
  <c r="Q293" i="30" s="1"/>
  <c r="F288" i="30"/>
  <c r="Q288" i="30" s="1"/>
  <c r="F286" i="30"/>
  <c r="Q286" i="30" s="1"/>
  <c r="F292" i="30"/>
  <c r="Q292" i="30" s="1"/>
  <c r="F287" i="30"/>
  <c r="Q287" i="30" s="1"/>
  <c r="F285" i="30"/>
  <c r="Q285" i="30" s="1"/>
  <c r="F290" i="30"/>
  <c r="Q290" i="30" s="1"/>
  <c r="F291" i="30"/>
  <c r="Q291" i="30" s="1"/>
  <c r="F289" i="30"/>
  <c r="Q289" i="30" s="1"/>
  <c r="F294" i="30"/>
  <c r="Q294" i="30" s="1"/>
  <c r="F284" i="30"/>
  <c r="Q284" i="30" s="1"/>
  <c r="J289" i="30"/>
  <c r="J288" i="30"/>
  <c r="U288" i="30" s="1"/>
  <c r="J284" i="30"/>
  <c r="J285" i="30"/>
  <c r="J286" i="30"/>
  <c r="J292" i="30"/>
  <c r="J291" i="30"/>
  <c r="J290" i="30"/>
  <c r="U290" i="30" s="1"/>
  <c r="J293" i="30"/>
  <c r="J287" i="30"/>
  <c r="U287" i="30" s="1"/>
  <c r="J294" i="30"/>
  <c r="U294" i="30" s="1"/>
  <c r="J301" i="30"/>
  <c r="U301" i="30" s="1"/>
  <c r="J300" i="30"/>
  <c r="J299" i="30"/>
  <c r="U299" i="30" s="1"/>
  <c r="J302" i="30"/>
  <c r="J295" i="30"/>
  <c r="U295" i="30" s="1"/>
  <c r="J297" i="30"/>
  <c r="U297" i="30" s="1"/>
  <c r="J296" i="30"/>
  <c r="J298" i="30"/>
  <c r="I330" i="30"/>
  <c r="T330" i="30" s="1"/>
  <c r="I329" i="30"/>
  <c r="I326" i="30"/>
  <c r="T326" i="30" s="1"/>
  <c r="I324" i="30"/>
  <c r="T324" i="30" s="1"/>
  <c r="I331" i="30"/>
  <c r="T331" i="30" s="1"/>
  <c r="I327" i="30"/>
  <c r="I328" i="30"/>
  <c r="T328" i="30" s="1"/>
  <c r="I325" i="30"/>
  <c r="I339" i="30"/>
  <c r="I335" i="30"/>
  <c r="T335" i="30" s="1"/>
  <c r="I338" i="30"/>
  <c r="I336" i="30"/>
  <c r="I337" i="30"/>
  <c r="T337" i="30" s="1"/>
  <c r="I333" i="30"/>
  <c r="I332" i="30"/>
  <c r="T332" i="30" s="1"/>
  <c r="I334" i="30"/>
  <c r="T334" i="30" s="1"/>
  <c r="G348" i="30"/>
  <c r="R348" i="30" s="1"/>
  <c r="G347" i="30"/>
  <c r="G344" i="30"/>
  <c r="G343" i="30"/>
  <c r="G342" i="30"/>
  <c r="G345" i="30"/>
  <c r="R345" i="30" s="1"/>
  <c r="G340" i="30"/>
  <c r="G346" i="30"/>
  <c r="G341" i="30"/>
  <c r="R341" i="30" s="1"/>
  <c r="I362" i="30"/>
  <c r="I361" i="30"/>
  <c r="T361" i="30" s="1"/>
  <c r="I358" i="30"/>
  <c r="I359" i="30"/>
  <c r="T359" i="30" s="1"/>
  <c r="I363" i="30"/>
  <c r="I365" i="30"/>
  <c r="T365" i="30" s="1"/>
  <c r="I368" i="30"/>
  <c r="I364" i="30"/>
  <c r="I367" i="30"/>
  <c r="T367" i="30" s="1"/>
  <c r="I366" i="30"/>
  <c r="I360" i="30"/>
  <c r="I410" i="30"/>
  <c r="T410" i="30" s="1"/>
  <c r="I405" i="30"/>
  <c r="I404" i="30"/>
  <c r="T404" i="30" s="1"/>
  <c r="I406" i="30"/>
  <c r="I401" i="30"/>
  <c r="T401" i="30" s="1"/>
  <c r="I400" i="30"/>
  <c r="I407" i="30"/>
  <c r="T407" i="30" s="1"/>
  <c r="I402" i="30"/>
  <c r="I408" i="30"/>
  <c r="T408" i="30" s="1"/>
  <c r="I403" i="30"/>
  <c r="T403" i="30" s="1"/>
  <c r="I409" i="30"/>
  <c r="G412" i="30"/>
  <c r="G419" i="30"/>
  <c r="G418" i="30"/>
  <c r="G420" i="30"/>
  <c r="R420" i="30" s="1"/>
  <c r="G415" i="30"/>
  <c r="R415" i="30" s="1"/>
  <c r="G414" i="30"/>
  <c r="R414" i="30" s="1"/>
  <c r="G411" i="30"/>
  <c r="G416" i="30"/>
  <c r="G421" i="30"/>
  <c r="G413" i="30"/>
  <c r="G417" i="30"/>
  <c r="R417" i="30" s="1"/>
  <c r="M523" i="30"/>
  <c r="M526" i="30"/>
  <c r="X526" i="30" s="1"/>
  <c r="M528" i="30"/>
  <c r="M524" i="30"/>
  <c r="X524" i="30" s="1"/>
  <c r="M527" i="30"/>
  <c r="X527" i="30" s="1"/>
  <c r="M529" i="30"/>
  <c r="X529" i="30" s="1"/>
  <c r="M531" i="30"/>
  <c r="X531" i="30" s="1"/>
  <c r="M530" i="30"/>
  <c r="X530" i="30" s="1"/>
  <c r="M525" i="30"/>
  <c r="M575" i="30"/>
  <c r="M571" i="30"/>
  <c r="X571" i="30" s="1"/>
  <c r="M574" i="30"/>
  <c r="M569" i="30"/>
  <c r="M570" i="30"/>
  <c r="X570" i="30" s="1"/>
  <c r="M577" i="30"/>
  <c r="M576" i="30"/>
  <c r="X576" i="30" s="1"/>
  <c r="M572" i="30"/>
  <c r="X572" i="30" s="1"/>
  <c r="M568" i="30"/>
  <c r="M578" i="30"/>
  <c r="X578" i="30" s="1"/>
  <c r="M573" i="30"/>
  <c r="X573" i="30" s="1"/>
  <c r="T45" i="34"/>
  <c r="AE573" i="30" s="1"/>
  <c r="AF573" i="30" s="1"/>
  <c r="AC89" i="30"/>
  <c r="AD89" i="30" s="1"/>
  <c r="AC275" i="30"/>
  <c r="AD275" i="30" s="1"/>
  <c r="AC454" i="30"/>
  <c r="AD454" i="30" s="1"/>
  <c r="P87" i="34"/>
  <c r="AE484" i="30" s="1"/>
  <c r="AF484" i="30" s="1"/>
  <c r="M470" i="30"/>
  <c r="M465" i="30"/>
  <c r="M464" i="30"/>
  <c r="X464" i="30" s="1"/>
  <c r="M466" i="30"/>
  <c r="M473" i="30"/>
  <c r="M472" i="30"/>
  <c r="X472" i="30" s="1"/>
  <c r="M463" i="30"/>
  <c r="M469" i="30"/>
  <c r="M467" i="30"/>
  <c r="X467" i="30" s="1"/>
  <c r="M471" i="30"/>
  <c r="M468" i="30"/>
  <c r="M299" i="30"/>
  <c r="X299" i="30" s="1"/>
  <c r="M295" i="30"/>
  <c r="M298" i="30"/>
  <c r="X298" i="30" s="1"/>
  <c r="M297" i="30"/>
  <c r="M300" i="30"/>
  <c r="M301" i="30"/>
  <c r="M296" i="30"/>
  <c r="X296" i="30" s="1"/>
  <c r="M302" i="30"/>
  <c r="W17" i="43"/>
  <c r="X17" i="43" s="1"/>
  <c r="U18" i="34"/>
  <c r="AE131" i="30" s="1"/>
  <c r="AF131" i="30" s="1"/>
  <c r="AC288" i="30"/>
  <c r="AD288" i="30" s="1"/>
  <c r="AC415" i="30"/>
  <c r="AC569" i="30"/>
  <c r="AD569" i="30" s="1"/>
  <c r="AC67" i="30"/>
  <c r="G204" i="30"/>
  <c r="R204" i="30" s="1"/>
  <c r="G203" i="30"/>
  <c r="R203" i="30" s="1"/>
  <c r="G198" i="30"/>
  <c r="G202" i="30"/>
  <c r="G205" i="30"/>
  <c r="R205" i="30" s="1"/>
  <c r="G200" i="30"/>
  <c r="G199" i="30"/>
  <c r="G201" i="30"/>
  <c r="R201" i="30" s="1"/>
  <c r="G197" i="30"/>
  <c r="R613" i="30"/>
  <c r="R609" i="30"/>
  <c r="R580" i="30"/>
  <c r="R583" i="30"/>
  <c r="S610" i="30"/>
  <c r="R581" i="30"/>
  <c r="R612" i="30"/>
  <c r="R499" i="30"/>
  <c r="S613" i="30"/>
  <c r="S609" i="30"/>
  <c r="R608" i="30"/>
  <c r="R579" i="30"/>
  <c r="R500" i="30"/>
  <c r="R582" i="30"/>
  <c r="R494" i="30"/>
  <c r="S608" i="30"/>
  <c r="R610" i="30"/>
  <c r="S612" i="30"/>
  <c r="R498" i="30"/>
  <c r="R611" i="30"/>
  <c r="R497" i="30"/>
  <c r="R585" i="30"/>
  <c r="R495" i="30"/>
  <c r="S611" i="30"/>
  <c r="R584" i="30"/>
  <c r="R496" i="30"/>
  <c r="W10" i="30"/>
  <c r="R14" i="30"/>
  <c r="W9" i="30"/>
  <c r="X9" i="30" s="1"/>
  <c r="Y9" i="30" s="1"/>
  <c r="Z9" i="30" s="1"/>
  <c r="W8" i="30"/>
  <c r="V10" i="30"/>
  <c r="U20" i="30"/>
  <c r="S17" i="30"/>
  <c r="T17" i="30"/>
  <c r="V14" i="30"/>
  <c r="W16" i="30"/>
  <c r="T21" i="30"/>
  <c r="T15" i="30"/>
  <c r="S16" i="30"/>
  <c r="W15" i="30"/>
  <c r="W18" i="30"/>
  <c r="X18" i="30" s="1"/>
  <c r="Y18" i="30" s="1"/>
  <c r="Z18" i="30" s="1"/>
  <c r="R11" i="30"/>
  <c r="T10" i="30"/>
  <c r="T16" i="30"/>
  <c r="S13" i="30"/>
  <c r="S9" i="30"/>
  <c r="R19" i="30"/>
  <c r="R13" i="30"/>
  <c r="W14" i="30"/>
  <c r="U14" i="30"/>
  <c r="T14" i="30"/>
  <c r="T12" i="30"/>
  <c r="V19" i="30"/>
  <c r="S11" i="30"/>
  <c r="R18" i="30"/>
  <c r="T8" i="30"/>
  <c r="T19" i="30"/>
  <c r="S19" i="30"/>
  <c r="S8" i="30"/>
  <c r="U17" i="30"/>
  <c r="R9" i="30"/>
  <c r="U13" i="30"/>
  <c r="S10" i="30"/>
  <c r="V13" i="30"/>
  <c r="U19" i="30"/>
  <c r="U16" i="30"/>
  <c r="V11" i="30"/>
  <c r="U21" i="30"/>
  <c r="R10" i="30"/>
  <c r="V16" i="30"/>
  <c r="V17" i="30"/>
  <c r="V21" i="30"/>
  <c r="R12" i="30"/>
  <c r="W13" i="30"/>
  <c r="X13" i="30" s="1"/>
  <c r="Y13" i="30" s="1"/>
  <c r="Z13" i="30" s="1"/>
  <c r="S21" i="30"/>
  <c r="U11" i="30"/>
  <c r="R8" i="30"/>
  <c r="W17" i="30"/>
  <c r="X17" i="30" s="1"/>
  <c r="Y17" i="30" s="1"/>
  <c r="Z17" i="30" s="1"/>
  <c r="T13" i="30"/>
  <c r="S12" i="30"/>
  <c r="U12" i="30"/>
  <c r="W12" i="30"/>
  <c r="U18" i="30"/>
  <c r="R20" i="30"/>
  <c r="V9" i="30"/>
  <c r="S14" i="30"/>
  <c r="T18" i="30"/>
  <c r="V18" i="30"/>
  <c r="V12" i="30"/>
  <c r="W21" i="30"/>
  <c r="R15" i="30"/>
  <c r="S15" i="30"/>
  <c r="R17" i="30"/>
  <c r="V20" i="30"/>
  <c r="R21" i="30"/>
  <c r="W20" i="30"/>
  <c r="U8" i="30"/>
  <c r="S18" i="30"/>
  <c r="U10" i="30"/>
  <c r="T20" i="30"/>
  <c r="T11" i="30"/>
  <c r="U9" i="30"/>
  <c r="V15" i="30"/>
  <c r="R16" i="30"/>
  <c r="U15" i="30"/>
  <c r="T9" i="30"/>
  <c r="V8" i="30"/>
  <c r="S20" i="30"/>
  <c r="W11" i="30"/>
  <c r="W19" i="30"/>
  <c r="X19" i="30" s="1"/>
  <c r="Y19" i="30" s="1"/>
  <c r="Z19" i="30" s="1"/>
  <c r="G65" i="30"/>
  <c r="G69" i="30"/>
  <c r="R69" i="30" s="1"/>
  <c r="G66" i="30"/>
  <c r="G72" i="30"/>
  <c r="G71" i="30"/>
  <c r="G73" i="30"/>
  <c r="R73" i="30" s="1"/>
  <c r="G68" i="30"/>
  <c r="G67" i="30"/>
  <c r="G74" i="30"/>
  <c r="R74" i="30" s="1"/>
  <c r="G70" i="30"/>
  <c r="G64" i="30"/>
  <c r="I76" i="30"/>
  <c r="T76" i="30" s="1"/>
  <c r="I83" i="30"/>
  <c r="I80" i="30"/>
  <c r="T80" i="30" s="1"/>
  <c r="I85" i="30"/>
  <c r="I75" i="30"/>
  <c r="I82" i="30"/>
  <c r="I81" i="30"/>
  <c r="T81" i="30" s="1"/>
  <c r="I84" i="30"/>
  <c r="I77" i="30"/>
  <c r="I78" i="30"/>
  <c r="T78" i="30" s="1"/>
  <c r="I79" i="30"/>
  <c r="H94" i="30"/>
  <c r="H93" i="30"/>
  <c r="S93" i="30" s="1"/>
  <c r="H92" i="30"/>
  <c r="H91" i="30"/>
  <c r="S91" i="30" s="1"/>
  <c r="H90" i="30"/>
  <c r="H87" i="30"/>
  <c r="H86" i="30"/>
  <c r="H89" i="30"/>
  <c r="S89" i="30" s="1"/>
  <c r="H88" i="30"/>
  <c r="G108" i="30"/>
  <c r="G107" i="30"/>
  <c r="R107" i="30" s="1"/>
  <c r="G105" i="30"/>
  <c r="G113" i="30"/>
  <c r="G110" i="30"/>
  <c r="R110" i="30" s="1"/>
  <c r="G114" i="30"/>
  <c r="G111" i="30"/>
  <c r="R111" i="30" s="1"/>
  <c r="G109" i="30"/>
  <c r="R109" i="30" s="1"/>
  <c r="G112" i="30"/>
  <c r="G106" i="30"/>
  <c r="H131" i="30"/>
  <c r="S131" i="30" s="1"/>
  <c r="H130" i="30"/>
  <c r="H133" i="30"/>
  <c r="H128" i="30"/>
  <c r="S128" i="30" s="1"/>
  <c r="H132" i="30"/>
  <c r="H129" i="30"/>
  <c r="H127" i="30"/>
  <c r="H126" i="30"/>
  <c r="H125" i="30"/>
  <c r="S125" i="30" s="1"/>
  <c r="H135" i="30"/>
  <c r="S135" i="30" s="1"/>
  <c r="H134" i="30"/>
  <c r="F156" i="30"/>
  <c r="Q156" i="30" s="1"/>
  <c r="F160" i="30"/>
  <c r="Q160" i="30" s="1"/>
  <c r="F166" i="30"/>
  <c r="Q166" i="30" s="1"/>
  <c r="F157" i="30"/>
  <c r="Q157" i="30" s="1"/>
  <c r="F158" i="30"/>
  <c r="Q158" i="30" s="1"/>
  <c r="F159" i="30"/>
  <c r="Q159" i="30" s="1"/>
  <c r="F164" i="30"/>
  <c r="Q164" i="30" s="1"/>
  <c r="F161" i="30"/>
  <c r="Q161" i="30" s="1"/>
  <c r="F163" i="30"/>
  <c r="Q163" i="30" s="1"/>
  <c r="F162" i="30"/>
  <c r="Q162" i="30" s="1"/>
  <c r="F165" i="30"/>
  <c r="Q165" i="30" s="1"/>
  <c r="J166" i="30"/>
  <c r="J161" i="30"/>
  <c r="J160" i="30"/>
  <c r="U160" i="30" s="1"/>
  <c r="J159" i="30"/>
  <c r="J162" i="30"/>
  <c r="J157" i="30"/>
  <c r="U157" i="30" s="1"/>
  <c r="J156" i="30"/>
  <c r="J158" i="30"/>
  <c r="J164" i="30"/>
  <c r="U164" i="30" s="1"/>
  <c r="J163" i="30"/>
  <c r="J165" i="30"/>
  <c r="H168" i="30"/>
  <c r="S168" i="30" s="1"/>
  <c r="H169" i="30"/>
  <c r="H175" i="30"/>
  <c r="H174" i="30"/>
  <c r="S174" i="30" s="1"/>
  <c r="H176" i="30"/>
  <c r="H171" i="30"/>
  <c r="H170" i="30"/>
  <c r="S170" i="30" s="1"/>
  <c r="H177" i="30"/>
  <c r="H173" i="30"/>
  <c r="H172" i="30"/>
  <c r="S172" i="30" s="1"/>
  <c r="H167" i="30"/>
  <c r="I223" i="30"/>
  <c r="T223" i="30" s="1"/>
  <c r="I218" i="30"/>
  <c r="T218" i="30" s="1"/>
  <c r="I217" i="30"/>
  <c r="I216" i="30"/>
  <c r="I219" i="30"/>
  <c r="T219" i="30" s="1"/>
  <c r="I215" i="30"/>
  <c r="I222" i="30"/>
  <c r="I221" i="30"/>
  <c r="T221" i="30" s="1"/>
  <c r="I220" i="30"/>
  <c r="P280" i="30"/>
  <c r="I282" i="30"/>
  <c r="T282" i="30" s="1"/>
  <c r="I281" i="30"/>
  <c r="I277" i="30"/>
  <c r="T277" i="30" s="1"/>
  <c r="I276" i="30"/>
  <c r="I278" i="30"/>
  <c r="I279" i="30"/>
  <c r="I274" i="30"/>
  <c r="T274" i="30" s="1"/>
  <c r="I275" i="30"/>
  <c r="I273" i="30"/>
  <c r="I283" i="30"/>
  <c r="T283" i="30" s="1"/>
  <c r="I280" i="30"/>
  <c r="G284" i="30"/>
  <c r="G288" i="30"/>
  <c r="R288" i="30" s="1"/>
  <c r="G291" i="30"/>
  <c r="G294" i="30"/>
  <c r="R294" i="30" s="1"/>
  <c r="G285" i="30"/>
  <c r="R285" i="30" s="1"/>
  <c r="G292" i="30"/>
  <c r="G290" i="30"/>
  <c r="G286" i="30"/>
  <c r="R286" i="30" s="1"/>
  <c r="G293" i="30"/>
  <c r="G289" i="30"/>
  <c r="G287" i="30"/>
  <c r="R287" i="30" s="1"/>
  <c r="G300" i="30"/>
  <c r="G299" i="30"/>
  <c r="G296" i="30"/>
  <c r="R296" i="30" s="1"/>
  <c r="G301" i="30"/>
  <c r="G295" i="30"/>
  <c r="R295" i="30" s="1"/>
  <c r="G302" i="30"/>
  <c r="R302" i="30" s="1"/>
  <c r="G298" i="30"/>
  <c r="G297" i="30"/>
  <c r="P312" i="30"/>
  <c r="J329" i="30"/>
  <c r="J331" i="30"/>
  <c r="J325" i="30"/>
  <c r="U325" i="30" s="1"/>
  <c r="J324" i="30"/>
  <c r="J327" i="30"/>
  <c r="J330" i="30"/>
  <c r="U330" i="30" s="1"/>
  <c r="J326" i="30"/>
  <c r="J328" i="30"/>
  <c r="U328" i="30" s="1"/>
  <c r="J337" i="30"/>
  <c r="U337" i="30" s="1"/>
  <c r="J336" i="30"/>
  <c r="U336" i="30" s="1"/>
  <c r="J333" i="30"/>
  <c r="J339" i="30"/>
  <c r="U339" i="30" s="1"/>
  <c r="J334" i="30"/>
  <c r="J335" i="30"/>
  <c r="J332" i="30"/>
  <c r="U332" i="30" s="1"/>
  <c r="J338" i="30"/>
  <c r="H343" i="30"/>
  <c r="H345" i="30"/>
  <c r="S345" i="30" s="1"/>
  <c r="H342" i="30"/>
  <c r="H341" i="30"/>
  <c r="S341" i="30" s="1"/>
  <c r="H348" i="30"/>
  <c r="S348" i="30" s="1"/>
  <c r="H344" i="30"/>
  <c r="H347" i="30"/>
  <c r="H346" i="30"/>
  <c r="S346" i="30" s="1"/>
  <c r="H340" i="30"/>
  <c r="F363" i="30"/>
  <c r="Q363" i="30" s="1"/>
  <c r="F360" i="30"/>
  <c r="Q360" i="30" s="1"/>
  <c r="F367" i="30"/>
  <c r="Q367" i="30" s="1"/>
  <c r="F362" i="30"/>
  <c r="Q362" i="30" s="1"/>
  <c r="F364" i="30"/>
  <c r="Q364" i="30" s="1"/>
  <c r="F361" i="30"/>
  <c r="Q361" i="30" s="1"/>
  <c r="F368" i="30"/>
  <c r="Q368" i="30" s="1"/>
  <c r="F365" i="30"/>
  <c r="Q365" i="30" s="1"/>
  <c r="F359" i="30"/>
  <c r="Q359" i="30" s="1"/>
  <c r="F366" i="30"/>
  <c r="Q366" i="30" s="1"/>
  <c r="F358" i="30"/>
  <c r="Q358" i="30" s="1"/>
  <c r="J368" i="30"/>
  <c r="J365" i="30"/>
  <c r="J361" i="30"/>
  <c r="U361" i="30" s="1"/>
  <c r="J363" i="30"/>
  <c r="J366" i="30"/>
  <c r="J360" i="30"/>
  <c r="U360" i="30" s="1"/>
  <c r="J359" i="30"/>
  <c r="J364" i="30"/>
  <c r="U364" i="30" s="1"/>
  <c r="J362" i="30"/>
  <c r="U362" i="30" s="1"/>
  <c r="J367" i="30"/>
  <c r="J358" i="30"/>
  <c r="H371" i="30"/>
  <c r="S371" i="30" s="1"/>
  <c r="H370" i="30"/>
  <c r="H379" i="30"/>
  <c r="S379" i="30" s="1"/>
  <c r="H375" i="30"/>
  <c r="S375" i="30" s="1"/>
  <c r="H374" i="30"/>
  <c r="H377" i="30"/>
  <c r="H376" i="30"/>
  <c r="S376" i="30" s="1"/>
  <c r="H378" i="30"/>
  <c r="H373" i="30"/>
  <c r="H369" i="30"/>
  <c r="H372" i="30"/>
  <c r="F405" i="30"/>
  <c r="Q405" i="30" s="1"/>
  <c r="F406" i="30"/>
  <c r="Q406" i="30" s="1"/>
  <c r="F400" i="30"/>
  <c r="Q400" i="30" s="1"/>
  <c r="F404" i="30"/>
  <c r="Q404" i="30" s="1"/>
  <c r="F409" i="30"/>
  <c r="Q409" i="30" s="1"/>
  <c r="F410" i="30"/>
  <c r="Q410" i="30" s="1"/>
  <c r="F408" i="30"/>
  <c r="Q408" i="30" s="1"/>
  <c r="F403" i="30"/>
  <c r="Q403" i="30" s="1"/>
  <c r="F401" i="30"/>
  <c r="Q401" i="30" s="1"/>
  <c r="F402" i="30"/>
  <c r="Q402" i="30" s="1"/>
  <c r="F407" i="30"/>
  <c r="Q407" i="30" s="1"/>
  <c r="J401" i="30"/>
  <c r="J408" i="30"/>
  <c r="J407" i="30"/>
  <c r="U407" i="30" s="1"/>
  <c r="J409" i="30"/>
  <c r="J404" i="30"/>
  <c r="J403" i="30"/>
  <c r="U403" i="30" s="1"/>
  <c r="J406" i="30"/>
  <c r="J400" i="30"/>
  <c r="J410" i="30"/>
  <c r="U410" i="30" s="1"/>
  <c r="J402" i="30"/>
  <c r="J405" i="30"/>
  <c r="U405" i="30" s="1"/>
  <c r="H419" i="30"/>
  <c r="S419" i="30" s="1"/>
  <c r="H414" i="30"/>
  <c r="H413" i="30"/>
  <c r="H416" i="30"/>
  <c r="H412" i="30"/>
  <c r="H415" i="30"/>
  <c r="H411" i="30"/>
  <c r="S411" i="30" s="1"/>
  <c r="H421" i="30"/>
  <c r="H418" i="30"/>
  <c r="H417" i="30"/>
  <c r="S417" i="30" s="1"/>
  <c r="H420" i="30"/>
  <c r="P456" i="30"/>
  <c r="I458" i="30"/>
  <c r="I453" i="30"/>
  <c r="I452" i="30"/>
  <c r="I454" i="30"/>
  <c r="T454" i="30" s="1"/>
  <c r="I461" i="30"/>
  <c r="I460" i="30"/>
  <c r="I455" i="30"/>
  <c r="T455" i="30" s="1"/>
  <c r="I456" i="30"/>
  <c r="I457" i="30"/>
  <c r="I459" i="30"/>
  <c r="T459" i="30" s="1"/>
  <c r="I462" i="30"/>
  <c r="G471" i="30"/>
  <c r="G470" i="30"/>
  <c r="R470" i="30" s="1"/>
  <c r="G473" i="30"/>
  <c r="G469" i="30"/>
  <c r="G472" i="30"/>
  <c r="R472" i="30" s="1"/>
  <c r="G467" i="30"/>
  <c r="G466" i="30"/>
  <c r="G468" i="30"/>
  <c r="R468" i="30" s="1"/>
  <c r="G463" i="30"/>
  <c r="G464" i="30"/>
  <c r="G465" i="30"/>
  <c r="R465" i="30" s="1"/>
  <c r="E488" i="30"/>
  <c r="P488" i="30" s="1"/>
  <c r="E484" i="30"/>
  <c r="P484" i="30" s="1"/>
  <c r="P504" i="30"/>
  <c r="I511" i="30"/>
  <c r="I509" i="30"/>
  <c r="I503" i="30"/>
  <c r="I501" i="30"/>
  <c r="I508" i="30"/>
  <c r="I507" i="30"/>
  <c r="T507" i="30" s="1"/>
  <c r="I510" i="30"/>
  <c r="I505" i="30"/>
  <c r="I502" i="30"/>
  <c r="T502" i="30" s="1"/>
  <c r="I506" i="30"/>
  <c r="I504" i="30"/>
  <c r="G513" i="30"/>
  <c r="G517" i="30"/>
  <c r="G516" i="30"/>
  <c r="G522" i="30"/>
  <c r="R522" i="30" s="1"/>
  <c r="G521" i="30"/>
  <c r="G512" i="30"/>
  <c r="G519" i="30"/>
  <c r="R519" i="30" s="1"/>
  <c r="G518" i="30"/>
  <c r="G515" i="30"/>
  <c r="G514" i="30"/>
  <c r="R514" i="30" s="1"/>
  <c r="G520" i="30"/>
  <c r="F530" i="30"/>
  <c r="Q530" i="30" s="1"/>
  <c r="F524" i="30"/>
  <c r="Q524" i="30" s="1"/>
  <c r="F525" i="30"/>
  <c r="Q525" i="30" s="1"/>
  <c r="F528" i="30"/>
  <c r="Q528" i="30" s="1"/>
  <c r="F527" i="30"/>
  <c r="Q527" i="30" s="1"/>
  <c r="F523" i="30"/>
  <c r="Q523" i="30" s="1"/>
  <c r="F529" i="30"/>
  <c r="Q529" i="30" s="1"/>
  <c r="F526" i="30"/>
  <c r="Q526" i="30" s="1"/>
  <c r="F531" i="30"/>
  <c r="Q531" i="30" s="1"/>
  <c r="J526" i="30"/>
  <c r="J523" i="30"/>
  <c r="J530" i="30"/>
  <c r="J528" i="30"/>
  <c r="J527" i="30"/>
  <c r="U527" i="30" s="1"/>
  <c r="J529" i="30"/>
  <c r="J524" i="30"/>
  <c r="J525" i="30"/>
  <c r="U525" i="30" s="1"/>
  <c r="J531" i="30"/>
  <c r="J534" i="30"/>
  <c r="J538" i="30"/>
  <c r="J537" i="30"/>
  <c r="J532" i="30"/>
  <c r="J533" i="30"/>
  <c r="U533" i="30" s="1"/>
  <c r="J539" i="30"/>
  <c r="J536" i="30"/>
  <c r="J535" i="30"/>
  <c r="U535" i="30" s="1"/>
  <c r="H540" i="30"/>
  <c r="H546" i="30"/>
  <c r="H544" i="30"/>
  <c r="S544" i="30" s="1"/>
  <c r="H547" i="30"/>
  <c r="H542" i="30"/>
  <c r="S542" i="30" s="1"/>
  <c r="H541" i="30"/>
  <c r="H543" i="30"/>
  <c r="H549" i="30"/>
  <c r="H545" i="30"/>
  <c r="S545" i="30" s="1"/>
  <c r="H548" i="30"/>
  <c r="I579" i="30"/>
  <c r="I580" i="30"/>
  <c r="T580" i="30" s="1"/>
  <c r="I585" i="30"/>
  <c r="I584" i="30"/>
  <c r="I583" i="30"/>
  <c r="T583" i="30" s="1"/>
  <c r="I581" i="30"/>
  <c r="I582" i="30"/>
  <c r="T582" i="30" s="1"/>
  <c r="G593" i="30"/>
  <c r="R593" i="30" s="1"/>
  <c r="G596" i="30"/>
  <c r="G591" i="30"/>
  <c r="G586" i="30"/>
  <c r="R586" i="30" s="1"/>
  <c r="G592" i="30"/>
  <c r="G587" i="30"/>
  <c r="R587" i="30" s="1"/>
  <c r="G589" i="30"/>
  <c r="R589" i="30" s="1"/>
  <c r="G588" i="30"/>
  <c r="G594" i="30"/>
  <c r="G590" i="30"/>
  <c r="R590" i="30" s="1"/>
  <c r="G595" i="30"/>
  <c r="P600" i="30"/>
  <c r="I607" i="30"/>
  <c r="T607" i="30" s="1"/>
  <c r="I605" i="30"/>
  <c r="I600" i="30"/>
  <c r="I603" i="30"/>
  <c r="T603" i="30" s="1"/>
  <c r="I606" i="30"/>
  <c r="I601" i="30"/>
  <c r="I599" i="30"/>
  <c r="T599" i="30" s="1"/>
  <c r="I602" i="30"/>
  <c r="T602" i="30" s="1"/>
  <c r="I597" i="30"/>
  <c r="I598" i="30"/>
  <c r="T598" i="30" s="1"/>
  <c r="I604" i="30"/>
  <c r="E568" i="30"/>
  <c r="P568" i="30" s="1"/>
  <c r="E576" i="30"/>
  <c r="P576" i="30" s="1"/>
  <c r="G444" i="30"/>
  <c r="G451" i="30"/>
  <c r="G450" i="30"/>
  <c r="R450" i="30" s="1"/>
  <c r="G447" i="30"/>
  <c r="G446" i="30"/>
  <c r="R446" i="30" s="1"/>
  <c r="G445" i="30"/>
  <c r="R445" i="30" s="1"/>
  <c r="G448" i="30"/>
  <c r="G449" i="30"/>
  <c r="G443" i="30"/>
  <c r="R443" i="30" s="1"/>
  <c r="I615" i="30"/>
  <c r="I623" i="30"/>
  <c r="T623" i="30" s="1"/>
  <c r="I618" i="30"/>
  <c r="T618" i="30" s="1"/>
  <c r="I621" i="30"/>
  <c r="I620" i="30"/>
  <c r="I622" i="30"/>
  <c r="T622" i="30" s="1"/>
  <c r="I617" i="30"/>
  <c r="I624" i="30"/>
  <c r="T624" i="30" s="1"/>
  <c r="I619" i="30"/>
  <c r="T619" i="30" s="1"/>
  <c r="I616" i="30"/>
  <c r="T616" i="30" s="1"/>
  <c r="I614" i="30"/>
  <c r="H552" i="30"/>
  <c r="S552" i="30" s="1"/>
  <c r="H555" i="30"/>
  <c r="H550" i="30"/>
  <c r="H556" i="30"/>
  <c r="S556" i="30" s="1"/>
  <c r="H551" i="30"/>
  <c r="H557" i="30"/>
  <c r="H553" i="30"/>
  <c r="S553" i="30" s="1"/>
  <c r="H558" i="30"/>
  <c r="H554" i="30"/>
  <c r="S554" i="30" s="1"/>
  <c r="G577" i="30"/>
  <c r="R577" i="30" s="1"/>
  <c r="G575" i="30"/>
  <c r="G576" i="30"/>
  <c r="G571" i="30"/>
  <c r="R571" i="30" s="1"/>
  <c r="G570" i="30"/>
  <c r="G574" i="30"/>
  <c r="G569" i="30"/>
  <c r="R569" i="30" s="1"/>
  <c r="G572" i="30"/>
  <c r="G568" i="30"/>
  <c r="G573" i="30"/>
  <c r="R573" i="30" s="1"/>
  <c r="G578" i="30"/>
  <c r="F493" i="30"/>
  <c r="Q493" i="30" s="1"/>
  <c r="F491" i="30"/>
  <c r="Q491" i="30" s="1"/>
  <c r="F488" i="30"/>
  <c r="Q488" i="30" s="1"/>
  <c r="F486" i="30"/>
  <c r="Q486" i="30" s="1"/>
  <c r="F485" i="30"/>
  <c r="Q485" i="30" s="1"/>
  <c r="F490" i="30"/>
  <c r="Q490" i="30" s="1"/>
  <c r="F489" i="30"/>
  <c r="Q489" i="30" s="1"/>
  <c r="F484" i="30"/>
  <c r="Q484" i="30" s="1"/>
  <c r="F483" i="30"/>
  <c r="Q483" i="30" s="1"/>
  <c r="F492" i="30"/>
  <c r="Q492" i="30" s="1"/>
  <c r="F487" i="30"/>
  <c r="Q487" i="30" s="1"/>
  <c r="J492" i="30"/>
  <c r="U492" i="30" s="1"/>
  <c r="J491" i="30"/>
  <c r="J490" i="30"/>
  <c r="J493" i="30"/>
  <c r="J488" i="30"/>
  <c r="U488" i="30" s="1"/>
  <c r="J487" i="30"/>
  <c r="U487" i="30" s="1"/>
  <c r="J489" i="30"/>
  <c r="U489" i="30" s="1"/>
  <c r="J484" i="30"/>
  <c r="U484" i="30" s="1"/>
  <c r="J483" i="30"/>
  <c r="J485" i="30"/>
  <c r="J486" i="30"/>
  <c r="U486" i="30" s="1"/>
  <c r="K135" i="30"/>
  <c r="K129" i="30"/>
  <c r="K126" i="30"/>
  <c r="V126" i="30" s="1"/>
  <c r="K131" i="30"/>
  <c r="V131" i="30" s="1"/>
  <c r="K132" i="30"/>
  <c r="K128" i="30"/>
  <c r="K127" i="30"/>
  <c r="V127" i="30" s="1"/>
  <c r="K125" i="30"/>
  <c r="K133" i="30"/>
  <c r="V133" i="30" s="1"/>
  <c r="K134" i="30"/>
  <c r="V134" i="30" s="1"/>
  <c r="K130" i="30"/>
  <c r="K221" i="30"/>
  <c r="K216" i="30"/>
  <c r="V216" i="30" s="1"/>
  <c r="K215" i="30"/>
  <c r="K218" i="30"/>
  <c r="V218" i="30" s="1"/>
  <c r="K217" i="30"/>
  <c r="K223" i="30"/>
  <c r="K222" i="30"/>
  <c r="V222" i="30" s="1"/>
  <c r="K220" i="30"/>
  <c r="K219" i="30"/>
  <c r="V219" i="30" s="1"/>
  <c r="K613" i="30"/>
  <c r="V613" i="30" s="1"/>
  <c r="K609" i="30"/>
  <c r="K608" i="30"/>
  <c r="K611" i="30"/>
  <c r="K610" i="30"/>
  <c r="V610" i="30" s="1"/>
  <c r="K612" i="30"/>
  <c r="K292" i="30"/>
  <c r="V292" i="30" s="1"/>
  <c r="K290" i="30"/>
  <c r="K289" i="30"/>
  <c r="K285" i="30"/>
  <c r="V285" i="30" s="1"/>
  <c r="K286" i="30"/>
  <c r="K293" i="30"/>
  <c r="V293" i="30" s="1"/>
  <c r="K287" i="30"/>
  <c r="V287" i="30" s="1"/>
  <c r="K291" i="30"/>
  <c r="K294" i="30"/>
  <c r="K284" i="30"/>
  <c r="K288" i="30"/>
  <c r="V288" i="30" s="1"/>
  <c r="K360" i="30"/>
  <c r="K359" i="30"/>
  <c r="V359" i="30" s="1"/>
  <c r="K368" i="30"/>
  <c r="K364" i="30"/>
  <c r="K367" i="30"/>
  <c r="V367" i="30" s="1"/>
  <c r="K363" i="30"/>
  <c r="K361" i="30"/>
  <c r="K366" i="30"/>
  <c r="V366" i="30" s="1"/>
  <c r="K362" i="30"/>
  <c r="K365" i="30"/>
  <c r="K358" i="30"/>
  <c r="K419" i="30"/>
  <c r="V419" i="30" s="1"/>
  <c r="K418" i="30"/>
  <c r="K420" i="30"/>
  <c r="V420" i="30" s="1"/>
  <c r="K415" i="30"/>
  <c r="K414" i="30"/>
  <c r="K421" i="30"/>
  <c r="V421" i="30" s="1"/>
  <c r="K416" i="30"/>
  <c r="K411" i="30"/>
  <c r="V411" i="30" s="1"/>
  <c r="K412" i="30"/>
  <c r="V412" i="30" s="1"/>
  <c r="K413" i="30"/>
  <c r="K417" i="30"/>
  <c r="K509" i="30"/>
  <c r="K505" i="30"/>
  <c r="V505" i="30" s="1"/>
  <c r="K507" i="30"/>
  <c r="K501" i="30"/>
  <c r="V501" i="30" s="1"/>
  <c r="K506" i="30"/>
  <c r="K508" i="30"/>
  <c r="K503" i="30"/>
  <c r="K510" i="30"/>
  <c r="K504" i="30"/>
  <c r="V504" i="30" s="1"/>
  <c r="K511" i="30"/>
  <c r="V511" i="30" s="1"/>
  <c r="K502" i="30"/>
  <c r="K541" i="30"/>
  <c r="K549" i="30"/>
  <c r="K545" i="30"/>
  <c r="V545" i="30" s="1"/>
  <c r="K544" i="30"/>
  <c r="K540" i="30"/>
  <c r="V540" i="30" s="1"/>
  <c r="K547" i="30"/>
  <c r="K543" i="30"/>
  <c r="K542" i="30"/>
  <c r="V542" i="30" s="1"/>
  <c r="K548" i="30"/>
  <c r="K546" i="30"/>
  <c r="V546" i="30" s="1"/>
  <c r="V93" i="36"/>
  <c r="V94" i="36" s="1"/>
  <c r="P49" i="30"/>
  <c r="E109" i="30"/>
  <c r="P109" i="30" s="1"/>
  <c r="E165" i="30"/>
  <c r="P165" i="30" s="1"/>
  <c r="P221" i="30"/>
  <c r="P261" i="30"/>
  <c r="E309" i="30"/>
  <c r="P309" i="30" s="1"/>
  <c r="P349" i="30"/>
  <c r="E405" i="30"/>
  <c r="P405" i="30" s="1"/>
  <c r="E505" i="30"/>
  <c r="P505" i="30" s="1"/>
  <c r="P557" i="30"/>
  <c r="E597" i="30"/>
  <c r="P597" i="30" s="1"/>
  <c r="P697" i="30"/>
  <c r="P749" i="30"/>
  <c r="P805" i="30"/>
  <c r="P857" i="30"/>
  <c r="P22" i="30"/>
  <c r="E38" i="30"/>
  <c r="P38" i="30" s="1"/>
  <c r="E54" i="30"/>
  <c r="P54" i="30" s="1"/>
  <c r="E70" i="30"/>
  <c r="P70" i="30" s="1"/>
  <c r="P86" i="30"/>
  <c r="P102" i="30"/>
  <c r="E118" i="30"/>
  <c r="P118" i="30" s="1"/>
  <c r="E134" i="30"/>
  <c r="P134" i="30" s="1"/>
  <c r="P150" i="30"/>
  <c r="E166" i="30"/>
  <c r="P166" i="30" s="1"/>
  <c r="P182" i="30"/>
  <c r="E198" i="30"/>
  <c r="P198" i="30" s="1"/>
  <c r="P214" i="30"/>
  <c r="P230" i="30"/>
  <c r="P246" i="30"/>
  <c r="P262" i="30"/>
  <c r="E278" i="30"/>
  <c r="P278" i="30" s="1"/>
  <c r="E294" i="30"/>
  <c r="P294" i="30" s="1"/>
  <c r="E310" i="30"/>
  <c r="P310" i="30" s="1"/>
  <c r="P326" i="30"/>
  <c r="E342" i="30"/>
  <c r="P342" i="30" s="1"/>
  <c r="E358" i="30"/>
  <c r="P358" i="30" s="1"/>
  <c r="E374" i="30"/>
  <c r="P374" i="30" s="1"/>
  <c r="P390" i="30"/>
  <c r="E406" i="30"/>
  <c r="P406" i="30" s="1"/>
  <c r="E422" i="30"/>
  <c r="P422" i="30" s="1"/>
  <c r="P438" i="30"/>
  <c r="E454" i="30"/>
  <c r="P454" i="30" s="1"/>
  <c r="E470" i="30"/>
  <c r="P470" i="30" s="1"/>
  <c r="E486" i="30"/>
  <c r="P486" i="30" s="1"/>
  <c r="E502" i="30"/>
  <c r="P502" i="30" s="1"/>
  <c r="E518" i="30"/>
  <c r="P518" i="30" s="1"/>
  <c r="P534" i="30"/>
  <c r="P550" i="30"/>
  <c r="E598" i="30"/>
  <c r="P598" i="30" s="1"/>
  <c r="E614" i="30"/>
  <c r="P614" i="30" s="1"/>
  <c r="P630" i="30"/>
  <c r="P662" i="30"/>
  <c r="P678" i="30"/>
  <c r="P694" i="30"/>
  <c r="P710" i="30"/>
  <c r="P726" i="30"/>
  <c r="P742" i="30"/>
  <c r="P758" i="30"/>
  <c r="P774" i="30"/>
  <c r="P790" i="30"/>
  <c r="P806" i="30"/>
  <c r="P822" i="30"/>
  <c r="P838" i="30"/>
  <c r="P858" i="30"/>
  <c r="E53" i="30"/>
  <c r="P53" i="30" s="1"/>
  <c r="P101" i="30"/>
  <c r="P149" i="30"/>
  <c r="E197" i="30"/>
  <c r="P197" i="30" s="1"/>
  <c r="E241" i="30"/>
  <c r="P241" i="30" s="1"/>
  <c r="E289" i="30"/>
  <c r="P289" i="30" s="1"/>
  <c r="P333" i="30"/>
  <c r="P381" i="30"/>
  <c r="E429" i="30"/>
  <c r="P429" i="30" s="1"/>
  <c r="E473" i="30"/>
  <c r="P473" i="30" s="1"/>
  <c r="E521" i="30"/>
  <c r="P521" i="30" s="1"/>
  <c r="P613" i="30"/>
  <c r="P657" i="30"/>
  <c r="P705" i="30"/>
  <c r="P745" i="30"/>
  <c r="P793" i="30"/>
  <c r="P837" i="30"/>
  <c r="P19" i="30"/>
  <c r="E35" i="30"/>
  <c r="P35" i="30" s="1"/>
  <c r="P51" i="30"/>
  <c r="E67" i="30"/>
  <c r="P67" i="30" s="1"/>
  <c r="E83" i="30"/>
  <c r="P83" i="30" s="1"/>
  <c r="P99" i="30"/>
  <c r="E115" i="30"/>
  <c r="P115" i="30" s="1"/>
  <c r="E131" i="30"/>
  <c r="P131" i="30" s="1"/>
  <c r="P147" i="30"/>
  <c r="E163" i="30"/>
  <c r="P163" i="30" s="1"/>
  <c r="P179" i="30"/>
  <c r="E195" i="30"/>
  <c r="P195" i="30" s="1"/>
  <c r="P211" i="30"/>
  <c r="P227" i="30"/>
  <c r="P243" i="30"/>
  <c r="P259" i="30"/>
  <c r="E275" i="30"/>
  <c r="P275" i="30" s="1"/>
  <c r="E291" i="30"/>
  <c r="P291" i="30" s="1"/>
  <c r="E307" i="30"/>
  <c r="P307" i="30" s="1"/>
  <c r="P323" i="30"/>
  <c r="P339" i="30"/>
  <c r="P355" i="30"/>
  <c r="E371" i="30"/>
  <c r="P371" i="30" s="1"/>
  <c r="P387" i="30"/>
  <c r="E403" i="30"/>
  <c r="P403" i="30" s="1"/>
  <c r="E419" i="30"/>
  <c r="P419" i="30" s="1"/>
  <c r="P435" i="30"/>
  <c r="E467" i="30"/>
  <c r="P467" i="30" s="1"/>
  <c r="E483" i="30"/>
  <c r="P483" i="30" s="1"/>
  <c r="P499" i="30"/>
  <c r="E515" i="30"/>
  <c r="P515" i="30" s="1"/>
  <c r="P531" i="30"/>
  <c r="E595" i="30"/>
  <c r="P595" i="30" s="1"/>
  <c r="P611" i="30"/>
  <c r="P627" i="30"/>
  <c r="P659" i="30"/>
  <c r="P675" i="30"/>
  <c r="P691" i="30"/>
  <c r="P707" i="30"/>
  <c r="P723" i="30"/>
  <c r="P739" i="30"/>
  <c r="P755" i="30"/>
  <c r="P771" i="30"/>
  <c r="P787" i="30"/>
  <c r="P803" i="30"/>
  <c r="P819" i="30"/>
  <c r="P835" i="30"/>
  <c r="P854" i="30"/>
  <c r="P45" i="30"/>
  <c r="E77" i="30"/>
  <c r="P77" i="30" s="1"/>
  <c r="E129" i="30"/>
  <c r="P129" i="30" s="1"/>
  <c r="E169" i="30"/>
  <c r="P169" i="30" s="1"/>
  <c r="P213" i="30"/>
  <c r="P265" i="30"/>
  <c r="P321" i="30"/>
  <c r="E373" i="30"/>
  <c r="P373" i="30" s="1"/>
  <c r="E421" i="30"/>
  <c r="P421" i="30" s="1"/>
  <c r="E465" i="30"/>
  <c r="P465" i="30" s="1"/>
  <c r="E513" i="30"/>
  <c r="P513" i="30" s="1"/>
  <c r="E569" i="30"/>
  <c r="P569" i="30" s="1"/>
  <c r="E617" i="30"/>
  <c r="P617" i="30" s="1"/>
  <c r="P661" i="30"/>
  <c r="P44" i="30"/>
  <c r="E64" i="30"/>
  <c r="P64" i="30" s="1"/>
  <c r="E84" i="30"/>
  <c r="P84" i="30" s="1"/>
  <c r="P100" i="30"/>
  <c r="E116" i="30"/>
  <c r="P116" i="30" s="1"/>
  <c r="E172" i="30"/>
  <c r="P172" i="30" s="1"/>
  <c r="E188" i="30"/>
  <c r="P188" i="30" s="1"/>
  <c r="P208" i="30"/>
  <c r="P224" i="30"/>
  <c r="P244" i="30"/>
  <c r="P260" i="30"/>
  <c r="E276" i="30"/>
  <c r="P276" i="30" s="1"/>
  <c r="P316" i="30"/>
  <c r="P332" i="30"/>
  <c r="P352" i="30"/>
  <c r="E372" i="30"/>
  <c r="P372" i="30" s="1"/>
  <c r="E412" i="30"/>
  <c r="P412" i="30" s="1"/>
  <c r="E432" i="30"/>
  <c r="P432" i="30" s="1"/>
  <c r="P476" i="30"/>
  <c r="P556" i="30"/>
  <c r="J198" i="30"/>
  <c r="U198" i="30" s="1"/>
  <c r="J199" i="30"/>
  <c r="J205" i="30"/>
  <c r="U205" i="30" s="1"/>
  <c r="J204" i="30"/>
  <c r="U204" i="30" s="1"/>
  <c r="J203" i="30"/>
  <c r="U203" i="30" s="1"/>
  <c r="J201" i="30"/>
  <c r="J200" i="30"/>
  <c r="J197" i="30"/>
  <c r="U197" i="30" s="1"/>
  <c r="J202" i="30"/>
  <c r="F114" i="30"/>
  <c r="Q114" i="30" s="1"/>
  <c r="F105" i="30"/>
  <c r="Q105" i="30" s="1"/>
  <c r="F112" i="30"/>
  <c r="Q112" i="30" s="1"/>
  <c r="F109" i="30"/>
  <c r="Q109" i="30" s="1"/>
  <c r="F106" i="30"/>
  <c r="Q106" i="30" s="1"/>
  <c r="F107" i="30"/>
  <c r="Q107" i="30" s="1"/>
  <c r="F113" i="30"/>
  <c r="Q113" i="30" s="1"/>
  <c r="F110" i="30"/>
  <c r="Q110" i="30" s="1"/>
  <c r="F111" i="30"/>
  <c r="Q111" i="30" s="1"/>
  <c r="F108" i="30"/>
  <c r="Q108" i="30" s="1"/>
  <c r="I159" i="30"/>
  <c r="T159" i="30" s="1"/>
  <c r="I160" i="30"/>
  <c r="I165" i="30"/>
  <c r="T165" i="30" s="1"/>
  <c r="I166" i="30"/>
  <c r="I162" i="30"/>
  <c r="I161" i="30"/>
  <c r="T161" i="30" s="1"/>
  <c r="I164" i="30"/>
  <c r="I158" i="30"/>
  <c r="T158" i="30" s="1"/>
  <c r="I157" i="30"/>
  <c r="T157" i="30" s="1"/>
  <c r="I156" i="30"/>
  <c r="I163" i="30"/>
  <c r="H216" i="30"/>
  <c r="H223" i="30"/>
  <c r="S223" i="30" s="1"/>
  <c r="H222" i="30"/>
  <c r="H219" i="30"/>
  <c r="S219" i="30" s="1"/>
  <c r="H218" i="30"/>
  <c r="H217" i="30"/>
  <c r="H221" i="30"/>
  <c r="S221" i="30" s="1"/>
  <c r="H215" i="30"/>
  <c r="H220" i="30"/>
  <c r="S220" i="30" s="1"/>
  <c r="AC402" i="30"/>
  <c r="AD402" i="30" s="1"/>
  <c r="G61" i="31"/>
  <c r="AC506" i="30"/>
  <c r="H200" i="30"/>
  <c r="H197" i="30"/>
  <c r="S197" i="30" s="1"/>
  <c r="H205" i="30"/>
  <c r="H203" i="30"/>
  <c r="S203" i="30" s="1"/>
  <c r="H202" i="30"/>
  <c r="H201" i="30"/>
  <c r="H199" i="30"/>
  <c r="S199" i="30" s="1"/>
  <c r="H198" i="30"/>
  <c r="H204" i="30"/>
  <c r="S204" i="30" s="1"/>
  <c r="H67" i="30"/>
  <c r="S67" i="30" s="1"/>
  <c r="H66" i="30"/>
  <c r="H69" i="30"/>
  <c r="H73" i="30"/>
  <c r="H72" i="30"/>
  <c r="S72" i="30" s="1"/>
  <c r="H65" i="30"/>
  <c r="H64" i="30"/>
  <c r="S64" i="30" s="1"/>
  <c r="H68" i="30"/>
  <c r="H74" i="30"/>
  <c r="H71" i="30"/>
  <c r="S71" i="30" s="1"/>
  <c r="H70" i="30"/>
  <c r="F82" i="30"/>
  <c r="Q82" i="30" s="1"/>
  <c r="F75" i="30"/>
  <c r="Q75" i="30" s="1"/>
  <c r="F76" i="30"/>
  <c r="Q76" i="30" s="1"/>
  <c r="F81" i="30"/>
  <c r="Q81" i="30" s="1"/>
  <c r="F77" i="30"/>
  <c r="Q77" i="30" s="1"/>
  <c r="F79" i="30"/>
  <c r="Q79" i="30" s="1"/>
  <c r="F85" i="30"/>
  <c r="Q85" i="30" s="1"/>
  <c r="F80" i="30"/>
  <c r="Q80" i="30" s="1"/>
  <c r="F78" i="30"/>
  <c r="Q78" i="30" s="1"/>
  <c r="F83" i="30"/>
  <c r="Q83" i="30" s="1"/>
  <c r="F84" i="30"/>
  <c r="Q84" i="30" s="1"/>
  <c r="J81" i="30"/>
  <c r="J80" i="30"/>
  <c r="U80" i="30" s="1"/>
  <c r="J83" i="30"/>
  <c r="U83" i="30" s="1"/>
  <c r="J76" i="30"/>
  <c r="J79" i="30"/>
  <c r="J77" i="30"/>
  <c r="J75" i="30"/>
  <c r="U75" i="30" s="1"/>
  <c r="J82" i="30"/>
  <c r="J78" i="30"/>
  <c r="U78" i="30" s="1"/>
  <c r="J84" i="30"/>
  <c r="J85" i="30"/>
  <c r="I90" i="30"/>
  <c r="T90" i="30" s="1"/>
  <c r="I89" i="30"/>
  <c r="I86" i="30"/>
  <c r="T86" i="30" s="1"/>
  <c r="I92" i="30"/>
  <c r="T92" i="30" s="1"/>
  <c r="I91" i="30"/>
  <c r="T91" i="30" s="1"/>
  <c r="I93" i="30"/>
  <c r="I94" i="30"/>
  <c r="I87" i="30"/>
  <c r="T87" i="30" s="1"/>
  <c r="I88" i="30"/>
  <c r="I127" i="30"/>
  <c r="T127" i="30" s="1"/>
  <c r="I134" i="30"/>
  <c r="I133" i="30"/>
  <c r="T133" i="30" s="1"/>
  <c r="I132" i="30"/>
  <c r="T132" i="30" s="1"/>
  <c r="I130" i="30"/>
  <c r="I129" i="30"/>
  <c r="T129" i="30" s="1"/>
  <c r="I131" i="30"/>
  <c r="T131" i="30" s="1"/>
  <c r="I126" i="30"/>
  <c r="T126" i="30" s="1"/>
  <c r="I135" i="30"/>
  <c r="I125" i="30"/>
  <c r="I128" i="30"/>
  <c r="T128" i="30" s="1"/>
  <c r="G161" i="30"/>
  <c r="R161" i="30" s="1"/>
  <c r="G156" i="30"/>
  <c r="R156" i="30" s="1"/>
  <c r="G157" i="30"/>
  <c r="G164" i="30"/>
  <c r="G163" i="30"/>
  <c r="R163" i="30" s="1"/>
  <c r="G158" i="30"/>
  <c r="G162" i="30"/>
  <c r="R162" i="30" s="1"/>
  <c r="G159" i="30"/>
  <c r="R159" i="30" s="1"/>
  <c r="G166" i="30"/>
  <c r="G165" i="30"/>
  <c r="G160" i="30"/>
  <c r="I175" i="30"/>
  <c r="T175" i="30" s="1"/>
  <c r="I170" i="30"/>
  <c r="T170" i="30" s="1"/>
  <c r="I169" i="30"/>
  <c r="I168" i="30"/>
  <c r="I176" i="30"/>
  <c r="I171" i="30"/>
  <c r="T171" i="30" s="1"/>
  <c r="I167" i="30"/>
  <c r="I177" i="30"/>
  <c r="I172" i="30"/>
  <c r="T172" i="30" s="1"/>
  <c r="I173" i="30"/>
  <c r="I174" i="30"/>
  <c r="F218" i="30"/>
  <c r="Q218" i="30" s="1"/>
  <c r="F220" i="30"/>
  <c r="Q220" i="30" s="1"/>
  <c r="F217" i="30"/>
  <c r="Q217" i="30" s="1"/>
  <c r="F219" i="30"/>
  <c r="Q219" i="30" s="1"/>
  <c r="F215" i="30"/>
  <c r="Q215" i="30" s="1"/>
  <c r="F222" i="30"/>
  <c r="Q222" i="30" s="1"/>
  <c r="F221" i="30"/>
  <c r="Q221" i="30" s="1"/>
  <c r="F223" i="30"/>
  <c r="Q223" i="30" s="1"/>
  <c r="F216" i="30"/>
  <c r="Q216" i="30" s="1"/>
  <c r="J219" i="30"/>
  <c r="U219" i="30" s="1"/>
  <c r="J221" i="30"/>
  <c r="U221" i="30" s="1"/>
  <c r="J220" i="30"/>
  <c r="J223" i="30"/>
  <c r="J222" i="30"/>
  <c r="U222" i="30" s="1"/>
  <c r="J217" i="30"/>
  <c r="J216" i="30"/>
  <c r="U216" i="30" s="1"/>
  <c r="J218" i="30"/>
  <c r="J215" i="30"/>
  <c r="F277" i="30"/>
  <c r="Q277" i="30" s="1"/>
  <c r="F274" i="30"/>
  <c r="Q274" i="30" s="1"/>
  <c r="F276" i="30"/>
  <c r="Q276" i="30" s="1"/>
  <c r="F281" i="30"/>
  <c r="Q281" i="30" s="1"/>
  <c r="F278" i="30"/>
  <c r="Q278" i="30" s="1"/>
  <c r="F279" i="30"/>
  <c r="Q279" i="30" s="1"/>
  <c r="F280" i="30"/>
  <c r="Q280" i="30" s="1"/>
  <c r="F275" i="30"/>
  <c r="Q275" i="30" s="1"/>
  <c r="F283" i="30"/>
  <c r="Q283" i="30" s="1"/>
  <c r="F282" i="30"/>
  <c r="Q282" i="30" s="1"/>
  <c r="F273" i="30"/>
  <c r="Q273" i="30" s="1"/>
  <c r="J281" i="30"/>
  <c r="J283" i="30"/>
  <c r="U283" i="30" s="1"/>
  <c r="J282" i="30"/>
  <c r="J275" i="30"/>
  <c r="J273" i="30"/>
  <c r="U273" i="30" s="1"/>
  <c r="J278" i="30"/>
  <c r="J279" i="30"/>
  <c r="J274" i="30"/>
  <c r="J276" i="30"/>
  <c r="U276" i="30" s="1"/>
  <c r="J277" i="30"/>
  <c r="U277" i="30" s="1"/>
  <c r="J280" i="30"/>
  <c r="U280" i="30" s="1"/>
  <c r="H291" i="30"/>
  <c r="H290" i="30"/>
  <c r="H285" i="30"/>
  <c r="S285" i="30" s="1"/>
  <c r="H288" i="30"/>
  <c r="H286" i="30"/>
  <c r="H287" i="30"/>
  <c r="S287" i="30" s="1"/>
  <c r="H293" i="30"/>
  <c r="H284" i="30"/>
  <c r="H292" i="30"/>
  <c r="H294" i="30"/>
  <c r="S294" i="30" s="1"/>
  <c r="H289" i="30"/>
  <c r="H299" i="30"/>
  <c r="S299" i="30" s="1"/>
  <c r="H298" i="30"/>
  <c r="H301" i="30"/>
  <c r="H295" i="30"/>
  <c r="S295" i="30" s="1"/>
  <c r="H302" i="30"/>
  <c r="H297" i="30"/>
  <c r="S297" i="30" s="1"/>
  <c r="H300" i="30"/>
  <c r="S300" i="30" s="1"/>
  <c r="H296" i="30"/>
  <c r="G331" i="30"/>
  <c r="G328" i="30"/>
  <c r="G327" i="30"/>
  <c r="R327" i="30" s="1"/>
  <c r="G326" i="30"/>
  <c r="R326" i="30" s="1"/>
  <c r="G325" i="30"/>
  <c r="R325" i="30" s="1"/>
  <c r="G329" i="30"/>
  <c r="G324" i="30"/>
  <c r="G330" i="30"/>
  <c r="R330" i="30" s="1"/>
  <c r="G332" i="30"/>
  <c r="G336" i="30"/>
  <c r="R336" i="30" s="1"/>
  <c r="G333" i="30"/>
  <c r="R333" i="30" s="1"/>
  <c r="G338" i="30"/>
  <c r="G335" i="30"/>
  <c r="G334" i="30"/>
  <c r="G337" i="30"/>
  <c r="R337" i="30" s="1"/>
  <c r="G339" i="30"/>
  <c r="R339" i="30" s="1"/>
  <c r="I346" i="30"/>
  <c r="T346" i="30" s="1"/>
  <c r="I345" i="30"/>
  <c r="I342" i="30"/>
  <c r="I340" i="30"/>
  <c r="T340" i="30" s="1"/>
  <c r="I343" i="30"/>
  <c r="I348" i="30"/>
  <c r="I347" i="30"/>
  <c r="T347" i="30" s="1"/>
  <c r="I341" i="30"/>
  <c r="I344" i="30"/>
  <c r="G364" i="30"/>
  <c r="G363" i="30"/>
  <c r="R363" i="30" s="1"/>
  <c r="G360" i="30"/>
  <c r="G358" i="30"/>
  <c r="R358" i="30" s="1"/>
  <c r="G365" i="30"/>
  <c r="G368" i="30"/>
  <c r="G367" i="30"/>
  <c r="R367" i="30" s="1"/>
  <c r="G366" i="30"/>
  <c r="G362" i="30"/>
  <c r="R362" i="30" s="1"/>
  <c r="G361" i="30"/>
  <c r="R361" i="30" s="1"/>
  <c r="G359" i="30"/>
  <c r="I378" i="30"/>
  <c r="I377" i="30"/>
  <c r="I374" i="30"/>
  <c r="I370" i="30"/>
  <c r="I372" i="30"/>
  <c r="T372" i="30" s="1"/>
  <c r="I369" i="30"/>
  <c r="I379" i="30"/>
  <c r="I373" i="30"/>
  <c r="T373" i="30" s="1"/>
  <c r="I371" i="30"/>
  <c r="I375" i="30"/>
  <c r="T375" i="30" s="1"/>
  <c r="I376" i="30"/>
  <c r="G407" i="30"/>
  <c r="G406" i="30"/>
  <c r="G409" i="30"/>
  <c r="G405" i="30"/>
  <c r="R405" i="30" s="1"/>
  <c r="G408" i="30"/>
  <c r="R408" i="30" s="1"/>
  <c r="G403" i="30"/>
  <c r="R403" i="30" s="1"/>
  <c r="G402" i="30"/>
  <c r="G404" i="30"/>
  <c r="G400" i="30"/>
  <c r="R400" i="30" s="1"/>
  <c r="G410" i="30"/>
  <c r="G401" i="30"/>
  <c r="R401" i="30" s="1"/>
  <c r="I421" i="30"/>
  <c r="T421" i="30" s="1"/>
  <c r="I420" i="30"/>
  <c r="T420" i="30" s="1"/>
  <c r="I419" i="30"/>
  <c r="I417" i="30"/>
  <c r="I416" i="30"/>
  <c r="T416" i="30" s="1"/>
  <c r="I418" i="30"/>
  <c r="I413" i="30"/>
  <c r="T413" i="30" s="1"/>
  <c r="I412" i="30"/>
  <c r="I414" i="30"/>
  <c r="I415" i="30"/>
  <c r="T415" i="30" s="1"/>
  <c r="I411" i="30"/>
  <c r="F461" i="30"/>
  <c r="Q461" i="30" s="1"/>
  <c r="F459" i="30"/>
  <c r="Q459" i="30" s="1"/>
  <c r="F454" i="30"/>
  <c r="Q454" i="30" s="1"/>
  <c r="F456" i="30"/>
  <c r="Q456" i="30" s="1"/>
  <c r="F455" i="30"/>
  <c r="Q455" i="30" s="1"/>
  <c r="F453" i="30"/>
  <c r="Q453" i="30" s="1"/>
  <c r="F458" i="30"/>
  <c r="Q458" i="30" s="1"/>
  <c r="F460" i="30"/>
  <c r="Q460" i="30" s="1"/>
  <c r="F457" i="30"/>
  <c r="Q457" i="30" s="1"/>
  <c r="F462" i="30"/>
  <c r="Q462" i="30" s="1"/>
  <c r="F452" i="30"/>
  <c r="Q452" i="30" s="1"/>
  <c r="J460" i="30"/>
  <c r="J459" i="30"/>
  <c r="U459" i="30" s="1"/>
  <c r="J454" i="30"/>
  <c r="J461" i="30"/>
  <c r="U461" i="30" s="1"/>
  <c r="J456" i="30"/>
  <c r="J455" i="30"/>
  <c r="J457" i="30"/>
  <c r="U457" i="30" s="1"/>
  <c r="J452" i="30"/>
  <c r="U452" i="30" s="1"/>
  <c r="J462" i="30"/>
  <c r="U462" i="30" s="1"/>
  <c r="J453" i="30"/>
  <c r="J458" i="30"/>
  <c r="H467" i="30"/>
  <c r="S467" i="30" s="1"/>
  <c r="H463" i="30"/>
  <c r="H473" i="30"/>
  <c r="S473" i="30" s="1"/>
  <c r="H464" i="30"/>
  <c r="S464" i="30" s="1"/>
  <c r="H470" i="30"/>
  <c r="S470" i="30" s="1"/>
  <c r="H469" i="30"/>
  <c r="H466" i="30"/>
  <c r="H468" i="30"/>
  <c r="S468" i="30" s="1"/>
  <c r="H471" i="30"/>
  <c r="H465" i="30"/>
  <c r="S465" i="30" s="1"/>
  <c r="H472" i="30"/>
  <c r="H499" i="30"/>
  <c r="H494" i="30"/>
  <c r="S494" i="30" s="1"/>
  <c r="H495" i="30"/>
  <c r="H498" i="30"/>
  <c r="S498" i="30" s="1"/>
  <c r="H496" i="30"/>
  <c r="S496" i="30" s="1"/>
  <c r="H497" i="30"/>
  <c r="H500" i="30"/>
  <c r="F510" i="30"/>
  <c r="Q510" i="30" s="1"/>
  <c r="F503" i="30"/>
  <c r="Q503" i="30" s="1"/>
  <c r="F508" i="30"/>
  <c r="Q508" i="30" s="1"/>
  <c r="F507" i="30"/>
  <c r="Q507" i="30" s="1"/>
  <c r="F505" i="30"/>
  <c r="Q505" i="30" s="1"/>
  <c r="F511" i="30"/>
  <c r="Q511" i="30" s="1"/>
  <c r="F502" i="30"/>
  <c r="Q502" i="30" s="1"/>
  <c r="F501" i="30"/>
  <c r="Q501" i="30" s="1"/>
  <c r="F509" i="30"/>
  <c r="Q509" i="30" s="1"/>
  <c r="F506" i="30"/>
  <c r="Q506" i="30" s="1"/>
  <c r="F504" i="30"/>
  <c r="Q504" i="30" s="1"/>
  <c r="J510" i="30"/>
  <c r="J505" i="30"/>
  <c r="J507" i="30"/>
  <c r="U507" i="30" s="1"/>
  <c r="J508" i="30"/>
  <c r="J511" i="30"/>
  <c r="U511" i="30" s="1"/>
  <c r="J509" i="30"/>
  <c r="U509" i="30" s="1"/>
  <c r="J502" i="30"/>
  <c r="J504" i="30"/>
  <c r="U504" i="30" s="1"/>
  <c r="J503" i="30"/>
  <c r="J501" i="30"/>
  <c r="U501" i="30" s="1"/>
  <c r="J506" i="30"/>
  <c r="U506" i="30" s="1"/>
  <c r="H520" i="30"/>
  <c r="S520" i="30" s="1"/>
  <c r="H518" i="30"/>
  <c r="H512" i="30"/>
  <c r="H519" i="30"/>
  <c r="H514" i="30"/>
  <c r="H513" i="30"/>
  <c r="S513" i="30" s="1"/>
  <c r="H517" i="30"/>
  <c r="H516" i="30"/>
  <c r="H515" i="30"/>
  <c r="S515" i="30" s="1"/>
  <c r="H521" i="30"/>
  <c r="H522" i="30"/>
  <c r="S522" i="30" s="1"/>
  <c r="G529" i="30"/>
  <c r="R529" i="30" s="1"/>
  <c r="G527" i="30"/>
  <c r="R527" i="30" s="1"/>
  <c r="G528" i="30"/>
  <c r="G523" i="30"/>
  <c r="G525" i="30"/>
  <c r="R525" i="30" s="1"/>
  <c r="G524" i="30"/>
  <c r="R524" i="30" s="1"/>
  <c r="G530" i="30"/>
  <c r="R530" i="30" s="1"/>
  <c r="G531" i="30"/>
  <c r="G526" i="30"/>
  <c r="R526" i="30" s="1"/>
  <c r="G532" i="30"/>
  <c r="R532" i="30" s="1"/>
  <c r="G533" i="30"/>
  <c r="G539" i="30"/>
  <c r="G537" i="30"/>
  <c r="R537" i="30" s="1"/>
  <c r="G535" i="30"/>
  <c r="G534" i="30"/>
  <c r="G536" i="30"/>
  <c r="G538" i="30"/>
  <c r="R538" i="30" s="1"/>
  <c r="E548" i="30"/>
  <c r="P548" i="30" s="1"/>
  <c r="E544" i="30"/>
  <c r="P544" i="30" s="1"/>
  <c r="I543" i="30"/>
  <c r="I546" i="30"/>
  <c r="I541" i="30"/>
  <c r="I547" i="30"/>
  <c r="I542" i="30"/>
  <c r="T542" i="30" s="1"/>
  <c r="I549" i="30"/>
  <c r="T549" i="30" s="1"/>
  <c r="I548" i="30"/>
  <c r="I544" i="30"/>
  <c r="I545" i="30"/>
  <c r="I540" i="30"/>
  <c r="T540" i="30" s="1"/>
  <c r="J582" i="30"/>
  <c r="J585" i="30"/>
  <c r="U585" i="30" s="1"/>
  <c r="J580" i="30"/>
  <c r="J583" i="30"/>
  <c r="J581" i="30"/>
  <c r="U581" i="30" s="1"/>
  <c r="J584" i="30"/>
  <c r="J579" i="30"/>
  <c r="U579" i="30" s="1"/>
  <c r="H588" i="30"/>
  <c r="S588" i="30" s="1"/>
  <c r="H587" i="30"/>
  <c r="H593" i="30"/>
  <c r="H594" i="30"/>
  <c r="H596" i="30"/>
  <c r="H595" i="30"/>
  <c r="S595" i="30" s="1"/>
  <c r="H590" i="30"/>
  <c r="S590" i="30" s="1"/>
  <c r="H586" i="30"/>
  <c r="H592" i="30"/>
  <c r="H591" i="30"/>
  <c r="S591" i="30" s="1"/>
  <c r="H589" i="30"/>
  <c r="F607" i="30"/>
  <c r="Q607" i="30" s="1"/>
  <c r="F598" i="30"/>
  <c r="Q598" i="30" s="1"/>
  <c r="F600" i="30"/>
  <c r="Q600" i="30" s="1"/>
  <c r="F606" i="30"/>
  <c r="Q606" i="30" s="1"/>
  <c r="F604" i="30"/>
  <c r="Q604" i="30" s="1"/>
  <c r="F601" i="30"/>
  <c r="Q601" i="30" s="1"/>
  <c r="F599" i="30"/>
  <c r="Q599" i="30" s="1"/>
  <c r="F597" i="30"/>
  <c r="Q597" i="30" s="1"/>
  <c r="F605" i="30"/>
  <c r="Q605" i="30" s="1"/>
  <c r="F603" i="30"/>
  <c r="Q603" i="30" s="1"/>
  <c r="F602" i="30"/>
  <c r="Q602" i="30" s="1"/>
  <c r="J606" i="30"/>
  <c r="J602" i="30"/>
  <c r="U602" i="30" s="1"/>
  <c r="J598" i="30"/>
  <c r="U598" i="30" s="1"/>
  <c r="J601" i="30"/>
  <c r="U601" i="30" s="1"/>
  <c r="J607" i="30"/>
  <c r="J597" i="30"/>
  <c r="J604" i="30"/>
  <c r="U604" i="30" s="1"/>
  <c r="J605" i="30"/>
  <c r="J603" i="30"/>
  <c r="U603" i="30" s="1"/>
  <c r="J600" i="30"/>
  <c r="J599" i="30"/>
  <c r="P120" i="30"/>
  <c r="F615" i="30"/>
  <c r="Q615" i="30" s="1"/>
  <c r="F619" i="30"/>
  <c r="Q619" i="30" s="1"/>
  <c r="F616" i="30"/>
  <c r="Q616" i="30" s="1"/>
  <c r="F614" i="30"/>
  <c r="Q614" i="30" s="1"/>
  <c r="F618" i="30"/>
  <c r="Q618" i="30" s="1"/>
  <c r="F623" i="30"/>
  <c r="Q623" i="30" s="1"/>
  <c r="F621" i="30"/>
  <c r="Q621" i="30" s="1"/>
  <c r="F620" i="30"/>
  <c r="Q620" i="30" s="1"/>
  <c r="F622" i="30"/>
  <c r="Q622" i="30" s="1"/>
  <c r="F617" i="30"/>
  <c r="Q617" i="30" s="1"/>
  <c r="F624" i="30"/>
  <c r="Q624" i="30" s="1"/>
  <c r="J622" i="30"/>
  <c r="U622" i="30" s="1"/>
  <c r="J618" i="30"/>
  <c r="J614" i="30"/>
  <c r="J617" i="30"/>
  <c r="U617" i="30" s="1"/>
  <c r="J624" i="30"/>
  <c r="J621" i="30"/>
  <c r="J620" i="30"/>
  <c r="J619" i="30"/>
  <c r="U619" i="30" s="1"/>
  <c r="J615" i="30"/>
  <c r="J616" i="30"/>
  <c r="U616" i="30" s="1"/>
  <c r="J623" i="30"/>
  <c r="U623" i="30" s="1"/>
  <c r="I557" i="30"/>
  <c r="I551" i="30"/>
  <c r="T551" i="30" s="1"/>
  <c r="I558" i="30"/>
  <c r="I553" i="30"/>
  <c r="T553" i="30" s="1"/>
  <c r="I555" i="30"/>
  <c r="T555" i="30" s="1"/>
  <c r="I554" i="30"/>
  <c r="T554" i="30" s="1"/>
  <c r="I552" i="30"/>
  <c r="I550" i="30"/>
  <c r="I556" i="30"/>
  <c r="T556" i="30" s="1"/>
  <c r="H568" i="30"/>
  <c r="H576" i="30"/>
  <c r="S576" i="30" s="1"/>
  <c r="H571" i="30"/>
  <c r="H573" i="30"/>
  <c r="H569" i="30"/>
  <c r="S569" i="30" s="1"/>
  <c r="H572" i="30"/>
  <c r="H578" i="30"/>
  <c r="S578" i="30" s="1"/>
  <c r="H577" i="30"/>
  <c r="S577" i="30" s="1"/>
  <c r="H574" i="30"/>
  <c r="H575" i="30"/>
  <c r="H570" i="30"/>
  <c r="G492" i="30"/>
  <c r="R492" i="30" s="1"/>
  <c r="G487" i="30"/>
  <c r="R487" i="30" s="1"/>
  <c r="G486" i="30"/>
  <c r="R486" i="30" s="1"/>
  <c r="G488" i="30"/>
  <c r="G483" i="30"/>
  <c r="G484" i="30"/>
  <c r="R484" i="30" s="1"/>
  <c r="G491" i="30"/>
  <c r="G490" i="30"/>
  <c r="R490" i="30" s="1"/>
  <c r="G489" i="30"/>
  <c r="R489" i="30" s="1"/>
  <c r="G485" i="30"/>
  <c r="G493" i="30"/>
  <c r="K55" i="34"/>
  <c r="AC329" i="30" s="1"/>
  <c r="K157" i="30"/>
  <c r="K162" i="30"/>
  <c r="V162" i="30" s="1"/>
  <c r="K164" i="30"/>
  <c r="K163" i="30"/>
  <c r="K166" i="30"/>
  <c r="K165" i="30"/>
  <c r="K160" i="30"/>
  <c r="V160" i="30" s="1"/>
  <c r="K159" i="30"/>
  <c r="V159" i="30" s="1"/>
  <c r="K161" i="30"/>
  <c r="V161" i="30" s="1"/>
  <c r="K156" i="30"/>
  <c r="K158" i="30"/>
  <c r="V158" i="30" s="1"/>
  <c r="K581" i="30"/>
  <c r="K583" i="30"/>
  <c r="V583" i="30" s="1"/>
  <c r="K585" i="30"/>
  <c r="V585" i="30" s="1"/>
  <c r="K584" i="30"/>
  <c r="K579" i="30"/>
  <c r="K582" i="30"/>
  <c r="K580" i="30"/>
  <c r="K577" i="30"/>
  <c r="V577" i="30" s="1"/>
  <c r="K573" i="30"/>
  <c r="V573" i="30" s="1"/>
  <c r="K576" i="30"/>
  <c r="V576" i="30" s="1"/>
  <c r="K571" i="30"/>
  <c r="K569" i="30"/>
  <c r="V569" i="30" s="1"/>
  <c r="K572" i="30"/>
  <c r="K578" i="30"/>
  <c r="V578" i="30" s="1"/>
  <c r="K574" i="30"/>
  <c r="V574" i="30" s="1"/>
  <c r="K568" i="30"/>
  <c r="K575" i="30"/>
  <c r="K570" i="30"/>
  <c r="K296" i="30"/>
  <c r="K295" i="30"/>
  <c r="K297" i="30"/>
  <c r="V297" i="30" s="1"/>
  <c r="K302" i="30"/>
  <c r="V302" i="30" s="1"/>
  <c r="K300" i="30"/>
  <c r="K299" i="30"/>
  <c r="V299" i="30" s="1"/>
  <c r="K298" i="30"/>
  <c r="K301" i="30"/>
  <c r="K376" i="30"/>
  <c r="V376" i="30" s="1"/>
  <c r="K375" i="30"/>
  <c r="K372" i="30"/>
  <c r="V372" i="30" s="1"/>
  <c r="K379" i="30"/>
  <c r="K370" i="30"/>
  <c r="K373" i="30"/>
  <c r="V373" i="30" s="1"/>
  <c r="K371" i="30"/>
  <c r="K378" i="30"/>
  <c r="V378" i="30" s="1"/>
  <c r="K377" i="30"/>
  <c r="K369" i="30"/>
  <c r="V369" i="30" s="1"/>
  <c r="K374" i="30"/>
  <c r="K456" i="30"/>
  <c r="V456" i="30" s="1"/>
  <c r="K461" i="30"/>
  <c r="V461" i="30" s="1"/>
  <c r="K452" i="30"/>
  <c r="K462" i="30"/>
  <c r="K459" i="30"/>
  <c r="K458" i="30"/>
  <c r="K460" i="30"/>
  <c r="V460" i="30" s="1"/>
  <c r="K453" i="30"/>
  <c r="V453" i="30" s="1"/>
  <c r="K457" i="30"/>
  <c r="V457" i="30" s="1"/>
  <c r="K454" i="30"/>
  <c r="K455" i="30"/>
  <c r="V455" i="30" s="1"/>
  <c r="K521" i="30"/>
  <c r="K512" i="30"/>
  <c r="K519" i="30"/>
  <c r="V519" i="30" s="1"/>
  <c r="K514" i="30"/>
  <c r="K520" i="30"/>
  <c r="K515" i="30"/>
  <c r="K518" i="30"/>
  <c r="K517" i="30"/>
  <c r="V517" i="30" s="1"/>
  <c r="K522" i="30"/>
  <c r="V522" i="30" s="1"/>
  <c r="K516" i="30"/>
  <c r="V516" i="30" s="1"/>
  <c r="K513" i="30"/>
  <c r="V513" i="30" s="1"/>
  <c r="K488" i="30"/>
  <c r="K483" i="30"/>
  <c r="V483" i="30" s="1"/>
  <c r="K484" i="30"/>
  <c r="K485" i="30"/>
  <c r="K491" i="30"/>
  <c r="K490" i="30"/>
  <c r="K487" i="30"/>
  <c r="K489" i="30"/>
  <c r="K492" i="30"/>
  <c r="V492" i="30" s="1"/>
  <c r="K486" i="30"/>
  <c r="V486" i="30" s="1"/>
  <c r="K493" i="30"/>
  <c r="V493" i="30" s="1"/>
  <c r="Y93" i="36"/>
  <c r="P13" i="30"/>
  <c r="E65" i="30"/>
  <c r="P65" i="30" s="1"/>
  <c r="E121" i="30"/>
  <c r="P121" i="30" s="1"/>
  <c r="P181" i="30"/>
  <c r="E233" i="30"/>
  <c r="P233" i="30" s="1"/>
  <c r="E273" i="30"/>
  <c r="P273" i="30" s="1"/>
  <c r="P317" i="30"/>
  <c r="E361" i="30"/>
  <c r="P361" i="30" s="1"/>
  <c r="E417" i="30"/>
  <c r="P417" i="30" s="1"/>
  <c r="E469" i="30"/>
  <c r="P469" i="30" s="1"/>
  <c r="E517" i="30"/>
  <c r="P517" i="30" s="1"/>
  <c r="P609" i="30"/>
  <c r="P665" i="30"/>
  <c r="P709" i="30"/>
  <c r="P761" i="30"/>
  <c r="P817" i="30"/>
  <c r="P10" i="30"/>
  <c r="P26" i="30"/>
  <c r="P42" i="30"/>
  <c r="E58" i="30"/>
  <c r="P58" i="30" s="1"/>
  <c r="E74" i="30"/>
  <c r="P74" i="30" s="1"/>
  <c r="P90" i="30"/>
  <c r="E106" i="30"/>
  <c r="P106" i="30" s="1"/>
  <c r="E122" i="30"/>
  <c r="P122" i="30" s="1"/>
  <c r="P138" i="30"/>
  <c r="P154" i="30"/>
  <c r="E170" i="30"/>
  <c r="P170" i="30" s="1"/>
  <c r="E186" i="30"/>
  <c r="P186" i="30" s="1"/>
  <c r="E202" i="30"/>
  <c r="P202" i="30" s="1"/>
  <c r="P218" i="30"/>
  <c r="E234" i="30"/>
  <c r="P234" i="30" s="1"/>
  <c r="P250" i="30"/>
  <c r="P266" i="30"/>
  <c r="E282" i="30"/>
  <c r="P282" i="30" s="1"/>
  <c r="P314" i="30"/>
  <c r="P330" i="30"/>
  <c r="E346" i="30"/>
  <c r="P346" i="30" s="1"/>
  <c r="E362" i="30"/>
  <c r="P362" i="30" s="1"/>
  <c r="E378" i="30"/>
  <c r="P378" i="30" s="1"/>
  <c r="P394" i="30"/>
  <c r="E410" i="30"/>
  <c r="P410" i="30" s="1"/>
  <c r="E426" i="30"/>
  <c r="P426" i="30" s="1"/>
  <c r="P442" i="30"/>
  <c r="E458" i="30"/>
  <c r="P458" i="30" s="1"/>
  <c r="P474" i="30"/>
  <c r="E490" i="30"/>
  <c r="P490" i="30" s="1"/>
  <c r="E506" i="30"/>
  <c r="P506" i="30" s="1"/>
  <c r="E522" i="30"/>
  <c r="P522" i="30" s="1"/>
  <c r="P538" i="30"/>
  <c r="P554" i="30"/>
  <c r="E570" i="30"/>
  <c r="P570" i="30" s="1"/>
  <c r="E602" i="30"/>
  <c r="P602" i="30" s="1"/>
  <c r="E618" i="30"/>
  <c r="P618" i="30" s="1"/>
  <c r="P634" i="30"/>
  <c r="P666" i="30"/>
  <c r="P698" i="30"/>
  <c r="P714" i="30"/>
  <c r="P730" i="30"/>
  <c r="P746" i="30"/>
  <c r="P762" i="30"/>
  <c r="P778" i="30"/>
  <c r="P794" i="30"/>
  <c r="P810" i="30"/>
  <c r="P826" i="30"/>
  <c r="P842" i="30"/>
  <c r="P17" i="30"/>
  <c r="E69" i="30"/>
  <c r="P69" i="30" s="1"/>
  <c r="E113" i="30"/>
  <c r="P113" i="30" s="1"/>
  <c r="E161" i="30"/>
  <c r="P161" i="30" s="1"/>
  <c r="P209" i="30"/>
  <c r="P257" i="30"/>
  <c r="E345" i="30"/>
  <c r="P345" i="30" s="1"/>
  <c r="P393" i="30"/>
  <c r="P441" i="30"/>
  <c r="E485" i="30"/>
  <c r="P485" i="30" s="1"/>
  <c r="P529" i="30"/>
  <c r="E577" i="30"/>
  <c r="P577" i="30" s="1"/>
  <c r="P625" i="30"/>
  <c r="P669" i="30"/>
  <c r="P717" i="30"/>
  <c r="P757" i="30"/>
  <c r="P801" i="30"/>
  <c r="P852" i="30"/>
  <c r="P23" i="30"/>
  <c r="E39" i="30"/>
  <c r="P39" i="30" s="1"/>
  <c r="E55" i="30"/>
  <c r="P55" i="30" s="1"/>
  <c r="E71" i="30"/>
  <c r="P71" i="30" s="1"/>
  <c r="P87" i="30"/>
  <c r="P103" i="30"/>
  <c r="E119" i="30"/>
  <c r="P119" i="30" s="1"/>
  <c r="E135" i="30"/>
  <c r="P135" i="30" s="1"/>
  <c r="P151" i="30"/>
  <c r="E167" i="30"/>
  <c r="P167" i="30" s="1"/>
  <c r="P183" i="30"/>
  <c r="E199" i="30"/>
  <c r="P199" i="30" s="1"/>
  <c r="P215" i="30"/>
  <c r="P231" i="30"/>
  <c r="P247" i="30"/>
  <c r="P263" i="30"/>
  <c r="E279" i="30"/>
  <c r="P279" i="30" s="1"/>
  <c r="E311" i="30"/>
  <c r="P311" i="30" s="1"/>
  <c r="P327" i="30"/>
  <c r="E343" i="30"/>
  <c r="P343" i="30" s="1"/>
  <c r="E359" i="30"/>
  <c r="P359" i="30" s="1"/>
  <c r="E375" i="30"/>
  <c r="P375" i="30" s="1"/>
  <c r="P391" i="30"/>
  <c r="E407" i="30"/>
  <c r="P407" i="30" s="1"/>
  <c r="E423" i="30"/>
  <c r="P423" i="30" s="1"/>
  <c r="P439" i="30"/>
  <c r="E455" i="30"/>
  <c r="P455" i="30" s="1"/>
  <c r="E487" i="30"/>
  <c r="P487" i="30" s="1"/>
  <c r="E503" i="30"/>
  <c r="P503" i="30" s="1"/>
  <c r="P535" i="30"/>
  <c r="P551" i="30"/>
  <c r="E599" i="30"/>
  <c r="P599" i="30" s="1"/>
  <c r="P631" i="30"/>
  <c r="P663" i="30"/>
  <c r="P695" i="30"/>
  <c r="P711" i="30"/>
  <c r="P727" i="30"/>
  <c r="P743" i="30"/>
  <c r="P759" i="30"/>
  <c r="P775" i="30"/>
  <c r="P791" i="30"/>
  <c r="P807" i="30"/>
  <c r="P823" i="30"/>
  <c r="P839" i="30"/>
  <c r="P9" i="30"/>
  <c r="E57" i="30"/>
  <c r="P57" i="30" s="1"/>
  <c r="P93" i="30"/>
  <c r="P137" i="30"/>
  <c r="E177" i="30"/>
  <c r="P177" i="30" s="1"/>
  <c r="P225" i="30"/>
  <c r="E281" i="30"/>
  <c r="P281" i="30" s="1"/>
  <c r="E341" i="30"/>
  <c r="P341" i="30" s="1"/>
  <c r="P385" i="30"/>
  <c r="P433" i="30"/>
  <c r="P477" i="30"/>
  <c r="P525" i="30"/>
  <c r="P629" i="30"/>
  <c r="P677" i="30"/>
  <c r="P725" i="30"/>
  <c r="P773" i="30"/>
  <c r="P821" i="30"/>
  <c r="P12" i="30"/>
  <c r="P28" i="30"/>
  <c r="P48" i="30"/>
  <c r="E68" i="30"/>
  <c r="P68" i="30" s="1"/>
  <c r="E124" i="30"/>
  <c r="P124" i="30" s="1"/>
  <c r="P140" i="30"/>
  <c r="E156" i="30"/>
  <c r="P156" i="30" s="1"/>
  <c r="E176" i="30"/>
  <c r="P176" i="30" s="1"/>
  <c r="E192" i="30"/>
  <c r="P192" i="30" s="1"/>
  <c r="P212" i="30"/>
  <c r="P228" i="30"/>
  <c r="E284" i="30"/>
  <c r="P284" i="30" s="1"/>
  <c r="P320" i="30"/>
  <c r="P336" i="30"/>
  <c r="P356" i="30"/>
  <c r="P380" i="30"/>
  <c r="P396" i="30"/>
  <c r="E416" i="30"/>
  <c r="P416" i="30" s="1"/>
  <c r="P436" i="30"/>
  <c r="E452" i="30"/>
  <c r="P452" i="30" s="1"/>
  <c r="E508" i="30"/>
  <c r="P508" i="30" s="1"/>
  <c r="P636" i="30"/>
  <c r="M567" i="30"/>
  <c r="X567" i="30" s="1"/>
  <c r="M563" i="30"/>
  <c r="X563" i="30" s="1"/>
  <c r="M564" i="30"/>
  <c r="X564" i="30" s="1"/>
  <c r="M565" i="30"/>
  <c r="X565" i="30" s="1"/>
  <c r="M566" i="30"/>
  <c r="X566" i="30" s="1"/>
  <c r="M561" i="30"/>
  <c r="M559" i="30"/>
  <c r="X559" i="30" s="1"/>
  <c r="M562" i="30"/>
  <c r="X562" i="30" s="1"/>
  <c r="M560" i="30"/>
  <c r="F73" i="30"/>
  <c r="Q73" i="30" s="1"/>
  <c r="F66" i="30"/>
  <c r="Q66" i="30" s="1"/>
  <c r="F67" i="30"/>
  <c r="Q67" i="30" s="1"/>
  <c r="F70" i="30"/>
  <c r="Q70" i="30" s="1"/>
  <c r="F71" i="30"/>
  <c r="Q71" i="30" s="1"/>
  <c r="F65" i="30"/>
  <c r="Q65" i="30" s="1"/>
  <c r="F74" i="30"/>
  <c r="Q74" i="30" s="1"/>
  <c r="F64" i="30"/>
  <c r="Q64" i="30" s="1"/>
  <c r="F68" i="30"/>
  <c r="Q68" i="30" s="1"/>
  <c r="F69" i="30"/>
  <c r="Q69" i="30" s="1"/>
  <c r="F72" i="30"/>
  <c r="Q72" i="30" s="1"/>
  <c r="G92" i="30"/>
  <c r="G91" i="30"/>
  <c r="R91" i="30" s="1"/>
  <c r="G94" i="30"/>
  <c r="R94" i="30" s="1"/>
  <c r="G87" i="30"/>
  <c r="G93" i="30"/>
  <c r="R93" i="30" s="1"/>
  <c r="G89" i="30"/>
  <c r="R89" i="30" s="1"/>
  <c r="G88" i="30"/>
  <c r="G86" i="30"/>
  <c r="R86" i="30" s="1"/>
  <c r="G90" i="30"/>
  <c r="R90" i="30" s="1"/>
  <c r="G126" i="30"/>
  <c r="G133" i="30"/>
  <c r="G130" i="30"/>
  <c r="R130" i="30" s="1"/>
  <c r="G135" i="30"/>
  <c r="G129" i="30"/>
  <c r="R129" i="30" s="1"/>
  <c r="G125" i="30"/>
  <c r="R125" i="30" s="1"/>
  <c r="G132" i="30"/>
  <c r="G131" i="30"/>
  <c r="R131" i="30" s="1"/>
  <c r="G127" i="30"/>
  <c r="R127" i="30" s="1"/>
  <c r="G134" i="30"/>
  <c r="G128" i="30"/>
  <c r="R128" i="30" s="1"/>
  <c r="G182" i="30"/>
  <c r="R182" i="30" s="1"/>
  <c r="G184" i="30"/>
  <c r="G183" i="30"/>
  <c r="G185" i="30"/>
  <c r="G180" i="30"/>
  <c r="G179" i="30"/>
  <c r="G181" i="30"/>
  <c r="R181" i="30" s="1"/>
  <c r="G178" i="30"/>
  <c r="R178" i="30" s="1"/>
  <c r="M85" i="30"/>
  <c r="X85" i="30" s="1"/>
  <c r="M75" i="30"/>
  <c r="X75" i="30" s="1"/>
  <c r="M79" i="30"/>
  <c r="X79" i="30" s="1"/>
  <c r="M76" i="30"/>
  <c r="X76" i="30" s="1"/>
  <c r="M83" i="30"/>
  <c r="M82" i="30"/>
  <c r="M81" i="30"/>
  <c r="X81" i="30" s="1"/>
  <c r="M78" i="30"/>
  <c r="M77" i="30"/>
  <c r="X77" i="30" s="1"/>
  <c r="M80" i="30"/>
  <c r="X80" i="30" s="1"/>
  <c r="M84" i="30"/>
  <c r="X84" i="30" s="1"/>
  <c r="M171" i="30"/>
  <c r="X171" i="30" s="1"/>
  <c r="M168" i="30"/>
  <c r="X168" i="30" s="1"/>
  <c r="M176" i="30"/>
  <c r="X176" i="30" s="1"/>
  <c r="M172" i="30"/>
  <c r="M167" i="30"/>
  <c r="M177" i="30"/>
  <c r="X177" i="30" s="1"/>
  <c r="M174" i="30"/>
  <c r="X174" i="30" s="1"/>
  <c r="M173" i="30"/>
  <c r="M169" i="30"/>
  <c r="X169" i="30" s="1"/>
  <c r="M175" i="30"/>
  <c r="X175" i="30" s="1"/>
  <c r="M170" i="30"/>
  <c r="X170" i="30" s="1"/>
  <c r="AC363" i="30"/>
  <c r="AD363" i="30" s="1"/>
  <c r="M294" i="30"/>
  <c r="M293" i="30"/>
  <c r="X293" i="30" s="1"/>
  <c r="M288" i="30"/>
  <c r="X288" i="30" s="1"/>
  <c r="M284" i="30"/>
  <c r="M287" i="30"/>
  <c r="X287" i="30" s="1"/>
  <c r="M289" i="30"/>
  <c r="M285" i="30"/>
  <c r="M291" i="30"/>
  <c r="M292" i="30"/>
  <c r="X292" i="30" s="1"/>
  <c r="M286" i="30"/>
  <c r="M290" i="30"/>
  <c r="P84" i="31"/>
  <c r="M358" i="30"/>
  <c r="X358" i="30" s="1"/>
  <c r="M366" i="30"/>
  <c r="X366" i="30" s="1"/>
  <c r="M365" i="30"/>
  <c r="M368" i="30"/>
  <c r="X368" i="30" s="1"/>
  <c r="M367" i="30"/>
  <c r="X367" i="30" s="1"/>
  <c r="M363" i="30"/>
  <c r="M359" i="30"/>
  <c r="X359" i="30" s="1"/>
  <c r="M364" i="30"/>
  <c r="X364" i="30" s="1"/>
  <c r="M362" i="30"/>
  <c r="X362" i="30" s="1"/>
  <c r="M360" i="30"/>
  <c r="M361" i="30"/>
  <c r="X361" i="30" s="1"/>
  <c r="U22" i="34"/>
  <c r="AE173" i="30" s="1"/>
  <c r="AF173" i="30" s="1"/>
  <c r="P45" i="34"/>
  <c r="AE569" i="30" s="1"/>
  <c r="AF569" i="30" s="1"/>
  <c r="AC343" i="30"/>
  <c r="AD343" i="30" s="1"/>
  <c r="N34" i="31"/>
  <c r="M417" i="30"/>
  <c r="X417" i="30" s="1"/>
  <c r="M416" i="30"/>
  <c r="M411" i="30"/>
  <c r="M418" i="30"/>
  <c r="X418" i="30" s="1"/>
  <c r="M413" i="30"/>
  <c r="M412" i="30"/>
  <c r="X412" i="30" s="1"/>
  <c r="M414" i="30"/>
  <c r="X414" i="30" s="1"/>
  <c r="M419" i="30"/>
  <c r="X419" i="30" s="1"/>
  <c r="M415" i="30"/>
  <c r="X415" i="30" s="1"/>
  <c r="M421" i="30"/>
  <c r="X421" i="30" s="1"/>
  <c r="M420" i="30"/>
  <c r="X420" i="30" s="1"/>
  <c r="M591" i="30"/>
  <c r="X591" i="30" s="1"/>
  <c r="M587" i="30"/>
  <c r="M590" i="30"/>
  <c r="M586" i="30"/>
  <c r="X586" i="30" s="1"/>
  <c r="M592" i="30"/>
  <c r="X592" i="30" s="1"/>
  <c r="M588" i="30"/>
  <c r="M593" i="30"/>
  <c r="M596" i="30"/>
  <c r="X596" i="30" s="1"/>
  <c r="M595" i="30"/>
  <c r="M594" i="30"/>
  <c r="M589" i="30"/>
  <c r="X589" i="30" s="1"/>
  <c r="G17" i="43"/>
  <c r="AC573" i="30"/>
  <c r="AC608" i="30"/>
  <c r="AC823" i="30"/>
  <c r="AC591" i="30"/>
  <c r="AD591" i="30" s="1"/>
  <c r="AC201" i="30"/>
  <c r="AD201" i="30" s="1"/>
  <c r="AC127" i="30"/>
  <c r="AD127" i="30" s="1"/>
  <c r="P200" i="30"/>
  <c r="I202" i="30"/>
  <c r="T202" i="30" s="1"/>
  <c r="I201" i="30"/>
  <c r="T201" i="30" s="1"/>
  <c r="I204" i="30"/>
  <c r="I200" i="30"/>
  <c r="I203" i="30"/>
  <c r="I198" i="30"/>
  <c r="I197" i="30"/>
  <c r="I199" i="30"/>
  <c r="T199" i="30" s="1"/>
  <c r="I205" i="30"/>
  <c r="T205" i="30" s="1"/>
  <c r="P72" i="30"/>
  <c r="I74" i="30"/>
  <c r="I73" i="30"/>
  <c r="T73" i="30" s="1"/>
  <c r="I69" i="30"/>
  <c r="T69" i="30" s="1"/>
  <c r="I68" i="30"/>
  <c r="T68" i="30" s="1"/>
  <c r="I72" i="30"/>
  <c r="T72" i="30" s="1"/>
  <c r="I70" i="30"/>
  <c r="I66" i="30"/>
  <c r="T66" i="30" s="1"/>
  <c r="I65" i="30"/>
  <c r="I64" i="30"/>
  <c r="I71" i="30"/>
  <c r="T71" i="30" s="1"/>
  <c r="I67" i="30"/>
  <c r="G76" i="30"/>
  <c r="R76" i="30" s="1"/>
  <c r="G75" i="30"/>
  <c r="R75" i="30" s="1"/>
  <c r="G81" i="30"/>
  <c r="G85" i="30"/>
  <c r="R85" i="30" s="1"/>
  <c r="G84" i="30"/>
  <c r="R84" i="30" s="1"/>
  <c r="G83" i="30"/>
  <c r="G78" i="30"/>
  <c r="R78" i="30" s="1"/>
  <c r="G80" i="30"/>
  <c r="R80" i="30" s="1"/>
  <c r="G79" i="30"/>
  <c r="R79" i="30" s="1"/>
  <c r="G82" i="30"/>
  <c r="R82" i="30" s="1"/>
  <c r="G77" i="30"/>
  <c r="F87" i="30"/>
  <c r="Q87" i="30" s="1"/>
  <c r="F88" i="30"/>
  <c r="Q88" i="30" s="1"/>
  <c r="F93" i="30"/>
  <c r="Q93" i="30" s="1"/>
  <c r="F90" i="30"/>
  <c r="Q90" i="30" s="1"/>
  <c r="F91" i="30"/>
  <c r="Q91" i="30" s="1"/>
  <c r="F92" i="30"/>
  <c r="Q92" i="30" s="1"/>
  <c r="F94" i="30"/>
  <c r="Q94" i="30" s="1"/>
  <c r="F86" i="30"/>
  <c r="Q86" i="30" s="1"/>
  <c r="F89" i="30"/>
  <c r="Q89" i="30" s="1"/>
  <c r="F128" i="30"/>
  <c r="Q128" i="30" s="1"/>
  <c r="F134" i="30"/>
  <c r="Q134" i="30" s="1"/>
  <c r="F127" i="30"/>
  <c r="Q127" i="30" s="1"/>
  <c r="F132" i="30"/>
  <c r="Q132" i="30" s="1"/>
  <c r="F129" i="30"/>
  <c r="Q129" i="30" s="1"/>
  <c r="F135" i="30"/>
  <c r="Q135" i="30" s="1"/>
  <c r="F125" i="30"/>
  <c r="Q125" i="30" s="1"/>
  <c r="F133" i="30"/>
  <c r="Q133" i="30" s="1"/>
  <c r="F131" i="30"/>
  <c r="Q131" i="30" s="1"/>
  <c r="F126" i="30"/>
  <c r="Q126" i="30" s="1"/>
  <c r="F130" i="30"/>
  <c r="Q130" i="30" s="1"/>
  <c r="J129" i="30"/>
  <c r="U129" i="30" s="1"/>
  <c r="J128" i="30"/>
  <c r="U128" i="30" s="1"/>
  <c r="J126" i="30"/>
  <c r="U126" i="30" s="1"/>
  <c r="J134" i="30"/>
  <c r="J125" i="30"/>
  <c r="U125" i="30" s="1"/>
  <c r="J131" i="30"/>
  <c r="U131" i="30" s="1"/>
  <c r="J130" i="30"/>
  <c r="U130" i="30" s="1"/>
  <c r="J135" i="30"/>
  <c r="U135" i="30" s="1"/>
  <c r="J132" i="30"/>
  <c r="U132" i="30" s="1"/>
  <c r="J133" i="30"/>
  <c r="U133" i="30" s="1"/>
  <c r="J127" i="30"/>
  <c r="U127" i="30" s="1"/>
  <c r="H163" i="30"/>
  <c r="H162" i="30"/>
  <c r="S162" i="30" s="1"/>
  <c r="H161" i="30"/>
  <c r="S161" i="30" s="1"/>
  <c r="H158" i="30"/>
  <c r="H164" i="30"/>
  <c r="H159" i="30"/>
  <c r="S159" i="30" s="1"/>
  <c r="H160" i="30"/>
  <c r="H165" i="30"/>
  <c r="S165" i="30" s="1"/>
  <c r="H156" i="30"/>
  <c r="H157" i="30"/>
  <c r="S157" i="30" s="1"/>
  <c r="H166" i="30"/>
  <c r="S166" i="30" s="1"/>
  <c r="F172" i="30"/>
  <c r="Q172" i="30" s="1"/>
  <c r="F177" i="30"/>
  <c r="Q177" i="30" s="1"/>
  <c r="F175" i="30"/>
  <c r="Q175" i="30" s="1"/>
  <c r="F167" i="30"/>
  <c r="Q167" i="30" s="1"/>
  <c r="F171" i="30"/>
  <c r="Q171" i="30" s="1"/>
  <c r="F176" i="30"/>
  <c r="Q176" i="30" s="1"/>
  <c r="F169" i="30"/>
  <c r="Q169" i="30" s="1"/>
  <c r="F170" i="30"/>
  <c r="Q170" i="30" s="1"/>
  <c r="F168" i="30"/>
  <c r="Q168" i="30" s="1"/>
  <c r="F173" i="30"/>
  <c r="Q173" i="30" s="1"/>
  <c r="F174" i="30"/>
  <c r="Q174" i="30" s="1"/>
  <c r="J177" i="30"/>
  <c r="J176" i="30"/>
  <c r="J175" i="30"/>
  <c r="U175" i="30" s="1"/>
  <c r="J172" i="30"/>
  <c r="U172" i="30" s="1"/>
  <c r="J167" i="30"/>
  <c r="J173" i="30"/>
  <c r="U173" i="30" s="1"/>
  <c r="J174" i="30"/>
  <c r="U174" i="30" s="1"/>
  <c r="J169" i="30"/>
  <c r="J168" i="30"/>
  <c r="U168" i="30" s="1"/>
  <c r="J170" i="30"/>
  <c r="U170" i="30" s="1"/>
  <c r="J171" i="30"/>
  <c r="U171" i="30" s="1"/>
  <c r="G220" i="30"/>
  <c r="R220" i="30" s="1"/>
  <c r="G219" i="30"/>
  <c r="R219" i="30" s="1"/>
  <c r="G218" i="30"/>
  <c r="R218" i="30" s="1"/>
  <c r="G221" i="30"/>
  <c r="R221" i="30" s="1"/>
  <c r="G216" i="30"/>
  <c r="R216" i="30" s="1"/>
  <c r="G215" i="30"/>
  <c r="R215" i="30" s="1"/>
  <c r="G217" i="30"/>
  <c r="G222" i="30"/>
  <c r="R222" i="30" s="1"/>
  <c r="G223" i="30"/>
  <c r="R223" i="30" s="1"/>
  <c r="G225" i="30"/>
  <c r="R225" i="30" s="1"/>
  <c r="G231" i="30"/>
  <c r="G226" i="30"/>
  <c r="R226" i="30" s="1"/>
  <c r="G228" i="30"/>
  <c r="R228" i="30" s="1"/>
  <c r="G227" i="30"/>
  <c r="R227" i="30" s="1"/>
  <c r="G224" i="30"/>
  <c r="R224" i="30" s="1"/>
  <c r="G229" i="30"/>
  <c r="R229" i="30" s="1"/>
  <c r="G230" i="30"/>
  <c r="R230" i="30" s="1"/>
  <c r="G283" i="30"/>
  <c r="G275" i="30"/>
  <c r="G278" i="30"/>
  <c r="R278" i="30" s="1"/>
  <c r="G281" i="30"/>
  <c r="R281" i="30" s="1"/>
  <c r="G273" i="30"/>
  <c r="R273" i="30" s="1"/>
  <c r="G276" i="30"/>
  <c r="R276" i="30" s="1"/>
  <c r="G279" i="30"/>
  <c r="G280" i="30"/>
  <c r="R280" i="30" s="1"/>
  <c r="G282" i="30"/>
  <c r="R282" i="30" s="1"/>
  <c r="G274" i="30"/>
  <c r="R274" i="30" s="1"/>
  <c r="G277" i="30"/>
  <c r="I294" i="30"/>
  <c r="I290" i="30"/>
  <c r="I286" i="30"/>
  <c r="T286" i="30" s="1"/>
  <c r="I293" i="30"/>
  <c r="I292" i="30"/>
  <c r="T292" i="30" s="1"/>
  <c r="I288" i="30"/>
  <c r="T288" i="30" s="1"/>
  <c r="I284" i="30"/>
  <c r="I291" i="30"/>
  <c r="T291" i="30" s="1"/>
  <c r="I285" i="30"/>
  <c r="T285" i="30" s="1"/>
  <c r="I287" i="30"/>
  <c r="T287" i="30" s="1"/>
  <c r="I289" i="30"/>
  <c r="I298" i="30"/>
  <c r="T298" i="30" s="1"/>
  <c r="I297" i="30"/>
  <c r="T297" i="30" s="1"/>
  <c r="I302" i="30"/>
  <c r="T302" i="30" s="1"/>
  <c r="I295" i="30"/>
  <c r="I300" i="30"/>
  <c r="T300" i="30" s="1"/>
  <c r="I301" i="30"/>
  <c r="T301" i="30" s="1"/>
  <c r="I296" i="30"/>
  <c r="T296" i="30" s="1"/>
  <c r="I299" i="30"/>
  <c r="H328" i="30"/>
  <c r="S328" i="30" s="1"/>
  <c r="H329" i="30"/>
  <c r="S329" i="30" s="1"/>
  <c r="H324" i="30"/>
  <c r="H331" i="30"/>
  <c r="S331" i="30" s="1"/>
  <c r="H326" i="30"/>
  <c r="S326" i="30" s="1"/>
  <c r="H325" i="30"/>
  <c r="S325" i="30" s="1"/>
  <c r="H330" i="30"/>
  <c r="S330" i="30" s="1"/>
  <c r="H327" i="30"/>
  <c r="S327" i="30" s="1"/>
  <c r="H339" i="30"/>
  <c r="H338" i="30"/>
  <c r="S338" i="30" s="1"/>
  <c r="H335" i="30"/>
  <c r="S335" i="30" s="1"/>
  <c r="H334" i="30"/>
  <c r="S334" i="30" s="1"/>
  <c r="H333" i="30"/>
  <c r="H332" i="30"/>
  <c r="S332" i="30" s="1"/>
  <c r="H336" i="30"/>
  <c r="S336" i="30" s="1"/>
  <c r="H337" i="30"/>
  <c r="F341" i="30"/>
  <c r="Q341" i="30" s="1"/>
  <c r="F347" i="30"/>
  <c r="Q347" i="30" s="1"/>
  <c r="F345" i="30"/>
  <c r="Q345" i="30" s="1"/>
  <c r="F342" i="30"/>
  <c r="Q342" i="30" s="1"/>
  <c r="F340" i="30"/>
  <c r="Q340" i="30" s="1"/>
  <c r="F344" i="30"/>
  <c r="Q344" i="30" s="1"/>
  <c r="F346" i="30"/>
  <c r="Q346" i="30" s="1"/>
  <c r="F348" i="30"/>
  <c r="Q348" i="30" s="1"/>
  <c r="F343" i="30"/>
  <c r="Q343" i="30" s="1"/>
  <c r="J347" i="30"/>
  <c r="U347" i="30" s="1"/>
  <c r="J346" i="30"/>
  <c r="U346" i="30" s="1"/>
  <c r="J342" i="30"/>
  <c r="J345" i="30"/>
  <c r="U345" i="30" s="1"/>
  <c r="J340" i="30"/>
  <c r="U340" i="30" s="1"/>
  <c r="J343" i="30"/>
  <c r="U343" i="30" s="1"/>
  <c r="J341" i="30"/>
  <c r="U341" i="30" s="1"/>
  <c r="J344" i="30"/>
  <c r="J348" i="30"/>
  <c r="U348" i="30" s="1"/>
  <c r="H367" i="30"/>
  <c r="S367" i="30" s="1"/>
  <c r="H363" i="30"/>
  <c r="H365" i="30"/>
  <c r="S365" i="30" s="1"/>
  <c r="H359" i="30"/>
  <c r="S359" i="30" s="1"/>
  <c r="H358" i="30"/>
  <c r="S358" i="30" s="1"/>
  <c r="H361" i="30"/>
  <c r="S361" i="30" s="1"/>
  <c r="H362" i="30"/>
  <c r="H364" i="30"/>
  <c r="S364" i="30" s="1"/>
  <c r="H360" i="30"/>
  <c r="S360" i="30" s="1"/>
  <c r="H366" i="30"/>
  <c r="H368" i="30"/>
  <c r="F372" i="30"/>
  <c r="Q372" i="30" s="1"/>
  <c r="F379" i="30"/>
  <c r="Q379" i="30" s="1"/>
  <c r="F378" i="30"/>
  <c r="Q378" i="30" s="1"/>
  <c r="F371" i="30"/>
  <c r="Q371" i="30" s="1"/>
  <c r="F376" i="30"/>
  <c r="Q376" i="30" s="1"/>
  <c r="F369" i="30"/>
  <c r="Q369" i="30" s="1"/>
  <c r="F373" i="30"/>
  <c r="Q373" i="30" s="1"/>
  <c r="F375" i="30"/>
  <c r="Q375" i="30" s="1"/>
  <c r="F370" i="30"/>
  <c r="Q370" i="30" s="1"/>
  <c r="F377" i="30"/>
  <c r="Q377" i="30" s="1"/>
  <c r="F374" i="30"/>
  <c r="Q374" i="30" s="1"/>
  <c r="J369" i="30"/>
  <c r="J377" i="30"/>
  <c r="U377" i="30" s="1"/>
  <c r="J372" i="30"/>
  <c r="U372" i="30" s="1"/>
  <c r="J370" i="30"/>
  <c r="U370" i="30" s="1"/>
  <c r="J376" i="30"/>
  <c r="U376" i="30" s="1"/>
  <c r="J379" i="30"/>
  <c r="U379" i="30" s="1"/>
  <c r="J375" i="30"/>
  <c r="U375" i="30" s="1"/>
  <c r="J373" i="30"/>
  <c r="J371" i="30"/>
  <c r="U371" i="30" s="1"/>
  <c r="J378" i="30"/>
  <c r="U378" i="30" s="1"/>
  <c r="J374" i="30"/>
  <c r="U374" i="30" s="1"/>
  <c r="H403" i="30"/>
  <c r="S403" i="30" s="1"/>
  <c r="H410" i="30"/>
  <c r="S410" i="30" s="1"/>
  <c r="H409" i="30"/>
  <c r="S409" i="30" s="1"/>
  <c r="H400" i="30"/>
  <c r="S400" i="30" s="1"/>
  <c r="H406" i="30"/>
  <c r="S406" i="30" s="1"/>
  <c r="H405" i="30"/>
  <c r="H402" i="30"/>
  <c r="S402" i="30" s="1"/>
  <c r="H404" i="30"/>
  <c r="S404" i="30" s="1"/>
  <c r="H407" i="30"/>
  <c r="H401" i="30"/>
  <c r="S401" i="30" s="1"/>
  <c r="H408" i="30"/>
  <c r="S408" i="30" s="1"/>
  <c r="F414" i="30"/>
  <c r="Q414" i="30" s="1"/>
  <c r="F417" i="30"/>
  <c r="Q417" i="30" s="1"/>
  <c r="F416" i="30"/>
  <c r="Q416" i="30" s="1"/>
  <c r="F418" i="30"/>
  <c r="Q418" i="30" s="1"/>
  <c r="F421" i="30"/>
  <c r="Q421" i="30" s="1"/>
  <c r="F415" i="30"/>
  <c r="Q415" i="30" s="1"/>
  <c r="F420" i="30"/>
  <c r="Q420" i="30" s="1"/>
  <c r="F411" i="30"/>
  <c r="Q411" i="30" s="1"/>
  <c r="F419" i="30"/>
  <c r="Q419" i="30" s="1"/>
  <c r="F412" i="30"/>
  <c r="Q412" i="30" s="1"/>
  <c r="F413" i="30"/>
  <c r="Q413" i="30" s="1"/>
  <c r="J417" i="30"/>
  <c r="U417" i="30" s="1"/>
  <c r="J412" i="30"/>
  <c r="U412" i="30" s="1"/>
  <c r="J411" i="30"/>
  <c r="U411" i="30" s="1"/>
  <c r="J413" i="30"/>
  <c r="J414" i="30"/>
  <c r="U414" i="30" s="1"/>
  <c r="J420" i="30"/>
  <c r="U420" i="30" s="1"/>
  <c r="J419" i="30"/>
  <c r="J416" i="30"/>
  <c r="U416" i="30" s="1"/>
  <c r="J415" i="30"/>
  <c r="U415" i="30" s="1"/>
  <c r="J418" i="30"/>
  <c r="U418" i="30" s="1"/>
  <c r="J421" i="30"/>
  <c r="U421" i="30" s="1"/>
  <c r="G460" i="30"/>
  <c r="R460" i="30" s="1"/>
  <c r="G455" i="30"/>
  <c r="R455" i="30" s="1"/>
  <c r="G454" i="30"/>
  <c r="G456" i="30"/>
  <c r="G457" i="30"/>
  <c r="R457" i="30" s="1"/>
  <c r="G452" i="30"/>
  <c r="R452" i="30" s="1"/>
  <c r="G462" i="30"/>
  <c r="R462" i="30" s="1"/>
  <c r="G459" i="30"/>
  <c r="R459" i="30" s="1"/>
  <c r="G453" i="30"/>
  <c r="R453" i="30" s="1"/>
  <c r="G461" i="30"/>
  <c r="R461" i="30" s="1"/>
  <c r="G458" i="30"/>
  <c r="R458" i="30" s="1"/>
  <c r="E472" i="30"/>
  <c r="P472" i="30" s="1"/>
  <c r="E464" i="30"/>
  <c r="P464" i="30" s="1"/>
  <c r="I469" i="30"/>
  <c r="T469" i="30" s="1"/>
  <c r="I468" i="30"/>
  <c r="T468" i="30" s="1"/>
  <c r="I470" i="30"/>
  <c r="T470" i="30" s="1"/>
  <c r="I465" i="30"/>
  <c r="I464" i="30"/>
  <c r="T464" i="30" s="1"/>
  <c r="I471" i="30"/>
  <c r="T471" i="30" s="1"/>
  <c r="I466" i="30"/>
  <c r="T466" i="30" s="1"/>
  <c r="I472" i="30"/>
  <c r="I463" i="30"/>
  <c r="T463" i="30" s="1"/>
  <c r="I473" i="30"/>
  <c r="T473" i="30" s="1"/>
  <c r="I467" i="30"/>
  <c r="T467" i="30" s="1"/>
  <c r="I500" i="30"/>
  <c r="T500" i="30" s="1"/>
  <c r="I497" i="30"/>
  <c r="T497" i="30" s="1"/>
  <c r="I496" i="30"/>
  <c r="T496" i="30" s="1"/>
  <c r="I498" i="30"/>
  <c r="T498" i="30" s="1"/>
  <c r="I494" i="30"/>
  <c r="T494" i="30" s="1"/>
  <c r="I499" i="30"/>
  <c r="T499" i="30" s="1"/>
  <c r="I495" i="30"/>
  <c r="T495" i="30" s="1"/>
  <c r="G511" i="30"/>
  <c r="G502" i="30"/>
  <c r="R502" i="30" s="1"/>
  <c r="G505" i="30"/>
  <c r="R505" i="30" s="1"/>
  <c r="G507" i="30"/>
  <c r="R507" i="30" s="1"/>
  <c r="G506" i="30"/>
  <c r="G509" i="30"/>
  <c r="G508" i="30"/>
  <c r="R508" i="30" s="1"/>
  <c r="G503" i="30"/>
  <c r="R503" i="30" s="1"/>
  <c r="G510" i="30"/>
  <c r="R510" i="30" s="1"/>
  <c r="G501" i="30"/>
  <c r="R501" i="30" s="1"/>
  <c r="G504" i="30"/>
  <c r="R504" i="30" s="1"/>
  <c r="E520" i="30"/>
  <c r="P520" i="30" s="1"/>
  <c r="E516" i="30"/>
  <c r="P516" i="30" s="1"/>
  <c r="E512" i="30"/>
  <c r="P512" i="30" s="1"/>
  <c r="I519" i="30"/>
  <c r="T519" i="30" s="1"/>
  <c r="I515" i="30"/>
  <c r="T515" i="30" s="1"/>
  <c r="I514" i="30"/>
  <c r="I516" i="30"/>
  <c r="I512" i="30"/>
  <c r="T512" i="30" s="1"/>
  <c r="I521" i="30"/>
  <c r="I520" i="30"/>
  <c r="T520" i="30" s="1"/>
  <c r="I522" i="30"/>
  <c r="T522" i="30" s="1"/>
  <c r="I517" i="30"/>
  <c r="T517" i="30" s="1"/>
  <c r="I518" i="30"/>
  <c r="T518" i="30" s="1"/>
  <c r="I513" i="30"/>
  <c r="T513" i="30" s="1"/>
  <c r="H524" i="30"/>
  <c r="S524" i="30" s="1"/>
  <c r="H523" i="30"/>
  <c r="S523" i="30" s="1"/>
  <c r="H529" i="30"/>
  <c r="S529" i="30" s="1"/>
  <c r="H528" i="30"/>
  <c r="H530" i="30"/>
  <c r="S530" i="30" s="1"/>
  <c r="H531" i="30"/>
  <c r="S531" i="30" s="1"/>
  <c r="H526" i="30"/>
  <c r="H525" i="30"/>
  <c r="S525" i="30" s="1"/>
  <c r="H527" i="30"/>
  <c r="S527" i="30" s="1"/>
  <c r="H536" i="30"/>
  <c r="S536" i="30" s="1"/>
  <c r="H539" i="30"/>
  <c r="S539" i="30" s="1"/>
  <c r="H534" i="30"/>
  <c r="H535" i="30"/>
  <c r="H532" i="30"/>
  <c r="S532" i="30" s="1"/>
  <c r="H537" i="30"/>
  <c r="S537" i="30" s="1"/>
  <c r="H538" i="30"/>
  <c r="S538" i="30" s="1"/>
  <c r="H533" i="30"/>
  <c r="S533" i="30" s="1"/>
  <c r="F547" i="30"/>
  <c r="Q547" i="30" s="1"/>
  <c r="F542" i="30"/>
  <c r="Q542" i="30" s="1"/>
  <c r="F549" i="30"/>
  <c r="Q549" i="30" s="1"/>
  <c r="F546" i="30"/>
  <c r="Q546" i="30" s="1"/>
  <c r="F541" i="30"/>
  <c r="Q541" i="30" s="1"/>
  <c r="F544" i="30"/>
  <c r="Q544" i="30" s="1"/>
  <c r="F540" i="30"/>
  <c r="Q540" i="30" s="1"/>
  <c r="F543" i="30"/>
  <c r="Q543" i="30" s="1"/>
  <c r="F548" i="30"/>
  <c r="Q548" i="30" s="1"/>
  <c r="F545" i="30"/>
  <c r="Q545" i="30" s="1"/>
  <c r="J548" i="30"/>
  <c r="U548" i="30" s="1"/>
  <c r="J543" i="30"/>
  <c r="U543" i="30" s="1"/>
  <c r="J542" i="30"/>
  <c r="U542" i="30" s="1"/>
  <c r="J549" i="30"/>
  <c r="U549" i="30" s="1"/>
  <c r="J544" i="30"/>
  <c r="U544" i="30" s="1"/>
  <c r="J546" i="30"/>
  <c r="J545" i="30"/>
  <c r="U545" i="30" s="1"/>
  <c r="J540" i="30"/>
  <c r="U540" i="30" s="1"/>
  <c r="J547" i="30"/>
  <c r="U547" i="30" s="1"/>
  <c r="J541" i="30"/>
  <c r="E596" i="30"/>
  <c r="P596" i="30" s="1"/>
  <c r="E592" i="30"/>
  <c r="P592" i="30" s="1"/>
  <c r="I595" i="30"/>
  <c r="T595" i="30" s="1"/>
  <c r="I591" i="30"/>
  <c r="T591" i="30" s="1"/>
  <c r="I587" i="30"/>
  <c r="T587" i="30" s="1"/>
  <c r="I594" i="30"/>
  <c r="T594" i="30" s="1"/>
  <c r="I589" i="30"/>
  <c r="T589" i="30" s="1"/>
  <c r="I590" i="30"/>
  <c r="T590" i="30" s="1"/>
  <c r="I586" i="30"/>
  <c r="T586" i="30" s="1"/>
  <c r="I592" i="30"/>
  <c r="T592" i="30" s="1"/>
  <c r="I588" i="30"/>
  <c r="T588" i="30" s="1"/>
  <c r="I596" i="30"/>
  <c r="T596" i="30" s="1"/>
  <c r="I593" i="30"/>
  <c r="T593" i="30" s="1"/>
  <c r="G597" i="30"/>
  <c r="R597" i="30" s="1"/>
  <c r="G607" i="30"/>
  <c r="G603" i="30"/>
  <c r="G604" i="30"/>
  <c r="R604" i="30" s="1"/>
  <c r="G599" i="30"/>
  <c r="G598" i="30"/>
  <c r="R598" i="30" s="1"/>
  <c r="G601" i="30"/>
  <c r="G602" i="30"/>
  <c r="R602" i="30" s="1"/>
  <c r="G605" i="30"/>
  <c r="R605" i="30" s="1"/>
  <c r="G606" i="30"/>
  <c r="R606" i="30" s="1"/>
  <c r="G600" i="30"/>
  <c r="R600" i="30" s="1"/>
  <c r="I611" i="30"/>
  <c r="T611" i="30" s="1"/>
  <c r="I610" i="30"/>
  <c r="T610" i="30" s="1"/>
  <c r="I613" i="30"/>
  <c r="T613" i="30" s="1"/>
  <c r="I612" i="30"/>
  <c r="I608" i="30"/>
  <c r="T608" i="30" s="1"/>
  <c r="I609" i="30"/>
  <c r="T609" i="30" s="1"/>
  <c r="E616" i="30"/>
  <c r="P616" i="30" s="1"/>
  <c r="E624" i="30"/>
  <c r="P624" i="30" s="1"/>
  <c r="G617" i="30"/>
  <c r="R617" i="30" s="1"/>
  <c r="G620" i="30"/>
  <c r="R620" i="30" s="1"/>
  <c r="G621" i="30"/>
  <c r="G623" i="30"/>
  <c r="R623" i="30" s="1"/>
  <c r="G622" i="30"/>
  <c r="R622" i="30" s="1"/>
  <c r="G624" i="30"/>
  <c r="R624" i="30" s="1"/>
  <c r="G619" i="30"/>
  <c r="R619" i="30" s="1"/>
  <c r="G614" i="30"/>
  <c r="R614" i="30" s="1"/>
  <c r="G615" i="30"/>
  <c r="R615" i="30" s="1"/>
  <c r="G618" i="30"/>
  <c r="R618" i="30" s="1"/>
  <c r="G616" i="30"/>
  <c r="R616" i="30" s="1"/>
  <c r="F558" i="30"/>
  <c r="Q558" i="30" s="1"/>
  <c r="F553" i="30"/>
  <c r="Q553" i="30" s="1"/>
  <c r="F551" i="30"/>
  <c r="Q551" i="30" s="1"/>
  <c r="F552" i="30"/>
  <c r="Q552" i="30" s="1"/>
  <c r="F555" i="30"/>
  <c r="Q555" i="30" s="1"/>
  <c r="F557" i="30"/>
  <c r="Q557" i="30" s="1"/>
  <c r="F556" i="30"/>
  <c r="Q556" i="30" s="1"/>
  <c r="F550" i="30"/>
  <c r="Q550" i="30" s="1"/>
  <c r="F554" i="30"/>
  <c r="Q554" i="30" s="1"/>
  <c r="J550" i="30"/>
  <c r="U550" i="30" s="1"/>
  <c r="J554" i="30"/>
  <c r="J553" i="30"/>
  <c r="U553" i="30" s="1"/>
  <c r="J558" i="30"/>
  <c r="J556" i="30"/>
  <c r="U556" i="30" s="1"/>
  <c r="J555" i="30"/>
  <c r="U555" i="30" s="1"/>
  <c r="J551" i="30"/>
  <c r="J557" i="30"/>
  <c r="U557" i="30" s="1"/>
  <c r="J552" i="30"/>
  <c r="U552" i="30" s="1"/>
  <c r="I575" i="30"/>
  <c r="T575" i="30" s="1"/>
  <c r="I578" i="30"/>
  <c r="I573" i="30"/>
  <c r="I576" i="30"/>
  <c r="T576" i="30" s="1"/>
  <c r="I574" i="30"/>
  <c r="T574" i="30" s="1"/>
  <c r="I569" i="30"/>
  <c r="T569" i="30" s="1"/>
  <c r="I571" i="30"/>
  <c r="T571" i="30" s="1"/>
  <c r="I570" i="30"/>
  <c r="T570" i="30" s="1"/>
  <c r="I568" i="30"/>
  <c r="T568" i="30" s="1"/>
  <c r="I577" i="30"/>
  <c r="I572" i="30"/>
  <c r="T572" i="30" s="1"/>
  <c r="H483" i="30"/>
  <c r="S483" i="30" s="1"/>
  <c r="H493" i="30"/>
  <c r="S493" i="30" s="1"/>
  <c r="H490" i="30"/>
  <c r="H489" i="30"/>
  <c r="S489" i="30" s="1"/>
  <c r="H491" i="30"/>
  <c r="S491" i="30" s="1"/>
  <c r="H486" i="30"/>
  <c r="S486" i="30" s="1"/>
  <c r="H485" i="30"/>
  <c r="H492" i="30"/>
  <c r="S492" i="30" s="1"/>
  <c r="H488" i="30"/>
  <c r="S488" i="30" s="1"/>
  <c r="H484" i="30"/>
  <c r="S484" i="30" s="1"/>
  <c r="H487" i="30"/>
  <c r="S487" i="30" s="1"/>
  <c r="V85" i="34"/>
  <c r="AE536" i="30" s="1"/>
  <c r="AF536" i="30" s="1"/>
  <c r="K85" i="34"/>
  <c r="K72" i="30"/>
  <c r="K71" i="30"/>
  <c r="V71" i="30" s="1"/>
  <c r="K65" i="30"/>
  <c r="K68" i="30"/>
  <c r="V68" i="30" s="1"/>
  <c r="K67" i="30"/>
  <c r="V67" i="30" s="1"/>
  <c r="K69" i="30"/>
  <c r="V69" i="30" s="1"/>
  <c r="K74" i="30"/>
  <c r="K64" i="30"/>
  <c r="V64" i="30" s="1"/>
  <c r="K73" i="30"/>
  <c r="V73" i="30" s="1"/>
  <c r="K66" i="30"/>
  <c r="V66" i="30" s="1"/>
  <c r="K70" i="30"/>
  <c r="V70" i="30" s="1"/>
  <c r="K173" i="30"/>
  <c r="V173" i="30" s="1"/>
  <c r="K168" i="30"/>
  <c r="V168" i="30" s="1"/>
  <c r="K167" i="30"/>
  <c r="V167" i="30" s="1"/>
  <c r="K169" i="30"/>
  <c r="K176" i="30"/>
  <c r="V176" i="30" s="1"/>
  <c r="K175" i="30"/>
  <c r="V175" i="30" s="1"/>
  <c r="K177" i="30"/>
  <c r="V177" i="30" s="1"/>
  <c r="K172" i="30"/>
  <c r="V172" i="30" s="1"/>
  <c r="K174" i="30"/>
  <c r="V174" i="30" s="1"/>
  <c r="K171" i="30"/>
  <c r="K170" i="30"/>
  <c r="V170" i="30" s="1"/>
  <c r="K593" i="30"/>
  <c r="V593" i="30" s="1"/>
  <c r="K589" i="30"/>
  <c r="V589" i="30" s="1"/>
  <c r="K592" i="30"/>
  <c r="V592" i="30" s="1"/>
  <c r="K587" i="30"/>
  <c r="V587" i="30" s="1"/>
  <c r="K594" i="30"/>
  <c r="K590" i="30"/>
  <c r="V590" i="30" s="1"/>
  <c r="K588" i="30"/>
  <c r="K595" i="30"/>
  <c r="V595" i="30" s="1"/>
  <c r="K591" i="30"/>
  <c r="K596" i="30"/>
  <c r="V596" i="30" s="1"/>
  <c r="K586" i="30"/>
  <c r="V586" i="30" s="1"/>
  <c r="K621" i="30"/>
  <c r="V621" i="30" s="1"/>
  <c r="K616" i="30"/>
  <c r="K624" i="30"/>
  <c r="K620" i="30"/>
  <c r="V620" i="30" s="1"/>
  <c r="K619" i="30"/>
  <c r="V619" i="30" s="1"/>
  <c r="K614" i="30"/>
  <c r="K615" i="30"/>
  <c r="V615" i="30" s="1"/>
  <c r="K622" i="30"/>
  <c r="V622" i="30" s="1"/>
  <c r="K617" i="30"/>
  <c r="V617" i="30" s="1"/>
  <c r="K623" i="30"/>
  <c r="K618" i="30"/>
  <c r="K328" i="30"/>
  <c r="V328" i="30" s="1"/>
  <c r="K327" i="30"/>
  <c r="K324" i="30"/>
  <c r="V324" i="30" s="1"/>
  <c r="K331" i="30"/>
  <c r="V331" i="30" s="1"/>
  <c r="K329" i="30"/>
  <c r="V329" i="30" s="1"/>
  <c r="K330" i="30"/>
  <c r="K325" i="30"/>
  <c r="V325" i="30" s="1"/>
  <c r="K326" i="30"/>
  <c r="V326" i="30" s="1"/>
  <c r="K344" i="30"/>
  <c r="V344" i="30" s="1"/>
  <c r="K343" i="30"/>
  <c r="K340" i="30"/>
  <c r="V340" i="30" s="1"/>
  <c r="K348" i="30"/>
  <c r="K347" i="30"/>
  <c r="V347" i="30" s="1"/>
  <c r="K345" i="30"/>
  <c r="K346" i="30"/>
  <c r="V346" i="30" s="1"/>
  <c r="K341" i="30"/>
  <c r="V341" i="30" s="1"/>
  <c r="K342" i="30"/>
  <c r="V342" i="30" s="1"/>
  <c r="K472" i="30"/>
  <c r="K467" i="30"/>
  <c r="V467" i="30" s="1"/>
  <c r="K466" i="30"/>
  <c r="V466" i="30" s="1"/>
  <c r="K468" i="30"/>
  <c r="V468" i="30" s="1"/>
  <c r="K463" i="30"/>
  <c r="K464" i="30"/>
  <c r="K469" i="30"/>
  <c r="V469" i="30" s="1"/>
  <c r="K473" i="30"/>
  <c r="V473" i="30" s="1"/>
  <c r="K470" i="30"/>
  <c r="V470" i="30" s="1"/>
  <c r="K465" i="30"/>
  <c r="V465" i="30" s="1"/>
  <c r="K471" i="30"/>
  <c r="V471" i="30" s="1"/>
  <c r="K525" i="30"/>
  <c r="V525" i="30" s="1"/>
  <c r="K528" i="30"/>
  <c r="K523" i="30"/>
  <c r="V523" i="30" s="1"/>
  <c r="K530" i="30"/>
  <c r="V530" i="30" s="1"/>
  <c r="K526" i="30"/>
  <c r="V526" i="30" s="1"/>
  <c r="K524" i="30"/>
  <c r="V524" i="30" s="1"/>
  <c r="K531" i="30"/>
  <c r="V531" i="30" s="1"/>
  <c r="K527" i="30"/>
  <c r="V527" i="30" s="1"/>
  <c r="K529" i="30"/>
  <c r="V529" i="30" s="1"/>
  <c r="K557" i="30"/>
  <c r="V557" i="30" s="1"/>
  <c r="K555" i="30"/>
  <c r="V555" i="30" s="1"/>
  <c r="K550" i="30"/>
  <c r="K553" i="30"/>
  <c r="V553" i="30" s="1"/>
  <c r="K556" i="30"/>
  <c r="K551" i="30"/>
  <c r="V551" i="30" s="1"/>
  <c r="K552" i="30"/>
  <c r="V552" i="30" s="1"/>
  <c r="K558" i="30"/>
  <c r="V558" i="30" s="1"/>
  <c r="K554" i="30"/>
  <c r="V554" i="30" s="1"/>
  <c r="X93" i="36"/>
  <c r="X94" i="36" s="1"/>
  <c r="P29" i="30"/>
  <c r="E85" i="30"/>
  <c r="P85" i="30" s="1"/>
  <c r="E133" i="30"/>
  <c r="P133" i="30" s="1"/>
  <c r="E193" i="30"/>
  <c r="P193" i="30" s="1"/>
  <c r="P245" i="30"/>
  <c r="E285" i="30"/>
  <c r="P285" i="30" s="1"/>
  <c r="P329" i="30"/>
  <c r="E377" i="30"/>
  <c r="P377" i="30" s="1"/>
  <c r="E425" i="30"/>
  <c r="P425" i="30" s="1"/>
  <c r="P481" i="30"/>
  <c r="P533" i="30"/>
  <c r="E573" i="30"/>
  <c r="P573" i="30" s="1"/>
  <c r="E621" i="30"/>
  <c r="P621" i="30" s="1"/>
  <c r="P673" i="30"/>
  <c r="P721" i="30"/>
  <c r="P777" i="30"/>
  <c r="P829" i="30"/>
  <c r="P14" i="30"/>
  <c r="P30" i="30"/>
  <c r="P46" i="30"/>
  <c r="E62" i="30"/>
  <c r="P62" i="30" s="1"/>
  <c r="E78" i="30"/>
  <c r="P78" i="30" s="1"/>
  <c r="P94" i="30"/>
  <c r="E110" i="30"/>
  <c r="P110" i="30" s="1"/>
  <c r="E126" i="30"/>
  <c r="P126" i="30" s="1"/>
  <c r="P142" i="30"/>
  <c r="E158" i="30"/>
  <c r="P158" i="30" s="1"/>
  <c r="E174" i="30"/>
  <c r="P174" i="30" s="1"/>
  <c r="E190" i="30"/>
  <c r="P190" i="30" s="1"/>
  <c r="P206" i="30"/>
  <c r="P222" i="30"/>
  <c r="E238" i="30"/>
  <c r="P238" i="30" s="1"/>
  <c r="P254" i="30"/>
  <c r="P270" i="30"/>
  <c r="E286" i="30"/>
  <c r="P286" i="30" s="1"/>
  <c r="P318" i="30"/>
  <c r="P334" i="30"/>
  <c r="P350" i="30"/>
  <c r="E366" i="30"/>
  <c r="P366" i="30" s="1"/>
  <c r="P382" i="30"/>
  <c r="P398" i="30"/>
  <c r="E414" i="30"/>
  <c r="P414" i="30" s="1"/>
  <c r="E430" i="30"/>
  <c r="P430" i="30" s="1"/>
  <c r="E462" i="30"/>
  <c r="P462" i="30" s="1"/>
  <c r="P478" i="30"/>
  <c r="P494" i="30"/>
  <c r="E510" i="30"/>
  <c r="P510" i="30" s="1"/>
  <c r="P526" i="30"/>
  <c r="E542" i="30"/>
  <c r="P542" i="30" s="1"/>
  <c r="P558" i="30"/>
  <c r="E574" i="30"/>
  <c r="P574" i="30" s="1"/>
  <c r="E590" i="30"/>
  <c r="P590" i="30" s="1"/>
  <c r="E606" i="30"/>
  <c r="P606" i="30" s="1"/>
  <c r="E622" i="30"/>
  <c r="P622" i="30" s="1"/>
  <c r="P638" i="30"/>
  <c r="P654" i="30"/>
  <c r="P670" i="30"/>
  <c r="P702" i="30"/>
  <c r="P718" i="30"/>
  <c r="P734" i="30"/>
  <c r="P750" i="30"/>
  <c r="P766" i="30"/>
  <c r="P782" i="30"/>
  <c r="P798" i="30"/>
  <c r="P814" i="30"/>
  <c r="P830" i="30"/>
  <c r="P848" i="30"/>
  <c r="P25" i="30"/>
  <c r="E81" i="30"/>
  <c r="P81" i="30" s="1"/>
  <c r="E125" i="30"/>
  <c r="P125" i="30" s="1"/>
  <c r="E173" i="30"/>
  <c r="P173" i="30" s="1"/>
  <c r="P217" i="30"/>
  <c r="P269" i="30"/>
  <c r="E313" i="30"/>
  <c r="P313" i="30" s="1"/>
  <c r="P353" i="30"/>
  <c r="E401" i="30"/>
  <c r="P401" i="30" s="1"/>
  <c r="E453" i="30"/>
  <c r="P453" i="30" s="1"/>
  <c r="P497" i="30"/>
  <c r="P537" i="30"/>
  <c r="E589" i="30"/>
  <c r="P589" i="30" s="1"/>
  <c r="P633" i="30"/>
  <c r="P729" i="30"/>
  <c r="P769" i="30"/>
  <c r="P813" i="30"/>
  <c r="P11" i="30"/>
  <c r="P27" i="30"/>
  <c r="P43" i="30"/>
  <c r="E59" i="30"/>
  <c r="P59" i="30" s="1"/>
  <c r="E75" i="30"/>
  <c r="P75" i="30" s="1"/>
  <c r="P91" i="30"/>
  <c r="E107" i="30"/>
  <c r="P107" i="30" s="1"/>
  <c r="E123" i="30"/>
  <c r="P123" i="30" s="1"/>
  <c r="P139" i="30"/>
  <c r="P155" i="30"/>
  <c r="E171" i="30"/>
  <c r="P171" i="30" s="1"/>
  <c r="E187" i="30"/>
  <c r="P187" i="30" s="1"/>
  <c r="E203" i="30"/>
  <c r="P203" i="30" s="1"/>
  <c r="P219" i="30"/>
  <c r="E235" i="30"/>
  <c r="P235" i="30" s="1"/>
  <c r="P251" i="30"/>
  <c r="P267" i="30"/>
  <c r="E283" i="30"/>
  <c r="P283" i="30" s="1"/>
  <c r="P315" i="30"/>
  <c r="P331" i="30"/>
  <c r="E347" i="30"/>
  <c r="P347" i="30" s="1"/>
  <c r="E363" i="30"/>
  <c r="P363" i="30" s="1"/>
  <c r="E379" i="30"/>
  <c r="P379" i="30" s="1"/>
  <c r="P395" i="30"/>
  <c r="E411" i="30"/>
  <c r="P411" i="30" s="1"/>
  <c r="E427" i="30"/>
  <c r="P427" i="30" s="1"/>
  <c r="E459" i="30"/>
  <c r="P459" i="30" s="1"/>
  <c r="P475" i="30"/>
  <c r="E491" i="30"/>
  <c r="P491" i="30" s="1"/>
  <c r="E507" i="30"/>
  <c r="P507" i="30" s="1"/>
  <c r="P523" i="30"/>
  <c r="P539" i="30"/>
  <c r="P555" i="30"/>
  <c r="E571" i="30"/>
  <c r="P571" i="30" s="1"/>
  <c r="E587" i="30"/>
  <c r="P587" i="30" s="1"/>
  <c r="E603" i="30"/>
  <c r="P603" i="30" s="1"/>
  <c r="E619" i="30"/>
  <c r="P619" i="30" s="1"/>
  <c r="P635" i="30"/>
  <c r="P667" i="30"/>
  <c r="P699" i="30"/>
  <c r="P715" i="30"/>
  <c r="P731" i="30"/>
  <c r="P747" i="30"/>
  <c r="P763" i="30"/>
  <c r="P779" i="30"/>
  <c r="P795" i="30"/>
  <c r="P811" i="30"/>
  <c r="P827" i="30"/>
  <c r="P844" i="30"/>
  <c r="P21" i="30"/>
  <c r="E61" i="30"/>
  <c r="P61" i="30" s="1"/>
  <c r="E105" i="30"/>
  <c r="P105" i="30" s="1"/>
  <c r="P145" i="30"/>
  <c r="E189" i="30"/>
  <c r="P189" i="30" s="1"/>
  <c r="E237" i="30"/>
  <c r="P237" i="30" s="1"/>
  <c r="E293" i="30"/>
  <c r="P293" i="30" s="1"/>
  <c r="P357" i="30"/>
  <c r="P397" i="30"/>
  <c r="E489" i="30"/>
  <c r="P489" i="30" s="1"/>
  <c r="E541" i="30"/>
  <c r="P541" i="30" s="1"/>
  <c r="E593" i="30"/>
  <c r="P593" i="30" s="1"/>
  <c r="P641" i="30"/>
  <c r="P689" i="30"/>
  <c r="P741" i="30"/>
  <c r="P785" i="30"/>
  <c r="P833" i="30"/>
  <c r="P16" i="30"/>
  <c r="P32" i="30"/>
  <c r="P52" i="30"/>
  <c r="P92" i="30"/>
  <c r="P144" i="30"/>
  <c r="P180" i="30"/>
  <c r="E236" i="30"/>
  <c r="P236" i="30" s="1"/>
  <c r="P252" i="30"/>
  <c r="P268" i="30"/>
  <c r="E304" i="30"/>
  <c r="P304" i="30" s="1"/>
  <c r="P324" i="30"/>
  <c r="E340" i="30"/>
  <c r="P340" i="30" s="1"/>
  <c r="E364" i="30"/>
  <c r="P364" i="30" s="1"/>
  <c r="P384" i="30"/>
  <c r="E400" i="30"/>
  <c r="P400" i="30" s="1"/>
  <c r="E460" i="30"/>
  <c r="P460" i="30" s="1"/>
  <c r="E492" i="30"/>
  <c r="P492" i="30" s="1"/>
  <c r="P524" i="30"/>
  <c r="E540" i="30"/>
  <c r="P540" i="30" s="1"/>
  <c r="E588" i="30"/>
  <c r="P588" i="30" s="1"/>
  <c r="E620" i="30"/>
  <c r="P620" i="30" s="1"/>
  <c r="P700" i="30"/>
  <c r="P716" i="30"/>
  <c r="P732" i="30"/>
  <c r="P748" i="30"/>
  <c r="P764" i="30"/>
  <c r="P780" i="30"/>
  <c r="P796" i="30"/>
  <c r="P812" i="30"/>
  <c r="P828" i="30"/>
  <c r="P845" i="30"/>
  <c r="P847" i="30"/>
  <c r="Q29" i="30"/>
  <c r="Q246" i="30"/>
  <c r="Q210" i="30"/>
  <c r="Q211" i="30"/>
  <c r="Q243" i="30"/>
  <c r="Q145" i="30"/>
  <c r="Q209" i="30"/>
  <c r="Q155" i="30"/>
  <c r="Q30" i="30"/>
  <c r="Q247" i="30"/>
  <c r="Q208" i="30"/>
  <c r="Q235" i="30"/>
  <c r="Q237" i="30"/>
  <c r="Q232" i="30"/>
  <c r="Q193" i="30"/>
  <c r="Q190" i="30"/>
  <c r="Q59" i="30"/>
  <c r="Q103" i="30"/>
  <c r="Q326" i="30"/>
  <c r="Q494" i="30"/>
  <c r="Q49" i="30"/>
  <c r="Q54" i="30"/>
  <c r="Q230" i="30"/>
  <c r="Q265" i="30"/>
  <c r="Q323" i="30"/>
  <c r="Q325" i="30"/>
  <c r="Q398" i="30"/>
  <c r="Q440" i="30"/>
  <c r="Q55" i="30"/>
  <c r="Q178" i="30"/>
  <c r="Q270" i="30"/>
  <c r="Q316" i="30"/>
  <c r="Q441" i="30"/>
  <c r="Q537" i="30"/>
  <c r="Q609" i="30"/>
  <c r="Q52" i="30"/>
  <c r="Q57" i="30"/>
  <c r="Q95" i="30"/>
  <c r="Q268" i="30"/>
  <c r="Q318" i="30"/>
  <c r="Q336" i="30"/>
  <c r="Q353" i="30"/>
  <c r="Q397" i="30"/>
  <c r="Q428" i="30"/>
  <c r="Q435" i="30"/>
  <c r="Q495" i="30"/>
  <c r="Q611" i="30"/>
  <c r="Q266" i="30"/>
  <c r="Q334" i="30"/>
  <c r="Q448" i="30"/>
  <c r="Q53" i="30"/>
  <c r="Q104" i="30"/>
  <c r="Q228" i="30"/>
  <c r="Q303" i="30"/>
  <c r="Q317" i="30"/>
  <c r="Q335" i="30"/>
  <c r="Q356" i="30"/>
  <c r="Q396" i="30"/>
  <c r="Q431" i="30"/>
  <c r="Q438" i="30"/>
  <c r="Q18" i="30"/>
  <c r="Q13" i="30"/>
  <c r="Q8" i="30"/>
  <c r="P480" i="30"/>
  <c r="P496" i="30"/>
  <c r="P528" i="30"/>
  <c r="P608" i="30"/>
  <c r="P640" i="30"/>
  <c r="P656" i="30"/>
  <c r="P672" i="30"/>
  <c r="P688" i="30"/>
  <c r="P704" i="30"/>
  <c r="P720" i="30"/>
  <c r="P736" i="30"/>
  <c r="P752" i="30"/>
  <c r="P768" i="30"/>
  <c r="P784" i="30"/>
  <c r="P800" i="30"/>
  <c r="P816" i="30"/>
  <c r="P832" i="30"/>
  <c r="P850" i="30"/>
  <c r="P851" i="30"/>
  <c r="Q146" i="30"/>
  <c r="Q242" i="30"/>
  <c r="Q28" i="30"/>
  <c r="Q31" i="30"/>
  <c r="Q207" i="30"/>
  <c r="Q149" i="30"/>
  <c r="Q22" i="30"/>
  <c r="Q252" i="30"/>
  <c r="Q152" i="30"/>
  <c r="Q244" i="30"/>
  <c r="Q195" i="30"/>
  <c r="Q239" i="30"/>
  <c r="Q233" i="30"/>
  <c r="Q189" i="30"/>
  <c r="Q241" i="30"/>
  <c r="Q186" i="30"/>
  <c r="Q231" i="30"/>
  <c r="Q313" i="30"/>
  <c r="Q399" i="30"/>
  <c r="Q426" i="30"/>
  <c r="Q613" i="30"/>
  <c r="Q45" i="30"/>
  <c r="Q102" i="30"/>
  <c r="Q226" i="30"/>
  <c r="Q312" i="30"/>
  <c r="Q319" i="30"/>
  <c r="Q337" i="30"/>
  <c r="Q349" i="30"/>
  <c r="Q394" i="30"/>
  <c r="Q422" i="30"/>
  <c r="Q436" i="30"/>
  <c r="Q500" i="30"/>
  <c r="Q330" i="30"/>
  <c r="Q443" i="30"/>
  <c r="Q497" i="30"/>
  <c r="Q48" i="30"/>
  <c r="Q101" i="30"/>
  <c r="Q229" i="30"/>
  <c r="Q264" i="30"/>
  <c r="Q311" i="30"/>
  <c r="Q324" i="30"/>
  <c r="Q393" i="30"/>
  <c r="Q424" i="30"/>
  <c r="Q450" i="30"/>
  <c r="Q539" i="30"/>
  <c r="Q182" i="30"/>
  <c r="Q51" i="30"/>
  <c r="Q60" i="30"/>
  <c r="Q100" i="30"/>
  <c r="Q183" i="30"/>
  <c r="Q271" i="30"/>
  <c r="Q310" i="30"/>
  <c r="Q331" i="30"/>
  <c r="Q352" i="30"/>
  <c r="Q392" i="30"/>
  <c r="Q427" i="30"/>
  <c r="Q434" i="30"/>
  <c r="Q11" i="30"/>
  <c r="Q17" i="30"/>
  <c r="Q12" i="30"/>
  <c r="P500" i="30"/>
  <c r="P532" i="30"/>
  <c r="P612" i="30"/>
  <c r="P628" i="30"/>
  <c r="P660" i="30"/>
  <c r="P676" i="30"/>
  <c r="P692" i="30"/>
  <c r="P708" i="30"/>
  <c r="P724" i="30"/>
  <c r="P740" i="30"/>
  <c r="P756" i="30"/>
  <c r="P772" i="30"/>
  <c r="P788" i="30"/>
  <c r="P804" i="30"/>
  <c r="P820" i="30"/>
  <c r="P836" i="30"/>
  <c r="P856" i="30"/>
  <c r="P855" i="30"/>
  <c r="Q32" i="30"/>
  <c r="Q249" i="30"/>
  <c r="Q150" i="30"/>
  <c r="Q147" i="30"/>
  <c r="Q206" i="30"/>
  <c r="Q245" i="30"/>
  <c r="Q26" i="30"/>
  <c r="Q25" i="30"/>
  <c r="Q154" i="30"/>
  <c r="Q213" i="30"/>
  <c r="Q187" i="30"/>
  <c r="Q194" i="30"/>
  <c r="Q188" i="30"/>
  <c r="Q192" i="30"/>
  <c r="Q238" i="30"/>
  <c r="Q305" i="30"/>
  <c r="Q355" i="30"/>
  <c r="Q391" i="30"/>
  <c r="Q437" i="30"/>
  <c r="Q62" i="30"/>
  <c r="Q98" i="30"/>
  <c r="Q185" i="30"/>
  <c r="Q262" i="30"/>
  <c r="Q308" i="30"/>
  <c r="Q315" i="30"/>
  <c r="Q333" i="30"/>
  <c r="Q354" i="30"/>
  <c r="Q390" i="30"/>
  <c r="Q429" i="30"/>
  <c r="Q451" i="30"/>
  <c r="Q496" i="30"/>
  <c r="Q532" i="30"/>
  <c r="Q338" i="30"/>
  <c r="Q395" i="30"/>
  <c r="Q44" i="30"/>
  <c r="Q97" i="30"/>
  <c r="Q184" i="30"/>
  <c r="Q225" i="30"/>
  <c r="Q307" i="30"/>
  <c r="Q328" i="30"/>
  <c r="Q433" i="30"/>
  <c r="Q446" i="30"/>
  <c r="Q535" i="30"/>
  <c r="Q47" i="30"/>
  <c r="Q56" i="30"/>
  <c r="Q96" i="30"/>
  <c r="Q179" i="30"/>
  <c r="Q267" i="30"/>
  <c r="Q306" i="30"/>
  <c r="Q327" i="30"/>
  <c r="Q423" i="30"/>
  <c r="Q449" i="30"/>
  <c r="Q498" i="30"/>
  <c r="Q538" i="30"/>
  <c r="Q608" i="30"/>
  <c r="Q9" i="30"/>
  <c r="Q15" i="30"/>
  <c r="Q21" i="30"/>
  <c r="Q16" i="30"/>
  <c r="P713" i="30"/>
  <c r="P765" i="30"/>
  <c r="P809" i="30"/>
  <c r="P8" i="30"/>
  <c r="P24" i="30"/>
  <c r="P88" i="30"/>
  <c r="P104" i="30"/>
  <c r="P136" i="30"/>
  <c r="P152" i="30"/>
  <c r="P184" i="30"/>
  <c r="P216" i="30"/>
  <c r="P248" i="30"/>
  <c r="P264" i="30"/>
  <c r="P328" i="30"/>
  <c r="P392" i="30"/>
  <c r="P440" i="30"/>
  <c r="P536" i="30"/>
  <c r="P552" i="30"/>
  <c r="P632" i="30"/>
  <c r="P664" i="30"/>
  <c r="P696" i="30"/>
  <c r="P712" i="30"/>
  <c r="P728" i="30"/>
  <c r="P744" i="30"/>
  <c r="P760" i="30"/>
  <c r="P776" i="30"/>
  <c r="P792" i="30"/>
  <c r="P808" i="30"/>
  <c r="P824" i="30"/>
  <c r="P840" i="30"/>
  <c r="P843" i="30"/>
  <c r="Q27" i="30"/>
  <c r="Q151" i="30"/>
  <c r="Q212" i="30"/>
  <c r="Q250" i="30"/>
  <c r="Q248" i="30"/>
  <c r="Q24" i="30"/>
  <c r="Q251" i="30"/>
  <c r="Q148" i="30"/>
  <c r="Q23" i="30"/>
  <c r="Q153" i="30"/>
  <c r="Q214" i="30"/>
  <c r="Q236" i="30"/>
  <c r="Q234" i="30"/>
  <c r="Q191" i="30"/>
  <c r="Q240" i="30"/>
  <c r="Q196" i="30"/>
  <c r="Q46" i="30"/>
  <c r="Q314" i="30"/>
  <c r="Q444" i="30"/>
  <c r="Q533" i="30"/>
  <c r="Q42" i="30"/>
  <c r="Q58" i="30"/>
  <c r="Q181" i="30"/>
  <c r="Q269" i="30"/>
  <c r="Q304" i="30"/>
  <c r="Q329" i="30"/>
  <c r="Q350" i="30"/>
  <c r="Q425" i="30"/>
  <c r="Q447" i="30"/>
  <c r="Q536" i="30"/>
  <c r="Q612" i="30"/>
  <c r="Q50" i="30"/>
  <c r="Q99" i="30"/>
  <c r="Q227" i="30"/>
  <c r="Q309" i="30"/>
  <c r="Q351" i="30"/>
  <c r="Q61" i="30"/>
  <c r="Q180" i="30"/>
  <c r="Q272" i="30"/>
  <c r="Q322" i="30"/>
  <c r="Q332" i="30"/>
  <c r="Q357" i="30"/>
  <c r="Q432" i="30"/>
  <c r="Q439" i="30"/>
  <c r="Q499" i="30"/>
  <c r="Q63" i="30"/>
  <c r="Q320" i="30"/>
  <c r="Q430" i="30"/>
  <c r="Q43" i="30"/>
  <c r="Q224" i="30"/>
  <c r="Q263" i="30"/>
  <c r="Q321" i="30"/>
  <c r="Q339" i="30"/>
  <c r="Q389" i="30"/>
  <c r="Q442" i="30"/>
  <c r="Q445" i="30"/>
  <c r="Q534" i="30"/>
  <c r="Q610" i="30"/>
  <c r="Q10" i="30"/>
  <c r="Q19" i="30"/>
  <c r="Q14" i="30"/>
  <c r="Q20" i="30"/>
  <c r="K93" i="36"/>
  <c r="T86" i="36"/>
  <c r="AG10" i="66" s="1"/>
  <c r="M93" i="36"/>
  <c r="S86" i="36"/>
  <c r="AG9" i="66" s="1"/>
  <c r="L93" i="36"/>
  <c r="G23" i="36"/>
  <c r="AC54" i="30"/>
  <c r="AD54" i="30" s="1"/>
  <c r="AC187" i="30"/>
  <c r="AD187" i="30" s="1"/>
  <c r="AC531" i="30"/>
  <c r="AD531" i="30" s="1"/>
  <c r="AC452" i="30"/>
  <c r="AD452" i="30" s="1"/>
  <c r="AC378" i="30"/>
  <c r="AD378" i="30" s="1"/>
  <c r="AC379" i="30"/>
  <c r="AD379" i="30" s="1"/>
  <c r="AC606" i="30"/>
  <c r="AD606" i="30" s="1"/>
  <c r="AC597" i="30"/>
  <c r="AD597" i="30" s="1"/>
  <c r="P83" i="31"/>
  <c r="Y17" i="43"/>
  <c r="Z17" i="43"/>
  <c r="W72" i="34"/>
  <c r="AK51" i="34"/>
  <c r="R18" i="34"/>
  <c r="AE128" i="30" s="1"/>
  <c r="AF128" i="30" s="1"/>
  <c r="AC128" i="30"/>
  <c r="AD128" i="30" s="1"/>
  <c r="P18" i="34"/>
  <c r="AE126" i="30" s="1"/>
  <c r="AF126" i="30" s="1"/>
  <c r="AC126" i="30"/>
  <c r="AD126" i="30" s="1"/>
  <c r="AC585" i="30"/>
  <c r="AD585" i="30" s="1"/>
  <c r="AC584" i="30"/>
  <c r="AD584" i="30" s="1"/>
  <c r="AC94" i="30"/>
  <c r="AD94" i="30" s="1"/>
  <c r="AC287" i="30"/>
  <c r="AD287" i="30" s="1"/>
  <c r="AC163" i="30"/>
  <c r="AD163" i="30" s="1"/>
  <c r="AC93" i="30"/>
  <c r="AD93" i="30" s="1"/>
  <c r="AC462" i="30"/>
  <c r="AD462" i="30" s="1"/>
  <c r="AC283" i="30"/>
  <c r="AD283" i="30" s="1"/>
  <c r="AC410" i="30"/>
  <c r="AD410" i="30" s="1"/>
  <c r="AC64" i="30"/>
  <c r="AD64" i="30" s="1"/>
  <c r="AC607" i="30"/>
  <c r="AD607" i="30" s="1"/>
  <c r="AC409" i="30"/>
  <c r="AD409" i="30" s="1"/>
  <c r="AC369" i="30"/>
  <c r="AD369" i="30" s="1"/>
  <c r="AC339" i="30"/>
  <c r="AD339" i="30" s="1"/>
  <c r="AC92" i="30"/>
  <c r="AD92" i="30" s="1"/>
  <c r="AC281" i="30"/>
  <c r="AD281" i="30" s="1"/>
  <c r="AC461" i="30"/>
  <c r="AD461" i="30" s="1"/>
  <c r="AC72" i="30"/>
  <c r="AD72" i="30" s="1"/>
  <c r="AC338" i="30"/>
  <c r="AD338" i="30" s="1"/>
  <c r="E89" i="31"/>
  <c r="C18" i="43"/>
  <c r="U9" i="34"/>
  <c r="AE70" i="30" s="1"/>
  <c r="AF70" i="30" s="1"/>
  <c r="U11" i="34"/>
  <c r="AE90" i="30" s="1"/>
  <c r="AF90" i="30" s="1"/>
  <c r="U41" i="34"/>
  <c r="AE592" i="30" s="1"/>
  <c r="AF592" i="30" s="1"/>
  <c r="AC66" i="30"/>
  <c r="AD66" i="30" s="1"/>
  <c r="AC96" i="30"/>
  <c r="AD96" i="30" s="1"/>
  <c r="AC336" i="30"/>
  <c r="AD336" i="30" s="1"/>
  <c r="AC582" i="30"/>
  <c r="AD582" i="30" s="1"/>
  <c r="AC604" i="30"/>
  <c r="AD604" i="30" s="1"/>
  <c r="AC280" i="30"/>
  <c r="AD280" i="30" s="1"/>
  <c r="AC337" i="30"/>
  <c r="AD337" i="30" s="1"/>
  <c r="AC71" i="30"/>
  <c r="AD71" i="30" s="1"/>
  <c r="AC497" i="30"/>
  <c r="AD497" i="30" s="1"/>
  <c r="AC618" i="30"/>
  <c r="AD618" i="30" s="1"/>
  <c r="AC572" i="30"/>
  <c r="AD572" i="30" s="1"/>
  <c r="AC376" i="30"/>
  <c r="AD376" i="30" s="1"/>
  <c r="AC178" i="30"/>
  <c r="AD178" i="30" s="1"/>
  <c r="AC79" i="30"/>
  <c r="AD79" i="30" s="1"/>
  <c r="F61" i="31"/>
  <c r="Q61" i="31" s="1"/>
  <c r="AE679" i="30" s="1"/>
  <c r="AF679" i="30" s="1"/>
  <c r="U55" i="34"/>
  <c r="AE327" i="30" s="1"/>
  <c r="AF327" i="30" s="1"/>
  <c r="AC327" i="30"/>
  <c r="AD327" i="30" s="1"/>
  <c r="U45" i="34"/>
  <c r="AE574" i="30" s="1"/>
  <c r="AF574" i="30" s="1"/>
  <c r="I39" i="34"/>
  <c r="O16" i="43"/>
  <c r="P17" i="43" s="1"/>
  <c r="Q17" i="43" s="1"/>
  <c r="K16" i="43"/>
  <c r="G16" i="43"/>
  <c r="H17" i="43" s="1"/>
  <c r="I17" i="43" s="1"/>
  <c r="AE661" i="30"/>
  <c r="AF661" i="30" s="1"/>
  <c r="AC33" i="30"/>
  <c r="AD33" i="30" s="1"/>
  <c r="N36" i="31"/>
  <c r="W165" i="30"/>
  <c r="W161" i="30"/>
  <c r="W157" i="30"/>
  <c r="W163" i="30"/>
  <c r="W159" i="30"/>
  <c r="W166" i="30"/>
  <c r="W162" i="30"/>
  <c r="W164" i="30"/>
  <c r="W160" i="30"/>
  <c r="W156" i="30"/>
  <c r="X525" i="30"/>
  <c r="X528" i="30"/>
  <c r="X413" i="30"/>
  <c r="X411" i="30"/>
  <c r="X416" i="30"/>
  <c r="W94" i="30"/>
  <c r="W90" i="30"/>
  <c r="W86" i="30"/>
  <c r="W92" i="30"/>
  <c r="W91" i="30"/>
  <c r="W87" i="30"/>
  <c r="W89" i="30"/>
  <c r="W93" i="30"/>
  <c r="W88" i="30"/>
  <c r="W367" i="30"/>
  <c r="W363" i="30"/>
  <c r="W359" i="30"/>
  <c r="W366" i="30"/>
  <c r="W362" i="30"/>
  <c r="W358" i="30"/>
  <c r="W365" i="30"/>
  <c r="W361" i="30"/>
  <c r="W368" i="30"/>
  <c r="W364" i="30"/>
  <c r="W360" i="30"/>
  <c r="W606" i="30"/>
  <c r="W602" i="30"/>
  <c r="W598" i="30"/>
  <c r="W605" i="30"/>
  <c r="W601" i="30"/>
  <c r="W597" i="30"/>
  <c r="W604" i="30"/>
  <c r="W600" i="30"/>
  <c r="W607" i="30"/>
  <c r="W603" i="30"/>
  <c r="W599" i="30"/>
  <c r="W379" i="30"/>
  <c r="W375" i="30"/>
  <c r="W371" i="30"/>
  <c r="W378" i="30"/>
  <c r="W374" i="30"/>
  <c r="W370" i="30"/>
  <c r="W377" i="30"/>
  <c r="W373" i="30"/>
  <c r="W369" i="30"/>
  <c r="W376" i="30"/>
  <c r="W372" i="30"/>
  <c r="W408" i="30"/>
  <c r="W410" i="30"/>
  <c r="W409" i="30"/>
  <c r="W404" i="30"/>
  <c r="W400" i="30"/>
  <c r="W407" i="30"/>
  <c r="W403" i="30"/>
  <c r="W406" i="30"/>
  <c r="W402" i="30"/>
  <c r="W405" i="30"/>
  <c r="W401" i="30"/>
  <c r="W336" i="30"/>
  <c r="W332" i="30"/>
  <c r="W339" i="30"/>
  <c r="W335" i="30"/>
  <c r="W338" i="30"/>
  <c r="W334" i="30"/>
  <c r="W337" i="30"/>
  <c r="W333" i="30"/>
  <c r="R70" i="30"/>
  <c r="R72" i="30"/>
  <c r="R67" i="30"/>
  <c r="R68" i="30"/>
  <c r="R64" i="30"/>
  <c r="R71" i="30"/>
  <c r="R65" i="30"/>
  <c r="T83" i="30"/>
  <c r="T79" i="30"/>
  <c r="T75" i="30"/>
  <c r="T84" i="30"/>
  <c r="T82" i="30"/>
  <c r="T85" i="30"/>
  <c r="T77" i="30"/>
  <c r="R92" i="30"/>
  <c r="R88" i="30"/>
  <c r="U134" i="30"/>
  <c r="S163" i="30"/>
  <c r="S160" i="30"/>
  <c r="S164" i="30"/>
  <c r="S156" i="30"/>
  <c r="U167" i="30"/>
  <c r="U177" i="30"/>
  <c r="U176" i="30"/>
  <c r="R217" i="30"/>
  <c r="S280" i="30"/>
  <c r="S276" i="30"/>
  <c r="S279" i="30"/>
  <c r="S282" i="30"/>
  <c r="S281" i="30"/>
  <c r="S275" i="30"/>
  <c r="U293" i="30"/>
  <c r="U289" i="30"/>
  <c r="U285" i="30"/>
  <c r="U292" i="30"/>
  <c r="U284" i="30"/>
  <c r="U291" i="30"/>
  <c r="U302" i="30"/>
  <c r="U298" i="30"/>
  <c r="U300" i="30"/>
  <c r="U296" i="30"/>
  <c r="S324" i="30"/>
  <c r="R335" i="30"/>
  <c r="R338" i="30"/>
  <c r="R334" i="30"/>
  <c r="R332" i="30"/>
  <c r="T345" i="30"/>
  <c r="T341" i="30"/>
  <c r="T348" i="30"/>
  <c r="T344" i="30"/>
  <c r="T343" i="30"/>
  <c r="T342" i="30"/>
  <c r="U365" i="30"/>
  <c r="U368" i="30"/>
  <c r="U367" i="30"/>
  <c r="U363" i="30"/>
  <c r="U359" i="30"/>
  <c r="U366" i="30"/>
  <c r="U358" i="30"/>
  <c r="S378" i="30"/>
  <c r="S374" i="30"/>
  <c r="S370" i="30"/>
  <c r="S377" i="30"/>
  <c r="S373" i="30"/>
  <c r="S369" i="30"/>
  <c r="S372" i="30"/>
  <c r="T409" i="30"/>
  <c r="T405" i="30"/>
  <c r="T400" i="30"/>
  <c r="T406" i="30"/>
  <c r="R419" i="30"/>
  <c r="R411" i="30"/>
  <c r="R421" i="30"/>
  <c r="R416" i="30"/>
  <c r="R412" i="30"/>
  <c r="R418" i="30"/>
  <c r="R456" i="30"/>
  <c r="T472" i="30"/>
  <c r="U499" i="30"/>
  <c r="U497" i="30"/>
  <c r="U500" i="30"/>
  <c r="U496" i="30"/>
  <c r="S509" i="30"/>
  <c r="S501" i="30"/>
  <c r="S504" i="30"/>
  <c r="S507" i="30"/>
  <c r="S503" i="30"/>
  <c r="S510" i="30"/>
  <c r="S506" i="30"/>
  <c r="U519" i="30"/>
  <c r="U515" i="30"/>
  <c r="U518" i="30"/>
  <c r="U514" i="30"/>
  <c r="U513" i="30"/>
  <c r="U520" i="30"/>
  <c r="U516" i="30"/>
  <c r="U512" i="30"/>
  <c r="S528" i="30"/>
  <c r="S526" i="30"/>
  <c r="U538" i="30"/>
  <c r="U537" i="30"/>
  <c r="U539" i="30"/>
  <c r="U534" i="30"/>
  <c r="U536" i="30"/>
  <c r="U532" i="30"/>
  <c r="S546" i="30"/>
  <c r="S548" i="30"/>
  <c r="S540" i="30"/>
  <c r="S547" i="30"/>
  <c r="S543" i="30"/>
  <c r="S541" i="30"/>
  <c r="S549" i="30"/>
  <c r="T585" i="30"/>
  <c r="T581" i="30"/>
  <c r="T584" i="30"/>
  <c r="T606" i="30"/>
  <c r="T605" i="30"/>
  <c r="T601" i="30"/>
  <c r="T597" i="30"/>
  <c r="T604" i="30"/>
  <c r="T600" i="30"/>
  <c r="U612" i="30"/>
  <c r="U610" i="30"/>
  <c r="U613" i="30"/>
  <c r="U609" i="30"/>
  <c r="R621" i="30"/>
  <c r="R557" i="30"/>
  <c r="R555" i="30"/>
  <c r="R554" i="30"/>
  <c r="R550" i="30"/>
  <c r="R552" i="30"/>
  <c r="R556" i="30"/>
  <c r="S490" i="30"/>
  <c r="V93" i="30"/>
  <c r="V89" i="30"/>
  <c r="V91" i="30"/>
  <c r="V94" i="30"/>
  <c r="V90" i="30"/>
  <c r="V86" i="30"/>
  <c r="V87" i="30"/>
  <c r="V92" i="30"/>
  <c r="V88" i="30"/>
  <c r="V202" i="30"/>
  <c r="V198" i="30"/>
  <c r="V200" i="30"/>
  <c r="V205" i="30"/>
  <c r="V201" i="30"/>
  <c r="V605" i="30"/>
  <c r="V601" i="30"/>
  <c r="V597" i="30"/>
  <c r="V604" i="30"/>
  <c r="V607" i="30"/>
  <c r="V602" i="30"/>
  <c r="V283" i="30"/>
  <c r="V282" i="30"/>
  <c r="V278" i="30"/>
  <c r="V281" i="30"/>
  <c r="V273" i="30"/>
  <c r="V276" i="30"/>
  <c r="V339" i="30"/>
  <c r="V335" i="30"/>
  <c r="V334" i="30"/>
  <c r="V333" i="30"/>
  <c r="V409" i="30"/>
  <c r="V407" i="30"/>
  <c r="V403" i="30"/>
  <c r="V408" i="30"/>
  <c r="V405" i="30"/>
  <c r="V401" i="30"/>
  <c r="V404" i="30"/>
  <c r="V400" i="30"/>
  <c r="V495" i="30"/>
  <c r="V498" i="30"/>
  <c r="V497" i="30"/>
  <c r="V537" i="30"/>
  <c r="V538" i="30"/>
  <c r="V536" i="30"/>
  <c r="V533" i="30"/>
  <c r="X561" i="30"/>
  <c r="X560" i="30"/>
  <c r="X164" i="30"/>
  <c r="X160" i="30"/>
  <c r="X159" i="30"/>
  <c r="X161" i="30"/>
  <c r="X165" i="30"/>
  <c r="X83" i="30"/>
  <c r="X82" i="30"/>
  <c r="X78" i="30"/>
  <c r="X172" i="30"/>
  <c r="X167" i="30"/>
  <c r="X173" i="30"/>
  <c r="X360" i="30"/>
  <c r="X363" i="30"/>
  <c r="X365" i="30"/>
  <c r="W521" i="30"/>
  <c r="W517" i="30"/>
  <c r="W513" i="30"/>
  <c r="W520" i="30"/>
  <c r="W516" i="30"/>
  <c r="W512" i="30"/>
  <c r="W519" i="30"/>
  <c r="W515" i="30"/>
  <c r="W522" i="30"/>
  <c r="W518" i="30"/>
  <c r="W514" i="30"/>
  <c r="W292" i="30"/>
  <c r="W288" i="30"/>
  <c r="W284" i="30"/>
  <c r="W291" i="30"/>
  <c r="W287" i="30"/>
  <c r="W294" i="30"/>
  <c r="W290" i="30"/>
  <c r="W286" i="30"/>
  <c r="W293" i="30"/>
  <c r="W289" i="30"/>
  <c r="W285" i="30"/>
  <c r="W529" i="30"/>
  <c r="W525" i="30"/>
  <c r="W528" i="30"/>
  <c r="W524" i="30"/>
  <c r="W531" i="30"/>
  <c r="W527" i="30"/>
  <c r="W523" i="30"/>
  <c r="W530" i="30"/>
  <c r="W526" i="30"/>
  <c r="W74" i="30"/>
  <c r="W70" i="30"/>
  <c r="W71" i="30"/>
  <c r="W67" i="30"/>
  <c r="W73" i="30"/>
  <c r="W68" i="30"/>
  <c r="W69" i="30"/>
  <c r="W65" i="30"/>
  <c r="W72" i="30"/>
  <c r="W64" i="30"/>
  <c r="X595" i="30"/>
  <c r="X587" i="30"/>
  <c r="X594" i="30"/>
  <c r="X590" i="30"/>
  <c r="X593" i="30"/>
  <c r="W582" i="30"/>
  <c r="W585" i="30"/>
  <c r="W581" i="30"/>
  <c r="W584" i="30"/>
  <c r="W580" i="30"/>
  <c r="W583" i="30"/>
  <c r="W579" i="30"/>
  <c r="W509" i="30"/>
  <c r="W505" i="30"/>
  <c r="W501" i="30"/>
  <c r="W508" i="30"/>
  <c r="W504" i="30"/>
  <c r="W511" i="30"/>
  <c r="W507" i="30"/>
  <c r="W503" i="30"/>
  <c r="W510" i="30"/>
  <c r="W506" i="30"/>
  <c r="W502" i="30"/>
  <c r="W459" i="30"/>
  <c r="W455" i="30"/>
  <c r="W461" i="30"/>
  <c r="W457" i="30"/>
  <c r="W453" i="30"/>
  <c r="W460" i="30"/>
  <c r="W456" i="30"/>
  <c r="W452" i="30"/>
  <c r="W462" i="30"/>
  <c r="W458" i="30"/>
  <c r="W454" i="30"/>
  <c r="T204" i="30"/>
  <c r="T200" i="30"/>
  <c r="T198" i="30"/>
  <c r="T197" i="30"/>
  <c r="T203" i="30"/>
  <c r="U72" i="30"/>
  <c r="U65" i="30"/>
  <c r="U74" i="30"/>
  <c r="U70" i="30"/>
  <c r="U66" i="30"/>
  <c r="S79" i="30"/>
  <c r="S75" i="30"/>
  <c r="S81" i="30"/>
  <c r="S76" i="30"/>
  <c r="S85" i="30"/>
  <c r="U92" i="30"/>
  <c r="U88" i="30"/>
  <c r="U94" i="30"/>
  <c r="U90" i="30"/>
  <c r="U93" i="30"/>
  <c r="U89" i="30"/>
  <c r="U87" i="30"/>
  <c r="U91" i="30"/>
  <c r="U86" i="30"/>
  <c r="T125" i="30"/>
  <c r="T135" i="30"/>
  <c r="T134" i="30"/>
  <c r="T130" i="30"/>
  <c r="R164" i="30"/>
  <c r="R160" i="30"/>
  <c r="R166" i="30"/>
  <c r="R165" i="30"/>
  <c r="R157" i="30"/>
  <c r="T174" i="30"/>
  <c r="T176" i="30"/>
  <c r="T168" i="30"/>
  <c r="T167" i="30"/>
  <c r="T173" i="30"/>
  <c r="T177" i="30"/>
  <c r="U218" i="30"/>
  <c r="U220" i="30"/>
  <c r="U223" i="30"/>
  <c r="U215" i="30"/>
  <c r="U217" i="30"/>
  <c r="R283" i="30"/>
  <c r="R279" i="30"/>
  <c r="R277" i="30"/>
  <c r="T293" i="30"/>
  <c r="T289" i="30"/>
  <c r="T284" i="30"/>
  <c r="T294" i="30"/>
  <c r="T290" i="30"/>
  <c r="T299" i="30"/>
  <c r="R331" i="30"/>
  <c r="R329" i="30"/>
  <c r="R328" i="30"/>
  <c r="R324" i="30"/>
  <c r="U338" i="30"/>
  <c r="U334" i="30"/>
  <c r="U333" i="30"/>
  <c r="U335" i="30"/>
  <c r="S344" i="30"/>
  <c r="S340" i="30"/>
  <c r="S347" i="30"/>
  <c r="S343" i="30"/>
  <c r="S342" i="30"/>
  <c r="T368" i="30"/>
  <c r="T364" i="30"/>
  <c r="T360" i="30"/>
  <c r="T363" i="30"/>
  <c r="T366" i="30"/>
  <c r="T362" i="30"/>
  <c r="T358" i="30"/>
  <c r="R378" i="30"/>
  <c r="R370" i="30"/>
  <c r="R377" i="30"/>
  <c r="R373" i="30"/>
  <c r="R376" i="30"/>
  <c r="S407" i="30"/>
  <c r="S405" i="30"/>
  <c r="U419" i="30"/>
  <c r="U413" i="30"/>
  <c r="U453" i="30"/>
  <c r="U455" i="30"/>
  <c r="U458" i="30"/>
  <c r="U460" i="30"/>
  <c r="U456" i="30"/>
  <c r="S471" i="30"/>
  <c r="S463" i="30"/>
  <c r="S469" i="30"/>
  <c r="S472" i="30"/>
  <c r="S466" i="30"/>
  <c r="R511" i="30"/>
  <c r="R506" i="30"/>
  <c r="R509" i="30"/>
  <c r="T514" i="30"/>
  <c r="T521" i="30"/>
  <c r="T516" i="30"/>
  <c r="R528" i="30"/>
  <c r="R531" i="30"/>
  <c r="T537" i="30"/>
  <c r="T538" i="30"/>
  <c r="T532" i="30"/>
  <c r="T535" i="30"/>
  <c r="R549" i="30"/>
  <c r="R545" i="30"/>
  <c r="R547" i="30"/>
  <c r="R543" i="30"/>
  <c r="R546" i="30"/>
  <c r="R540" i="30"/>
  <c r="S582" i="30"/>
  <c r="S581" i="30"/>
  <c r="S580" i="30"/>
  <c r="S579" i="30"/>
  <c r="S594" i="30"/>
  <c r="S586" i="30"/>
  <c r="S593" i="30"/>
  <c r="S589" i="30"/>
  <c r="S596" i="30"/>
  <c r="S592" i="30"/>
  <c r="S587" i="30"/>
  <c r="S606" i="30"/>
  <c r="S602" i="30"/>
  <c r="S598" i="30"/>
  <c r="S597" i="30"/>
  <c r="S604" i="30"/>
  <c r="S603" i="30"/>
  <c r="T612" i="30"/>
  <c r="U621" i="30"/>
  <c r="U624" i="30"/>
  <c r="U620" i="30"/>
  <c r="U618" i="30"/>
  <c r="U615" i="30"/>
  <c r="U614" i="30"/>
  <c r="U558" i="30"/>
  <c r="U554" i="30"/>
  <c r="U551" i="30"/>
  <c r="T578" i="30"/>
  <c r="T577" i="30"/>
  <c r="T573" i="30"/>
  <c r="R488" i="30"/>
  <c r="R493" i="30"/>
  <c r="R483" i="30"/>
  <c r="R491" i="30"/>
  <c r="U491" i="30"/>
  <c r="U483" i="30"/>
  <c r="U493" i="30"/>
  <c r="U485" i="30"/>
  <c r="U490" i="30"/>
  <c r="V85" i="30"/>
  <c r="V81" i="30"/>
  <c r="V82" i="30"/>
  <c r="V78" i="30"/>
  <c r="V76" i="30"/>
  <c r="V83" i="30"/>
  <c r="V79" i="30"/>
  <c r="V171" i="30"/>
  <c r="V591" i="30"/>
  <c r="V594" i="30"/>
  <c r="V618" i="30"/>
  <c r="V623" i="30"/>
  <c r="V624" i="30"/>
  <c r="V614" i="30"/>
  <c r="V327" i="30"/>
  <c r="V330" i="30"/>
  <c r="V343" i="30"/>
  <c r="V345" i="30"/>
  <c r="V348" i="30"/>
  <c r="V472" i="30"/>
  <c r="V464" i="30"/>
  <c r="V463" i="30"/>
  <c r="V528" i="30"/>
  <c r="V550" i="30"/>
  <c r="V556" i="30"/>
  <c r="W566" i="30"/>
  <c r="W562" i="30"/>
  <c r="W565" i="30"/>
  <c r="W564" i="30"/>
  <c r="W560" i="30"/>
  <c r="W567" i="30"/>
  <c r="W563" i="30"/>
  <c r="W559" i="30"/>
  <c r="W561" i="30"/>
  <c r="W177" i="30"/>
  <c r="W173" i="30"/>
  <c r="W169" i="30"/>
  <c r="W175" i="30"/>
  <c r="W171" i="30"/>
  <c r="W167" i="30"/>
  <c r="W174" i="30"/>
  <c r="W170" i="30"/>
  <c r="W172" i="30"/>
  <c r="W168" i="30"/>
  <c r="W176" i="30"/>
  <c r="W558" i="30"/>
  <c r="W554" i="30"/>
  <c r="W550" i="30"/>
  <c r="W556" i="30"/>
  <c r="W552" i="30"/>
  <c r="W555" i="30"/>
  <c r="W551" i="30"/>
  <c r="W557" i="30"/>
  <c r="W553" i="30"/>
  <c r="W497" i="30"/>
  <c r="W500" i="30"/>
  <c r="W496" i="30"/>
  <c r="W499" i="30"/>
  <c r="W495" i="30"/>
  <c r="W498" i="30"/>
  <c r="W494" i="30"/>
  <c r="W420" i="30"/>
  <c r="W416" i="30"/>
  <c r="W412" i="30"/>
  <c r="W418" i="30"/>
  <c r="W414" i="30"/>
  <c r="W421" i="30"/>
  <c r="W417" i="30"/>
  <c r="W419" i="30"/>
  <c r="W415" i="30"/>
  <c r="W411" i="30"/>
  <c r="X301" i="30"/>
  <c r="X297" i="30"/>
  <c r="X300" i="30"/>
  <c r="X295" i="30"/>
  <c r="X302" i="30"/>
  <c r="W610" i="30"/>
  <c r="W613" i="30"/>
  <c r="W609" i="30"/>
  <c r="W612" i="30"/>
  <c r="W608" i="30"/>
  <c r="W611" i="30"/>
  <c r="W300" i="30"/>
  <c r="W296" i="30"/>
  <c r="W299" i="30"/>
  <c r="W295" i="30"/>
  <c r="W302" i="30"/>
  <c r="W298" i="30"/>
  <c r="W301" i="30"/>
  <c r="W297" i="30"/>
  <c r="S205" i="30"/>
  <c r="S201" i="30"/>
  <c r="S200" i="30"/>
  <c r="S202" i="30"/>
  <c r="S198" i="30"/>
  <c r="U201" i="30"/>
  <c r="U199" i="30"/>
  <c r="U202" i="30"/>
  <c r="U200" i="30"/>
  <c r="T67" i="30"/>
  <c r="T70" i="30"/>
  <c r="T65" i="30"/>
  <c r="T74" i="30"/>
  <c r="T64" i="30"/>
  <c r="R81" i="30"/>
  <c r="R77" i="30"/>
  <c r="R83" i="30"/>
  <c r="T93" i="30"/>
  <c r="T89" i="30"/>
  <c r="T88" i="30"/>
  <c r="T94" i="30"/>
  <c r="R113" i="30"/>
  <c r="R105" i="30"/>
  <c r="R114" i="30"/>
  <c r="R112" i="30"/>
  <c r="R108" i="30"/>
  <c r="S132" i="30"/>
  <c r="S134" i="30"/>
  <c r="S130" i="30"/>
  <c r="S126" i="30"/>
  <c r="S133" i="30"/>
  <c r="S129" i="30"/>
  <c r="U163" i="30"/>
  <c r="U159" i="30"/>
  <c r="U165" i="30"/>
  <c r="U161" i="30"/>
  <c r="U156" i="30"/>
  <c r="U166" i="30"/>
  <c r="U162" i="30"/>
  <c r="S177" i="30"/>
  <c r="S173" i="30"/>
  <c r="S169" i="30"/>
  <c r="S175" i="30"/>
  <c r="S171" i="30"/>
  <c r="S167" i="30"/>
  <c r="S176" i="30"/>
  <c r="T217" i="30"/>
  <c r="T215" i="30"/>
  <c r="T222" i="30"/>
  <c r="T220" i="30"/>
  <c r="T216" i="30"/>
  <c r="R231" i="30"/>
  <c r="U282" i="30"/>
  <c r="U278" i="30"/>
  <c r="U274" i="30"/>
  <c r="U281" i="30"/>
  <c r="U279" i="30"/>
  <c r="S292" i="30"/>
  <c r="S288" i="30"/>
  <c r="S284" i="30"/>
  <c r="S291" i="30"/>
  <c r="S290" i="30"/>
  <c r="S293" i="30"/>
  <c r="S289" i="30"/>
  <c r="S296" i="30"/>
  <c r="S302" i="30"/>
  <c r="S298" i="30"/>
  <c r="S301" i="30"/>
  <c r="U326" i="30"/>
  <c r="U329" i="30"/>
  <c r="U324" i="30"/>
  <c r="U331" i="30"/>
  <c r="U327" i="30"/>
  <c r="T333" i="30"/>
  <c r="T336" i="30"/>
  <c r="T339" i="30"/>
  <c r="T338" i="30"/>
  <c r="R347" i="30"/>
  <c r="R343" i="30"/>
  <c r="R346" i="30"/>
  <c r="R342" i="30"/>
  <c r="R344" i="30"/>
  <c r="R340" i="30"/>
  <c r="U342" i="30"/>
  <c r="U344" i="30"/>
  <c r="S363" i="30"/>
  <c r="S366" i="30"/>
  <c r="S362" i="30"/>
  <c r="S368" i="30"/>
  <c r="U373" i="30"/>
  <c r="U369" i="30"/>
  <c r="R409" i="30"/>
  <c r="R407" i="30"/>
  <c r="R406" i="30"/>
  <c r="R402" i="30"/>
  <c r="R410" i="30"/>
  <c r="R404" i="30"/>
  <c r="T417" i="30"/>
  <c r="T419" i="30"/>
  <c r="T411" i="30"/>
  <c r="T418" i="30"/>
  <c r="T414" i="30"/>
  <c r="T412" i="30"/>
  <c r="T460" i="30"/>
  <c r="T456" i="30"/>
  <c r="T452" i="30"/>
  <c r="T462" i="30"/>
  <c r="T458" i="30"/>
  <c r="T461" i="30"/>
  <c r="T457" i="30"/>
  <c r="T453" i="30"/>
  <c r="R466" i="30"/>
  <c r="R464" i="30"/>
  <c r="R471" i="30"/>
  <c r="R467" i="30"/>
  <c r="R463" i="30"/>
  <c r="R473" i="30"/>
  <c r="R469" i="30"/>
  <c r="W493" i="30"/>
  <c r="W489" i="30"/>
  <c r="W485" i="30"/>
  <c r="W492" i="30"/>
  <c r="W491" i="30"/>
  <c r="W487" i="30"/>
  <c r="W483" i="30"/>
  <c r="W490" i="30"/>
  <c r="W486" i="30"/>
  <c r="W488" i="30"/>
  <c r="W484" i="30"/>
  <c r="S497" i="30"/>
  <c r="S500" i="30"/>
  <c r="S499" i="30"/>
  <c r="S495" i="30"/>
  <c r="U503" i="30"/>
  <c r="U510" i="30"/>
  <c r="U502" i="30"/>
  <c r="U505" i="30"/>
  <c r="U508" i="30"/>
  <c r="S521" i="30"/>
  <c r="S517" i="30"/>
  <c r="S516" i="30"/>
  <c r="S512" i="30"/>
  <c r="S519" i="30"/>
  <c r="S518" i="30"/>
  <c r="S514" i="30"/>
  <c r="U531" i="30"/>
  <c r="U530" i="30"/>
  <c r="U526" i="30"/>
  <c r="U529" i="30"/>
  <c r="U528" i="30"/>
  <c r="U524" i="30"/>
  <c r="S535" i="30"/>
  <c r="S534" i="30"/>
  <c r="U546" i="30"/>
  <c r="U541" i="30"/>
  <c r="R596" i="30"/>
  <c r="R592" i="30"/>
  <c r="R588" i="30"/>
  <c r="R595" i="30"/>
  <c r="R591" i="30"/>
  <c r="R594" i="30"/>
  <c r="U596" i="30"/>
  <c r="U588" i="30"/>
  <c r="U594" i="30"/>
  <c r="U590" i="30"/>
  <c r="U593" i="30"/>
  <c r="U589" i="30"/>
  <c r="R601" i="30"/>
  <c r="R607" i="30"/>
  <c r="R603" i="30"/>
  <c r="T620" i="30"/>
  <c r="T621" i="30"/>
  <c r="T617" i="30"/>
  <c r="T615" i="30"/>
  <c r="T614" i="30"/>
  <c r="T557" i="30"/>
  <c r="T552" i="30"/>
  <c r="T558" i="30"/>
  <c r="S574" i="30"/>
  <c r="S570" i="30"/>
  <c r="S573" i="30"/>
  <c r="S572" i="30"/>
  <c r="S568" i="30"/>
  <c r="S575" i="30"/>
  <c r="S571" i="30"/>
  <c r="V74" i="30"/>
  <c r="V65" i="30"/>
  <c r="V72" i="30"/>
  <c r="V164" i="30"/>
  <c r="V156" i="30"/>
  <c r="V166" i="30"/>
  <c r="V165" i="30"/>
  <c r="V157" i="30"/>
  <c r="V163" i="30"/>
  <c r="V581" i="30"/>
  <c r="V584" i="30"/>
  <c r="V580" i="30"/>
  <c r="V579" i="30"/>
  <c r="V582" i="30"/>
  <c r="V572" i="30"/>
  <c r="V568" i="30"/>
  <c r="V575" i="30"/>
  <c r="V571" i="30"/>
  <c r="V570" i="30"/>
  <c r="V298" i="30"/>
  <c r="V301" i="30"/>
  <c r="V300" i="30"/>
  <c r="V296" i="30"/>
  <c r="V374" i="30"/>
  <c r="V370" i="30"/>
  <c r="V377" i="30"/>
  <c r="V379" i="30"/>
  <c r="V375" i="30"/>
  <c r="V462" i="30"/>
  <c r="V458" i="30"/>
  <c r="V452" i="30"/>
  <c r="V459" i="30"/>
  <c r="V520" i="30"/>
  <c r="V512" i="30"/>
  <c r="V515" i="30"/>
  <c r="V518" i="30"/>
  <c r="V514" i="30"/>
  <c r="V521" i="30"/>
  <c r="AG88" i="31"/>
  <c r="V488" i="30"/>
  <c r="V484" i="30"/>
  <c r="V491" i="30"/>
  <c r="V490" i="30"/>
  <c r="V489" i="30"/>
  <c r="V487" i="30"/>
  <c r="X522" i="30"/>
  <c r="X517" i="30"/>
  <c r="X513" i="30"/>
  <c r="X520" i="30"/>
  <c r="X516" i="30"/>
  <c r="X512" i="30"/>
  <c r="X289" i="30"/>
  <c r="X285" i="30"/>
  <c r="X284" i="30"/>
  <c r="X291" i="30"/>
  <c r="X294" i="30"/>
  <c r="X290" i="30"/>
  <c r="X286" i="30"/>
  <c r="X468" i="30"/>
  <c r="X470" i="30"/>
  <c r="X466" i="30"/>
  <c r="X473" i="30"/>
  <c r="X469" i="30"/>
  <c r="X471" i="30"/>
  <c r="X463" i="30"/>
  <c r="W623" i="30"/>
  <c r="W619" i="30"/>
  <c r="W622" i="30"/>
  <c r="W618" i="30"/>
  <c r="W624" i="30"/>
  <c r="W620" i="30"/>
  <c r="W614" i="30"/>
  <c r="W621" i="30"/>
  <c r="W617" i="30"/>
  <c r="W615" i="30"/>
  <c r="X575" i="30"/>
  <c r="X574" i="30"/>
  <c r="X577" i="30"/>
  <c r="X569" i="30"/>
  <c r="X568" i="30"/>
  <c r="W82" i="30"/>
  <c r="W78" i="30"/>
  <c r="W83" i="30"/>
  <c r="W79" i="30"/>
  <c r="W75" i="30"/>
  <c r="W81" i="30"/>
  <c r="W84" i="30"/>
  <c r="W76" i="30"/>
  <c r="W85" i="30"/>
  <c r="W77" i="30"/>
  <c r="W80" i="30"/>
  <c r="W471" i="30"/>
  <c r="W467" i="30"/>
  <c r="W463" i="30"/>
  <c r="W473" i="30"/>
  <c r="W469" i="30"/>
  <c r="W472" i="30"/>
  <c r="W468" i="30"/>
  <c r="W464" i="30"/>
  <c r="W470" i="30"/>
  <c r="W466" i="30"/>
  <c r="W546" i="30"/>
  <c r="W542" i="30"/>
  <c r="W548" i="30"/>
  <c r="W544" i="30"/>
  <c r="W540" i="30"/>
  <c r="W547" i="30"/>
  <c r="W543" i="30"/>
  <c r="W549" i="30"/>
  <c r="W545" i="30"/>
  <c r="W541" i="30"/>
  <c r="W280" i="30"/>
  <c r="W276" i="30"/>
  <c r="W283" i="30"/>
  <c r="W279" i="30"/>
  <c r="W282" i="30"/>
  <c r="W278" i="30"/>
  <c r="W274" i="30"/>
  <c r="W281" i="30"/>
  <c r="W277" i="30"/>
  <c r="W273" i="30"/>
  <c r="W275" i="30"/>
  <c r="W132" i="30"/>
  <c r="W128" i="30"/>
  <c r="W134" i="30"/>
  <c r="W130" i="30"/>
  <c r="W126" i="30"/>
  <c r="W133" i="30"/>
  <c r="W129" i="30"/>
  <c r="W125" i="30"/>
  <c r="W131" i="30"/>
  <c r="W135" i="30"/>
  <c r="W127" i="30"/>
  <c r="R202" i="30"/>
  <c r="R198" i="30"/>
  <c r="R200" i="30"/>
  <c r="R199" i="30"/>
  <c r="R197" i="30"/>
  <c r="S74" i="30"/>
  <c r="S70" i="30"/>
  <c r="S73" i="30"/>
  <c r="S65" i="30"/>
  <c r="S68" i="30"/>
  <c r="S69" i="30"/>
  <c r="U84" i="30"/>
  <c r="U76" i="30"/>
  <c r="U85" i="30"/>
  <c r="U81" i="30"/>
  <c r="U77" i="30"/>
  <c r="U79" i="30"/>
  <c r="U82" i="30"/>
  <c r="S94" i="30"/>
  <c r="S90" i="30"/>
  <c r="S86" i="30"/>
  <c r="S92" i="30"/>
  <c r="S88" i="30"/>
  <c r="R135" i="30"/>
  <c r="R133" i="30"/>
  <c r="R132" i="30"/>
  <c r="R126" i="30"/>
  <c r="R134" i="30"/>
  <c r="T166" i="30"/>
  <c r="T162" i="30"/>
  <c r="T164" i="30"/>
  <c r="T160" i="30"/>
  <c r="T156" i="30"/>
  <c r="T163" i="30"/>
  <c r="R168" i="30"/>
  <c r="R174" i="30"/>
  <c r="R170" i="30"/>
  <c r="R177" i="30"/>
  <c r="R173" i="30"/>
  <c r="R169" i="30"/>
  <c r="R175" i="30"/>
  <c r="R184" i="30"/>
  <c r="R180" i="30"/>
  <c r="R185" i="30"/>
  <c r="R183" i="30"/>
  <c r="S216" i="30"/>
  <c r="S222" i="30"/>
  <c r="S218" i="30"/>
  <c r="S217" i="30"/>
  <c r="S215" i="30"/>
  <c r="T281" i="30"/>
  <c r="T273" i="30"/>
  <c r="T280" i="30"/>
  <c r="T276" i="30"/>
  <c r="T279" i="30"/>
  <c r="T275" i="30"/>
  <c r="T278" i="30"/>
  <c r="R291" i="30"/>
  <c r="R290" i="30"/>
  <c r="R293" i="30"/>
  <c r="R289" i="30"/>
  <c r="R292" i="30"/>
  <c r="R284" i="30"/>
  <c r="R299" i="30"/>
  <c r="R298" i="30"/>
  <c r="R301" i="30"/>
  <c r="R297" i="30"/>
  <c r="R300" i="30"/>
  <c r="T329" i="30"/>
  <c r="T325" i="30"/>
  <c r="T327" i="30"/>
  <c r="S339" i="30"/>
  <c r="S337" i="30"/>
  <c r="S333" i="30"/>
  <c r="W348" i="30"/>
  <c r="W344" i="30"/>
  <c r="W340" i="30"/>
  <c r="W347" i="30"/>
  <c r="W343" i="30"/>
  <c r="W346" i="30"/>
  <c r="W342" i="30"/>
  <c r="W345" i="30"/>
  <c r="W341" i="30"/>
  <c r="R366" i="30"/>
  <c r="R365" i="30"/>
  <c r="R368" i="30"/>
  <c r="R364" i="30"/>
  <c r="R360" i="30"/>
  <c r="R359" i="30"/>
  <c r="T376" i="30"/>
  <c r="T379" i="30"/>
  <c r="T378" i="30"/>
  <c r="T374" i="30"/>
  <c r="T370" i="30"/>
  <c r="T377" i="30"/>
  <c r="T369" i="30"/>
  <c r="U408" i="30"/>
  <c r="U406" i="30"/>
  <c r="U401" i="30"/>
  <c r="U404" i="30"/>
  <c r="U400" i="30"/>
  <c r="U409" i="30"/>
  <c r="S420" i="30"/>
  <c r="S416" i="30"/>
  <c r="S412" i="30"/>
  <c r="S418" i="30"/>
  <c r="S414" i="30"/>
  <c r="S421" i="30"/>
  <c r="S413" i="30"/>
  <c r="S415" i="30"/>
  <c r="S453" i="30"/>
  <c r="S460" i="30"/>
  <c r="S456" i="30"/>
  <c r="S458" i="30"/>
  <c r="S462" i="30"/>
  <c r="U471" i="30"/>
  <c r="U463" i="30"/>
  <c r="U470" i="30"/>
  <c r="U466" i="30"/>
  <c r="U468" i="30"/>
  <c r="U464" i="30"/>
  <c r="U472" i="30"/>
  <c r="T510" i="30"/>
  <c r="T506" i="30"/>
  <c r="T509" i="30"/>
  <c r="T505" i="30"/>
  <c r="T501" i="30"/>
  <c r="T508" i="30"/>
  <c r="T504" i="30"/>
  <c r="T511" i="30"/>
  <c r="R520" i="30"/>
  <c r="R516" i="30"/>
  <c r="R512" i="30"/>
  <c r="R515" i="30"/>
  <c r="R518" i="30"/>
  <c r="R521" i="30"/>
  <c r="R517" i="30"/>
  <c r="R513" i="30"/>
  <c r="T529" i="30"/>
  <c r="T528" i="30"/>
  <c r="T524" i="30"/>
  <c r="T531" i="30"/>
  <c r="T523" i="30"/>
  <c r="R539" i="30"/>
  <c r="R534" i="30"/>
  <c r="R536" i="30"/>
  <c r="R535" i="30"/>
  <c r="R533" i="30"/>
  <c r="T547" i="30"/>
  <c r="T543" i="30"/>
  <c r="T545" i="30"/>
  <c r="T548" i="30"/>
  <c r="T544" i="30"/>
  <c r="T546" i="30"/>
  <c r="W578" i="30"/>
  <c r="W574" i="30"/>
  <c r="W570" i="30"/>
  <c r="W577" i="30"/>
  <c r="W573" i="30"/>
  <c r="W569" i="30"/>
  <c r="W576" i="30"/>
  <c r="W572" i="30"/>
  <c r="W568" i="30"/>
  <c r="W575" i="30"/>
  <c r="W571" i="30"/>
  <c r="U584" i="30"/>
  <c r="U580" i="30"/>
  <c r="U583" i="30"/>
  <c r="U582" i="30"/>
  <c r="W594" i="30"/>
  <c r="W590" i="30"/>
  <c r="W586" i="30"/>
  <c r="W593" i="30"/>
  <c r="W589" i="30"/>
  <c r="W596" i="30"/>
  <c r="W592" i="30"/>
  <c r="W595" i="30"/>
  <c r="W591" i="30"/>
  <c r="W587" i="30"/>
  <c r="U600" i="30"/>
  <c r="U607" i="30"/>
  <c r="U599" i="30"/>
  <c r="U606" i="30"/>
  <c r="U605" i="30"/>
  <c r="U597" i="30"/>
  <c r="R451" i="30"/>
  <c r="R449" i="30"/>
  <c r="R447" i="30"/>
  <c r="R444" i="30"/>
  <c r="R448" i="30"/>
  <c r="S623" i="30"/>
  <c r="S622" i="30"/>
  <c r="S624" i="30"/>
  <c r="S621" i="30"/>
  <c r="S617" i="30"/>
  <c r="S615" i="30"/>
  <c r="S558" i="30"/>
  <c r="S555" i="30"/>
  <c r="S551" i="30"/>
  <c r="S557" i="30"/>
  <c r="R576" i="30"/>
  <c r="R572" i="30"/>
  <c r="R568" i="30"/>
  <c r="R575" i="30"/>
  <c r="R578" i="30"/>
  <c r="R574" i="30"/>
  <c r="R570" i="30"/>
  <c r="U572" i="30"/>
  <c r="U568" i="30"/>
  <c r="U571" i="30"/>
  <c r="U578" i="30"/>
  <c r="U574" i="30"/>
  <c r="U569" i="30"/>
  <c r="T490" i="30"/>
  <c r="T486" i="30"/>
  <c r="T493" i="30"/>
  <c r="T484" i="30"/>
  <c r="T487" i="30"/>
  <c r="T489" i="30"/>
  <c r="V135" i="30"/>
  <c r="V129" i="30"/>
  <c r="V125" i="30"/>
  <c r="V132" i="30"/>
  <c r="V128" i="30"/>
  <c r="V130" i="30"/>
  <c r="V223" i="30"/>
  <c r="V215" i="30"/>
  <c r="V221" i="30"/>
  <c r="V217" i="30"/>
  <c r="V220" i="30"/>
  <c r="V609" i="30"/>
  <c r="V612" i="30"/>
  <c r="V611" i="30"/>
  <c r="V291" i="30"/>
  <c r="V294" i="30"/>
  <c r="V290" i="30"/>
  <c r="V286" i="30"/>
  <c r="V289" i="30"/>
  <c r="V284" i="30"/>
  <c r="V362" i="30"/>
  <c r="V358" i="30"/>
  <c r="V365" i="30"/>
  <c r="V361" i="30"/>
  <c r="V368" i="30"/>
  <c r="V364" i="30"/>
  <c r="V360" i="30"/>
  <c r="V363" i="30"/>
  <c r="V415" i="30"/>
  <c r="V417" i="30"/>
  <c r="V416" i="30"/>
  <c r="V418" i="30"/>
  <c r="V414" i="30"/>
  <c r="V508" i="30"/>
  <c r="V507" i="30"/>
  <c r="V510" i="30"/>
  <c r="V506" i="30"/>
  <c r="V502" i="30"/>
  <c r="V509" i="30"/>
  <c r="V549" i="30"/>
  <c r="V541" i="30"/>
  <c r="V547" i="30"/>
  <c r="V543" i="30"/>
  <c r="V548" i="30"/>
  <c r="V544" i="30"/>
  <c r="O86" i="36"/>
  <c r="AG4" i="66" s="1"/>
  <c r="H24" i="34"/>
  <c r="D14" i="34"/>
  <c r="D35" i="34"/>
  <c r="D57" i="34"/>
  <c r="P57" i="34" s="1"/>
  <c r="AE263" i="30" s="1"/>
  <c r="AF263" i="30" s="1"/>
  <c r="D16" i="34"/>
  <c r="D8" i="34" s="1"/>
  <c r="E49" i="31" s="1"/>
  <c r="E48" i="31" s="1"/>
  <c r="P48" i="31" s="1"/>
  <c r="D54" i="34"/>
  <c r="P54" i="34" s="1"/>
  <c r="AE314" i="30" s="1"/>
  <c r="AF314" i="30" s="1"/>
  <c r="D37" i="34"/>
  <c r="AC243" i="30" s="1"/>
  <c r="AD243" i="30" s="1"/>
  <c r="D65" i="34"/>
  <c r="AC23" i="30" s="1"/>
  <c r="AD23" i="30" s="1"/>
  <c r="AD529" i="30"/>
  <c r="AF823" i="30"/>
  <c r="AF458" i="30"/>
  <c r="AF507" i="30"/>
  <c r="AF580" i="30"/>
  <c r="AF494" i="30"/>
  <c r="AF487" i="30"/>
  <c r="AD162" i="30"/>
  <c r="AD361" i="30"/>
  <c r="AD370" i="30"/>
  <c r="AD374" i="30"/>
  <c r="AD404" i="30"/>
  <c r="AD465" i="30"/>
  <c r="AD469" i="30"/>
  <c r="AD487" i="30"/>
  <c r="AF690" i="30"/>
  <c r="AD199" i="30"/>
  <c r="AD198" i="30"/>
  <c r="AD197" i="30"/>
  <c r="AD171" i="30"/>
  <c r="AD158" i="30"/>
  <c r="AB18" i="30"/>
  <c r="J16" i="23" s="1"/>
  <c r="AB19" i="30"/>
  <c r="J17" i="23" s="1"/>
  <c r="AB21" i="30"/>
  <c r="J19" i="23" s="1"/>
  <c r="AB23" i="30"/>
  <c r="AB25" i="30"/>
  <c r="AB26" i="30"/>
  <c r="AB27" i="30"/>
  <c r="AB29" i="30"/>
  <c r="AB31" i="30"/>
  <c r="AB33" i="30"/>
  <c r="AB34" i="30"/>
  <c r="AB36" i="30"/>
  <c r="AB38" i="30"/>
  <c r="AB40" i="30"/>
  <c r="AB42" i="30"/>
  <c r="AB44" i="30"/>
  <c r="AB46" i="30"/>
  <c r="AB48" i="30"/>
  <c r="AB50" i="30"/>
  <c r="AB52" i="30"/>
  <c r="AB54" i="30"/>
  <c r="AB55" i="30"/>
  <c r="AB57" i="30"/>
  <c r="AB59" i="30"/>
  <c r="AB61" i="30"/>
  <c r="AB63" i="30"/>
  <c r="AB65" i="30"/>
  <c r="AB67" i="30"/>
  <c r="AB68" i="30"/>
  <c r="AB70" i="30"/>
  <c r="AB72" i="30"/>
  <c r="AB74" i="30"/>
  <c r="AB77" i="30"/>
  <c r="AB79" i="30"/>
  <c r="AB80" i="30"/>
  <c r="AB82" i="30"/>
  <c r="AB84" i="30"/>
  <c r="AB86" i="30"/>
  <c r="AB88" i="30"/>
  <c r="AB90" i="30"/>
  <c r="AB92" i="30"/>
  <c r="AB94" i="30"/>
  <c r="AB96" i="30"/>
  <c r="AB98" i="30"/>
  <c r="AB100" i="30"/>
  <c r="AB22" i="30"/>
  <c r="AB28" i="30"/>
  <c r="AB32" i="30"/>
  <c r="AB35" i="30"/>
  <c r="AB39" i="30"/>
  <c r="AB43" i="30"/>
  <c r="AB47" i="30"/>
  <c r="AB51" i="30"/>
  <c r="AB58" i="30"/>
  <c r="AB62" i="30"/>
  <c r="AB66" i="30"/>
  <c r="AB69" i="30"/>
  <c r="AB73" i="30"/>
  <c r="AB76" i="30"/>
  <c r="AB83" i="30"/>
  <c r="AB87" i="30"/>
  <c r="AB91" i="30"/>
  <c r="AB95" i="30"/>
  <c r="AB99" i="30"/>
  <c r="AB102" i="30"/>
  <c r="AB104" i="30"/>
  <c r="AB106" i="30"/>
  <c r="AB108" i="30"/>
  <c r="AB110" i="30"/>
  <c r="AB112" i="30"/>
  <c r="AB114" i="30"/>
  <c r="AB116" i="30"/>
  <c r="AB118" i="30"/>
  <c r="AB120" i="30"/>
  <c r="AB122" i="30"/>
  <c r="AB124" i="30"/>
  <c r="AB126" i="30"/>
  <c r="AB127" i="30"/>
  <c r="AB128" i="30"/>
  <c r="AB129" i="30"/>
  <c r="AB131" i="30"/>
  <c r="AB133" i="30"/>
  <c r="AB135" i="30"/>
  <c r="AB137" i="30"/>
  <c r="AB139" i="30"/>
  <c r="AB141" i="30"/>
  <c r="AB143" i="30"/>
  <c r="AB145" i="30"/>
  <c r="AB147" i="30"/>
  <c r="AB149" i="30"/>
  <c r="AB151" i="30"/>
  <c r="AB153" i="30"/>
  <c r="AB155" i="30"/>
  <c r="AB157" i="30"/>
  <c r="AB160" i="30"/>
  <c r="AB162" i="30"/>
  <c r="AB164" i="30"/>
  <c r="AB166" i="30"/>
  <c r="AB168" i="30"/>
  <c r="AB170" i="30"/>
  <c r="AB173" i="30"/>
  <c r="AB175" i="30"/>
  <c r="AB177" i="30"/>
  <c r="AB180" i="30"/>
  <c r="AB182" i="30"/>
  <c r="AB184" i="30"/>
  <c r="AB186" i="30"/>
  <c r="AB188" i="30"/>
  <c r="AB190" i="30"/>
  <c r="AB192" i="30"/>
  <c r="AB194" i="30"/>
  <c r="AB196" i="30"/>
  <c r="AB201" i="30"/>
  <c r="AB202" i="30"/>
  <c r="AB204" i="30"/>
  <c r="AB206" i="30"/>
  <c r="AB208" i="30"/>
  <c r="AB210" i="30"/>
  <c r="AB212" i="30"/>
  <c r="AB214" i="30"/>
  <c r="AB216" i="30"/>
  <c r="AB221" i="30"/>
  <c r="AB223" i="30"/>
  <c r="AB225" i="30"/>
  <c r="AB227" i="30"/>
  <c r="AB229" i="30"/>
  <c r="AB231" i="30"/>
  <c r="AB233" i="30"/>
  <c r="AB235" i="30"/>
  <c r="AB237" i="30"/>
  <c r="AB239" i="30"/>
  <c r="AB241" i="30"/>
  <c r="AB243" i="30"/>
  <c r="AB245" i="30"/>
  <c r="AB247" i="30"/>
  <c r="AB249" i="30"/>
  <c r="AB251" i="30"/>
  <c r="AB253" i="30"/>
  <c r="AB255" i="30"/>
  <c r="AB257" i="30"/>
  <c r="AB259" i="30"/>
  <c r="AB261" i="30"/>
  <c r="AB263" i="30"/>
  <c r="AB265" i="30"/>
  <c r="AB267" i="30"/>
  <c r="AB269" i="30"/>
  <c r="AB271" i="30"/>
  <c r="AB273" i="30"/>
  <c r="AB274" i="30"/>
  <c r="AB275" i="30"/>
  <c r="AB277" i="30"/>
  <c r="AB279" i="30"/>
  <c r="AB281" i="30"/>
  <c r="AB283" i="30"/>
  <c r="AB285" i="30"/>
  <c r="AB286" i="30"/>
  <c r="AB288" i="30"/>
  <c r="AB290" i="30"/>
  <c r="AB292" i="30"/>
  <c r="AB294" i="30"/>
  <c r="AB297" i="30"/>
  <c r="AB299" i="30"/>
  <c r="AB301" i="30"/>
  <c r="AB303" i="30"/>
  <c r="AB305" i="30"/>
  <c r="AB307" i="30"/>
  <c r="AB309" i="30"/>
  <c r="AB311" i="30"/>
  <c r="AB313" i="30"/>
  <c r="AB315" i="30"/>
  <c r="AB317" i="30"/>
  <c r="AB319" i="30"/>
  <c r="AB321" i="30"/>
  <c r="AB323" i="30"/>
  <c r="AB325" i="30"/>
  <c r="AB327" i="30"/>
  <c r="AB328" i="30"/>
  <c r="AB330" i="30"/>
  <c r="AB332" i="30"/>
  <c r="AB334" i="30"/>
  <c r="AB336" i="30"/>
  <c r="AB338" i="30"/>
  <c r="AB340" i="30"/>
  <c r="AB342" i="30"/>
  <c r="AB344" i="30"/>
  <c r="AB346" i="30"/>
  <c r="AB348" i="30"/>
  <c r="AB350" i="30"/>
  <c r="AB352" i="30"/>
  <c r="AB354" i="30"/>
  <c r="AB356" i="30"/>
  <c r="AB358" i="30"/>
  <c r="AB360" i="30"/>
  <c r="AB362" i="30"/>
  <c r="AB364" i="30"/>
  <c r="AB366" i="30"/>
  <c r="AB368" i="30"/>
  <c r="AB370" i="30"/>
  <c r="AB372" i="30"/>
  <c r="AB374" i="30"/>
  <c r="AB376" i="30"/>
  <c r="AB377" i="30"/>
  <c r="AB379" i="30"/>
  <c r="AB381" i="30"/>
  <c r="AB383" i="30"/>
  <c r="AB385" i="30"/>
  <c r="AB387" i="30"/>
  <c r="AB389" i="30"/>
  <c r="AB391" i="30"/>
  <c r="AB393" i="30"/>
  <c r="AF571" i="30"/>
  <c r="AF609" i="30"/>
  <c r="AD400" i="30"/>
  <c r="AD273" i="30"/>
  <c r="AD74" i="30"/>
  <c r="AD498" i="30"/>
  <c r="AD300" i="30"/>
  <c r="AD282" i="30"/>
  <c r="AF81" i="30"/>
  <c r="AF298" i="30"/>
  <c r="AF406" i="30"/>
  <c r="AF535" i="30"/>
  <c r="AD88" i="30"/>
  <c r="AD224" i="30"/>
  <c r="AD413" i="30"/>
  <c r="AD417" i="30"/>
  <c r="AD455" i="30"/>
  <c r="AD496" i="30"/>
  <c r="AD302" i="30"/>
  <c r="AD73" i="30"/>
  <c r="AD133" i="30"/>
  <c r="AD408" i="30"/>
  <c r="AD203" i="30"/>
  <c r="AD298" i="30"/>
  <c r="AD554" i="30"/>
  <c r="AD571" i="30"/>
  <c r="AD588" i="30"/>
  <c r="AD132" i="30"/>
  <c r="AD220" i="30"/>
  <c r="AD377" i="30"/>
  <c r="AD460" i="30"/>
  <c r="AD609" i="30"/>
  <c r="AD599" i="30"/>
  <c r="AD458" i="30"/>
  <c r="AD443" i="30"/>
  <c r="AD295" i="30"/>
  <c r="AF542" i="30"/>
  <c r="AF201" i="30"/>
  <c r="AF290" i="30"/>
  <c r="AF417" i="30"/>
  <c r="AD70" i="30"/>
  <c r="AD296" i="30"/>
  <c r="AD328" i="30"/>
  <c r="AD415" i="30"/>
  <c r="AD459" i="30"/>
  <c r="AD506" i="30"/>
  <c r="AD516" i="30"/>
  <c r="AD573" i="30"/>
  <c r="AD592" i="30"/>
  <c r="AD602" i="30"/>
  <c r="AD608" i="30"/>
  <c r="AD202" i="30"/>
  <c r="AD605" i="30"/>
  <c r="AD299" i="30"/>
  <c r="AD407" i="30"/>
  <c r="AD536" i="30"/>
  <c r="AD329" i="30"/>
  <c r="AD418" i="30"/>
  <c r="AF519" i="30"/>
  <c r="AF490" i="30"/>
  <c r="AD484" i="30"/>
  <c r="AD519" i="30"/>
  <c r="AD823" i="30"/>
  <c r="AD616" i="30"/>
  <c r="AD603" i="30"/>
  <c r="AF591" i="30"/>
  <c r="AD587" i="30"/>
  <c r="AD574" i="30"/>
  <c r="AF550" i="30"/>
  <c r="AD533" i="30"/>
  <c r="AD507" i="30"/>
  <c r="AD490" i="30"/>
  <c r="AD474" i="30"/>
  <c r="AD285" i="30"/>
  <c r="AD67" i="30"/>
  <c r="AD518" i="30"/>
  <c r="AF334" i="30"/>
  <c r="AD290" i="30"/>
  <c r="AF279" i="30"/>
  <c r="AB9" i="30"/>
  <c r="J8" i="23" s="1"/>
  <c r="AB10" i="30"/>
  <c r="J9" i="23" s="1"/>
  <c r="AB11" i="30"/>
  <c r="J10" i="23" s="1"/>
  <c r="AB12" i="30"/>
  <c r="J11" i="23" s="1"/>
  <c r="AB13" i="30"/>
  <c r="J12" i="23" s="1"/>
  <c r="AB14" i="30"/>
  <c r="J13" i="23" s="1"/>
  <c r="AB15" i="30"/>
  <c r="J14" i="23" s="1"/>
  <c r="AB16" i="30"/>
  <c r="J15" i="23" s="1"/>
  <c r="AB17" i="30"/>
  <c r="AF694" i="30"/>
  <c r="AF291" i="30"/>
  <c r="AF345" i="30"/>
  <c r="AF219" i="30"/>
  <c r="AD90" i="30"/>
  <c r="X12" i="30"/>
  <c r="Y12" i="30" s="1"/>
  <c r="Z12" i="30" s="1"/>
  <c r="Q88" i="31"/>
  <c r="P86" i="31"/>
  <c r="AE688" i="30"/>
  <c r="AF688" i="30" s="1"/>
  <c r="I86" i="31"/>
  <c r="AC553" i="30"/>
  <c r="AD553" i="30" s="1"/>
  <c r="AC545" i="30"/>
  <c r="AD545" i="30" s="1"/>
  <c r="U86" i="34"/>
  <c r="AE545" i="30" s="1"/>
  <c r="AF545" i="30" s="1"/>
  <c r="AC524" i="30"/>
  <c r="AD524" i="30" s="1"/>
  <c r="R84" i="34"/>
  <c r="AE524" i="30" s="1"/>
  <c r="AF524" i="30" s="1"/>
  <c r="Q83" i="34"/>
  <c r="AE514" i="30" s="1"/>
  <c r="AF514" i="30" s="1"/>
  <c r="AC514" i="30"/>
  <c r="AD514" i="30" s="1"/>
  <c r="R81" i="34"/>
  <c r="AE504" i="30" s="1"/>
  <c r="AF504" i="30" s="1"/>
  <c r="AC504" i="30"/>
  <c r="AD504" i="30" s="1"/>
  <c r="P79" i="34"/>
  <c r="E88" i="31"/>
  <c r="T76" i="34"/>
  <c r="AE457" i="30" s="1"/>
  <c r="AF457" i="30" s="1"/>
  <c r="AC457" i="30"/>
  <c r="AD457" i="30" s="1"/>
  <c r="P76" i="34"/>
  <c r="AE453" i="30" s="1"/>
  <c r="AF453" i="30" s="1"/>
  <c r="AC453" i="30"/>
  <c r="AD453" i="30" s="1"/>
  <c r="AC662" i="30"/>
  <c r="AD662" i="30" s="1"/>
  <c r="R79" i="31"/>
  <c r="AE662" i="30" s="1"/>
  <c r="AF662" i="30" s="1"/>
  <c r="P70" i="34"/>
  <c r="AE423" i="30" s="1"/>
  <c r="AF423" i="30" s="1"/>
  <c r="AC423" i="30"/>
  <c r="AD423" i="30" s="1"/>
  <c r="R69" i="34"/>
  <c r="AE414" i="30" s="1"/>
  <c r="AF414" i="30" s="1"/>
  <c r="AC414" i="30"/>
  <c r="AD414" i="30" s="1"/>
  <c r="T68" i="34"/>
  <c r="AE405" i="30" s="1"/>
  <c r="AF405" i="30" s="1"/>
  <c r="AC405" i="30"/>
  <c r="AD405" i="30" s="1"/>
  <c r="AC375" i="30"/>
  <c r="AD375" i="30" s="1"/>
  <c r="U60" i="34"/>
  <c r="AE375" i="30" s="1"/>
  <c r="AF375" i="30" s="1"/>
  <c r="S59" i="34"/>
  <c r="AE362" i="30" s="1"/>
  <c r="AF362" i="30" s="1"/>
  <c r="AC362" i="30"/>
  <c r="AD362" i="30" s="1"/>
  <c r="R56" i="34"/>
  <c r="AE332" i="30" s="1"/>
  <c r="AF332" i="30" s="1"/>
  <c r="AC332" i="30"/>
  <c r="AD332" i="30" s="1"/>
  <c r="T55" i="34"/>
  <c r="AE326" i="30" s="1"/>
  <c r="AF326" i="30" s="1"/>
  <c r="AC326" i="30"/>
  <c r="AD326" i="30" s="1"/>
  <c r="T51" i="34"/>
  <c r="AE297" i="30" s="1"/>
  <c r="AF297" i="30" s="1"/>
  <c r="AC297" i="30"/>
  <c r="AD297" i="30" s="1"/>
  <c r="Q50" i="34"/>
  <c r="AE286" i="30" s="1"/>
  <c r="AF286" i="30" s="1"/>
  <c r="AC286" i="30"/>
  <c r="AD286" i="30" s="1"/>
  <c r="S49" i="34"/>
  <c r="AE277" i="30" s="1"/>
  <c r="AF277" i="30" s="1"/>
  <c r="AC277" i="30"/>
  <c r="AD277" i="30" s="1"/>
  <c r="T46" i="34"/>
  <c r="AE619" i="30" s="1"/>
  <c r="AF619" i="30" s="1"/>
  <c r="I61" i="31"/>
  <c r="P46" i="34"/>
  <c r="AE615" i="30" s="1"/>
  <c r="AF615" i="30" s="1"/>
  <c r="AC615" i="30"/>
  <c r="AD615" i="30" s="1"/>
  <c r="E61" i="31"/>
  <c r="P61" i="31" s="1"/>
  <c r="R43" i="34"/>
  <c r="AE600" i="30" s="1"/>
  <c r="AF600" i="30" s="1"/>
  <c r="AC600" i="30"/>
  <c r="AD600" i="30" s="1"/>
  <c r="U88" i="34"/>
  <c r="AE554" i="30" s="1"/>
  <c r="AF554" i="30" s="1"/>
  <c r="J86" i="31"/>
  <c r="U87" i="34"/>
  <c r="AE489" i="30" s="1"/>
  <c r="AF489" i="30" s="1"/>
  <c r="I79" i="34"/>
  <c r="U79" i="34" s="1"/>
  <c r="V10" i="34"/>
  <c r="AE82" i="30" s="1"/>
  <c r="AF82" i="30" s="1"/>
  <c r="AC82" i="30"/>
  <c r="AD82" i="30" s="1"/>
  <c r="M18" i="34"/>
  <c r="AC134" i="30"/>
  <c r="AD134" i="30" s="1"/>
  <c r="AC174" i="30"/>
  <c r="AD174" i="30" s="1"/>
  <c r="V41" i="34"/>
  <c r="AE593" i="30" s="1"/>
  <c r="AF593" i="30" s="1"/>
  <c r="V42" i="34"/>
  <c r="AC593" i="30"/>
  <c r="AD593" i="30" s="1"/>
  <c r="AC611" i="30"/>
  <c r="AD611" i="30" s="1"/>
  <c r="AC610" i="30"/>
  <c r="AD610" i="30" s="1"/>
  <c r="V61" i="31"/>
  <c r="AE684" i="30" s="1"/>
  <c r="AF684" i="30" s="1"/>
  <c r="AC684" i="30"/>
  <c r="AD684" i="30" s="1"/>
  <c r="V59" i="34"/>
  <c r="AE365" i="30" s="1"/>
  <c r="AF365" i="30" s="1"/>
  <c r="AC365" i="30"/>
  <c r="AD365" i="30" s="1"/>
  <c r="M69" i="34"/>
  <c r="AC420" i="30"/>
  <c r="AD420" i="30" s="1"/>
  <c r="W77" i="34"/>
  <c r="AE471" i="30" s="1"/>
  <c r="AF471" i="30" s="1"/>
  <c r="AC470" i="30"/>
  <c r="AD470" i="30" s="1"/>
  <c r="AC508" i="30"/>
  <c r="AD508" i="30" s="1"/>
  <c r="AC546" i="30"/>
  <c r="AD546" i="30" s="1"/>
  <c r="K86" i="31"/>
  <c r="AC555" i="30"/>
  <c r="AD555" i="30" s="1"/>
  <c r="AC530" i="30"/>
  <c r="AD530" i="30" s="1"/>
  <c r="AC556" i="30"/>
  <c r="AD556" i="30" s="1"/>
  <c r="U64" i="34"/>
  <c r="AE344" i="30" s="1"/>
  <c r="AF344" i="30" s="1"/>
  <c r="AC345" i="30"/>
  <c r="AD345" i="30" s="1"/>
  <c r="R87" i="34"/>
  <c r="AE486" i="30" s="1"/>
  <c r="AF486" i="30" s="1"/>
  <c r="AC279" i="30"/>
  <c r="AD279" i="30" s="1"/>
  <c r="AC488" i="30"/>
  <c r="AD488" i="30" s="1"/>
  <c r="AC534" i="30"/>
  <c r="AD534" i="30" s="1"/>
  <c r="T87" i="34"/>
  <c r="AE488" i="30" s="1"/>
  <c r="AF488" i="30" s="1"/>
  <c r="AC419" i="30"/>
  <c r="AD419" i="30" s="1"/>
  <c r="U83" i="34"/>
  <c r="AE518" i="30" s="1"/>
  <c r="AF518" i="30" s="1"/>
  <c r="AC324" i="30"/>
  <c r="AD324" i="30" s="1"/>
  <c r="AC334" i="30"/>
  <c r="AD334" i="30" s="1"/>
  <c r="AC502" i="30"/>
  <c r="AD502" i="30" s="1"/>
  <c r="AC528" i="30"/>
  <c r="AD528" i="30" s="1"/>
  <c r="AC598" i="30"/>
  <c r="AD598" i="30" s="1"/>
  <c r="AC291" i="30"/>
  <c r="AD291" i="30" s="1"/>
  <c r="AC540" i="30"/>
  <c r="AD540" i="30" s="1"/>
  <c r="AC489" i="30"/>
  <c r="AD489" i="30" s="1"/>
  <c r="AC466" i="30"/>
  <c r="AD466" i="30" s="1"/>
  <c r="AC373" i="30"/>
  <c r="AD373" i="30" s="1"/>
  <c r="AC342" i="30"/>
  <c r="AD342" i="30" s="1"/>
  <c r="S41" i="34"/>
  <c r="AE590" i="30" s="1"/>
  <c r="AF590" i="30" s="1"/>
  <c r="AC590" i="30"/>
  <c r="AD590" i="30" s="1"/>
  <c r="AC581" i="30"/>
  <c r="AD581" i="30" s="1"/>
  <c r="U40" i="34"/>
  <c r="AE581" i="30" s="1"/>
  <c r="AF581" i="30" s="1"/>
  <c r="E39" i="34"/>
  <c r="Q39" i="34" s="1"/>
  <c r="AC570" i="30"/>
  <c r="AD570" i="30" s="1"/>
  <c r="Q45" i="34"/>
  <c r="AE570" i="30" s="1"/>
  <c r="AF570" i="30" s="1"/>
  <c r="P36" i="34"/>
  <c r="AE232" i="30" s="1"/>
  <c r="AF232" i="30" s="1"/>
  <c r="E54" i="31"/>
  <c r="P54" i="31" s="1"/>
  <c r="AC232" i="30"/>
  <c r="AD232" i="30" s="1"/>
  <c r="R22" i="34"/>
  <c r="AE170" i="30" s="1"/>
  <c r="AF170" i="30" s="1"/>
  <c r="AC170" i="30"/>
  <c r="AD170" i="30" s="1"/>
  <c r="T21" i="34"/>
  <c r="AE161" i="30" s="1"/>
  <c r="AF161" i="30" s="1"/>
  <c r="AC161" i="30"/>
  <c r="AD161" i="30" s="1"/>
  <c r="P21" i="34"/>
  <c r="AE157" i="30" s="1"/>
  <c r="AF157" i="30" s="1"/>
  <c r="AC157" i="30"/>
  <c r="AD157" i="30" s="1"/>
  <c r="Q15" i="34"/>
  <c r="AE106" i="30" s="1"/>
  <c r="AF106" i="30" s="1"/>
  <c r="AC106" i="30"/>
  <c r="AD106" i="30" s="1"/>
  <c r="T10" i="34"/>
  <c r="AE80" i="30" s="1"/>
  <c r="AF80" i="30" s="1"/>
  <c r="AC80" i="30"/>
  <c r="AD80" i="30" s="1"/>
  <c r="R10" i="34"/>
  <c r="AE78" i="30" s="1"/>
  <c r="AF78" i="30" s="1"/>
  <c r="AC78" i="30"/>
  <c r="AD78" i="30" s="1"/>
  <c r="T9" i="34"/>
  <c r="AE69" i="30" s="1"/>
  <c r="AF69" i="30" s="1"/>
  <c r="AC69" i="30"/>
  <c r="AD69" i="30" s="1"/>
  <c r="X11" i="30"/>
  <c r="Y11" i="30" s="1"/>
  <c r="Z11" i="30" s="1"/>
  <c r="X15" i="30"/>
  <c r="Y15" i="30" s="1"/>
  <c r="Z15" i="30" s="1"/>
  <c r="AI90" i="31"/>
  <c r="X21" i="30"/>
  <c r="Y21" i="30" s="1"/>
  <c r="Z21" i="30" s="1"/>
  <c r="B16" i="31"/>
  <c r="AE61" i="31" s="1"/>
  <c r="AF551" i="30"/>
  <c r="AF543" i="30"/>
  <c r="AF540" i="30"/>
  <c r="AF534" i="30"/>
  <c r="AD532" i="30"/>
  <c r="AD526" i="30"/>
  <c r="AF516" i="30"/>
  <c r="AF506" i="30"/>
  <c r="AF502" i="30"/>
  <c r="AD495" i="30"/>
  <c r="AF474" i="30"/>
  <c r="AF468" i="30"/>
  <c r="AF466" i="30"/>
  <c r="AF464" i="30"/>
  <c r="AF455" i="30"/>
  <c r="AF416" i="30"/>
  <c r="AF412" i="30"/>
  <c r="AF403" i="30"/>
  <c r="AF401" i="30"/>
  <c r="AD344" i="30"/>
  <c r="AF342" i="30"/>
  <c r="AF340" i="30"/>
  <c r="AF373" i="30"/>
  <c r="AF371" i="30"/>
  <c r="AD364" i="30"/>
  <c r="AF360" i="30"/>
  <c r="AD349" i="30"/>
  <c r="AF333" i="30"/>
  <c r="AF325" i="30"/>
  <c r="AF304" i="30"/>
  <c r="AF296" i="30"/>
  <c r="AF288" i="30"/>
  <c r="AF275" i="30"/>
  <c r="AF617" i="30"/>
  <c r="AF608" i="30"/>
  <c r="AF602" i="30"/>
  <c r="AF598" i="30"/>
  <c r="AF588" i="30"/>
  <c r="AF579" i="30"/>
  <c r="AF217" i="30"/>
  <c r="AF215" i="30"/>
  <c r="AF178" i="30"/>
  <c r="AF172" i="30"/>
  <c r="AF168" i="30"/>
  <c r="AF159" i="30"/>
  <c r="AF130" i="30"/>
  <c r="AF552" i="30"/>
  <c r="AD544" i="30"/>
  <c r="AF541" i="30"/>
  <c r="AD535" i="30"/>
  <c r="AF533" i="30"/>
  <c r="AF527" i="30"/>
  <c r="AF525" i="30"/>
  <c r="AF523" i="30"/>
  <c r="AF517" i="30"/>
  <c r="AF515" i="30"/>
  <c r="AF513" i="30"/>
  <c r="AF505" i="30"/>
  <c r="AF503" i="30"/>
  <c r="AD494" i="30"/>
  <c r="AF467" i="30"/>
  <c r="AF465" i="30"/>
  <c r="AF456" i="30"/>
  <c r="AF454" i="30"/>
  <c r="AF443" i="30"/>
  <c r="AF415" i="30"/>
  <c r="AF413" i="30"/>
  <c r="AF404" i="30"/>
  <c r="AF402" i="30"/>
  <c r="AF343" i="30"/>
  <c r="AF341" i="30"/>
  <c r="AF374" i="30"/>
  <c r="AF372" i="30"/>
  <c r="AF370" i="30"/>
  <c r="AF363" i="30"/>
  <c r="AF361" i="30"/>
  <c r="AF359" i="30"/>
  <c r="AF335" i="30"/>
  <c r="AF324" i="30"/>
  <c r="AF295" i="30"/>
  <c r="AD289" i="30"/>
  <c r="AF287" i="30"/>
  <c r="AF285" i="30"/>
  <c r="AF278" i="30"/>
  <c r="AF276" i="30"/>
  <c r="AF274" i="30"/>
  <c r="AF618" i="30"/>
  <c r="AF616" i="30"/>
  <c r="AF601" i="30"/>
  <c r="AF599" i="30"/>
  <c r="AF589" i="30"/>
  <c r="AF587" i="30"/>
  <c r="AD580" i="30"/>
  <c r="AF218" i="30"/>
  <c r="AF216" i="30"/>
  <c r="AF187" i="30"/>
  <c r="AD173" i="30"/>
  <c r="AF171" i="30"/>
  <c r="AF158" i="30"/>
  <c r="AD131" i="30"/>
  <c r="AF129" i="30"/>
  <c r="AF127" i="30"/>
  <c r="AF107" i="30"/>
  <c r="AF54" i="30"/>
  <c r="AF89" i="30"/>
  <c r="AD81" i="30"/>
  <c r="AF79" i="30"/>
  <c r="AF77" i="30"/>
  <c r="AF68" i="30"/>
  <c r="AF66" i="30"/>
  <c r="D17" i="43"/>
  <c r="E17" i="43" s="1"/>
  <c r="K17" i="43"/>
  <c r="L17" i="43" s="1"/>
  <c r="M17" i="43" s="1"/>
  <c r="AF116" i="30"/>
  <c r="AF96" i="30"/>
  <c r="AF88" i="30"/>
  <c r="AF76" i="30"/>
  <c r="AF67" i="30"/>
  <c r="AF65" i="30"/>
  <c r="B17" i="31"/>
  <c r="AF85" i="31" s="1"/>
  <c r="AG63" i="31"/>
  <c r="N87" i="36"/>
  <c r="D16" i="36" s="1"/>
  <c r="J87" i="36"/>
  <c r="L16" i="36" s="1"/>
  <c r="H65" i="34"/>
  <c r="Z9" i="34"/>
  <c r="Z11" i="34"/>
  <c r="AH88" i="31"/>
  <c r="AC527" i="30"/>
  <c r="AD527" i="30" s="1"/>
  <c r="AC515" i="30"/>
  <c r="AD515" i="30" s="1"/>
  <c r="AC503" i="30"/>
  <c r="AD503" i="30" s="1"/>
  <c r="AC486" i="30"/>
  <c r="AD486" i="30" s="1"/>
  <c r="AC468" i="30"/>
  <c r="AD468" i="30" s="1"/>
  <c r="AC416" i="30"/>
  <c r="AD416" i="30" s="1"/>
  <c r="AC401" i="30"/>
  <c r="AD401" i="30" s="1"/>
  <c r="AC371" i="30"/>
  <c r="AD371" i="30" s="1"/>
  <c r="AC360" i="30"/>
  <c r="AD360" i="30" s="1"/>
  <c r="AC340" i="30"/>
  <c r="AD340" i="30" s="1"/>
  <c r="AC333" i="30"/>
  <c r="AD333" i="30" s="1"/>
  <c r="AC325" i="30"/>
  <c r="AD325" i="30" s="1"/>
  <c r="AC304" i="30"/>
  <c r="AD304" i="30" s="1"/>
  <c r="AC215" i="30"/>
  <c r="AD215" i="30" s="1"/>
  <c r="AC130" i="30"/>
  <c r="AD130" i="30" s="1"/>
  <c r="AC116" i="30"/>
  <c r="AD116" i="30" s="1"/>
  <c r="AC76" i="30"/>
  <c r="AD76" i="30" s="1"/>
  <c r="AC65" i="30"/>
  <c r="AD65" i="30" s="1"/>
  <c r="F47" i="31"/>
  <c r="J79" i="34"/>
  <c r="K88" i="31" s="1"/>
  <c r="AG90" i="31"/>
  <c r="I34" i="48"/>
  <c r="Q58" i="34"/>
  <c r="AE349" i="30" s="1"/>
  <c r="AF349" i="30" s="1"/>
  <c r="F68" i="31"/>
  <c r="AF88" i="31"/>
  <c r="R11" i="34"/>
  <c r="AE87" i="30" s="1"/>
  <c r="AF87" i="30" s="1"/>
  <c r="AC87" i="30"/>
  <c r="AD87" i="30" s="1"/>
  <c r="Q22" i="34"/>
  <c r="AE169" i="30" s="1"/>
  <c r="AF169" i="30" s="1"/>
  <c r="AC169" i="30"/>
  <c r="AD169" i="30" s="1"/>
  <c r="S21" i="34"/>
  <c r="AE160" i="30" s="1"/>
  <c r="AF160" i="30" s="1"/>
  <c r="AC160" i="30"/>
  <c r="AD160" i="30" s="1"/>
  <c r="P17" i="34"/>
  <c r="AE115" i="30" s="1"/>
  <c r="AF115" i="30" s="1"/>
  <c r="AC115" i="30"/>
  <c r="AD115" i="30" s="1"/>
  <c r="P15" i="34"/>
  <c r="AE105" i="30" s="1"/>
  <c r="AF105" i="30" s="1"/>
  <c r="AC105" i="30"/>
  <c r="AD105" i="30" s="1"/>
  <c r="Q11" i="34"/>
  <c r="AE86" i="30" s="1"/>
  <c r="AF86" i="30" s="1"/>
  <c r="AC86" i="30"/>
  <c r="AD86" i="30" s="1"/>
  <c r="U46" i="34"/>
  <c r="AE620" i="30" s="1"/>
  <c r="AF620" i="30" s="1"/>
  <c r="J61" i="31"/>
  <c r="R86" i="31"/>
  <c r="AE689" i="30" s="1"/>
  <c r="AF689" i="30" s="1"/>
  <c r="AC689" i="30"/>
  <c r="AD689" i="30" s="1"/>
  <c r="Q75" i="31"/>
  <c r="AE634" i="30" s="1"/>
  <c r="AF634" i="30" s="1"/>
  <c r="AC634" i="30"/>
  <c r="AD634" i="30" s="1"/>
  <c r="AC679" i="30"/>
  <c r="AD679" i="30" s="1"/>
  <c r="AC661" i="30"/>
  <c r="AD661" i="30" s="1"/>
  <c r="AC617" i="30"/>
  <c r="AD617" i="30" s="1"/>
  <c r="AC601" i="30"/>
  <c r="AD601" i="30" s="1"/>
  <c r="AC551" i="30"/>
  <c r="AD551" i="30" s="1"/>
  <c r="AC543" i="30"/>
  <c r="AD543" i="30" s="1"/>
  <c r="AC541" i="30"/>
  <c r="AD541" i="30" s="1"/>
  <c r="AC525" i="30"/>
  <c r="AD525" i="30" s="1"/>
  <c r="AC505" i="30"/>
  <c r="AD505" i="30" s="1"/>
  <c r="AC464" i="30"/>
  <c r="AD464" i="30" s="1"/>
  <c r="AC412" i="30"/>
  <c r="AD412" i="30" s="1"/>
  <c r="AC278" i="30"/>
  <c r="AD278" i="30" s="1"/>
  <c r="AC216" i="30"/>
  <c r="AD216" i="30" s="1"/>
  <c r="AC129" i="30"/>
  <c r="AD129" i="30" s="1"/>
  <c r="H61" i="31"/>
  <c r="AC715" i="30"/>
  <c r="AD715" i="30" s="1"/>
  <c r="AC589" i="30"/>
  <c r="AD589" i="30" s="1"/>
  <c r="AC550" i="30"/>
  <c r="AD550" i="30" s="1"/>
  <c r="AC513" i="30"/>
  <c r="AD513" i="30" s="1"/>
  <c r="AC444" i="30"/>
  <c r="AD444" i="30" s="1"/>
  <c r="AC335" i="30"/>
  <c r="AD335" i="30" s="1"/>
  <c r="AC168" i="30"/>
  <c r="AD168" i="30" s="1"/>
  <c r="AC107" i="30"/>
  <c r="AD107" i="30" s="1"/>
  <c r="AC77" i="30"/>
  <c r="AD77" i="30" s="1"/>
  <c r="W87" i="34"/>
  <c r="AE491" i="30" s="1"/>
  <c r="AF491" i="30" s="1"/>
  <c r="I85" i="31"/>
  <c r="I88" i="31"/>
  <c r="T79" i="34"/>
  <c r="T80" i="34"/>
  <c r="AE495" i="30" s="1"/>
  <c r="AF495" i="30" s="1"/>
  <c r="W50" i="34"/>
  <c r="AE292" i="30" s="1"/>
  <c r="AF292" i="30" s="1"/>
  <c r="X8" i="30"/>
  <c r="Y8" i="30" s="1"/>
  <c r="Z8" i="30" s="1"/>
  <c r="X10" i="30"/>
  <c r="Y10" i="30" s="1"/>
  <c r="Z10" i="30" s="1"/>
  <c r="X14" i="30"/>
  <c r="Y14" i="30" s="1"/>
  <c r="Z14" i="30" s="1"/>
  <c r="X16" i="30"/>
  <c r="Y16" i="30" s="1"/>
  <c r="Z16" i="30" s="1"/>
  <c r="X20" i="30"/>
  <c r="Y20" i="30" s="1"/>
  <c r="Z20" i="30" s="1"/>
  <c r="G88" i="31"/>
  <c r="T84" i="34"/>
  <c r="AE526" i="30" s="1"/>
  <c r="AF526" i="30" s="1"/>
  <c r="J90" i="36"/>
  <c r="L19" i="36" s="1"/>
  <c r="Q89" i="36"/>
  <c r="H18" i="36" s="1"/>
  <c r="T13" i="36"/>
  <c r="E79" i="36"/>
  <c r="T15" i="36"/>
  <c r="R88" i="36"/>
  <c r="I17" i="36" s="1"/>
  <c r="J88" i="36"/>
  <c r="L17" i="36" s="1"/>
  <c r="T11" i="36"/>
  <c r="Y94" i="36"/>
  <c r="T14" i="36"/>
  <c r="Z88" i="36"/>
  <c r="AD88" i="36" s="1"/>
  <c r="N88" i="36"/>
  <c r="D17" i="36" s="1"/>
  <c r="Z87" i="36"/>
  <c r="AB87" i="36" s="1"/>
  <c r="O87" i="36"/>
  <c r="E16" i="36" s="1"/>
  <c r="J86" i="36"/>
  <c r="P90" i="36"/>
  <c r="F19" i="36" s="1"/>
  <c r="Z86" i="36"/>
  <c r="T12" i="36"/>
  <c r="Q88" i="36"/>
  <c r="H17" i="36" s="1"/>
  <c r="Z90" i="36"/>
  <c r="AA90" i="36" s="1"/>
  <c r="P89" i="36"/>
  <c r="F18" i="36" s="1"/>
  <c r="P88" i="36"/>
  <c r="F17" i="36" s="1"/>
  <c r="Z89" i="36"/>
  <c r="AA89" i="36" s="1"/>
  <c r="P86" i="36"/>
  <c r="AG5" i="66" s="1"/>
  <c r="Q90" i="36"/>
  <c r="H19" i="36" s="1"/>
  <c r="R89" i="36"/>
  <c r="I18" i="36" s="1"/>
  <c r="N89" i="36"/>
  <c r="D18" i="36" s="1"/>
  <c r="J89" i="36"/>
  <c r="L18" i="36" s="1"/>
  <c r="O88" i="36"/>
  <c r="E17" i="36" s="1"/>
  <c r="P87" i="36"/>
  <c r="F16" i="36" s="1"/>
  <c r="Q86" i="36"/>
  <c r="AG7" i="66" s="1"/>
  <c r="W94" i="36"/>
  <c r="R90" i="36"/>
  <c r="I19" i="36" s="1"/>
  <c r="N90" i="36"/>
  <c r="D19" i="36" s="1"/>
  <c r="O89" i="36"/>
  <c r="E18" i="36" s="1"/>
  <c r="Q87" i="36"/>
  <c r="H16" i="36" s="1"/>
  <c r="R86" i="36"/>
  <c r="AG8" i="66" s="1"/>
  <c r="O90" i="36"/>
  <c r="E19" i="36" s="1"/>
  <c r="R87" i="36"/>
  <c r="I16" i="36" s="1"/>
  <c r="R85" i="31"/>
  <c r="AH90" i="31"/>
  <c r="S31" i="34"/>
  <c r="AE199" i="30" s="1"/>
  <c r="AF199" i="30" s="1"/>
  <c r="R85" i="34"/>
  <c r="AE532" i="30" s="1"/>
  <c r="AF532" i="30" s="1"/>
  <c r="F66" i="34"/>
  <c r="Q66" i="34"/>
  <c r="AE33" i="30" s="1"/>
  <c r="AF33" i="30" s="1"/>
  <c r="T50" i="34"/>
  <c r="AE289" i="30" s="1"/>
  <c r="AF289" i="30" s="1"/>
  <c r="AC552" i="30"/>
  <c r="AD552" i="30" s="1"/>
  <c r="AC403" i="30"/>
  <c r="AD403" i="30" s="1"/>
  <c r="AC276" i="30"/>
  <c r="AD276" i="30" s="1"/>
  <c r="P66" i="34"/>
  <c r="R31" i="34"/>
  <c r="AE198" i="30" s="1"/>
  <c r="AF198" i="30" s="1"/>
  <c r="Q31" i="34"/>
  <c r="AE197" i="30" s="1"/>
  <c r="AF197" i="30" s="1"/>
  <c r="W31" i="34"/>
  <c r="AE203" i="30" s="1"/>
  <c r="AF203" i="30" s="1"/>
  <c r="AG65" i="31"/>
  <c r="L80" i="34"/>
  <c r="W80" i="34"/>
  <c r="AE498" i="30" s="1"/>
  <c r="AF498" i="30" s="1"/>
  <c r="R34" i="34"/>
  <c r="AE224" i="30" s="1"/>
  <c r="AF224" i="30" s="1"/>
  <c r="AC200" i="30"/>
  <c r="AD200" i="30" s="1"/>
  <c r="T31" i="34"/>
  <c r="AE200" i="30" s="1"/>
  <c r="AF200" i="30" s="1"/>
  <c r="L44" i="34"/>
  <c r="W44" i="34"/>
  <c r="AE611" i="30" s="1"/>
  <c r="AF611" i="30" s="1"/>
  <c r="L88" i="34"/>
  <c r="Y9" i="34"/>
  <c r="W11" i="34"/>
  <c r="AE92" i="30" s="1"/>
  <c r="AF92" i="30" s="1"/>
  <c r="V31" i="34"/>
  <c r="AE202" i="30" s="1"/>
  <c r="AF202" i="30" s="1"/>
  <c r="V39" i="34"/>
  <c r="W43" i="34"/>
  <c r="AE605" i="30" s="1"/>
  <c r="AF605" i="30" s="1"/>
  <c r="V44" i="34"/>
  <c r="AE610" i="30" s="1"/>
  <c r="AF610" i="30" s="1"/>
  <c r="W51" i="34"/>
  <c r="AE300" i="30" s="1"/>
  <c r="AF300" i="30" s="1"/>
  <c r="W56" i="34"/>
  <c r="AE337" i="30" s="1"/>
  <c r="AF337" i="30" s="1"/>
  <c r="W60" i="34"/>
  <c r="AE377" i="30" s="1"/>
  <c r="AF377" i="30" s="1"/>
  <c r="X69" i="34"/>
  <c r="AE420" i="30" s="1"/>
  <c r="AF420" i="30" s="1"/>
  <c r="W82" i="34"/>
  <c r="W76" i="34"/>
  <c r="AE460" i="30" s="1"/>
  <c r="AF460" i="30" s="1"/>
  <c r="V77" i="34"/>
  <c r="AE470" i="30" s="1"/>
  <c r="AF470" i="30" s="1"/>
  <c r="V81" i="34"/>
  <c r="AE508" i="30" s="1"/>
  <c r="AF508" i="30" s="1"/>
  <c r="X84" i="34"/>
  <c r="AE530" i="30" s="1"/>
  <c r="AF530" i="30" s="1"/>
  <c r="V86" i="34"/>
  <c r="AE546" i="30" s="1"/>
  <c r="AF546" i="30" s="1"/>
  <c r="K60" i="31"/>
  <c r="O60" i="31"/>
  <c r="Z60" i="31" s="1"/>
  <c r="X9" i="34"/>
  <c r="AE73" i="30" s="1"/>
  <c r="AF73" i="30" s="1"/>
  <c r="W10" i="34"/>
  <c r="AE83" i="30" s="1"/>
  <c r="AF83" i="30" s="1"/>
  <c r="V11" i="34"/>
  <c r="AE91" i="30" s="1"/>
  <c r="AF91" i="30" s="1"/>
  <c r="X18" i="34"/>
  <c r="AE134" i="30" s="1"/>
  <c r="AF134" i="30" s="1"/>
  <c r="X40" i="34"/>
  <c r="AE584" i="30" s="1"/>
  <c r="AF584" i="30" s="1"/>
  <c r="V43" i="34"/>
  <c r="AE604" i="30" s="1"/>
  <c r="AF604" i="30" s="1"/>
  <c r="X49" i="34"/>
  <c r="AE282" i="30" s="1"/>
  <c r="AF282" i="30" s="1"/>
  <c r="V51" i="34"/>
  <c r="AE299" i="30" s="1"/>
  <c r="AF299" i="30" s="1"/>
  <c r="W55" i="34"/>
  <c r="AE329" i="30" s="1"/>
  <c r="AF329" i="30" s="1"/>
  <c r="V56" i="34"/>
  <c r="AE336" i="30" s="1"/>
  <c r="AF336" i="30" s="1"/>
  <c r="V60" i="34"/>
  <c r="AE376" i="30" s="1"/>
  <c r="AF376" i="30" s="1"/>
  <c r="W64" i="34"/>
  <c r="AE346" i="30" s="1"/>
  <c r="AF346" i="30" s="1"/>
  <c r="X68" i="34"/>
  <c r="AE409" i="30" s="1"/>
  <c r="AF409" i="30" s="1"/>
  <c r="W69" i="34"/>
  <c r="AE419" i="30" s="1"/>
  <c r="AF419" i="30" s="1"/>
  <c r="V76" i="34"/>
  <c r="AE459" i="30" s="1"/>
  <c r="AF459" i="30" s="1"/>
  <c r="V80" i="34"/>
  <c r="AE497" i="30" s="1"/>
  <c r="AF497" i="30" s="1"/>
  <c r="W84" i="34"/>
  <c r="AE529" i="30" s="1"/>
  <c r="AF529" i="30" s="1"/>
  <c r="W88" i="34"/>
  <c r="AE556" i="30" s="1"/>
  <c r="AF556" i="30" s="1"/>
  <c r="N60" i="31"/>
  <c r="W9" i="34"/>
  <c r="AE72" i="30" s="1"/>
  <c r="AF72" i="30" s="1"/>
  <c r="Y11" i="34"/>
  <c r="AE94" i="30" s="1"/>
  <c r="AF94" i="30" s="1"/>
  <c r="W18" i="34"/>
  <c r="AE133" i="30" s="1"/>
  <c r="AF133" i="30" s="1"/>
  <c r="W22" i="34"/>
  <c r="AE175" i="30" s="1"/>
  <c r="AF175" i="30" s="1"/>
  <c r="V33" i="34"/>
  <c r="AE220" i="30" s="1"/>
  <c r="AF220" i="30" s="1"/>
  <c r="X39" i="34"/>
  <c r="W40" i="34"/>
  <c r="AE583" i="30" s="1"/>
  <c r="AF583" i="30" s="1"/>
  <c r="V46" i="34"/>
  <c r="AE621" i="30" s="1"/>
  <c r="AF621" i="30" s="1"/>
  <c r="W49" i="34"/>
  <c r="AE281" i="30" s="1"/>
  <c r="AF281" i="30" s="1"/>
  <c r="V55" i="34"/>
  <c r="AE328" i="30" s="1"/>
  <c r="AF328" i="30" s="1"/>
  <c r="W68" i="34"/>
  <c r="AE408" i="30" s="1"/>
  <c r="AF408" i="30" s="1"/>
  <c r="V69" i="34"/>
  <c r="AE418" i="30" s="1"/>
  <c r="AF418" i="30" s="1"/>
  <c r="V84" i="34"/>
  <c r="AE528" i="30" s="1"/>
  <c r="AF528" i="30" s="1"/>
  <c r="V88" i="34"/>
  <c r="AE555" i="30" s="1"/>
  <c r="AF555" i="30" s="1"/>
  <c r="M60" i="31"/>
  <c r="O17" i="36"/>
  <c r="V9" i="34"/>
  <c r="AE71" i="30" s="1"/>
  <c r="AF71" i="30" s="1"/>
  <c r="X11" i="34"/>
  <c r="AE93" i="30" s="1"/>
  <c r="AF93" i="30" s="1"/>
  <c r="V18" i="34"/>
  <c r="W21" i="34"/>
  <c r="AE164" i="30" s="1"/>
  <c r="AF164" i="30" s="1"/>
  <c r="V22" i="34"/>
  <c r="AE174" i="30" s="1"/>
  <c r="AF174" i="30" s="1"/>
  <c r="W39" i="34"/>
  <c r="V40" i="34"/>
  <c r="AE582" i="30" s="1"/>
  <c r="AF582" i="30" s="1"/>
  <c r="X43" i="34"/>
  <c r="AE606" i="30" s="1"/>
  <c r="AF606" i="30" s="1"/>
  <c r="V45" i="34"/>
  <c r="AE575" i="30" s="1"/>
  <c r="AF575" i="30" s="1"/>
  <c r="V49" i="34"/>
  <c r="AE280" i="30" s="1"/>
  <c r="AF280" i="30" s="1"/>
  <c r="X51" i="34"/>
  <c r="AE301" i="30" s="1"/>
  <c r="AF301" i="30" s="1"/>
  <c r="X56" i="34"/>
  <c r="AE338" i="30" s="1"/>
  <c r="AF338" i="30" s="1"/>
  <c r="X60" i="34"/>
  <c r="AE378" i="30" s="1"/>
  <c r="AF378" i="30" s="1"/>
  <c r="V68" i="34"/>
  <c r="AE407" i="30" s="1"/>
  <c r="AF407" i="30" s="1"/>
  <c r="X76" i="34"/>
  <c r="AE461" i="30" s="1"/>
  <c r="AF461" i="30" s="1"/>
  <c r="W81" i="34"/>
  <c r="AE509" i="30" s="1"/>
  <c r="AF509" i="30" s="1"/>
  <c r="W86" i="34"/>
  <c r="AE547" i="30" s="1"/>
  <c r="AF547" i="30" s="1"/>
  <c r="L60" i="31"/>
  <c r="K63" i="31"/>
  <c r="E86" i="31"/>
  <c r="AC688" i="30"/>
  <c r="AD688" i="30" s="1"/>
  <c r="H63" i="31"/>
  <c r="S39" i="34"/>
  <c r="H60" i="31"/>
  <c r="T39" i="34"/>
  <c r="I60" i="31"/>
  <c r="I63" i="31"/>
  <c r="R39" i="34"/>
  <c r="G60" i="31"/>
  <c r="G63" i="31"/>
  <c r="P39" i="34"/>
  <c r="E60" i="31"/>
  <c r="P60" i="31" s="1"/>
  <c r="E63" i="31"/>
  <c r="T88" i="34"/>
  <c r="AE553" i="30" s="1"/>
  <c r="AF553" i="30" s="1"/>
  <c r="R75" i="34"/>
  <c r="AE444" i="30" s="1"/>
  <c r="AF444" i="30" s="1"/>
  <c r="P12" i="36"/>
  <c r="P13" i="36"/>
  <c r="P14" i="36"/>
  <c r="P15" i="36"/>
  <c r="P16" i="36"/>
  <c r="P11" i="36"/>
  <c r="AC61" i="31" l="1"/>
  <c r="W33" i="34"/>
  <c r="AE221" i="30" s="1"/>
  <c r="AF221" i="30" s="1"/>
  <c r="AG61" i="31"/>
  <c r="AG66" i="31"/>
  <c r="AE66" i="31"/>
  <c r="AE65" i="31"/>
  <c r="AI91" i="31"/>
  <c r="AH91" i="31"/>
  <c r="AA61" i="31"/>
  <c r="AG86" i="31"/>
  <c r="K691" i="30" s="1"/>
  <c r="V691" i="30" s="1"/>
  <c r="AG89" i="31"/>
  <c r="K800" i="30" s="1"/>
  <c r="V800" i="30" s="1"/>
  <c r="AG91" i="31"/>
  <c r="K857" i="30" s="1"/>
  <c r="V857" i="30" s="1"/>
  <c r="AB85" i="31"/>
  <c r="AD61" i="31"/>
  <c r="H682" i="30" s="1"/>
  <c r="S682" i="30" s="1"/>
  <c r="AF86" i="31"/>
  <c r="J692" i="30" s="1"/>
  <c r="U692" i="30" s="1"/>
  <c r="V79" i="34"/>
  <c r="AB86" i="31"/>
  <c r="F60" i="31"/>
  <c r="AD86" i="31"/>
  <c r="H693" i="30" s="1"/>
  <c r="S693" i="30" s="1"/>
  <c r="AC86" i="31"/>
  <c r="G690" i="30" s="1"/>
  <c r="R690" i="30" s="1"/>
  <c r="AC796" i="30"/>
  <c r="AD796" i="30" s="1"/>
  <c r="Q89" i="31"/>
  <c r="AG11" i="66"/>
  <c r="AH11" i="66" s="1"/>
  <c r="AG6" i="66"/>
  <c r="AG3" i="66"/>
  <c r="I685" i="30"/>
  <c r="I686" i="30"/>
  <c r="I681" i="30"/>
  <c r="I682" i="30"/>
  <c r="T682" i="30" s="1"/>
  <c r="I684" i="30"/>
  <c r="I687" i="30"/>
  <c r="I679" i="30"/>
  <c r="I680" i="30"/>
  <c r="T680" i="30" s="1"/>
  <c r="I683" i="30"/>
  <c r="T683" i="30" s="1"/>
  <c r="N578" i="30"/>
  <c r="Y578" i="30" s="1"/>
  <c r="N576" i="30"/>
  <c r="Y576" i="30" s="1"/>
  <c r="N571" i="30"/>
  <c r="N574" i="30"/>
  <c r="N577" i="30"/>
  <c r="N572" i="30"/>
  <c r="Y572" i="30" s="1"/>
  <c r="N573" i="30"/>
  <c r="N568" i="30"/>
  <c r="Y568" i="30" s="1"/>
  <c r="N570" i="30"/>
  <c r="Y570" i="30" s="1"/>
  <c r="N569" i="30"/>
  <c r="Y569" i="30" s="1"/>
  <c r="N575" i="30"/>
  <c r="Y575" i="30" s="1"/>
  <c r="M745" i="30"/>
  <c r="X745" i="30" s="1"/>
  <c r="M744" i="30"/>
  <c r="X744" i="30" s="1"/>
  <c r="M747" i="30"/>
  <c r="X747" i="30" s="1"/>
  <c r="M750" i="30"/>
  <c r="X750" i="30" s="1"/>
  <c r="M743" i="30"/>
  <c r="M746" i="30"/>
  <c r="M748" i="30"/>
  <c r="X748" i="30" s="1"/>
  <c r="M742" i="30"/>
  <c r="M749" i="30"/>
  <c r="AA86" i="36"/>
  <c r="Z93" i="36"/>
  <c r="Z94" i="36" s="1"/>
  <c r="N408" i="30"/>
  <c r="Y408" i="30" s="1"/>
  <c r="N407" i="30"/>
  <c r="Y407" i="30" s="1"/>
  <c r="N409" i="30"/>
  <c r="Y409" i="30" s="1"/>
  <c r="N404" i="30"/>
  <c r="Y404" i="30" s="1"/>
  <c r="N403" i="30"/>
  <c r="N405" i="30"/>
  <c r="N400" i="30"/>
  <c r="Y400" i="30" s="1"/>
  <c r="N410" i="30"/>
  <c r="N406" i="30"/>
  <c r="N401" i="30"/>
  <c r="Y401" i="30" s="1"/>
  <c r="N402" i="30"/>
  <c r="M374" i="30"/>
  <c r="X374" i="30" s="1"/>
  <c r="M373" i="30"/>
  <c r="X373" i="30" s="1"/>
  <c r="M370" i="30"/>
  <c r="X370" i="30" s="1"/>
  <c r="M369" i="30"/>
  <c r="X369" i="30" s="1"/>
  <c r="M371" i="30"/>
  <c r="X371" i="30" s="1"/>
  <c r="M378" i="30"/>
  <c r="M376" i="30"/>
  <c r="M375" i="30"/>
  <c r="M379" i="30"/>
  <c r="M372" i="30"/>
  <c r="M377" i="30"/>
  <c r="X377" i="30" s="1"/>
  <c r="AF61" i="31"/>
  <c r="I384" i="30"/>
  <c r="T384" i="30" s="1"/>
  <c r="I386" i="30"/>
  <c r="T386" i="30" s="1"/>
  <c r="I381" i="30"/>
  <c r="T381" i="30" s="1"/>
  <c r="I387" i="30"/>
  <c r="T387" i="30" s="1"/>
  <c r="I383" i="30"/>
  <c r="I385" i="30"/>
  <c r="I388" i="30"/>
  <c r="T388" i="30" s="1"/>
  <c r="I382" i="30"/>
  <c r="I380" i="30"/>
  <c r="M134" i="30"/>
  <c r="M133" i="30"/>
  <c r="X133" i="30" s="1"/>
  <c r="M131" i="30"/>
  <c r="X131" i="30" s="1"/>
  <c r="M128" i="30"/>
  <c r="X128" i="30" s="1"/>
  <c r="M127" i="30"/>
  <c r="M130" i="30"/>
  <c r="X130" i="30" s="1"/>
  <c r="M129" i="30"/>
  <c r="X129" i="30" s="1"/>
  <c r="M135" i="30"/>
  <c r="X135" i="30" s="1"/>
  <c r="M132" i="30"/>
  <c r="M126" i="30"/>
  <c r="X126" i="30" s="1"/>
  <c r="M125" i="30"/>
  <c r="M342" i="30"/>
  <c r="M341" i="30"/>
  <c r="M346" i="30"/>
  <c r="X346" i="30" s="1"/>
  <c r="M345" i="30"/>
  <c r="X345" i="30" s="1"/>
  <c r="M348" i="30"/>
  <c r="X348" i="30" s="1"/>
  <c r="M347" i="30"/>
  <c r="X347" i="30" s="1"/>
  <c r="M344" i="30"/>
  <c r="X344" i="30" s="1"/>
  <c r="M343" i="30"/>
  <c r="X343" i="30" s="1"/>
  <c r="M340" i="30"/>
  <c r="M623" i="30"/>
  <c r="M619" i="30"/>
  <c r="X619" i="30" s="1"/>
  <c r="M622" i="30"/>
  <c r="M617" i="30"/>
  <c r="M615" i="30"/>
  <c r="M614" i="30"/>
  <c r="X614" i="30" s="1"/>
  <c r="M621" i="30"/>
  <c r="X621" i="30" s="1"/>
  <c r="M624" i="30"/>
  <c r="M620" i="30"/>
  <c r="X620" i="30" s="1"/>
  <c r="M616" i="30"/>
  <c r="M618" i="30"/>
  <c r="X618" i="30" s="1"/>
  <c r="AJ91" i="31"/>
  <c r="N562" i="30"/>
  <c r="N565" i="30"/>
  <c r="N560" i="30"/>
  <c r="N561" i="30"/>
  <c r="N566" i="30"/>
  <c r="N567" i="30"/>
  <c r="Y567" i="30" s="1"/>
  <c r="N564" i="30"/>
  <c r="N559" i="30"/>
  <c r="Y559" i="30" s="1"/>
  <c r="N563" i="30"/>
  <c r="Y563" i="30" s="1"/>
  <c r="J630" i="30"/>
  <c r="U630" i="30" s="1"/>
  <c r="J625" i="30"/>
  <c r="J629" i="30"/>
  <c r="U629" i="30" s="1"/>
  <c r="J628" i="30"/>
  <c r="J626" i="30"/>
  <c r="U626" i="30" s="1"/>
  <c r="J633" i="30"/>
  <c r="J631" i="30"/>
  <c r="J627" i="30"/>
  <c r="J632" i="30"/>
  <c r="U632" i="30" s="1"/>
  <c r="G633" i="30"/>
  <c r="R633" i="30" s="1"/>
  <c r="G629" i="30"/>
  <c r="R629" i="30" s="1"/>
  <c r="G625" i="30"/>
  <c r="G630" i="30"/>
  <c r="R630" i="30" s="1"/>
  <c r="G626" i="30"/>
  <c r="R626" i="30" s="1"/>
  <c r="G628" i="30"/>
  <c r="R628" i="30" s="1"/>
  <c r="G631" i="30"/>
  <c r="G627" i="30"/>
  <c r="R627" i="30" s="1"/>
  <c r="G632" i="30"/>
  <c r="AE86" i="31"/>
  <c r="AH86" i="31"/>
  <c r="G561" i="30"/>
  <c r="G564" i="30"/>
  <c r="R564" i="30" s="1"/>
  <c r="G559" i="30"/>
  <c r="G566" i="30"/>
  <c r="R566" i="30" s="1"/>
  <c r="G562" i="30"/>
  <c r="R562" i="30" s="1"/>
  <c r="G565" i="30"/>
  <c r="G560" i="30"/>
  <c r="G567" i="30"/>
  <c r="R567" i="30" s="1"/>
  <c r="G563" i="30"/>
  <c r="I631" i="30"/>
  <c r="I627" i="30"/>
  <c r="I626" i="30"/>
  <c r="T626" i="30" s="1"/>
  <c r="I633" i="30"/>
  <c r="I628" i="30"/>
  <c r="T628" i="30" s="1"/>
  <c r="I630" i="30"/>
  <c r="T630" i="30" s="1"/>
  <c r="I629" i="30"/>
  <c r="I632" i="30"/>
  <c r="T632" i="30" s="1"/>
  <c r="I625" i="30"/>
  <c r="K565" i="30"/>
  <c r="V565" i="30" s="1"/>
  <c r="K561" i="30"/>
  <c r="V561" i="30" s="1"/>
  <c r="K560" i="30"/>
  <c r="V560" i="30" s="1"/>
  <c r="K567" i="30"/>
  <c r="V567" i="30" s="1"/>
  <c r="K563" i="30"/>
  <c r="V563" i="30" s="1"/>
  <c r="K562" i="30"/>
  <c r="V562" i="30" s="1"/>
  <c r="K559" i="30"/>
  <c r="V559" i="30" s="1"/>
  <c r="K566" i="30"/>
  <c r="V566" i="30" s="1"/>
  <c r="K564" i="30"/>
  <c r="V564" i="30" s="1"/>
  <c r="N173" i="30"/>
  <c r="Y173" i="30" s="1"/>
  <c r="N172" i="30"/>
  <c r="Y172" i="30" s="1"/>
  <c r="N175" i="30"/>
  <c r="Y175" i="30" s="1"/>
  <c r="N168" i="30"/>
  <c r="Y168" i="30" s="1"/>
  <c r="N167" i="30"/>
  <c r="Y167" i="30" s="1"/>
  <c r="N174" i="30"/>
  <c r="Y174" i="30" s="1"/>
  <c r="N169" i="30"/>
  <c r="Y169" i="30" s="1"/>
  <c r="N171" i="30"/>
  <c r="Y171" i="30" s="1"/>
  <c r="N170" i="30"/>
  <c r="Y170" i="30" s="1"/>
  <c r="N177" i="30"/>
  <c r="Y177" i="30" s="1"/>
  <c r="N176" i="30"/>
  <c r="Y176" i="30" s="1"/>
  <c r="N77" i="30"/>
  <c r="Y77" i="30" s="1"/>
  <c r="N76" i="30"/>
  <c r="Y76" i="30" s="1"/>
  <c r="N79" i="30"/>
  <c r="Y79" i="30" s="1"/>
  <c r="N83" i="30"/>
  <c r="Y83" i="30" s="1"/>
  <c r="N82" i="30"/>
  <c r="Y82" i="30" s="1"/>
  <c r="N78" i="30"/>
  <c r="Y78" i="30" s="1"/>
  <c r="N75" i="30"/>
  <c r="Y75" i="30" s="1"/>
  <c r="N85" i="30"/>
  <c r="Y85" i="30" s="1"/>
  <c r="N84" i="30"/>
  <c r="Y84" i="30" s="1"/>
  <c r="N80" i="30"/>
  <c r="Y80" i="30" s="1"/>
  <c r="N81" i="30"/>
  <c r="Y81" i="30" s="1"/>
  <c r="N472" i="30"/>
  <c r="Y472" i="30" s="1"/>
  <c r="N471" i="30"/>
  <c r="Y471" i="30" s="1"/>
  <c r="N473" i="30"/>
  <c r="Y473" i="30" s="1"/>
  <c r="N468" i="30"/>
  <c r="Y468" i="30" s="1"/>
  <c r="N467" i="30"/>
  <c r="Y467" i="30" s="1"/>
  <c r="N469" i="30"/>
  <c r="Y469" i="30" s="1"/>
  <c r="N464" i="30"/>
  <c r="Y464" i="30" s="1"/>
  <c r="N463" i="30"/>
  <c r="Y463" i="30" s="1"/>
  <c r="N465" i="30"/>
  <c r="Y465" i="30" s="1"/>
  <c r="N470" i="30"/>
  <c r="Y470" i="30" s="1"/>
  <c r="N466" i="30"/>
  <c r="Y466" i="30" s="1"/>
  <c r="L33" i="34"/>
  <c r="N514" i="30"/>
  <c r="Y514" i="30" s="1"/>
  <c r="N517" i="30"/>
  <c r="Y517" i="30" s="1"/>
  <c r="N512" i="30"/>
  <c r="Y512" i="30" s="1"/>
  <c r="N518" i="30"/>
  <c r="Y518" i="30" s="1"/>
  <c r="N513" i="30"/>
  <c r="Y513" i="30" s="1"/>
  <c r="N522" i="30"/>
  <c r="Y522" i="30" s="1"/>
  <c r="N520" i="30"/>
  <c r="Y520" i="30" s="1"/>
  <c r="N519" i="30"/>
  <c r="Y519" i="30" s="1"/>
  <c r="N515" i="30"/>
  <c r="Y515" i="30" s="1"/>
  <c r="N516" i="30"/>
  <c r="Y516" i="30" s="1"/>
  <c r="N521" i="30"/>
  <c r="Y521" i="30" s="1"/>
  <c r="M454" i="30"/>
  <c r="X454" i="30" s="1"/>
  <c r="M461" i="30"/>
  <c r="X461" i="30" s="1"/>
  <c r="M460" i="30"/>
  <c r="X460" i="30" s="1"/>
  <c r="M462" i="30"/>
  <c r="M457" i="30"/>
  <c r="X457" i="30" s="1"/>
  <c r="M456" i="30"/>
  <c r="M453" i="30"/>
  <c r="M459" i="30"/>
  <c r="M458" i="30"/>
  <c r="X458" i="30" s="1"/>
  <c r="M455" i="30"/>
  <c r="M452" i="30"/>
  <c r="X452" i="30" s="1"/>
  <c r="H632" i="30"/>
  <c r="S632" i="30" s="1"/>
  <c r="H627" i="30"/>
  <c r="S627" i="30" s="1"/>
  <c r="H628" i="30"/>
  <c r="S628" i="30" s="1"/>
  <c r="H630" i="30"/>
  <c r="S630" i="30" s="1"/>
  <c r="H633" i="30"/>
  <c r="H631" i="30"/>
  <c r="S631" i="30" s="1"/>
  <c r="H626" i="30"/>
  <c r="H625" i="30"/>
  <c r="H629" i="30"/>
  <c r="H681" i="30"/>
  <c r="S681" i="30" s="1"/>
  <c r="H686" i="30"/>
  <c r="S686" i="30" s="1"/>
  <c r="H680" i="30"/>
  <c r="H566" i="30"/>
  <c r="H565" i="30"/>
  <c r="H567" i="30"/>
  <c r="H562" i="30"/>
  <c r="S562" i="30" s="1"/>
  <c r="H560" i="30"/>
  <c r="S560" i="30" s="1"/>
  <c r="H563" i="30"/>
  <c r="S563" i="30" s="1"/>
  <c r="H561" i="30"/>
  <c r="S561" i="30" s="1"/>
  <c r="H559" i="30"/>
  <c r="S559" i="30" s="1"/>
  <c r="H564" i="30"/>
  <c r="S564" i="30" s="1"/>
  <c r="N533" i="30"/>
  <c r="N535" i="30"/>
  <c r="N534" i="30"/>
  <c r="Y534" i="30" s="1"/>
  <c r="N536" i="30"/>
  <c r="N539" i="30"/>
  <c r="N532" i="30"/>
  <c r="N538" i="30"/>
  <c r="Y538" i="30" s="1"/>
  <c r="N537" i="30"/>
  <c r="M579" i="30"/>
  <c r="M585" i="30"/>
  <c r="X585" i="30" s="1"/>
  <c r="M583" i="30"/>
  <c r="X583" i="30" s="1"/>
  <c r="M581" i="30"/>
  <c r="X581" i="30" s="1"/>
  <c r="M582" i="30"/>
  <c r="X582" i="30" s="1"/>
  <c r="M580" i="30"/>
  <c r="M584" i="30"/>
  <c r="X584" i="30" s="1"/>
  <c r="AB75" i="31"/>
  <c r="F641" i="30" s="1"/>
  <c r="Q641" i="30" s="1"/>
  <c r="B13" i="31"/>
  <c r="M555" i="30"/>
  <c r="X555" i="30" s="1"/>
  <c r="M551" i="30"/>
  <c r="X551" i="30" s="1"/>
  <c r="M558" i="30"/>
  <c r="M553" i="30"/>
  <c r="X553" i="30" s="1"/>
  <c r="M552" i="30"/>
  <c r="X552" i="30" s="1"/>
  <c r="M554" i="30"/>
  <c r="X554" i="30" s="1"/>
  <c r="M550" i="30"/>
  <c r="X550" i="30" s="1"/>
  <c r="M557" i="30"/>
  <c r="M556" i="30"/>
  <c r="X556" i="30" s="1"/>
  <c r="AH61" i="31"/>
  <c r="I559" i="30"/>
  <c r="I562" i="30"/>
  <c r="I567" i="30"/>
  <c r="T567" i="30" s="1"/>
  <c r="I563" i="30"/>
  <c r="I564" i="30"/>
  <c r="T564" i="30" s="1"/>
  <c r="I560" i="30"/>
  <c r="T560" i="30" s="1"/>
  <c r="I565" i="30"/>
  <c r="T565" i="30" s="1"/>
  <c r="I561" i="30"/>
  <c r="T561" i="30" s="1"/>
  <c r="I566" i="30"/>
  <c r="K629" i="30"/>
  <c r="V629" i="30" s="1"/>
  <c r="K625" i="30"/>
  <c r="K632" i="30"/>
  <c r="K628" i="30"/>
  <c r="V628" i="30" s="1"/>
  <c r="K631" i="30"/>
  <c r="K627" i="30"/>
  <c r="V627" i="30" s="1"/>
  <c r="K626" i="30"/>
  <c r="V626" i="30" s="1"/>
  <c r="K633" i="30"/>
  <c r="K630" i="30"/>
  <c r="V630" i="30" s="1"/>
  <c r="N301" i="30"/>
  <c r="Y301" i="30" s="1"/>
  <c r="N300" i="30"/>
  <c r="Y300" i="30" s="1"/>
  <c r="N297" i="30"/>
  <c r="Y297" i="30" s="1"/>
  <c r="N295" i="30"/>
  <c r="N302" i="30"/>
  <c r="N296" i="30"/>
  <c r="N298" i="30"/>
  <c r="N299" i="30"/>
  <c r="Y299" i="30" s="1"/>
  <c r="J566" i="30"/>
  <c r="U566" i="30" s="1"/>
  <c r="J564" i="30"/>
  <c r="J563" i="30"/>
  <c r="U563" i="30" s="1"/>
  <c r="J565" i="30"/>
  <c r="U565" i="30" s="1"/>
  <c r="J560" i="30"/>
  <c r="U560" i="30" s="1"/>
  <c r="J567" i="30"/>
  <c r="U567" i="30" s="1"/>
  <c r="J562" i="30"/>
  <c r="U562" i="30" s="1"/>
  <c r="J561" i="30"/>
  <c r="U561" i="30" s="1"/>
  <c r="J559" i="30"/>
  <c r="AB61" i="31"/>
  <c r="L331" i="30"/>
  <c r="W331" i="30" s="1"/>
  <c r="L329" i="30"/>
  <c r="W329" i="30" s="1"/>
  <c r="L326" i="30"/>
  <c r="W326" i="30" s="1"/>
  <c r="L325" i="30"/>
  <c r="W325" i="30" s="1"/>
  <c r="L327" i="30"/>
  <c r="W327" i="30" s="1"/>
  <c r="L330" i="30"/>
  <c r="W330" i="30" s="1"/>
  <c r="L328" i="30"/>
  <c r="W328" i="30" s="1"/>
  <c r="L324" i="30"/>
  <c r="W324" i="30" s="1"/>
  <c r="L532" i="30"/>
  <c r="W532" i="30" s="1"/>
  <c r="L535" i="30"/>
  <c r="W535" i="30" s="1"/>
  <c r="L537" i="30"/>
  <c r="W537" i="30" s="1"/>
  <c r="L533" i="30"/>
  <c r="W533" i="30" s="1"/>
  <c r="L538" i="30"/>
  <c r="W538" i="30" s="1"/>
  <c r="L536" i="30"/>
  <c r="W536" i="30" s="1"/>
  <c r="L539" i="30"/>
  <c r="W539" i="30" s="1"/>
  <c r="L534" i="30"/>
  <c r="W534" i="30" s="1"/>
  <c r="M611" i="30"/>
  <c r="X611" i="30" s="1"/>
  <c r="M608" i="30"/>
  <c r="X608" i="30" s="1"/>
  <c r="M613" i="30"/>
  <c r="X613" i="30" s="1"/>
  <c r="M612" i="30"/>
  <c r="X612" i="30" s="1"/>
  <c r="M609" i="30"/>
  <c r="X609" i="30" s="1"/>
  <c r="M610" i="30"/>
  <c r="X610" i="30" s="1"/>
  <c r="O589" i="30"/>
  <c r="O588" i="30"/>
  <c r="O593" i="30"/>
  <c r="Z593" i="30" s="1"/>
  <c r="O595" i="30"/>
  <c r="Z595" i="30" s="1"/>
  <c r="O596" i="30"/>
  <c r="O591" i="30"/>
  <c r="Z591" i="30" s="1"/>
  <c r="O590" i="30"/>
  <c r="Z590" i="30" s="1"/>
  <c r="O586" i="30"/>
  <c r="Z586" i="30" s="1"/>
  <c r="O592" i="30"/>
  <c r="Z592" i="30" s="1"/>
  <c r="O594" i="30"/>
  <c r="Z594" i="30" s="1"/>
  <c r="O587" i="30"/>
  <c r="Z587" i="30" s="1"/>
  <c r="K695" i="30"/>
  <c r="I733" i="30"/>
  <c r="T733" i="30" s="1"/>
  <c r="I735" i="30"/>
  <c r="T735" i="30" s="1"/>
  <c r="I734" i="30"/>
  <c r="T734" i="30" s="1"/>
  <c r="I741" i="30"/>
  <c r="I740" i="30"/>
  <c r="I736" i="30"/>
  <c r="I737" i="30"/>
  <c r="I739" i="30"/>
  <c r="T739" i="30" s="1"/>
  <c r="I738" i="30"/>
  <c r="T738" i="30" s="1"/>
  <c r="K733" i="30"/>
  <c r="K736" i="30"/>
  <c r="V736" i="30" s="1"/>
  <c r="K740" i="30"/>
  <c r="V740" i="30" s="1"/>
  <c r="K739" i="30"/>
  <c r="V739" i="30" s="1"/>
  <c r="K738" i="30"/>
  <c r="V738" i="30" s="1"/>
  <c r="K741" i="30"/>
  <c r="V741" i="30" s="1"/>
  <c r="K734" i="30"/>
  <c r="V734" i="30" s="1"/>
  <c r="K735" i="30"/>
  <c r="K737" i="30"/>
  <c r="I842" i="30"/>
  <c r="I848" i="30"/>
  <c r="T848" i="30" s="1"/>
  <c r="I844" i="30"/>
  <c r="T844" i="30" s="1"/>
  <c r="I841" i="30"/>
  <c r="T841" i="30" s="1"/>
  <c r="I845" i="30"/>
  <c r="T845" i="30" s="1"/>
  <c r="I847" i="30"/>
  <c r="T847" i="30" s="1"/>
  <c r="I843" i="30"/>
  <c r="T843" i="30" s="1"/>
  <c r="I846" i="30"/>
  <c r="T846" i="30" s="1"/>
  <c r="I849" i="30"/>
  <c r="T849" i="30" s="1"/>
  <c r="L743" i="30"/>
  <c r="W743" i="30" s="1"/>
  <c r="L750" i="30"/>
  <c r="L749" i="30"/>
  <c r="L747" i="30"/>
  <c r="L746" i="30"/>
  <c r="L745" i="30"/>
  <c r="W745" i="30" s="1"/>
  <c r="L748" i="30"/>
  <c r="W748" i="30" s="1"/>
  <c r="L742" i="30"/>
  <c r="W742" i="30" s="1"/>
  <c r="L744" i="30"/>
  <c r="W744" i="30" s="1"/>
  <c r="E680" i="30"/>
  <c r="P680" i="30" s="1"/>
  <c r="E684" i="30"/>
  <c r="P684" i="30" s="1"/>
  <c r="E683" i="30"/>
  <c r="P683" i="30" s="1"/>
  <c r="E681" i="30"/>
  <c r="P681" i="30" s="1"/>
  <c r="E686" i="30"/>
  <c r="E679" i="30"/>
  <c r="E682" i="30"/>
  <c r="P682" i="30" s="1"/>
  <c r="E687" i="30"/>
  <c r="E685" i="30"/>
  <c r="P685" i="30" s="1"/>
  <c r="M547" i="30"/>
  <c r="X547" i="30" s="1"/>
  <c r="M542" i="30"/>
  <c r="X542" i="30" s="1"/>
  <c r="M544" i="30"/>
  <c r="X544" i="30" s="1"/>
  <c r="M540" i="30"/>
  <c r="X540" i="30" s="1"/>
  <c r="M549" i="30"/>
  <c r="M548" i="30"/>
  <c r="X548" i="30" s="1"/>
  <c r="M545" i="30"/>
  <c r="M546" i="30"/>
  <c r="M543" i="30"/>
  <c r="M541" i="30"/>
  <c r="X541" i="30" s="1"/>
  <c r="N162" i="30"/>
  <c r="N157" i="30"/>
  <c r="Y157" i="30" s="1"/>
  <c r="N156" i="30"/>
  <c r="Y156" i="30" s="1"/>
  <c r="N158" i="30"/>
  <c r="N159" i="30"/>
  <c r="Y159" i="30" s="1"/>
  <c r="N165" i="30"/>
  <c r="Y165" i="30" s="1"/>
  <c r="N164" i="30"/>
  <c r="Y164" i="30" s="1"/>
  <c r="N166" i="30"/>
  <c r="Y166" i="30" s="1"/>
  <c r="N161" i="30"/>
  <c r="Y161" i="30" s="1"/>
  <c r="N160" i="30"/>
  <c r="N163" i="30"/>
  <c r="M507" i="30"/>
  <c r="M510" i="30"/>
  <c r="M505" i="30"/>
  <c r="X505" i="30" s="1"/>
  <c r="M506" i="30"/>
  <c r="X506" i="30" s="1"/>
  <c r="M511" i="30"/>
  <c r="X511" i="30" s="1"/>
  <c r="M502" i="30"/>
  <c r="X502" i="30" s="1"/>
  <c r="M508" i="30"/>
  <c r="X508" i="30" s="1"/>
  <c r="M503" i="30"/>
  <c r="M501" i="30"/>
  <c r="M509" i="30"/>
  <c r="X509" i="30" s="1"/>
  <c r="M504" i="30"/>
  <c r="J695" i="30"/>
  <c r="U695" i="30" s="1"/>
  <c r="J690" i="30"/>
  <c r="U690" i="30" s="1"/>
  <c r="F627" i="30"/>
  <c r="Q627" i="30" s="1"/>
  <c r="F633" i="30"/>
  <c r="Q633" i="30" s="1"/>
  <c r="F625" i="30"/>
  <c r="Q625" i="30" s="1"/>
  <c r="F631" i="30"/>
  <c r="Q631" i="30" s="1"/>
  <c r="F626" i="30"/>
  <c r="Q626" i="30" s="1"/>
  <c r="F630" i="30"/>
  <c r="Q630" i="30" s="1"/>
  <c r="F628" i="30"/>
  <c r="Q628" i="30" s="1"/>
  <c r="F632" i="30"/>
  <c r="Q632" i="30" s="1"/>
  <c r="F629" i="30"/>
  <c r="Q629" i="30" s="1"/>
  <c r="K747" i="30"/>
  <c r="V747" i="30" s="1"/>
  <c r="K746" i="30"/>
  <c r="V746" i="30" s="1"/>
  <c r="K749" i="30"/>
  <c r="V749" i="30" s="1"/>
  <c r="K744" i="30"/>
  <c r="V744" i="30" s="1"/>
  <c r="K743" i="30"/>
  <c r="V743" i="30" s="1"/>
  <c r="K742" i="30"/>
  <c r="K745" i="30"/>
  <c r="V745" i="30" s="1"/>
  <c r="K748" i="30"/>
  <c r="V748" i="30" s="1"/>
  <c r="K750" i="30"/>
  <c r="V750" i="30" s="1"/>
  <c r="N493" i="30"/>
  <c r="Y493" i="30" s="1"/>
  <c r="N488" i="30"/>
  <c r="Y488" i="30" s="1"/>
  <c r="N487" i="30"/>
  <c r="Y487" i="30" s="1"/>
  <c r="N489" i="30"/>
  <c r="Y489" i="30" s="1"/>
  <c r="N484" i="30"/>
  <c r="Y484" i="30" s="1"/>
  <c r="N483" i="30"/>
  <c r="Y483" i="30" s="1"/>
  <c r="N485" i="30"/>
  <c r="Y485" i="30" s="1"/>
  <c r="N490" i="30"/>
  <c r="Y490" i="30" s="1"/>
  <c r="N492" i="30"/>
  <c r="Y492" i="30" s="1"/>
  <c r="N491" i="30"/>
  <c r="Y491" i="30" s="1"/>
  <c r="N486" i="30"/>
  <c r="Y486" i="30" s="1"/>
  <c r="M70" i="30"/>
  <c r="X70" i="30" s="1"/>
  <c r="M69" i="30"/>
  <c r="X69" i="30" s="1"/>
  <c r="M72" i="30"/>
  <c r="X72" i="30" s="1"/>
  <c r="M65" i="30"/>
  <c r="X65" i="30" s="1"/>
  <c r="M71" i="30"/>
  <c r="X71" i="30" s="1"/>
  <c r="M64" i="30"/>
  <c r="X64" i="30" s="1"/>
  <c r="M67" i="30"/>
  <c r="X67" i="30" s="1"/>
  <c r="M66" i="30"/>
  <c r="X66" i="30" s="1"/>
  <c r="M68" i="30"/>
  <c r="X68" i="30" s="1"/>
  <c r="M73" i="30"/>
  <c r="X73" i="30" s="1"/>
  <c r="M74" i="30"/>
  <c r="M86" i="30"/>
  <c r="M94" i="30"/>
  <c r="M93" i="30"/>
  <c r="X93" i="30" s="1"/>
  <c r="M88" i="30"/>
  <c r="X88" i="30" s="1"/>
  <c r="M89" i="30"/>
  <c r="X89" i="30" s="1"/>
  <c r="M92" i="30"/>
  <c r="X92" i="30" s="1"/>
  <c r="M91" i="30"/>
  <c r="X91" i="30" s="1"/>
  <c r="M90" i="30"/>
  <c r="X90" i="30" s="1"/>
  <c r="M87" i="30"/>
  <c r="X87" i="30" s="1"/>
  <c r="F40" i="30"/>
  <c r="Q40" i="30" s="1"/>
  <c r="F37" i="30"/>
  <c r="Q37" i="30" s="1"/>
  <c r="F41" i="30"/>
  <c r="Q41" i="30" s="1"/>
  <c r="F39" i="30"/>
  <c r="Q39" i="30" s="1"/>
  <c r="F34" i="30"/>
  <c r="Q34" i="30" s="1"/>
  <c r="F35" i="30"/>
  <c r="Q35" i="30" s="1"/>
  <c r="F38" i="30"/>
  <c r="Q38" i="30" s="1"/>
  <c r="F36" i="30"/>
  <c r="Q36" i="30" s="1"/>
  <c r="F33" i="30"/>
  <c r="Q33" i="30" s="1"/>
  <c r="M539" i="30"/>
  <c r="M535" i="30"/>
  <c r="X535" i="30" s="1"/>
  <c r="M537" i="30"/>
  <c r="X537" i="30" s="1"/>
  <c r="M536" i="30"/>
  <c r="X536" i="30" s="1"/>
  <c r="M538" i="30"/>
  <c r="M533" i="30"/>
  <c r="X533" i="30" s="1"/>
  <c r="M534" i="30"/>
  <c r="X534" i="30" s="1"/>
  <c r="M532" i="30"/>
  <c r="X532" i="30" s="1"/>
  <c r="M219" i="30"/>
  <c r="X219" i="30" s="1"/>
  <c r="M220" i="30"/>
  <c r="X220" i="30" s="1"/>
  <c r="M215" i="30"/>
  <c r="X215" i="30" s="1"/>
  <c r="M216" i="30"/>
  <c r="M222" i="30"/>
  <c r="M221" i="30"/>
  <c r="X221" i="30" s="1"/>
  <c r="M218" i="30"/>
  <c r="M217" i="30"/>
  <c r="M223" i="30"/>
  <c r="X223" i="30" s="1"/>
  <c r="N594" i="30"/>
  <c r="Y594" i="30" s="1"/>
  <c r="N590" i="30"/>
  <c r="Y590" i="30" s="1"/>
  <c r="N592" i="30"/>
  <c r="Y592" i="30" s="1"/>
  <c r="N591" i="30"/>
  <c r="Y591" i="30" s="1"/>
  <c r="N586" i="30"/>
  <c r="Y586" i="30" s="1"/>
  <c r="N593" i="30"/>
  <c r="Y593" i="30" s="1"/>
  <c r="N588" i="30"/>
  <c r="N595" i="30"/>
  <c r="Y595" i="30" s="1"/>
  <c r="N589" i="30"/>
  <c r="Y589" i="30" s="1"/>
  <c r="N596" i="30"/>
  <c r="Y596" i="30" s="1"/>
  <c r="N587" i="30"/>
  <c r="N413" i="30"/>
  <c r="Y413" i="30" s="1"/>
  <c r="N418" i="30"/>
  <c r="Y418" i="30" s="1"/>
  <c r="N420" i="30"/>
  <c r="Y420" i="30" s="1"/>
  <c r="N419" i="30"/>
  <c r="Y419" i="30" s="1"/>
  <c r="N421" i="30"/>
  <c r="Y421" i="30" s="1"/>
  <c r="N416" i="30"/>
  <c r="Y416" i="30" s="1"/>
  <c r="N415" i="30"/>
  <c r="Y415" i="30" s="1"/>
  <c r="N412" i="30"/>
  <c r="Y412" i="30" s="1"/>
  <c r="N417" i="30"/>
  <c r="Y417" i="30" s="1"/>
  <c r="N411" i="30"/>
  <c r="Y411" i="30" s="1"/>
  <c r="N414" i="30"/>
  <c r="Y414" i="30" s="1"/>
  <c r="N365" i="30"/>
  <c r="Y365" i="30" s="1"/>
  <c r="N364" i="30"/>
  <c r="Y364" i="30" s="1"/>
  <c r="N361" i="30"/>
  <c r="Y361" i="30" s="1"/>
  <c r="N360" i="30"/>
  <c r="Y360" i="30" s="1"/>
  <c r="N359" i="30"/>
  <c r="Y359" i="30" s="1"/>
  <c r="N358" i="30"/>
  <c r="Y358" i="30" s="1"/>
  <c r="N368" i="30"/>
  <c r="Y368" i="30" s="1"/>
  <c r="N367" i="30"/>
  <c r="Y367" i="30" s="1"/>
  <c r="N362" i="30"/>
  <c r="Y362" i="30" s="1"/>
  <c r="N363" i="30"/>
  <c r="Y363" i="30" s="1"/>
  <c r="N366" i="30"/>
  <c r="Y366" i="30" s="1"/>
  <c r="AC680" i="30"/>
  <c r="AD680" i="30" s="1"/>
  <c r="R61" i="31"/>
  <c r="AE680" i="30" s="1"/>
  <c r="AF680" i="30" s="1"/>
  <c r="L223" i="30"/>
  <c r="W223" i="30" s="1"/>
  <c r="L222" i="30"/>
  <c r="W222" i="30" s="1"/>
  <c r="L221" i="30"/>
  <c r="W221" i="30" s="1"/>
  <c r="L219" i="30"/>
  <c r="W219" i="30" s="1"/>
  <c r="L218" i="30"/>
  <c r="W218" i="30" s="1"/>
  <c r="L217" i="30"/>
  <c r="W217" i="30" s="1"/>
  <c r="L220" i="30"/>
  <c r="W220" i="30" s="1"/>
  <c r="L215" i="30"/>
  <c r="W215" i="30" s="1"/>
  <c r="L216" i="30"/>
  <c r="W216" i="30" s="1"/>
  <c r="N530" i="30"/>
  <c r="Y530" i="30" s="1"/>
  <c r="N528" i="30"/>
  <c r="Y528" i="30" s="1"/>
  <c r="N529" i="30"/>
  <c r="Y529" i="30" s="1"/>
  <c r="N524" i="30"/>
  <c r="Y524" i="30" s="1"/>
  <c r="N531" i="30"/>
  <c r="Y531" i="30" s="1"/>
  <c r="N525" i="30"/>
  <c r="Y525" i="30" s="1"/>
  <c r="N527" i="30"/>
  <c r="Y527" i="30" s="1"/>
  <c r="N526" i="30"/>
  <c r="Y526" i="30" s="1"/>
  <c r="N523" i="30"/>
  <c r="Y523" i="30" s="1"/>
  <c r="K853" i="30"/>
  <c r="V853" i="30" s="1"/>
  <c r="K851" i="30"/>
  <c r="V851" i="30" s="1"/>
  <c r="K683" i="30"/>
  <c r="V683" i="30" s="1"/>
  <c r="K684" i="30"/>
  <c r="V684" i="30" s="1"/>
  <c r="K679" i="30"/>
  <c r="V679" i="30" s="1"/>
  <c r="K686" i="30"/>
  <c r="V686" i="30" s="1"/>
  <c r="K680" i="30"/>
  <c r="V680" i="30" s="1"/>
  <c r="K682" i="30"/>
  <c r="K681" i="30"/>
  <c r="K685" i="30"/>
  <c r="V685" i="30" s="1"/>
  <c r="K687" i="30"/>
  <c r="V687" i="30" s="1"/>
  <c r="K796" i="30"/>
  <c r="V796" i="30" s="1"/>
  <c r="G687" i="30"/>
  <c r="G683" i="30"/>
  <c r="R683" i="30" s="1"/>
  <c r="G684" i="30"/>
  <c r="R684" i="30" s="1"/>
  <c r="G679" i="30"/>
  <c r="R679" i="30" s="1"/>
  <c r="G686" i="30"/>
  <c r="R686" i="30" s="1"/>
  <c r="G680" i="30"/>
  <c r="R680" i="30" s="1"/>
  <c r="G682" i="30"/>
  <c r="R682" i="30" s="1"/>
  <c r="G685" i="30"/>
  <c r="G681" i="30"/>
  <c r="R681" i="30" s="1"/>
  <c r="K849" i="30"/>
  <c r="V849" i="30" s="1"/>
  <c r="K847" i="30"/>
  <c r="V847" i="30" s="1"/>
  <c r="K845" i="30"/>
  <c r="V845" i="30" s="1"/>
  <c r="K848" i="30"/>
  <c r="V848" i="30" s="1"/>
  <c r="K846" i="30"/>
  <c r="V846" i="30" s="1"/>
  <c r="K842" i="30"/>
  <c r="V842" i="30" s="1"/>
  <c r="K841" i="30"/>
  <c r="V841" i="30" s="1"/>
  <c r="K844" i="30"/>
  <c r="V844" i="30" s="1"/>
  <c r="K843" i="30"/>
  <c r="V843" i="30" s="1"/>
  <c r="L856" i="30"/>
  <c r="W856" i="30" s="1"/>
  <c r="L857" i="30"/>
  <c r="L852" i="30"/>
  <c r="W852" i="30" s="1"/>
  <c r="L855" i="30"/>
  <c r="W855" i="30" s="1"/>
  <c r="L853" i="30"/>
  <c r="W853" i="30" s="1"/>
  <c r="L858" i="30"/>
  <c r="L851" i="30"/>
  <c r="W851" i="30" s="1"/>
  <c r="L850" i="30"/>
  <c r="W850" i="30" s="1"/>
  <c r="L854" i="30"/>
  <c r="W854" i="30" s="1"/>
  <c r="M851" i="30"/>
  <c r="X851" i="30" s="1"/>
  <c r="M854" i="30"/>
  <c r="X854" i="30" s="1"/>
  <c r="M853" i="30"/>
  <c r="X853" i="30" s="1"/>
  <c r="M850" i="30"/>
  <c r="X850" i="30" s="1"/>
  <c r="M856" i="30"/>
  <c r="M855" i="30"/>
  <c r="X855" i="30" s="1"/>
  <c r="M858" i="30"/>
  <c r="X858" i="30" s="1"/>
  <c r="M852" i="30"/>
  <c r="M857" i="30"/>
  <c r="N333" i="30"/>
  <c r="N332" i="30"/>
  <c r="Y332" i="30" s="1"/>
  <c r="N334" i="30"/>
  <c r="Y334" i="30" s="1"/>
  <c r="N339" i="30"/>
  <c r="Y339" i="30" s="1"/>
  <c r="N337" i="30"/>
  <c r="Y337" i="30" s="1"/>
  <c r="N335" i="30"/>
  <c r="Y335" i="30" s="1"/>
  <c r="N338" i="30"/>
  <c r="Y338" i="30" s="1"/>
  <c r="N336" i="30"/>
  <c r="Y336" i="30" s="1"/>
  <c r="M278" i="30"/>
  <c r="X278" i="30" s="1"/>
  <c r="M277" i="30"/>
  <c r="X277" i="30" s="1"/>
  <c r="M279" i="30"/>
  <c r="X279" i="30" s="1"/>
  <c r="M281" i="30"/>
  <c r="M283" i="30"/>
  <c r="X283" i="30" s="1"/>
  <c r="M273" i="30"/>
  <c r="X273" i="30" s="1"/>
  <c r="M282" i="30"/>
  <c r="X282" i="30" s="1"/>
  <c r="M280" i="30"/>
  <c r="X280" i="30" s="1"/>
  <c r="M274" i="30"/>
  <c r="M276" i="30"/>
  <c r="X276" i="30" s="1"/>
  <c r="M275" i="30"/>
  <c r="X275" i="30" s="1"/>
  <c r="M607" i="30"/>
  <c r="X607" i="30" s="1"/>
  <c r="M603" i="30"/>
  <c r="X603" i="30" s="1"/>
  <c r="M606" i="30"/>
  <c r="X606" i="30" s="1"/>
  <c r="M601" i="30"/>
  <c r="X601" i="30" s="1"/>
  <c r="M604" i="30"/>
  <c r="X604" i="30" s="1"/>
  <c r="M599" i="30"/>
  <c r="M602" i="30"/>
  <c r="X602" i="30" s="1"/>
  <c r="M597" i="30"/>
  <c r="X597" i="30" s="1"/>
  <c r="M598" i="30"/>
  <c r="X598" i="30" s="1"/>
  <c r="M600" i="30"/>
  <c r="X600" i="30" s="1"/>
  <c r="M605" i="30"/>
  <c r="X605" i="30" s="1"/>
  <c r="H694" i="30"/>
  <c r="S694" i="30" s="1"/>
  <c r="H696" i="30"/>
  <c r="S696" i="30" s="1"/>
  <c r="H692" i="30"/>
  <c r="S692" i="30" s="1"/>
  <c r="H688" i="30"/>
  <c r="G688" i="30"/>
  <c r="G696" i="30"/>
  <c r="R696" i="30" s="1"/>
  <c r="F560" i="30"/>
  <c r="Q560" i="30" s="1"/>
  <c r="F564" i="30"/>
  <c r="Q564" i="30" s="1"/>
  <c r="F559" i="30"/>
  <c r="Q559" i="30" s="1"/>
  <c r="F561" i="30"/>
  <c r="Q561" i="30" s="1"/>
  <c r="F562" i="30"/>
  <c r="Q562" i="30" s="1"/>
  <c r="F567" i="30"/>
  <c r="Q567" i="30" s="1"/>
  <c r="F563" i="30"/>
  <c r="Q563" i="30" s="1"/>
  <c r="F565" i="30"/>
  <c r="Q565" i="30" s="1"/>
  <c r="F566" i="30"/>
  <c r="Q566" i="30" s="1"/>
  <c r="M326" i="30"/>
  <c r="X326" i="30" s="1"/>
  <c r="M325" i="30"/>
  <c r="X325" i="30" s="1"/>
  <c r="M329" i="30"/>
  <c r="X329" i="30" s="1"/>
  <c r="M328" i="30"/>
  <c r="X328" i="30" s="1"/>
  <c r="M331" i="30"/>
  <c r="X331" i="30" s="1"/>
  <c r="M330" i="30"/>
  <c r="X330" i="30" s="1"/>
  <c r="M324" i="30"/>
  <c r="X324" i="30" s="1"/>
  <c r="M327" i="30"/>
  <c r="AG60" i="31"/>
  <c r="B14" i="31"/>
  <c r="AF54" i="31" s="1"/>
  <c r="B18" i="31"/>
  <c r="AE68" i="31" s="1"/>
  <c r="AC60" i="31"/>
  <c r="M497" i="30"/>
  <c r="X497" i="30" s="1"/>
  <c r="M496" i="30"/>
  <c r="X496" i="30" s="1"/>
  <c r="M498" i="30"/>
  <c r="X498" i="30" s="1"/>
  <c r="M499" i="30"/>
  <c r="X499" i="30" s="1"/>
  <c r="M494" i="30"/>
  <c r="M500" i="30"/>
  <c r="X500" i="30" s="1"/>
  <c r="M495" i="30"/>
  <c r="X495" i="30" s="1"/>
  <c r="O521" i="30"/>
  <c r="Z521" i="30" s="1"/>
  <c r="O519" i="30"/>
  <c r="Z519" i="30" s="1"/>
  <c r="O514" i="30"/>
  <c r="Z514" i="30" s="1"/>
  <c r="O520" i="30"/>
  <c r="Z520" i="30" s="1"/>
  <c r="O515" i="30"/>
  <c r="Z515" i="30" s="1"/>
  <c r="O517" i="30"/>
  <c r="O513" i="30"/>
  <c r="Z513" i="30" s="1"/>
  <c r="O516" i="30"/>
  <c r="Z516" i="30" s="1"/>
  <c r="O522" i="30"/>
  <c r="Z522" i="30" s="1"/>
  <c r="O512" i="30"/>
  <c r="Z512" i="30" s="1"/>
  <c r="O518" i="30"/>
  <c r="Z518" i="30" s="1"/>
  <c r="AG87" i="31"/>
  <c r="M338" i="30"/>
  <c r="M336" i="30"/>
  <c r="X336" i="30" s="1"/>
  <c r="M337" i="30"/>
  <c r="X337" i="30" s="1"/>
  <c r="M333" i="30"/>
  <c r="M332" i="30"/>
  <c r="M334" i="30"/>
  <c r="X334" i="30" s="1"/>
  <c r="M335" i="30"/>
  <c r="X335" i="30" s="1"/>
  <c r="M339" i="30"/>
  <c r="X339" i="30" s="1"/>
  <c r="M406" i="30"/>
  <c r="X406" i="30" s="1"/>
  <c r="M401" i="30"/>
  <c r="X401" i="30" s="1"/>
  <c r="M400" i="30"/>
  <c r="X400" i="30" s="1"/>
  <c r="M402" i="30"/>
  <c r="M409" i="30"/>
  <c r="X409" i="30" s="1"/>
  <c r="M408" i="30"/>
  <c r="X408" i="30" s="1"/>
  <c r="M403" i="30"/>
  <c r="X403" i="30" s="1"/>
  <c r="M405" i="30"/>
  <c r="M410" i="30"/>
  <c r="X410" i="30" s="1"/>
  <c r="M404" i="30"/>
  <c r="X404" i="30" s="1"/>
  <c r="M407" i="30"/>
  <c r="X407" i="30" s="1"/>
  <c r="N285" i="30"/>
  <c r="Y285" i="30" s="1"/>
  <c r="N284" i="30"/>
  <c r="Y284" i="30" s="1"/>
  <c r="N288" i="30"/>
  <c r="Y288" i="30" s="1"/>
  <c r="N289" i="30"/>
  <c r="Y289" i="30" s="1"/>
  <c r="N292" i="30"/>
  <c r="Y292" i="30" s="1"/>
  <c r="N291" i="30"/>
  <c r="Y291" i="30" s="1"/>
  <c r="N294" i="30"/>
  <c r="Y294" i="30" s="1"/>
  <c r="N290" i="30"/>
  <c r="Y290" i="30" s="1"/>
  <c r="N293" i="30"/>
  <c r="Y293" i="30" s="1"/>
  <c r="N287" i="30"/>
  <c r="Y287" i="30" s="1"/>
  <c r="N286" i="30"/>
  <c r="Y286" i="30" s="1"/>
  <c r="M486" i="30"/>
  <c r="X486" i="30" s="1"/>
  <c r="M493" i="30"/>
  <c r="X493" i="30" s="1"/>
  <c r="M492" i="30"/>
  <c r="X492" i="30" s="1"/>
  <c r="M489" i="30"/>
  <c r="X489" i="30" s="1"/>
  <c r="M488" i="30"/>
  <c r="X488" i="30" s="1"/>
  <c r="M483" i="30"/>
  <c r="X483" i="30" s="1"/>
  <c r="M490" i="30"/>
  <c r="X490" i="30" s="1"/>
  <c r="M484" i="30"/>
  <c r="X484" i="30" s="1"/>
  <c r="M487" i="30"/>
  <c r="X487" i="30" s="1"/>
  <c r="M485" i="30"/>
  <c r="X485" i="30" s="1"/>
  <c r="M491" i="30"/>
  <c r="X491" i="30" s="1"/>
  <c r="L55" i="34"/>
  <c r="L203" i="30"/>
  <c r="W203" i="30" s="1"/>
  <c r="L202" i="30"/>
  <c r="W202" i="30" s="1"/>
  <c r="L197" i="30"/>
  <c r="W197" i="30" s="1"/>
  <c r="L204" i="30"/>
  <c r="W204" i="30" s="1"/>
  <c r="L199" i="30"/>
  <c r="W199" i="30" s="1"/>
  <c r="L198" i="30"/>
  <c r="W198" i="30" s="1"/>
  <c r="L205" i="30"/>
  <c r="W205" i="30" s="1"/>
  <c r="L201" i="30"/>
  <c r="W201" i="30" s="1"/>
  <c r="L200" i="30"/>
  <c r="W200" i="30" s="1"/>
  <c r="J15" i="36"/>
  <c r="S93" i="36"/>
  <c r="J22" i="36" s="1"/>
  <c r="L15" i="36"/>
  <c r="L23" i="36" s="1"/>
  <c r="J93" i="36"/>
  <c r="L22" i="36" s="1"/>
  <c r="H15" i="36"/>
  <c r="H29" i="36" s="1"/>
  <c r="Q93" i="36"/>
  <c r="H22" i="36" s="1"/>
  <c r="I15" i="36"/>
  <c r="R93" i="36"/>
  <c r="I22" i="36" s="1"/>
  <c r="K15" i="36"/>
  <c r="T93" i="36"/>
  <c r="K22" i="36" s="1"/>
  <c r="E15" i="36"/>
  <c r="O93" i="36"/>
  <c r="E22" i="36" s="1"/>
  <c r="N93" i="36"/>
  <c r="D22" i="36" s="1"/>
  <c r="F15" i="36"/>
  <c r="F29" i="36" s="1"/>
  <c r="P93" i="36"/>
  <c r="F22" i="36" s="1"/>
  <c r="E114" i="66"/>
  <c r="F114" i="66"/>
  <c r="M114" i="66"/>
  <c r="K114" i="66"/>
  <c r="I114" i="66"/>
  <c r="G114" i="66"/>
  <c r="G106" i="66"/>
  <c r="F106" i="66"/>
  <c r="C106" i="66"/>
  <c r="I106" i="66"/>
  <c r="M106" i="66"/>
  <c r="E106" i="66"/>
  <c r="K106" i="66"/>
  <c r="D110" i="66"/>
  <c r="C110" i="66"/>
  <c r="F110" i="66"/>
  <c r="E110" i="66"/>
  <c r="G110" i="66"/>
  <c r="M110" i="66"/>
  <c r="K110" i="66"/>
  <c r="I110" i="66"/>
  <c r="F638" i="30"/>
  <c r="Q638" i="30" s="1"/>
  <c r="F642" i="30"/>
  <c r="Q642" i="30" s="1"/>
  <c r="F635" i="30"/>
  <c r="Q635" i="30" s="1"/>
  <c r="F639" i="30"/>
  <c r="Q639" i="30" s="1"/>
  <c r="F634" i="30"/>
  <c r="Q634" i="30" s="1"/>
  <c r="F690" i="30"/>
  <c r="Q690" i="30" s="1"/>
  <c r="F692" i="30"/>
  <c r="Q692" i="30" s="1"/>
  <c r="F694" i="30"/>
  <c r="Q694" i="30" s="1"/>
  <c r="F696" i="30"/>
  <c r="Q696" i="30" s="1"/>
  <c r="F689" i="30"/>
  <c r="Q689" i="30" s="1"/>
  <c r="F691" i="30"/>
  <c r="Q691" i="30" s="1"/>
  <c r="F693" i="30"/>
  <c r="Q693" i="30" s="1"/>
  <c r="F695" i="30"/>
  <c r="Q695" i="30" s="1"/>
  <c r="F688" i="30"/>
  <c r="Q688" i="30" s="1"/>
  <c r="P686" i="30"/>
  <c r="P679" i="30"/>
  <c r="P687" i="30"/>
  <c r="F681" i="30"/>
  <c r="Q681" i="30" s="1"/>
  <c r="F683" i="30"/>
  <c r="Q683" i="30" s="1"/>
  <c r="F685" i="30"/>
  <c r="Q685" i="30" s="1"/>
  <c r="F687" i="30"/>
  <c r="Q687" i="30" s="1"/>
  <c r="F680" i="30"/>
  <c r="Q680" i="30" s="1"/>
  <c r="F682" i="30"/>
  <c r="Q682" i="30" s="1"/>
  <c r="F684" i="30"/>
  <c r="Q684" i="30" s="1"/>
  <c r="F686" i="30"/>
  <c r="Q686" i="30" s="1"/>
  <c r="F679" i="30"/>
  <c r="Q679" i="30" s="1"/>
  <c r="P65" i="34"/>
  <c r="AE23" i="30" s="1"/>
  <c r="AF23" i="30" s="1"/>
  <c r="D62" i="34"/>
  <c r="P62" i="34" s="1"/>
  <c r="V413" i="30"/>
  <c r="T295" i="30"/>
  <c r="U169" i="30"/>
  <c r="S550" i="30"/>
  <c r="S66" i="30"/>
  <c r="R371" i="30"/>
  <c r="S77" i="30"/>
  <c r="R523" i="30"/>
  <c r="U454" i="30"/>
  <c r="X523" i="30"/>
  <c r="T402" i="30"/>
  <c r="R454" i="30"/>
  <c r="U286" i="30"/>
  <c r="U570" i="30"/>
  <c r="W588" i="30"/>
  <c r="T541" i="30"/>
  <c r="S454" i="30"/>
  <c r="W158" i="30"/>
  <c r="S87" i="30"/>
  <c r="U402" i="30"/>
  <c r="X465" i="30"/>
  <c r="W66" i="30"/>
  <c r="S158" i="30"/>
  <c r="V454" i="30"/>
  <c r="R179" i="30"/>
  <c r="W413" i="30"/>
  <c r="V588" i="30"/>
  <c r="V77" i="30"/>
  <c r="V599" i="30"/>
  <c r="V503" i="30"/>
  <c r="V608" i="30"/>
  <c r="T485" i="30"/>
  <c r="T503" i="30"/>
  <c r="V485" i="30"/>
  <c r="V371" i="30"/>
  <c r="T550" i="30"/>
  <c r="R599" i="30"/>
  <c r="S286" i="30"/>
  <c r="V616" i="30"/>
  <c r="R485" i="30"/>
  <c r="R158" i="30"/>
  <c r="X588" i="30"/>
  <c r="V332" i="30"/>
  <c r="V275" i="30"/>
  <c r="S485" i="30"/>
  <c r="R87" i="30"/>
  <c r="R275" i="30"/>
  <c r="T371" i="30"/>
  <c r="S127" i="30"/>
  <c r="S616" i="30"/>
  <c r="U523" i="30"/>
  <c r="V169" i="30"/>
  <c r="T465" i="30"/>
  <c r="R413" i="30"/>
  <c r="W465" i="30"/>
  <c r="W616" i="30"/>
  <c r="V295" i="30"/>
  <c r="U275" i="30"/>
  <c r="U158" i="30"/>
  <c r="R106" i="30"/>
  <c r="T169" i="30"/>
  <c r="T579" i="30"/>
  <c r="R66" i="30"/>
  <c r="AG85" i="31"/>
  <c r="P16" i="34"/>
  <c r="AE43" i="30" s="1"/>
  <c r="AF43" i="30" s="1"/>
  <c r="X72" i="34"/>
  <c r="AL51" i="34"/>
  <c r="J63" i="31"/>
  <c r="J60" i="31"/>
  <c r="U60" i="31" s="1"/>
  <c r="U39" i="34"/>
  <c r="S18" i="43"/>
  <c r="T18" i="43" s="1"/>
  <c r="U18" i="43" s="1"/>
  <c r="C19" i="43"/>
  <c r="W18" i="43"/>
  <c r="X18" i="43" s="1"/>
  <c r="Y18" i="43" s="1"/>
  <c r="K18" i="43"/>
  <c r="L18" i="43" s="1"/>
  <c r="M18" i="43" s="1"/>
  <c r="D18" i="43"/>
  <c r="E18" i="43" s="1"/>
  <c r="G18" i="43"/>
  <c r="H18" i="43" s="1"/>
  <c r="I18" i="43" s="1"/>
  <c r="O18" i="43"/>
  <c r="P18" i="43" s="1"/>
  <c r="Q18" i="43" s="1"/>
  <c r="Z18" i="43"/>
  <c r="O35" i="31"/>
  <c r="N37" i="31"/>
  <c r="N38" i="31" s="1"/>
  <c r="O34" i="31"/>
  <c r="X74" i="30"/>
  <c r="X543" i="30"/>
  <c r="X549" i="30"/>
  <c r="X545" i="30"/>
  <c r="X546" i="30"/>
  <c r="Z589" i="30"/>
  <c r="Z596" i="30"/>
  <c r="Z588" i="30"/>
  <c r="V742" i="30"/>
  <c r="X125" i="30"/>
  <c r="X134" i="30"/>
  <c r="X132" i="30"/>
  <c r="X557" i="30"/>
  <c r="X558" i="30"/>
  <c r="Y564" i="30"/>
  <c r="Y560" i="30"/>
  <c r="Y566" i="30"/>
  <c r="Y562" i="30"/>
  <c r="Y565" i="30"/>
  <c r="Y561" i="30"/>
  <c r="V633" i="30"/>
  <c r="V631" i="30"/>
  <c r="V632" i="30"/>
  <c r="AH85" i="31"/>
  <c r="R685" i="30"/>
  <c r="R687" i="30"/>
  <c r="V737" i="30"/>
  <c r="V733" i="30"/>
  <c r="V735" i="30"/>
  <c r="W858" i="30"/>
  <c r="W857" i="30"/>
  <c r="Y571" i="30"/>
  <c r="Y574" i="30"/>
  <c r="Y577" i="30"/>
  <c r="Y573" i="30"/>
  <c r="X857" i="30"/>
  <c r="X856" i="30"/>
  <c r="X852" i="30"/>
  <c r="X743" i="30"/>
  <c r="X746" i="30"/>
  <c r="X742" i="30"/>
  <c r="X749" i="30"/>
  <c r="X376" i="30"/>
  <c r="X372" i="30"/>
  <c r="X379" i="30"/>
  <c r="X375" i="30"/>
  <c r="X378" i="30"/>
  <c r="X510" i="30"/>
  <c r="X501" i="30"/>
  <c r="X504" i="30"/>
  <c r="X507" i="30"/>
  <c r="S626" i="30"/>
  <c r="S633" i="30"/>
  <c r="S629" i="30"/>
  <c r="S566" i="30"/>
  <c r="S565" i="30"/>
  <c r="S567" i="30"/>
  <c r="X86" i="30"/>
  <c r="X94" i="30"/>
  <c r="X333" i="30"/>
  <c r="X338" i="30"/>
  <c r="X405" i="30"/>
  <c r="V681" i="30"/>
  <c r="V682" i="30"/>
  <c r="Y333" i="30"/>
  <c r="Y163" i="30"/>
  <c r="Y160" i="30"/>
  <c r="Y162" i="30"/>
  <c r="T563" i="30"/>
  <c r="T566" i="30"/>
  <c r="T562" i="30"/>
  <c r="AE91" i="31"/>
  <c r="AE90" i="31"/>
  <c r="U633" i="30"/>
  <c r="U628" i="30"/>
  <c r="U631" i="30"/>
  <c r="U627" i="30"/>
  <c r="AF65" i="31"/>
  <c r="AF66" i="31"/>
  <c r="R631" i="30"/>
  <c r="R632" i="30"/>
  <c r="AC65" i="31"/>
  <c r="AC66" i="31"/>
  <c r="X539" i="30"/>
  <c r="X538" i="30"/>
  <c r="Y302" i="30"/>
  <c r="Y298" i="30"/>
  <c r="Y296" i="30"/>
  <c r="U564" i="30"/>
  <c r="AF90" i="31"/>
  <c r="AF91" i="31"/>
  <c r="R565" i="30"/>
  <c r="R561" i="30"/>
  <c r="R563" i="30"/>
  <c r="R560" i="30"/>
  <c r="AC90" i="31"/>
  <c r="AC91" i="31"/>
  <c r="T631" i="30"/>
  <c r="T627" i="30"/>
  <c r="T633" i="30"/>
  <c r="T629" i="30"/>
  <c r="X217" i="30"/>
  <c r="X222" i="30"/>
  <c r="X218" i="30"/>
  <c r="X216" i="30"/>
  <c r="Y587" i="30"/>
  <c r="T842" i="30"/>
  <c r="Y410" i="30"/>
  <c r="Y406" i="30"/>
  <c r="Y405" i="30"/>
  <c r="Y403" i="30"/>
  <c r="X341" i="30"/>
  <c r="X340" i="30"/>
  <c r="X342" i="30"/>
  <c r="X624" i="30"/>
  <c r="X623" i="30"/>
  <c r="X617" i="30"/>
  <c r="X622" i="30"/>
  <c r="X615" i="30"/>
  <c r="V695" i="30"/>
  <c r="T740" i="30"/>
  <c r="T736" i="30"/>
  <c r="T741" i="30"/>
  <c r="T737" i="30"/>
  <c r="W750" i="30"/>
  <c r="W746" i="30"/>
  <c r="W749" i="30"/>
  <c r="W747" i="30"/>
  <c r="X281" i="30"/>
  <c r="X274" i="30"/>
  <c r="X456" i="30"/>
  <c r="X462" i="30"/>
  <c r="X453" i="30"/>
  <c r="X459" i="30"/>
  <c r="X455" i="30"/>
  <c r="S680" i="30"/>
  <c r="Y536" i="30"/>
  <c r="Y537" i="30"/>
  <c r="Y539" i="30"/>
  <c r="Y533" i="30"/>
  <c r="Y535" i="30"/>
  <c r="Y532" i="30"/>
  <c r="X580" i="30"/>
  <c r="X327" i="30"/>
  <c r="Z517" i="30"/>
  <c r="T687" i="30"/>
  <c r="T686" i="30"/>
  <c r="T684" i="30"/>
  <c r="T685" i="30"/>
  <c r="T681" i="30"/>
  <c r="AI85" i="31"/>
  <c r="AA49" i="31"/>
  <c r="H15" i="34"/>
  <c r="T15" i="34" s="1"/>
  <c r="AE109" i="30" s="1"/>
  <c r="AF109" i="30" s="1"/>
  <c r="E46" i="31"/>
  <c r="P46" i="31" s="1"/>
  <c r="T31" i="30"/>
  <c r="H12" i="34"/>
  <c r="T12" i="34" s="1"/>
  <c r="AE58" i="30" s="1"/>
  <c r="AF58" i="30" s="1"/>
  <c r="H52" i="34"/>
  <c r="AC308" i="30" s="1"/>
  <c r="AD308" i="30" s="1"/>
  <c r="I54" i="34"/>
  <c r="U54" i="34" s="1"/>
  <c r="AE319" i="30" s="1"/>
  <c r="AF319" i="30" s="1"/>
  <c r="AC43" i="30"/>
  <c r="AD43" i="30" s="1"/>
  <c r="V48" i="30"/>
  <c r="F37" i="34"/>
  <c r="AC238" i="30"/>
  <c r="AD238" i="30" s="1"/>
  <c r="I35" i="34"/>
  <c r="U35" i="34" s="1"/>
  <c r="AE151" i="30" s="1"/>
  <c r="AF151" i="30" s="1"/>
  <c r="H54" i="34"/>
  <c r="T54" i="34" s="1"/>
  <c r="AE318" i="30" s="1"/>
  <c r="AF318" i="30" s="1"/>
  <c r="I32" i="34"/>
  <c r="AC210" i="30" s="1"/>
  <c r="AD210" i="30" s="1"/>
  <c r="P8" i="34"/>
  <c r="S250" i="30"/>
  <c r="R321" i="30"/>
  <c r="V263" i="30"/>
  <c r="S58" i="30"/>
  <c r="S112" i="30"/>
  <c r="H37" i="34"/>
  <c r="AC247" i="30" s="1"/>
  <c r="AD247" i="30" s="1"/>
  <c r="I12" i="34"/>
  <c r="H14" i="34"/>
  <c r="AC99" i="30" s="1"/>
  <c r="AD99" i="30" s="1"/>
  <c r="H58" i="34"/>
  <c r="AC352" i="30" s="1"/>
  <c r="AD352" i="30" s="1"/>
  <c r="H57" i="34"/>
  <c r="H48" i="34" s="1"/>
  <c r="I34" i="34"/>
  <c r="U34" i="34" s="1"/>
  <c r="AE227" i="30" s="1"/>
  <c r="AF227" i="30" s="1"/>
  <c r="V32" i="30"/>
  <c r="S195" i="30"/>
  <c r="AB56" i="31"/>
  <c r="V207" i="30"/>
  <c r="AB68" i="31"/>
  <c r="R352" i="30"/>
  <c r="T319" i="30"/>
  <c r="AD46" i="31"/>
  <c r="T105" i="30"/>
  <c r="V353" i="30"/>
  <c r="R270" i="30"/>
  <c r="S316" i="30"/>
  <c r="V62" i="30"/>
  <c r="V101" i="30"/>
  <c r="P37" i="34"/>
  <c r="AE243" i="30" s="1"/>
  <c r="AF243" i="30" s="1"/>
  <c r="H23" i="34"/>
  <c r="T23" i="34" s="1"/>
  <c r="AE180" i="30" s="1"/>
  <c r="AF180" i="30" s="1"/>
  <c r="H34" i="34"/>
  <c r="T24" i="34"/>
  <c r="AE191" i="30" s="1"/>
  <c r="AF191" i="30" s="1"/>
  <c r="AC191" i="30"/>
  <c r="AD191" i="30" s="1"/>
  <c r="H36" i="34"/>
  <c r="H32" i="34"/>
  <c r="T32" i="34" s="1"/>
  <c r="AE209" i="30" s="1"/>
  <c r="AF209" i="30" s="1"/>
  <c r="H35" i="34"/>
  <c r="U263" i="30"/>
  <c r="P14" i="34"/>
  <c r="AE95" i="30" s="1"/>
  <c r="AF95" i="30" s="1"/>
  <c r="AC95" i="30"/>
  <c r="AD95" i="30" s="1"/>
  <c r="V231" i="30"/>
  <c r="H16" i="34"/>
  <c r="H8" i="34" s="1"/>
  <c r="H17" i="34"/>
  <c r="I47" i="31" s="1"/>
  <c r="AC182" i="30"/>
  <c r="AD182" i="30" s="1"/>
  <c r="T239" i="30"/>
  <c r="U230" i="30"/>
  <c r="T189" i="30"/>
  <c r="R241" i="30"/>
  <c r="S228" i="30"/>
  <c r="U122" i="30"/>
  <c r="V152" i="30"/>
  <c r="T231" i="30"/>
  <c r="T57" i="30"/>
  <c r="T100" i="30"/>
  <c r="T52" i="30"/>
  <c r="S100" i="30"/>
  <c r="S208" i="30"/>
  <c r="AC314" i="30"/>
  <c r="AD314" i="30" s="1"/>
  <c r="AC263" i="30"/>
  <c r="AD263" i="30" s="1"/>
  <c r="D48" i="34"/>
  <c r="P48" i="34" s="1"/>
  <c r="V229" i="30"/>
  <c r="U268" i="30"/>
  <c r="V15" i="34"/>
  <c r="AE111" i="30" s="1"/>
  <c r="AF111" i="30" s="1"/>
  <c r="D20" i="34"/>
  <c r="P20" i="34" s="1"/>
  <c r="P35" i="34"/>
  <c r="AE146" i="30" s="1"/>
  <c r="AF146" i="30" s="1"/>
  <c r="AC146" i="30"/>
  <c r="AD146" i="30" s="1"/>
  <c r="D32" i="34"/>
  <c r="P32" i="34" s="1"/>
  <c r="F74" i="34"/>
  <c r="L32" i="34"/>
  <c r="I36" i="34"/>
  <c r="AC237" i="30" s="1"/>
  <c r="AD237" i="30" s="1"/>
  <c r="I24" i="34"/>
  <c r="AC192" i="30" s="1"/>
  <c r="AD192" i="30" s="1"/>
  <c r="AC152" i="30"/>
  <c r="AD152" i="30" s="1"/>
  <c r="I37" i="34"/>
  <c r="U37" i="34" s="1"/>
  <c r="AE248" i="30" s="1"/>
  <c r="AF248" i="30" s="1"/>
  <c r="AC228" i="30"/>
  <c r="AD228" i="30" s="1"/>
  <c r="I23" i="34"/>
  <c r="AC181" i="30" s="1"/>
  <c r="AD181" i="30" s="1"/>
  <c r="AC193" i="30"/>
  <c r="AD193" i="30" s="1"/>
  <c r="P49" i="31"/>
  <c r="AE72" i="31"/>
  <c r="V234" i="30"/>
  <c r="AD47" i="31"/>
  <c r="V236" i="30"/>
  <c r="U32" i="30"/>
  <c r="U30" i="30"/>
  <c r="U28" i="30"/>
  <c r="U26" i="30"/>
  <c r="U22" i="30"/>
  <c r="U31" i="30"/>
  <c r="U29" i="30"/>
  <c r="U27" i="30"/>
  <c r="U25" i="30"/>
  <c r="U23" i="30"/>
  <c r="R31" i="30"/>
  <c r="R29" i="30"/>
  <c r="R27" i="30"/>
  <c r="R25" i="30"/>
  <c r="R23" i="30"/>
  <c r="R32" i="30"/>
  <c r="R30" i="30"/>
  <c r="R28" i="30"/>
  <c r="R26" i="30"/>
  <c r="R22" i="30"/>
  <c r="U214" i="30"/>
  <c r="U115" i="30"/>
  <c r="U53" i="30"/>
  <c r="V155" i="30"/>
  <c r="S312" i="30"/>
  <c r="S310" i="30"/>
  <c r="S308" i="30"/>
  <c r="S306" i="30"/>
  <c r="S304" i="30"/>
  <c r="S313" i="30"/>
  <c r="S311" i="30"/>
  <c r="S309" i="30"/>
  <c r="S307" i="30"/>
  <c r="S303" i="30"/>
  <c r="U46" i="30"/>
  <c r="R119" i="30"/>
  <c r="T60" i="30"/>
  <c r="V45" i="30"/>
  <c r="U356" i="30"/>
  <c r="U354" i="30"/>
  <c r="U352" i="30"/>
  <c r="U350" i="30"/>
  <c r="U357" i="30"/>
  <c r="U353" i="30"/>
  <c r="U355" i="30"/>
  <c r="U351" i="30"/>
  <c r="R313" i="30"/>
  <c r="R311" i="30"/>
  <c r="R309" i="30"/>
  <c r="R307" i="30"/>
  <c r="R303" i="30"/>
  <c r="R312" i="30"/>
  <c r="R310" i="30"/>
  <c r="R308" i="30"/>
  <c r="R306" i="30"/>
  <c r="R304" i="30"/>
  <c r="U114" i="30"/>
  <c r="V323" i="30"/>
  <c r="V322" i="30"/>
  <c r="V321" i="30"/>
  <c r="V319" i="30"/>
  <c r="V317" i="30"/>
  <c r="V320" i="30"/>
  <c r="V318" i="30"/>
  <c r="V316" i="30"/>
  <c r="V314" i="30"/>
  <c r="U322" i="30"/>
  <c r="U320" i="30"/>
  <c r="U318" i="30"/>
  <c r="U316" i="30"/>
  <c r="U314" i="30"/>
  <c r="U323" i="30"/>
  <c r="U321" i="30"/>
  <c r="U319" i="30"/>
  <c r="U317" i="30"/>
  <c r="T251" i="30"/>
  <c r="T249" i="30"/>
  <c r="T247" i="30"/>
  <c r="T245" i="30"/>
  <c r="T243" i="30"/>
  <c r="T252" i="30"/>
  <c r="T250" i="30"/>
  <c r="T248" i="30"/>
  <c r="T246" i="30"/>
  <c r="T242" i="30"/>
  <c r="T313" i="30"/>
  <c r="T311" i="30"/>
  <c r="T309" i="30"/>
  <c r="T307" i="30"/>
  <c r="T303" i="30"/>
  <c r="T312" i="30"/>
  <c r="T310" i="30"/>
  <c r="T308" i="30"/>
  <c r="T306" i="30"/>
  <c r="T304" i="30"/>
  <c r="S32" i="30"/>
  <c r="S30" i="30"/>
  <c r="S28" i="30"/>
  <c r="S26" i="30"/>
  <c r="S22" i="30"/>
  <c r="S31" i="30"/>
  <c r="S29" i="30"/>
  <c r="S27" i="30"/>
  <c r="S25" i="30"/>
  <c r="S23" i="30"/>
  <c r="S154" i="30"/>
  <c r="S152" i="30"/>
  <c r="S150" i="30"/>
  <c r="S155" i="30"/>
  <c r="S151" i="30"/>
  <c r="S148" i="30"/>
  <c r="S146" i="30"/>
  <c r="S153" i="30"/>
  <c r="S149" i="30"/>
  <c r="S145" i="30"/>
  <c r="U252" i="30"/>
  <c r="T213" i="30"/>
  <c r="T211" i="30"/>
  <c r="T209" i="30"/>
  <c r="T207" i="30"/>
  <c r="T214" i="30"/>
  <c r="T212" i="30"/>
  <c r="T210" i="30"/>
  <c r="T208" i="30"/>
  <c r="U240" i="30"/>
  <c r="U238" i="30"/>
  <c r="U236" i="30"/>
  <c r="U234" i="30"/>
  <c r="U232" i="30"/>
  <c r="U241" i="30"/>
  <c r="U239" i="30"/>
  <c r="U237" i="30"/>
  <c r="U235" i="30"/>
  <c r="R251" i="30"/>
  <c r="R249" i="30"/>
  <c r="R247" i="30"/>
  <c r="R245" i="30"/>
  <c r="R243" i="30"/>
  <c r="R252" i="30"/>
  <c r="R250" i="30"/>
  <c r="R248" i="30"/>
  <c r="R246" i="30"/>
  <c r="R242" i="30"/>
  <c r="S242" i="30"/>
  <c r="R213" i="30"/>
  <c r="R211" i="30"/>
  <c r="R209" i="30"/>
  <c r="R207" i="30"/>
  <c r="R214" i="30"/>
  <c r="R212" i="30"/>
  <c r="R210" i="30"/>
  <c r="R208" i="30"/>
  <c r="T357" i="30"/>
  <c r="T355" i="30"/>
  <c r="T353" i="30"/>
  <c r="T351" i="30"/>
  <c r="T354" i="30"/>
  <c r="T350" i="30"/>
  <c r="T356" i="30"/>
  <c r="T352" i="30"/>
  <c r="U312" i="30"/>
  <c r="U310" i="30"/>
  <c r="U308" i="30"/>
  <c r="U306" i="30"/>
  <c r="U304" i="30"/>
  <c r="U313" i="30"/>
  <c r="U311" i="30"/>
  <c r="U309" i="30"/>
  <c r="U307" i="30"/>
  <c r="U303" i="30"/>
  <c r="S236" i="30"/>
  <c r="S239" i="30"/>
  <c r="S52" i="30"/>
  <c r="S50" i="30"/>
  <c r="S48" i="30"/>
  <c r="S46" i="30"/>
  <c r="S42" i="30"/>
  <c r="S51" i="30"/>
  <c r="S49" i="30"/>
  <c r="S47" i="30"/>
  <c r="S45" i="30"/>
  <c r="S43" i="30"/>
  <c r="T123" i="30"/>
  <c r="T121" i="30"/>
  <c r="T119" i="30"/>
  <c r="T117" i="30"/>
  <c r="T115" i="30"/>
  <c r="T124" i="30"/>
  <c r="T122" i="30"/>
  <c r="T120" i="30"/>
  <c r="T118" i="30"/>
  <c r="R63" i="30"/>
  <c r="R61" i="30"/>
  <c r="R59" i="30"/>
  <c r="R57" i="30"/>
  <c r="R53" i="30"/>
  <c r="R62" i="30"/>
  <c r="R60" i="30"/>
  <c r="R58" i="30"/>
  <c r="R56" i="30"/>
  <c r="R54" i="30"/>
  <c r="R103" i="30"/>
  <c r="R101" i="30"/>
  <c r="R99" i="30"/>
  <c r="R97" i="30"/>
  <c r="R95" i="30"/>
  <c r="R104" i="30"/>
  <c r="R102" i="30"/>
  <c r="R100" i="30"/>
  <c r="R98" i="30"/>
  <c r="V113" i="30"/>
  <c r="V105" i="30"/>
  <c r="V108" i="30"/>
  <c r="S272" i="30"/>
  <c r="S270" i="30"/>
  <c r="S268" i="30"/>
  <c r="S266" i="30"/>
  <c r="S262" i="30"/>
  <c r="S271" i="30"/>
  <c r="S269" i="30"/>
  <c r="S267" i="30"/>
  <c r="S265" i="30"/>
  <c r="S263" i="30"/>
  <c r="T385" i="30"/>
  <c r="T383" i="30"/>
  <c r="T382" i="30"/>
  <c r="S356" i="30"/>
  <c r="S354" i="30"/>
  <c r="S352" i="30"/>
  <c r="S350" i="30"/>
  <c r="S355" i="30"/>
  <c r="S351" i="30"/>
  <c r="S357" i="30"/>
  <c r="S353" i="30"/>
  <c r="U154" i="30"/>
  <c r="U150" i="30"/>
  <c r="U153" i="30"/>
  <c r="U149" i="30"/>
  <c r="U148" i="30"/>
  <c r="U146" i="30"/>
  <c r="U155" i="30"/>
  <c r="U151" i="30"/>
  <c r="U145" i="30"/>
  <c r="S111" i="30"/>
  <c r="T271" i="30"/>
  <c r="T269" i="30"/>
  <c r="T267" i="30"/>
  <c r="T265" i="30"/>
  <c r="T263" i="30"/>
  <c r="T272" i="30"/>
  <c r="T270" i="30"/>
  <c r="T268" i="30"/>
  <c r="T266" i="30"/>
  <c r="T262" i="30"/>
  <c r="S124" i="30"/>
  <c r="S122" i="30"/>
  <c r="S120" i="30"/>
  <c r="S118" i="30"/>
  <c r="S123" i="30"/>
  <c r="S121" i="30"/>
  <c r="S119" i="30"/>
  <c r="S117" i="30"/>
  <c r="S115" i="30"/>
  <c r="R195" i="30"/>
  <c r="R193" i="30"/>
  <c r="R191" i="30"/>
  <c r="R189" i="30"/>
  <c r="R187" i="30"/>
  <c r="R196" i="30"/>
  <c r="R194" i="30"/>
  <c r="R192" i="30"/>
  <c r="R190" i="30"/>
  <c r="R186" i="30"/>
  <c r="L22" i="34"/>
  <c r="AC175" i="30"/>
  <c r="AD175" i="30" s="1"/>
  <c r="N18" i="34"/>
  <c r="Z18" i="34" s="1"/>
  <c r="AC125" i="30"/>
  <c r="AD125" i="30" s="1"/>
  <c r="AC135" i="30"/>
  <c r="AD135" i="30" s="1"/>
  <c r="AC682" i="30"/>
  <c r="AD682" i="30" s="1"/>
  <c r="T61" i="31"/>
  <c r="AE682" i="30" s="1"/>
  <c r="AF682" i="30" s="1"/>
  <c r="P88" i="31"/>
  <c r="E87" i="31"/>
  <c r="P87" i="31" s="1"/>
  <c r="F63" i="31"/>
  <c r="F62" i="31" s="1"/>
  <c r="K85" i="31"/>
  <c r="V85" i="31" s="1"/>
  <c r="Y18" i="34"/>
  <c r="AE135" i="30" s="1"/>
  <c r="AF135" i="30" s="1"/>
  <c r="V86" i="31"/>
  <c r="AE693" i="30" s="1"/>
  <c r="AF693" i="30" s="1"/>
  <c r="AC693" i="30"/>
  <c r="AD693" i="30" s="1"/>
  <c r="L86" i="34"/>
  <c r="AC547" i="30"/>
  <c r="AD547" i="30" s="1"/>
  <c r="L81" i="34"/>
  <c r="AC509" i="30"/>
  <c r="AD509" i="30" s="1"/>
  <c r="L77" i="34"/>
  <c r="AC471" i="30"/>
  <c r="AD471" i="30" s="1"/>
  <c r="N69" i="34"/>
  <c r="AC411" i="30"/>
  <c r="AD411" i="30" s="1"/>
  <c r="AC421" i="30"/>
  <c r="AD421" i="30" s="1"/>
  <c r="J88" i="31"/>
  <c r="J85" i="31"/>
  <c r="U86" i="31"/>
  <c r="AE692" i="30" s="1"/>
  <c r="AF692" i="30" s="1"/>
  <c r="AC692" i="30"/>
  <c r="AD692" i="30" s="1"/>
  <c r="AC691" i="30"/>
  <c r="AD691" i="30" s="1"/>
  <c r="T86" i="31"/>
  <c r="AE691" i="30" s="1"/>
  <c r="AF691" i="30" s="1"/>
  <c r="AC63" i="31"/>
  <c r="AI86" i="31"/>
  <c r="AI61" i="31"/>
  <c r="L64" i="34"/>
  <c r="AC346" i="30"/>
  <c r="AD346" i="30" s="1"/>
  <c r="AF63" i="31"/>
  <c r="AF60" i="31"/>
  <c r="Q47" i="31"/>
  <c r="AE643" i="30" s="1"/>
  <c r="AF643" i="30" s="1"/>
  <c r="AC643" i="30"/>
  <c r="AD643" i="30" s="1"/>
  <c r="AG32" i="34"/>
  <c r="AH32" i="34" s="1"/>
  <c r="AI32" i="34" s="1"/>
  <c r="AJ32" i="34" s="1"/>
  <c r="AK32" i="34" s="1"/>
  <c r="AL32" i="34" s="1"/>
  <c r="AM32" i="34" s="1"/>
  <c r="E65" i="34"/>
  <c r="J34" i="48"/>
  <c r="AA63" i="31"/>
  <c r="AA60" i="31"/>
  <c r="U61" i="31"/>
  <c r="AE683" i="30" s="1"/>
  <c r="AF683" i="30" s="1"/>
  <c r="AC683" i="30"/>
  <c r="AD683" i="30" s="1"/>
  <c r="AB91" i="31"/>
  <c r="AB90" i="31"/>
  <c r="E68" i="31"/>
  <c r="AC670" i="30"/>
  <c r="AD670" i="30" s="1"/>
  <c r="Q68" i="31"/>
  <c r="AB88" i="36"/>
  <c r="AD66" i="31"/>
  <c r="AD65" i="31"/>
  <c r="AB65" i="31"/>
  <c r="AB66" i="31"/>
  <c r="AD90" i="31"/>
  <c r="AD91" i="31"/>
  <c r="AB88" i="31"/>
  <c r="AF87" i="31"/>
  <c r="AA88" i="31"/>
  <c r="AE85" i="31"/>
  <c r="AE88" i="31"/>
  <c r="V54" i="34"/>
  <c r="AE320" i="30" s="1"/>
  <c r="AF320" i="30" s="1"/>
  <c r="AE47" i="31"/>
  <c r="AD60" i="31"/>
  <c r="AD63" i="31"/>
  <c r="S61" i="31"/>
  <c r="AE681" i="30" s="1"/>
  <c r="AF681" i="30" s="1"/>
  <c r="AC681" i="30"/>
  <c r="AD681" i="30" s="1"/>
  <c r="AA47" i="31"/>
  <c r="AB47" i="31"/>
  <c r="L87" i="34"/>
  <c r="AC491" i="30"/>
  <c r="AD491" i="30" s="1"/>
  <c r="AD85" i="31"/>
  <c r="AD88" i="31"/>
  <c r="AE60" i="31"/>
  <c r="AE63" i="31"/>
  <c r="AG47" i="31"/>
  <c r="L50" i="34"/>
  <c r="AC292" i="30"/>
  <c r="AD292" i="30" s="1"/>
  <c r="L10" i="34"/>
  <c r="AC83" i="30"/>
  <c r="AD83" i="30" s="1"/>
  <c r="T88" i="31"/>
  <c r="T85" i="31"/>
  <c r="L21" i="34"/>
  <c r="AC164" i="30"/>
  <c r="AD164" i="30" s="1"/>
  <c r="F32" i="34"/>
  <c r="H62" i="34"/>
  <c r="T65" i="34"/>
  <c r="AE27" i="30" s="1"/>
  <c r="AF27" i="30" s="1"/>
  <c r="AC27" i="30"/>
  <c r="AD27" i="30" s="1"/>
  <c r="F58" i="34"/>
  <c r="F54" i="34"/>
  <c r="G54" i="34"/>
  <c r="F57" i="34"/>
  <c r="F52" i="34"/>
  <c r="I57" i="34"/>
  <c r="I58" i="34"/>
  <c r="I52" i="34"/>
  <c r="H74" i="34"/>
  <c r="H73" i="34"/>
  <c r="H70" i="34"/>
  <c r="H75" i="34"/>
  <c r="AB90" i="36"/>
  <c r="AB86" i="36"/>
  <c r="R88" i="31"/>
  <c r="AC86" i="36"/>
  <c r="AD86" i="36"/>
  <c r="F11" i="36"/>
  <c r="F10" i="36"/>
  <c r="AC90" i="36"/>
  <c r="AA87" i="36"/>
  <c r="AD87" i="36"/>
  <c r="AC87" i="36"/>
  <c r="AC88" i="36"/>
  <c r="AD90" i="36"/>
  <c r="AA88" i="36"/>
  <c r="AC89" i="36"/>
  <c r="AB89" i="36"/>
  <c r="AD89" i="36"/>
  <c r="L85" i="34"/>
  <c r="W85" i="34"/>
  <c r="AE537" i="30" s="1"/>
  <c r="AF537" i="30" s="1"/>
  <c r="AC537" i="30"/>
  <c r="AD537" i="30" s="1"/>
  <c r="W60" i="31"/>
  <c r="V88" i="31"/>
  <c r="L46" i="34"/>
  <c r="L61" i="31"/>
  <c r="W46" i="34"/>
  <c r="AE622" i="30" s="1"/>
  <c r="AF622" i="30" s="1"/>
  <c r="AC622" i="30"/>
  <c r="AD622" i="30" s="1"/>
  <c r="AB60" i="31"/>
  <c r="AB63" i="31"/>
  <c r="V63" i="31"/>
  <c r="K62" i="31"/>
  <c r="Y60" i="31"/>
  <c r="V60" i="31"/>
  <c r="L59" i="34"/>
  <c r="W59" i="34"/>
  <c r="AE366" i="30" s="1"/>
  <c r="AF366" i="30" s="1"/>
  <c r="AC366" i="30"/>
  <c r="AD366" i="30" s="1"/>
  <c r="AC85" i="31"/>
  <c r="AC88" i="31"/>
  <c r="M80" i="34"/>
  <c r="X80" i="34"/>
  <c r="AE499" i="30" s="1"/>
  <c r="AF499" i="30" s="1"/>
  <c r="AC499" i="30"/>
  <c r="AD499" i="30" s="1"/>
  <c r="AE64" i="31"/>
  <c r="W32" i="34"/>
  <c r="AE212" i="30" s="1"/>
  <c r="AF212" i="30" s="1"/>
  <c r="AI89" i="31"/>
  <c r="W45" i="34"/>
  <c r="AE576" i="30" s="1"/>
  <c r="AF576" i="30" s="1"/>
  <c r="L45" i="34"/>
  <c r="AC576" i="30"/>
  <c r="AD576" i="30" s="1"/>
  <c r="X60" i="31"/>
  <c r="L41" i="34"/>
  <c r="W42" i="34"/>
  <c r="W41" i="34"/>
  <c r="AE594" i="30" s="1"/>
  <c r="AF594" i="30" s="1"/>
  <c r="AC594" i="30"/>
  <c r="AD594" i="30" s="1"/>
  <c r="AG62" i="31"/>
  <c r="AG64" i="31"/>
  <c r="L83" i="34"/>
  <c r="W83" i="34"/>
  <c r="AE520" i="30" s="1"/>
  <c r="AF520" i="30" s="1"/>
  <c r="AC520" i="30"/>
  <c r="AD520" i="30" s="1"/>
  <c r="AE74" i="30"/>
  <c r="AF74" i="30" s="1"/>
  <c r="AE64" i="30"/>
  <c r="AF64" i="30" s="1"/>
  <c r="M88" i="34"/>
  <c r="M86" i="31"/>
  <c r="X88" i="34"/>
  <c r="AE557" i="30" s="1"/>
  <c r="AF557" i="30" s="1"/>
  <c r="AC557" i="30"/>
  <c r="AD557" i="30" s="1"/>
  <c r="M44" i="34"/>
  <c r="X44" i="34"/>
  <c r="AE612" i="30" s="1"/>
  <c r="AF612" i="30" s="1"/>
  <c r="AC612" i="30"/>
  <c r="AD612" i="30" s="1"/>
  <c r="X31" i="34"/>
  <c r="AE204" i="30" s="1"/>
  <c r="AF204" i="30" s="1"/>
  <c r="AC204" i="30"/>
  <c r="AD204" i="30" s="1"/>
  <c r="G66" i="34"/>
  <c r="R66" i="34"/>
  <c r="AE34" i="30" s="1"/>
  <c r="AF34" i="30" s="1"/>
  <c r="AC34" i="30"/>
  <c r="AD34" i="30" s="1"/>
  <c r="G75" i="31"/>
  <c r="AH87" i="31"/>
  <c r="AH89" i="31"/>
  <c r="L63" i="31"/>
  <c r="E62" i="31"/>
  <c r="P62" i="31" s="1"/>
  <c r="P63" i="31"/>
  <c r="Q60" i="31"/>
  <c r="G62" i="31"/>
  <c r="R63" i="31"/>
  <c r="R60" i="31"/>
  <c r="T63" i="31"/>
  <c r="I62" i="31"/>
  <c r="T60" i="31"/>
  <c r="S60" i="31"/>
  <c r="S63" i="31"/>
  <c r="H62" i="31"/>
  <c r="AE132" i="30"/>
  <c r="AF132" i="30" s="1"/>
  <c r="P17" i="36"/>
  <c r="F637" i="30" l="1"/>
  <c r="Q637" i="30" s="1"/>
  <c r="K693" i="30"/>
  <c r="V693" i="30" s="1"/>
  <c r="K694" i="30"/>
  <c r="V694" i="30" s="1"/>
  <c r="F640" i="30"/>
  <c r="Q640" i="30" s="1"/>
  <c r="H695" i="30"/>
  <c r="S695" i="30" s="1"/>
  <c r="K690" i="30"/>
  <c r="V690" i="30" s="1"/>
  <c r="K688" i="30"/>
  <c r="V688" i="30" s="1"/>
  <c r="F636" i="30"/>
  <c r="Q636" i="30" s="1"/>
  <c r="H689" i="30"/>
  <c r="S689" i="30" s="1"/>
  <c r="K692" i="30"/>
  <c r="V692" i="30" s="1"/>
  <c r="H691" i="30"/>
  <c r="S691" i="30" s="1"/>
  <c r="H690" i="30"/>
  <c r="S690" i="30" s="1"/>
  <c r="K696" i="30"/>
  <c r="V696" i="30" s="1"/>
  <c r="K689" i="30"/>
  <c r="V689" i="30" s="1"/>
  <c r="K850" i="30"/>
  <c r="V850" i="30" s="1"/>
  <c r="K854" i="30"/>
  <c r="V854" i="30" s="1"/>
  <c r="K852" i="30"/>
  <c r="V852" i="30" s="1"/>
  <c r="K858" i="30"/>
  <c r="V858" i="30" s="1"/>
  <c r="K856" i="30"/>
  <c r="V856" i="30" s="1"/>
  <c r="K855" i="30"/>
  <c r="V855" i="30" s="1"/>
  <c r="G692" i="30"/>
  <c r="R692" i="30" s="1"/>
  <c r="K801" i="30"/>
  <c r="V801" i="30" s="1"/>
  <c r="K804" i="30"/>
  <c r="V804" i="30" s="1"/>
  <c r="G693" i="30"/>
  <c r="R693" i="30" s="1"/>
  <c r="K799" i="30"/>
  <c r="V799" i="30" s="1"/>
  <c r="G691" i="30"/>
  <c r="R691" i="30" s="1"/>
  <c r="K802" i="30"/>
  <c r="V802" i="30" s="1"/>
  <c r="G694" i="30"/>
  <c r="R694" i="30" s="1"/>
  <c r="K797" i="30"/>
  <c r="G695" i="30"/>
  <c r="R695" i="30" s="1"/>
  <c r="K803" i="30"/>
  <c r="V803" i="30" s="1"/>
  <c r="K798" i="30"/>
  <c r="V798" i="30" s="1"/>
  <c r="G689" i="30"/>
  <c r="R689" i="30" s="1"/>
  <c r="H687" i="30"/>
  <c r="S687" i="30" s="1"/>
  <c r="E74" i="31"/>
  <c r="P74" i="31" s="1"/>
  <c r="E77" i="31"/>
  <c r="H684" i="30"/>
  <c r="S684" i="30" s="1"/>
  <c r="J696" i="30"/>
  <c r="U696" i="30" s="1"/>
  <c r="J691" i="30"/>
  <c r="U691" i="30" s="1"/>
  <c r="H679" i="30"/>
  <c r="S679" i="30" s="1"/>
  <c r="AI88" i="31"/>
  <c r="J689" i="30"/>
  <c r="U689" i="30" s="1"/>
  <c r="H685" i="30"/>
  <c r="S685" i="30" s="1"/>
  <c r="J688" i="30"/>
  <c r="U688" i="30" s="1"/>
  <c r="H683" i="30"/>
  <c r="S683" i="30" s="1"/>
  <c r="J693" i="30"/>
  <c r="U693" i="30" s="1"/>
  <c r="J694" i="30"/>
  <c r="U694" i="30" s="1"/>
  <c r="T57" i="34"/>
  <c r="AE267" i="30" s="1"/>
  <c r="AF267" i="30" s="1"/>
  <c r="AC267" i="30"/>
  <c r="AD267" i="30" s="1"/>
  <c r="D23" i="36"/>
  <c r="H23" i="36"/>
  <c r="AD49" i="31"/>
  <c r="AE796" i="30"/>
  <c r="AF796" i="30" s="1"/>
  <c r="P89" i="31"/>
  <c r="AC119" i="30"/>
  <c r="AD119" i="30" s="1"/>
  <c r="T52" i="34"/>
  <c r="AE308" i="30" s="1"/>
  <c r="AF308" i="30" s="1"/>
  <c r="K23" i="36"/>
  <c r="K29" i="36"/>
  <c r="J23" i="36"/>
  <c r="J29" i="36"/>
  <c r="F23" i="36"/>
  <c r="E23" i="36"/>
  <c r="E29" i="36"/>
  <c r="I23" i="36"/>
  <c r="I29" i="36"/>
  <c r="AH6" i="66"/>
  <c r="AH5" i="66"/>
  <c r="AH4" i="66"/>
  <c r="AH3" i="66"/>
  <c r="AB17" i="66" s="1"/>
  <c r="AH7" i="66"/>
  <c r="AH8" i="66"/>
  <c r="AH10" i="66"/>
  <c r="AH9" i="66"/>
  <c r="I674" i="30"/>
  <c r="I676" i="30"/>
  <c r="T676" i="30" s="1"/>
  <c r="I670" i="30"/>
  <c r="I672" i="30"/>
  <c r="I677" i="30"/>
  <c r="I671" i="30"/>
  <c r="I678" i="30"/>
  <c r="I673" i="30"/>
  <c r="I675" i="30"/>
  <c r="K789" i="30"/>
  <c r="V789" i="30" s="1"/>
  <c r="K788" i="30"/>
  <c r="V788" i="30" s="1"/>
  <c r="K787" i="30"/>
  <c r="V787" i="30" s="1"/>
  <c r="K790" i="30"/>
  <c r="K795" i="30"/>
  <c r="V795" i="30" s="1"/>
  <c r="K792" i="30"/>
  <c r="K794" i="30"/>
  <c r="V794" i="30" s="1"/>
  <c r="K793" i="30"/>
  <c r="K791" i="30"/>
  <c r="N279" i="30"/>
  <c r="N276" i="30"/>
  <c r="N275" i="30"/>
  <c r="N274" i="30"/>
  <c r="Y274" i="30" s="1"/>
  <c r="N277" i="30"/>
  <c r="Y277" i="30" s="1"/>
  <c r="N280" i="30"/>
  <c r="Y280" i="30" s="1"/>
  <c r="N278" i="30"/>
  <c r="Y278" i="30" s="1"/>
  <c r="N281" i="30"/>
  <c r="Y281" i="30" s="1"/>
  <c r="N283" i="30"/>
  <c r="N282" i="30"/>
  <c r="N273" i="30"/>
  <c r="O537" i="30"/>
  <c r="O535" i="30"/>
  <c r="Z535" i="30" s="1"/>
  <c r="O534" i="30"/>
  <c r="O536" i="30"/>
  <c r="Z536" i="30" s="1"/>
  <c r="O538" i="30"/>
  <c r="O532" i="30"/>
  <c r="Z532" i="30" s="1"/>
  <c r="O539" i="30"/>
  <c r="O533" i="30"/>
  <c r="Z533" i="30" s="1"/>
  <c r="M686" i="30"/>
  <c r="X686" i="30" s="1"/>
  <c r="M681" i="30"/>
  <c r="M683" i="30"/>
  <c r="M682" i="30"/>
  <c r="M684" i="30"/>
  <c r="M680" i="30"/>
  <c r="M685" i="30"/>
  <c r="M687" i="30"/>
  <c r="X687" i="30" s="1"/>
  <c r="M679" i="30"/>
  <c r="M696" i="30"/>
  <c r="M688" i="30"/>
  <c r="M693" i="30"/>
  <c r="M692" i="30"/>
  <c r="X692" i="30" s="1"/>
  <c r="M695" i="30"/>
  <c r="X695" i="30" s="1"/>
  <c r="M689" i="30"/>
  <c r="M691" i="30"/>
  <c r="M694" i="30"/>
  <c r="M690" i="30"/>
  <c r="X690" i="30" s="1"/>
  <c r="J740" i="30"/>
  <c r="J739" i="30"/>
  <c r="J736" i="30"/>
  <c r="U736" i="30" s="1"/>
  <c r="J735" i="30"/>
  <c r="U735" i="30" s="1"/>
  <c r="J738" i="30"/>
  <c r="U738" i="30" s="1"/>
  <c r="J733" i="30"/>
  <c r="J741" i="30"/>
  <c r="U741" i="30" s="1"/>
  <c r="J737" i="30"/>
  <c r="J734" i="30"/>
  <c r="H651" i="30"/>
  <c r="H646" i="30"/>
  <c r="H648" i="30"/>
  <c r="S648" i="30" s="1"/>
  <c r="H647" i="30"/>
  <c r="H649" i="30"/>
  <c r="S649" i="30" s="1"/>
  <c r="H643" i="30"/>
  <c r="H645" i="30"/>
  <c r="S645" i="30" s="1"/>
  <c r="H650" i="30"/>
  <c r="S650" i="30" s="1"/>
  <c r="H644" i="30"/>
  <c r="J855" i="30"/>
  <c r="U855" i="30" s="1"/>
  <c r="J851" i="30"/>
  <c r="J858" i="30"/>
  <c r="J852" i="30"/>
  <c r="J856" i="30"/>
  <c r="J854" i="30"/>
  <c r="U854" i="30" s="1"/>
  <c r="J857" i="30"/>
  <c r="J850" i="30"/>
  <c r="J853" i="30"/>
  <c r="O292" i="30"/>
  <c r="Z292" i="30" s="1"/>
  <c r="O291" i="30"/>
  <c r="Z291" i="30" s="1"/>
  <c r="O286" i="30"/>
  <c r="Z286" i="30" s="1"/>
  <c r="O287" i="30"/>
  <c r="Z287" i="30" s="1"/>
  <c r="O293" i="30"/>
  <c r="Z293" i="30" s="1"/>
  <c r="O288" i="30"/>
  <c r="Z288" i="30" s="1"/>
  <c r="O284" i="30"/>
  <c r="Z284" i="30" s="1"/>
  <c r="O294" i="30"/>
  <c r="Z294" i="30" s="1"/>
  <c r="O285" i="30"/>
  <c r="Z285" i="30" s="1"/>
  <c r="O289" i="30"/>
  <c r="Z289" i="30" s="1"/>
  <c r="O290" i="30"/>
  <c r="Z290" i="30" s="1"/>
  <c r="L692" i="30"/>
  <c r="W692" i="30" s="1"/>
  <c r="L690" i="30"/>
  <c r="W690" i="30" s="1"/>
  <c r="L691" i="30"/>
  <c r="W691" i="30" s="1"/>
  <c r="L689" i="30"/>
  <c r="W689" i="30" s="1"/>
  <c r="L688" i="30"/>
  <c r="W688" i="30" s="1"/>
  <c r="L693" i="30"/>
  <c r="W693" i="30" s="1"/>
  <c r="L695" i="30"/>
  <c r="W695" i="30" s="1"/>
  <c r="L694" i="30"/>
  <c r="W694" i="30" s="1"/>
  <c r="L696" i="30"/>
  <c r="W696" i="30" s="1"/>
  <c r="O573" i="30"/>
  <c r="O569" i="30"/>
  <c r="O572" i="30"/>
  <c r="O578" i="30"/>
  <c r="O568" i="30"/>
  <c r="O577" i="30"/>
  <c r="Z577" i="30" s="1"/>
  <c r="O575" i="30"/>
  <c r="Z575" i="30" s="1"/>
  <c r="O571" i="30"/>
  <c r="Z571" i="30" s="1"/>
  <c r="O570" i="30"/>
  <c r="O576" i="30"/>
  <c r="O574" i="30"/>
  <c r="O540" i="30"/>
  <c r="O547" i="30"/>
  <c r="O542" i="30"/>
  <c r="O541" i="30"/>
  <c r="Z541" i="30" s="1"/>
  <c r="O548" i="30"/>
  <c r="O543" i="30"/>
  <c r="Z543" i="30" s="1"/>
  <c r="O546" i="30"/>
  <c r="Z546" i="30" s="1"/>
  <c r="O545" i="30"/>
  <c r="Z545" i="30" s="1"/>
  <c r="O549" i="30"/>
  <c r="Z549" i="30" s="1"/>
  <c r="O544" i="30"/>
  <c r="O339" i="30"/>
  <c r="O336" i="30"/>
  <c r="O332" i="30"/>
  <c r="O335" i="30"/>
  <c r="O334" i="30"/>
  <c r="O337" i="30"/>
  <c r="Z337" i="30" s="1"/>
  <c r="O338" i="30"/>
  <c r="Z338" i="30" s="1"/>
  <c r="O333" i="30"/>
  <c r="Z333" i="30" s="1"/>
  <c r="N507" i="30"/>
  <c r="Y507" i="30" s="1"/>
  <c r="N502" i="30"/>
  <c r="N508" i="30"/>
  <c r="Y508" i="30" s="1"/>
  <c r="N503" i="30"/>
  <c r="N506" i="30"/>
  <c r="N509" i="30"/>
  <c r="N504" i="30"/>
  <c r="N501" i="30"/>
  <c r="Y501" i="30" s="1"/>
  <c r="N511" i="30"/>
  <c r="N510" i="30"/>
  <c r="N505" i="30"/>
  <c r="H184" i="30"/>
  <c r="H179" i="30"/>
  <c r="S179" i="30" s="1"/>
  <c r="H178" i="30"/>
  <c r="S178" i="30" s="1"/>
  <c r="H181" i="30"/>
  <c r="S181" i="30" s="1"/>
  <c r="H180" i="30"/>
  <c r="H183" i="30"/>
  <c r="H182" i="30"/>
  <c r="H185" i="30"/>
  <c r="H851" i="30"/>
  <c r="H850" i="30"/>
  <c r="H856" i="30"/>
  <c r="S856" i="30" s="1"/>
  <c r="H857" i="30"/>
  <c r="S857" i="30" s="1"/>
  <c r="H853" i="30"/>
  <c r="S853" i="30" s="1"/>
  <c r="H858" i="30"/>
  <c r="S858" i="30" s="1"/>
  <c r="H852" i="30"/>
  <c r="S852" i="30" s="1"/>
  <c r="H855" i="30"/>
  <c r="S855" i="30" s="1"/>
  <c r="H854" i="30"/>
  <c r="H741" i="30"/>
  <c r="H735" i="30"/>
  <c r="H738" i="30"/>
  <c r="H737" i="30"/>
  <c r="H740" i="30"/>
  <c r="H734" i="30"/>
  <c r="H733" i="30"/>
  <c r="S733" i="30" s="1"/>
  <c r="H736" i="30"/>
  <c r="H739" i="30"/>
  <c r="S739" i="30" s="1"/>
  <c r="AE73" i="31"/>
  <c r="AB52" i="31"/>
  <c r="F806" i="30" s="1"/>
  <c r="Q806" i="30" s="1"/>
  <c r="F142" i="30"/>
  <c r="Q142" i="30" s="1"/>
  <c r="F139" i="30"/>
  <c r="Q139" i="30" s="1"/>
  <c r="F137" i="30"/>
  <c r="Q137" i="30" s="1"/>
  <c r="F143" i="30"/>
  <c r="Q143" i="30" s="1"/>
  <c r="F141" i="30"/>
  <c r="Q141" i="30" s="1"/>
  <c r="F140" i="30"/>
  <c r="Q140" i="30" s="1"/>
  <c r="F136" i="30"/>
  <c r="Q136" i="30" s="1"/>
  <c r="F138" i="30"/>
  <c r="Q138" i="30" s="1"/>
  <c r="F144" i="30"/>
  <c r="Q144" i="30" s="1"/>
  <c r="N500" i="30"/>
  <c r="Y500" i="30" s="1"/>
  <c r="N499" i="30"/>
  <c r="Y499" i="30" s="1"/>
  <c r="N496" i="30"/>
  <c r="Y496" i="30" s="1"/>
  <c r="N495" i="30"/>
  <c r="N494" i="30"/>
  <c r="N497" i="30"/>
  <c r="N498" i="30"/>
  <c r="M55" i="34"/>
  <c r="Y55" i="34" s="1"/>
  <c r="AE331" i="30" s="1"/>
  <c r="AF331" i="30" s="1"/>
  <c r="AC330" i="30"/>
  <c r="AD330" i="30" s="1"/>
  <c r="X55" i="34"/>
  <c r="AE330" i="30" s="1"/>
  <c r="AF330" i="30" s="1"/>
  <c r="O524" i="30"/>
  <c r="Z524" i="30" s="1"/>
  <c r="O525" i="30"/>
  <c r="Z525" i="30" s="1"/>
  <c r="O531" i="30"/>
  <c r="Z531" i="30" s="1"/>
  <c r="O529" i="30"/>
  <c r="Z529" i="30" s="1"/>
  <c r="O527" i="30"/>
  <c r="Z527" i="30" s="1"/>
  <c r="O526" i="30"/>
  <c r="Z526" i="30" s="1"/>
  <c r="O528" i="30"/>
  <c r="Z528" i="30" s="1"/>
  <c r="O530" i="30"/>
  <c r="Z530" i="30" s="1"/>
  <c r="O523" i="30"/>
  <c r="Z523" i="30" s="1"/>
  <c r="O567" i="30"/>
  <c r="Z567" i="30" s="1"/>
  <c r="O563" i="30"/>
  <c r="O562" i="30"/>
  <c r="O564" i="30"/>
  <c r="Z564" i="30" s="1"/>
  <c r="O559" i="30"/>
  <c r="O566" i="30"/>
  <c r="Z566" i="30" s="1"/>
  <c r="O561" i="30"/>
  <c r="Z561" i="30" s="1"/>
  <c r="O560" i="30"/>
  <c r="Z560" i="30" s="1"/>
  <c r="O565" i="30"/>
  <c r="O420" i="30"/>
  <c r="Z420" i="30" s="1"/>
  <c r="O415" i="30"/>
  <c r="Z415" i="30" s="1"/>
  <c r="O414" i="30"/>
  <c r="Z414" i="30" s="1"/>
  <c r="O416" i="30"/>
  <c r="Z416" i="30" s="1"/>
  <c r="O411" i="30"/>
  <c r="Z411" i="30" s="1"/>
  <c r="O412" i="30"/>
  <c r="Z412" i="30" s="1"/>
  <c r="O418" i="30"/>
  <c r="Z418" i="30" s="1"/>
  <c r="O413" i="30"/>
  <c r="Z413" i="30" s="1"/>
  <c r="O421" i="30"/>
  <c r="Z421" i="30" s="1"/>
  <c r="O417" i="30"/>
  <c r="Z417" i="30" s="1"/>
  <c r="O419" i="30"/>
  <c r="Z419" i="30" s="1"/>
  <c r="O295" i="30"/>
  <c r="Z295" i="30" s="1"/>
  <c r="O302" i="30"/>
  <c r="Z302" i="30" s="1"/>
  <c r="O300" i="30"/>
  <c r="Z300" i="30" s="1"/>
  <c r="O299" i="30"/>
  <c r="Z299" i="30" s="1"/>
  <c r="O298" i="30"/>
  <c r="Z298" i="30" s="1"/>
  <c r="O301" i="30"/>
  <c r="Z301" i="30" s="1"/>
  <c r="O297" i="30"/>
  <c r="Z297" i="30" s="1"/>
  <c r="O296" i="30"/>
  <c r="Z296" i="30" s="1"/>
  <c r="O84" i="30"/>
  <c r="Z84" i="30" s="1"/>
  <c r="O83" i="30"/>
  <c r="Z83" i="30" s="1"/>
  <c r="O81" i="30"/>
  <c r="Z81" i="30" s="1"/>
  <c r="O79" i="30"/>
  <c r="Z79" i="30" s="1"/>
  <c r="O78" i="30"/>
  <c r="Z78" i="30" s="1"/>
  <c r="O85" i="30"/>
  <c r="Z85" i="30" s="1"/>
  <c r="O80" i="30"/>
  <c r="Z80" i="30" s="1"/>
  <c r="O82" i="30"/>
  <c r="Z82" i="30" s="1"/>
  <c r="O76" i="30"/>
  <c r="Z76" i="30" s="1"/>
  <c r="O75" i="30"/>
  <c r="Z75" i="30" s="1"/>
  <c r="O77" i="30"/>
  <c r="Z77" i="30" s="1"/>
  <c r="O169" i="30"/>
  <c r="Z169" i="30" s="1"/>
  <c r="O175" i="30"/>
  <c r="Z175" i="30" s="1"/>
  <c r="O176" i="30"/>
  <c r="Z176" i="30" s="1"/>
  <c r="O174" i="30"/>
  <c r="Z174" i="30" s="1"/>
  <c r="O177" i="30"/>
  <c r="Z177" i="30" s="1"/>
  <c r="O172" i="30"/>
  <c r="Z172" i="30" s="1"/>
  <c r="O171" i="30"/>
  <c r="Z171" i="30" s="1"/>
  <c r="O170" i="30"/>
  <c r="Z170" i="30" s="1"/>
  <c r="O168" i="30"/>
  <c r="Z168" i="30" s="1"/>
  <c r="O167" i="30"/>
  <c r="Z167" i="30" s="1"/>
  <c r="O173" i="30"/>
  <c r="Z173" i="30" s="1"/>
  <c r="AA93" i="36"/>
  <c r="N93" i="30"/>
  <c r="N92" i="30"/>
  <c r="Y92" i="30" s="1"/>
  <c r="N86" i="30"/>
  <c r="Y86" i="30" s="1"/>
  <c r="N90" i="30"/>
  <c r="Y90" i="30" s="1"/>
  <c r="N89" i="30"/>
  <c r="Y89" i="30" s="1"/>
  <c r="N88" i="30"/>
  <c r="N91" i="30"/>
  <c r="N87" i="30"/>
  <c r="N94" i="30"/>
  <c r="J742" i="30"/>
  <c r="J749" i="30"/>
  <c r="J748" i="30"/>
  <c r="U748" i="30" s="1"/>
  <c r="J747" i="30"/>
  <c r="U747" i="30" s="1"/>
  <c r="J750" i="30"/>
  <c r="U750" i="30" s="1"/>
  <c r="J743" i="30"/>
  <c r="U743" i="30" s="1"/>
  <c r="J744" i="30"/>
  <c r="U744" i="30" s="1"/>
  <c r="J746" i="30"/>
  <c r="U746" i="30" s="1"/>
  <c r="J745" i="30"/>
  <c r="G841" i="30"/>
  <c r="G844" i="30"/>
  <c r="G849" i="30"/>
  <c r="R849" i="30" s="1"/>
  <c r="G846" i="30"/>
  <c r="R846" i="30" s="1"/>
  <c r="G845" i="30"/>
  <c r="G848" i="30"/>
  <c r="R848" i="30" s="1"/>
  <c r="G842" i="30"/>
  <c r="R842" i="30" s="1"/>
  <c r="G847" i="30"/>
  <c r="G843" i="30"/>
  <c r="R843" i="30" s="1"/>
  <c r="I749" i="30"/>
  <c r="I748" i="30"/>
  <c r="T748" i="30" s="1"/>
  <c r="I742" i="30"/>
  <c r="I750" i="30"/>
  <c r="I745" i="30"/>
  <c r="I744" i="30"/>
  <c r="I747" i="30"/>
  <c r="I743" i="30"/>
  <c r="I746" i="30"/>
  <c r="T746" i="30" s="1"/>
  <c r="Q63" i="31"/>
  <c r="L796" i="30"/>
  <c r="W796" i="30" s="1"/>
  <c r="L802" i="30"/>
  <c r="L804" i="30"/>
  <c r="W804" i="30" s="1"/>
  <c r="L803" i="30"/>
  <c r="L797" i="30"/>
  <c r="L800" i="30"/>
  <c r="L799" i="30"/>
  <c r="L798" i="30"/>
  <c r="L801" i="30"/>
  <c r="W801" i="30" s="1"/>
  <c r="AE125" i="30"/>
  <c r="AF125" i="30" s="1"/>
  <c r="AC93" i="36"/>
  <c r="AB93" i="36"/>
  <c r="N610" i="30"/>
  <c r="N613" i="30"/>
  <c r="Y613" i="30" s="1"/>
  <c r="N608" i="30"/>
  <c r="N611" i="30"/>
  <c r="Y611" i="30" s="1"/>
  <c r="N609" i="30"/>
  <c r="N612" i="30"/>
  <c r="O164" i="30"/>
  <c r="O163" i="30"/>
  <c r="O166" i="30"/>
  <c r="Z166" i="30" s="1"/>
  <c r="O165" i="30"/>
  <c r="Z165" i="30" s="1"/>
  <c r="O160" i="30"/>
  <c r="Z160" i="30" s="1"/>
  <c r="O159" i="30"/>
  <c r="O161" i="30"/>
  <c r="Z161" i="30" s="1"/>
  <c r="O156" i="30"/>
  <c r="Z156" i="30" s="1"/>
  <c r="O162" i="30"/>
  <c r="Z162" i="30" s="1"/>
  <c r="O158" i="30"/>
  <c r="Z158" i="30" s="1"/>
  <c r="O157" i="30"/>
  <c r="K651" i="30"/>
  <c r="K647" i="30"/>
  <c r="K648" i="30"/>
  <c r="K643" i="30"/>
  <c r="K650" i="30"/>
  <c r="V650" i="30" s="1"/>
  <c r="K649" i="30"/>
  <c r="V649" i="30" s="1"/>
  <c r="K644" i="30"/>
  <c r="V644" i="30" s="1"/>
  <c r="K646" i="30"/>
  <c r="K645" i="30"/>
  <c r="V645" i="30" s="1"/>
  <c r="H259" i="30"/>
  <c r="S259" i="30" s="1"/>
  <c r="H258" i="30"/>
  <c r="S258" i="30" s="1"/>
  <c r="H261" i="30"/>
  <c r="H253" i="30"/>
  <c r="H260" i="30"/>
  <c r="H255" i="30"/>
  <c r="H254" i="30"/>
  <c r="S254" i="30" s="1"/>
  <c r="H256" i="30"/>
  <c r="S256" i="30" s="1"/>
  <c r="H257" i="30"/>
  <c r="E648" i="30"/>
  <c r="P648" i="30" s="1"/>
  <c r="E644" i="30"/>
  <c r="P644" i="30" s="1"/>
  <c r="E651" i="30"/>
  <c r="P651" i="30" s="1"/>
  <c r="E647" i="30"/>
  <c r="P647" i="30" s="1"/>
  <c r="E650" i="30"/>
  <c r="P650" i="30" s="1"/>
  <c r="E643" i="30"/>
  <c r="E646" i="30"/>
  <c r="E649" i="30"/>
  <c r="E645" i="30"/>
  <c r="N461" i="30"/>
  <c r="Y461" i="30" s="1"/>
  <c r="N456" i="30"/>
  <c r="N455" i="30"/>
  <c r="Y455" i="30" s="1"/>
  <c r="N458" i="30"/>
  <c r="Y458" i="30" s="1"/>
  <c r="N454" i="30"/>
  <c r="N457" i="30"/>
  <c r="Y457" i="30" s="1"/>
  <c r="N452" i="30"/>
  <c r="Y452" i="30" s="1"/>
  <c r="N453" i="30"/>
  <c r="Y453" i="30" s="1"/>
  <c r="N462" i="30"/>
  <c r="N459" i="30"/>
  <c r="N460" i="30"/>
  <c r="H742" i="30"/>
  <c r="H744" i="30"/>
  <c r="S744" i="30" s="1"/>
  <c r="H743" i="30"/>
  <c r="H750" i="30"/>
  <c r="S750" i="30" s="1"/>
  <c r="H749" i="30"/>
  <c r="S749" i="30" s="1"/>
  <c r="H747" i="30"/>
  <c r="H746" i="30"/>
  <c r="S746" i="30" s="1"/>
  <c r="H748" i="30"/>
  <c r="S748" i="30" s="1"/>
  <c r="H745" i="30"/>
  <c r="S745" i="30" s="1"/>
  <c r="H848" i="30"/>
  <c r="H841" i="30"/>
  <c r="S841" i="30" s="1"/>
  <c r="H846" i="30"/>
  <c r="H844" i="30"/>
  <c r="H847" i="30"/>
  <c r="S847" i="30" s="1"/>
  <c r="H842" i="30"/>
  <c r="S842" i="30" s="1"/>
  <c r="H843" i="30"/>
  <c r="S843" i="30" s="1"/>
  <c r="H849" i="30"/>
  <c r="S849" i="30" s="1"/>
  <c r="H845" i="30"/>
  <c r="AD68" i="31"/>
  <c r="N546" i="30"/>
  <c r="Y546" i="30" s="1"/>
  <c r="N542" i="30"/>
  <c r="Y542" i="30" s="1"/>
  <c r="N549" i="30"/>
  <c r="N544" i="30"/>
  <c r="Y544" i="30" s="1"/>
  <c r="N547" i="30"/>
  <c r="N545" i="30"/>
  <c r="N540" i="30"/>
  <c r="Y540" i="30" s="1"/>
  <c r="N541" i="30"/>
  <c r="N548" i="30"/>
  <c r="Y548" i="30" s="1"/>
  <c r="N543" i="30"/>
  <c r="Y543" i="30" s="1"/>
  <c r="N329" i="30"/>
  <c r="N325" i="30"/>
  <c r="Y325" i="30" s="1"/>
  <c r="N324" i="30"/>
  <c r="Y324" i="30" s="1"/>
  <c r="N327" i="30"/>
  <c r="N330" i="30"/>
  <c r="N328" i="30"/>
  <c r="Y328" i="30" s="1"/>
  <c r="N326" i="30"/>
  <c r="N331" i="30"/>
  <c r="N125" i="30"/>
  <c r="Y125" i="30" s="1"/>
  <c r="N135" i="30"/>
  <c r="N134" i="30"/>
  <c r="Y134" i="30" s="1"/>
  <c r="N133" i="30"/>
  <c r="Y133" i="30" s="1"/>
  <c r="N132" i="30"/>
  <c r="Y132" i="30" s="1"/>
  <c r="N127" i="30"/>
  <c r="Y127" i="30" s="1"/>
  <c r="N128" i="30"/>
  <c r="Y128" i="30" s="1"/>
  <c r="N131" i="30"/>
  <c r="N129" i="30"/>
  <c r="N126" i="30"/>
  <c r="Y126" i="30" s="1"/>
  <c r="N130" i="30"/>
  <c r="N348" i="30"/>
  <c r="N345" i="30"/>
  <c r="Y345" i="30" s="1"/>
  <c r="N340" i="30"/>
  <c r="N343" i="30"/>
  <c r="N341" i="30"/>
  <c r="Y341" i="30" s="1"/>
  <c r="N344" i="30"/>
  <c r="Y344" i="30" s="1"/>
  <c r="N342" i="30"/>
  <c r="Y342" i="30" s="1"/>
  <c r="N346" i="30"/>
  <c r="Y346" i="30" s="1"/>
  <c r="N347" i="30"/>
  <c r="Y347" i="30" s="1"/>
  <c r="N72" i="30"/>
  <c r="N71" i="30"/>
  <c r="Y71" i="30" s="1"/>
  <c r="N73" i="30"/>
  <c r="N70" i="30"/>
  <c r="N69" i="30"/>
  <c r="Y69" i="30" s="1"/>
  <c r="N68" i="30"/>
  <c r="Y68" i="30" s="1"/>
  <c r="N67" i="30"/>
  <c r="Y67" i="30" s="1"/>
  <c r="N66" i="30"/>
  <c r="N65" i="30"/>
  <c r="Y65" i="30" s="1"/>
  <c r="N74" i="30"/>
  <c r="Y74" i="30" s="1"/>
  <c r="N64" i="30"/>
  <c r="Y64" i="30" s="1"/>
  <c r="I732" i="30"/>
  <c r="T732" i="30" s="1"/>
  <c r="I729" i="30"/>
  <c r="I728" i="30"/>
  <c r="I731" i="30"/>
  <c r="I726" i="30"/>
  <c r="I725" i="30"/>
  <c r="T725" i="30" s="1"/>
  <c r="I724" i="30"/>
  <c r="I727" i="30"/>
  <c r="T727" i="30" s="1"/>
  <c r="I730" i="30"/>
  <c r="T730" i="30" s="1"/>
  <c r="J660" i="30"/>
  <c r="U660" i="30" s="1"/>
  <c r="J656" i="30"/>
  <c r="U656" i="30" s="1"/>
  <c r="J657" i="30"/>
  <c r="U657" i="30" s="1"/>
  <c r="J652" i="30"/>
  <c r="J659" i="30"/>
  <c r="J653" i="30"/>
  <c r="U653" i="30" s="1"/>
  <c r="J655" i="30"/>
  <c r="J658" i="30"/>
  <c r="J654" i="30"/>
  <c r="U654" i="30" s="1"/>
  <c r="G857" i="30"/>
  <c r="R857" i="30" s="1"/>
  <c r="G851" i="30"/>
  <c r="G853" i="30"/>
  <c r="R853" i="30" s="1"/>
  <c r="G856" i="30"/>
  <c r="R856" i="30" s="1"/>
  <c r="G858" i="30"/>
  <c r="R858" i="30" s="1"/>
  <c r="G854" i="30"/>
  <c r="R854" i="30" s="1"/>
  <c r="G852" i="30"/>
  <c r="G850" i="30"/>
  <c r="G855" i="30"/>
  <c r="R855" i="30" s="1"/>
  <c r="G735" i="30"/>
  <c r="G734" i="30"/>
  <c r="G737" i="30"/>
  <c r="R737" i="30" s="1"/>
  <c r="G736" i="30"/>
  <c r="R736" i="30" s="1"/>
  <c r="G733" i="30"/>
  <c r="G740" i="30"/>
  <c r="R740" i="30" s="1"/>
  <c r="G739" i="30"/>
  <c r="R739" i="30" s="1"/>
  <c r="G741" i="30"/>
  <c r="R741" i="30" s="1"/>
  <c r="G738" i="30"/>
  <c r="R738" i="30" s="1"/>
  <c r="I855" i="30"/>
  <c r="T855" i="30" s="1"/>
  <c r="I858" i="30"/>
  <c r="T858" i="30" s="1"/>
  <c r="I853" i="30"/>
  <c r="T853" i="30" s="1"/>
  <c r="I851" i="30"/>
  <c r="I854" i="30"/>
  <c r="I850" i="30"/>
  <c r="I856" i="30"/>
  <c r="T856" i="30" s="1"/>
  <c r="I857" i="30"/>
  <c r="T857" i="30" s="1"/>
  <c r="I852" i="30"/>
  <c r="T852" i="30" s="1"/>
  <c r="N221" i="30"/>
  <c r="Y221" i="30" s="1"/>
  <c r="N220" i="30"/>
  <c r="Y220" i="30" s="1"/>
  <c r="N223" i="30"/>
  <c r="Y223" i="30" s="1"/>
  <c r="N222" i="30"/>
  <c r="Y222" i="30" s="1"/>
  <c r="N217" i="30"/>
  <c r="Y217" i="30" s="1"/>
  <c r="N216" i="30"/>
  <c r="Y216" i="30" s="1"/>
  <c r="N218" i="30"/>
  <c r="Y218" i="30" s="1"/>
  <c r="N215" i="30"/>
  <c r="Y215" i="30" s="1"/>
  <c r="N219" i="30"/>
  <c r="Y219" i="30" s="1"/>
  <c r="O484" i="30"/>
  <c r="Z484" i="30" s="1"/>
  <c r="O489" i="30"/>
  <c r="Z489" i="30" s="1"/>
  <c r="O491" i="30"/>
  <c r="Z491" i="30" s="1"/>
  <c r="O490" i="30"/>
  <c r="Z490" i="30" s="1"/>
  <c r="O492" i="30"/>
  <c r="Z492" i="30" s="1"/>
  <c r="O487" i="30"/>
  <c r="Z487" i="30" s="1"/>
  <c r="O486" i="30"/>
  <c r="Z486" i="30" s="1"/>
  <c r="O483" i="30"/>
  <c r="Z483" i="30" s="1"/>
  <c r="O485" i="30"/>
  <c r="Z485" i="30" s="1"/>
  <c r="O488" i="30"/>
  <c r="Z488" i="30" s="1"/>
  <c r="O493" i="30"/>
  <c r="Z493" i="30" s="1"/>
  <c r="I690" i="30"/>
  <c r="T690" i="30" s="1"/>
  <c r="I696" i="30"/>
  <c r="T696" i="30" s="1"/>
  <c r="I688" i="30"/>
  <c r="T688" i="30" s="1"/>
  <c r="I693" i="30"/>
  <c r="T693" i="30" s="1"/>
  <c r="I692" i="30"/>
  <c r="T692" i="30" s="1"/>
  <c r="I695" i="30"/>
  <c r="T695" i="30" s="1"/>
  <c r="I694" i="30"/>
  <c r="T694" i="30" s="1"/>
  <c r="I689" i="30"/>
  <c r="T689" i="30" s="1"/>
  <c r="I691" i="30"/>
  <c r="T691" i="30" s="1"/>
  <c r="N858" i="30"/>
  <c r="Y858" i="30" s="1"/>
  <c r="N851" i="30"/>
  <c r="Y851" i="30" s="1"/>
  <c r="N856" i="30"/>
  <c r="Y856" i="30" s="1"/>
  <c r="N854" i="30"/>
  <c r="Y854" i="30" s="1"/>
  <c r="N857" i="30"/>
  <c r="Y857" i="30" s="1"/>
  <c r="N850" i="30"/>
  <c r="Y850" i="30" s="1"/>
  <c r="N853" i="30"/>
  <c r="Y853" i="30" s="1"/>
  <c r="N852" i="30"/>
  <c r="Y852" i="30" s="1"/>
  <c r="N855" i="30"/>
  <c r="Y855" i="30" s="1"/>
  <c r="H34" i="30"/>
  <c r="S34" i="30" s="1"/>
  <c r="H41" i="30"/>
  <c r="S41" i="30" s="1"/>
  <c r="H39" i="30"/>
  <c r="S39" i="30" s="1"/>
  <c r="H40" i="30"/>
  <c r="S40" i="30" s="1"/>
  <c r="H37" i="30"/>
  <c r="S37" i="30" s="1"/>
  <c r="H33" i="30"/>
  <c r="S33" i="30" s="1"/>
  <c r="H35" i="30"/>
  <c r="S35" i="30" s="1"/>
  <c r="H36" i="30"/>
  <c r="H38" i="30"/>
  <c r="S38" i="30" s="1"/>
  <c r="O404" i="30"/>
  <c r="Z404" i="30" s="1"/>
  <c r="O401" i="30"/>
  <c r="Z401" i="30" s="1"/>
  <c r="O400" i="30"/>
  <c r="Z400" i="30" s="1"/>
  <c r="O410" i="30"/>
  <c r="Z410" i="30" s="1"/>
  <c r="O407" i="30"/>
  <c r="O406" i="30"/>
  <c r="O408" i="30"/>
  <c r="O402" i="30"/>
  <c r="O405" i="30"/>
  <c r="Z405" i="30" s="1"/>
  <c r="O409" i="30"/>
  <c r="Z409" i="30" s="1"/>
  <c r="O403" i="30"/>
  <c r="N602" i="30"/>
  <c r="Y602" i="30" s="1"/>
  <c r="N598" i="30"/>
  <c r="Y598" i="30" s="1"/>
  <c r="N597" i="30"/>
  <c r="Y597" i="30" s="1"/>
  <c r="N604" i="30"/>
  <c r="Y604" i="30" s="1"/>
  <c r="N599" i="30"/>
  <c r="N606" i="30"/>
  <c r="N605" i="30"/>
  <c r="Y605" i="30" s="1"/>
  <c r="N600" i="30"/>
  <c r="N603" i="30"/>
  <c r="Y603" i="30" s="1"/>
  <c r="N601" i="30"/>
  <c r="Y601" i="30" s="1"/>
  <c r="N607" i="30"/>
  <c r="Y607" i="30" s="1"/>
  <c r="F741" i="30"/>
  <c r="Q741" i="30" s="1"/>
  <c r="F734" i="30"/>
  <c r="Q734" i="30" s="1"/>
  <c r="F736" i="30"/>
  <c r="Q736" i="30" s="1"/>
  <c r="F738" i="30"/>
  <c r="Q738" i="30" s="1"/>
  <c r="F739" i="30"/>
  <c r="Q739" i="30" s="1"/>
  <c r="F740" i="30"/>
  <c r="Q740" i="30" s="1"/>
  <c r="F733" i="30"/>
  <c r="Q733" i="30" s="1"/>
  <c r="F737" i="30"/>
  <c r="Q737" i="30" s="1"/>
  <c r="F735" i="30"/>
  <c r="Q735" i="30" s="1"/>
  <c r="F742" i="30"/>
  <c r="Q742" i="30" s="1"/>
  <c r="F746" i="30"/>
  <c r="Q746" i="30" s="1"/>
  <c r="F744" i="30"/>
  <c r="Q744" i="30" s="1"/>
  <c r="F743" i="30"/>
  <c r="Q743" i="30" s="1"/>
  <c r="F748" i="30"/>
  <c r="Q748" i="30" s="1"/>
  <c r="F750" i="30"/>
  <c r="Q750" i="30" s="1"/>
  <c r="F745" i="30"/>
  <c r="Q745" i="30" s="1"/>
  <c r="F747" i="30"/>
  <c r="Q747" i="30" s="1"/>
  <c r="F749" i="30"/>
  <c r="Q749" i="30" s="1"/>
  <c r="AD52" i="31"/>
  <c r="H140" i="30"/>
  <c r="H137" i="30"/>
  <c r="S137" i="30" s="1"/>
  <c r="H136" i="30"/>
  <c r="H143" i="30"/>
  <c r="S143" i="30" s="1"/>
  <c r="H142" i="30"/>
  <c r="S142" i="30" s="1"/>
  <c r="H139" i="30"/>
  <c r="S139" i="30" s="1"/>
  <c r="H138" i="30"/>
  <c r="S138" i="30" s="1"/>
  <c r="H144" i="30"/>
  <c r="H141" i="30"/>
  <c r="S141" i="30" s="1"/>
  <c r="F382" i="30"/>
  <c r="Q382" i="30" s="1"/>
  <c r="F383" i="30"/>
  <c r="Q383" i="30" s="1"/>
  <c r="F381" i="30"/>
  <c r="Q381" i="30" s="1"/>
  <c r="F386" i="30"/>
  <c r="Q386" i="30" s="1"/>
  <c r="F387" i="30"/>
  <c r="Q387" i="30" s="1"/>
  <c r="F385" i="30"/>
  <c r="Q385" i="30" s="1"/>
  <c r="F380" i="30"/>
  <c r="Q380" i="30" s="1"/>
  <c r="F384" i="30"/>
  <c r="Q384" i="30" s="1"/>
  <c r="F388" i="30"/>
  <c r="Q388" i="30" s="1"/>
  <c r="H387" i="30"/>
  <c r="S387" i="30" s="1"/>
  <c r="H386" i="30"/>
  <c r="H383" i="30"/>
  <c r="S383" i="30" s="1"/>
  <c r="H388" i="30"/>
  <c r="H380" i="30"/>
  <c r="H381" i="30"/>
  <c r="S381" i="30" s="1"/>
  <c r="H384" i="30"/>
  <c r="H382" i="30"/>
  <c r="H385" i="30"/>
  <c r="I255" i="30"/>
  <c r="T255" i="30" s="1"/>
  <c r="I256" i="30"/>
  <c r="T256" i="30" s="1"/>
  <c r="I261" i="30"/>
  <c r="T261" i="30" s="1"/>
  <c r="I260" i="30"/>
  <c r="T260" i="30" s="1"/>
  <c r="I258" i="30"/>
  <c r="I257" i="30"/>
  <c r="T257" i="30" s="1"/>
  <c r="I253" i="30"/>
  <c r="I259" i="30"/>
  <c r="I254" i="30"/>
  <c r="T254" i="30" s="1"/>
  <c r="O368" i="30"/>
  <c r="Z368" i="30" s="1"/>
  <c r="O364" i="30"/>
  <c r="Z364" i="30" s="1"/>
  <c r="O366" i="30"/>
  <c r="Z366" i="30" s="1"/>
  <c r="O362" i="30"/>
  <c r="Z362" i="30" s="1"/>
  <c r="O365" i="30"/>
  <c r="Z365" i="30" s="1"/>
  <c r="O361" i="30"/>
  <c r="Z361" i="30" s="1"/>
  <c r="O359" i="30"/>
  <c r="Z359" i="30" s="1"/>
  <c r="O358" i="30"/>
  <c r="Z358" i="30" s="1"/>
  <c r="O360" i="30"/>
  <c r="Z360" i="30" s="1"/>
  <c r="O367" i="30"/>
  <c r="Z367" i="30" s="1"/>
  <c r="O363" i="30"/>
  <c r="Z363" i="30" s="1"/>
  <c r="G37" i="30"/>
  <c r="R37" i="30" s="1"/>
  <c r="G36" i="30"/>
  <c r="R36" i="30" s="1"/>
  <c r="G34" i="30"/>
  <c r="R34" i="30" s="1"/>
  <c r="G33" i="30"/>
  <c r="R33" i="30" s="1"/>
  <c r="G38" i="30"/>
  <c r="R38" i="30" s="1"/>
  <c r="G39" i="30"/>
  <c r="R39" i="30" s="1"/>
  <c r="G41" i="30"/>
  <c r="R41" i="30" s="1"/>
  <c r="G35" i="30"/>
  <c r="R35" i="30" s="1"/>
  <c r="G40" i="30"/>
  <c r="R40" i="30" s="1"/>
  <c r="M33" i="34"/>
  <c r="AC222" i="30"/>
  <c r="AD222" i="30" s="1"/>
  <c r="X33" i="34"/>
  <c r="AE222" i="30" s="1"/>
  <c r="AF222" i="30" s="1"/>
  <c r="O468" i="30"/>
  <c r="Z468" i="30" s="1"/>
  <c r="O463" i="30"/>
  <c r="Z463" i="30" s="1"/>
  <c r="O465" i="30"/>
  <c r="Z465" i="30" s="1"/>
  <c r="O464" i="30"/>
  <c r="Z464" i="30" s="1"/>
  <c r="O471" i="30"/>
  <c r="Z471" i="30" s="1"/>
  <c r="O470" i="30"/>
  <c r="Z470" i="30" s="1"/>
  <c r="O466" i="30"/>
  <c r="Z466" i="30" s="1"/>
  <c r="O469" i="30"/>
  <c r="Z469" i="30" s="1"/>
  <c r="O467" i="30"/>
  <c r="Z467" i="30" s="1"/>
  <c r="O473" i="30"/>
  <c r="Z473" i="30" s="1"/>
  <c r="O472" i="30"/>
  <c r="Z472" i="30" s="1"/>
  <c r="M803" i="30"/>
  <c r="M802" i="30"/>
  <c r="X802" i="30" s="1"/>
  <c r="M800" i="30"/>
  <c r="X800" i="30" s="1"/>
  <c r="M797" i="30"/>
  <c r="X797" i="30" s="1"/>
  <c r="M799" i="30"/>
  <c r="X799" i="30" s="1"/>
  <c r="M798" i="30"/>
  <c r="X798" i="30" s="1"/>
  <c r="M801" i="30"/>
  <c r="X801" i="30" s="1"/>
  <c r="M804" i="30"/>
  <c r="X804" i="30" s="1"/>
  <c r="M796" i="30"/>
  <c r="X796" i="30" s="1"/>
  <c r="I791" i="30"/>
  <c r="T791" i="30" s="1"/>
  <c r="I790" i="30"/>
  <c r="T790" i="30" s="1"/>
  <c r="I792" i="30"/>
  <c r="T792" i="30" s="1"/>
  <c r="I787" i="30"/>
  <c r="T787" i="30" s="1"/>
  <c r="I793" i="30"/>
  <c r="T793" i="30" s="1"/>
  <c r="I789" i="30"/>
  <c r="T789" i="30" s="1"/>
  <c r="I788" i="30"/>
  <c r="T788" i="30" s="1"/>
  <c r="I795" i="30"/>
  <c r="T795" i="30" s="1"/>
  <c r="I794" i="30"/>
  <c r="T794" i="30" s="1"/>
  <c r="AD93" i="36"/>
  <c r="AC75" i="31"/>
  <c r="G91" i="36"/>
  <c r="G92" i="36"/>
  <c r="T14" i="34"/>
  <c r="AE99" i="30" s="1"/>
  <c r="AF99" i="30" s="1"/>
  <c r="O372" i="30"/>
  <c r="Z372" i="30" s="1"/>
  <c r="O371" i="30"/>
  <c r="Z371" i="30" s="1"/>
  <c r="O378" i="30"/>
  <c r="Z378" i="30" s="1"/>
  <c r="O377" i="30"/>
  <c r="Z377" i="30" s="1"/>
  <c r="O373" i="30"/>
  <c r="Z373" i="30" s="1"/>
  <c r="O375" i="30"/>
  <c r="Z375" i="30" s="1"/>
  <c r="O374" i="30"/>
  <c r="Z374" i="30" s="1"/>
  <c r="O369" i="30"/>
  <c r="Z369" i="30" s="1"/>
  <c r="O370" i="30"/>
  <c r="Z370" i="30" s="1"/>
  <c r="O379" i="30"/>
  <c r="Z379" i="30" s="1"/>
  <c r="O376" i="30"/>
  <c r="Z376" i="30" s="1"/>
  <c r="I644" i="30"/>
  <c r="T644" i="30" s="1"/>
  <c r="I649" i="30"/>
  <c r="T649" i="30" s="1"/>
  <c r="I650" i="30"/>
  <c r="T650" i="30" s="1"/>
  <c r="I645" i="30"/>
  <c r="T645" i="30" s="1"/>
  <c r="I646" i="30"/>
  <c r="T646" i="30" s="1"/>
  <c r="I648" i="30"/>
  <c r="I643" i="30"/>
  <c r="I647" i="30"/>
  <c r="T647" i="30" s="1"/>
  <c r="I651" i="30"/>
  <c r="T651" i="30" s="1"/>
  <c r="N582" i="30"/>
  <c r="Y582" i="30" s="1"/>
  <c r="N581" i="30"/>
  <c r="Y581" i="30" s="1"/>
  <c r="N584" i="30"/>
  <c r="Y584" i="30" s="1"/>
  <c r="N583" i="30"/>
  <c r="N579" i="30"/>
  <c r="Y579" i="30" s="1"/>
  <c r="N580" i="30"/>
  <c r="Y580" i="30" s="1"/>
  <c r="N585" i="30"/>
  <c r="Y585" i="30" s="1"/>
  <c r="N618" i="30"/>
  <c r="N614" i="30"/>
  <c r="N621" i="30"/>
  <c r="Y621" i="30" s="1"/>
  <c r="N617" i="30"/>
  <c r="Y617" i="30" s="1"/>
  <c r="N624" i="30"/>
  <c r="Y624" i="30" s="1"/>
  <c r="N615" i="30"/>
  <c r="Y615" i="30" s="1"/>
  <c r="N620" i="30"/>
  <c r="Y620" i="30" s="1"/>
  <c r="N619" i="30"/>
  <c r="Y619" i="30" s="1"/>
  <c r="N616" i="30"/>
  <c r="N623" i="30"/>
  <c r="Y623" i="30" s="1"/>
  <c r="N622" i="30"/>
  <c r="Y622" i="30" s="1"/>
  <c r="N558" i="30"/>
  <c r="Y558" i="30" s="1"/>
  <c r="N551" i="30"/>
  <c r="N556" i="30"/>
  <c r="Y556" i="30" s="1"/>
  <c r="N555" i="30"/>
  <c r="Y555" i="30" s="1"/>
  <c r="N550" i="30"/>
  <c r="Y550" i="30" s="1"/>
  <c r="N557" i="30"/>
  <c r="Y557" i="30" s="1"/>
  <c r="N552" i="30"/>
  <c r="Y552" i="30" s="1"/>
  <c r="N554" i="30"/>
  <c r="Y554" i="30" s="1"/>
  <c r="N553" i="30"/>
  <c r="Y553" i="30" s="1"/>
  <c r="G750" i="30"/>
  <c r="R750" i="30" s="1"/>
  <c r="G747" i="30"/>
  <c r="R747" i="30" s="1"/>
  <c r="G746" i="30"/>
  <c r="R746" i="30" s="1"/>
  <c r="G749" i="30"/>
  <c r="R749" i="30" s="1"/>
  <c r="G743" i="30"/>
  <c r="G742" i="30"/>
  <c r="G745" i="30"/>
  <c r="R745" i="30" s="1"/>
  <c r="G748" i="30"/>
  <c r="R748" i="30" s="1"/>
  <c r="G744" i="30"/>
  <c r="R744" i="30" s="1"/>
  <c r="J846" i="30"/>
  <c r="U846" i="30" s="1"/>
  <c r="J849" i="30"/>
  <c r="U849" i="30" s="1"/>
  <c r="J848" i="30"/>
  <c r="U848" i="30" s="1"/>
  <c r="J842" i="30"/>
  <c r="U842" i="30" s="1"/>
  <c r="J845" i="30"/>
  <c r="U845" i="30" s="1"/>
  <c r="J847" i="30"/>
  <c r="U847" i="30" s="1"/>
  <c r="J843" i="30"/>
  <c r="U843" i="30" s="1"/>
  <c r="J841" i="30"/>
  <c r="J844" i="30"/>
  <c r="U844" i="30" s="1"/>
  <c r="D114" i="66"/>
  <c r="H114" i="66"/>
  <c r="L106" i="66"/>
  <c r="C114" i="66"/>
  <c r="C22" i="36"/>
  <c r="M203" i="30"/>
  <c r="X203" i="30" s="1"/>
  <c r="M198" i="30"/>
  <c r="X198" i="30" s="1"/>
  <c r="M197" i="30"/>
  <c r="X197" i="30" s="1"/>
  <c r="M204" i="30"/>
  <c r="X204" i="30" s="1"/>
  <c r="M199" i="30"/>
  <c r="X199" i="30" s="1"/>
  <c r="M205" i="30"/>
  <c r="X205" i="30" s="1"/>
  <c r="M200" i="30"/>
  <c r="X200" i="30" s="1"/>
  <c r="M202" i="30"/>
  <c r="X202" i="30" s="1"/>
  <c r="M201" i="30"/>
  <c r="X201" i="30" s="1"/>
  <c r="L679" i="30"/>
  <c r="W679" i="30" s="1"/>
  <c r="L681" i="30"/>
  <c r="W681" i="30" s="1"/>
  <c r="L686" i="30"/>
  <c r="W686" i="30" s="1"/>
  <c r="L687" i="30"/>
  <c r="W687" i="30" s="1"/>
  <c r="L682" i="30"/>
  <c r="W682" i="30" s="1"/>
  <c r="L684" i="30"/>
  <c r="W684" i="30" s="1"/>
  <c r="L680" i="30"/>
  <c r="W680" i="30" s="1"/>
  <c r="L683" i="30"/>
  <c r="W683" i="30" s="1"/>
  <c r="L685" i="30"/>
  <c r="W685" i="30" s="1"/>
  <c r="J681" i="30"/>
  <c r="U681" i="30" s="1"/>
  <c r="J683" i="30"/>
  <c r="U683" i="30" s="1"/>
  <c r="J679" i="30"/>
  <c r="U679" i="30" s="1"/>
  <c r="J684" i="30"/>
  <c r="U684" i="30" s="1"/>
  <c r="J686" i="30"/>
  <c r="U686" i="30" s="1"/>
  <c r="J685" i="30"/>
  <c r="U685" i="30" s="1"/>
  <c r="J687" i="30"/>
  <c r="U687" i="30" s="1"/>
  <c r="J680" i="30"/>
  <c r="U680" i="30" s="1"/>
  <c r="J682" i="30"/>
  <c r="U682" i="30" s="1"/>
  <c r="N377" i="30"/>
  <c r="Y377" i="30" s="1"/>
  <c r="N373" i="30"/>
  <c r="Y373" i="30" s="1"/>
  <c r="N369" i="30"/>
  <c r="Y369" i="30" s="1"/>
  <c r="N376" i="30"/>
  <c r="Y376" i="30" s="1"/>
  <c r="N379" i="30"/>
  <c r="Y379" i="30" s="1"/>
  <c r="N375" i="30"/>
  <c r="Y375" i="30" s="1"/>
  <c r="N374" i="30"/>
  <c r="Y374" i="30" s="1"/>
  <c r="N370" i="30"/>
  <c r="Y370" i="30" s="1"/>
  <c r="N371" i="30"/>
  <c r="Y371" i="30" s="1"/>
  <c r="N378" i="30"/>
  <c r="Y378" i="30" s="1"/>
  <c r="N372" i="30"/>
  <c r="Y372" i="30" s="1"/>
  <c r="H110" i="66"/>
  <c r="H106" i="66"/>
  <c r="L114" i="66"/>
  <c r="E76" i="36"/>
  <c r="D76" i="36"/>
  <c r="L110" i="66"/>
  <c r="J106" i="66"/>
  <c r="J114" i="66"/>
  <c r="D106" i="66"/>
  <c r="J110" i="66"/>
  <c r="X691" i="30"/>
  <c r="X694" i="30"/>
  <c r="R851" i="30"/>
  <c r="U851" i="30"/>
  <c r="U856" i="30"/>
  <c r="T854" i="30"/>
  <c r="W797" i="30"/>
  <c r="W800" i="30"/>
  <c r="S850" i="30"/>
  <c r="F852" i="30"/>
  <c r="Q852" i="30" s="1"/>
  <c r="F854" i="30"/>
  <c r="Q854" i="30" s="1"/>
  <c r="F856" i="30"/>
  <c r="Q856" i="30" s="1"/>
  <c r="F858" i="30"/>
  <c r="Q858" i="30" s="1"/>
  <c r="F851" i="30"/>
  <c r="Q851" i="30" s="1"/>
  <c r="F853" i="30"/>
  <c r="Q853" i="30" s="1"/>
  <c r="F855" i="30"/>
  <c r="Q855" i="30" s="1"/>
  <c r="F857" i="30"/>
  <c r="Q857" i="30" s="1"/>
  <c r="F850" i="30"/>
  <c r="Q850" i="30" s="1"/>
  <c r="S848" i="30"/>
  <c r="S845" i="30"/>
  <c r="X683" i="30"/>
  <c r="X685" i="30"/>
  <c r="F842" i="30"/>
  <c r="Q842" i="30" s="1"/>
  <c r="F844" i="30"/>
  <c r="Q844" i="30" s="1"/>
  <c r="F846" i="30"/>
  <c r="Q846" i="30" s="1"/>
  <c r="F848" i="30"/>
  <c r="Q848" i="30" s="1"/>
  <c r="F841" i="30"/>
  <c r="Q841" i="30" s="1"/>
  <c r="F843" i="30"/>
  <c r="Q843" i="30" s="1"/>
  <c r="F845" i="30"/>
  <c r="Q845" i="30" s="1"/>
  <c r="F847" i="30"/>
  <c r="Q847" i="30" s="1"/>
  <c r="F849" i="30"/>
  <c r="Q849" i="30" s="1"/>
  <c r="F647" i="30"/>
  <c r="Q647" i="30" s="1"/>
  <c r="F651" i="30"/>
  <c r="Q651" i="30" s="1"/>
  <c r="F644" i="30"/>
  <c r="Q644" i="30" s="1"/>
  <c r="F646" i="30"/>
  <c r="Q646" i="30" s="1"/>
  <c r="F648" i="30"/>
  <c r="Q648" i="30" s="1"/>
  <c r="F650" i="30"/>
  <c r="Q650" i="30" s="1"/>
  <c r="F643" i="30"/>
  <c r="Q643" i="30" s="1"/>
  <c r="F645" i="30"/>
  <c r="Q645" i="30" s="1"/>
  <c r="F649" i="30"/>
  <c r="Q649" i="30" s="1"/>
  <c r="V651" i="30"/>
  <c r="V648" i="30"/>
  <c r="P646" i="30"/>
  <c r="P645" i="30"/>
  <c r="P649" i="30"/>
  <c r="P643" i="30"/>
  <c r="S651" i="30"/>
  <c r="S646" i="30"/>
  <c r="F672" i="30"/>
  <c r="Q672" i="30" s="1"/>
  <c r="F673" i="30"/>
  <c r="Q673" i="30" s="1"/>
  <c r="F675" i="30"/>
  <c r="Q675" i="30" s="1"/>
  <c r="F677" i="30"/>
  <c r="Q677" i="30" s="1"/>
  <c r="F674" i="30"/>
  <c r="Q674" i="30" s="1"/>
  <c r="F678" i="30"/>
  <c r="Q678" i="30" s="1"/>
  <c r="F671" i="30"/>
  <c r="Q671" i="30" s="1"/>
  <c r="F670" i="30"/>
  <c r="Q670" i="30" s="1"/>
  <c r="F676" i="30"/>
  <c r="Q676" i="30" s="1"/>
  <c r="AJ88" i="31"/>
  <c r="U24" i="34"/>
  <c r="AE192" i="30" s="1"/>
  <c r="AF192" i="30" s="1"/>
  <c r="AB53" i="31"/>
  <c r="F256" i="30"/>
  <c r="Q256" i="30" s="1"/>
  <c r="F254" i="30"/>
  <c r="Q254" i="30" s="1"/>
  <c r="F255" i="30"/>
  <c r="Q255" i="30" s="1"/>
  <c r="F257" i="30"/>
  <c r="Q257" i="30" s="1"/>
  <c r="F258" i="30"/>
  <c r="Q258" i="30" s="1"/>
  <c r="F253" i="30"/>
  <c r="Q253" i="30" s="1"/>
  <c r="F259" i="30"/>
  <c r="Q259" i="30" s="1"/>
  <c r="F260" i="30"/>
  <c r="Q260" i="30" s="1"/>
  <c r="F261" i="30"/>
  <c r="Q261" i="30" s="1"/>
  <c r="AC151" i="30"/>
  <c r="AD151" i="30" s="1"/>
  <c r="W24" i="34"/>
  <c r="AE194" i="30" s="1"/>
  <c r="AF194" i="30" s="1"/>
  <c r="I20" i="34"/>
  <c r="U20" i="34" s="1"/>
  <c r="AC180" i="30"/>
  <c r="AD180" i="30" s="1"/>
  <c r="T380" i="30"/>
  <c r="U233" i="30"/>
  <c r="X503" i="30"/>
  <c r="T679" i="30"/>
  <c r="Y158" i="30"/>
  <c r="U244" i="30"/>
  <c r="R688" i="30"/>
  <c r="T349" i="30"/>
  <c r="U188" i="30"/>
  <c r="S116" i="30"/>
  <c r="T116" i="30"/>
  <c r="S44" i="30"/>
  <c r="R305" i="30"/>
  <c r="X579" i="30"/>
  <c r="R625" i="30"/>
  <c r="T559" i="30"/>
  <c r="S625" i="30"/>
  <c r="T305" i="30"/>
  <c r="R188" i="30"/>
  <c r="U305" i="30"/>
  <c r="S147" i="30"/>
  <c r="U559" i="30"/>
  <c r="X332" i="30"/>
  <c r="X599" i="30"/>
  <c r="X494" i="30"/>
  <c r="U315" i="30"/>
  <c r="T625" i="30"/>
  <c r="T264" i="30"/>
  <c r="R206" i="30"/>
  <c r="T206" i="30"/>
  <c r="Y588" i="30"/>
  <c r="U147" i="30"/>
  <c r="R244" i="30"/>
  <c r="S24" i="30"/>
  <c r="U179" i="30"/>
  <c r="Y402" i="30"/>
  <c r="R559" i="30"/>
  <c r="Y295" i="30"/>
  <c r="X402" i="30"/>
  <c r="V797" i="30"/>
  <c r="U625" i="30"/>
  <c r="X616" i="30"/>
  <c r="U349" i="30"/>
  <c r="V625" i="30"/>
  <c r="S349" i="30"/>
  <c r="S264" i="30"/>
  <c r="R96" i="30"/>
  <c r="R55" i="30"/>
  <c r="V24" i="30"/>
  <c r="T244" i="30"/>
  <c r="V315" i="30"/>
  <c r="S305" i="30"/>
  <c r="R24" i="30"/>
  <c r="U24" i="30"/>
  <c r="X127" i="30"/>
  <c r="S688" i="30"/>
  <c r="K19" i="43"/>
  <c r="L19" i="43" s="1"/>
  <c r="M19" i="43" s="1"/>
  <c r="S19" i="43"/>
  <c r="T19" i="43" s="1"/>
  <c r="U19" i="43" s="1"/>
  <c r="D19" i="43"/>
  <c r="E19" i="43" s="1"/>
  <c r="O19" i="43"/>
  <c r="P19" i="43" s="1"/>
  <c r="Q19" i="43" s="1"/>
  <c r="W19" i="43"/>
  <c r="X19" i="43" s="1"/>
  <c r="Y19" i="43" s="1"/>
  <c r="C20" i="43"/>
  <c r="G19" i="43"/>
  <c r="H19" i="43" s="1"/>
  <c r="I19" i="43" s="1"/>
  <c r="J62" i="31"/>
  <c r="U62" i="31" s="1"/>
  <c r="U63" i="31"/>
  <c r="Y72" i="34"/>
  <c r="AM51" i="34"/>
  <c r="Y60" i="34"/>
  <c r="Y69" i="34"/>
  <c r="Y49" i="34"/>
  <c r="Y51" i="34"/>
  <c r="AE302" i="30" s="1"/>
  <c r="AF302" i="30" s="1"/>
  <c r="Y56" i="34"/>
  <c r="AE339" i="30" s="1"/>
  <c r="AF339" i="30" s="1"/>
  <c r="Y76" i="34"/>
  <c r="Y84" i="34"/>
  <c r="AE531" i="30" s="1"/>
  <c r="AF531" i="30" s="1"/>
  <c r="Y40" i="34"/>
  <c r="AE585" i="30" s="1"/>
  <c r="AF585" i="30" s="1"/>
  <c r="Y68" i="34"/>
  <c r="Y39" i="34"/>
  <c r="Y43" i="34"/>
  <c r="C32" i="31"/>
  <c r="D32" i="31"/>
  <c r="C27" i="31"/>
  <c r="AD54" i="31"/>
  <c r="AD73" i="31"/>
  <c r="AC319" i="30"/>
  <c r="AD319" i="30" s="1"/>
  <c r="W35" i="34"/>
  <c r="AE153" i="30" s="1"/>
  <c r="AF153" i="30" s="1"/>
  <c r="AF68" i="31"/>
  <c r="AF53" i="31"/>
  <c r="E27" i="31"/>
  <c r="E32" i="31"/>
  <c r="Y130" i="30"/>
  <c r="Y135" i="30"/>
  <c r="Y131" i="30"/>
  <c r="Y129" i="30"/>
  <c r="R743" i="30"/>
  <c r="AC89" i="31"/>
  <c r="T851" i="30"/>
  <c r="Z547" i="30"/>
  <c r="Z542" i="30"/>
  <c r="Z540" i="30"/>
  <c r="Z548" i="30"/>
  <c r="Z544" i="30"/>
  <c r="Z339" i="30"/>
  <c r="Z335" i="30"/>
  <c r="Z334" i="30"/>
  <c r="Z336" i="30"/>
  <c r="Z332" i="30"/>
  <c r="Y549" i="30"/>
  <c r="Y545" i="30"/>
  <c r="Y547" i="30"/>
  <c r="Y88" i="30"/>
  <c r="Y94" i="30"/>
  <c r="Y93" i="30"/>
  <c r="Y91" i="30"/>
  <c r="Y87" i="30"/>
  <c r="R852" i="30"/>
  <c r="U749" i="30"/>
  <c r="U745" i="30"/>
  <c r="AF89" i="31"/>
  <c r="T747" i="30"/>
  <c r="T743" i="30"/>
  <c r="T750" i="30"/>
  <c r="T744" i="30"/>
  <c r="T749" i="30"/>
  <c r="T745" i="30"/>
  <c r="AE89" i="31"/>
  <c r="W631" i="30"/>
  <c r="W627" i="30"/>
  <c r="W630" i="30"/>
  <c r="W626" i="30"/>
  <c r="W632" i="30"/>
  <c r="W628" i="30"/>
  <c r="W633" i="30"/>
  <c r="W629" i="30"/>
  <c r="AH65" i="31"/>
  <c r="AH66" i="31"/>
  <c r="V34" i="34"/>
  <c r="AE228" i="30" s="1"/>
  <c r="AF228" i="30" s="1"/>
  <c r="Y618" i="30"/>
  <c r="Y614" i="30"/>
  <c r="Y616" i="30"/>
  <c r="Y495" i="30"/>
  <c r="Y498" i="30"/>
  <c r="Y494" i="30"/>
  <c r="Y497" i="30"/>
  <c r="X696" i="30"/>
  <c r="X688" i="30"/>
  <c r="X693" i="30"/>
  <c r="X689" i="30"/>
  <c r="W802" i="30"/>
  <c r="W798" i="30"/>
  <c r="W803" i="30"/>
  <c r="W799" i="30"/>
  <c r="Z573" i="30"/>
  <c r="Z569" i="30"/>
  <c r="Z576" i="30"/>
  <c r="Z572" i="30"/>
  <c r="Z568" i="30"/>
  <c r="Z578" i="30"/>
  <c r="Z574" i="30"/>
  <c r="Z570" i="30"/>
  <c r="V793" i="30"/>
  <c r="V792" i="30"/>
  <c r="V790" i="30"/>
  <c r="V791" i="30"/>
  <c r="S36" i="30"/>
  <c r="X803" i="30"/>
  <c r="Y612" i="30"/>
  <c r="Y608" i="30"/>
  <c r="Y610" i="30"/>
  <c r="Y609" i="30"/>
  <c r="Z408" i="30"/>
  <c r="Z407" i="30"/>
  <c r="Z403" i="30"/>
  <c r="Z406" i="30"/>
  <c r="Z402" i="30"/>
  <c r="Z164" i="30"/>
  <c r="Z157" i="30"/>
  <c r="Z163" i="30"/>
  <c r="Z159" i="30"/>
  <c r="Y600" i="30"/>
  <c r="Y599" i="30"/>
  <c r="Y606" i="30"/>
  <c r="S742" i="30"/>
  <c r="S747" i="30"/>
  <c r="S743" i="30"/>
  <c r="Y583" i="30"/>
  <c r="Y348" i="30"/>
  <c r="Y340" i="30"/>
  <c r="Y343" i="30"/>
  <c r="Y72" i="30"/>
  <c r="Y73" i="30"/>
  <c r="Y70" i="30"/>
  <c r="Y551" i="30"/>
  <c r="U852" i="30"/>
  <c r="U858" i="30"/>
  <c r="U857" i="30"/>
  <c r="U853" i="30"/>
  <c r="R734" i="30"/>
  <c r="R735" i="30"/>
  <c r="AC64" i="31"/>
  <c r="AB59" i="31"/>
  <c r="AC58" i="30"/>
  <c r="AD58" i="30" s="1"/>
  <c r="V53" i="34"/>
  <c r="AC318" i="30"/>
  <c r="AD318" i="30" s="1"/>
  <c r="S738" i="30"/>
  <c r="S734" i="30"/>
  <c r="S741" i="30"/>
  <c r="S737" i="30"/>
  <c r="S735" i="30"/>
  <c r="S736" i="30"/>
  <c r="S740" i="30"/>
  <c r="Y330" i="30"/>
  <c r="Y326" i="30"/>
  <c r="Y329" i="30"/>
  <c r="Y331" i="30"/>
  <c r="Y327" i="30"/>
  <c r="Y511" i="30"/>
  <c r="Y503" i="30"/>
  <c r="Y510" i="30"/>
  <c r="Y506" i="30"/>
  <c r="Y502" i="30"/>
  <c r="Y509" i="30"/>
  <c r="Y505" i="30"/>
  <c r="Y504" i="30"/>
  <c r="Y282" i="30"/>
  <c r="Y276" i="30"/>
  <c r="Y283" i="30"/>
  <c r="Y279" i="30"/>
  <c r="Y275" i="30"/>
  <c r="Y273" i="30"/>
  <c r="Y459" i="30"/>
  <c r="Y462" i="30"/>
  <c r="Y454" i="30"/>
  <c r="Y456" i="30"/>
  <c r="Y460" i="30"/>
  <c r="S854" i="30"/>
  <c r="S851" i="30"/>
  <c r="S846" i="30"/>
  <c r="S844" i="30"/>
  <c r="Z537" i="30"/>
  <c r="Z539" i="30"/>
  <c r="Z538" i="30"/>
  <c r="Z534" i="30"/>
  <c r="Z565" i="30"/>
  <c r="Z563" i="30"/>
  <c r="Z559" i="30"/>
  <c r="Z562" i="30"/>
  <c r="X679" i="30"/>
  <c r="X682" i="30"/>
  <c r="X684" i="30"/>
  <c r="X680" i="30"/>
  <c r="X681" i="30"/>
  <c r="R845" i="30"/>
  <c r="R844" i="30"/>
  <c r="R847" i="30"/>
  <c r="U740" i="30"/>
  <c r="U739" i="30"/>
  <c r="U737" i="30"/>
  <c r="U734" i="30"/>
  <c r="AF64" i="31"/>
  <c r="T17" i="34"/>
  <c r="AE119" i="30" s="1"/>
  <c r="AF119" i="30" s="1"/>
  <c r="L23" i="34"/>
  <c r="X23" i="34" s="1"/>
  <c r="AE184" i="30" s="1"/>
  <c r="AF184" i="30" s="1"/>
  <c r="V23" i="34"/>
  <c r="AE182" i="30" s="1"/>
  <c r="AF182" i="30" s="1"/>
  <c r="AB58" i="31"/>
  <c r="AB57" i="31" s="1"/>
  <c r="R322" i="30"/>
  <c r="AE71" i="31"/>
  <c r="F17" i="34"/>
  <c r="G47" i="31" s="1"/>
  <c r="F16" i="34"/>
  <c r="AC45" i="30" s="1"/>
  <c r="AD45" i="30" s="1"/>
  <c r="AC109" i="30"/>
  <c r="AD109" i="30" s="1"/>
  <c r="U32" i="34"/>
  <c r="AE210" i="30" s="1"/>
  <c r="AF210" i="30" s="1"/>
  <c r="AC248" i="30"/>
  <c r="AD248" i="30" s="1"/>
  <c r="T58" i="34"/>
  <c r="AE352" i="30" s="1"/>
  <c r="AF352" i="30" s="1"/>
  <c r="AG51" i="31"/>
  <c r="AC209" i="30"/>
  <c r="AD209" i="30" s="1"/>
  <c r="V98" i="30"/>
  <c r="S209" i="30"/>
  <c r="U247" i="30"/>
  <c r="T23" i="30"/>
  <c r="V266" i="30"/>
  <c r="G32" i="34"/>
  <c r="AC208" i="30" s="1"/>
  <c r="AD208" i="30" s="1"/>
  <c r="AA46" i="31"/>
  <c r="F65" i="34"/>
  <c r="R65" i="34" s="1"/>
  <c r="AE25" i="30" s="1"/>
  <c r="AF25" i="30" s="1"/>
  <c r="I17" i="34"/>
  <c r="AC120" i="30" s="1"/>
  <c r="AD120" i="30" s="1"/>
  <c r="J54" i="31"/>
  <c r="U54" i="31" s="1"/>
  <c r="AE656" i="30" s="1"/>
  <c r="AF656" i="30" s="1"/>
  <c r="AC67" i="31"/>
  <c r="V103" i="30"/>
  <c r="S110" i="30"/>
  <c r="S61" i="30"/>
  <c r="T230" i="30"/>
  <c r="V271" i="30"/>
  <c r="R234" i="30"/>
  <c r="T145" i="30"/>
  <c r="T232" i="30"/>
  <c r="F70" i="34"/>
  <c r="AC425" i="30" s="1"/>
  <c r="AD425" i="30" s="1"/>
  <c r="F73" i="34"/>
  <c r="R73" i="34" s="1"/>
  <c r="AE435" i="30" s="1"/>
  <c r="AF435" i="30" s="1"/>
  <c r="F14" i="34"/>
  <c r="AC97" i="30" s="1"/>
  <c r="AD97" i="30" s="1"/>
  <c r="AE77" i="31"/>
  <c r="U36" i="34"/>
  <c r="AE237" i="30" s="1"/>
  <c r="AF237" i="30" s="1"/>
  <c r="G12" i="34"/>
  <c r="AC227" i="30"/>
  <c r="AD227" i="30" s="1"/>
  <c r="U23" i="34"/>
  <c r="AE181" i="30" s="1"/>
  <c r="AF181" i="30" s="1"/>
  <c r="AG72" i="31"/>
  <c r="W50" i="30"/>
  <c r="T37" i="34"/>
  <c r="AE247" i="30" s="1"/>
  <c r="AF247" i="30" s="1"/>
  <c r="V95" i="30"/>
  <c r="S107" i="30"/>
  <c r="S114" i="30"/>
  <c r="S53" i="30"/>
  <c r="R314" i="30"/>
  <c r="S245" i="30"/>
  <c r="T26" i="30"/>
  <c r="V228" i="30"/>
  <c r="V230" i="30"/>
  <c r="V313" i="30"/>
  <c r="V308" i="30"/>
  <c r="V61" i="30"/>
  <c r="V63" i="30"/>
  <c r="V58" i="30"/>
  <c r="S322" i="30"/>
  <c r="S320" i="30"/>
  <c r="S321" i="30"/>
  <c r="R271" i="30"/>
  <c r="R263" i="30"/>
  <c r="R266" i="30"/>
  <c r="AG68" i="31"/>
  <c r="V357" i="30"/>
  <c r="V350" i="30"/>
  <c r="T111" i="30"/>
  <c r="T109" i="30"/>
  <c r="T112" i="30"/>
  <c r="S192" i="30"/>
  <c r="S187" i="30"/>
  <c r="S60" i="30"/>
  <c r="S56" i="30"/>
  <c r="S63" i="30"/>
  <c r="S59" i="30"/>
  <c r="V269" i="30"/>
  <c r="V265" i="30"/>
  <c r="V272" i="30"/>
  <c r="V268" i="30"/>
  <c r="R323" i="30"/>
  <c r="R319" i="30"/>
  <c r="R320" i="30"/>
  <c r="R316" i="30"/>
  <c r="S252" i="30"/>
  <c r="S248" i="30"/>
  <c r="S251" i="30"/>
  <c r="S247" i="30"/>
  <c r="S243" i="30"/>
  <c r="U250" i="30"/>
  <c r="U246" i="30"/>
  <c r="U242" i="30"/>
  <c r="U249" i="30"/>
  <c r="U245" i="30"/>
  <c r="K54" i="31"/>
  <c r="V36" i="34"/>
  <c r="AE238" i="30" s="1"/>
  <c r="AF238" i="30" s="1"/>
  <c r="F35" i="34"/>
  <c r="V51" i="30"/>
  <c r="V47" i="30"/>
  <c r="V43" i="30"/>
  <c r="V50" i="30"/>
  <c r="V46" i="30"/>
  <c r="V42" i="30"/>
  <c r="T29" i="30"/>
  <c r="T25" i="30"/>
  <c r="T32" i="30"/>
  <c r="T28" i="30"/>
  <c r="AA77" i="31"/>
  <c r="F12" i="34"/>
  <c r="AC56" i="30" s="1"/>
  <c r="AD56" i="30" s="1"/>
  <c r="I15" i="34"/>
  <c r="U15" i="34" s="1"/>
  <c r="AE110" i="30" s="1"/>
  <c r="AF110" i="30" s="1"/>
  <c r="AC239" i="30"/>
  <c r="AD239" i="30" s="1"/>
  <c r="W272" i="30"/>
  <c r="AG67" i="31"/>
  <c r="W102" i="30"/>
  <c r="V102" i="30"/>
  <c r="V99" i="30"/>
  <c r="S105" i="30"/>
  <c r="S109" i="30"/>
  <c r="S113" i="30"/>
  <c r="S108" i="30"/>
  <c r="V54" i="30"/>
  <c r="V59" i="30"/>
  <c r="S57" i="30"/>
  <c r="S54" i="30"/>
  <c r="S62" i="30"/>
  <c r="S317" i="30"/>
  <c r="S323" i="30"/>
  <c r="R262" i="30"/>
  <c r="R267" i="30"/>
  <c r="V352" i="30"/>
  <c r="T108" i="30"/>
  <c r="T113" i="30"/>
  <c r="R318" i="30"/>
  <c r="R317" i="30"/>
  <c r="V208" i="30"/>
  <c r="S249" i="30"/>
  <c r="S246" i="30"/>
  <c r="U243" i="30"/>
  <c r="U251" i="30"/>
  <c r="U248" i="30"/>
  <c r="V29" i="30"/>
  <c r="T22" i="30"/>
  <c r="T30" i="30"/>
  <c r="T27" i="30"/>
  <c r="T731" i="30"/>
  <c r="V262" i="30"/>
  <c r="V270" i="30"/>
  <c r="V267" i="30"/>
  <c r="V52" i="30"/>
  <c r="V49" i="30"/>
  <c r="U178" i="30"/>
  <c r="T320" i="30"/>
  <c r="R353" i="30"/>
  <c r="F24" i="34"/>
  <c r="U152" i="30"/>
  <c r="U107" i="30"/>
  <c r="V111" i="30"/>
  <c r="V109" i="30"/>
  <c r="V112" i="30"/>
  <c r="S238" i="30"/>
  <c r="S240" i="30"/>
  <c r="S232" i="30"/>
  <c r="S235" i="30"/>
  <c r="U61" i="30"/>
  <c r="U58" i="30"/>
  <c r="T181" i="30"/>
  <c r="T180" i="30"/>
  <c r="U207" i="30"/>
  <c r="F36" i="34"/>
  <c r="V180" i="30"/>
  <c r="V181" i="30"/>
  <c r="U265" i="30"/>
  <c r="U270" i="30"/>
  <c r="U267" i="30"/>
  <c r="V311" i="30"/>
  <c r="V307" i="30"/>
  <c r="V303" i="30"/>
  <c r="V310" i="30"/>
  <c r="V306" i="30"/>
  <c r="T34" i="34"/>
  <c r="AE226" i="30" s="1"/>
  <c r="AF226" i="30" s="1"/>
  <c r="AC226" i="30"/>
  <c r="AD226" i="30" s="1"/>
  <c r="U184" i="30"/>
  <c r="U180" i="30"/>
  <c r="U185" i="30"/>
  <c r="U181" i="30"/>
  <c r="T321" i="30"/>
  <c r="T317" i="30"/>
  <c r="T322" i="30"/>
  <c r="T318" i="30"/>
  <c r="T314" i="30"/>
  <c r="R355" i="30"/>
  <c r="R351" i="30"/>
  <c r="R356" i="30"/>
  <c r="R354" i="30"/>
  <c r="V213" i="30"/>
  <c r="V209" i="30"/>
  <c r="V214" i="30"/>
  <c r="V210" i="30"/>
  <c r="S194" i="30"/>
  <c r="S190" i="30"/>
  <c r="S186" i="30"/>
  <c r="S193" i="30"/>
  <c r="S189" i="30"/>
  <c r="V31" i="30"/>
  <c r="V27" i="30"/>
  <c r="V23" i="30"/>
  <c r="V30" i="30"/>
  <c r="V26" i="30"/>
  <c r="V22" i="30"/>
  <c r="W15" i="34"/>
  <c r="AE112" i="30" s="1"/>
  <c r="AF112" i="30" s="1"/>
  <c r="I14" i="34"/>
  <c r="AC100" i="30" s="1"/>
  <c r="AD100" i="30" s="1"/>
  <c r="I16" i="34"/>
  <c r="I8" i="34" s="1"/>
  <c r="I68" i="31"/>
  <c r="T68" i="31" s="1"/>
  <c r="AE673" i="30" s="1"/>
  <c r="AF673" i="30" s="1"/>
  <c r="W32" i="30"/>
  <c r="W214" i="30"/>
  <c r="W354" i="30"/>
  <c r="AC68" i="31"/>
  <c r="W60" i="30"/>
  <c r="W312" i="30"/>
  <c r="V100" i="30"/>
  <c r="V104" i="30"/>
  <c r="V97" i="30"/>
  <c r="V56" i="30"/>
  <c r="V60" i="30"/>
  <c r="V53" i="30"/>
  <c r="V57" i="30"/>
  <c r="S319" i="30"/>
  <c r="S314" i="30"/>
  <c r="S318" i="30"/>
  <c r="R268" i="30"/>
  <c r="R272" i="30"/>
  <c r="R265" i="30"/>
  <c r="R269" i="30"/>
  <c r="V354" i="30"/>
  <c r="V356" i="30"/>
  <c r="V351" i="30"/>
  <c r="V355" i="30"/>
  <c r="T110" i="30"/>
  <c r="T114" i="30"/>
  <c r="T107" i="30"/>
  <c r="V212" i="30"/>
  <c r="V211" i="30"/>
  <c r="S191" i="30"/>
  <c r="S196" i="30"/>
  <c r="V28" i="30"/>
  <c r="V25" i="30"/>
  <c r="V304" i="30"/>
  <c r="V312" i="30"/>
  <c r="V309" i="30"/>
  <c r="U183" i="30"/>
  <c r="U182" i="30"/>
  <c r="T316" i="30"/>
  <c r="T323" i="30"/>
  <c r="R350" i="30"/>
  <c r="R357" i="30"/>
  <c r="V178" i="30"/>
  <c r="T726" i="30"/>
  <c r="U271" i="30"/>
  <c r="U49" i="30"/>
  <c r="U196" i="30"/>
  <c r="U191" i="30"/>
  <c r="AB54" i="31"/>
  <c r="U262" i="30"/>
  <c r="U272" i="30"/>
  <c r="U269" i="30"/>
  <c r="U266" i="30"/>
  <c r="AC150" i="30"/>
  <c r="AD150" i="30" s="1"/>
  <c r="T35" i="34"/>
  <c r="AE150" i="30" s="1"/>
  <c r="AF150" i="30" s="1"/>
  <c r="H20" i="34"/>
  <c r="I54" i="31"/>
  <c r="AC236" i="30"/>
  <c r="AD236" i="30" s="1"/>
  <c r="T36" i="34"/>
  <c r="AE236" i="30" s="1"/>
  <c r="AF236" i="30" s="1"/>
  <c r="AC111" i="30"/>
  <c r="AD111" i="30" s="1"/>
  <c r="V52" i="34"/>
  <c r="AE310" i="30" s="1"/>
  <c r="AF310" i="30" s="1"/>
  <c r="V32" i="34"/>
  <c r="AE211" i="30" s="1"/>
  <c r="AF211" i="30" s="1"/>
  <c r="AG56" i="31"/>
  <c r="E70" i="31"/>
  <c r="P70" i="31" s="1"/>
  <c r="T729" i="30"/>
  <c r="T728" i="30"/>
  <c r="V225" i="30"/>
  <c r="L24" i="34"/>
  <c r="M24" i="34" s="1"/>
  <c r="AG54" i="31"/>
  <c r="V232" i="30"/>
  <c r="V240" i="30"/>
  <c r="V239" i="30"/>
  <c r="U112" i="30"/>
  <c r="U108" i="30"/>
  <c r="U113" i="30"/>
  <c r="U109" i="30"/>
  <c r="U105" i="30"/>
  <c r="T63" i="30"/>
  <c r="T59" i="30"/>
  <c r="T62" i="30"/>
  <c r="T58" i="30"/>
  <c r="T54" i="30"/>
  <c r="U52" i="30"/>
  <c r="U48" i="30"/>
  <c r="U51" i="30"/>
  <c r="U47" i="30"/>
  <c r="U43" i="30"/>
  <c r="U60" i="30"/>
  <c r="U56" i="30"/>
  <c r="U63" i="30"/>
  <c r="U59" i="30"/>
  <c r="T183" i="30"/>
  <c r="T182" i="30"/>
  <c r="T178" i="30"/>
  <c r="U194" i="30"/>
  <c r="U190" i="30"/>
  <c r="U186" i="30"/>
  <c r="U193" i="30"/>
  <c r="U189" i="30"/>
  <c r="U212" i="30"/>
  <c r="U208" i="30"/>
  <c r="U213" i="30"/>
  <c r="U209" i="30"/>
  <c r="V110" i="30"/>
  <c r="V114" i="30"/>
  <c r="V107" i="30"/>
  <c r="S237" i="30"/>
  <c r="S241" i="30"/>
  <c r="S234" i="30"/>
  <c r="U658" i="30"/>
  <c r="U111" i="30"/>
  <c r="U110" i="30"/>
  <c r="T56" i="30"/>
  <c r="T53" i="30"/>
  <c r="T61" i="30"/>
  <c r="U45" i="30"/>
  <c r="U42" i="30"/>
  <c r="U50" i="30"/>
  <c r="U57" i="30"/>
  <c r="U54" i="30"/>
  <c r="U62" i="30"/>
  <c r="T184" i="30"/>
  <c r="T185" i="30"/>
  <c r="U187" i="30"/>
  <c r="U195" i="30"/>
  <c r="U192" i="30"/>
  <c r="U211" i="30"/>
  <c r="U210" i="30"/>
  <c r="V235" i="30"/>
  <c r="V241" i="30"/>
  <c r="V226" i="30"/>
  <c r="V227" i="30"/>
  <c r="W37" i="34"/>
  <c r="AE250" i="30" s="1"/>
  <c r="AF250" i="30" s="1"/>
  <c r="AC250" i="30"/>
  <c r="AD250" i="30" s="1"/>
  <c r="V195" i="30"/>
  <c r="V187" i="30"/>
  <c r="V190" i="30"/>
  <c r="V191" i="30"/>
  <c r="V194" i="30"/>
  <c r="V186" i="30"/>
  <c r="V192" i="30"/>
  <c r="V189" i="30"/>
  <c r="V193" i="30"/>
  <c r="S214" i="30"/>
  <c r="S210" i="30"/>
  <c r="S211" i="30"/>
  <c r="S207" i="30"/>
  <c r="S102" i="30"/>
  <c r="S98" i="30"/>
  <c r="S103" i="30"/>
  <c r="S99" i="30"/>
  <c r="S95" i="30"/>
  <c r="S104" i="30"/>
  <c r="S97" i="30"/>
  <c r="T51" i="30"/>
  <c r="T47" i="30"/>
  <c r="T43" i="30"/>
  <c r="T50" i="30"/>
  <c r="T46" i="30"/>
  <c r="T42" i="30"/>
  <c r="T45" i="30"/>
  <c r="T48" i="30"/>
  <c r="T103" i="30"/>
  <c r="T99" i="30"/>
  <c r="T95" i="30"/>
  <c r="T102" i="30"/>
  <c r="T98" i="30"/>
  <c r="T101" i="30"/>
  <c r="T104" i="30"/>
  <c r="R121" i="30"/>
  <c r="R117" i="30"/>
  <c r="R124" i="30"/>
  <c r="R120" i="30"/>
  <c r="R123" i="30"/>
  <c r="R115" i="30"/>
  <c r="R118" i="30"/>
  <c r="AC47" i="31"/>
  <c r="T229" i="30"/>
  <c r="T225" i="30"/>
  <c r="T228" i="30"/>
  <c r="V153" i="30"/>
  <c r="V149" i="30"/>
  <c r="V150" i="30"/>
  <c r="V145" i="30"/>
  <c r="V148" i="30"/>
  <c r="V151" i="30"/>
  <c r="V146" i="30"/>
  <c r="U124" i="30"/>
  <c r="U120" i="30"/>
  <c r="U121" i="30"/>
  <c r="U117" i="30"/>
  <c r="AF47" i="31"/>
  <c r="U118" i="30"/>
  <c r="U119" i="30"/>
  <c r="S230" i="30"/>
  <c r="S226" i="30"/>
  <c r="S231" i="30"/>
  <c r="S227" i="30"/>
  <c r="S225" i="30"/>
  <c r="R239" i="30"/>
  <c r="R235" i="30"/>
  <c r="R240" i="30"/>
  <c r="R236" i="30"/>
  <c r="R232" i="30"/>
  <c r="R237" i="30"/>
  <c r="R238" i="30"/>
  <c r="AC54" i="31"/>
  <c r="T195" i="30"/>
  <c r="T191" i="30"/>
  <c r="T187" i="30"/>
  <c r="T194" i="30"/>
  <c r="T190" i="30"/>
  <c r="T186" i="30"/>
  <c r="T193" i="30"/>
  <c r="T196" i="30"/>
  <c r="T153" i="30"/>
  <c r="T149" i="30"/>
  <c r="T154" i="30"/>
  <c r="T148" i="30"/>
  <c r="T155" i="30"/>
  <c r="T152" i="30"/>
  <c r="T150" i="30"/>
  <c r="U228" i="30"/>
  <c r="U229" i="30"/>
  <c r="U225" i="30"/>
  <c r="U226" i="30"/>
  <c r="U227" i="30"/>
  <c r="AE54" i="31"/>
  <c r="T241" i="30"/>
  <c r="T237" i="30"/>
  <c r="T238" i="30"/>
  <c r="T234" i="30"/>
  <c r="T235" i="30"/>
  <c r="T236" i="30"/>
  <c r="AC249" i="30"/>
  <c r="AD249" i="30" s="1"/>
  <c r="V37" i="34"/>
  <c r="AE249" i="30" s="1"/>
  <c r="AF249" i="30" s="1"/>
  <c r="T16" i="34"/>
  <c r="AE47" i="30" s="1"/>
  <c r="AF47" i="30" s="1"/>
  <c r="AC47" i="30"/>
  <c r="AD47" i="30" s="1"/>
  <c r="G58" i="34"/>
  <c r="AC351" i="30" s="1"/>
  <c r="AD351" i="30" s="1"/>
  <c r="L37" i="34"/>
  <c r="X37" i="34" s="1"/>
  <c r="AE251" i="30" s="1"/>
  <c r="AF251" i="30" s="1"/>
  <c r="G34" i="34"/>
  <c r="S34" i="34" s="1"/>
  <c r="AE225" i="30" s="1"/>
  <c r="AF225" i="30" s="1"/>
  <c r="G24" i="34"/>
  <c r="S24" i="34" s="1"/>
  <c r="AE190" i="30" s="1"/>
  <c r="AF190" i="30" s="1"/>
  <c r="W154" i="30"/>
  <c r="E67" i="31"/>
  <c r="P67" i="31" s="1"/>
  <c r="AC320" i="30"/>
  <c r="AD320" i="30" s="1"/>
  <c r="AC321" i="30"/>
  <c r="AD321" i="30" s="1"/>
  <c r="S213" i="30"/>
  <c r="S212" i="30"/>
  <c r="T226" i="30"/>
  <c r="T227" i="30"/>
  <c r="S101" i="30"/>
  <c r="T49" i="30"/>
  <c r="T97" i="30"/>
  <c r="R122" i="30"/>
  <c r="V154" i="30"/>
  <c r="U123" i="30"/>
  <c r="S229" i="30"/>
  <c r="T192" i="30"/>
  <c r="T146" i="30"/>
  <c r="T151" i="30"/>
  <c r="U231" i="30"/>
  <c r="T240" i="30"/>
  <c r="V196" i="30"/>
  <c r="V184" i="30"/>
  <c r="V185" i="30"/>
  <c r="R153" i="30"/>
  <c r="R154" i="30"/>
  <c r="R149" i="30"/>
  <c r="R145" i="30"/>
  <c r="R148" i="30"/>
  <c r="R155" i="30"/>
  <c r="R151" i="30"/>
  <c r="R150" i="30"/>
  <c r="R152" i="30"/>
  <c r="R146" i="30"/>
  <c r="V183" i="30"/>
  <c r="V182" i="30"/>
  <c r="V249" i="30"/>
  <c r="V245" i="30"/>
  <c r="V252" i="30"/>
  <c r="V248" i="30"/>
  <c r="V251" i="30"/>
  <c r="V247" i="30"/>
  <c r="V243" i="30"/>
  <c r="V250" i="30"/>
  <c r="V246" i="30"/>
  <c r="V242" i="30"/>
  <c r="V238" i="30"/>
  <c r="V237" i="30"/>
  <c r="V35" i="34"/>
  <c r="AE152" i="30" s="1"/>
  <c r="AF152" i="30" s="1"/>
  <c r="V121" i="30"/>
  <c r="V117" i="30"/>
  <c r="V124" i="30"/>
  <c r="V120" i="30"/>
  <c r="V123" i="30"/>
  <c r="V119" i="30"/>
  <c r="V115" i="30"/>
  <c r="V122" i="30"/>
  <c r="V118" i="30"/>
  <c r="E53" i="31"/>
  <c r="P53" i="31" s="1"/>
  <c r="E56" i="31"/>
  <c r="AD67" i="31"/>
  <c r="AD70" i="31"/>
  <c r="AD69" i="31" s="1"/>
  <c r="S647" i="30"/>
  <c r="S644" i="30"/>
  <c r="AE70" i="31"/>
  <c r="AE69" i="31" s="1"/>
  <c r="AE67" i="31"/>
  <c r="U659" i="30"/>
  <c r="U655" i="30"/>
  <c r="R49" i="30"/>
  <c r="R45" i="30"/>
  <c r="R52" i="30"/>
  <c r="R48" i="30"/>
  <c r="R51" i="30"/>
  <c r="R47" i="30"/>
  <c r="R43" i="30"/>
  <c r="R50" i="30"/>
  <c r="R46" i="30"/>
  <c r="R42" i="30"/>
  <c r="D74" i="34"/>
  <c r="D73" i="34"/>
  <c r="AC32" i="34"/>
  <c r="AE32" i="34" s="1"/>
  <c r="G35" i="34"/>
  <c r="S35" i="34" s="1"/>
  <c r="AE149" i="30" s="1"/>
  <c r="AF149" i="30" s="1"/>
  <c r="G65" i="34"/>
  <c r="S65" i="34" s="1"/>
  <c r="AE26" i="30" s="1"/>
  <c r="AF26" i="30" s="1"/>
  <c r="U104" i="30"/>
  <c r="U100" i="30"/>
  <c r="U101" i="30"/>
  <c r="U97" i="30"/>
  <c r="U102" i="30"/>
  <c r="U98" i="30"/>
  <c r="U103" i="30"/>
  <c r="U99" i="30"/>
  <c r="U95" i="30"/>
  <c r="G37" i="34"/>
  <c r="AC246" i="30" s="1"/>
  <c r="AD246" i="30" s="1"/>
  <c r="G36" i="34"/>
  <c r="AC235" i="30" s="1"/>
  <c r="AD235" i="30" s="1"/>
  <c r="G52" i="34"/>
  <c r="AC307" i="30" s="1"/>
  <c r="AD307" i="30" s="1"/>
  <c r="AC212" i="30"/>
  <c r="AD212" i="30" s="1"/>
  <c r="AC310" i="30"/>
  <c r="AD310" i="30" s="1"/>
  <c r="AC211" i="30"/>
  <c r="AD211" i="30" s="1"/>
  <c r="J20" i="34"/>
  <c r="L53" i="31" s="1"/>
  <c r="V24" i="34"/>
  <c r="AE193" i="30" s="1"/>
  <c r="AF193" i="30" s="1"/>
  <c r="AC229" i="30"/>
  <c r="AD229" i="30" s="1"/>
  <c r="G57" i="34"/>
  <c r="AC266" i="30" s="1"/>
  <c r="AD266" i="30" s="1"/>
  <c r="I65" i="34"/>
  <c r="I62" i="34" s="1"/>
  <c r="T259" i="30"/>
  <c r="T258" i="30"/>
  <c r="W212" i="30"/>
  <c r="S184" i="30"/>
  <c r="S182" i="30"/>
  <c r="S180" i="30"/>
  <c r="S185" i="30"/>
  <c r="S183" i="30"/>
  <c r="S144" i="30"/>
  <c r="S140" i="30"/>
  <c r="W270" i="30"/>
  <c r="W100" i="30"/>
  <c r="V646" i="30"/>
  <c r="V647" i="30"/>
  <c r="S260" i="30"/>
  <c r="S261" i="30"/>
  <c r="S257" i="30"/>
  <c r="S255" i="30"/>
  <c r="T648" i="30"/>
  <c r="W352" i="30"/>
  <c r="W357" i="30"/>
  <c r="W114" i="30"/>
  <c r="W112" i="30"/>
  <c r="W110" i="30"/>
  <c r="W108" i="30"/>
  <c r="W113" i="30"/>
  <c r="W111" i="30"/>
  <c r="W109" i="30"/>
  <c r="W107" i="30"/>
  <c r="W105" i="30"/>
  <c r="W52" i="30"/>
  <c r="W48" i="30"/>
  <c r="W51" i="30"/>
  <c r="W47" i="30"/>
  <c r="W43" i="30"/>
  <c r="T678" i="30"/>
  <c r="T674" i="30"/>
  <c r="T672" i="30"/>
  <c r="T677" i="30"/>
  <c r="T675" i="30"/>
  <c r="T673" i="30"/>
  <c r="T671" i="30"/>
  <c r="W322" i="30"/>
  <c r="W323" i="30"/>
  <c r="W320" i="30"/>
  <c r="W318" i="30"/>
  <c r="W316" i="30"/>
  <c r="W314" i="30"/>
  <c r="W321" i="30"/>
  <c r="W319" i="30"/>
  <c r="W317" i="30"/>
  <c r="W62" i="30"/>
  <c r="W54" i="30"/>
  <c r="W57" i="30"/>
  <c r="S388" i="30"/>
  <c r="S386" i="30"/>
  <c r="S384" i="30"/>
  <c r="S382" i="30"/>
  <c r="S385" i="30"/>
  <c r="J62" i="34"/>
  <c r="M77" i="34"/>
  <c r="AC472" i="30"/>
  <c r="AD472" i="30" s="1"/>
  <c r="X77" i="34"/>
  <c r="AE472" i="30" s="1"/>
  <c r="AF472" i="30" s="1"/>
  <c r="M81" i="34"/>
  <c r="AC510" i="30"/>
  <c r="AD510" i="30" s="1"/>
  <c r="X81" i="34"/>
  <c r="AE510" i="30" s="1"/>
  <c r="AF510" i="30" s="1"/>
  <c r="X82" i="34"/>
  <c r="M86" i="34"/>
  <c r="AC548" i="30"/>
  <c r="AD548" i="30" s="1"/>
  <c r="X86" i="34"/>
  <c r="AE548" i="30" s="1"/>
  <c r="AF548" i="30" s="1"/>
  <c r="U85" i="31"/>
  <c r="U88" i="31"/>
  <c r="M22" i="34"/>
  <c r="AC176" i="30"/>
  <c r="AD176" i="30" s="1"/>
  <c r="X22" i="34"/>
  <c r="AE176" i="30" s="1"/>
  <c r="AF176" i="30" s="1"/>
  <c r="AJ61" i="31"/>
  <c r="AJ86" i="31"/>
  <c r="AJ90" i="31"/>
  <c r="AK91" i="31"/>
  <c r="AC62" i="31"/>
  <c r="AH63" i="31"/>
  <c r="AH60" i="31"/>
  <c r="AF62" i="31"/>
  <c r="M64" i="34"/>
  <c r="AC347" i="30"/>
  <c r="AD347" i="30" s="1"/>
  <c r="X64" i="34"/>
  <c r="AE347" i="30" s="1"/>
  <c r="AF347" i="30" s="1"/>
  <c r="L79" i="34"/>
  <c r="M88" i="31" s="1"/>
  <c r="L85" i="31"/>
  <c r="L88" i="31"/>
  <c r="W79" i="34"/>
  <c r="AB51" i="31"/>
  <c r="AF56" i="31"/>
  <c r="AD72" i="31"/>
  <c r="AA67" i="31"/>
  <c r="AA70" i="31"/>
  <c r="AG49" i="31"/>
  <c r="AG46" i="31"/>
  <c r="AB70" i="31"/>
  <c r="AB67" i="31"/>
  <c r="AD51" i="31"/>
  <c r="AB72" i="31"/>
  <c r="AB73" i="31"/>
  <c r="K34" i="48"/>
  <c r="AB87" i="31"/>
  <c r="AB64" i="31"/>
  <c r="AE670" i="30"/>
  <c r="AF670" i="30" s="1"/>
  <c r="P68" i="31"/>
  <c r="AB89" i="31"/>
  <c r="AA62" i="31"/>
  <c r="AD89" i="31"/>
  <c r="AD64" i="31"/>
  <c r="AD48" i="31"/>
  <c r="AE62" i="31"/>
  <c r="AA56" i="31"/>
  <c r="AE87" i="31"/>
  <c r="AE59" i="31"/>
  <c r="AE58" i="31"/>
  <c r="AD58" i="31"/>
  <c r="AD59" i="31"/>
  <c r="AD62" i="31"/>
  <c r="AD87" i="31"/>
  <c r="M87" i="34"/>
  <c r="AC492" i="30"/>
  <c r="AD492" i="30" s="1"/>
  <c r="X87" i="34"/>
  <c r="AE492" i="30" s="1"/>
  <c r="AF492" i="30" s="1"/>
  <c r="AD56" i="31"/>
  <c r="AD53" i="31"/>
  <c r="M10" i="34"/>
  <c r="AC84" i="30"/>
  <c r="AD84" i="30" s="1"/>
  <c r="X10" i="34"/>
  <c r="AE84" i="30" s="1"/>
  <c r="AF84" i="30" s="1"/>
  <c r="M50" i="34"/>
  <c r="AC293" i="30"/>
  <c r="AD293" i="30" s="1"/>
  <c r="X50" i="34"/>
  <c r="AE293" i="30" s="1"/>
  <c r="AF293" i="30" s="1"/>
  <c r="M21" i="34"/>
  <c r="AC165" i="30"/>
  <c r="AD165" i="30" s="1"/>
  <c r="X21" i="34"/>
  <c r="AE165" i="30" s="1"/>
  <c r="AF165" i="30" s="1"/>
  <c r="P77" i="31"/>
  <c r="E76" i="31"/>
  <c r="P76" i="31" s="1"/>
  <c r="R32" i="34"/>
  <c r="AE207" i="30" s="1"/>
  <c r="AF207" i="30" s="1"/>
  <c r="AC207" i="30"/>
  <c r="AD207" i="30" s="1"/>
  <c r="AC74" i="31"/>
  <c r="AC77" i="31"/>
  <c r="E32" i="34"/>
  <c r="E37" i="34"/>
  <c r="E24" i="34"/>
  <c r="E35" i="34"/>
  <c r="E36" i="34"/>
  <c r="AC245" i="30"/>
  <c r="AD245" i="30" s="1"/>
  <c r="R37" i="34"/>
  <c r="AE245" i="30" s="1"/>
  <c r="AF245" i="30" s="1"/>
  <c r="I77" i="31"/>
  <c r="T62" i="34"/>
  <c r="I74" i="31"/>
  <c r="E62" i="34"/>
  <c r="AC24" i="30"/>
  <c r="AD24" i="30" s="1"/>
  <c r="Q65" i="34"/>
  <c r="AE24" i="30" s="1"/>
  <c r="AF24" i="30" s="1"/>
  <c r="V57" i="34"/>
  <c r="AE269" i="30" s="1"/>
  <c r="AF269" i="30" s="1"/>
  <c r="J48" i="34"/>
  <c r="AC269" i="30"/>
  <c r="AD269" i="30" s="1"/>
  <c r="AC353" i="30"/>
  <c r="AD353" i="30" s="1"/>
  <c r="U58" i="34"/>
  <c r="AE353" i="30" s="1"/>
  <c r="AF353" i="30" s="1"/>
  <c r="J68" i="31"/>
  <c r="AC354" i="30"/>
  <c r="AD354" i="30" s="1"/>
  <c r="V58" i="34"/>
  <c r="AE354" i="30" s="1"/>
  <c r="AF354" i="30" s="1"/>
  <c r="K68" i="31"/>
  <c r="R52" i="34"/>
  <c r="AE306" i="30" s="1"/>
  <c r="AF306" i="30" s="1"/>
  <c r="AC306" i="30"/>
  <c r="AD306" i="30" s="1"/>
  <c r="E54" i="34"/>
  <c r="E52" i="34"/>
  <c r="E57" i="34"/>
  <c r="I67" i="31"/>
  <c r="T48" i="34"/>
  <c r="I70" i="31"/>
  <c r="AC673" i="30"/>
  <c r="AD673" i="30" s="1"/>
  <c r="U52" i="34"/>
  <c r="AE309" i="30" s="1"/>
  <c r="AF309" i="30" s="1"/>
  <c r="AC309" i="30"/>
  <c r="AD309" i="30" s="1"/>
  <c r="AC268" i="30"/>
  <c r="AD268" i="30" s="1"/>
  <c r="U57" i="34"/>
  <c r="AE268" i="30" s="1"/>
  <c r="AF268" i="30" s="1"/>
  <c r="I48" i="34"/>
  <c r="F48" i="34"/>
  <c r="AC265" i="30"/>
  <c r="AD265" i="30" s="1"/>
  <c r="R57" i="34"/>
  <c r="AE265" i="30" s="1"/>
  <c r="AF265" i="30" s="1"/>
  <c r="AC316" i="30"/>
  <c r="AD316" i="30" s="1"/>
  <c r="R54" i="34"/>
  <c r="AE316" i="30" s="1"/>
  <c r="AF316" i="30" s="1"/>
  <c r="R58" i="34"/>
  <c r="AE350" i="30" s="1"/>
  <c r="AF350" i="30" s="1"/>
  <c r="G68" i="31"/>
  <c r="AC350" i="30"/>
  <c r="AD350" i="30" s="1"/>
  <c r="AC427" i="30"/>
  <c r="AD427" i="30" s="1"/>
  <c r="T70" i="34"/>
  <c r="AE427" i="30" s="1"/>
  <c r="AF427" i="30" s="1"/>
  <c r="I74" i="34"/>
  <c r="I73" i="34"/>
  <c r="I70" i="34"/>
  <c r="I75" i="34"/>
  <c r="U12" i="34"/>
  <c r="AE59" i="30" s="1"/>
  <c r="AF59" i="30" s="1"/>
  <c r="AC59" i="30"/>
  <c r="AD59" i="30" s="1"/>
  <c r="AC49" i="30"/>
  <c r="AD49" i="30" s="1"/>
  <c r="V16" i="34"/>
  <c r="AE49" i="30" s="1"/>
  <c r="AF49" i="30" s="1"/>
  <c r="AC311" i="30"/>
  <c r="AD311" i="30" s="1"/>
  <c r="W52" i="34"/>
  <c r="AE311" i="30" s="1"/>
  <c r="AF311" i="30" s="1"/>
  <c r="L52" i="34"/>
  <c r="W53" i="34"/>
  <c r="T75" i="34"/>
  <c r="AE446" i="30" s="1"/>
  <c r="AF446" i="30" s="1"/>
  <c r="I79" i="31"/>
  <c r="AC446" i="30"/>
  <c r="AD446" i="30" s="1"/>
  <c r="AC437" i="30"/>
  <c r="AD437" i="30" s="1"/>
  <c r="T73" i="34"/>
  <c r="AE437" i="30" s="1"/>
  <c r="AF437" i="30" s="1"/>
  <c r="H67" i="34"/>
  <c r="AC394" i="30"/>
  <c r="AD394" i="30" s="1"/>
  <c r="T74" i="34"/>
  <c r="AE394" i="30" s="1"/>
  <c r="AF394" i="30" s="1"/>
  <c r="AC646" i="30"/>
  <c r="AD646" i="30" s="1"/>
  <c r="T47" i="31"/>
  <c r="AE646" i="30" s="1"/>
  <c r="AF646" i="30" s="1"/>
  <c r="I49" i="31"/>
  <c r="I46" i="31"/>
  <c r="T8" i="34"/>
  <c r="AF74" i="31"/>
  <c r="AF77" i="31"/>
  <c r="AC635" i="30"/>
  <c r="AD635" i="30" s="1"/>
  <c r="R75" i="31"/>
  <c r="AE635" i="30" s="1"/>
  <c r="AF635" i="30" s="1"/>
  <c r="AI87" i="31"/>
  <c r="M83" i="34"/>
  <c r="X83" i="34"/>
  <c r="AE521" i="30" s="1"/>
  <c r="AF521" i="30" s="1"/>
  <c r="AC521" i="30"/>
  <c r="AD521" i="30" s="1"/>
  <c r="E16" i="34"/>
  <c r="E12" i="34"/>
  <c r="AC179" i="30"/>
  <c r="AD179" i="30" s="1"/>
  <c r="S23" i="34"/>
  <c r="AE179" i="30" s="1"/>
  <c r="AF179" i="30" s="1"/>
  <c r="M41" i="34"/>
  <c r="X42" i="34"/>
  <c r="X41" i="34"/>
  <c r="AE595" i="30" s="1"/>
  <c r="AF595" i="30" s="1"/>
  <c r="AC595" i="30"/>
  <c r="AD595" i="30" s="1"/>
  <c r="M45" i="34"/>
  <c r="X45" i="34"/>
  <c r="AE577" i="30" s="1"/>
  <c r="AF577" i="30" s="1"/>
  <c r="AC577" i="30"/>
  <c r="AD577" i="30" s="1"/>
  <c r="M63" i="31"/>
  <c r="AC87" i="31"/>
  <c r="H66" i="34"/>
  <c r="S66" i="34"/>
  <c r="AE35" i="30" s="1"/>
  <c r="AF35" i="30" s="1"/>
  <c r="AC35" i="30"/>
  <c r="AD35" i="30" s="1"/>
  <c r="H75" i="31"/>
  <c r="Z31" i="34"/>
  <c r="Y31" i="34"/>
  <c r="AE205" i="30" s="1"/>
  <c r="AF205" i="30" s="1"/>
  <c r="AC205" i="30"/>
  <c r="AD205" i="30" s="1"/>
  <c r="F67" i="34"/>
  <c r="AC392" i="30"/>
  <c r="AD392" i="30" s="1"/>
  <c r="R74" i="34"/>
  <c r="AE392" i="30" s="1"/>
  <c r="AF392" i="30" s="1"/>
  <c r="N44" i="34"/>
  <c r="Z44" i="34" s="1"/>
  <c r="Y44" i="34"/>
  <c r="AE613" i="30" s="1"/>
  <c r="AF613" i="30" s="1"/>
  <c r="AC613" i="30"/>
  <c r="AD613" i="30" s="1"/>
  <c r="N88" i="34"/>
  <c r="N86" i="31"/>
  <c r="Y88" i="34"/>
  <c r="AE558" i="30" s="1"/>
  <c r="AF558" i="30" s="1"/>
  <c r="AC558" i="30"/>
  <c r="AD558" i="30" s="1"/>
  <c r="AD75" i="31"/>
  <c r="N80" i="34"/>
  <c r="Z80" i="34" s="1"/>
  <c r="Y80" i="34"/>
  <c r="AE500" i="30" s="1"/>
  <c r="AF500" i="30" s="1"/>
  <c r="AC500" i="30"/>
  <c r="AD500" i="30" s="1"/>
  <c r="M46" i="34"/>
  <c r="M61" i="31"/>
  <c r="X46" i="34"/>
  <c r="AE623" i="30" s="1"/>
  <c r="AF623" i="30" s="1"/>
  <c r="AC623" i="30"/>
  <c r="AD623" i="30" s="1"/>
  <c r="X86" i="31"/>
  <c r="AE695" i="30" s="1"/>
  <c r="AF695" i="30" s="1"/>
  <c r="AC695" i="30"/>
  <c r="AD695" i="30" s="1"/>
  <c r="M59" i="34"/>
  <c r="X59" i="34"/>
  <c r="AE367" i="30" s="1"/>
  <c r="AF367" i="30" s="1"/>
  <c r="AC367" i="30"/>
  <c r="AD367" i="30" s="1"/>
  <c r="V62" i="31"/>
  <c r="W61" i="31"/>
  <c r="AE685" i="30" s="1"/>
  <c r="AF685" i="30" s="1"/>
  <c r="AC685" i="30"/>
  <c r="AD685" i="30" s="1"/>
  <c r="M85" i="34"/>
  <c r="X85" i="34"/>
  <c r="AE538" i="30" s="1"/>
  <c r="AF538" i="30" s="1"/>
  <c r="AC538" i="30"/>
  <c r="AD538" i="30" s="1"/>
  <c r="L62" i="31"/>
  <c r="W63" i="31"/>
  <c r="G73" i="34"/>
  <c r="G75" i="34"/>
  <c r="G70" i="34"/>
  <c r="G74" i="34"/>
  <c r="G15" i="34"/>
  <c r="G14" i="34"/>
  <c r="AA48" i="31"/>
  <c r="AJ85" i="31"/>
  <c r="E74" i="34"/>
  <c r="E70" i="34"/>
  <c r="E73" i="34"/>
  <c r="AC317" i="30"/>
  <c r="AD317" i="30" s="1"/>
  <c r="S54" i="34"/>
  <c r="AE317" i="30" s="1"/>
  <c r="AF317" i="30" s="1"/>
  <c r="M32" i="34"/>
  <c r="X32" i="34"/>
  <c r="AE213" i="30" s="1"/>
  <c r="AF213" i="30" s="1"/>
  <c r="AC213" i="30"/>
  <c r="AD213" i="30" s="1"/>
  <c r="AB62" i="31"/>
  <c r="S62" i="31"/>
  <c r="Q62" i="31"/>
  <c r="AD74" i="31"/>
  <c r="AD77" i="31"/>
  <c r="R62" i="31"/>
  <c r="AB55" i="31"/>
  <c r="T62" i="31"/>
  <c r="AB74" i="31"/>
  <c r="AB77" i="31"/>
  <c r="F813" i="30" l="1"/>
  <c r="Q813" i="30" s="1"/>
  <c r="AE74" i="31"/>
  <c r="F8" i="34"/>
  <c r="R16" i="34"/>
  <c r="AE45" i="30" s="1"/>
  <c r="AF45" i="30" s="1"/>
  <c r="R14" i="34"/>
  <c r="AE97" i="30" s="1"/>
  <c r="AF97" i="30" s="1"/>
  <c r="U14" i="34"/>
  <c r="AE100" i="30" s="1"/>
  <c r="AF100" i="30" s="1"/>
  <c r="F812" i="30"/>
  <c r="Q812" i="30" s="1"/>
  <c r="F810" i="30"/>
  <c r="Q810" i="30" s="1"/>
  <c r="F807" i="30"/>
  <c r="Q807" i="30" s="1"/>
  <c r="AC656" i="30"/>
  <c r="AD656" i="30" s="1"/>
  <c r="R17" i="34"/>
  <c r="AE117" i="30" s="1"/>
  <c r="AF117" i="30" s="1"/>
  <c r="F811" i="30"/>
  <c r="Q811" i="30" s="1"/>
  <c r="E30" i="36"/>
  <c r="D30" i="36"/>
  <c r="AC117" i="30"/>
  <c r="AD117" i="30" s="1"/>
  <c r="H68" i="31"/>
  <c r="AC435" i="30"/>
  <c r="AD435" i="30" s="1"/>
  <c r="J47" i="31"/>
  <c r="I30" i="36"/>
  <c r="I32" i="36" s="1"/>
  <c r="U17" i="34"/>
  <c r="AE120" i="30" s="1"/>
  <c r="AF120" i="30" s="1"/>
  <c r="F30" i="36"/>
  <c r="F32" i="36" s="1"/>
  <c r="G29" i="36"/>
  <c r="H30" i="36"/>
  <c r="K30" i="36"/>
  <c r="K32" i="36" s="1"/>
  <c r="L29" i="36"/>
  <c r="J30" i="36"/>
  <c r="J32" i="36" s="1"/>
  <c r="AB16" i="66"/>
  <c r="K699" i="30"/>
  <c r="K698" i="30"/>
  <c r="K701" i="30"/>
  <c r="K700" i="30"/>
  <c r="K697" i="30"/>
  <c r="K704" i="30"/>
  <c r="K703" i="30"/>
  <c r="K705" i="30"/>
  <c r="K702" i="30"/>
  <c r="V702" i="30" s="1"/>
  <c r="O609" i="30"/>
  <c r="Z609" i="30" s="1"/>
  <c r="O611" i="30"/>
  <c r="O613" i="30"/>
  <c r="O612" i="30"/>
  <c r="O610" i="30"/>
  <c r="O608" i="30"/>
  <c r="I822" i="30"/>
  <c r="I820" i="30"/>
  <c r="I819" i="30"/>
  <c r="I818" i="30"/>
  <c r="I816" i="30"/>
  <c r="I815" i="30"/>
  <c r="I814" i="30"/>
  <c r="I817" i="30"/>
  <c r="I821" i="30"/>
  <c r="O276" i="30"/>
  <c r="O275" i="30"/>
  <c r="O279" i="30"/>
  <c r="O274" i="30"/>
  <c r="O277" i="30"/>
  <c r="O280" i="30"/>
  <c r="O283" i="30"/>
  <c r="O282" i="30"/>
  <c r="O278" i="30"/>
  <c r="Z278" i="30" s="1"/>
  <c r="O273" i="30"/>
  <c r="O281" i="30"/>
  <c r="H794" i="30"/>
  <c r="H795" i="30"/>
  <c r="H789" i="30"/>
  <c r="H792" i="30"/>
  <c r="H791" i="30"/>
  <c r="H790" i="30"/>
  <c r="H788" i="30"/>
  <c r="H793" i="30"/>
  <c r="H787" i="30"/>
  <c r="O621" i="30"/>
  <c r="Z621" i="30" s="1"/>
  <c r="O617" i="30"/>
  <c r="Z617" i="30" s="1"/>
  <c r="O615" i="30"/>
  <c r="O622" i="30"/>
  <c r="O618" i="30"/>
  <c r="O616" i="30"/>
  <c r="O623" i="30"/>
  <c r="O620" i="30"/>
  <c r="O624" i="30"/>
  <c r="O619" i="30"/>
  <c r="O614" i="30"/>
  <c r="K672" i="30"/>
  <c r="K674" i="30"/>
  <c r="K670" i="30"/>
  <c r="V670" i="30" s="1"/>
  <c r="K675" i="30"/>
  <c r="K671" i="30"/>
  <c r="K677" i="30"/>
  <c r="K673" i="30"/>
  <c r="K676" i="30"/>
  <c r="K678" i="30"/>
  <c r="G380" i="30"/>
  <c r="G386" i="30"/>
  <c r="G388" i="30"/>
  <c r="G382" i="30"/>
  <c r="G385" i="30"/>
  <c r="R385" i="30" s="1"/>
  <c r="G381" i="30"/>
  <c r="R381" i="30" s="1"/>
  <c r="G384" i="30"/>
  <c r="R384" i="30" s="1"/>
  <c r="G383" i="30"/>
  <c r="R383" i="30" s="1"/>
  <c r="G387" i="30"/>
  <c r="K382" i="30"/>
  <c r="V382" i="30" s="1"/>
  <c r="K388" i="30"/>
  <c r="K384" i="30"/>
  <c r="K380" i="30"/>
  <c r="K383" i="30"/>
  <c r="K386" i="30"/>
  <c r="V386" i="30" s="1"/>
  <c r="K387" i="30"/>
  <c r="V387" i="30" s="1"/>
  <c r="K385" i="30"/>
  <c r="V385" i="30" s="1"/>
  <c r="K381" i="30"/>
  <c r="V381" i="30" s="1"/>
  <c r="I786" i="30"/>
  <c r="I784" i="30"/>
  <c r="I783" i="30"/>
  <c r="I782" i="30"/>
  <c r="I785" i="30"/>
  <c r="I778" i="30"/>
  <c r="I780" i="30"/>
  <c r="I779" i="30"/>
  <c r="I781" i="30"/>
  <c r="M627" i="30"/>
  <c r="M630" i="30"/>
  <c r="X630" i="30" s="1"/>
  <c r="M626" i="30"/>
  <c r="X626" i="30" s="1"/>
  <c r="M633" i="30"/>
  <c r="M628" i="30"/>
  <c r="M631" i="30"/>
  <c r="M629" i="30"/>
  <c r="M625" i="30"/>
  <c r="M632" i="30"/>
  <c r="H832" i="30"/>
  <c r="H835" i="30"/>
  <c r="H837" i="30"/>
  <c r="S837" i="30" s="1"/>
  <c r="H833" i="30"/>
  <c r="S833" i="30" s="1"/>
  <c r="H838" i="30"/>
  <c r="S838" i="30" s="1"/>
  <c r="H834" i="30"/>
  <c r="S834" i="30" s="1"/>
  <c r="H840" i="30"/>
  <c r="H836" i="30"/>
  <c r="H839" i="30"/>
  <c r="H813" i="30"/>
  <c r="S813" i="30" s="1"/>
  <c r="H812" i="30"/>
  <c r="S812" i="30" s="1"/>
  <c r="H811" i="30"/>
  <c r="S811" i="30" s="1"/>
  <c r="H809" i="30"/>
  <c r="S809" i="30" s="1"/>
  <c r="H808" i="30"/>
  <c r="S808" i="30" s="1"/>
  <c r="H807" i="30"/>
  <c r="S807" i="30" s="1"/>
  <c r="H806" i="30"/>
  <c r="S806" i="30" s="1"/>
  <c r="H805" i="30"/>
  <c r="S805" i="30" s="1"/>
  <c r="H810" i="30"/>
  <c r="S810" i="30" s="1"/>
  <c r="O217" i="30"/>
  <c r="Z217" i="30" s="1"/>
  <c r="O218" i="30"/>
  <c r="Z218" i="30" s="1"/>
  <c r="O223" i="30"/>
  <c r="Z223" i="30" s="1"/>
  <c r="O220" i="30"/>
  <c r="Z220" i="30" s="1"/>
  <c r="O219" i="30"/>
  <c r="Z219" i="30" s="1"/>
  <c r="O221" i="30"/>
  <c r="Z221" i="30" s="1"/>
  <c r="O216" i="30"/>
  <c r="Z216" i="30" s="1"/>
  <c r="O215" i="30"/>
  <c r="Z215" i="30" s="1"/>
  <c r="O222" i="30"/>
  <c r="Z222" i="30" s="1"/>
  <c r="N55" i="34"/>
  <c r="Z55" i="34" s="1"/>
  <c r="AC331" i="30"/>
  <c r="AD331" i="30" s="1"/>
  <c r="I41" i="30"/>
  <c r="T41" i="30" s="1"/>
  <c r="I39" i="30"/>
  <c r="I37" i="30"/>
  <c r="I34" i="30"/>
  <c r="I36" i="30"/>
  <c r="I33" i="30"/>
  <c r="I38" i="30"/>
  <c r="I40" i="30"/>
  <c r="I35" i="30"/>
  <c r="O605" i="30"/>
  <c r="O601" i="30"/>
  <c r="O604" i="30"/>
  <c r="Z604" i="30" s="1"/>
  <c r="O599" i="30"/>
  <c r="O600" i="30"/>
  <c r="O606" i="30"/>
  <c r="O602" i="30"/>
  <c r="O607" i="30"/>
  <c r="O597" i="30"/>
  <c r="O603" i="30"/>
  <c r="O598" i="30"/>
  <c r="H705" i="30"/>
  <c r="H699" i="30"/>
  <c r="H702" i="30"/>
  <c r="H701" i="30"/>
  <c r="S701" i="30" s="1"/>
  <c r="H704" i="30"/>
  <c r="S704" i="30" s="1"/>
  <c r="H703" i="30"/>
  <c r="H697" i="30"/>
  <c r="H700" i="30"/>
  <c r="H698" i="30"/>
  <c r="M357" i="30"/>
  <c r="M354" i="30"/>
  <c r="M352" i="30"/>
  <c r="M353" i="30"/>
  <c r="M349" i="30"/>
  <c r="M351" i="30"/>
  <c r="M350" i="30"/>
  <c r="X350" i="30" s="1"/>
  <c r="M355" i="30"/>
  <c r="X355" i="30" s="1"/>
  <c r="M356" i="30"/>
  <c r="F699" i="30"/>
  <c r="Q699" i="30" s="1"/>
  <c r="F698" i="30"/>
  <c r="Q698" i="30" s="1"/>
  <c r="F705" i="30"/>
  <c r="Q705" i="30" s="1"/>
  <c r="F703" i="30"/>
  <c r="Q703" i="30" s="1"/>
  <c r="F700" i="30"/>
  <c r="Q700" i="30" s="1"/>
  <c r="F702" i="30"/>
  <c r="Q702" i="30" s="1"/>
  <c r="F704" i="30"/>
  <c r="Q704" i="30" s="1"/>
  <c r="F697" i="30"/>
  <c r="Q697" i="30" s="1"/>
  <c r="F701" i="30"/>
  <c r="Q701" i="30" s="1"/>
  <c r="N679" i="30"/>
  <c r="Y679" i="30" s="1"/>
  <c r="N684" i="30"/>
  <c r="Y684" i="30" s="1"/>
  <c r="N685" i="30"/>
  <c r="N680" i="30"/>
  <c r="N687" i="30"/>
  <c r="N681" i="30"/>
  <c r="N683" i="30"/>
  <c r="N686" i="30"/>
  <c r="N682" i="30"/>
  <c r="I804" i="30"/>
  <c r="I801" i="30"/>
  <c r="I797" i="30"/>
  <c r="I803" i="30"/>
  <c r="T803" i="30" s="1"/>
  <c r="I802" i="30"/>
  <c r="T802" i="30" s="1"/>
  <c r="I796" i="30"/>
  <c r="I799" i="30"/>
  <c r="I798" i="30"/>
  <c r="I800" i="30"/>
  <c r="J676" i="30"/>
  <c r="J677" i="30"/>
  <c r="J672" i="30"/>
  <c r="J673" i="30"/>
  <c r="J675" i="30"/>
  <c r="U675" i="30" s="1"/>
  <c r="J674" i="30"/>
  <c r="U674" i="30" s="1"/>
  <c r="J678" i="30"/>
  <c r="U678" i="30" s="1"/>
  <c r="J670" i="30"/>
  <c r="U670" i="30" s="1"/>
  <c r="J671" i="30"/>
  <c r="H653" i="30"/>
  <c r="H658" i="30"/>
  <c r="H659" i="30"/>
  <c r="H654" i="30"/>
  <c r="H660" i="30"/>
  <c r="H656" i="30"/>
  <c r="H652" i="30"/>
  <c r="H655" i="30"/>
  <c r="S655" i="30" s="1"/>
  <c r="H657" i="30"/>
  <c r="S657" i="30" s="1"/>
  <c r="N205" i="30"/>
  <c r="Y205" i="30" s="1"/>
  <c r="N204" i="30"/>
  <c r="Y204" i="30" s="1"/>
  <c r="N203" i="30"/>
  <c r="Y203" i="30" s="1"/>
  <c r="N201" i="30"/>
  <c r="Y201" i="30" s="1"/>
  <c r="N200" i="30"/>
  <c r="Y200" i="30" s="1"/>
  <c r="N202" i="30"/>
  <c r="Y202" i="30" s="1"/>
  <c r="N197" i="30"/>
  <c r="Y197" i="30" s="1"/>
  <c r="N198" i="30"/>
  <c r="Y198" i="30" s="1"/>
  <c r="N199" i="30"/>
  <c r="Y199" i="30" s="1"/>
  <c r="H678" i="30"/>
  <c r="S678" i="30" s="1"/>
  <c r="H674" i="30"/>
  <c r="S674" i="30" s="1"/>
  <c r="H675" i="30"/>
  <c r="S675" i="30" s="1"/>
  <c r="H670" i="30"/>
  <c r="S670" i="30" s="1"/>
  <c r="H677" i="30"/>
  <c r="S677" i="30" s="1"/>
  <c r="H672" i="30"/>
  <c r="S672" i="30" s="1"/>
  <c r="H676" i="30"/>
  <c r="S676" i="30" s="1"/>
  <c r="H671" i="30"/>
  <c r="S671" i="30" s="1"/>
  <c r="H673" i="30"/>
  <c r="S673" i="30" s="1"/>
  <c r="K731" i="30"/>
  <c r="K730" i="30"/>
  <c r="K727" i="30"/>
  <c r="K726" i="30"/>
  <c r="K729" i="30"/>
  <c r="K725" i="30"/>
  <c r="V725" i="30" s="1"/>
  <c r="K724" i="30"/>
  <c r="K732" i="30"/>
  <c r="K728" i="30"/>
  <c r="M111" i="30"/>
  <c r="M108" i="30"/>
  <c r="M113" i="30"/>
  <c r="M114" i="30"/>
  <c r="M110" i="30"/>
  <c r="M109" i="30"/>
  <c r="M106" i="30"/>
  <c r="M112" i="30"/>
  <c r="M107" i="30"/>
  <c r="X107" i="30" s="1"/>
  <c r="M105" i="30"/>
  <c r="X105" i="30" s="1"/>
  <c r="AK90" i="31"/>
  <c r="O553" i="30"/>
  <c r="O556" i="30"/>
  <c r="O551" i="30"/>
  <c r="O558" i="30"/>
  <c r="O554" i="30"/>
  <c r="O552" i="30"/>
  <c r="O557" i="30"/>
  <c r="O555" i="30"/>
  <c r="O550" i="30"/>
  <c r="M53" i="30"/>
  <c r="X53" i="30" s="1"/>
  <c r="M60" i="30"/>
  <c r="X60" i="30" s="1"/>
  <c r="M58" i="30"/>
  <c r="M56" i="30"/>
  <c r="M55" i="30"/>
  <c r="M62" i="30"/>
  <c r="M59" i="30"/>
  <c r="M54" i="30"/>
  <c r="M61" i="30"/>
  <c r="M63" i="30"/>
  <c r="M57" i="30"/>
  <c r="I658" i="30"/>
  <c r="I653" i="30"/>
  <c r="T653" i="30" s="1"/>
  <c r="I660" i="30"/>
  <c r="T660" i="30" s="1"/>
  <c r="I655" i="30"/>
  <c r="I654" i="30"/>
  <c r="I656" i="30"/>
  <c r="I652" i="30"/>
  <c r="I657" i="30"/>
  <c r="I659" i="30"/>
  <c r="AC251" i="30"/>
  <c r="AD251" i="30" s="1"/>
  <c r="R12" i="34"/>
  <c r="AE56" i="30" s="1"/>
  <c r="AF56" i="30" s="1"/>
  <c r="O505" i="30"/>
  <c r="Z505" i="30" s="1"/>
  <c r="O508" i="30"/>
  <c r="O503" i="30"/>
  <c r="Z503" i="30" s="1"/>
  <c r="O509" i="30"/>
  <c r="Z509" i="30" s="1"/>
  <c r="O504" i="30"/>
  <c r="O511" i="30"/>
  <c r="O501" i="30"/>
  <c r="O510" i="30"/>
  <c r="O507" i="30"/>
  <c r="O502" i="30"/>
  <c r="O506" i="30"/>
  <c r="H710" i="30"/>
  <c r="H709" i="30"/>
  <c r="H712" i="30"/>
  <c r="H706" i="30"/>
  <c r="H708" i="30"/>
  <c r="S708" i="30" s="1"/>
  <c r="H711" i="30"/>
  <c r="H707" i="30"/>
  <c r="H713" i="30"/>
  <c r="H714" i="30"/>
  <c r="AC70" i="31"/>
  <c r="M322" i="30"/>
  <c r="M320" i="30"/>
  <c r="M323" i="30"/>
  <c r="M316" i="30"/>
  <c r="M314" i="30"/>
  <c r="M321" i="30"/>
  <c r="X321" i="30" s="1"/>
  <c r="M317" i="30"/>
  <c r="X317" i="30" s="1"/>
  <c r="M315" i="30"/>
  <c r="M318" i="30"/>
  <c r="M319" i="30"/>
  <c r="O585" i="30"/>
  <c r="O583" i="30"/>
  <c r="O584" i="30"/>
  <c r="O579" i="30"/>
  <c r="O580" i="30"/>
  <c r="O582" i="30"/>
  <c r="O581" i="30"/>
  <c r="O852" i="30"/>
  <c r="Z852" i="30" s="1"/>
  <c r="O858" i="30"/>
  <c r="Z858" i="30" s="1"/>
  <c r="O854" i="30"/>
  <c r="O850" i="30"/>
  <c r="O855" i="30"/>
  <c r="O851" i="30"/>
  <c r="O857" i="30"/>
  <c r="O853" i="30"/>
  <c r="O856" i="30"/>
  <c r="O68" i="30"/>
  <c r="O67" i="30"/>
  <c r="O64" i="30"/>
  <c r="Z64" i="30" s="1"/>
  <c r="O70" i="30"/>
  <c r="Z70" i="30" s="1"/>
  <c r="O69" i="30"/>
  <c r="Z69" i="30" s="1"/>
  <c r="O73" i="30"/>
  <c r="O72" i="30"/>
  <c r="O71" i="30"/>
  <c r="O66" i="30"/>
  <c r="O65" i="30"/>
  <c r="O74" i="30"/>
  <c r="O340" i="30"/>
  <c r="O348" i="30"/>
  <c r="O347" i="30"/>
  <c r="O341" i="30"/>
  <c r="O346" i="30"/>
  <c r="Z346" i="30" s="1"/>
  <c r="O344" i="30"/>
  <c r="Z344" i="30" s="1"/>
  <c r="O342" i="30"/>
  <c r="O345" i="30"/>
  <c r="O343" i="30"/>
  <c r="G257" i="30"/>
  <c r="G254" i="30"/>
  <c r="G253" i="30"/>
  <c r="G260" i="30"/>
  <c r="G259" i="30"/>
  <c r="G261" i="30"/>
  <c r="G256" i="30"/>
  <c r="G258" i="30"/>
  <c r="R258" i="30" s="1"/>
  <c r="G255" i="30"/>
  <c r="R255" i="30" s="1"/>
  <c r="J649" i="30"/>
  <c r="J644" i="30"/>
  <c r="J651" i="30"/>
  <c r="J645" i="30"/>
  <c r="J647" i="30"/>
  <c r="J646" i="30"/>
  <c r="J643" i="30"/>
  <c r="J648" i="30"/>
  <c r="J650" i="30"/>
  <c r="G644" i="30"/>
  <c r="R644" i="30" s="1"/>
  <c r="G646" i="30"/>
  <c r="R646" i="30" s="1"/>
  <c r="G651" i="30"/>
  <c r="R651" i="30" s="1"/>
  <c r="G647" i="30"/>
  <c r="G643" i="30"/>
  <c r="G649" i="30"/>
  <c r="G645" i="30"/>
  <c r="G648" i="30"/>
  <c r="G650" i="30"/>
  <c r="I138" i="30"/>
  <c r="I137" i="30"/>
  <c r="I140" i="30"/>
  <c r="I143" i="30"/>
  <c r="I144" i="30"/>
  <c r="T144" i="30" s="1"/>
  <c r="I139" i="30"/>
  <c r="T139" i="30" s="1"/>
  <c r="I136" i="30"/>
  <c r="I141" i="30"/>
  <c r="I142" i="30"/>
  <c r="J385" i="30"/>
  <c r="J384" i="30"/>
  <c r="J381" i="30"/>
  <c r="J386" i="30"/>
  <c r="J388" i="30"/>
  <c r="J380" i="30"/>
  <c r="J383" i="30"/>
  <c r="U383" i="30" s="1"/>
  <c r="J387" i="30"/>
  <c r="U387" i="30" s="1"/>
  <c r="J382" i="30"/>
  <c r="U382" i="30" s="1"/>
  <c r="J257" i="30"/>
  <c r="J256" i="30"/>
  <c r="J258" i="30"/>
  <c r="U258" i="30" s="1"/>
  <c r="J253" i="30"/>
  <c r="J259" i="30"/>
  <c r="J254" i="30"/>
  <c r="J255" i="30"/>
  <c r="J261" i="30"/>
  <c r="J260" i="30"/>
  <c r="U260" i="30" s="1"/>
  <c r="J794" i="30"/>
  <c r="J793" i="30"/>
  <c r="U793" i="30" s="1"/>
  <c r="J791" i="30"/>
  <c r="U791" i="30" s="1"/>
  <c r="J788" i="30"/>
  <c r="J790" i="30"/>
  <c r="J789" i="30"/>
  <c r="J795" i="30"/>
  <c r="J792" i="30"/>
  <c r="J787" i="30"/>
  <c r="G793" i="30"/>
  <c r="G792" i="30"/>
  <c r="G790" i="30"/>
  <c r="G787" i="30"/>
  <c r="G791" i="30"/>
  <c r="R791" i="30" s="1"/>
  <c r="G789" i="30"/>
  <c r="R789" i="30" s="1"/>
  <c r="G788" i="30"/>
  <c r="G794" i="30"/>
  <c r="G795" i="30"/>
  <c r="L844" i="30"/>
  <c r="L847" i="30"/>
  <c r="L842" i="30"/>
  <c r="L843" i="30"/>
  <c r="L849" i="30"/>
  <c r="L846" i="30"/>
  <c r="L848" i="30"/>
  <c r="L845" i="30"/>
  <c r="W845" i="30" s="1"/>
  <c r="L841" i="30"/>
  <c r="J798" i="30"/>
  <c r="J797" i="30"/>
  <c r="J799" i="30"/>
  <c r="J803" i="30"/>
  <c r="J800" i="30"/>
  <c r="J804" i="30"/>
  <c r="J802" i="30"/>
  <c r="J801" i="30"/>
  <c r="J796" i="30"/>
  <c r="G799" i="30"/>
  <c r="G804" i="30"/>
  <c r="R804" i="30" s="1"/>
  <c r="G802" i="30"/>
  <c r="R802" i="30" s="1"/>
  <c r="G801" i="30"/>
  <c r="G800" i="30"/>
  <c r="G803" i="30"/>
  <c r="G797" i="30"/>
  <c r="G796" i="30"/>
  <c r="G798" i="30"/>
  <c r="F809" i="30"/>
  <c r="Q809" i="30" s="1"/>
  <c r="F808" i="30"/>
  <c r="Q808" i="30" s="1"/>
  <c r="G639" i="30"/>
  <c r="R639" i="30" s="1"/>
  <c r="G641" i="30"/>
  <c r="R641" i="30" s="1"/>
  <c r="G640" i="30"/>
  <c r="R640" i="30" s="1"/>
  <c r="G635" i="30"/>
  <c r="R635" i="30" s="1"/>
  <c r="G642" i="30"/>
  <c r="R642" i="30" s="1"/>
  <c r="G636" i="30"/>
  <c r="R636" i="30" s="1"/>
  <c r="G638" i="30"/>
  <c r="R638" i="30" s="1"/>
  <c r="G637" i="30"/>
  <c r="R637" i="30" s="1"/>
  <c r="G634" i="30"/>
  <c r="R634" i="30" s="1"/>
  <c r="I839" i="30"/>
  <c r="T839" i="30" s="1"/>
  <c r="I835" i="30"/>
  <c r="T835" i="30" s="1"/>
  <c r="I838" i="30"/>
  <c r="T838" i="30" s="1"/>
  <c r="I840" i="30"/>
  <c r="T840" i="30" s="1"/>
  <c r="I836" i="30"/>
  <c r="T836" i="30" s="1"/>
  <c r="I833" i="30"/>
  <c r="T833" i="30" s="1"/>
  <c r="I834" i="30"/>
  <c r="T834" i="30" s="1"/>
  <c r="I832" i="30"/>
  <c r="I837" i="30"/>
  <c r="T837" i="30" s="1"/>
  <c r="H817" i="30"/>
  <c r="H816" i="30"/>
  <c r="H815" i="30"/>
  <c r="H821" i="30"/>
  <c r="H822" i="30"/>
  <c r="H820" i="30"/>
  <c r="H818" i="30"/>
  <c r="H819" i="30"/>
  <c r="H814" i="30"/>
  <c r="H800" i="30"/>
  <c r="S800" i="30" s="1"/>
  <c r="H799" i="30"/>
  <c r="H797" i="30"/>
  <c r="H796" i="30"/>
  <c r="H801" i="30"/>
  <c r="H798" i="30"/>
  <c r="H804" i="30"/>
  <c r="H803" i="30"/>
  <c r="H802" i="30"/>
  <c r="O86" i="30"/>
  <c r="O93" i="30"/>
  <c r="O90" i="30"/>
  <c r="Z90" i="30" s="1"/>
  <c r="O92" i="30"/>
  <c r="Z92" i="30" s="1"/>
  <c r="O91" i="30"/>
  <c r="O89" i="30"/>
  <c r="O94" i="30"/>
  <c r="O87" i="30"/>
  <c r="O88" i="30"/>
  <c r="N693" i="30"/>
  <c r="N688" i="30"/>
  <c r="N690" i="30"/>
  <c r="N689" i="30"/>
  <c r="N696" i="30"/>
  <c r="Y696" i="30" s="1"/>
  <c r="N695" i="30"/>
  <c r="Y695" i="30" s="1"/>
  <c r="N691" i="30"/>
  <c r="Y691" i="30" s="1"/>
  <c r="N692" i="30"/>
  <c r="N694" i="30"/>
  <c r="B15" i="31"/>
  <c r="AC79" i="31" s="1"/>
  <c r="G140" i="30"/>
  <c r="G139" i="30"/>
  <c r="G137" i="30"/>
  <c r="G136" i="30"/>
  <c r="G142" i="30"/>
  <c r="G144" i="30"/>
  <c r="G143" i="30"/>
  <c r="G138" i="30"/>
  <c r="R138" i="30" s="1"/>
  <c r="G141" i="30"/>
  <c r="R141" i="30" s="1"/>
  <c r="K656" i="30"/>
  <c r="K658" i="30"/>
  <c r="K652" i="30"/>
  <c r="K654" i="30"/>
  <c r="K653" i="30"/>
  <c r="K659" i="30"/>
  <c r="K660" i="30"/>
  <c r="K655" i="30"/>
  <c r="V655" i="30" s="1"/>
  <c r="K657" i="30"/>
  <c r="K136" i="30"/>
  <c r="V136" i="30" s="1"/>
  <c r="K144" i="30"/>
  <c r="V144" i="30" s="1"/>
  <c r="K143" i="30"/>
  <c r="V143" i="30" s="1"/>
  <c r="K138" i="30"/>
  <c r="K142" i="30"/>
  <c r="K137" i="30"/>
  <c r="K139" i="30"/>
  <c r="K141" i="30"/>
  <c r="V141" i="30" s="1"/>
  <c r="K140" i="30"/>
  <c r="S52" i="34"/>
  <c r="AE307" i="30" s="1"/>
  <c r="AF307" i="30" s="1"/>
  <c r="H637" i="30"/>
  <c r="H642" i="30"/>
  <c r="S642" i="30" s="1"/>
  <c r="H638" i="30"/>
  <c r="H639" i="30"/>
  <c r="S639" i="30" s="1"/>
  <c r="H641" i="30"/>
  <c r="S641" i="30" s="1"/>
  <c r="H636" i="30"/>
  <c r="H640" i="30"/>
  <c r="H634" i="30"/>
  <c r="H635" i="30"/>
  <c r="R70" i="34"/>
  <c r="AE425" i="30" s="1"/>
  <c r="AF425" i="30" s="1"/>
  <c r="O452" i="30"/>
  <c r="O462" i="30"/>
  <c r="O461" i="30"/>
  <c r="O459" i="30"/>
  <c r="Z459" i="30" s="1"/>
  <c r="O458" i="30"/>
  <c r="Z458" i="30" s="1"/>
  <c r="O460" i="30"/>
  <c r="Z460" i="30" s="1"/>
  <c r="O455" i="30"/>
  <c r="Z455" i="30" s="1"/>
  <c r="O454" i="30"/>
  <c r="O457" i="30"/>
  <c r="O453" i="30"/>
  <c r="O456" i="30"/>
  <c r="I713" i="30"/>
  <c r="I712" i="30"/>
  <c r="I706" i="30"/>
  <c r="I709" i="30"/>
  <c r="I708" i="30"/>
  <c r="I711" i="30"/>
  <c r="I710" i="30"/>
  <c r="T710" i="30" s="1"/>
  <c r="I714" i="30"/>
  <c r="T714" i="30" s="1"/>
  <c r="I707" i="30"/>
  <c r="M48" i="30"/>
  <c r="M49" i="30"/>
  <c r="M50" i="30"/>
  <c r="M45" i="30"/>
  <c r="M47" i="30"/>
  <c r="M46" i="30"/>
  <c r="M52" i="30"/>
  <c r="M43" i="30"/>
  <c r="M51" i="30"/>
  <c r="X51" i="30" s="1"/>
  <c r="M42" i="30"/>
  <c r="X42" i="30" s="1"/>
  <c r="M44" i="30"/>
  <c r="M267" i="30"/>
  <c r="M262" i="30"/>
  <c r="M263" i="30"/>
  <c r="M268" i="30"/>
  <c r="M270" i="30"/>
  <c r="M269" i="30"/>
  <c r="M264" i="30"/>
  <c r="M272" i="30"/>
  <c r="M271" i="30"/>
  <c r="M266" i="30"/>
  <c r="M265" i="30"/>
  <c r="X265" i="30" s="1"/>
  <c r="H726" i="30"/>
  <c r="S726" i="30" s="1"/>
  <c r="H725" i="30"/>
  <c r="H728" i="30"/>
  <c r="H724" i="30"/>
  <c r="H727" i="30"/>
  <c r="H729" i="30"/>
  <c r="H730" i="30"/>
  <c r="H732" i="30"/>
  <c r="H731" i="30"/>
  <c r="O324" i="30"/>
  <c r="O331" i="30"/>
  <c r="Z331" i="30" s="1"/>
  <c r="O328" i="30"/>
  <c r="Z328" i="30" s="1"/>
  <c r="O330" i="30"/>
  <c r="Z330" i="30" s="1"/>
  <c r="O325" i="30"/>
  <c r="O326" i="30"/>
  <c r="O327" i="30"/>
  <c r="O329" i="30"/>
  <c r="O132" i="30"/>
  <c r="O131" i="30"/>
  <c r="O125" i="30"/>
  <c r="O129" i="30"/>
  <c r="O127" i="30"/>
  <c r="Z127" i="30" s="1"/>
  <c r="O128" i="30"/>
  <c r="Z128" i="30" s="1"/>
  <c r="O134" i="30"/>
  <c r="Z134" i="30" s="1"/>
  <c r="O126" i="30"/>
  <c r="Z126" i="30" s="1"/>
  <c r="O130" i="30"/>
  <c r="O133" i="30"/>
  <c r="O135" i="30"/>
  <c r="N748" i="30"/>
  <c r="N747" i="30"/>
  <c r="N750" i="30"/>
  <c r="N744" i="30"/>
  <c r="N743" i="30"/>
  <c r="N746" i="30"/>
  <c r="N745" i="30"/>
  <c r="Y745" i="30" s="1"/>
  <c r="N749" i="30"/>
  <c r="Y749" i="30" s="1"/>
  <c r="N742" i="30"/>
  <c r="Y742" i="30" s="1"/>
  <c r="O500" i="30"/>
  <c r="O495" i="30"/>
  <c r="O494" i="30"/>
  <c r="O496" i="30"/>
  <c r="O497" i="30"/>
  <c r="O499" i="30"/>
  <c r="O498" i="30"/>
  <c r="G660" i="30"/>
  <c r="G655" i="30"/>
  <c r="G656" i="30"/>
  <c r="R656" i="30" s="1"/>
  <c r="G658" i="30"/>
  <c r="R658" i="30" s="1"/>
  <c r="G652" i="30"/>
  <c r="G654" i="30"/>
  <c r="G653" i="30"/>
  <c r="G659" i="30"/>
  <c r="G657" i="30"/>
  <c r="K253" i="30"/>
  <c r="K260" i="30"/>
  <c r="K259" i="30"/>
  <c r="K254" i="30"/>
  <c r="V254" i="30" s="1"/>
  <c r="K261" i="30"/>
  <c r="K256" i="30"/>
  <c r="K255" i="30"/>
  <c r="V255" i="30" s="1"/>
  <c r="K257" i="30"/>
  <c r="V257" i="30" s="1"/>
  <c r="K258" i="30"/>
  <c r="AF52" i="31"/>
  <c r="J144" i="30"/>
  <c r="U144" i="30" s="1"/>
  <c r="J140" i="30"/>
  <c r="J143" i="30"/>
  <c r="J138" i="30"/>
  <c r="J141" i="30"/>
  <c r="J139" i="30"/>
  <c r="J137" i="30"/>
  <c r="U137" i="30" s="1"/>
  <c r="J136" i="30"/>
  <c r="J142" i="30"/>
  <c r="U142" i="30" s="1"/>
  <c r="G676" i="30"/>
  <c r="R676" i="30" s="1"/>
  <c r="G671" i="30"/>
  <c r="G678" i="30"/>
  <c r="R678" i="30" s="1"/>
  <c r="G672" i="30"/>
  <c r="G674" i="30"/>
  <c r="G670" i="30"/>
  <c r="G673" i="30"/>
  <c r="G677" i="30"/>
  <c r="G675" i="30"/>
  <c r="L738" i="30"/>
  <c r="L737" i="30"/>
  <c r="W737" i="30" s="1"/>
  <c r="L740" i="30"/>
  <c r="W740" i="30" s="1"/>
  <c r="L734" i="30"/>
  <c r="W734" i="30" s="1"/>
  <c r="L733" i="30"/>
  <c r="L736" i="30"/>
  <c r="L739" i="30"/>
  <c r="L735" i="30"/>
  <c r="L741" i="30"/>
  <c r="F805" i="30"/>
  <c r="Q805" i="30" s="1"/>
  <c r="N33" i="34"/>
  <c r="Z33" i="34" s="1"/>
  <c r="AC223" i="30"/>
  <c r="AD223" i="30" s="1"/>
  <c r="Y33" i="34"/>
  <c r="AE223" i="30" s="1"/>
  <c r="AF223" i="30" s="1"/>
  <c r="T786" i="30"/>
  <c r="T784" i="30"/>
  <c r="F833" i="30"/>
  <c r="Q833" i="30" s="1"/>
  <c r="F835" i="30"/>
  <c r="Q835" i="30" s="1"/>
  <c r="F837" i="30"/>
  <c r="Q837" i="30" s="1"/>
  <c r="F839" i="30"/>
  <c r="Q839" i="30" s="1"/>
  <c r="F832" i="30"/>
  <c r="Q832" i="30" s="1"/>
  <c r="F834" i="30"/>
  <c r="Q834" i="30" s="1"/>
  <c r="F836" i="30"/>
  <c r="Q836" i="30" s="1"/>
  <c r="F838" i="30"/>
  <c r="Q838" i="30" s="1"/>
  <c r="F840" i="30"/>
  <c r="Q840" i="30" s="1"/>
  <c r="S840" i="30"/>
  <c r="S836" i="30"/>
  <c r="S839" i="30"/>
  <c r="S835" i="30"/>
  <c r="U672" i="30"/>
  <c r="U677" i="30"/>
  <c r="U671" i="30"/>
  <c r="U673" i="30"/>
  <c r="F798" i="30"/>
  <c r="Q798" i="30" s="1"/>
  <c r="F800" i="30"/>
  <c r="Q800" i="30" s="1"/>
  <c r="F802" i="30"/>
  <c r="Q802" i="30" s="1"/>
  <c r="F804" i="30"/>
  <c r="Q804" i="30" s="1"/>
  <c r="F797" i="30"/>
  <c r="Q797" i="30" s="1"/>
  <c r="F799" i="30"/>
  <c r="Q799" i="30" s="1"/>
  <c r="F801" i="30"/>
  <c r="Q801" i="30" s="1"/>
  <c r="F803" i="30"/>
  <c r="Q803" i="30" s="1"/>
  <c r="F796" i="30"/>
  <c r="Q796" i="30" s="1"/>
  <c r="F789" i="30"/>
  <c r="Q789" i="30" s="1"/>
  <c r="F791" i="30"/>
  <c r="Q791" i="30" s="1"/>
  <c r="F793" i="30"/>
  <c r="Q793" i="30" s="1"/>
  <c r="F795" i="30"/>
  <c r="Q795" i="30" s="1"/>
  <c r="F788" i="30"/>
  <c r="Q788" i="30" s="1"/>
  <c r="F790" i="30"/>
  <c r="Q790" i="30" s="1"/>
  <c r="F792" i="30"/>
  <c r="Q792" i="30" s="1"/>
  <c r="F794" i="30"/>
  <c r="Q794" i="30" s="1"/>
  <c r="F787" i="30"/>
  <c r="Q787" i="30" s="1"/>
  <c r="T656" i="30"/>
  <c r="S658" i="30"/>
  <c r="U647" i="30"/>
  <c r="R647" i="30"/>
  <c r="R645" i="30"/>
  <c r="R650" i="30"/>
  <c r="R648" i="30"/>
  <c r="F729" i="30"/>
  <c r="Q729" i="30" s="1"/>
  <c r="F730" i="30"/>
  <c r="Q730" i="30" s="1"/>
  <c r="F732" i="30"/>
  <c r="Q732" i="30" s="1"/>
  <c r="F726" i="30"/>
  <c r="Q726" i="30" s="1"/>
  <c r="F731" i="30"/>
  <c r="Q731" i="30" s="1"/>
  <c r="F724" i="30"/>
  <c r="Q724" i="30" s="1"/>
  <c r="F727" i="30"/>
  <c r="Q727" i="30" s="1"/>
  <c r="F728" i="30"/>
  <c r="Q728" i="30" s="1"/>
  <c r="F725" i="30"/>
  <c r="Q725" i="30" s="1"/>
  <c r="T782" i="30"/>
  <c r="U676" i="30"/>
  <c r="T779" i="30"/>
  <c r="T783" i="30"/>
  <c r="L35" i="34"/>
  <c r="M35" i="34" s="1"/>
  <c r="AC184" i="30"/>
  <c r="AD184" i="30" s="1"/>
  <c r="AC153" i="30"/>
  <c r="AD153" i="30" s="1"/>
  <c r="S660" i="30"/>
  <c r="S32" i="34"/>
  <c r="AE208" i="30" s="1"/>
  <c r="AF208" i="30" s="1"/>
  <c r="S653" i="30"/>
  <c r="J56" i="31"/>
  <c r="J55" i="31" s="1"/>
  <c r="S652" i="30"/>
  <c r="S659" i="30"/>
  <c r="S654" i="30"/>
  <c r="S656" i="30"/>
  <c r="AC194" i="30"/>
  <c r="AD194" i="30" s="1"/>
  <c r="F657" i="30"/>
  <c r="Q657" i="30" s="1"/>
  <c r="F653" i="30"/>
  <c r="Q653" i="30" s="1"/>
  <c r="F658" i="30"/>
  <c r="Q658" i="30" s="1"/>
  <c r="F659" i="30"/>
  <c r="Q659" i="30" s="1"/>
  <c r="F660" i="30"/>
  <c r="Q660" i="30" s="1"/>
  <c r="F652" i="30"/>
  <c r="Q652" i="30" s="1"/>
  <c r="F654" i="30"/>
  <c r="Q654" i="30" s="1"/>
  <c r="F655" i="30"/>
  <c r="Q655" i="30" s="1"/>
  <c r="F656" i="30"/>
  <c r="Q656" i="30" s="1"/>
  <c r="F765" i="30"/>
  <c r="Q765" i="30" s="1"/>
  <c r="F768" i="30"/>
  <c r="Q768" i="30" s="1"/>
  <c r="F760" i="30"/>
  <c r="Q760" i="30" s="1"/>
  <c r="F764" i="30"/>
  <c r="Q764" i="30" s="1"/>
  <c r="F766" i="30"/>
  <c r="Q766" i="30" s="1"/>
  <c r="F767" i="30"/>
  <c r="Q767" i="30" s="1"/>
  <c r="F761" i="30"/>
  <c r="Q761" i="30" s="1"/>
  <c r="F762" i="30"/>
  <c r="Q762" i="30" s="1"/>
  <c r="F763" i="30"/>
  <c r="Q763" i="30" s="1"/>
  <c r="F815" i="30"/>
  <c r="Q815" i="30" s="1"/>
  <c r="F814" i="30"/>
  <c r="Q814" i="30" s="1"/>
  <c r="F818" i="30"/>
  <c r="Q818" i="30" s="1"/>
  <c r="F819" i="30"/>
  <c r="Q819" i="30" s="1"/>
  <c r="F816" i="30"/>
  <c r="Q816" i="30" s="1"/>
  <c r="F817" i="30"/>
  <c r="Q817" i="30" s="1"/>
  <c r="F822" i="30"/>
  <c r="Q822" i="30" s="1"/>
  <c r="F820" i="30"/>
  <c r="Q820" i="30" s="1"/>
  <c r="F821" i="30"/>
  <c r="Q821" i="30" s="1"/>
  <c r="F707" i="30"/>
  <c r="Q707" i="30" s="1"/>
  <c r="F706" i="30"/>
  <c r="Q706" i="30" s="1"/>
  <c r="F710" i="30"/>
  <c r="Q710" i="30" s="1"/>
  <c r="F708" i="30"/>
  <c r="Q708" i="30" s="1"/>
  <c r="F711" i="30"/>
  <c r="Q711" i="30" s="1"/>
  <c r="F709" i="30"/>
  <c r="Q709" i="30" s="1"/>
  <c r="F712" i="30"/>
  <c r="Q712" i="30" s="1"/>
  <c r="F713" i="30"/>
  <c r="Q713" i="30" s="1"/>
  <c r="F714" i="30"/>
  <c r="Q714" i="30" s="1"/>
  <c r="M23" i="34"/>
  <c r="AC185" i="30" s="1"/>
  <c r="AD185" i="30" s="1"/>
  <c r="J53" i="31"/>
  <c r="L54" i="31"/>
  <c r="W54" i="31" s="1"/>
  <c r="AE658" i="30" s="1"/>
  <c r="AF658" i="30" s="1"/>
  <c r="W36" i="34"/>
  <c r="AE239" i="30" s="1"/>
  <c r="AF239" i="30" s="1"/>
  <c r="L36" i="34"/>
  <c r="M36" i="34" s="1"/>
  <c r="U96" i="30"/>
  <c r="U116" i="30"/>
  <c r="S315" i="30"/>
  <c r="V305" i="30"/>
  <c r="R841" i="30"/>
  <c r="R147" i="30"/>
  <c r="U224" i="30"/>
  <c r="S233" i="30"/>
  <c r="W625" i="30"/>
  <c r="Y541" i="30"/>
  <c r="V233" i="30"/>
  <c r="T315" i="30"/>
  <c r="R315" i="30"/>
  <c r="S55" i="30"/>
  <c r="R44" i="30"/>
  <c r="V96" i="30"/>
  <c r="T670" i="30"/>
  <c r="T643" i="30"/>
  <c r="T44" i="30"/>
  <c r="T188" i="30"/>
  <c r="T224" i="30"/>
  <c r="R264" i="30"/>
  <c r="V44" i="30"/>
  <c r="S380" i="30"/>
  <c r="W315" i="30"/>
  <c r="V643" i="30"/>
  <c r="T253" i="30"/>
  <c r="V244" i="30"/>
  <c r="V179" i="30"/>
  <c r="V147" i="30"/>
  <c r="S206" i="30"/>
  <c r="V106" i="30"/>
  <c r="T179" i="30"/>
  <c r="V224" i="30"/>
  <c r="U264" i="30"/>
  <c r="S244" i="30"/>
  <c r="V264" i="30"/>
  <c r="V349" i="30"/>
  <c r="U742" i="30"/>
  <c r="R850" i="30"/>
  <c r="T778" i="30"/>
  <c r="T724" i="30"/>
  <c r="V55" i="30"/>
  <c r="R742" i="30"/>
  <c r="S136" i="30"/>
  <c r="V188" i="30"/>
  <c r="V206" i="30"/>
  <c r="W106" i="30"/>
  <c r="R643" i="30"/>
  <c r="V116" i="30"/>
  <c r="R233" i="30"/>
  <c r="S188" i="30"/>
  <c r="U841" i="30"/>
  <c r="W44" i="30"/>
  <c r="S832" i="30"/>
  <c r="U652" i="30"/>
  <c r="S224" i="30"/>
  <c r="T55" i="30"/>
  <c r="U206" i="30"/>
  <c r="S106" i="30"/>
  <c r="R733" i="30"/>
  <c r="Y66" i="30"/>
  <c r="T742" i="30"/>
  <c r="T147" i="30"/>
  <c r="T233" i="30"/>
  <c r="T96" i="30"/>
  <c r="T106" i="30"/>
  <c r="U106" i="30"/>
  <c r="U733" i="30"/>
  <c r="U850" i="30"/>
  <c r="S253" i="30"/>
  <c r="T832" i="30"/>
  <c r="R116" i="30"/>
  <c r="S96" i="30"/>
  <c r="S643" i="30"/>
  <c r="U55" i="30"/>
  <c r="U44" i="30"/>
  <c r="R349" i="30"/>
  <c r="T24" i="30"/>
  <c r="T850" i="30"/>
  <c r="AE462" i="30"/>
  <c r="AF462" i="30" s="1"/>
  <c r="AE452" i="30"/>
  <c r="AF452" i="30" s="1"/>
  <c r="AE421" i="30"/>
  <c r="AF421" i="30" s="1"/>
  <c r="AE411" i="30"/>
  <c r="AF411" i="30" s="1"/>
  <c r="Z72" i="34"/>
  <c r="Z51" i="34"/>
  <c r="Z76" i="34"/>
  <c r="Z84" i="34"/>
  <c r="Z40" i="34"/>
  <c r="Z49" i="34"/>
  <c r="Z56" i="34"/>
  <c r="Z68" i="34"/>
  <c r="Z39" i="34"/>
  <c r="Z43" i="34"/>
  <c r="Z60" i="34"/>
  <c r="K20" i="43"/>
  <c r="L20" i="43" s="1"/>
  <c r="M20" i="43" s="1"/>
  <c r="S20" i="43"/>
  <c r="T20" i="43" s="1"/>
  <c r="U20" i="43" s="1"/>
  <c r="D20" i="43"/>
  <c r="E20" i="43" s="1"/>
  <c r="O20" i="43"/>
  <c r="P20" i="43" s="1"/>
  <c r="Q20" i="43" s="1"/>
  <c r="W20" i="43"/>
  <c r="X20" i="43" s="1"/>
  <c r="Y20" i="43" s="1"/>
  <c r="C21" i="43"/>
  <c r="G20" i="43"/>
  <c r="H20" i="43" s="1"/>
  <c r="I20" i="43" s="1"/>
  <c r="Z19" i="43"/>
  <c r="AE597" i="30"/>
  <c r="AF597" i="30" s="1"/>
  <c r="AE607" i="30"/>
  <c r="AF607" i="30" s="1"/>
  <c r="AE400" i="30"/>
  <c r="AF400" i="30" s="1"/>
  <c r="AE410" i="30"/>
  <c r="AF410" i="30" s="1"/>
  <c r="AE273" i="30"/>
  <c r="AF273" i="30" s="1"/>
  <c r="AE283" i="30"/>
  <c r="AF283" i="30" s="1"/>
  <c r="AE369" i="30"/>
  <c r="AF369" i="30" s="1"/>
  <c r="AC20" i="30" s="1"/>
  <c r="AD20" i="30" s="1"/>
  <c r="AE20" i="30" s="1"/>
  <c r="AE379" i="30"/>
  <c r="AF379" i="30" s="1"/>
  <c r="Z69" i="34"/>
  <c r="AG792" i="30"/>
  <c r="AG774" i="30"/>
  <c r="AG795" i="30"/>
  <c r="AG777" i="30"/>
  <c r="AG803" i="30"/>
  <c r="AG788" i="30"/>
  <c r="AG770" i="30"/>
  <c r="AG791" i="30"/>
  <c r="AG773" i="30"/>
  <c r="AG782" i="30"/>
  <c r="AG771" i="30"/>
  <c r="AG780" i="30"/>
  <c r="AG797" i="30"/>
  <c r="AG778" i="30"/>
  <c r="AG800" i="30"/>
  <c r="AG781" i="30"/>
  <c r="AG796" i="30"/>
  <c r="AG790" i="30"/>
  <c r="AG776" i="30"/>
  <c r="AG793" i="30"/>
  <c r="AG779" i="30"/>
  <c r="AG785" i="30"/>
  <c r="AG794" i="30"/>
  <c r="AG783" i="30"/>
  <c r="AG801" i="30"/>
  <c r="AG798" i="30"/>
  <c r="AG786" i="30"/>
  <c r="AG772" i="30"/>
  <c r="AG789" i="30"/>
  <c r="AG775" i="30"/>
  <c r="AG799" i="30"/>
  <c r="AG784" i="30"/>
  <c r="AG802" i="30"/>
  <c r="AG787" i="30"/>
  <c r="AG769" i="30"/>
  <c r="AG804" i="30"/>
  <c r="AG759" i="30"/>
  <c r="AG741" i="30"/>
  <c r="AG727" i="30"/>
  <c r="AG708" i="30"/>
  <c r="AG766" i="30"/>
  <c r="AG748" i="30"/>
  <c r="AG734" i="30"/>
  <c r="AG716" i="30"/>
  <c r="AG701" i="30"/>
  <c r="AG757" i="30"/>
  <c r="AG743" i="30"/>
  <c r="AG725" i="30"/>
  <c r="AG710" i="30"/>
  <c r="AG764" i="30"/>
  <c r="AG750" i="30"/>
  <c r="AG732" i="30"/>
  <c r="AG718" i="30"/>
  <c r="AG699" i="30"/>
  <c r="AG767" i="30"/>
  <c r="AG717" i="30"/>
  <c r="AG742" i="30"/>
  <c r="AG751" i="30"/>
  <c r="AG700" i="30"/>
  <c r="AG726" i="30"/>
  <c r="AG763" i="30"/>
  <c r="AG745" i="30"/>
  <c r="AG731" i="30"/>
  <c r="AG712" i="30"/>
  <c r="AG698" i="30"/>
  <c r="AG752" i="30"/>
  <c r="AG738" i="30"/>
  <c r="AG720" i="30"/>
  <c r="AG705" i="30"/>
  <c r="AG761" i="30"/>
  <c r="AG747" i="30"/>
  <c r="AG729" i="30"/>
  <c r="AG714" i="30"/>
  <c r="AG768" i="30"/>
  <c r="AG754" i="30"/>
  <c r="AG736" i="30"/>
  <c r="AG722" i="30"/>
  <c r="AG703" i="30"/>
  <c r="AG735" i="30"/>
  <c r="AG756" i="30"/>
  <c r="AG765" i="30"/>
  <c r="AG719" i="30"/>
  <c r="AG707" i="30"/>
  <c r="AG724" i="30"/>
  <c r="AG740" i="30"/>
  <c r="AG753" i="30"/>
  <c r="AG739" i="30"/>
  <c r="AG721" i="30"/>
  <c r="AG706" i="30"/>
  <c r="AG760" i="30"/>
  <c r="AG746" i="30"/>
  <c r="AG728" i="30"/>
  <c r="AG713" i="30"/>
  <c r="D27" i="31"/>
  <c r="AG755" i="30"/>
  <c r="AG737" i="30"/>
  <c r="AG723" i="30"/>
  <c r="AG704" i="30"/>
  <c r="AG762" i="30"/>
  <c r="AG744" i="30"/>
  <c r="AG730" i="30"/>
  <c r="AG711" i="30"/>
  <c r="AG697" i="30"/>
  <c r="AG749" i="30"/>
  <c r="AG702" i="30"/>
  <c r="AG709" i="30"/>
  <c r="AG733" i="30"/>
  <c r="AG758" i="30"/>
  <c r="AG715" i="30"/>
  <c r="V674" i="30"/>
  <c r="Z135" i="30"/>
  <c r="Z131" i="30"/>
  <c r="Z133" i="30"/>
  <c r="Z129" i="30"/>
  <c r="Z125" i="30"/>
  <c r="Z132" i="30"/>
  <c r="Z130" i="30"/>
  <c r="Z462" i="30"/>
  <c r="Z454" i="30"/>
  <c r="Z456" i="30"/>
  <c r="Z452" i="30"/>
  <c r="Z453" i="30"/>
  <c r="Z461" i="30"/>
  <c r="Z457" i="30"/>
  <c r="S794" i="30"/>
  <c r="S790" i="30"/>
  <c r="S793" i="30"/>
  <c r="S789" i="30"/>
  <c r="S795" i="30"/>
  <c r="S791" i="30"/>
  <c r="S787" i="30"/>
  <c r="S788" i="30"/>
  <c r="S792" i="30"/>
  <c r="Z93" i="30"/>
  <c r="Z89" i="30"/>
  <c r="Z91" i="30"/>
  <c r="Z94" i="30"/>
  <c r="Z86" i="30"/>
  <c r="Z87" i="30"/>
  <c r="Z88" i="30"/>
  <c r="Z557" i="30"/>
  <c r="Z553" i="30"/>
  <c r="Z555" i="30"/>
  <c r="Z551" i="30"/>
  <c r="Z558" i="30"/>
  <c r="Z554" i="30"/>
  <c r="Z550" i="30"/>
  <c r="Z556" i="30"/>
  <c r="Z552" i="30"/>
  <c r="W738" i="30"/>
  <c r="W741" i="30"/>
  <c r="W739" i="30"/>
  <c r="W735" i="30"/>
  <c r="W736" i="30"/>
  <c r="AH64" i="31"/>
  <c r="W23" i="34"/>
  <c r="AE183" i="30" s="1"/>
  <c r="AF183" i="30" s="1"/>
  <c r="Z508" i="30"/>
  <c r="Z504" i="30"/>
  <c r="Z511" i="30"/>
  <c r="Z507" i="30"/>
  <c r="Z510" i="30"/>
  <c r="Z506" i="30"/>
  <c r="Z502" i="30"/>
  <c r="Z501" i="30"/>
  <c r="Z585" i="30"/>
  <c r="Z581" i="30"/>
  <c r="Z584" i="30"/>
  <c r="Z580" i="30"/>
  <c r="Z583" i="30"/>
  <c r="Z579" i="30"/>
  <c r="Z582" i="30"/>
  <c r="T40" i="30"/>
  <c r="T36" i="30"/>
  <c r="T39" i="30"/>
  <c r="T37" i="30"/>
  <c r="T33" i="30"/>
  <c r="T35" i="30"/>
  <c r="T38" i="30"/>
  <c r="T34" i="30"/>
  <c r="Z605" i="30"/>
  <c r="Z601" i="30"/>
  <c r="Z597" i="30"/>
  <c r="Z600" i="30"/>
  <c r="Z607" i="30"/>
  <c r="Z603" i="30"/>
  <c r="Z599" i="30"/>
  <c r="Z606" i="30"/>
  <c r="Z602" i="30"/>
  <c r="Z598" i="30"/>
  <c r="S802" i="30"/>
  <c r="S798" i="30"/>
  <c r="S801" i="30"/>
  <c r="S797" i="30"/>
  <c r="S804" i="30"/>
  <c r="S796" i="30"/>
  <c r="S803" i="30"/>
  <c r="S799" i="30"/>
  <c r="Z327" i="30"/>
  <c r="Z326" i="30"/>
  <c r="Z329" i="30"/>
  <c r="Z325" i="30"/>
  <c r="Z324" i="30"/>
  <c r="Z500" i="30"/>
  <c r="Z496" i="30"/>
  <c r="Z499" i="30"/>
  <c r="Z495" i="30"/>
  <c r="Z498" i="30"/>
  <c r="Z494" i="30"/>
  <c r="Z497" i="30"/>
  <c r="Z622" i="30"/>
  <c r="Z618" i="30"/>
  <c r="Z623" i="30"/>
  <c r="Z619" i="30"/>
  <c r="Z616" i="30"/>
  <c r="Z624" i="30"/>
  <c r="Z615" i="30"/>
  <c r="Z620" i="30"/>
  <c r="Z614" i="30"/>
  <c r="Z347" i="30"/>
  <c r="Z343" i="30"/>
  <c r="Z342" i="30"/>
  <c r="Z345" i="30"/>
  <c r="Z341" i="30"/>
  <c r="Z348" i="30"/>
  <c r="Z340" i="30"/>
  <c r="W846" i="30"/>
  <c r="W842" i="30"/>
  <c r="W849" i="30"/>
  <c r="W848" i="30"/>
  <c r="W844" i="30"/>
  <c r="W847" i="30"/>
  <c r="W843" i="30"/>
  <c r="T799" i="30"/>
  <c r="T798" i="30"/>
  <c r="T801" i="30"/>
  <c r="T804" i="30"/>
  <c r="T800" i="30"/>
  <c r="T796" i="30"/>
  <c r="R801" i="30"/>
  <c r="R800" i="30"/>
  <c r="R796" i="30"/>
  <c r="R803" i="30"/>
  <c r="R799" i="30"/>
  <c r="R798" i="30"/>
  <c r="L20" i="34"/>
  <c r="M20" i="34" s="1"/>
  <c r="AC25" i="30"/>
  <c r="AD25" i="30" s="1"/>
  <c r="V140" i="30"/>
  <c r="R649" i="30"/>
  <c r="W26" i="30"/>
  <c r="Z857" i="30"/>
  <c r="Z853" i="30"/>
  <c r="Z856" i="30"/>
  <c r="Z855" i="30"/>
  <c r="Z851" i="30"/>
  <c r="Z854" i="30"/>
  <c r="Z850" i="30"/>
  <c r="Y748" i="30"/>
  <c r="Y744" i="30"/>
  <c r="Y747" i="30"/>
  <c r="Y743" i="30"/>
  <c r="Y746" i="30"/>
  <c r="Y750" i="30"/>
  <c r="Z73" i="30"/>
  <c r="Z74" i="30"/>
  <c r="Z66" i="30"/>
  <c r="Z68" i="30"/>
  <c r="Z71" i="30"/>
  <c r="Z72" i="30"/>
  <c r="Z67" i="30"/>
  <c r="Z65" i="30"/>
  <c r="Y680" i="30"/>
  <c r="Y687" i="30"/>
  <c r="Y683" i="30"/>
  <c r="Y685" i="30"/>
  <c r="Y681" i="30"/>
  <c r="Y686" i="30"/>
  <c r="Y682" i="30"/>
  <c r="R793" i="30"/>
  <c r="R792" i="30"/>
  <c r="R788" i="30"/>
  <c r="R795" i="30"/>
  <c r="R794" i="30"/>
  <c r="R790" i="30"/>
  <c r="U804" i="30"/>
  <c r="U800" i="30"/>
  <c r="U796" i="30"/>
  <c r="U803" i="30"/>
  <c r="U799" i="30"/>
  <c r="U802" i="30"/>
  <c r="U798" i="30"/>
  <c r="U801" i="30"/>
  <c r="Z283" i="30"/>
  <c r="Z279" i="30"/>
  <c r="Z275" i="30"/>
  <c r="Z282" i="30"/>
  <c r="Z281" i="30"/>
  <c r="Z277" i="30"/>
  <c r="Z273" i="30"/>
  <c r="Z280" i="30"/>
  <c r="Z276" i="30"/>
  <c r="Z274" i="30"/>
  <c r="S635" i="30"/>
  <c r="S638" i="30"/>
  <c r="S634" i="30"/>
  <c r="S640" i="30"/>
  <c r="S636" i="30"/>
  <c r="S637" i="30"/>
  <c r="Z613" i="30"/>
  <c r="Z612" i="30"/>
  <c r="Z608" i="30"/>
  <c r="Z611" i="30"/>
  <c r="Z610" i="30"/>
  <c r="Y692" i="30"/>
  <c r="Y688" i="30"/>
  <c r="Y693" i="30"/>
  <c r="Y689" i="30"/>
  <c r="Y694" i="30"/>
  <c r="Y690" i="30"/>
  <c r="U792" i="30"/>
  <c r="U788" i="30"/>
  <c r="U795" i="30"/>
  <c r="U794" i="30"/>
  <c r="U789" i="30"/>
  <c r="U790" i="30"/>
  <c r="X632" i="30"/>
  <c r="X628" i="30"/>
  <c r="X631" i="30"/>
  <c r="X627" i="30"/>
  <c r="X633" i="30"/>
  <c r="X629" i="30"/>
  <c r="AI65" i="31"/>
  <c r="AI66" i="31"/>
  <c r="V139" i="30"/>
  <c r="W101" i="30"/>
  <c r="AC112" i="30"/>
  <c r="AD112" i="30" s="1"/>
  <c r="AC190" i="30"/>
  <c r="AD190" i="30" s="1"/>
  <c r="L56" i="31"/>
  <c r="W56" i="31" s="1"/>
  <c r="L54" i="34"/>
  <c r="X54" i="34" s="1"/>
  <c r="AE322" i="30" s="1"/>
  <c r="AF322" i="30" s="1"/>
  <c r="F62" i="34"/>
  <c r="G77" i="31" s="1"/>
  <c r="E69" i="31"/>
  <c r="P69" i="31" s="1"/>
  <c r="AC183" i="30"/>
  <c r="AD183" i="30" s="1"/>
  <c r="AG74" i="31"/>
  <c r="W355" i="30"/>
  <c r="W356" i="30"/>
  <c r="W265" i="30"/>
  <c r="AG52" i="31"/>
  <c r="AG73" i="31"/>
  <c r="W388" i="30"/>
  <c r="AG70" i="31"/>
  <c r="AG69" i="31" s="1"/>
  <c r="W309" i="30"/>
  <c r="V138" i="30"/>
  <c r="V142" i="30"/>
  <c r="V137" i="30"/>
  <c r="V384" i="30"/>
  <c r="V388" i="30"/>
  <c r="V383" i="30"/>
  <c r="W29" i="30"/>
  <c r="R673" i="30"/>
  <c r="W213" i="30"/>
  <c r="W155" i="30"/>
  <c r="W306" i="30"/>
  <c r="T781" i="30"/>
  <c r="T785" i="30"/>
  <c r="T780" i="30"/>
  <c r="W262" i="30"/>
  <c r="R672" i="30"/>
  <c r="V675" i="30"/>
  <c r="W53" i="30"/>
  <c r="W61" i="30"/>
  <c r="W58" i="30"/>
  <c r="V261" i="30"/>
  <c r="W153" i="30"/>
  <c r="R653" i="30"/>
  <c r="R660" i="30"/>
  <c r="G16" i="34"/>
  <c r="AC46" i="30" s="1"/>
  <c r="AD46" i="30" s="1"/>
  <c r="G17" i="34"/>
  <c r="H47" i="31" s="1"/>
  <c r="AC225" i="30"/>
  <c r="AD225" i="30" s="1"/>
  <c r="X24" i="34"/>
  <c r="AE195" i="30" s="1"/>
  <c r="AF195" i="30" s="1"/>
  <c r="AC149" i="30"/>
  <c r="AD149" i="30" s="1"/>
  <c r="H54" i="31"/>
  <c r="AC654" i="30" s="1"/>
  <c r="AD654" i="30" s="1"/>
  <c r="U16" i="34"/>
  <c r="AE48" i="30" s="1"/>
  <c r="AF48" i="30" s="1"/>
  <c r="W20" i="34"/>
  <c r="J8" i="34"/>
  <c r="K46" i="31" s="1"/>
  <c r="AC110" i="30"/>
  <c r="AD110" i="30" s="1"/>
  <c r="K56" i="31"/>
  <c r="V56" i="31" s="1"/>
  <c r="U141" i="30"/>
  <c r="U140" i="30"/>
  <c r="W313" i="30"/>
  <c r="W310" i="30"/>
  <c r="W45" i="30"/>
  <c r="W49" i="30"/>
  <c r="W42" i="30"/>
  <c r="W46" i="30"/>
  <c r="W25" i="30"/>
  <c r="W22" i="30"/>
  <c r="W30" i="30"/>
  <c r="W97" i="30"/>
  <c r="W104" i="30"/>
  <c r="W269" i="30"/>
  <c r="W266" i="30"/>
  <c r="R677" i="30"/>
  <c r="W209" i="30"/>
  <c r="W208" i="30"/>
  <c r="W148" i="30"/>
  <c r="W152" i="30"/>
  <c r="R657" i="30"/>
  <c r="V657" i="30"/>
  <c r="V672" i="30"/>
  <c r="U257" i="30"/>
  <c r="V673" i="30"/>
  <c r="V671" i="30"/>
  <c r="U259" i="30"/>
  <c r="U255" i="30"/>
  <c r="U256" i="30"/>
  <c r="AF58" i="31"/>
  <c r="R35" i="34"/>
  <c r="AE148" i="30" s="1"/>
  <c r="AF148" i="30" s="1"/>
  <c r="AC148" i="30"/>
  <c r="AD148" i="30" s="1"/>
  <c r="F20" i="34"/>
  <c r="R382" i="30"/>
  <c r="AC73" i="31"/>
  <c r="L15" i="34"/>
  <c r="X15" i="34" s="1"/>
  <c r="AE113" i="30" s="1"/>
  <c r="AF113" i="30" s="1"/>
  <c r="S37" i="34"/>
  <c r="AE246" i="30" s="1"/>
  <c r="AF246" i="30" s="1"/>
  <c r="AC195" i="30"/>
  <c r="AD195" i="30" s="1"/>
  <c r="S57" i="34"/>
  <c r="AE266" i="30" s="1"/>
  <c r="AF266" i="30" s="1"/>
  <c r="S58" i="34"/>
  <c r="AE351" i="30" s="1"/>
  <c r="AF351" i="30" s="1"/>
  <c r="AG77" i="31"/>
  <c r="AG76" i="31" s="1"/>
  <c r="W303" i="30"/>
  <c r="W307" i="30"/>
  <c r="W311" i="30"/>
  <c r="W304" i="30"/>
  <c r="W308" i="30"/>
  <c r="W95" i="30"/>
  <c r="W99" i="30"/>
  <c r="W103" i="30"/>
  <c r="W98" i="30"/>
  <c r="W263" i="30"/>
  <c r="W267" i="30"/>
  <c r="W271" i="30"/>
  <c r="W268" i="30"/>
  <c r="R671" i="30"/>
  <c r="R675" i="30"/>
  <c r="R674" i="30"/>
  <c r="W207" i="30"/>
  <c r="W211" i="30"/>
  <c r="W210" i="30"/>
  <c r="W145" i="30"/>
  <c r="W149" i="30"/>
  <c r="W146" i="30"/>
  <c r="W151" i="30"/>
  <c r="W150" i="30"/>
  <c r="R655" i="30"/>
  <c r="R659" i="30"/>
  <c r="R654" i="30"/>
  <c r="V676" i="30"/>
  <c r="U261" i="30"/>
  <c r="U254" i="30"/>
  <c r="AF59" i="31"/>
  <c r="V677" i="30"/>
  <c r="R386" i="30"/>
  <c r="AC72" i="31"/>
  <c r="AC71" i="31" s="1"/>
  <c r="R388" i="30"/>
  <c r="R387" i="30"/>
  <c r="V678" i="30"/>
  <c r="G54" i="31"/>
  <c r="AC234" i="30"/>
  <c r="AD234" i="30" s="1"/>
  <c r="R36" i="34"/>
  <c r="AE234" i="30" s="1"/>
  <c r="AF234" i="30" s="1"/>
  <c r="R24" i="34"/>
  <c r="AE189" i="30" s="1"/>
  <c r="AF189" i="30" s="1"/>
  <c r="AC189" i="30"/>
  <c r="AD189" i="30" s="1"/>
  <c r="V54" i="31"/>
  <c r="AE657" i="30" s="1"/>
  <c r="AF657" i="30" s="1"/>
  <c r="AC657" i="30"/>
  <c r="AD657" i="30" s="1"/>
  <c r="AC60" i="30"/>
  <c r="AD60" i="30" s="1"/>
  <c r="V12" i="34"/>
  <c r="AE60" i="30" s="1"/>
  <c r="AF60" i="30" s="1"/>
  <c r="AC101" i="30"/>
  <c r="AD101" i="30" s="1"/>
  <c r="V14" i="34"/>
  <c r="AE101" i="30" s="1"/>
  <c r="AF101" i="30" s="1"/>
  <c r="AF72" i="31"/>
  <c r="U388" i="30"/>
  <c r="U381" i="30"/>
  <c r="AF73" i="31"/>
  <c r="U384" i="30"/>
  <c r="U385" i="30"/>
  <c r="M37" i="34"/>
  <c r="Y37" i="34" s="1"/>
  <c r="G48" i="34"/>
  <c r="H67" i="31" s="1"/>
  <c r="G20" i="34"/>
  <c r="S20" i="34" s="1"/>
  <c r="AC48" i="30"/>
  <c r="AD48" i="30" s="1"/>
  <c r="W54" i="34"/>
  <c r="AE321" i="30" s="1"/>
  <c r="AF321" i="30" s="1"/>
  <c r="V65" i="34"/>
  <c r="AE29" i="30" s="1"/>
  <c r="AF29" i="30" s="1"/>
  <c r="W261" i="30"/>
  <c r="AH68" i="31"/>
  <c r="U139" i="30"/>
  <c r="U143" i="30"/>
  <c r="U138" i="30"/>
  <c r="W59" i="30"/>
  <c r="W63" i="30"/>
  <c r="W56" i="30"/>
  <c r="W353" i="30"/>
  <c r="W351" i="30"/>
  <c r="W350" i="30"/>
  <c r="W23" i="30"/>
  <c r="W27" i="30"/>
  <c r="W31" i="30"/>
  <c r="W28" i="30"/>
  <c r="AF51" i="31"/>
  <c r="U386" i="30"/>
  <c r="V17" i="34"/>
  <c r="AE121" i="30" s="1"/>
  <c r="AF121" i="30" s="1"/>
  <c r="K47" i="31"/>
  <c r="AC121" i="30"/>
  <c r="AD121" i="30" s="1"/>
  <c r="AC655" i="30"/>
  <c r="AD655" i="30" s="1"/>
  <c r="T54" i="31"/>
  <c r="AE655" i="30" s="1"/>
  <c r="AF655" i="30" s="1"/>
  <c r="I53" i="31"/>
  <c r="T53" i="31" s="1"/>
  <c r="I56" i="31"/>
  <c r="T20" i="34"/>
  <c r="AF70" i="31"/>
  <c r="AF69" i="31" s="1"/>
  <c r="AF67" i="31"/>
  <c r="AC26" i="30"/>
  <c r="AD26" i="30" s="1"/>
  <c r="G62" i="34"/>
  <c r="H77" i="31" s="1"/>
  <c r="T659" i="30"/>
  <c r="V259" i="30"/>
  <c r="V258" i="30"/>
  <c r="AG59" i="31"/>
  <c r="V658" i="30"/>
  <c r="V659" i="30"/>
  <c r="V660" i="30"/>
  <c r="V653" i="30"/>
  <c r="AH56" i="31"/>
  <c r="AG53" i="31"/>
  <c r="AG58" i="31"/>
  <c r="U648" i="30"/>
  <c r="T658" i="30"/>
  <c r="V656" i="30"/>
  <c r="V654" i="30"/>
  <c r="AD32" i="34"/>
  <c r="AF32" i="34"/>
  <c r="AF46" i="31"/>
  <c r="AF49" i="31"/>
  <c r="AF48" i="31" s="1"/>
  <c r="AB49" i="31"/>
  <c r="AB48" i="31" s="1"/>
  <c r="AB46" i="31"/>
  <c r="W225" i="30"/>
  <c r="W229" i="30"/>
  <c r="W231" i="30"/>
  <c r="W230" i="30"/>
  <c r="W228" i="30"/>
  <c r="W226" i="30"/>
  <c r="W227" i="30"/>
  <c r="U651" i="30"/>
  <c r="U649" i="30"/>
  <c r="U650" i="30"/>
  <c r="U645" i="30"/>
  <c r="U646" i="30"/>
  <c r="AE49" i="31"/>
  <c r="AE48" i="31" s="1"/>
  <c r="AE46" i="31"/>
  <c r="V20" i="34"/>
  <c r="K53" i="31"/>
  <c r="V53" i="31" s="1"/>
  <c r="V256" i="30"/>
  <c r="V260" i="30"/>
  <c r="U644" i="30"/>
  <c r="T657" i="30"/>
  <c r="T655" i="30"/>
  <c r="T654" i="30"/>
  <c r="AE53" i="31"/>
  <c r="AE56" i="31"/>
  <c r="AE55" i="31" s="1"/>
  <c r="T143" i="30"/>
  <c r="T140" i="30"/>
  <c r="T141" i="30"/>
  <c r="T142" i="30"/>
  <c r="AE52" i="31"/>
  <c r="T137" i="30"/>
  <c r="AE51" i="31"/>
  <c r="T138" i="30"/>
  <c r="W196" i="30"/>
  <c r="W191" i="30"/>
  <c r="W192" i="30"/>
  <c r="W195" i="30"/>
  <c r="W187" i="30"/>
  <c r="W189" i="30"/>
  <c r="W186" i="30"/>
  <c r="W194" i="30"/>
  <c r="W193" i="30"/>
  <c r="W190" i="30"/>
  <c r="W240" i="30"/>
  <c r="W239" i="30"/>
  <c r="W237" i="30"/>
  <c r="W234" i="30"/>
  <c r="W235" i="30"/>
  <c r="AH54" i="31"/>
  <c r="W232" i="30"/>
  <c r="W236" i="30"/>
  <c r="W241" i="30"/>
  <c r="W238" i="30"/>
  <c r="W252" i="30"/>
  <c r="W248" i="30"/>
  <c r="W251" i="30"/>
  <c r="W247" i="30"/>
  <c r="W243" i="30"/>
  <c r="W250" i="30"/>
  <c r="W246" i="30"/>
  <c r="W242" i="30"/>
  <c r="W249" i="30"/>
  <c r="W245" i="30"/>
  <c r="AC56" i="31"/>
  <c r="AC55" i="31" s="1"/>
  <c r="AC53" i="31"/>
  <c r="W182" i="30"/>
  <c r="W180" i="30"/>
  <c r="W181" i="30"/>
  <c r="W185" i="30"/>
  <c r="W178" i="30"/>
  <c r="W184" i="30"/>
  <c r="W183" i="30"/>
  <c r="R261" i="30"/>
  <c r="R257" i="30"/>
  <c r="R254" i="30"/>
  <c r="AC58" i="31"/>
  <c r="AC59" i="31"/>
  <c r="R259" i="30"/>
  <c r="R260" i="30"/>
  <c r="R256" i="30"/>
  <c r="E55" i="31"/>
  <c r="P55" i="31" s="1"/>
  <c r="P56" i="31"/>
  <c r="W124" i="30"/>
  <c r="W120" i="30"/>
  <c r="W121" i="30"/>
  <c r="W117" i="30"/>
  <c r="W122" i="30"/>
  <c r="W118" i="30"/>
  <c r="W123" i="30"/>
  <c r="W119" i="30"/>
  <c r="W115" i="30"/>
  <c r="AH47" i="31"/>
  <c r="V441" i="30"/>
  <c r="V437" i="30"/>
  <c r="V433" i="30"/>
  <c r="V436" i="30"/>
  <c r="V438" i="30"/>
  <c r="V435" i="30"/>
  <c r="V442" i="30"/>
  <c r="V439" i="30"/>
  <c r="V440" i="30"/>
  <c r="S450" i="30"/>
  <c r="S446" i="30"/>
  <c r="S449" i="30"/>
  <c r="S451" i="30"/>
  <c r="S443" i="30"/>
  <c r="S447" i="30"/>
  <c r="S445" i="30"/>
  <c r="AD79" i="31"/>
  <c r="S448" i="30"/>
  <c r="AG79" i="31"/>
  <c r="V451" i="30"/>
  <c r="V447" i="30"/>
  <c r="V443" i="30"/>
  <c r="V446" i="30"/>
  <c r="V445" i="30"/>
  <c r="V450" i="30"/>
  <c r="V449" i="30"/>
  <c r="V448" i="30"/>
  <c r="T441" i="30"/>
  <c r="T437" i="30"/>
  <c r="T433" i="30"/>
  <c r="T438" i="30"/>
  <c r="T440" i="30"/>
  <c r="T439" i="30"/>
  <c r="T442" i="30"/>
  <c r="T436" i="30"/>
  <c r="T435" i="30"/>
  <c r="S440" i="30"/>
  <c r="S436" i="30"/>
  <c r="S441" i="30"/>
  <c r="S433" i="30"/>
  <c r="S435" i="30"/>
  <c r="S442" i="30"/>
  <c r="S439" i="30"/>
  <c r="S437" i="30"/>
  <c r="S438" i="30"/>
  <c r="AB79" i="31"/>
  <c r="V397" i="30"/>
  <c r="V393" i="30"/>
  <c r="V389" i="30"/>
  <c r="V392" i="30"/>
  <c r="V394" i="30"/>
  <c r="V395" i="30"/>
  <c r="V396" i="30"/>
  <c r="V390" i="30"/>
  <c r="V399" i="30"/>
  <c r="V398" i="30"/>
  <c r="T431" i="30"/>
  <c r="T427" i="30"/>
  <c r="T423" i="30"/>
  <c r="T430" i="30"/>
  <c r="T426" i="30"/>
  <c r="T422" i="30"/>
  <c r="T429" i="30"/>
  <c r="T432" i="30"/>
  <c r="T425" i="30"/>
  <c r="T428" i="30"/>
  <c r="V431" i="30"/>
  <c r="V427" i="30"/>
  <c r="V423" i="30"/>
  <c r="V430" i="30"/>
  <c r="V426" i="30"/>
  <c r="V422" i="30"/>
  <c r="V425" i="30"/>
  <c r="V428" i="30"/>
  <c r="V429" i="30"/>
  <c r="V432" i="30"/>
  <c r="U448" i="30"/>
  <c r="U447" i="30"/>
  <c r="U449" i="30"/>
  <c r="U446" i="30"/>
  <c r="U443" i="30"/>
  <c r="AF79" i="31"/>
  <c r="U450" i="30"/>
  <c r="U451" i="30"/>
  <c r="U445" i="30"/>
  <c r="D67" i="34"/>
  <c r="P74" i="34"/>
  <c r="AE390" i="30" s="1"/>
  <c r="AF390" i="30" s="1"/>
  <c r="AC390" i="30"/>
  <c r="AD390" i="30" s="1"/>
  <c r="U430" i="30"/>
  <c r="U426" i="30"/>
  <c r="U422" i="30"/>
  <c r="U429" i="30"/>
  <c r="U425" i="30"/>
  <c r="U428" i="30"/>
  <c r="U431" i="30"/>
  <c r="U423" i="30"/>
  <c r="U432" i="30"/>
  <c r="U427" i="30"/>
  <c r="U442" i="30"/>
  <c r="U438" i="30"/>
  <c r="U435" i="30"/>
  <c r="U437" i="30"/>
  <c r="U440" i="30"/>
  <c r="U439" i="30"/>
  <c r="U433" i="30"/>
  <c r="U441" i="30"/>
  <c r="U436" i="30"/>
  <c r="T397" i="30"/>
  <c r="T393" i="30"/>
  <c r="T389" i="30"/>
  <c r="T394" i="30"/>
  <c r="T396" i="30"/>
  <c r="T395" i="30"/>
  <c r="T398" i="30"/>
  <c r="T392" i="30"/>
  <c r="T399" i="30"/>
  <c r="T390" i="30"/>
  <c r="S396" i="30"/>
  <c r="S392" i="30"/>
  <c r="S397" i="30"/>
  <c r="S389" i="30"/>
  <c r="S395" i="30"/>
  <c r="S398" i="30"/>
  <c r="S390" i="30"/>
  <c r="S399" i="30"/>
  <c r="S393" i="30"/>
  <c r="S394" i="30"/>
  <c r="S430" i="30"/>
  <c r="S432" i="30"/>
  <c r="S426" i="30"/>
  <c r="S422" i="30"/>
  <c r="S429" i="30"/>
  <c r="S425" i="30"/>
  <c r="S427" i="30"/>
  <c r="S428" i="30"/>
  <c r="S431" i="30"/>
  <c r="S423" i="30"/>
  <c r="R397" i="30"/>
  <c r="R393" i="30"/>
  <c r="R389" i="30"/>
  <c r="R392" i="30"/>
  <c r="R394" i="30"/>
  <c r="R395" i="30"/>
  <c r="R396" i="30"/>
  <c r="R390" i="30"/>
  <c r="R399" i="30"/>
  <c r="R398" i="30"/>
  <c r="R441" i="30"/>
  <c r="R437" i="30"/>
  <c r="R433" i="30"/>
  <c r="R436" i="30"/>
  <c r="R438" i="30"/>
  <c r="R439" i="30"/>
  <c r="R440" i="30"/>
  <c r="R442" i="30"/>
  <c r="R435" i="30"/>
  <c r="T449" i="30"/>
  <c r="T445" i="30"/>
  <c r="T450" i="30"/>
  <c r="T448" i="30"/>
  <c r="T451" i="30"/>
  <c r="T443" i="30"/>
  <c r="T447" i="30"/>
  <c r="AE79" i="31"/>
  <c r="T446" i="30"/>
  <c r="U396" i="30"/>
  <c r="U392" i="30"/>
  <c r="U399" i="30"/>
  <c r="U393" i="30"/>
  <c r="U394" i="30"/>
  <c r="U395" i="30"/>
  <c r="U389" i="30"/>
  <c r="U398" i="30"/>
  <c r="U390" i="30"/>
  <c r="U397" i="30"/>
  <c r="R431" i="30"/>
  <c r="R427" i="30"/>
  <c r="R423" i="30"/>
  <c r="R430" i="30"/>
  <c r="R426" i="30"/>
  <c r="R422" i="30"/>
  <c r="R429" i="30"/>
  <c r="R425" i="30"/>
  <c r="R432" i="30"/>
  <c r="R428" i="30"/>
  <c r="P73" i="34"/>
  <c r="AE433" i="30" s="1"/>
  <c r="AF433" i="30" s="1"/>
  <c r="AC433" i="30"/>
  <c r="AD433" i="30" s="1"/>
  <c r="R143" i="30"/>
  <c r="R139" i="30"/>
  <c r="R144" i="30"/>
  <c r="R140" i="30"/>
  <c r="R142" i="30"/>
  <c r="R137" i="30"/>
  <c r="AC52" i="31"/>
  <c r="AC51" i="31"/>
  <c r="AC49" i="31"/>
  <c r="AC48" i="31" s="1"/>
  <c r="AC46" i="31"/>
  <c r="U65" i="34"/>
  <c r="AE28" i="30" s="1"/>
  <c r="AF28" i="30" s="1"/>
  <c r="AC29" i="30"/>
  <c r="AD29" i="30" s="1"/>
  <c r="S36" i="34"/>
  <c r="AE235" i="30" s="1"/>
  <c r="AF235" i="30" s="1"/>
  <c r="AC28" i="30"/>
  <c r="AD28" i="30" s="1"/>
  <c r="W65" i="34"/>
  <c r="AE30" i="30" s="1"/>
  <c r="AF30" i="30" s="1"/>
  <c r="W34" i="34"/>
  <c r="AE229" i="30" s="1"/>
  <c r="AF229" i="30" s="1"/>
  <c r="L34" i="34"/>
  <c r="T712" i="30"/>
  <c r="T708" i="30"/>
  <c r="T713" i="30"/>
  <c r="T711" i="30"/>
  <c r="T709" i="30"/>
  <c r="T707" i="30"/>
  <c r="W258" i="30"/>
  <c r="W144" i="30"/>
  <c r="W142" i="30"/>
  <c r="W140" i="30"/>
  <c r="W138" i="30"/>
  <c r="W143" i="30"/>
  <c r="W141" i="30"/>
  <c r="W139" i="30"/>
  <c r="W137" i="30"/>
  <c r="V704" i="30"/>
  <c r="V700" i="30"/>
  <c r="V698" i="30"/>
  <c r="V705" i="30"/>
  <c r="V703" i="30"/>
  <c r="V701" i="30"/>
  <c r="V699" i="30"/>
  <c r="X49" i="30"/>
  <c r="X47" i="30"/>
  <c r="X45" i="30"/>
  <c r="X43" i="30"/>
  <c r="X52" i="30"/>
  <c r="X50" i="30"/>
  <c r="X48" i="30"/>
  <c r="X46" i="30"/>
  <c r="S705" i="30"/>
  <c r="S703" i="30"/>
  <c r="S699" i="30"/>
  <c r="S702" i="30"/>
  <c r="S700" i="30"/>
  <c r="S698" i="30"/>
  <c r="X271" i="30"/>
  <c r="X269" i="30"/>
  <c r="X267" i="30"/>
  <c r="X263" i="30"/>
  <c r="X272" i="30"/>
  <c r="X270" i="30"/>
  <c r="X268" i="30"/>
  <c r="X266" i="30"/>
  <c r="X262" i="30"/>
  <c r="X113" i="30"/>
  <c r="X111" i="30"/>
  <c r="X109" i="30"/>
  <c r="X114" i="30"/>
  <c r="X112" i="30"/>
  <c r="X110" i="30"/>
  <c r="X108" i="30"/>
  <c r="X357" i="30"/>
  <c r="X353" i="30"/>
  <c r="X351" i="30"/>
  <c r="X354" i="30"/>
  <c r="X356" i="30"/>
  <c r="X352" i="30"/>
  <c r="X323" i="30"/>
  <c r="X319" i="30"/>
  <c r="X322" i="30"/>
  <c r="X320" i="30"/>
  <c r="X318" i="30"/>
  <c r="X316" i="30"/>
  <c r="X314" i="30"/>
  <c r="S731" i="30"/>
  <c r="S729" i="30"/>
  <c r="S727" i="30"/>
  <c r="S725" i="30"/>
  <c r="S732" i="30"/>
  <c r="S730" i="30"/>
  <c r="S728" i="30"/>
  <c r="S822" i="30"/>
  <c r="S820" i="30"/>
  <c r="S818" i="30"/>
  <c r="S821" i="30"/>
  <c r="S819" i="30"/>
  <c r="S817" i="30"/>
  <c r="S815" i="30"/>
  <c r="S816" i="30"/>
  <c r="S713" i="30"/>
  <c r="S711" i="30"/>
  <c r="S709" i="30"/>
  <c r="S707" i="30"/>
  <c r="S714" i="30"/>
  <c r="S712" i="30"/>
  <c r="S710" i="30"/>
  <c r="T821" i="30"/>
  <c r="T819" i="30"/>
  <c r="T817" i="30"/>
  <c r="T822" i="30"/>
  <c r="T820" i="30"/>
  <c r="T818" i="30"/>
  <c r="T816" i="30"/>
  <c r="T815" i="30"/>
  <c r="V732" i="30"/>
  <c r="V730" i="30"/>
  <c r="V728" i="30"/>
  <c r="V726" i="30"/>
  <c r="V731" i="30"/>
  <c r="V729" i="30"/>
  <c r="V727" i="30"/>
  <c r="W382" i="30"/>
  <c r="W383" i="30"/>
  <c r="X63" i="30"/>
  <c r="X61" i="30"/>
  <c r="X59" i="30"/>
  <c r="X57" i="30"/>
  <c r="X62" i="30"/>
  <c r="X58" i="30"/>
  <c r="X56" i="30"/>
  <c r="X54" i="30"/>
  <c r="N22" i="34"/>
  <c r="Z22" i="34" s="1"/>
  <c r="AC167" i="30"/>
  <c r="AD167" i="30" s="1"/>
  <c r="AC177" i="30"/>
  <c r="AD177" i="30" s="1"/>
  <c r="Y22" i="34"/>
  <c r="N86" i="34"/>
  <c r="Z86" i="34" s="1"/>
  <c r="AC549" i="30"/>
  <c r="AD549" i="30" s="1"/>
  <c r="Y86" i="34"/>
  <c r="AE549" i="30" s="1"/>
  <c r="AF549" i="30" s="1"/>
  <c r="N81" i="34"/>
  <c r="AC511" i="30"/>
  <c r="AD511" i="30" s="1"/>
  <c r="AC501" i="30"/>
  <c r="AD501" i="30" s="1"/>
  <c r="Y82" i="34"/>
  <c r="Y81" i="34"/>
  <c r="N77" i="34"/>
  <c r="Z77" i="34" s="1"/>
  <c r="AC463" i="30"/>
  <c r="AD463" i="30" s="1"/>
  <c r="AC473" i="30"/>
  <c r="AD473" i="30" s="1"/>
  <c r="Y77" i="34"/>
  <c r="AK61" i="31"/>
  <c r="AK89" i="31"/>
  <c r="AJ89" i="31"/>
  <c r="AK86" i="31"/>
  <c r="AI60" i="31"/>
  <c r="AI63" i="31"/>
  <c r="AH62" i="31"/>
  <c r="W88" i="31"/>
  <c r="N64" i="34"/>
  <c r="Z64" i="34" s="1"/>
  <c r="AC348" i="30"/>
  <c r="AD348" i="30" s="1"/>
  <c r="Y64" i="34"/>
  <c r="AE348" i="30" s="1"/>
  <c r="AF348" i="30" s="1"/>
  <c r="W85" i="31"/>
  <c r="M79" i="34"/>
  <c r="N88" i="31" s="1"/>
  <c r="M85" i="31"/>
  <c r="X79" i="34"/>
  <c r="AD71" i="31"/>
  <c r="AF55" i="31"/>
  <c r="AB50" i="31"/>
  <c r="AC69" i="31"/>
  <c r="AA69" i="31"/>
  <c r="AB71" i="31"/>
  <c r="AG71" i="31"/>
  <c r="AH72" i="31"/>
  <c r="AB69" i="31"/>
  <c r="AH49" i="31"/>
  <c r="AH46" i="31"/>
  <c r="AH67" i="31"/>
  <c r="AH70" i="31"/>
  <c r="AI68" i="31"/>
  <c r="AH51" i="31"/>
  <c r="AH52" i="31"/>
  <c r="AG50" i="31"/>
  <c r="AD50" i="31"/>
  <c r="AG48" i="31"/>
  <c r="L34" i="48"/>
  <c r="K32" i="48"/>
  <c r="AH74" i="31"/>
  <c r="AH77" i="31"/>
  <c r="X88" i="31"/>
  <c r="AE57" i="31"/>
  <c r="AD55" i="31"/>
  <c r="N87" i="34"/>
  <c r="AC483" i="30"/>
  <c r="AD483" i="30" s="1"/>
  <c r="AC493" i="30"/>
  <c r="AD493" i="30" s="1"/>
  <c r="Y87" i="34"/>
  <c r="AG55" i="31"/>
  <c r="AD57" i="31"/>
  <c r="N10" i="34"/>
  <c r="Z10" i="34" s="1"/>
  <c r="AC85" i="30"/>
  <c r="AD85" i="30" s="1"/>
  <c r="AC75" i="30"/>
  <c r="AD75" i="30" s="1"/>
  <c r="Y10" i="34"/>
  <c r="N21" i="34"/>
  <c r="Z21" i="34" s="1"/>
  <c r="AC166" i="30"/>
  <c r="AD166" i="30" s="1"/>
  <c r="AC156" i="30"/>
  <c r="AD156" i="30" s="1"/>
  <c r="Y21" i="34"/>
  <c r="N50" i="34"/>
  <c r="Z50" i="34" s="1"/>
  <c r="AC294" i="30"/>
  <c r="AD294" i="30" s="1"/>
  <c r="AC284" i="30"/>
  <c r="AD284" i="30" s="1"/>
  <c r="Y50" i="34"/>
  <c r="Q35" i="34"/>
  <c r="AE147" i="30" s="1"/>
  <c r="AF147" i="30" s="1"/>
  <c r="E20" i="34"/>
  <c r="AC147" i="30"/>
  <c r="AD147" i="30" s="1"/>
  <c r="Q37" i="34"/>
  <c r="AE244" i="30" s="1"/>
  <c r="AF244" i="30" s="1"/>
  <c r="AC244" i="30"/>
  <c r="AD244" i="30" s="1"/>
  <c r="F54" i="31"/>
  <c r="AC233" i="30"/>
  <c r="AD233" i="30" s="1"/>
  <c r="Q36" i="34"/>
  <c r="AE233" i="30" s="1"/>
  <c r="AF233" i="30" s="1"/>
  <c r="Q24" i="34"/>
  <c r="AE188" i="30" s="1"/>
  <c r="AF188" i="30" s="1"/>
  <c r="AC188" i="30"/>
  <c r="AD188" i="30" s="1"/>
  <c r="AC206" i="30"/>
  <c r="AD206" i="30" s="1"/>
  <c r="Q32" i="34"/>
  <c r="AE206" i="30" s="1"/>
  <c r="AF206" i="30" s="1"/>
  <c r="AC76" i="31"/>
  <c r="Q62" i="34"/>
  <c r="F74" i="31"/>
  <c r="F77" i="31"/>
  <c r="J74" i="31"/>
  <c r="U62" i="34"/>
  <c r="J77" i="31"/>
  <c r="T74" i="31"/>
  <c r="AC21" i="30"/>
  <c r="AD21" i="30" s="1"/>
  <c r="AE21" i="30" s="1"/>
  <c r="T77" i="31"/>
  <c r="I76" i="31"/>
  <c r="V63" i="34"/>
  <c r="K74" i="31"/>
  <c r="V62" i="34"/>
  <c r="K77" i="31"/>
  <c r="AC671" i="30"/>
  <c r="AD671" i="30" s="1"/>
  <c r="R68" i="31"/>
  <c r="AE671" i="30" s="1"/>
  <c r="AF671" i="30" s="1"/>
  <c r="U48" i="34"/>
  <c r="J67" i="31"/>
  <c r="J70" i="31"/>
  <c r="Q52" i="34"/>
  <c r="AE305" i="30" s="1"/>
  <c r="AF305" i="30" s="1"/>
  <c r="AC305" i="30"/>
  <c r="AD305" i="30" s="1"/>
  <c r="V68" i="31"/>
  <c r="AE675" i="30" s="1"/>
  <c r="AF675" i="30" s="1"/>
  <c r="AC675" i="30"/>
  <c r="AD675" i="30" s="1"/>
  <c r="AC355" i="30"/>
  <c r="AD355" i="30" s="1"/>
  <c r="L68" i="31"/>
  <c r="L58" i="34"/>
  <c r="W58" i="34"/>
  <c r="AE355" i="30" s="1"/>
  <c r="AF355" i="30" s="1"/>
  <c r="G70" i="31"/>
  <c r="G67" i="31"/>
  <c r="R48" i="34"/>
  <c r="T70" i="31"/>
  <c r="I69" i="31"/>
  <c r="T67" i="31"/>
  <c r="Q57" i="34"/>
  <c r="AE264" i="30" s="1"/>
  <c r="AF264" i="30" s="1"/>
  <c r="AC264" i="30"/>
  <c r="AD264" i="30" s="1"/>
  <c r="E48" i="34"/>
  <c r="Q54" i="34"/>
  <c r="AE315" i="30" s="1"/>
  <c r="AF315" i="30" s="1"/>
  <c r="AC315" i="30"/>
  <c r="AD315" i="30" s="1"/>
  <c r="U68" i="31"/>
  <c r="AE674" i="30" s="1"/>
  <c r="AF674" i="30" s="1"/>
  <c r="AC674" i="30"/>
  <c r="AD674" i="30" s="1"/>
  <c r="W57" i="34"/>
  <c r="AE270" i="30" s="1"/>
  <c r="AF270" i="30" s="1"/>
  <c r="AC270" i="30"/>
  <c r="AD270" i="30" s="1"/>
  <c r="L57" i="34"/>
  <c r="K67" i="31"/>
  <c r="K70" i="31"/>
  <c r="V48" i="34"/>
  <c r="U53" i="31"/>
  <c r="T46" i="31"/>
  <c r="W53" i="31"/>
  <c r="AC664" i="30"/>
  <c r="AD664" i="30" s="1"/>
  <c r="T79" i="31"/>
  <c r="AE664" i="30" s="1"/>
  <c r="AF664" i="30" s="1"/>
  <c r="V70" i="34"/>
  <c r="AE429" i="30" s="1"/>
  <c r="AF429" i="30" s="1"/>
  <c r="AC429" i="30"/>
  <c r="AD429" i="30" s="1"/>
  <c r="V71" i="34"/>
  <c r="AC447" i="30"/>
  <c r="AD447" i="30" s="1"/>
  <c r="J79" i="31"/>
  <c r="U75" i="34"/>
  <c r="AE447" i="30" s="1"/>
  <c r="AF447" i="30" s="1"/>
  <c r="V74" i="34"/>
  <c r="AE396" i="30" s="1"/>
  <c r="AF396" i="30" s="1"/>
  <c r="J67" i="34"/>
  <c r="AC396" i="30"/>
  <c r="AD396" i="30" s="1"/>
  <c r="I67" i="34"/>
  <c r="U74" i="34"/>
  <c r="AE395" i="30" s="1"/>
  <c r="AF395" i="30" s="1"/>
  <c r="AC395" i="30"/>
  <c r="AD395" i="30" s="1"/>
  <c r="I48" i="31"/>
  <c r="T49" i="31"/>
  <c r="U8" i="34"/>
  <c r="J49" i="31"/>
  <c r="J46" i="31"/>
  <c r="I78" i="31"/>
  <c r="I81" i="31"/>
  <c r="T67" i="34"/>
  <c r="M52" i="34"/>
  <c r="X53" i="34"/>
  <c r="X52" i="34"/>
  <c r="AE312" i="30" s="1"/>
  <c r="AF312" i="30" s="1"/>
  <c r="AC312" i="30"/>
  <c r="AD312" i="30" s="1"/>
  <c r="AC50" i="30"/>
  <c r="AD50" i="30" s="1"/>
  <c r="L16" i="34"/>
  <c r="W16" i="34"/>
  <c r="AE50" i="30" s="1"/>
  <c r="AF50" i="30" s="1"/>
  <c r="U47" i="31"/>
  <c r="AE647" i="30" s="1"/>
  <c r="AF647" i="30" s="1"/>
  <c r="AC647" i="30"/>
  <c r="AD647" i="30" s="1"/>
  <c r="AC448" i="30"/>
  <c r="AD448" i="30" s="1"/>
  <c r="K79" i="31"/>
  <c r="V75" i="34"/>
  <c r="AE448" i="30" s="1"/>
  <c r="AF448" i="30" s="1"/>
  <c r="AC428" i="30"/>
  <c r="AD428" i="30" s="1"/>
  <c r="U70" i="34"/>
  <c r="AE428" i="30" s="1"/>
  <c r="AF428" i="30" s="1"/>
  <c r="V73" i="34"/>
  <c r="AE439" i="30" s="1"/>
  <c r="AF439" i="30" s="1"/>
  <c r="AC439" i="30"/>
  <c r="AD439" i="30" s="1"/>
  <c r="U73" i="34"/>
  <c r="AE438" i="30" s="1"/>
  <c r="AF438" i="30" s="1"/>
  <c r="AC438" i="30"/>
  <c r="AD438" i="30" s="1"/>
  <c r="AE76" i="31"/>
  <c r="AF76" i="31"/>
  <c r="G46" i="31"/>
  <c r="G49" i="31"/>
  <c r="R8" i="34"/>
  <c r="AC434" i="30"/>
  <c r="AD434" i="30" s="1"/>
  <c r="Q73" i="34"/>
  <c r="AE434" i="30" s="1"/>
  <c r="AF434" i="30" s="1"/>
  <c r="S12" i="34"/>
  <c r="AE57" i="30" s="1"/>
  <c r="AF57" i="30" s="1"/>
  <c r="AC57" i="30"/>
  <c r="AD57" i="30" s="1"/>
  <c r="AC426" i="30"/>
  <c r="AD426" i="30" s="1"/>
  <c r="S70" i="34"/>
  <c r="AE426" i="30" s="1"/>
  <c r="AF426" i="30" s="1"/>
  <c r="X61" i="31"/>
  <c r="AE686" i="30" s="1"/>
  <c r="AF686" i="30" s="1"/>
  <c r="AC686" i="30"/>
  <c r="AD686" i="30" s="1"/>
  <c r="R47" i="31"/>
  <c r="AE644" i="30" s="1"/>
  <c r="AF644" i="30" s="1"/>
  <c r="AC644" i="30"/>
  <c r="AD644" i="30" s="1"/>
  <c r="Y86" i="31"/>
  <c r="AE696" i="30" s="1"/>
  <c r="AF696" i="30" s="1"/>
  <c r="AC696" i="30"/>
  <c r="AD696" i="30" s="1"/>
  <c r="N83" i="34"/>
  <c r="Z83" i="34" s="1"/>
  <c r="Y83" i="34"/>
  <c r="AC512" i="30"/>
  <c r="AD512" i="30" s="1"/>
  <c r="AC522" i="30"/>
  <c r="AD522" i="30" s="1"/>
  <c r="AC108" i="30"/>
  <c r="AD108" i="30" s="1"/>
  <c r="S15" i="34"/>
  <c r="AE108" i="30" s="1"/>
  <c r="AF108" i="30" s="1"/>
  <c r="S74" i="34"/>
  <c r="AE393" i="30" s="1"/>
  <c r="AF393" i="30" s="1"/>
  <c r="G67" i="34"/>
  <c r="AC393" i="30"/>
  <c r="AD393" i="30" s="1"/>
  <c r="N24" i="34"/>
  <c r="Z24" i="34" s="1"/>
  <c r="Y24" i="34"/>
  <c r="AC196" i="30"/>
  <c r="AD196" i="30" s="1"/>
  <c r="AC186" i="30"/>
  <c r="AD186" i="30" s="1"/>
  <c r="G81" i="31"/>
  <c r="G78" i="31"/>
  <c r="R67" i="34"/>
  <c r="S75" i="31"/>
  <c r="AE636" i="30" s="1"/>
  <c r="AF636" i="30" s="1"/>
  <c r="AC636" i="30"/>
  <c r="AD636" i="30" s="1"/>
  <c r="AC672" i="30"/>
  <c r="AD672" i="30" s="1"/>
  <c r="S68" i="31"/>
  <c r="AE672" i="30" s="1"/>
  <c r="AF672" i="30" s="1"/>
  <c r="AK88" i="31"/>
  <c r="AK85" i="31"/>
  <c r="AC118" i="30"/>
  <c r="AD118" i="30" s="1"/>
  <c r="S73" i="34"/>
  <c r="AE436" i="30" s="1"/>
  <c r="AF436" i="30" s="1"/>
  <c r="AC436" i="30"/>
  <c r="AD436" i="30" s="1"/>
  <c r="W62" i="31"/>
  <c r="N85" i="34"/>
  <c r="Z85" i="34" s="1"/>
  <c r="Y85" i="34"/>
  <c r="AE539" i="30" s="1"/>
  <c r="AF539" i="30" s="1"/>
  <c r="AC539" i="30"/>
  <c r="AD539" i="30" s="1"/>
  <c r="N59" i="34"/>
  <c r="Z59" i="34" s="1"/>
  <c r="Y59" i="34"/>
  <c r="AC358" i="30"/>
  <c r="AD358" i="30" s="1"/>
  <c r="AC368" i="30"/>
  <c r="AD368" i="30" s="1"/>
  <c r="AE75" i="31"/>
  <c r="I75" i="31"/>
  <c r="AC36" i="30"/>
  <c r="AD36" i="30" s="1"/>
  <c r="T66" i="34"/>
  <c r="AE36" i="30" s="1"/>
  <c r="AF36" i="30" s="1"/>
  <c r="I66" i="34"/>
  <c r="M62" i="31"/>
  <c r="X63" i="31"/>
  <c r="AC44" i="30"/>
  <c r="AD44" i="30" s="1"/>
  <c r="Q16" i="34"/>
  <c r="AE44" i="30" s="1"/>
  <c r="AF44" i="30" s="1"/>
  <c r="E8" i="34"/>
  <c r="Q74" i="34"/>
  <c r="AE391" i="30" s="1"/>
  <c r="AF391" i="30" s="1"/>
  <c r="AC391" i="30"/>
  <c r="AD391" i="30" s="1"/>
  <c r="E67" i="34"/>
  <c r="N32" i="34"/>
  <c r="Z32" i="34" s="1"/>
  <c r="Y32" i="34"/>
  <c r="AE214" i="30" s="1"/>
  <c r="AF214" i="30" s="1"/>
  <c r="AC214" i="30"/>
  <c r="AD214" i="30" s="1"/>
  <c r="Q70" i="34"/>
  <c r="AE424" i="30" s="1"/>
  <c r="AF424" i="30" s="1"/>
  <c r="AC424" i="30"/>
  <c r="AD424" i="30" s="1"/>
  <c r="AJ87" i="31"/>
  <c r="AC98" i="30"/>
  <c r="AD98" i="30" s="1"/>
  <c r="S14" i="34"/>
  <c r="AE98" i="30" s="1"/>
  <c r="AF98" i="30" s="1"/>
  <c r="S75" i="34"/>
  <c r="AE445" i="30" s="1"/>
  <c r="AF445" i="30" s="1"/>
  <c r="H79" i="31"/>
  <c r="AC445" i="30"/>
  <c r="AD445" i="30" s="1"/>
  <c r="N46" i="34"/>
  <c r="Y46" i="34"/>
  <c r="N61" i="31"/>
  <c r="AC614" i="30"/>
  <c r="AD614" i="30" s="1"/>
  <c r="AC624" i="30"/>
  <c r="AD624" i="30" s="1"/>
  <c r="O86" i="31"/>
  <c r="Z86" i="31" s="1"/>
  <c r="Z88" i="34"/>
  <c r="N45" i="34"/>
  <c r="Y45" i="34"/>
  <c r="AC578" i="30"/>
  <c r="AD578" i="30" s="1"/>
  <c r="AC568" i="30"/>
  <c r="AD568" i="30" s="1"/>
  <c r="N63" i="31"/>
  <c r="N41" i="34"/>
  <c r="Y42" i="34"/>
  <c r="Y41" i="34"/>
  <c r="AC596" i="30"/>
  <c r="AD596" i="30" s="1"/>
  <c r="AC586" i="30"/>
  <c r="AD586" i="30" s="1"/>
  <c r="AC55" i="30"/>
  <c r="AD55" i="30" s="1"/>
  <c r="Q12" i="34"/>
  <c r="AE55" i="30" s="1"/>
  <c r="AF55" i="30" s="1"/>
  <c r="AD76" i="31"/>
  <c r="AB76" i="31"/>
  <c r="U56" i="31" l="1"/>
  <c r="S16" i="34"/>
  <c r="AE46" i="30" s="1"/>
  <c r="AF46" i="30" s="1"/>
  <c r="V8" i="34"/>
  <c r="G8" i="34"/>
  <c r="K49" i="31"/>
  <c r="H32" i="36"/>
  <c r="R62" i="34"/>
  <c r="AC113" i="30"/>
  <c r="AD113" i="30" s="1"/>
  <c r="H70" i="31"/>
  <c r="M15" i="34"/>
  <c r="Y15" i="34" s="1"/>
  <c r="S48" i="34"/>
  <c r="M53" i="31"/>
  <c r="M54" i="34"/>
  <c r="AC323" i="30" s="1"/>
  <c r="AD323" i="30" s="1"/>
  <c r="K29" i="48"/>
  <c r="H757" i="30"/>
  <c r="H759" i="30"/>
  <c r="H754" i="30"/>
  <c r="S754" i="30" s="1"/>
  <c r="H753" i="30"/>
  <c r="S753" i="30" s="1"/>
  <c r="H756" i="30"/>
  <c r="H758" i="30"/>
  <c r="S758" i="30" s="1"/>
  <c r="H752" i="30"/>
  <c r="H755" i="30"/>
  <c r="S755" i="30" s="1"/>
  <c r="H751" i="30"/>
  <c r="L813" i="30"/>
  <c r="L812" i="30"/>
  <c r="L811" i="30"/>
  <c r="L809" i="30"/>
  <c r="L808" i="30"/>
  <c r="L807" i="30"/>
  <c r="W807" i="30" s="1"/>
  <c r="L810" i="30"/>
  <c r="L805" i="30"/>
  <c r="L806" i="30"/>
  <c r="N109" i="30"/>
  <c r="N108" i="30"/>
  <c r="Y108" i="30" s="1"/>
  <c r="N111" i="30"/>
  <c r="N107" i="30"/>
  <c r="N105" i="30"/>
  <c r="Y105" i="30" s="1"/>
  <c r="N114" i="30"/>
  <c r="Y114" i="30" s="1"/>
  <c r="N110" i="30"/>
  <c r="N112" i="30"/>
  <c r="N106" i="30"/>
  <c r="N113" i="30"/>
  <c r="Y113" i="30" s="1"/>
  <c r="N317" i="30"/>
  <c r="N316" i="30"/>
  <c r="Y316" i="30" s="1"/>
  <c r="N320" i="30"/>
  <c r="N323" i="30"/>
  <c r="Y323" i="30" s="1"/>
  <c r="N314" i="30"/>
  <c r="N321" i="30"/>
  <c r="N319" i="30"/>
  <c r="Y319" i="30" s="1"/>
  <c r="N318" i="30"/>
  <c r="N315" i="30"/>
  <c r="N322" i="30"/>
  <c r="O801" i="30"/>
  <c r="Z801" i="30" s="1"/>
  <c r="O800" i="30"/>
  <c r="Z800" i="30" s="1"/>
  <c r="O802" i="30"/>
  <c r="O797" i="30"/>
  <c r="Z797" i="30" s="1"/>
  <c r="O796" i="30"/>
  <c r="O803" i="30"/>
  <c r="Z803" i="30" s="1"/>
  <c r="O798" i="30"/>
  <c r="O799" i="30"/>
  <c r="Z799" i="30" s="1"/>
  <c r="O804" i="30"/>
  <c r="Z804" i="30" s="1"/>
  <c r="I474" i="30"/>
  <c r="T474" i="30" s="1"/>
  <c r="I481" i="30"/>
  <c r="I480" i="30"/>
  <c r="I482" i="30"/>
  <c r="I477" i="30"/>
  <c r="T477" i="30" s="1"/>
  <c r="I476" i="30"/>
  <c r="I478" i="30"/>
  <c r="I479" i="30"/>
  <c r="I475" i="30"/>
  <c r="K482" i="30"/>
  <c r="K479" i="30"/>
  <c r="K478" i="30"/>
  <c r="K480" i="30"/>
  <c r="K475" i="30"/>
  <c r="K474" i="30"/>
  <c r="K481" i="30"/>
  <c r="V481" i="30" s="1"/>
  <c r="K476" i="30"/>
  <c r="V476" i="30" s="1"/>
  <c r="K477" i="30"/>
  <c r="K667" i="30"/>
  <c r="K669" i="30"/>
  <c r="V669" i="30" s="1"/>
  <c r="K668" i="30"/>
  <c r="V668" i="30" s="1"/>
  <c r="K663" i="30"/>
  <c r="K664" i="30"/>
  <c r="K666" i="30"/>
  <c r="K662" i="30"/>
  <c r="K665" i="30"/>
  <c r="K661" i="30"/>
  <c r="G815" i="30"/>
  <c r="G821" i="30"/>
  <c r="G822" i="30"/>
  <c r="G820" i="30"/>
  <c r="R820" i="30" s="1"/>
  <c r="G818" i="30"/>
  <c r="G817" i="30"/>
  <c r="R817" i="30" s="1"/>
  <c r="G816" i="30"/>
  <c r="G814" i="30"/>
  <c r="G819" i="30"/>
  <c r="R819" i="30" s="1"/>
  <c r="M187" i="30"/>
  <c r="X187" i="30" s="1"/>
  <c r="M188" i="30"/>
  <c r="M196" i="30"/>
  <c r="X196" i="30" s="1"/>
  <c r="M194" i="30"/>
  <c r="X194" i="30" s="1"/>
  <c r="M193" i="30"/>
  <c r="M195" i="30"/>
  <c r="X195" i="30" s="1"/>
  <c r="M190" i="30"/>
  <c r="X190" i="30" s="1"/>
  <c r="M189" i="30"/>
  <c r="X189" i="30" s="1"/>
  <c r="M192" i="30"/>
  <c r="X192" i="30" s="1"/>
  <c r="M191" i="30"/>
  <c r="M186" i="30"/>
  <c r="X186" i="30" s="1"/>
  <c r="I808" i="30"/>
  <c r="T808" i="30" s="1"/>
  <c r="I807" i="30"/>
  <c r="T807" i="30" s="1"/>
  <c r="I806" i="30"/>
  <c r="I809" i="30"/>
  <c r="I805" i="30"/>
  <c r="I813" i="30"/>
  <c r="T813" i="30" s="1"/>
  <c r="I812" i="30"/>
  <c r="T812" i="30" s="1"/>
  <c r="I811" i="30"/>
  <c r="T811" i="30" s="1"/>
  <c r="I810" i="30"/>
  <c r="K820" i="30"/>
  <c r="V820" i="30" s="1"/>
  <c r="K819" i="30"/>
  <c r="V819" i="30" s="1"/>
  <c r="K815" i="30"/>
  <c r="K822" i="30"/>
  <c r="K818" i="30"/>
  <c r="V818" i="30" s="1"/>
  <c r="K817" i="30"/>
  <c r="K816" i="30"/>
  <c r="K814" i="30"/>
  <c r="V814" i="30" s="1"/>
  <c r="K821" i="30"/>
  <c r="V821" i="30" s="1"/>
  <c r="J704" i="30"/>
  <c r="U704" i="30" s="1"/>
  <c r="J703" i="30"/>
  <c r="U703" i="30" s="1"/>
  <c r="J700" i="30"/>
  <c r="U700" i="30" s="1"/>
  <c r="J699" i="30"/>
  <c r="U699" i="30" s="1"/>
  <c r="J702" i="30"/>
  <c r="J697" i="30"/>
  <c r="J698" i="30"/>
  <c r="J701" i="30"/>
  <c r="U701" i="30" s="1"/>
  <c r="J705" i="30"/>
  <c r="J833" i="30"/>
  <c r="J838" i="30"/>
  <c r="U838" i="30" s="1"/>
  <c r="J839" i="30"/>
  <c r="U839" i="30" s="1"/>
  <c r="J835" i="30"/>
  <c r="U835" i="30" s="1"/>
  <c r="J832" i="30"/>
  <c r="J834" i="30"/>
  <c r="U834" i="30" s="1"/>
  <c r="J837" i="30"/>
  <c r="U837" i="30" s="1"/>
  <c r="J836" i="30"/>
  <c r="J840" i="30"/>
  <c r="M310" i="30"/>
  <c r="X310" i="30" s="1"/>
  <c r="M309" i="30"/>
  <c r="X309" i="30" s="1"/>
  <c r="M306" i="30"/>
  <c r="M304" i="30"/>
  <c r="M303" i="30"/>
  <c r="X303" i="30" s="1"/>
  <c r="M307" i="30"/>
  <c r="X307" i="30" s="1"/>
  <c r="M313" i="30"/>
  <c r="X313" i="30" s="1"/>
  <c r="M305" i="30"/>
  <c r="M312" i="30"/>
  <c r="M308" i="30"/>
  <c r="X308" i="30" s="1"/>
  <c r="M311" i="30"/>
  <c r="X311" i="30" s="1"/>
  <c r="K805" i="30"/>
  <c r="V805" i="30" s="1"/>
  <c r="K806" i="30"/>
  <c r="K807" i="30"/>
  <c r="V807" i="30" s="1"/>
  <c r="K813" i="30"/>
  <c r="K812" i="30"/>
  <c r="K811" i="30"/>
  <c r="K810" i="30"/>
  <c r="V810" i="30" s="1"/>
  <c r="K809" i="30"/>
  <c r="V809" i="30" s="1"/>
  <c r="K808" i="30"/>
  <c r="V808" i="30" s="1"/>
  <c r="M741" i="30"/>
  <c r="X741" i="30" s="1"/>
  <c r="M740" i="30"/>
  <c r="X740" i="30" s="1"/>
  <c r="M734" i="30"/>
  <c r="X734" i="30" s="1"/>
  <c r="M737" i="30"/>
  <c r="M736" i="30"/>
  <c r="X736" i="30" s="1"/>
  <c r="M739" i="30"/>
  <c r="M738" i="30"/>
  <c r="M733" i="30"/>
  <c r="M735" i="30"/>
  <c r="X735" i="30" s="1"/>
  <c r="J481" i="30"/>
  <c r="J476" i="30"/>
  <c r="J475" i="30"/>
  <c r="J477" i="30"/>
  <c r="J478" i="30"/>
  <c r="U478" i="30" s="1"/>
  <c r="J480" i="30"/>
  <c r="J482" i="30"/>
  <c r="J479" i="30"/>
  <c r="U479" i="30" s="1"/>
  <c r="J474" i="30"/>
  <c r="F481" i="30"/>
  <c r="Q481" i="30" s="1"/>
  <c r="F475" i="30"/>
  <c r="Q475" i="30" s="1"/>
  <c r="F478" i="30"/>
  <c r="Q478" i="30" s="1"/>
  <c r="F479" i="30"/>
  <c r="Q479" i="30" s="1"/>
  <c r="F476" i="30"/>
  <c r="Q476" i="30" s="1"/>
  <c r="F477" i="30"/>
  <c r="Q477" i="30" s="1"/>
  <c r="F482" i="30"/>
  <c r="Q482" i="30" s="1"/>
  <c r="F474" i="30"/>
  <c r="Q474" i="30" s="1"/>
  <c r="F480" i="30"/>
  <c r="Q480" i="30" s="1"/>
  <c r="G476" i="30"/>
  <c r="G482" i="30"/>
  <c r="R482" i="30" s="1"/>
  <c r="G479" i="30"/>
  <c r="G478" i="30"/>
  <c r="G475" i="30"/>
  <c r="G477" i="30"/>
  <c r="R477" i="30" s="1"/>
  <c r="G474" i="30"/>
  <c r="G481" i="30"/>
  <c r="G480" i="30"/>
  <c r="R480" i="30" s="1"/>
  <c r="M118" i="30"/>
  <c r="X118" i="30" s="1"/>
  <c r="M117" i="30"/>
  <c r="M120" i="30"/>
  <c r="M123" i="30"/>
  <c r="X123" i="30" s="1"/>
  <c r="M115" i="30"/>
  <c r="X115" i="30" s="1"/>
  <c r="M124" i="30"/>
  <c r="M122" i="30"/>
  <c r="M119" i="30"/>
  <c r="X119" i="30" s="1"/>
  <c r="M116" i="30"/>
  <c r="M121" i="30"/>
  <c r="X121" i="30" s="1"/>
  <c r="G708" i="30"/>
  <c r="R708" i="30" s="1"/>
  <c r="G714" i="30"/>
  <c r="R714" i="30" s="1"/>
  <c r="G712" i="30"/>
  <c r="R712" i="30" s="1"/>
  <c r="G711" i="30"/>
  <c r="R711" i="30" s="1"/>
  <c r="G710" i="30"/>
  <c r="G713" i="30"/>
  <c r="G706" i="30"/>
  <c r="G707" i="30"/>
  <c r="G709" i="30"/>
  <c r="M251" i="30"/>
  <c r="M246" i="30"/>
  <c r="X246" i="30" s="1"/>
  <c r="M245" i="30"/>
  <c r="X245" i="30" s="1"/>
  <c r="M244" i="30"/>
  <c r="M247" i="30"/>
  <c r="X247" i="30" s="1"/>
  <c r="M242" i="30"/>
  <c r="X242" i="30" s="1"/>
  <c r="M243" i="30"/>
  <c r="X243" i="30" s="1"/>
  <c r="M252" i="30"/>
  <c r="M250" i="30"/>
  <c r="X250" i="30" s="1"/>
  <c r="M248" i="30"/>
  <c r="X248" i="30" s="1"/>
  <c r="M249" i="30"/>
  <c r="M235" i="30"/>
  <c r="M232" i="30"/>
  <c r="M240" i="30"/>
  <c r="M241" i="30"/>
  <c r="M238" i="30"/>
  <c r="X238" i="30" s="1"/>
  <c r="M237" i="30"/>
  <c r="M239" i="30"/>
  <c r="X239" i="30" s="1"/>
  <c r="M234" i="30"/>
  <c r="M233" i="30"/>
  <c r="M236" i="30"/>
  <c r="X236" i="30" s="1"/>
  <c r="M230" i="30"/>
  <c r="M229" i="30"/>
  <c r="M224" i="30"/>
  <c r="M231" i="30"/>
  <c r="X231" i="30" s="1"/>
  <c r="M226" i="30"/>
  <c r="X226" i="30" s="1"/>
  <c r="M225" i="30"/>
  <c r="M227" i="30"/>
  <c r="X227" i="30" s="1"/>
  <c r="M228" i="30"/>
  <c r="X228" i="30" s="1"/>
  <c r="K714" i="30"/>
  <c r="V714" i="30" s="1"/>
  <c r="K711" i="30"/>
  <c r="K710" i="30"/>
  <c r="K713" i="30"/>
  <c r="V713" i="30" s="1"/>
  <c r="K707" i="30"/>
  <c r="V707" i="30" s="1"/>
  <c r="K706" i="30"/>
  <c r="K709" i="30"/>
  <c r="K708" i="30"/>
  <c r="V708" i="30" s="1"/>
  <c r="K712" i="30"/>
  <c r="V712" i="30" s="1"/>
  <c r="L674" i="30"/>
  <c r="W674" i="30" s="1"/>
  <c r="L676" i="30"/>
  <c r="W676" i="30" s="1"/>
  <c r="L675" i="30"/>
  <c r="W675" i="30" s="1"/>
  <c r="L670" i="30"/>
  <c r="L677" i="30"/>
  <c r="W677" i="30" s="1"/>
  <c r="L671" i="30"/>
  <c r="W671" i="30" s="1"/>
  <c r="L673" i="30"/>
  <c r="W673" i="30" s="1"/>
  <c r="L678" i="30"/>
  <c r="L672" i="30"/>
  <c r="J815" i="30"/>
  <c r="J814" i="30"/>
  <c r="J816" i="30"/>
  <c r="J820" i="30"/>
  <c r="J822" i="30"/>
  <c r="U822" i="30" s="1"/>
  <c r="J821" i="30"/>
  <c r="U821" i="30" s="1"/>
  <c r="J819" i="30"/>
  <c r="U819" i="30" s="1"/>
  <c r="J818" i="30"/>
  <c r="J817" i="30"/>
  <c r="M155" i="30"/>
  <c r="X155" i="30" s="1"/>
  <c r="M150" i="30"/>
  <c r="X150" i="30" s="1"/>
  <c r="M149" i="30"/>
  <c r="M152" i="30"/>
  <c r="M151" i="30"/>
  <c r="M146" i="30"/>
  <c r="X146" i="30" s="1"/>
  <c r="M145" i="30"/>
  <c r="X145" i="30" s="1"/>
  <c r="M147" i="30"/>
  <c r="M154" i="30"/>
  <c r="X154" i="30" s="1"/>
  <c r="M153" i="30"/>
  <c r="X153" i="30" s="1"/>
  <c r="M148" i="30"/>
  <c r="X148" i="30" s="1"/>
  <c r="G834" i="30"/>
  <c r="G839" i="30"/>
  <c r="R839" i="30" s="1"/>
  <c r="G837" i="30"/>
  <c r="R837" i="30" s="1"/>
  <c r="G840" i="30"/>
  <c r="G833" i="30"/>
  <c r="G836" i="30"/>
  <c r="G832" i="30"/>
  <c r="G835" i="30"/>
  <c r="R835" i="30" s="1"/>
  <c r="G838" i="30"/>
  <c r="R838" i="30" s="1"/>
  <c r="N630" i="30"/>
  <c r="N626" i="30"/>
  <c r="Y626" i="30" s="1"/>
  <c r="N633" i="30"/>
  <c r="N625" i="30"/>
  <c r="N632" i="30"/>
  <c r="Y632" i="30" s="1"/>
  <c r="N629" i="30"/>
  <c r="Y629" i="30" s="1"/>
  <c r="N631" i="30"/>
  <c r="N627" i="30"/>
  <c r="N628" i="30"/>
  <c r="Y628" i="30" s="1"/>
  <c r="N44" i="30"/>
  <c r="N46" i="30"/>
  <c r="N47" i="30"/>
  <c r="N50" i="30"/>
  <c r="Y50" i="30" s="1"/>
  <c r="N45" i="30"/>
  <c r="N43" i="30"/>
  <c r="N52" i="30"/>
  <c r="N42" i="30"/>
  <c r="N51" i="30"/>
  <c r="Y51" i="30" s="1"/>
  <c r="N48" i="30"/>
  <c r="N49" i="30"/>
  <c r="L705" i="30"/>
  <c r="L699" i="30"/>
  <c r="W699" i="30" s="1"/>
  <c r="L702" i="30"/>
  <c r="L701" i="30"/>
  <c r="L704" i="30"/>
  <c r="W704" i="30" s="1"/>
  <c r="L698" i="30"/>
  <c r="W698" i="30" s="1"/>
  <c r="L697" i="30"/>
  <c r="L700" i="30"/>
  <c r="L703" i="30"/>
  <c r="N269" i="30"/>
  <c r="Y269" i="30" s="1"/>
  <c r="N268" i="30"/>
  <c r="N267" i="30"/>
  <c r="N270" i="30"/>
  <c r="Y270" i="30" s="1"/>
  <c r="N265" i="30"/>
  <c r="Y265" i="30" s="1"/>
  <c r="N264" i="30"/>
  <c r="N266" i="30"/>
  <c r="N271" i="30"/>
  <c r="Y271" i="30" s="1"/>
  <c r="N263" i="30"/>
  <c r="N272" i="30"/>
  <c r="N262" i="30"/>
  <c r="L724" i="30"/>
  <c r="L727" i="30"/>
  <c r="W727" i="30" s="1"/>
  <c r="L730" i="30"/>
  <c r="L729" i="30"/>
  <c r="L732" i="30"/>
  <c r="L731" i="30"/>
  <c r="W731" i="30" s="1"/>
  <c r="L725" i="30"/>
  <c r="L728" i="30"/>
  <c r="W728" i="30" s="1"/>
  <c r="L726" i="30"/>
  <c r="W726" i="30" s="1"/>
  <c r="N60" i="30"/>
  <c r="N55" i="30"/>
  <c r="N63" i="30"/>
  <c r="N56" i="30"/>
  <c r="Y56" i="30" s="1"/>
  <c r="N57" i="30"/>
  <c r="Y57" i="30" s="1"/>
  <c r="N62" i="30"/>
  <c r="N61" i="30"/>
  <c r="N54" i="30"/>
  <c r="N53" i="30"/>
  <c r="N59" i="30"/>
  <c r="Y59" i="30" s="1"/>
  <c r="N58" i="30"/>
  <c r="O684" i="30"/>
  <c r="Z684" i="30" s="1"/>
  <c r="O679" i="30"/>
  <c r="Z679" i="30" s="1"/>
  <c r="O686" i="30"/>
  <c r="O680" i="30"/>
  <c r="O682" i="30"/>
  <c r="Z682" i="30" s="1"/>
  <c r="O681" i="30"/>
  <c r="O687" i="30"/>
  <c r="O683" i="30"/>
  <c r="O685" i="30"/>
  <c r="I642" i="30"/>
  <c r="T642" i="30" s="1"/>
  <c r="I637" i="30"/>
  <c r="T637" i="30" s="1"/>
  <c r="I638" i="30"/>
  <c r="T638" i="30" s="1"/>
  <c r="I640" i="30"/>
  <c r="T640" i="30" s="1"/>
  <c r="I639" i="30"/>
  <c r="T639" i="30" s="1"/>
  <c r="I636" i="30"/>
  <c r="I634" i="30"/>
  <c r="I641" i="30"/>
  <c r="T641" i="30" s="1"/>
  <c r="I635" i="30"/>
  <c r="K756" i="30"/>
  <c r="K758" i="30"/>
  <c r="K759" i="30"/>
  <c r="V759" i="30" s="1"/>
  <c r="K755" i="30"/>
  <c r="V755" i="30" s="1"/>
  <c r="K754" i="30"/>
  <c r="K752" i="30"/>
  <c r="V752" i="30" s="1"/>
  <c r="K751" i="30"/>
  <c r="K753" i="30"/>
  <c r="V753" i="30" s="1"/>
  <c r="K757" i="30"/>
  <c r="N349" i="30"/>
  <c r="N353" i="30"/>
  <c r="N355" i="30"/>
  <c r="Y355" i="30" s="1"/>
  <c r="N354" i="30"/>
  <c r="N357" i="30"/>
  <c r="N351" i="30"/>
  <c r="Y351" i="30" s="1"/>
  <c r="N350" i="30"/>
  <c r="Y350" i="30" s="1"/>
  <c r="N356" i="30"/>
  <c r="Y356" i="30" s="1"/>
  <c r="N352" i="30"/>
  <c r="Y352" i="30" s="1"/>
  <c r="K786" i="30"/>
  <c r="V786" i="30" s="1"/>
  <c r="K783" i="30"/>
  <c r="K785" i="30"/>
  <c r="K784" i="30"/>
  <c r="K778" i="30"/>
  <c r="K779" i="30"/>
  <c r="V779" i="30" s="1"/>
  <c r="K781" i="30"/>
  <c r="K780" i="30"/>
  <c r="K782" i="30"/>
  <c r="V782" i="30" s="1"/>
  <c r="H784" i="30"/>
  <c r="S784" i="30" s="1"/>
  <c r="H783" i="30"/>
  <c r="H785" i="30"/>
  <c r="H780" i="30"/>
  <c r="S780" i="30" s="1"/>
  <c r="H779" i="30"/>
  <c r="S779" i="30" s="1"/>
  <c r="H786" i="30"/>
  <c r="S786" i="30" s="1"/>
  <c r="H781" i="30"/>
  <c r="H778" i="30"/>
  <c r="H782" i="30"/>
  <c r="S782" i="30" s="1"/>
  <c r="O695" i="30"/>
  <c r="O694" i="30"/>
  <c r="O693" i="30"/>
  <c r="O691" i="30"/>
  <c r="Z691" i="30" s="1"/>
  <c r="O696" i="30"/>
  <c r="Z696" i="30" s="1"/>
  <c r="O688" i="30"/>
  <c r="Z688" i="30" s="1"/>
  <c r="O690" i="30"/>
  <c r="Z690" i="30" s="1"/>
  <c r="O692" i="30"/>
  <c r="Z692" i="30" s="1"/>
  <c r="O689" i="30"/>
  <c r="Z689" i="30" s="1"/>
  <c r="G703" i="30"/>
  <c r="G702" i="30"/>
  <c r="R702" i="30" s="1"/>
  <c r="G705" i="30"/>
  <c r="R705" i="30" s="1"/>
  <c r="G699" i="30"/>
  <c r="G698" i="30"/>
  <c r="G701" i="30"/>
  <c r="G697" i="30"/>
  <c r="G704" i="30"/>
  <c r="R704" i="30" s="1"/>
  <c r="G700" i="30"/>
  <c r="R700" i="30" s="1"/>
  <c r="J665" i="30"/>
  <c r="U665" i="30" s="1"/>
  <c r="J667" i="30"/>
  <c r="U667" i="30" s="1"/>
  <c r="J662" i="30"/>
  <c r="J661" i="30"/>
  <c r="U661" i="30" s="1"/>
  <c r="J663" i="30"/>
  <c r="J668" i="30"/>
  <c r="J664" i="30"/>
  <c r="J666" i="30"/>
  <c r="J669" i="30"/>
  <c r="U669" i="30" s="1"/>
  <c r="H667" i="30"/>
  <c r="S667" i="30" s="1"/>
  <c r="H662" i="30"/>
  <c r="H669" i="30"/>
  <c r="S669" i="30" s="1"/>
  <c r="H663" i="30"/>
  <c r="S663" i="30" s="1"/>
  <c r="H665" i="30"/>
  <c r="S665" i="30" s="1"/>
  <c r="H661" i="30"/>
  <c r="H664" i="30"/>
  <c r="H666" i="30"/>
  <c r="S666" i="30" s="1"/>
  <c r="H668" i="30"/>
  <c r="I701" i="30"/>
  <c r="I700" i="30"/>
  <c r="I703" i="30"/>
  <c r="T703" i="30" s="1"/>
  <c r="I697" i="30"/>
  <c r="I699" i="30"/>
  <c r="T699" i="30" s="1"/>
  <c r="I698" i="30"/>
  <c r="T698" i="30" s="1"/>
  <c r="I704" i="30"/>
  <c r="T704" i="30" s="1"/>
  <c r="I702" i="30"/>
  <c r="T702" i="30" s="1"/>
  <c r="I705" i="30"/>
  <c r="G728" i="30"/>
  <c r="R728" i="30" s="1"/>
  <c r="G731" i="30"/>
  <c r="R731" i="30" s="1"/>
  <c r="G730" i="30"/>
  <c r="R730" i="30" s="1"/>
  <c r="G727" i="30"/>
  <c r="G726" i="30"/>
  <c r="G729" i="30"/>
  <c r="R729" i="30" s="1"/>
  <c r="G724" i="30"/>
  <c r="R724" i="30" s="1"/>
  <c r="G725" i="30"/>
  <c r="R725" i="30" s="1"/>
  <c r="G732" i="30"/>
  <c r="R732" i="30" s="1"/>
  <c r="M22" i="30"/>
  <c r="X22" i="30" s="1"/>
  <c r="M27" i="30"/>
  <c r="X27" i="30" s="1"/>
  <c r="M31" i="30"/>
  <c r="X31" i="30" s="1"/>
  <c r="M24" i="30"/>
  <c r="M29" i="30"/>
  <c r="X29" i="30" s="1"/>
  <c r="M28" i="30"/>
  <c r="M32" i="30"/>
  <c r="X32" i="30" s="1"/>
  <c r="M26" i="30"/>
  <c r="X26" i="30" s="1"/>
  <c r="M30" i="30"/>
  <c r="X30" i="30" s="1"/>
  <c r="M25" i="30"/>
  <c r="X25" i="30" s="1"/>
  <c r="M23" i="30"/>
  <c r="X23" i="30" s="1"/>
  <c r="L795" i="30"/>
  <c r="W795" i="30" s="1"/>
  <c r="L793" i="30"/>
  <c r="W793" i="30" s="1"/>
  <c r="L790" i="30"/>
  <c r="W790" i="30" s="1"/>
  <c r="L792" i="30"/>
  <c r="W792" i="30" s="1"/>
  <c r="L791" i="30"/>
  <c r="L788" i="30"/>
  <c r="W788" i="30" s="1"/>
  <c r="L787" i="30"/>
  <c r="L789" i="30"/>
  <c r="L794" i="30"/>
  <c r="G662" i="30"/>
  <c r="R662" i="30" s="1"/>
  <c r="G667" i="30"/>
  <c r="R667" i="30" s="1"/>
  <c r="G668" i="30"/>
  <c r="R668" i="30" s="1"/>
  <c r="G663" i="30"/>
  <c r="R663" i="30" s="1"/>
  <c r="G669" i="30"/>
  <c r="R669" i="30" s="1"/>
  <c r="G665" i="30"/>
  <c r="R665" i="30" s="1"/>
  <c r="G664" i="30"/>
  <c r="R664" i="30" s="1"/>
  <c r="G666" i="30"/>
  <c r="R666" i="30" s="1"/>
  <c r="G661" i="30"/>
  <c r="R661" i="30" s="1"/>
  <c r="O743" i="30"/>
  <c r="Z743" i="30" s="1"/>
  <c r="O742" i="30"/>
  <c r="Z742" i="30" s="1"/>
  <c r="O745" i="30"/>
  <c r="Z745" i="30" s="1"/>
  <c r="O748" i="30"/>
  <c r="Z748" i="30" s="1"/>
  <c r="O750" i="30"/>
  <c r="Z750" i="30" s="1"/>
  <c r="O744" i="30"/>
  <c r="Z744" i="30" s="1"/>
  <c r="O746" i="30"/>
  <c r="Z746" i="30" s="1"/>
  <c r="O747" i="30"/>
  <c r="Z747" i="30" s="1"/>
  <c r="O749" i="30"/>
  <c r="Z749" i="30" s="1"/>
  <c r="J39" i="30"/>
  <c r="J37" i="30"/>
  <c r="U37" i="30" s="1"/>
  <c r="J41" i="30"/>
  <c r="U41" i="30" s="1"/>
  <c r="J34" i="30"/>
  <c r="J33" i="30"/>
  <c r="J40" i="30"/>
  <c r="J35" i="30"/>
  <c r="U35" i="30" s="1"/>
  <c r="J38" i="30"/>
  <c r="U38" i="30" s="1"/>
  <c r="J36" i="30"/>
  <c r="U36" i="30" s="1"/>
  <c r="H768" i="30"/>
  <c r="S768" i="30" s="1"/>
  <c r="H767" i="30"/>
  <c r="S767" i="30" s="1"/>
  <c r="H765" i="30"/>
  <c r="H763" i="30"/>
  <c r="H762" i="30"/>
  <c r="S762" i="30" s="1"/>
  <c r="H764" i="30"/>
  <c r="S764" i="30" s="1"/>
  <c r="H766" i="30"/>
  <c r="H761" i="30"/>
  <c r="H760" i="30"/>
  <c r="I764" i="30"/>
  <c r="T764" i="30" s="1"/>
  <c r="I760" i="30"/>
  <c r="I765" i="30"/>
  <c r="T765" i="30" s="1"/>
  <c r="I767" i="30"/>
  <c r="T767" i="30" s="1"/>
  <c r="I766" i="30"/>
  <c r="T766" i="30" s="1"/>
  <c r="I762" i="30"/>
  <c r="T762" i="30" s="1"/>
  <c r="I763" i="30"/>
  <c r="I768" i="30"/>
  <c r="I761" i="30"/>
  <c r="T761" i="30" s="1"/>
  <c r="M136" i="30"/>
  <c r="M143" i="30"/>
  <c r="M139" i="30"/>
  <c r="M140" i="30"/>
  <c r="X140" i="30" s="1"/>
  <c r="M142" i="30"/>
  <c r="M141" i="30"/>
  <c r="X141" i="30" s="1"/>
  <c r="M137" i="30"/>
  <c r="X137" i="30" s="1"/>
  <c r="M144" i="30"/>
  <c r="X144" i="30" s="1"/>
  <c r="M138" i="30"/>
  <c r="X138" i="30" s="1"/>
  <c r="M670" i="30"/>
  <c r="M672" i="30"/>
  <c r="X672" i="30" s="1"/>
  <c r="M677" i="30"/>
  <c r="X677" i="30" s="1"/>
  <c r="M678" i="30"/>
  <c r="M673" i="30"/>
  <c r="M674" i="30"/>
  <c r="M676" i="30"/>
  <c r="X676" i="30" s="1"/>
  <c r="M671" i="30"/>
  <c r="X671" i="30" s="1"/>
  <c r="M675" i="30"/>
  <c r="X675" i="30" s="1"/>
  <c r="N804" i="30"/>
  <c r="Y804" i="30" s="1"/>
  <c r="N799" i="30"/>
  <c r="Y799" i="30" s="1"/>
  <c r="N796" i="30"/>
  <c r="N802" i="30"/>
  <c r="Y802" i="30" s="1"/>
  <c r="N801" i="30"/>
  <c r="Y801" i="30" s="1"/>
  <c r="N798" i="30"/>
  <c r="N803" i="30"/>
  <c r="N800" i="30"/>
  <c r="N797" i="30"/>
  <c r="Y797" i="30" s="1"/>
  <c r="G810" i="30"/>
  <c r="R810" i="30" s="1"/>
  <c r="G809" i="30"/>
  <c r="R809" i="30" s="1"/>
  <c r="G808" i="30"/>
  <c r="R808" i="30" s="1"/>
  <c r="G807" i="30"/>
  <c r="R807" i="30" s="1"/>
  <c r="G805" i="30"/>
  <c r="G806" i="30"/>
  <c r="G813" i="30"/>
  <c r="G812" i="30"/>
  <c r="G811" i="30"/>
  <c r="R811" i="30" s="1"/>
  <c r="I669" i="30"/>
  <c r="I665" i="30"/>
  <c r="I666" i="30"/>
  <c r="I661" i="30"/>
  <c r="T661" i="30" s="1"/>
  <c r="I668" i="30"/>
  <c r="T668" i="30" s="1"/>
  <c r="I667" i="30"/>
  <c r="I663" i="30"/>
  <c r="T663" i="30" s="1"/>
  <c r="I662" i="30"/>
  <c r="I664" i="30"/>
  <c r="T664" i="30" s="1"/>
  <c r="H478" i="30"/>
  <c r="S478" i="30" s="1"/>
  <c r="H477" i="30"/>
  <c r="S477" i="30" s="1"/>
  <c r="H480" i="30"/>
  <c r="S480" i="30" s="1"/>
  <c r="H476" i="30"/>
  <c r="H479" i="30"/>
  <c r="H474" i="30"/>
  <c r="H475" i="30"/>
  <c r="H482" i="30"/>
  <c r="S482" i="30" s="1"/>
  <c r="H481" i="30"/>
  <c r="S481" i="30" s="1"/>
  <c r="L647" i="30"/>
  <c r="W647" i="30" s="1"/>
  <c r="L649" i="30"/>
  <c r="W649" i="30" s="1"/>
  <c r="L643" i="30"/>
  <c r="L645" i="30"/>
  <c r="L650" i="30"/>
  <c r="L644" i="30"/>
  <c r="L651" i="30"/>
  <c r="L648" i="30"/>
  <c r="L646" i="30"/>
  <c r="M182" i="30"/>
  <c r="X182" i="30" s="1"/>
  <c r="M181" i="30"/>
  <c r="M183" i="30"/>
  <c r="M178" i="30"/>
  <c r="X178" i="30" s="1"/>
  <c r="M180" i="30"/>
  <c r="X180" i="30" s="1"/>
  <c r="M179" i="30"/>
  <c r="M185" i="30"/>
  <c r="M184" i="30"/>
  <c r="X184" i="30" s="1"/>
  <c r="L658" i="30"/>
  <c r="W658" i="30" s="1"/>
  <c r="L659" i="30"/>
  <c r="L654" i="30"/>
  <c r="L660" i="30"/>
  <c r="L655" i="30"/>
  <c r="W655" i="30" s="1"/>
  <c r="L657" i="30"/>
  <c r="L653" i="30"/>
  <c r="L656" i="30"/>
  <c r="W656" i="30" s="1"/>
  <c r="L652" i="30"/>
  <c r="G778" i="30"/>
  <c r="G783" i="30"/>
  <c r="G782" i="30"/>
  <c r="R782" i="30" s="1"/>
  <c r="G779" i="30"/>
  <c r="R779" i="30" s="1"/>
  <c r="G785" i="30"/>
  <c r="G784" i="30"/>
  <c r="G781" i="30"/>
  <c r="G786" i="30"/>
  <c r="R786" i="30" s="1"/>
  <c r="G780" i="30"/>
  <c r="R780" i="30" s="1"/>
  <c r="J724" i="30"/>
  <c r="J726" i="30"/>
  <c r="U726" i="30" s="1"/>
  <c r="J729" i="30"/>
  <c r="U729" i="30" s="1"/>
  <c r="J732" i="30"/>
  <c r="U732" i="30" s="1"/>
  <c r="J731" i="30"/>
  <c r="U731" i="30" s="1"/>
  <c r="J725" i="30"/>
  <c r="U725" i="30" s="1"/>
  <c r="J727" i="30"/>
  <c r="J728" i="30"/>
  <c r="J730" i="30"/>
  <c r="M214" i="30"/>
  <c r="X214" i="30" s="1"/>
  <c r="M213" i="30"/>
  <c r="X213" i="30" s="1"/>
  <c r="M210" i="30"/>
  <c r="X210" i="30" s="1"/>
  <c r="M209" i="30"/>
  <c r="X209" i="30" s="1"/>
  <c r="M211" i="30"/>
  <c r="X211" i="30" s="1"/>
  <c r="M206" i="30"/>
  <c r="M208" i="30"/>
  <c r="X208" i="30" s="1"/>
  <c r="M207" i="30"/>
  <c r="X207" i="30" s="1"/>
  <c r="M212" i="30"/>
  <c r="X212" i="30" s="1"/>
  <c r="J708" i="30"/>
  <c r="U708" i="30" s="1"/>
  <c r="J707" i="30"/>
  <c r="J710" i="30"/>
  <c r="J706" i="30"/>
  <c r="J713" i="30"/>
  <c r="U713" i="30" s="1"/>
  <c r="J709" i="30"/>
  <c r="U709" i="30" s="1"/>
  <c r="J711" i="30"/>
  <c r="U711" i="30" s="1"/>
  <c r="J712" i="30"/>
  <c r="U712" i="30" s="1"/>
  <c r="J714" i="30"/>
  <c r="U714" i="30" s="1"/>
  <c r="M102" i="30"/>
  <c r="X102" i="30" s="1"/>
  <c r="M101" i="30"/>
  <c r="X101" i="30" s="1"/>
  <c r="M104" i="30"/>
  <c r="X104" i="30" s="1"/>
  <c r="M96" i="30"/>
  <c r="X96" i="30" s="1"/>
  <c r="M100" i="30"/>
  <c r="X100" i="30" s="1"/>
  <c r="M95" i="30"/>
  <c r="X95" i="30" s="1"/>
  <c r="M98" i="30"/>
  <c r="X98" i="30" s="1"/>
  <c r="M97" i="30"/>
  <c r="X97" i="30" s="1"/>
  <c r="M103" i="30"/>
  <c r="X103" i="30" s="1"/>
  <c r="M99" i="30"/>
  <c r="X99" i="30" s="1"/>
  <c r="K837" i="30"/>
  <c r="V837" i="30" s="1"/>
  <c r="K840" i="30"/>
  <c r="V840" i="30" s="1"/>
  <c r="K835" i="30"/>
  <c r="V835" i="30" s="1"/>
  <c r="K839" i="30"/>
  <c r="V839" i="30" s="1"/>
  <c r="K833" i="30"/>
  <c r="V833" i="30" s="1"/>
  <c r="K836" i="30"/>
  <c r="V836" i="30" s="1"/>
  <c r="K832" i="30"/>
  <c r="K838" i="30"/>
  <c r="V838" i="30" s="1"/>
  <c r="K834" i="30"/>
  <c r="V834" i="30" s="1"/>
  <c r="M844" i="30"/>
  <c r="X844" i="30" s="1"/>
  <c r="M849" i="30"/>
  <c r="X849" i="30" s="1"/>
  <c r="M845" i="30"/>
  <c r="X845" i="30" s="1"/>
  <c r="M847" i="30"/>
  <c r="X847" i="30" s="1"/>
  <c r="M841" i="30"/>
  <c r="M843" i="30"/>
  <c r="X843" i="30" s="1"/>
  <c r="M846" i="30"/>
  <c r="X846" i="30" s="1"/>
  <c r="M842" i="30"/>
  <c r="X842" i="30" s="1"/>
  <c r="M848" i="30"/>
  <c r="X848" i="30" s="1"/>
  <c r="J813" i="30"/>
  <c r="U813" i="30" s="1"/>
  <c r="J812" i="30"/>
  <c r="U812" i="30" s="1"/>
  <c r="J811" i="30"/>
  <c r="U811" i="30" s="1"/>
  <c r="J810" i="30"/>
  <c r="U810" i="30" s="1"/>
  <c r="J809" i="30"/>
  <c r="U809" i="30" s="1"/>
  <c r="J808" i="30"/>
  <c r="U808" i="30" s="1"/>
  <c r="J806" i="30"/>
  <c r="U806" i="30" s="1"/>
  <c r="J805" i="30"/>
  <c r="U805" i="30" s="1"/>
  <c r="J807" i="30"/>
  <c r="U807" i="30" s="1"/>
  <c r="O201" i="30"/>
  <c r="Z201" i="30" s="1"/>
  <c r="O197" i="30"/>
  <c r="Z197" i="30" s="1"/>
  <c r="O204" i="30"/>
  <c r="Z204" i="30" s="1"/>
  <c r="O203" i="30"/>
  <c r="Z203" i="30" s="1"/>
  <c r="O205" i="30"/>
  <c r="Z205" i="30" s="1"/>
  <c r="O198" i="30"/>
  <c r="Z198" i="30" s="1"/>
  <c r="O202" i="30"/>
  <c r="Z202" i="30" s="1"/>
  <c r="O200" i="30"/>
  <c r="Z200" i="30" s="1"/>
  <c r="O199" i="30"/>
  <c r="Z199" i="30" s="1"/>
  <c r="F663" i="30"/>
  <c r="Q663" i="30" s="1"/>
  <c r="F665" i="30"/>
  <c r="Q665" i="30" s="1"/>
  <c r="F667" i="30"/>
  <c r="Q667" i="30" s="1"/>
  <c r="F669" i="30"/>
  <c r="Q669" i="30" s="1"/>
  <c r="F662" i="30"/>
  <c r="Q662" i="30" s="1"/>
  <c r="F664" i="30"/>
  <c r="Q664" i="30" s="1"/>
  <c r="F666" i="30"/>
  <c r="Q666" i="30" s="1"/>
  <c r="F668" i="30"/>
  <c r="Q668" i="30" s="1"/>
  <c r="F661" i="30"/>
  <c r="Q661" i="30" s="1"/>
  <c r="U820" i="30"/>
  <c r="F753" i="30"/>
  <c r="Q753" i="30" s="1"/>
  <c r="F757" i="30"/>
  <c r="Q757" i="30" s="1"/>
  <c r="F752" i="30"/>
  <c r="Q752" i="30" s="1"/>
  <c r="F754" i="30"/>
  <c r="Q754" i="30" s="1"/>
  <c r="F756" i="30"/>
  <c r="Q756" i="30" s="1"/>
  <c r="F758" i="30"/>
  <c r="Q758" i="30" s="1"/>
  <c r="F751" i="30"/>
  <c r="Q751" i="30" s="1"/>
  <c r="F755" i="30"/>
  <c r="Q755" i="30" s="1"/>
  <c r="F759" i="30"/>
  <c r="Q759" i="30" s="1"/>
  <c r="V812" i="30"/>
  <c r="V813" i="30"/>
  <c r="AC658" i="30"/>
  <c r="AD658" i="30" s="1"/>
  <c r="AC154" i="30"/>
  <c r="AD154" i="30" s="1"/>
  <c r="X35" i="34"/>
  <c r="AE154" i="30" s="1"/>
  <c r="AF154" i="30" s="1"/>
  <c r="M56" i="31"/>
  <c r="M55" i="31" s="1"/>
  <c r="F786" i="30"/>
  <c r="Q786" i="30" s="1"/>
  <c r="F779" i="30"/>
  <c r="Q779" i="30" s="1"/>
  <c r="F778" i="30"/>
  <c r="Q778" i="30" s="1"/>
  <c r="F783" i="30"/>
  <c r="Q783" i="30" s="1"/>
  <c r="F780" i="30"/>
  <c r="Q780" i="30" s="1"/>
  <c r="F781" i="30"/>
  <c r="Q781" i="30" s="1"/>
  <c r="F784" i="30"/>
  <c r="Q784" i="30" s="1"/>
  <c r="F785" i="30"/>
  <c r="Q785" i="30" s="1"/>
  <c r="F782" i="30"/>
  <c r="Q782" i="30" s="1"/>
  <c r="X304" i="30"/>
  <c r="X312" i="30"/>
  <c r="X306" i="30"/>
  <c r="X36" i="34"/>
  <c r="AE240" i="30" s="1"/>
  <c r="AF240" i="30" s="1"/>
  <c r="L55" i="31"/>
  <c r="W55" i="31" s="1"/>
  <c r="H74" i="31"/>
  <c r="G74" i="31"/>
  <c r="R74" i="31" s="1"/>
  <c r="W260" i="30"/>
  <c r="AH58" i="31"/>
  <c r="W253" i="30"/>
  <c r="X152" i="30"/>
  <c r="V709" i="30"/>
  <c r="AC240" i="30"/>
  <c r="AD240" i="30" s="1"/>
  <c r="W259" i="30"/>
  <c r="Y23" i="34"/>
  <c r="AE185" i="30" s="1"/>
  <c r="AF185" i="30" s="1"/>
  <c r="W254" i="30"/>
  <c r="N23" i="34"/>
  <c r="Z23" i="34" s="1"/>
  <c r="K55" i="31"/>
  <c r="V55" i="31" s="1"/>
  <c r="W256" i="30"/>
  <c r="W257" i="30"/>
  <c r="AH59" i="31"/>
  <c r="W255" i="30"/>
  <c r="X20" i="34"/>
  <c r="AC252" i="30"/>
  <c r="AD252" i="30" s="1"/>
  <c r="M54" i="31"/>
  <c r="X54" i="31" s="1"/>
  <c r="AE659" i="30" s="1"/>
  <c r="AF659" i="30" s="1"/>
  <c r="X28" i="30"/>
  <c r="S54" i="31"/>
  <c r="AE654" i="30" s="1"/>
  <c r="AF654" i="30" s="1"/>
  <c r="X55" i="30"/>
  <c r="X264" i="30"/>
  <c r="V444" i="30"/>
  <c r="U136" i="30"/>
  <c r="R136" i="30"/>
  <c r="T391" i="30"/>
  <c r="W96" i="30"/>
  <c r="W116" i="30"/>
  <c r="V724" i="30"/>
  <c r="X44" i="30"/>
  <c r="U444" i="30"/>
  <c r="T424" i="30"/>
  <c r="W233" i="30"/>
  <c r="U643" i="30"/>
  <c r="X349" i="30"/>
  <c r="R424" i="30"/>
  <c r="T434" i="30"/>
  <c r="T136" i="30"/>
  <c r="V652" i="30"/>
  <c r="W24" i="30"/>
  <c r="U797" i="30"/>
  <c r="V832" i="30"/>
  <c r="S724" i="30"/>
  <c r="S424" i="30"/>
  <c r="T652" i="30"/>
  <c r="W147" i="30"/>
  <c r="W349" i="30"/>
  <c r="X305" i="30"/>
  <c r="X24" i="30"/>
  <c r="T706" i="30"/>
  <c r="R670" i="30"/>
  <c r="T797" i="30"/>
  <c r="T814" i="30"/>
  <c r="S706" i="30"/>
  <c r="X106" i="30"/>
  <c r="U391" i="30"/>
  <c r="T444" i="30"/>
  <c r="R380" i="30"/>
  <c r="X625" i="30"/>
  <c r="W841" i="30"/>
  <c r="R253" i="30"/>
  <c r="S434" i="30"/>
  <c r="S444" i="30"/>
  <c r="S391" i="30"/>
  <c r="U434" i="30"/>
  <c r="V380" i="30"/>
  <c r="W136" i="30"/>
  <c r="S814" i="30"/>
  <c r="S697" i="30"/>
  <c r="V697" i="30"/>
  <c r="R434" i="30"/>
  <c r="U424" i="30"/>
  <c r="V424" i="30"/>
  <c r="W179" i="30"/>
  <c r="W55" i="30"/>
  <c r="R652" i="30"/>
  <c r="R797" i="30"/>
  <c r="W733" i="30"/>
  <c r="V434" i="30"/>
  <c r="U380" i="30"/>
  <c r="U787" i="30"/>
  <c r="V253" i="30"/>
  <c r="R787" i="30"/>
  <c r="R391" i="30"/>
  <c r="W224" i="30"/>
  <c r="U253" i="30"/>
  <c r="X315" i="30"/>
  <c r="V391" i="30"/>
  <c r="W244" i="30"/>
  <c r="W188" i="30"/>
  <c r="W206" i="30"/>
  <c r="W264" i="30"/>
  <c r="W305" i="30"/>
  <c r="Z20" i="43"/>
  <c r="K21" i="43"/>
  <c r="L21" i="43" s="1"/>
  <c r="M21" i="43" s="1"/>
  <c r="D21" i="43"/>
  <c r="E21" i="43" s="1"/>
  <c r="G21" i="43"/>
  <c r="H21" i="43" s="1"/>
  <c r="I21" i="43" s="1"/>
  <c r="O21" i="43"/>
  <c r="P21" i="43" s="1"/>
  <c r="Q21" i="43" s="1"/>
  <c r="S21" i="43"/>
  <c r="T21" i="43" s="1"/>
  <c r="U21" i="43" s="1"/>
  <c r="C22" i="43"/>
  <c r="W21" i="43"/>
  <c r="X21" i="43" s="1"/>
  <c r="Y21" i="43" s="1"/>
  <c r="Z693" i="30"/>
  <c r="Z694" i="30"/>
  <c r="Z695" i="30"/>
  <c r="Y633" i="30"/>
  <c r="Y630" i="30"/>
  <c r="Y627" i="30"/>
  <c r="Y631" i="30"/>
  <c r="AJ66" i="31"/>
  <c r="AJ65" i="31"/>
  <c r="Z685" i="30"/>
  <c r="Z681" i="30"/>
  <c r="Z680" i="30"/>
  <c r="Z686" i="30"/>
  <c r="Z687" i="30"/>
  <c r="Z683" i="30"/>
  <c r="X739" i="30"/>
  <c r="X738" i="30"/>
  <c r="X737" i="30"/>
  <c r="AI64" i="31"/>
  <c r="T636" i="30"/>
  <c r="T635" i="30"/>
  <c r="T634" i="30"/>
  <c r="Y800" i="30"/>
  <c r="Y796" i="30"/>
  <c r="Y803" i="30"/>
  <c r="Y798" i="30"/>
  <c r="W794" i="30"/>
  <c r="W789" i="30"/>
  <c r="W791" i="30"/>
  <c r="U33" i="30"/>
  <c r="U39" i="30"/>
  <c r="U34" i="30"/>
  <c r="U40" i="30"/>
  <c r="Z796" i="30"/>
  <c r="Z802" i="30"/>
  <c r="Z798" i="30"/>
  <c r="AC322" i="30"/>
  <c r="AD322" i="30" s="1"/>
  <c r="AI72" i="31"/>
  <c r="W387" i="30"/>
  <c r="W386" i="30"/>
  <c r="U818" i="30"/>
  <c r="AH73" i="31"/>
  <c r="W381" i="30"/>
  <c r="W385" i="30"/>
  <c r="W384" i="30"/>
  <c r="V811" i="30"/>
  <c r="V806" i="30"/>
  <c r="U816" i="30"/>
  <c r="H53" i="31"/>
  <c r="S53" i="31" s="1"/>
  <c r="S17" i="34"/>
  <c r="AE118" i="30" s="1"/>
  <c r="AF118" i="30" s="1"/>
  <c r="AH53" i="31"/>
  <c r="W672" i="30"/>
  <c r="X151" i="30"/>
  <c r="V815" i="30"/>
  <c r="R781" i="30"/>
  <c r="U815" i="30"/>
  <c r="R54" i="31"/>
  <c r="AE653" i="30" s="1"/>
  <c r="AF653" i="30" s="1"/>
  <c r="AC653" i="30"/>
  <c r="AD653" i="30" s="1"/>
  <c r="R833" i="30"/>
  <c r="R834" i="30"/>
  <c r="R840" i="30"/>
  <c r="R836" i="30"/>
  <c r="U710" i="30"/>
  <c r="U707" i="30"/>
  <c r="AF57" i="31"/>
  <c r="H56" i="31"/>
  <c r="H55" i="31" s="1"/>
  <c r="N37" i="34"/>
  <c r="Z37" i="34" s="1"/>
  <c r="AI53" i="31"/>
  <c r="X149" i="30"/>
  <c r="V817" i="30"/>
  <c r="R785" i="30"/>
  <c r="R784" i="30"/>
  <c r="U817" i="30"/>
  <c r="R726" i="30"/>
  <c r="R727" i="30"/>
  <c r="R20" i="34"/>
  <c r="G53" i="31"/>
  <c r="R53" i="31" s="1"/>
  <c r="G56" i="31"/>
  <c r="V47" i="31"/>
  <c r="AE648" i="30" s="1"/>
  <c r="AF648" i="30" s="1"/>
  <c r="AC648" i="30"/>
  <c r="AD648" i="30" s="1"/>
  <c r="W14" i="34"/>
  <c r="AE102" i="30" s="1"/>
  <c r="AF102" i="30" s="1"/>
  <c r="AC102" i="30"/>
  <c r="AD102" i="30" s="1"/>
  <c r="AC242" i="30"/>
  <c r="AD242" i="30" s="1"/>
  <c r="W678" i="30"/>
  <c r="V822" i="30"/>
  <c r="V816" i="30"/>
  <c r="R783" i="30"/>
  <c r="L47" i="31"/>
  <c r="L17" i="34"/>
  <c r="W17" i="34"/>
  <c r="AE122" i="30" s="1"/>
  <c r="AF122" i="30" s="1"/>
  <c r="AC122" i="30"/>
  <c r="AD122" i="30" s="1"/>
  <c r="U705" i="30"/>
  <c r="U702" i="30"/>
  <c r="U698" i="30"/>
  <c r="AF50" i="31"/>
  <c r="U840" i="30"/>
  <c r="U836" i="30"/>
  <c r="U833" i="30"/>
  <c r="U730" i="30"/>
  <c r="AF71" i="31"/>
  <c r="U728" i="30"/>
  <c r="U727" i="30"/>
  <c r="L12" i="34"/>
  <c r="AC61" i="30"/>
  <c r="AD61" i="30" s="1"/>
  <c r="W12" i="34"/>
  <c r="AE61" i="30" s="1"/>
  <c r="AF61" i="30" s="1"/>
  <c r="T56" i="31"/>
  <c r="I55" i="31"/>
  <c r="T55" i="31" s="1"/>
  <c r="S62" i="34"/>
  <c r="AG57" i="31"/>
  <c r="V711" i="30"/>
  <c r="V710" i="30"/>
  <c r="X225" i="30"/>
  <c r="X230" i="30"/>
  <c r="X229" i="30"/>
  <c r="X193" i="30"/>
  <c r="X191" i="30"/>
  <c r="T700" i="30"/>
  <c r="T705" i="30"/>
  <c r="T701" i="30"/>
  <c r="AE50" i="31"/>
  <c r="T809" i="30"/>
  <c r="T810" i="30"/>
  <c r="T806" i="30"/>
  <c r="AC30" i="30"/>
  <c r="AD30" i="30" s="1"/>
  <c r="R821" i="30"/>
  <c r="R816" i="30"/>
  <c r="R822" i="30"/>
  <c r="R818" i="30"/>
  <c r="R815" i="30"/>
  <c r="L65" i="34"/>
  <c r="AC31" i="30" s="1"/>
  <c r="AD31" i="30" s="1"/>
  <c r="R710" i="30"/>
  <c r="R707" i="30"/>
  <c r="R713" i="30"/>
  <c r="R709" i="30"/>
  <c r="AC57" i="31"/>
  <c r="X185" i="30"/>
  <c r="X181" i="30"/>
  <c r="X183" i="30"/>
  <c r="X249" i="30"/>
  <c r="X252" i="30"/>
  <c r="X251" i="30"/>
  <c r="W659" i="30"/>
  <c r="W660" i="30"/>
  <c r="W657" i="30"/>
  <c r="W653" i="30"/>
  <c r="W654" i="30"/>
  <c r="X237" i="30"/>
  <c r="X241" i="30"/>
  <c r="X234" i="30"/>
  <c r="X235" i="30"/>
  <c r="AI54" i="31"/>
  <c r="X232" i="30"/>
  <c r="X240" i="30"/>
  <c r="W645" i="30"/>
  <c r="W650" i="30"/>
  <c r="W646" i="30"/>
  <c r="W651" i="30"/>
  <c r="W648" i="30"/>
  <c r="W644" i="30"/>
  <c r="X122" i="30"/>
  <c r="X117" i="30"/>
  <c r="X124" i="30"/>
  <c r="X120" i="30"/>
  <c r="AI47" i="31"/>
  <c r="R812" i="30"/>
  <c r="R813" i="30"/>
  <c r="R806" i="30"/>
  <c r="AB78" i="31"/>
  <c r="AB81" i="31"/>
  <c r="AB80" i="31" s="1"/>
  <c r="R479" i="30"/>
  <c r="R476" i="30"/>
  <c r="R481" i="30"/>
  <c r="R478" i="30"/>
  <c r="R474" i="30"/>
  <c r="AC84" i="31"/>
  <c r="AC83" i="31"/>
  <c r="S476" i="30"/>
  <c r="S479" i="30"/>
  <c r="AD84" i="31"/>
  <c r="AD83" i="31"/>
  <c r="S474" i="30"/>
  <c r="AE78" i="31"/>
  <c r="AE81" i="31"/>
  <c r="AE80" i="31" s="1"/>
  <c r="AE83" i="31"/>
  <c r="T481" i="30"/>
  <c r="T480" i="30"/>
  <c r="T478" i="30"/>
  <c r="AE84" i="31"/>
  <c r="T482" i="30"/>
  <c r="T479" i="30"/>
  <c r="T476" i="30"/>
  <c r="E78" i="31"/>
  <c r="P78" i="31" s="1"/>
  <c r="P67" i="34"/>
  <c r="E81" i="31"/>
  <c r="W398" i="30"/>
  <c r="W394" i="30"/>
  <c r="W390" i="30"/>
  <c r="W393" i="30"/>
  <c r="W399" i="30"/>
  <c r="W396" i="30"/>
  <c r="W392" i="30"/>
  <c r="W397" i="30"/>
  <c r="W389" i="30"/>
  <c r="W395" i="30"/>
  <c r="W448" i="30"/>
  <c r="W445" i="30"/>
  <c r="W447" i="30"/>
  <c r="W450" i="30"/>
  <c r="W446" i="30"/>
  <c r="W449" i="30"/>
  <c r="W451" i="30"/>
  <c r="W443" i="30"/>
  <c r="AH79" i="31"/>
  <c r="V664" i="30"/>
  <c r="V665" i="30"/>
  <c r="V661" i="30"/>
  <c r="V663" i="30"/>
  <c r="V666" i="30"/>
  <c r="V667" i="30"/>
  <c r="S668" i="30"/>
  <c r="S664" i="30"/>
  <c r="S661" i="30"/>
  <c r="W440" i="30"/>
  <c r="W436" i="30"/>
  <c r="W441" i="30"/>
  <c r="W433" i="30"/>
  <c r="W435" i="30"/>
  <c r="W442" i="30"/>
  <c r="W438" i="30"/>
  <c r="W437" i="30"/>
  <c r="W439" i="30"/>
  <c r="R698" i="30"/>
  <c r="R703" i="30"/>
  <c r="R699" i="30"/>
  <c r="AC50" i="31"/>
  <c r="R701" i="30"/>
  <c r="AA81" i="31"/>
  <c r="AA80" i="31" s="1"/>
  <c r="AA78" i="31"/>
  <c r="AF81" i="31"/>
  <c r="AF80" i="31" s="1"/>
  <c r="AF78" i="31"/>
  <c r="U480" i="30"/>
  <c r="U476" i="30"/>
  <c r="U481" i="30"/>
  <c r="U477" i="30"/>
  <c r="AF83" i="31"/>
  <c r="AF84" i="31"/>
  <c r="U482" i="30"/>
  <c r="U474" i="30"/>
  <c r="T669" i="30"/>
  <c r="T665" i="30"/>
  <c r="T666" i="30"/>
  <c r="T667" i="30"/>
  <c r="AB83" i="31"/>
  <c r="AB84" i="31"/>
  <c r="AC78" i="31"/>
  <c r="AC81" i="31"/>
  <c r="AC80" i="31" s="1"/>
  <c r="AD81" i="31"/>
  <c r="AD80" i="31" s="1"/>
  <c r="AD78" i="31"/>
  <c r="U666" i="30"/>
  <c r="U663" i="30"/>
  <c r="U668" i="30"/>
  <c r="U664" i="30"/>
  <c r="W430" i="30"/>
  <c r="W426" i="30"/>
  <c r="W422" i="30"/>
  <c r="W429" i="30"/>
  <c r="W425" i="30"/>
  <c r="W432" i="30"/>
  <c r="W428" i="30"/>
  <c r="W431" i="30"/>
  <c r="W427" i="30"/>
  <c r="W423" i="30"/>
  <c r="V477" i="30"/>
  <c r="V482" i="30"/>
  <c r="V478" i="30"/>
  <c r="V474" i="30"/>
  <c r="AG83" i="31"/>
  <c r="V479" i="30"/>
  <c r="V480" i="30"/>
  <c r="AG84" i="31"/>
  <c r="AG81" i="31"/>
  <c r="AG80" i="31" s="1"/>
  <c r="AG78" i="31"/>
  <c r="M34" i="34"/>
  <c r="AC230" i="30"/>
  <c r="AD230" i="30" s="1"/>
  <c r="X34" i="34"/>
  <c r="AE230" i="30" s="1"/>
  <c r="AF230" i="30" s="1"/>
  <c r="S765" i="30"/>
  <c r="S763" i="30"/>
  <c r="S761" i="30"/>
  <c r="S766" i="30"/>
  <c r="S759" i="30"/>
  <c r="S757" i="30"/>
  <c r="S756" i="30"/>
  <c r="S752" i="30"/>
  <c r="Y52" i="30"/>
  <c r="Y48" i="30"/>
  <c r="Y46" i="30"/>
  <c r="Y42" i="30"/>
  <c r="Y49" i="30"/>
  <c r="Y47" i="30"/>
  <c r="Y45" i="30"/>
  <c r="Y43" i="30"/>
  <c r="X143" i="30"/>
  <c r="X139" i="30"/>
  <c r="X142" i="30"/>
  <c r="X678" i="30"/>
  <c r="X674" i="30"/>
  <c r="X673" i="30"/>
  <c r="Y112" i="30"/>
  <c r="Y110" i="30"/>
  <c r="Y111" i="30"/>
  <c r="Y109" i="30"/>
  <c r="Y107" i="30"/>
  <c r="Y272" i="30"/>
  <c r="Y268" i="30"/>
  <c r="Y266" i="30"/>
  <c r="Y262" i="30"/>
  <c r="Y267" i="30"/>
  <c r="Y263" i="30"/>
  <c r="Y322" i="30"/>
  <c r="Y320" i="30"/>
  <c r="Y318" i="30"/>
  <c r="Y314" i="30"/>
  <c r="Y321" i="30"/>
  <c r="Y317" i="30"/>
  <c r="S785" i="30"/>
  <c r="S783" i="30"/>
  <c r="S781" i="30"/>
  <c r="T768" i="30"/>
  <c r="T763" i="30"/>
  <c r="V758" i="30"/>
  <c r="V756" i="30"/>
  <c r="V754" i="30"/>
  <c r="V757" i="30"/>
  <c r="W813" i="30"/>
  <c r="W811" i="30"/>
  <c r="W809" i="30"/>
  <c r="W812" i="30"/>
  <c r="W810" i="30"/>
  <c r="W808" i="30"/>
  <c r="W806" i="30"/>
  <c r="W705" i="30"/>
  <c r="W703" i="30"/>
  <c r="W701" i="30"/>
  <c r="W702" i="30"/>
  <c r="W700" i="30"/>
  <c r="Y354" i="30"/>
  <c r="Y357" i="30"/>
  <c r="Y353" i="30"/>
  <c r="W729" i="30"/>
  <c r="W725" i="30"/>
  <c r="W732" i="30"/>
  <c r="W730" i="30"/>
  <c r="V784" i="30"/>
  <c r="V780" i="30"/>
  <c r="V785" i="30"/>
  <c r="V783" i="30"/>
  <c r="V781" i="30"/>
  <c r="Y62" i="30"/>
  <c r="Y60" i="30"/>
  <c r="Y58" i="30"/>
  <c r="Y54" i="30"/>
  <c r="Y63" i="30"/>
  <c r="Y61" i="30"/>
  <c r="Y53" i="30"/>
  <c r="AE473" i="30"/>
  <c r="AF473" i="30" s="1"/>
  <c r="AE463" i="30"/>
  <c r="AF463" i="30" s="1"/>
  <c r="AE501" i="30"/>
  <c r="AF501" i="30" s="1"/>
  <c r="AE511" i="30"/>
  <c r="AF511" i="30" s="1"/>
  <c r="Z82" i="34"/>
  <c r="Z81" i="34"/>
  <c r="AE167" i="30"/>
  <c r="AF167" i="30" s="1"/>
  <c r="AC19" i="30" s="1"/>
  <c r="AD19" i="30" s="1"/>
  <c r="AE19" i="30" s="1"/>
  <c r="AE177" i="30"/>
  <c r="AF177" i="30" s="1"/>
  <c r="AJ63" i="31"/>
  <c r="AJ60" i="31"/>
  <c r="AI62" i="31"/>
  <c r="X85" i="31"/>
  <c r="N79" i="34"/>
  <c r="O88" i="31" s="1"/>
  <c r="Z88" i="31" s="1"/>
  <c r="N85" i="31"/>
  <c r="Y79" i="34"/>
  <c r="AI52" i="31"/>
  <c r="AI51" i="31"/>
  <c r="AH71" i="31"/>
  <c r="AH50" i="31"/>
  <c r="AJ68" i="31"/>
  <c r="AI67" i="31"/>
  <c r="AI70" i="31"/>
  <c r="AH69" i="31"/>
  <c r="AI46" i="31"/>
  <c r="AI49" i="31"/>
  <c r="AH48" i="31"/>
  <c r="M34" i="48"/>
  <c r="L32" i="48"/>
  <c r="L29" i="48" s="1"/>
  <c r="AE483" i="30"/>
  <c r="AF483" i="30" s="1"/>
  <c r="AC12" i="30" s="1"/>
  <c r="AD12" i="30" s="1"/>
  <c r="AE12" i="30" s="1"/>
  <c r="AE493" i="30"/>
  <c r="AF493" i="30" s="1"/>
  <c r="Y88" i="31"/>
  <c r="Z87" i="34"/>
  <c r="AH76" i="31"/>
  <c r="AH55" i="31"/>
  <c r="AI77" i="31"/>
  <c r="AI74" i="31"/>
  <c r="AE284" i="30"/>
  <c r="AF284" i="30" s="1"/>
  <c r="AE294" i="30"/>
  <c r="AF294" i="30" s="1"/>
  <c r="AE156" i="30"/>
  <c r="AF156" i="30" s="1"/>
  <c r="AE166" i="30"/>
  <c r="AF166" i="30" s="1"/>
  <c r="AE75" i="30"/>
  <c r="AF75" i="30" s="1"/>
  <c r="AE85" i="30"/>
  <c r="AF85" i="30" s="1"/>
  <c r="Q54" i="31"/>
  <c r="AE652" i="30" s="1"/>
  <c r="AF652" i="30" s="1"/>
  <c r="AC652" i="30"/>
  <c r="AD652" i="30" s="1"/>
  <c r="Q20" i="34"/>
  <c r="F56" i="31"/>
  <c r="F53" i="31"/>
  <c r="V77" i="31"/>
  <c r="K76" i="31"/>
  <c r="I82" i="31"/>
  <c r="T76" i="31"/>
  <c r="N35" i="34"/>
  <c r="Z35" i="34" s="1"/>
  <c r="AC155" i="30"/>
  <c r="AD155" i="30" s="1"/>
  <c r="Y35" i="34"/>
  <c r="AC145" i="30"/>
  <c r="AD145" i="30" s="1"/>
  <c r="S74" i="31"/>
  <c r="S77" i="31"/>
  <c r="H76" i="31"/>
  <c r="R77" i="31"/>
  <c r="G76" i="31"/>
  <c r="F76" i="31"/>
  <c r="Q77" i="31"/>
  <c r="V74" i="31"/>
  <c r="W63" i="34"/>
  <c r="L74" i="31"/>
  <c r="L62" i="34"/>
  <c r="L77" i="31"/>
  <c r="W62" i="34"/>
  <c r="J76" i="31"/>
  <c r="U77" i="31"/>
  <c r="U74" i="31"/>
  <c r="Q74" i="31"/>
  <c r="V70" i="31"/>
  <c r="K69" i="31"/>
  <c r="L48" i="34"/>
  <c r="L67" i="31"/>
  <c r="W48" i="34"/>
  <c r="X57" i="34"/>
  <c r="AE271" i="30" s="1"/>
  <c r="AF271" i="30" s="1"/>
  <c r="M57" i="34"/>
  <c r="AC271" i="30"/>
  <c r="AD271" i="30" s="1"/>
  <c r="R67" i="31"/>
  <c r="AC356" i="30"/>
  <c r="AD356" i="30" s="1"/>
  <c r="M58" i="34"/>
  <c r="X58" i="34"/>
  <c r="AE356" i="30" s="1"/>
  <c r="AF356" i="30" s="1"/>
  <c r="M68" i="31"/>
  <c r="U67" i="31"/>
  <c r="V67" i="31"/>
  <c r="Q48" i="34"/>
  <c r="F67" i="31"/>
  <c r="F70" i="31"/>
  <c r="T69" i="31"/>
  <c r="G69" i="31"/>
  <c r="R70" i="31"/>
  <c r="W68" i="31"/>
  <c r="AE676" i="30" s="1"/>
  <c r="AF676" i="30" s="1"/>
  <c r="AC676" i="30"/>
  <c r="AD676" i="30" s="1"/>
  <c r="U70" i="31"/>
  <c r="J69" i="31"/>
  <c r="L70" i="31"/>
  <c r="AC666" i="30"/>
  <c r="AD666" i="30" s="1"/>
  <c r="V79" i="31"/>
  <c r="AE666" i="30" s="1"/>
  <c r="AF666" i="30" s="1"/>
  <c r="Y52" i="34"/>
  <c r="AC313" i="30"/>
  <c r="AD313" i="30" s="1"/>
  <c r="Y53" i="34"/>
  <c r="AC303" i="30"/>
  <c r="AD303" i="30" s="1"/>
  <c r="N52" i="34"/>
  <c r="I80" i="31"/>
  <c r="T81" i="31"/>
  <c r="X53" i="31"/>
  <c r="Y20" i="34"/>
  <c r="N53" i="31"/>
  <c r="N56" i="31"/>
  <c r="N20" i="34"/>
  <c r="U46" i="31"/>
  <c r="T48" i="31"/>
  <c r="J81" i="31"/>
  <c r="U67" i="34"/>
  <c r="J78" i="31"/>
  <c r="AC665" i="30"/>
  <c r="AD665" i="30" s="1"/>
  <c r="U79" i="31"/>
  <c r="AE665" i="30" s="1"/>
  <c r="AF665" i="30" s="1"/>
  <c r="L70" i="34"/>
  <c r="AC430" i="30"/>
  <c r="AD430" i="30" s="1"/>
  <c r="W70" i="34"/>
  <c r="AE430" i="30" s="1"/>
  <c r="AF430" i="30" s="1"/>
  <c r="W71" i="34"/>
  <c r="AC440" i="30"/>
  <c r="AD440" i="30" s="1"/>
  <c r="W73" i="34"/>
  <c r="AE440" i="30" s="1"/>
  <c r="AF440" i="30" s="1"/>
  <c r="L73" i="34"/>
  <c r="L75" i="34"/>
  <c r="AC449" i="30"/>
  <c r="AD449" i="30" s="1"/>
  <c r="W75" i="34"/>
  <c r="AE449" i="30" s="1"/>
  <c r="AF449" i="30" s="1"/>
  <c r="L79" i="31"/>
  <c r="M16" i="34"/>
  <c r="AC51" i="30"/>
  <c r="AD51" i="30" s="1"/>
  <c r="X16" i="34"/>
  <c r="AE51" i="30" s="1"/>
  <c r="AF51" i="30" s="1"/>
  <c r="L46" i="31"/>
  <c r="L8" i="34"/>
  <c r="W8" i="34"/>
  <c r="L49" i="31"/>
  <c r="V46" i="31"/>
  <c r="K48" i="31"/>
  <c r="V49" i="31"/>
  <c r="T78" i="31"/>
  <c r="J48" i="31"/>
  <c r="U49" i="31"/>
  <c r="U55" i="31"/>
  <c r="W74" i="34"/>
  <c r="AE397" i="30" s="1"/>
  <c r="AF397" i="30" s="1"/>
  <c r="AC397" i="30"/>
  <c r="AD397" i="30" s="1"/>
  <c r="L74" i="34"/>
  <c r="K81" i="31"/>
  <c r="K78" i="31"/>
  <c r="V67" i="34"/>
  <c r="N54" i="34"/>
  <c r="Z54" i="34" s="1"/>
  <c r="N54" i="31"/>
  <c r="AC241" i="30"/>
  <c r="AD241" i="30" s="1"/>
  <c r="N36" i="34"/>
  <c r="Y36" i="34"/>
  <c r="AE241" i="30" s="1"/>
  <c r="AF241" i="30" s="1"/>
  <c r="N62" i="31"/>
  <c r="Y63" i="31"/>
  <c r="Z45" i="34"/>
  <c r="O63" i="31"/>
  <c r="S67" i="31"/>
  <c r="T75" i="31"/>
  <c r="AE637" i="30" s="1"/>
  <c r="AF637" i="30" s="1"/>
  <c r="AC637" i="30"/>
  <c r="AD637" i="30" s="1"/>
  <c r="AK87" i="31"/>
  <c r="H81" i="31"/>
  <c r="H78" i="31"/>
  <c r="S67" i="34"/>
  <c r="AE522" i="30"/>
  <c r="AF522" i="30" s="1"/>
  <c r="AE512" i="30"/>
  <c r="AF512" i="30" s="1"/>
  <c r="R46" i="31"/>
  <c r="Z42" i="34"/>
  <c r="Z41" i="34"/>
  <c r="AE568" i="30"/>
  <c r="AF568" i="30" s="1"/>
  <c r="AC13" i="30" s="1"/>
  <c r="AD13" i="30" s="1"/>
  <c r="AE13" i="30" s="1"/>
  <c r="AE578" i="30"/>
  <c r="AF578" i="30" s="1"/>
  <c r="S70" i="31"/>
  <c r="H69" i="31"/>
  <c r="O61" i="31"/>
  <c r="Z61" i="31" s="1"/>
  <c r="Z46" i="34"/>
  <c r="AC663" i="30"/>
  <c r="AD663" i="30" s="1"/>
  <c r="S79" i="31"/>
  <c r="AE663" i="30" s="1"/>
  <c r="AF663" i="30" s="1"/>
  <c r="F78" i="31"/>
  <c r="Q67" i="34"/>
  <c r="F81" i="31"/>
  <c r="Q8" i="34"/>
  <c r="F49" i="31"/>
  <c r="F46" i="31"/>
  <c r="AC645" i="30"/>
  <c r="AD645" i="30" s="1"/>
  <c r="S47" i="31"/>
  <c r="AE645" i="30" s="1"/>
  <c r="AF645" i="30" s="1"/>
  <c r="R81" i="31"/>
  <c r="G80" i="31"/>
  <c r="AE186" i="30"/>
  <c r="AF186" i="30" s="1"/>
  <c r="AC10" i="30" s="1"/>
  <c r="AD10" i="30" s="1"/>
  <c r="AE10" i="30" s="1"/>
  <c r="AE196" i="30"/>
  <c r="AF196" i="30" s="1"/>
  <c r="R49" i="31"/>
  <c r="G48" i="31"/>
  <c r="AE624" i="30"/>
  <c r="AF624" i="30" s="1"/>
  <c r="AE614" i="30"/>
  <c r="AF614" i="30" s="1"/>
  <c r="X62" i="31"/>
  <c r="S8" i="34"/>
  <c r="H46" i="31"/>
  <c r="H49" i="31"/>
  <c r="AE242" i="30"/>
  <c r="AF242" i="30" s="1"/>
  <c r="AE252" i="30"/>
  <c r="AF252" i="30" s="1"/>
  <c r="AF75" i="31"/>
  <c r="AE358" i="30"/>
  <c r="AF358" i="30" s="1"/>
  <c r="AE368" i="30"/>
  <c r="AF368" i="30" s="1"/>
  <c r="R78" i="31"/>
  <c r="AE586" i="30"/>
  <c r="AF586" i="30" s="1"/>
  <c r="AE596" i="30"/>
  <c r="AF596" i="30" s="1"/>
  <c r="Y61" i="31"/>
  <c r="AE687" i="30" s="1"/>
  <c r="AF687" i="30" s="1"/>
  <c r="AC687" i="30"/>
  <c r="AD687" i="30" s="1"/>
  <c r="U66" i="34"/>
  <c r="AE37" i="30" s="1"/>
  <c r="AF37" i="30" s="1"/>
  <c r="AC37" i="30"/>
  <c r="AD37" i="30" s="1"/>
  <c r="J66" i="34"/>
  <c r="K66" i="34" s="1"/>
  <c r="J75" i="31"/>
  <c r="N15" i="34"/>
  <c r="Z15" i="34" s="1"/>
  <c r="AE114" i="30"/>
  <c r="AF114" i="30" s="1"/>
  <c r="AC114" i="30"/>
  <c r="AD114" i="30" s="1"/>
  <c r="S56" i="31" l="1"/>
  <c r="Y54" i="34"/>
  <c r="AE323" i="30" s="1"/>
  <c r="AF323" i="30" s="1"/>
  <c r="X56" i="31"/>
  <c r="C12" i="36"/>
  <c r="M697" i="30"/>
  <c r="M699" i="30"/>
  <c r="M698" i="30"/>
  <c r="M705" i="30"/>
  <c r="M704" i="30"/>
  <c r="M700" i="30"/>
  <c r="M701" i="30"/>
  <c r="M703" i="30"/>
  <c r="M702" i="30"/>
  <c r="O62" i="30"/>
  <c r="O53" i="30"/>
  <c r="O63" i="30"/>
  <c r="O54" i="30"/>
  <c r="O57" i="30"/>
  <c r="Z57" i="30" s="1"/>
  <c r="O59" i="30"/>
  <c r="O61" i="30"/>
  <c r="O60" i="30"/>
  <c r="O58" i="30"/>
  <c r="O56" i="30"/>
  <c r="O55" i="30"/>
  <c r="M422" i="30"/>
  <c r="M432" i="30"/>
  <c r="M429" i="30"/>
  <c r="M428" i="30"/>
  <c r="M430" i="30"/>
  <c r="M425" i="30"/>
  <c r="M424" i="30"/>
  <c r="M431" i="30"/>
  <c r="X431" i="30" s="1"/>
  <c r="M426" i="30"/>
  <c r="M427" i="30"/>
  <c r="M423" i="30"/>
  <c r="I717" i="30"/>
  <c r="I716" i="30"/>
  <c r="I719" i="30"/>
  <c r="I722" i="30"/>
  <c r="I715" i="30"/>
  <c r="I718" i="30"/>
  <c r="I720" i="30"/>
  <c r="I721" i="30"/>
  <c r="I723" i="30"/>
  <c r="M380" i="30"/>
  <c r="M386" i="30"/>
  <c r="M382" i="30"/>
  <c r="X382" i="30" s="1"/>
  <c r="M381" i="30"/>
  <c r="M384" i="30"/>
  <c r="M387" i="30"/>
  <c r="X387" i="30" s="1"/>
  <c r="M385" i="30"/>
  <c r="X385" i="30" s="1"/>
  <c r="M388" i="30"/>
  <c r="M383" i="30"/>
  <c r="X383" i="30" s="1"/>
  <c r="N210" i="30"/>
  <c r="N206" i="30"/>
  <c r="N211" i="30"/>
  <c r="Y211" i="30" s="1"/>
  <c r="N213" i="30"/>
  <c r="N212" i="30"/>
  <c r="Y212" i="30" s="1"/>
  <c r="N207" i="30"/>
  <c r="N209" i="30"/>
  <c r="N208" i="30"/>
  <c r="N214" i="30"/>
  <c r="Y214" i="30" s="1"/>
  <c r="N736" i="30"/>
  <c r="N735" i="30"/>
  <c r="N738" i="30"/>
  <c r="Y738" i="30" s="1"/>
  <c r="N734" i="30"/>
  <c r="Y734" i="30" s="1"/>
  <c r="N741" i="30"/>
  <c r="N737" i="30"/>
  <c r="Y737" i="30" s="1"/>
  <c r="N739" i="30"/>
  <c r="N740" i="30"/>
  <c r="N733" i="30"/>
  <c r="N28" i="30"/>
  <c r="N22" i="30"/>
  <c r="Y22" i="30" s="1"/>
  <c r="N29" i="30"/>
  <c r="Y29" i="30" s="1"/>
  <c r="N27" i="30"/>
  <c r="N24" i="30"/>
  <c r="N23" i="30"/>
  <c r="Y23" i="30" s="1"/>
  <c r="N26" i="30"/>
  <c r="Y26" i="30" s="1"/>
  <c r="N30" i="30"/>
  <c r="Y30" i="30" s="1"/>
  <c r="N32" i="30"/>
  <c r="Y32" i="30" s="1"/>
  <c r="N25" i="30"/>
  <c r="Y25" i="30" s="1"/>
  <c r="N31" i="30"/>
  <c r="O356" i="30"/>
  <c r="O355" i="30"/>
  <c r="O352" i="30"/>
  <c r="O351" i="30"/>
  <c r="O350" i="30"/>
  <c r="O357" i="30"/>
  <c r="O349" i="30"/>
  <c r="Z349" i="30" s="1"/>
  <c r="O354" i="30"/>
  <c r="O353" i="30"/>
  <c r="M449" i="30"/>
  <c r="M448" i="30"/>
  <c r="M451" i="30"/>
  <c r="M447" i="30"/>
  <c r="M450" i="30"/>
  <c r="M445" i="30"/>
  <c r="M444" i="30"/>
  <c r="M446" i="30"/>
  <c r="M443" i="30"/>
  <c r="N237" i="30"/>
  <c r="Y237" i="30" s="1"/>
  <c r="N236" i="30"/>
  <c r="Y236" i="30" s="1"/>
  <c r="N239" i="30"/>
  <c r="N238" i="30"/>
  <c r="Y238" i="30" s="1"/>
  <c r="N233" i="30"/>
  <c r="N232" i="30"/>
  <c r="N235" i="30"/>
  <c r="N234" i="30"/>
  <c r="N240" i="30"/>
  <c r="Y240" i="30" s="1"/>
  <c r="N241" i="30"/>
  <c r="N242" i="30"/>
  <c r="N252" i="30"/>
  <c r="N247" i="30"/>
  <c r="Y247" i="30" s="1"/>
  <c r="N249" i="30"/>
  <c r="Y249" i="30" s="1"/>
  <c r="N248" i="30"/>
  <c r="N251" i="30"/>
  <c r="N250" i="30"/>
  <c r="N245" i="30"/>
  <c r="N244" i="30"/>
  <c r="N246" i="30"/>
  <c r="N243" i="30"/>
  <c r="N194" i="30"/>
  <c r="N189" i="30"/>
  <c r="N188" i="30"/>
  <c r="N187" i="30"/>
  <c r="Y187" i="30" s="1"/>
  <c r="N190" i="30"/>
  <c r="N186" i="30"/>
  <c r="N196" i="30"/>
  <c r="Y196" i="30" s="1"/>
  <c r="N193" i="30"/>
  <c r="Y193" i="30" s="1"/>
  <c r="N192" i="30"/>
  <c r="N191" i="30"/>
  <c r="N195" i="30"/>
  <c r="L821" i="30"/>
  <c r="W821" i="30" s="1"/>
  <c r="L822" i="30"/>
  <c r="W822" i="30" s="1"/>
  <c r="L814" i="30"/>
  <c r="L820" i="30"/>
  <c r="L819" i="30"/>
  <c r="W819" i="30" s="1"/>
  <c r="L818" i="30"/>
  <c r="W818" i="30" s="1"/>
  <c r="L817" i="30"/>
  <c r="L816" i="30"/>
  <c r="W816" i="30" s="1"/>
  <c r="L815" i="30"/>
  <c r="W815" i="30" s="1"/>
  <c r="N313" i="30"/>
  <c r="N312" i="30"/>
  <c r="N308" i="30"/>
  <c r="N304" i="30"/>
  <c r="Y304" i="30" s="1"/>
  <c r="N311" i="30"/>
  <c r="N310" i="30"/>
  <c r="N306" i="30"/>
  <c r="N307" i="30"/>
  <c r="Y307" i="30" s="1"/>
  <c r="N305" i="30"/>
  <c r="Y305" i="30" s="1"/>
  <c r="N303" i="30"/>
  <c r="N309" i="30"/>
  <c r="Y309" i="30" s="1"/>
  <c r="H828" i="30"/>
  <c r="H831" i="30"/>
  <c r="H829" i="30"/>
  <c r="H824" i="30"/>
  <c r="H827" i="30"/>
  <c r="H825" i="30"/>
  <c r="H830" i="30"/>
  <c r="H823" i="30"/>
  <c r="H826" i="30"/>
  <c r="S826" i="30" s="1"/>
  <c r="K763" i="30"/>
  <c r="V763" i="30" s="1"/>
  <c r="K762" i="30"/>
  <c r="K761" i="30"/>
  <c r="V761" i="30" s="1"/>
  <c r="K768" i="30"/>
  <c r="K764" i="30"/>
  <c r="K766" i="30"/>
  <c r="K765" i="30"/>
  <c r="K760" i="30"/>
  <c r="V760" i="30" s="1"/>
  <c r="K767" i="30"/>
  <c r="L837" i="30"/>
  <c r="L833" i="30"/>
  <c r="L840" i="30"/>
  <c r="W840" i="30" s="1"/>
  <c r="L834" i="30"/>
  <c r="L836" i="30"/>
  <c r="L839" i="30"/>
  <c r="W839" i="30" s="1"/>
  <c r="L838" i="30"/>
  <c r="L832" i="30"/>
  <c r="L835" i="30"/>
  <c r="K39" i="30"/>
  <c r="K34" i="30"/>
  <c r="K41" i="30"/>
  <c r="K35" i="30"/>
  <c r="K36" i="30"/>
  <c r="V36" i="30" s="1"/>
  <c r="K40" i="30"/>
  <c r="K33" i="30"/>
  <c r="K37" i="30"/>
  <c r="K38" i="30"/>
  <c r="V38" i="30" s="1"/>
  <c r="N677" i="30"/>
  <c r="N672" i="30"/>
  <c r="N673" i="30"/>
  <c r="N675" i="30"/>
  <c r="N674" i="30"/>
  <c r="N671" i="30"/>
  <c r="N676" i="30"/>
  <c r="N670" i="30"/>
  <c r="N678" i="30"/>
  <c r="Y678" i="30" s="1"/>
  <c r="O265" i="30"/>
  <c r="O272" i="30"/>
  <c r="Z272" i="30" s="1"/>
  <c r="O271" i="30"/>
  <c r="O268" i="30"/>
  <c r="O267" i="30"/>
  <c r="O266" i="30"/>
  <c r="O269" i="30"/>
  <c r="O263" i="30"/>
  <c r="O262" i="30"/>
  <c r="O270" i="30"/>
  <c r="O264" i="30"/>
  <c r="M812" i="30"/>
  <c r="M811" i="30"/>
  <c r="M810" i="30"/>
  <c r="X810" i="30" s="1"/>
  <c r="M808" i="30"/>
  <c r="M807" i="30"/>
  <c r="M806" i="30"/>
  <c r="M809" i="30"/>
  <c r="M805" i="30"/>
  <c r="M813" i="30"/>
  <c r="O100" i="30"/>
  <c r="O99" i="30"/>
  <c r="O95" i="30"/>
  <c r="Z95" i="30" s="1"/>
  <c r="O96" i="30"/>
  <c r="O102" i="30"/>
  <c r="O97" i="30"/>
  <c r="O104" i="30"/>
  <c r="Z104" i="30" s="1"/>
  <c r="O103" i="30"/>
  <c r="O98" i="30"/>
  <c r="O101" i="30"/>
  <c r="K824" i="30"/>
  <c r="K830" i="30"/>
  <c r="K826" i="30"/>
  <c r="K831" i="30"/>
  <c r="K827" i="30"/>
  <c r="V827" i="30" s="1"/>
  <c r="K829" i="30"/>
  <c r="K825" i="30"/>
  <c r="K828" i="30"/>
  <c r="K823" i="30"/>
  <c r="K715" i="30"/>
  <c r="K717" i="30"/>
  <c r="K720" i="30"/>
  <c r="K723" i="30"/>
  <c r="V723" i="30" s="1"/>
  <c r="K722" i="30"/>
  <c r="K716" i="30"/>
  <c r="K718" i="30"/>
  <c r="K719" i="30"/>
  <c r="K721" i="30"/>
  <c r="V721" i="30" s="1"/>
  <c r="J830" i="30"/>
  <c r="J823" i="30"/>
  <c r="J828" i="30"/>
  <c r="J826" i="30"/>
  <c r="J829" i="30"/>
  <c r="J825" i="30"/>
  <c r="J824" i="30"/>
  <c r="J831" i="30"/>
  <c r="J827" i="30"/>
  <c r="I823" i="30"/>
  <c r="I826" i="30"/>
  <c r="T826" i="30" s="1"/>
  <c r="I825" i="30"/>
  <c r="T825" i="30" s="1"/>
  <c r="I831" i="30"/>
  <c r="I828" i="30"/>
  <c r="T828" i="30" s="1"/>
  <c r="I827" i="30"/>
  <c r="T827" i="30" s="1"/>
  <c r="I830" i="30"/>
  <c r="I824" i="30"/>
  <c r="I829" i="30"/>
  <c r="G825" i="30"/>
  <c r="G828" i="30"/>
  <c r="G830" i="30"/>
  <c r="G824" i="30"/>
  <c r="G826" i="30"/>
  <c r="R826" i="30" s="1"/>
  <c r="G831" i="30"/>
  <c r="G827" i="30"/>
  <c r="G823" i="30"/>
  <c r="R823" i="30" s="1"/>
  <c r="G829" i="30"/>
  <c r="R829" i="30" s="1"/>
  <c r="N124" i="30"/>
  <c r="N118" i="30"/>
  <c r="N115" i="30"/>
  <c r="N120" i="30"/>
  <c r="Y120" i="30" s="1"/>
  <c r="N121" i="30"/>
  <c r="N117" i="30"/>
  <c r="N116" i="30"/>
  <c r="N119" i="30"/>
  <c r="Y119" i="30" s="1"/>
  <c r="N122" i="30"/>
  <c r="Y122" i="30" s="1"/>
  <c r="N123" i="30"/>
  <c r="M654" i="30"/>
  <c r="M656" i="30"/>
  <c r="X656" i="30" s="1"/>
  <c r="M652" i="30"/>
  <c r="M657" i="30"/>
  <c r="M655" i="30"/>
  <c r="M658" i="30"/>
  <c r="X658" i="30" s="1"/>
  <c r="M660" i="30"/>
  <c r="M653" i="30"/>
  <c r="M659" i="30"/>
  <c r="G762" i="30"/>
  <c r="R762" i="30" s="1"/>
  <c r="G763" i="30"/>
  <c r="R763" i="30" s="1"/>
  <c r="G768" i="30"/>
  <c r="G764" i="30"/>
  <c r="R764" i="30" s="1"/>
  <c r="G761" i="30"/>
  <c r="G766" i="30"/>
  <c r="G765" i="30"/>
  <c r="G767" i="30"/>
  <c r="G760" i="30"/>
  <c r="J782" i="30"/>
  <c r="J781" i="30"/>
  <c r="J779" i="30"/>
  <c r="J778" i="30"/>
  <c r="J783" i="30"/>
  <c r="J785" i="30"/>
  <c r="J784" i="30"/>
  <c r="J786" i="30"/>
  <c r="U786" i="30" s="1"/>
  <c r="J780" i="30"/>
  <c r="J755" i="30"/>
  <c r="J758" i="30"/>
  <c r="J757" i="30"/>
  <c r="U757" i="30" s="1"/>
  <c r="J752" i="30"/>
  <c r="J751" i="30"/>
  <c r="J754" i="30"/>
  <c r="J756" i="30"/>
  <c r="J759" i="30"/>
  <c r="U759" i="30" s="1"/>
  <c r="J753" i="30"/>
  <c r="N153" i="30"/>
  <c r="Y153" i="30" s="1"/>
  <c r="N152" i="30"/>
  <c r="Y152" i="30" s="1"/>
  <c r="N146" i="30"/>
  <c r="N147" i="30"/>
  <c r="N154" i="30"/>
  <c r="Y154" i="30" s="1"/>
  <c r="N149" i="30"/>
  <c r="N148" i="30"/>
  <c r="N150" i="30"/>
  <c r="N155" i="30"/>
  <c r="Y155" i="30" s="1"/>
  <c r="N151" i="30"/>
  <c r="Y151" i="30" s="1"/>
  <c r="N145" i="30"/>
  <c r="M787" i="30"/>
  <c r="M788" i="30"/>
  <c r="X788" i="30" s="1"/>
  <c r="M792" i="30"/>
  <c r="M789" i="30"/>
  <c r="M793" i="30"/>
  <c r="M795" i="30"/>
  <c r="M794" i="30"/>
  <c r="X794" i="30" s="1"/>
  <c r="M790" i="30"/>
  <c r="X790" i="30" s="1"/>
  <c r="M791" i="30"/>
  <c r="O625" i="30"/>
  <c r="O633" i="30"/>
  <c r="Z633" i="30" s="1"/>
  <c r="O628" i="30"/>
  <c r="Z628" i="30" s="1"/>
  <c r="O631" i="30"/>
  <c r="O627" i="30"/>
  <c r="Z627" i="30" s="1"/>
  <c r="O626" i="30"/>
  <c r="Z626" i="30" s="1"/>
  <c r="O630" i="30"/>
  <c r="O629" i="30"/>
  <c r="O632" i="30"/>
  <c r="N104" i="30"/>
  <c r="Y104" i="30" s="1"/>
  <c r="N103" i="30"/>
  <c r="Y103" i="30" s="1"/>
  <c r="N102" i="30"/>
  <c r="Y102" i="30" s="1"/>
  <c r="N101" i="30"/>
  <c r="Y101" i="30" s="1"/>
  <c r="N100" i="30"/>
  <c r="Y100" i="30" s="1"/>
  <c r="N95" i="30"/>
  <c r="Y95" i="30" s="1"/>
  <c r="N97" i="30"/>
  <c r="N98" i="30"/>
  <c r="Y98" i="30" s="1"/>
  <c r="N99" i="30"/>
  <c r="N96" i="30"/>
  <c r="M729" i="30"/>
  <c r="M728" i="30"/>
  <c r="M731" i="30"/>
  <c r="M725" i="30"/>
  <c r="M724" i="30"/>
  <c r="M727" i="30"/>
  <c r="M726" i="30"/>
  <c r="X726" i="30" s="1"/>
  <c r="M732" i="30"/>
  <c r="M730" i="30"/>
  <c r="F723" i="30"/>
  <c r="Q723" i="30" s="1"/>
  <c r="F722" i="30"/>
  <c r="Q722" i="30" s="1"/>
  <c r="F721" i="30"/>
  <c r="Q721" i="30" s="1"/>
  <c r="F716" i="30"/>
  <c r="Q716" i="30" s="1"/>
  <c r="F720" i="30"/>
  <c r="Q720" i="30" s="1"/>
  <c r="F718" i="30"/>
  <c r="Q718" i="30" s="1"/>
  <c r="F719" i="30"/>
  <c r="Q719" i="30" s="1"/>
  <c r="F715" i="30"/>
  <c r="Q715" i="30" s="1"/>
  <c r="F717" i="30"/>
  <c r="Q717" i="30" s="1"/>
  <c r="G751" i="30"/>
  <c r="G753" i="30"/>
  <c r="R753" i="30" s="1"/>
  <c r="G759" i="30"/>
  <c r="G757" i="30"/>
  <c r="R757" i="30" s="1"/>
  <c r="G756" i="30"/>
  <c r="G758" i="30"/>
  <c r="G754" i="30"/>
  <c r="G752" i="30"/>
  <c r="R752" i="30" s="1"/>
  <c r="G755" i="30"/>
  <c r="L780" i="30"/>
  <c r="L779" i="30"/>
  <c r="L781" i="30"/>
  <c r="L778" i="30"/>
  <c r="L785" i="30"/>
  <c r="W785" i="30" s="1"/>
  <c r="L782" i="30"/>
  <c r="L783" i="30"/>
  <c r="W783" i="30" s="1"/>
  <c r="L786" i="30"/>
  <c r="L784" i="30"/>
  <c r="N141" i="30"/>
  <c r="N140" i="30"/>
  <c r="Y140" i="30" s="1"/>
  <c r="N143" i="30"/>
  <c r="N138" i="30"/>
  <c r="N136" i="30"/>
  <c r="N137" i="30"/>
  <c r="N142" i="30"/>
  <c r="Y142" i="30" s="1"/>
  <c r="N139" i="30"/>
  <c r="N144" i="30"/>
  <c r="O323" i="30"/>
  <c r="O320" i="30"/>
  <c r="O318" i="30"/>
  <c r="O317" i="30"/>
  <c r="O316" i="30"/>
  <c r="O319" i="30"/>
  <c r="O315" i="30"/>
  <c r="O314" i="30"/>
  <c r="O321" i="30"/>
  <c r="Z321" i="30" s="1"/>
  <c r="O322" i="30"/>
  <c r="M438" i="30"/>
  <c r="X438" i="30" s="1"/>
  <c r="M433" i="30"/>
  <c r="M434" i="30"/>
  <c r="M435" i="30"/>
  <c r="M441" i="30"/>
  <c r="M440" i="30"/>
  <c r="M442" i="30"/>
  <c r="X442" i="30" s="1"/>
  <c r="M436" i="30"/>
  <c r="M439" i="30"/>
  <c r="M437" i="30"/>
  <c r="M390" i="30"/>
  <c r="M397" i="30"/>
  <c r="X397" i="30" s="1"/>
  <c r="M396" i="30"/>
  <c r="X396" i="30" s="1"/>
  <c r="M398" i="30"/>
  <c r="M393" i="30"/>
  <c r="X393" i="30" s="1"/>
  <c r="M392" i="30"/>
  <c r="M389" i="30"/>
  <c r="M391" i="30"/>
  <c r="M394" i="30"/>
  <c r="X394" i="30" s="1"/>
  <c r="M395" i="30"/>
  <c r="M399" i="30"/>
  <c r="G719" i="30"/>
  <c r="G718" i="30"/>
  <c r="G721" i="30"/>
  <c r="G716" i="30"/>
  <c r="G715" i="30"/>
  <c r="G717" i="30"/>
  <c r="R717" i="30" s="1"/>
  <c r="G720" i="30"/>
  <c r="G722" i="30"/>
  <c r="G723" i="30"/>
  <c r="M649" i="30"/>
  <c r="X649" i="30" s="1"/>
  <c r="M650" i="30"/>
  <c r="M645" i="30"/>
  <c r="M646" i="30"/>
  <c r="M648" i="30"/>
  <c r="X648" i="30" s="1"/>
  <c r="M651" i="30"/>
  <c r="X651" i="30" s="1"/>
  <c r="M643" i="30"/>
  <c r="M647" i="30"/>
  <c r="M644" i="30"/>
  <c r="X644" i="30" s="1"/>
  <c r="N178" i="30"/>
  <c r="N183" i="30"/>
  <c r="N185" i="30"/>
  <c r="N184" i="30"/>
  <c r="Y184" i="30" s="1"/>
  <c r="N179" i="30"/>
  <c r="N181" i="30"/>
  <c r="N180" i="30"/>
  <c r="N182" i="30"/>
  <c r="Y182" i="30" s="1"/>
  <c r="I751" i="30"/>
  <c r="I759" i="30"/>
  <c r="T759" i="30" s="1"/>
  <c r="I756" i="30"/>
  <c r="I754" i="30"/>
  <c r="T754" i="30" s="1"/>
  <c r="I758" i="30"/>
  <c r="I753" i="30"/>
  <c r="I755" i="30"/>
  <c r="I757" i="30"/>
  <c r="I752" i="30"/>
  <c r="N226" i="30"/>
  <c r="N227" i="30"/>
  <c r="N231" i="30"/>
  <c r="Y231" i="30" s="1"/>
  <c r="N229" i="30"/>
  <c r="Y229" i="30" s="1"/>
  <c r="N228" i="30"/>
  <c r="N230" i="30"/>
  <c r="N224" i="30"/>
  <c r="N225" i="30"/>
  <c r="N842" i="30"/>
  <c r="N845" i="30"/>
  <c r="N847" i="30"/>
  <c r="Y847" i="30" s="1"/>
  <c r="N841" i="30"/>
  <c r="N843" i="30"/>
  <c r="N848" i="30"/>
  <c r="Y848" i="30" s="1"/>
  <c r="N844" i="30"/>
  <c r="Y844" i="30" s="1"/>
  <c r="N846" i="30"/>
  <c r="Y846" i="30" s="1"/>
  <c r="N849" i="30"/>
  <c r="Y849" i="30" s="1"/>
  <c r="J635" i="30"/>
  <c r="J640" i="30"/>
  <c r="U640" i="30" s="1"/>
  <c r="J634" i="30"/>
  <c r="J641" i="30"/>
  <c r="J636" i="30"/>
  <c r="J637" i="30"/>
  <c r="U637" i="30" s="1"/>
  <c r="J639" i="30"/>
  <c r="J642" i="30"/>
  <c r="U642" i="30" s="1"/>
  <c r="J638" i="30"/>
  <c r="L759" i="30"/>
  <c r="W759" i="30" s="1"/>
  <c r="L754" i="30"/>
  <c r="W754" i="30" s="1"/>
  <c r="L753" i="30"/>
  <c r="W753" i="30" s="1"/>
  <c r="L756" i="30"/>
  <c r="L752" i="30"/>
  <c r="W752" i="30" s="1"/>
  <c r="L755" i="30"/>
  <c r="L758" i="30"/>
  <c r="L751" i="30"/>
  <c r="L757" i="30"/>
  <c r="W757" i="30" s="1"/>
  <c r="O105" i="30"/>
  <c r="O113" i="30"/>
  <c r="Z113" i="30" s="1"/>
  <c r="O114" i="30"/>
  <c r="O112" i="30"/>
  <c r="Z112" i="30" s="1"/>
  <c r="O111" i="30"/>
  <c r="Z111" i="30" s="1"/>
  <c r="O110" i="30"/>
  <c r="Z110" i="30" s="1"/>
  <c r="O108" i="30"/>
  <c r="O107" i="30"/>
  <c r="Z107" i="30" s="1"/>
  <c r="O109" i="30"/>
  <c r="O106" i="30"/>
  <c r="O51" i="30"/>
  <c r="O48" i="30"/>
  <c r="O47" i="30"/>
  <c r="O50" i="30"/>
  <c r="O45" i="30"/>
  <c r="O52" i="30"/>
  <c r="Z52" i="30" s="1"/>
  <c r="O43" i="30"/>
  <c r="O42" i="30"/>
  <c r="O49" i="30"/>
  <c r="O46" i="30"/>
  <c r="Z46" i="30" s="1"/>
  <c r="O44" i="30"/>
  <c r="J723" i="30"/>
  <c r="J720" i="30"/>
  <c r="J719" i="30"/>
  <c r="U719" i="30" s="1"/>
  <c r="J722" i="30"/>
  <c r="U722" i="30" s="1"/>
  <c r="J716" i="30"/>
  <c r="J715" i="30"/>
  <c r="J718" i="30"/>
  <c r="J717" i="30"/>
  <c r="U717" i="30" s="1"/>
  <c r="J721" i="30"/>
  <c r="U721" i="30" s="1"/>
  <c r="L663" i="30"/>
  <c r="L665" i="30"/>
  <c r="W665" i="30" s="1"/>
  <c r="L661" i="30"/>
  <c r="L666" i="30"/>
  <c r="L667" i="30"/>
  <c r="L669" i="30"/>
  <c r="W669" i="30" s="1"/>
  <c r="L662" i="30"/>
  <c r="L664" i="30"/>
  <c r="L668" i="30"/>
  <c r="H715" i="30"/>
  <c r="S715" i="30" s="1"/>
  <c r="H722" i="30"/>
  <c r="S722" i="30" s="1"/>
  <c r="H721" i="30"/>
  <c r="S721" i="30" s="1"/>
  <c r="H719" i="30"/>
  <c r="H718" i="30"/>
  <c r="S718" i="30" s="1"/>
  <c r="H717" i="30"/>
  <c r="H720" i="30"/>
  <c r="H723" i="30"/>
  <c r="H716" i="30"/>
  <c r="J766" i="30"/>
  <c r="J765" i="30"/>
  <c r="U765" i="30" s="1"/>
  <c r="J761" i="30"/>
  <c r="J767" i="30"/>
  <c r="U767" i="30" s="1"/>
  <c r="J760" i="30"/>
  <c r="J768" i="30"/>
  <c r="U768" i="30" s="1"/>
  <c r="J764" i="30"/>
  <c r="U764" i="30" s="1"/>
  <c r="J763" i="30"/>
  <c r="U763" i="30" s="1"/>
  <c r="J762" i="30"/>
  <c r="M261" i="30"/>
  <c r="M260" i="30"/>
  <c r="X260" i="30" s="1"/>
  <c r="M258" i="30"/>
  <c r="X258" i="30" s="1"/>
  <c r="M257" i="30"/>
  <c r="X257" i="30" s="1"/>
  <c r="M259" i="30"/>
  <c r="X259" i="30" s="1"/>
  <c r="M254" i="30"/>
  <c r="X254" i="30" s="1"/>
  <c r="M253" i="30"/>
  <c r="M255" i="30"/>
  <c r="X255" i="30" s="1"/>
  <c r="M256" i="30"/>
  <c r="X256" i="30" s="1"/>
  <c r="L706" i="30"/>
  <c r="W706" i="30" s="1"/>
  <c r="L708" i="30"/>
  <c r="W708" i="30" s="1"/>
  <c r="L707" i="30"/>
  <c r="W707" i="30" s="1"/>
  <c r="L714" i="30"/>
  <c r="W714" i="30" s="1"/>
  <c r="L713" i="30"/>
  <c r="W713" i="30" s="1"/>
  <c r="L711" i="30"/>
  <c r="W711" i="30" s="1"/>
  <c r="L710" i="30"/>
  <c r="W710" i="30" s="1"/>
  <c r="L712" i="30"/>
  <c r="W712" i="30" s="1"/>
  <c r="L709" i="30"/>
  <c r="W709" i="30" s="1"/>
  <c r="W838" i="30"/>
  <c r="W836" i="30"/>
  <c r="W834" i="30"/>
  <c r="W835" i="30"/>
  <c r="W837" i="30"/>
  <c r="W833" i="30"/>
  <c r="F825" i="30"/>
  <c r="Q825" i="30" s="1"/>
  <c r="F827" i="30"/>
  <c r="Q827" i="30" s="1"/>
  <c r="F829" i="30"/>
  <c r="Q829" i="30" s="1"/>
  <c r="F831" i="30"/>
  <c r="Q831" i="30" s="1"/>
  <c r="F824" i="30"/>
  <c r="Q824" i="30" s="1"/>
  <c r="F826" i="30"/>
  <c r="Q826" i="30" s="1"/>
  <c r="F828" i="30"/>
  <c r="Q828" i="30" s="1"/>
  <c r="F830" i="30"/>
  <c r="Q830" i="30" s="1"/>
  <c r="F823" i="30"/>
  <c r="Q823" i="30" s="1"/>
  <c r="V766" i="30"/>
  <c r="Y310" i="30"/>
  <c r="Y312" i="30"/>
  <c r="Y311" i="30"/>
  <c r="Y306" i="30"/>
  <c r="Y97" i="30"/>
  <c r="Y27" i="30"/>
  <c r="Y24" i="30"/>
  <c r="X384" i="30"/>
  <c r="AJ72" i="31"/>
  <c r="X386" i="30"/>
  <c r="X388" i="30"/>
  <c r="X381" i="30"/>
  <c r="AI73" i="31"/>
  <c r="Y303" i="30"/>
  <c r="Y308" i="30"/>
  <c r="Y313" i="30"/>
  <c r="X261" i="30"/>
  <c r="Y99" i="30"/>
  <c r="AC659" i="30"/>
  <c r="AD659" i="30" s="1"/>
  <c r="AI56" i="31"/>
  <c r="AI55" i="31" s="1"/>
  <c r="AJ56" i="31"/>
  <c r="AH57" i="31"/>
  <c r="AI58" i="31"/>
  <c r="AI57" i="31" s="1"/>
  <c r="AI59" i="31"/>
  <c r="W817" i="30"/>
  <c r="V768" i="30"/>
  <c r="Y207" i="30"/>
  <c r="Y206" i="30"/>
  <c r="W820" i="30"/>
  <c r="W814" i="30"/>
  <c r="Y28" i="30"/>
  <c r="Y31" i="30"/>
  <c r="Y55" i="30"/>
  <c r="S760" i="30"/>
  <c r="S662" i="30"/>
  <c r="R805" i="30"/>
  <c r="X206" i="30"/>
  <c r="X380" i="30"/>
  <c r="R697" i="30"/>
  <c r="W444" i="30"/>
  <c r="W643" i="30"/>
  <c r="R706" i="30"/>
  <c r="R778" i="30"/>
  <c r="X841" i="30"/>
  <c r="W724" i="30"/>
  <c r="Y315" i="30"/>
  <c r="V475" i="30"/>
  <c r="U475" i="30"/>
  <c r="V662" i="30"/>
  <c r="W391" i="30"/>
  <c r="W670" i="30"/>
  <c r="U814" i="30"/>
  <c r="Y106" i="30"/>
  <c r="S475" i="30"/>
  <c r="W697" i="30"/>
  <c r="V751" i="30"/>
  <c r="Y96" i="30"/>
  <c r="W424" i="30"/>
  <c r="U832" i="30"/>
  <c r="W787" i="30"/>
  <c r="W805" i="30"/>
  <c r="W832" i="30"/>
  <c r="T760" i="30"/>
  <c r="T662" i="30"/>
  <c r="X179" i="30"/>
  <c r="T805" i="30"/>
  <c r="V706" i="30"/>
  <c r="U706" i="30"/>
  <c r="X136" i="30"/>
  <c r="S751" i="30"/>
  <c r="T475" i="30"/>
  <c r="R475" i="30"/>
  <c r="X116" i="30"/>
  <c r="X244" i="30"/>
  <c r="R814" i="30"/>
  <c r="X147" i="30"/>
  <c r="Y625" i="30"/>
  <c r="X670" i="30"/>
  <c r="X233" i="30"/>
  <c r="W380" i="30"/>
  <c r="W652" i="30"/>
  <c r="U724" i="30"/>
  <c r="R832" i="30"/>
  <c r="S778" i="30"/>
  <c r="Y44" i="30"/>
  <c r="U662" i="30"/>
  <c r="X733" i="30"/>
  <c r="V778" i="30"/>
  <c r="Y264" i="30"/>
  <c r="Y349" i="30"/>
  <c r="X253" i="30"/>
  <c r="W434" i="30"/>
  <c r="T697" i="30"/>
  <c r="X188" i="30"/>
  <c r="X224" i="30"/>
  <c r="U697" i="30"/>
  <c r="S22" i="43"/>
  <c r="T22" i="43" s="1"/>
  <c r="U22" i="43" s="1"/>
  <c r="C23" i="43"/>
  <c r="W22" i="43"/>
  <c r="X22" i="43" s="1"/>
  <c r="Y22" i="43" s="1"/>
  <c r="K22" i="43"/>
  <c r="D22" i="43"/>
  <c r="E22" i="43" s="1"/>
  <c r="G22" i="43"/>
  <c r="H22" i="43" s="1"/>
  <c r="I22" i="43" s="1"/>
  <c r="O22" i="43"/>
  <c r="P22" i="43" s="1"/>
  <c r="Q22" i="43" s="1"/>
  <c r="Z21" i="43"/>
  <c r="Y740" i="30"/>
  <c r="Y736" i="30"/>
  <c r="Y739" i="30"/>
  <c r="Y735" i="30"/>
  <c r="Y741" i="30"/>
  <c r="AJ64" i="31"/>
  <c r="V41" i="30"/>
  <c r="V33" i="30"/>
  <c r="V39" i="30"/>
  <c r="V35" i="30"/>
  <c r="V34" i="30"/>
  <c r="V37" i="30"/>
  <c r="V40" i="30"/>
  <c r="U641" i="30"/>
  <c r="U636" i="30"/>
  <c r="U638" i="30"/>
  <c r="U634" i="30"/>
  <c r="U639" i="30"/>
  <c r="U635" i="30"/>
  <c r="Z630" i="30"/>
  <c r="Z629" i="30"/>
  <c r="Z625" i="30"/>
  <c r="Z631" i="30"/>
  <c r="Z632" i="30"/>
  <c r="AK66" i="31"/>
  <c r="AK65" i="31"/>
  <c r="X795" i="30"/>
  <c r="X791" i="30"/>
  <c r="X792" i="30"/>
  <c r="X789" i="30"/>
  <c r="X793" i="30"/>
  <c r="Y843" i="30"/>
  <c r="Y842" i="30"/>
  <c r="Y845" i="30"/>
  <c r="M65" i="34"/>
  <c r="AC22" i="30" s="1"/>
  <c r="AD22" i="30" s="1"/>
  <c r="Y148" i="30"/>
  <c r="Y210" i="30"/>
  <c r="V765" i="30"/>
  <c r="V764" i="30"/>
  <c r="Y145" i="30"/>
  <c r="Y146" i="30"/>
  <c r="Y149" i="30"/>
  <c r="Y150" i="30"/>
  <c r="Y209" i="30"/>
  <c r="Y213" i="30"/>
  <c r="Y208" i="30"/>
  <c r="G55" i="31"/>
  <c r="R55" i="31" s="1"/>
  <c r="R56" i="31"/>
  <c r="U761" i="30"/>
  <c r="U766" i="30"/>
  <c r="U762" i="30"/>
  <c r="U783" i="30"/>
  <c r="U779" i="30"/>
  <c r="U784" i="30"/>
  <c r="U780" i="30"/>
  <c r="U785" i="30"/>
  <c r="U781" i="30"/>
  <c r="U782" i="30"/>
  <c r="W47" i="31"/>
  <c r="AE649" i="30" s="1"/>
  <c r="AF649" i="30" s="1"/>
  <c r="AC649" i="30"/>
  <c r="AD649" i="30" s="1"/>
  <c r="X14" i="34"/>
  <c r="AE103" i="30" s="1"/>
  <c r="AF103" i="30" s="1"/>
  <c r="AC103" i="30"/>
  <c r="AD103" i="30" s="1"/>
  <c r="M12" i="34"/>
  <c r="AC62" i="30"/>
  <c r="AD62" i="30" s="1"/>
  <c r="X12" i="34"/>
  <c r="AE62" i="30" s="1"/>
  <c r="AF62" i="30" s="1"/>
  <c r="U755" i="30"/>
  <c r="U756" i="30"/>
  <c r="U752" i="30"/>
  <c r="U758" i="30"/>
  <c r="U753" i="30"/>
  <c r="U754" i="30"/>
  <c r="X17" i="34"/>
  <c r="AE123" i="30" s="1"/>
  <c r="AF123" i="30" s="1"/>
  <c r="AC123" i="30"/>
  <c r="AD123" i="30" s="1"/>
  <c r="M47" i="31"/>
  <c r="M17" i="34"/>
  <c r="X65" i="34"/>
  <c r="AE31" i="30" s="1"/>
  <c r="AF31" i="30" s="1"/>
  <c r="V767" i="30"/>
  <c r="V762" i="30"/>
  <c r="Y230" i="30"/>
  <c r="Y226" i="30"/>
  <c r="Y227" i="30"/>
  <c r="Y228" i="30"/>
  <c r="Y225" i="30"/>
  <c r="T758" i="30"/>
  <c r="T755" i="30"/>
  <c r="T756" i="30"/>
  <c r="T752" i="30"/>
  <c r="T757" i="30"/>
  <c r="T753" i="30"/>
  <c r="Y194" i="30"/>
  <c r="Y190" i="30"/>
  <c r="Y186" i="30"/>
  <c r="Y189" i="30"/>
  <c r="Y192" i="30"/>
  <c r="Y195" i="30"/>
  <c r="Y191" i="30"/>
  <c r="X654" i="30"/>
  <c r="X659" i="30"/>
  <c r="X655" i="30"/>
  <c r="X660" i="30"/>
  <c r="X657" i="30"/>
  <c r="X653" i="30"/>
  <c r="R766" i="30"/>
  <c r="R767" i="30"/>
  <c r="R768" i="30"/>
  <c r="R765" i="30"/>
  <c r="R761" i="30"/>
  <c r="Y232" i="30"/>
  <c r="Y239" i="30"/>
  <c r="Y235" i="30"/>
  <c r="Y234" i="30"/>
  <c r="Y241" i="30"/>
  <c r="AJ54" i="31"/>
  <c r="Y250" i="30"/>
  <c r="Y246" i="30"/>
  <c r="Y242" i="30"/>
  <c r="Y245" i="30"/>
  <c r="Y248" i="30"/>
  <c r="Y251" i="30"/>
  <c r="Y243" i="30"/>
  <c r="Y252" i="30"/>
  <c r="Y178" i="30"/>
  <c r="Y183" i="30"/>
  <c r="Y180" i="30"/>
  <c r="Y185" i="30"/>
  <c r="Y181" i="30"/>
  <c r="X645" i="30"/>
  <c r="X650" i="30"/>
  <c r="X646" i="30"/>
  <c r="X647" i="30"/>
  <c r="AJ47" i="31"/>
  <c r="Y124" i="30"/>
  <c r="Y121" i="30"/>
  <c r="Y117" i="30"/>
  <c r="Y118" i="30"/>
  <c r="Y123" i="30"/>
  <c r="Y115" i="30"/>
  <c r="V831" i="30"/>
  <c r="V830" i="30"/>
  <c r="V826" i="30"/>
  <c r="V823" i="30"/>
  <c r="V829" i="30"/>
  <c r="V825" i="30"/>
  <c r="V828" i="30"/>
  <c r="W480" i="30"/>
  <c r="W478" i="30"/>
  <c r="W474" i="30"/>
  <c r="W477" i="30"/>
  <c r="AH83" i="31"/>
  <c r="AH84" i="31"/>
  <c r="W482" i="30"/>
  <c r="W481" i="30"/>
  <c r="W476" i="30"/>
  <c r="W479" i="30"/>
  <c r="X429" i="30"/>
  <c r="X425" i="30"/>
  <c r="X432" i="30"/>
  <c r="X428" i="30"/>
  <c r="X427" i="30"/>
  <c r="X423" i="30"/>
  <c r="X430" i="30"/>
  <c r="X426" i="30"/>
  <c r="X422" i="30"/>
  <c r="AB82" i="31"/>
  <c r="U828" i="30"/>
  <c r="U829" i="30"/>
  <c r="U825" i="30"/>
  <c r="U830" i="30"/>
  <c r="U826" i="30"/>
  <c r="U831" i="30"/>
  <c r="U827" i="30"/>
  <c r="U823" i="30"/>
  <c r="T831" i="30"/>
  <c r="T823" i="30"/>
  <c r="T829" i="30"/>
  <c r="T830" i="30"/>
  <c r="T720" i="30"/>
  <c r="T721" i="30"/>
  <c r="T717" i="30"/>
  <c r="T722" i="30"/>
  <c r="T718" i="30"/>
  <c r="T723" i="30"/>
  <c r="T719" i="30"/>
  <c r="T715" i="30"/>
  <c r="AE82" i="31"/>
  <c r="S830" i="30"/>
  <c r="S831" i="30"/>
  <c r="S827" i="30"/>
  <c r="S823" i="30"/>
  <c r="S828" i="30"/>
  <c r="S829" i="30"/>
  <c r="S825" i="30"/>
  <c r="R722" i="30"/>
  <c r="R718" i="30"/>
  <c r="R723" i="30"/>
  <c r="R719" i="30"/>
  <c r="R715" i="30"/>
  <c r="AC82" i="31"/>
  <c r="R720" i="30"/>
  <c r="R721" i="30"/>
  <c r="AH78" i="31"/>
  <c r="AH81" i="31"/>
  <c r="AH80" i="31" s="1"/>
  <c r="V722" i="30"/>
  <c r="V718" i="30"/>
  <c r="V719" i="30"/>
  <c r="V715" i="30"/>
  <c r="AG82" i="31"/>
  <c r="V720" i="30"/>
  <c r="V717" i="30"/>
  <c r="U723" i="30"/>
  <c r="U715" i="30"/>
  <c r="U720" i="30"/>
  <c r="AF82" i="31"/>
  <c r="U718" i="30"/>
  <c r="R756" i="30"/>
  <c r="R758" i="30"/>
  <c r="R754" i="30"/>
  <c r="R759" i="30"/>
  <c r="R755" i="30"/>
  <c r="X441" i="30"/>
  <c r="X437" i="30"/>
  <c r="X433" i="30"/>
  <c r="X440" i="30"/>
  <c r="X439" i="30"/>
  <c r="X435" i="30"/>
  <c r="X436" i="30"/>
  <c r="W667" i="30"/>
  <c r="W663" i="30"/>
  <c r="W668" i="30"/>
  <c r="W664" i="30"/>
  <c r="W666" i="30"/>
  <c r="W661" i="30"/>
  <c r="X451" i="30"/>
  <c r="X447" i="30"/>
  <c r="X443" i="30"/>
  <c r="X446" i="30"/>
  <c r="X449" i="30"/>
  <c r="X445" i="30"/>
  <c r="X450" i="30"/>
  <c r="X448" i="30"/>
  <c r="AI79" i="31"/>
  <c r="X399" i="30"/>
  <c r="X395" i="30"/>
  <c r="X398" i="30"/>
  <c r="X390" i="30"/>
  <c r="X392" i="30"/>
  <c r="X389" i="30"/>
  <c r="P81" i="31"/>
  <c r="E80" i="31"/>
  <c r="P80" i="31" s="1"/>
  <c r="S723" i="30"/>
  <c r="S719" i="30"/>
  <c r="S720" i="30"/>
  <c r="AD82" i="31"/>
  <c r="S717" i="30"/>
  <c r="R825" i="30"/>
  <c r="R828" i="30"/>
  <c r="R831" i="30"/>
  <c r="R827" i="30"/>
  <c r="R830" i="30"/>
  <c r="N34" i="34"/>
  <c r="Z34" i="34" s="1"/>
  <c r="AC231" i="30"/>
  <c r="AD231" i="30" s="1"/>
  <c r="Y34" i="34"/>
  <c r="AE231" i="30" s="1"/>
  <c r="AF231" i="30" s="1"/>
  <c r="Z357" i="30"/>
  <c r="Z355" i="30"/>
  <c r="Z353" i="30"/>
  <c r="Z351" i="30"/>
  <c r="Z356" i="30"/>
  <c r="Z352" i="30"/>
  <c r="Z354" i="30"/>
  <c r="Z350" i="30"/>
  <c r="Z109" i="30"/>
  <c r="Z105" i="30"/>
  <c r="Z114" i="30"/>
  <c r="Z108" i="30"/>
  <c r="Z106" i="30"/>
  <c r="X704" i="30"/>
  <c r="X702" i="30"/>
  <c r="X700" i="30"/>
  <c r="X698" i="30"/>
  <c r="X705" i="30"/>
  <c r="X703" i="30"/>
  <c r="X701" i="30"/>
  <c r="X699" i="30"/>
  <c r="Y144" i="30"/>
  <c r="Y138" i="30"/>
  <c r="Y143" i="30"/>
  <c r="Y141" i="30"/>
  <c r="Y139" i="30"/>
  <c r="Y137" i="30"/>
  <c r="X812" i="30"/>
  <c r="X808" i="30"/>
  <c r="X806" i="30"/>
  <c r="X813" i="30"/>
  <c r="X811" i="30"/>
  <c r="X809" i="30"/>
  <c r="X807" i="30"/>
  <c r="Z51" i="30"/>
  <c r="Z49" i="30"/>
  <c r="Z47" i="30"/>
  <c r="Z45" i="30"/>
  <c r="Z43" i="30"/>
  <c r="Z50" i="30"/>
  <c r="Z48" i="30"/>
  <c r="Z44" i="30"/>
  <c r="Z42" i="30"/>
  <c r="Z103" i="30"/>
  <c r="Z101" i="30"/>
  <c r="Z99" i="30"/>
  <c r="Z97" i="30"/>
  <c r="Z102" i="30"/>
  <c r="Z100" i="30"/>
  <c r="Z98" i="30"/>
  <c r="Z96" i="30"/>
  <c r="Y677" i="30"/>
  <c r="Y675" i="30"/>
  <c r="Y673" i="30"/>
  <c r="Y671" i="30"/>
  <c r="Y676" i="30"/>
  <c r="Y674" i="30"/>
  <c r="Y672" i="30"/>
  <c r="W755" i="30"/>
  <c r="W758" i="30"/>
  <c r="W756" i="30"/>
  <c r="X732" i="30"/>
  <c r="X730" i="30"/>
  <c r="X728" i="30"/>
  <c r="X731" i="30"/>
  <c r="X729" i="30"/>
  <c r="X727" i="30"/>
  <c r="X725" i="30"/>
  <c r="W781" i="30"/>
  <c r="W779" i="30"/>
  <c r="W786" i="30"/>
  <c r="W784" i="30"/>
  <c r="W782" i="30"/>
  <c r="W780" i="30"/>
  <c r="Z271" i="30"/>
  <c r="Z269" i="30"/>
  <c r="Z267" i="30"/>
  <c r="Z265" i="30"/>
  <c r="Z263" i="30"/>
  <c r="Z270" i="30"/>
  <c r="Z268" i="30"/>
  <c r="Z266" i="30"/>
  <c r="Z264" i="30"/>
  <c r="Z262" i="30"/>
  <c r="Z63" i="30"/>
  <c r="Z61" i="30"/>
  <c r="Z59" i="30"/>
  <c r="Z55" i="30"/>
  <c r="Z53" i="30"/>
  <c r="Z62" i="30"/>
  <c r="Z60" i="30"/>
  <c r="Z58" i="30"/>
  <c r="Z56" i="30"/>
  <c r="Z54" i="30"/>
  <c r="Z323" i="30"/>
  <c r="Z322" i="30"/>
  <c r="Z319" i="30"/>
  <c r="Z317" i="30"/>
  <c r="Z315" i="30"/>
  <c r="Z320" i="30"/>
  <c r="Z318" i="30"/>
  <c r="Z316" i="30"/>
  <c r="Z314" i="30"/>
  <c r="AJ62" i="31"/>
  <c r="AK60" i="31"/>
  <c r="AK63" i="31"/>
  <c r="Y85" i="31"/>
  <c r="O85" i="31"/>
  <c r="Z85" i="31" s="1"/>
  <c r="Z79" i="34"/>
  <c r="AJ70" i="31"/>
  <c r="AJ67" i="31"/>
  <c r="AK68" i="31"/>
  <c r="AJ46" i="31"/>
  <c r="AJ49" i="31"/>
  <c r="AI48" i="31"/>
  <c r="AI69" i="31"/>
  <c r="AI71" i="31"/>
  <c r="AI50" i="31"/>
  <c r="AJ52" i="31"/>
  <c r="AJ51" i="31"/>
  <c r="M32" i="48"/>
  <c r="M29" i="48" s="1"/>
  <c r="AI76" i="31"/>
  <c r="AJ77" i="31"/>
  <c r="AJ74" i="31"/>
  <c r="AJ53" i="31"/>
  <c r="Q53" i="31"/>
  <c r="F55" i="31"/>
  <c r="Q56" i="31"/>
  <c r="U76" i="31"/>
  <c r="J82" i="31"/>
  <c r="L76" i="31"/>
  <c r="W77" i="31"/>
  <c r="W74" i="31"/>
  <c r="AC772" i="30"/>
  <c r="AD772" i="30" s="1"/>
  <c r="T82" i="31"/>
  <c r="AE772" i="30" s="1"/>
  <c r="AF772" i="30" s="1"/>
  <c r="M62" i="34"/>
  <c r="M77" i="31"/>
  <c r="X62" i="34"/>
  <c r="M74" i="31"/>
  <c r="X63" i="34"/>
  <c r="F82" i="31"/>
  <c r="Q76" i="31"/>
  <c r="R76" i="31"/>
  <c r="G82" i="31"/>
  <c r="S76" i="31"/>
  <c r="H82" i="31"/>
  <c r="AE145" i="30"/>
  <c r="AF145" i="30" s="1"/>
  <c r="AE155" i="30"/>
  <c r="AF155" i="30" s="1"/>
  <c r="K82" i="31"/>
  <c r="V76" i="31"/>
  <c r="U69" i="31"/>
  <c r="Q70" i="31"/>
  <c r="F69" i="31"/>
  <c r="N57" i="34"/>
  <c r="Z57" i="34" s="1"/>
  <c r="AC272" i="30"/>
  <c r="AD272" i="30" s="1"/>
  <c r="Y57" i="34"/>
  <c r="AC262" i="30"/>
  <c r="AD262" i="30" s="1"/>
  <c r="W70" i="31"/>
  <c r="L69" i="31"/>
  <c r="R69" i="31"/>
  <c r="Q67" i="31"/>
  <c r="X68" i="31"/>
  <c r="AE677" i="30" s="1"/>
  <c r="AF677" i="30" s="1"/>
  <c r="AC677" i="30"/>
  <c r="AD677" i="30" s="1"/>
  <c r="N58" i="34"/>
  <c r="Y58" i="34"/>
  <c r="AE357" i="30" s="1"/>
  <c r="AF357" i="30" s="1"/>
  <c r="N68" i="31"/>
  <c r="AC357" i="30"/>
  <c r="AD357" i="30" s="1"/>
  <c r="W67" i="31"/>
  <c r="M67" i="31"/>
  <c r="M48" i="34"/>
  <c r="X48" i="34"/>
  <c r="M70" i="31"/>
  <c r="V69" i="31"/>
  <c r="V81" i="31"/>
  <c r="K80" i="31"/>
  <c r="U48" i="31"/>
  <c r="V48" i="31"/>
  <c r="L48" i="31"/>
  <c r="W49" i="31"/>
  <c r="M8" i="34"/>
  <c r="X8" i="34"/>
  <c r="M49" i="31"/>
  <c r="M46" i="31"/>
  <c r="AC52" i="30"/>
  <c r="AD52" i="30" s="1"/>
  <c r="AC42" i="30"/>
  <c r="AD42" i="30" s="1"/>
  <c r="Y16" i="34"/>
  <c r="N16" i="34"/>
  <c r="Z16" i="34" s="1"/>
  <c r="AC450" i="30"/>
  <c r="AD450" i="30" s="1"/>
  <c r="M79" i="31"/>
  <c r="M75" i="34"/>
  <c r="X75" i="34"/>
  <c r="AE450" i="30" s="1"/>
  <c r="AF450" i="30" s="1"/>
  <c r="M73" i="34"/>
  <c r="AC441" i="30"/>
  <c r="AD441" i="30" s="1"/>
  <c r="X73" i="34"/>
  <c r="AE441" i="30" s="1"/>
  <c r="AF441" i="30" s="1"/>
  <c r="U78" i="31"/>
  <c r="U81" i="31"/>
  <c r="J80" i="31"/>
  <c r="Y56" i="31"/>
  <c r="N55" i="31"/>
  <c r="Z52" i="34"/>
  <c r="Z53" i="34"/>
  <c r="AE303" i="30"/>
  <c r="AF303" i="30" s="1"/>
  <c r="AE313" i="30"/>
  <c r="AF313" i="30" s="1"/>
  <c r="O54" i="31"/>
  <c r="Z54" i="31" s="1"/>
  <c r="Z36" i="34"/>
  <c r="Y54" i="31"/>
  <c r="AE660" i="30" s="1"/>
  <c r="AF660" i="30" s="1"/>
  <c r="AC660" i="30"/>
  <c r="AD660" i="30" s="1"/>
  <c r="V78" i="31"/>
  <c r="L67" i="34"/>
  <c r="M81" i="31" s="1"/>
  <c r="W67" i="34"/>
  <c r="L81" i="31"/>
  <c r="L78" i="31"/>
  <c r="X74" i="34"/>
  <c r="AE398" i="30" s="1"/>
  <c r="AF398" i="30" s="1"/>
  <c r="M74" i="34"/>
  <c r="AC398" i="30"/>
  <c r="AD398" i="30" s="1"/>
  <c r="X55" i="31"/>
  <c r="W46" i="31"/>
  <c r="AC667" i="30"/>
  <c r="AD667" i="30" s="1"/>
  <c r="W79" i="31"/>
  <c r="AE667" i="30" s="1"/>
  <c r="AF667" i="30" s="1"/>
  <c r="AC431" i="30"/>
  <c r="AD431" i="30" s="1"/>
  <c r="M70" i="34"/>
  <c r="X70" i="34"/>
  <c r="AE431" i="30" s="1"/>
  <c r="AF431" i="30" s="1"/>
  <c r="X71" i="34"/>
  <c r="O56" i="31"/>
  <c r="Z20" i="34"/>
  <c r="O53" i="31"/>
  <c r="Z53" i="31" s="1"/>
  <c r="Y53" i="31"/>
  <c r="T80" i="31"/>
  <c r="K75" i="31"/>
  <c r="V66" i="34"/>
  <c r="AE38" i="30" s="1"/>
  <c r="AF38" i="30" s="1"/>
  <c r="AC38" i="30"/>
  <c r="AD38" i="30" s="1"/>
  <c r="AG75" i="31"/>
  <c r="R48" i="31"/>
  <c r="R80" i="31"/>
  <c r="S69" i="31"/>
  <c r="H80" i="31"/>
  <c r="S81" i="31"/>
  <c r="Z63" i="31"/>
  <c r="O62" i="31"/>
  <c r="Z62" i="31" s="1"/>
  <c r="Y62" i="31"/>
  <c r="S46" i="31"/>
  <c r="F48" i="31"/>
  <c r="Q49" i="31"/>
  <c r="S78" i="31"/>
  <c r="S55" i="31"/>
  <c r="Q81" i="31"/>
  <c r="F80" i="31"/>
  <c r="S49" i="31"/>
  <c r="H48" i="31"/>
  <c r="U75" i="31"/>
  <c r="AE638" i="30" s="1"/>
  <c r="AF638" i="30" s="1"/>
  <c r="AC638" i="30"/>
  <c r="AD638" i="30" s="1"/>
  <c r="Q46" i="31"/>
  <c r="Q78" i="31"/>
  <c r="AJ59" i="31" l="1"/>
  <c r="AJ58" i="31"/>
  <c r="N710" i="30" s="1"/>
  <c r="Y710" i="30" s="1"/>
  <c r="AJ73" i="31"/>
  <c r="N834" i="30" s="1"/>
  <c r="Y834" i="30" s="1"/>
  <c r="N713" i="30"/>
  <c r="N712" i="30"/>
  <c r="N711" i="30"/>
  <c r="Y711" i="30" s="1"/>
  <c r="N707" i="30"/>
  <c r="N708" i="30"/>
  <c r="N732" i="30"/>
  <c r="N731" i="30"/>
  <c r="N728" i="30"/>
  <c r="Y728" i="30" s="1"/>
  <c r="N727" i="30"/>
  <c r="N730" i="30"/>
  <c r="N725" i="30"/>
  <c r="N724" i="30"/>
  <c r="N726" i="30"/>
  <c r="Y726" i="30" s="1"/>
  <c r="N729" i="30"/>
  <c r="M665" i="30"/>
  <c r="M666" i="30"/>
  <c r="X666" i="30" s="1"/>
  <c r="M661" i="30"/>
  <c r="X661" i="30" s="1"/>
  <c r="M668" i="30"/>
  <c r="M667" i="30"/>
  <c r="M662" i="30"/>
  <c r="M664" i="30"/>
  <c r="M669" i="30"/>
  <c r="M663" i="30"/>
  <c r="J776" i="30"/>
  <c r="U776" i="30" s="1"/>
  <c r="J777" i="30"/>
  <c r="U777" i="30" s="1"/>
  <c r="J771" i="30"/>
  <c r="J774" i="30"/>
  <c r="J773" i="30"/>
  <c r="U773" i="30" s="1"/>
  <c r="J775" i="30"/>
  <c r="J769" i="30"/>
  <c r="J770" i="30"/>
  <c r="J772" i="30"/>
  <c r="U772" i="30" s="1"/>
  <c r="G777" i="30"/>
  <c r="G776" i="30"/>
  <c r="G773" i="30"/>
  <c r="G772" i="30"/>
  <c r="R772" i="30" s="1"/>
  <c r="G770" i="30"/>
  <c r="R770" i="30" s="1"/>
  <c r="G775" i="30"/>
  <c r="R775" i="30" s="1"/>
  <c r="G769" i="30"/>
  <c r="G774" i="30"/>
  <c r="R774" i="30" s="1"/>
  <c r="G771" i="30"/>
  <c r="M481" i="30"/>
  <c r="M480" i="30"/>
  <c r="M475" i="30"/>
  <c r="M482" i="30"/>
  <c r="M477" i="30"/>
  <c r="M476" i="30"/>
  <c r="M478" i="30"/>
  <c r="X478" i="30" s="1"/>
  <c r="M479" i="30"/>
  <c r="X479" i="30" s="1"/>
  <c r="M474" i="30"/>
  <c r="X474" i="30" s="1"/>
  <c r="O153" i="30"/>
  <c r="O148" i="30"/>
  <c r="Z148" i="30" s="1"/>
  <c r="O147" i="30"/>
  <c r="O149" i="30"/>
  <c r="O154" i="30"/>
  <c r="O146" i="30"/>
  <c r="O155" i="30"/>
  <c r="Z155" i="30" s="1"/>
  <c r="O150" i="30"/>
  <c r="O152" i="30"/>
  <c r="Z152" i="30" s="1"/>
  <c r="O145" i="30"/>
  <c r="Z145" i="30" s="1"/>
  <c r="O151" i="30"/>
  <c r="Z151" i="30" s="1"/>
  <c r="N794" i="30"/>
  <c r="N793" i="30"/>
  <c r="Y793" i="30" s="1"/>
  <c r="N795" i="30"/>
  <c r="N792" i="30"/>
  <c r="N790" i="30"/>
  <c r="N789" i="30"/>
  <c r="Y789" i="30" s="1"/>
  <c r="N787" i="30"/>
  <c r="N791" i="30"/>
  <c r="N788" i="30"/>
  <c r="N429" i="30"/>
  <c r="Y429" i="30" s="1"/>
  <c r="N424" i="30"/>
  <c r="N423" i="30"/>
  <c r="Y423" i="30" s="1"/>
  <c r="N425" i="30"/>
  <c r="N432" i="30"/>
  <c r="Y432" i="30" s="1"/>
  <c r="N431" i="30"/>
  <c r="N426" i="30"/>
  <c r="Y426" i="30" s="1"/>
  <c r="N428" i="30"/>
  <c r="N422" i="30"/>
  <c r="Y422" i="30" s="1"/>
  <c r="N430" i="30"/>
  <c r="N427" i="30"/>
  <c r="O308" i="30"/>
  <c r="Z308" i="30" s="1"/>
  <c r="O307" i="30"/>
  <c r="Z307" i="30" s="1"/>
  <c r="O304" i="30"/>
  <c r="Z304" i="30" s="1"/>
  <c r="O313" i="30"/>
  <c r="Z313" i="30" s="1"/>
  <c r="O312" i="30"/>
  <c r="Z312" i="30" s="1"/>
  <c r="O303" i="30"/>
  <c r="Z303" i="30" s="1"/>
  <c r="O311" i="30"/>
  <c r="Z311" i="30" s="1"/>
  <c r="O310" i="30"/>
  <c r="Z310" i="30" s="1"/>
  <c r="O305" i="30"/>
  <c r="Z305" i="30" s="1"/>
  <c r="O306" i="30"/>
  <c r="Z306" i="30" s="1"/>
  <c r="O309" i="30"/>
  <c r="Z309" i="30" s="1"/>
  <c r="K640" i="30"/>
  <c r="K635" i="30"/>
  <c r="K642" i="30"/>
  <c r="K636" i="30"/>
  <c r="V636" i="30" s="1"/>
  <c r="K638" i="30"/>
  <c r="V638" i="30" s="1"/>
  <c r="K637" i="30"/>
  <c r="V637" i="30" s="1"/>
  <c r="K639" i="30"/>
  <c r="V639" i="30" s="1"/>
  <c r="K641" i="30"/>
  <c r="V641" i="30" s="1"/>
  <c r="K634" i="30"/>
  <c r="M786" i="30"/>
  <c r="M783" i="30"/>
  <c r="X783" i="30" s="1"/>
  <c r="M782" i="30"/>
  <c r="M780" i="30"/>
  <c r="M779" i="30"/>
  <c r="M778" i="30"/>
  <c r="M784" i="30"/>
  <c r="M781" i="30"/>
  <c r="X781" i="30" s="1"/>
  <c r="M785" i="30"/>
  <c r="X785" i="30" s="1"/>
  <c r="O388" i="30"/>
  <c r="Z388" i="30" s="1"/>
  <c r="O387" i="30"/>
  <c r="Z387" i="30" s="1"/>
  <c r="O384" i="30"/>
  <c r="O380" i="30"/>
  <c r="O383" i="30"/>
  <c r="Z383" i="30" s="1"/>
  <c r="O386" i="30"/>
  <c r="O381" i="30"/>
  <c r="O385" i="30"/>
  <c r="O382" i="30"/>
  <c r="Z382" i="30" s="1"/>
  <c r="N445" i="30"/>
  <c r="Y445" i="30" s="1"/>
  <c r="N451" i="30"/>
  <c r="Y451" i="30" s="1"/>
  <c r="N448" i="30"/>
  <c r="Y448" i="30" s="1"/>
  <c r="N447" i="30"/>
  <c r="N449" i="30"/>
  <c r="N443" i="30"/>
  <c r="N450" i="30"/>
  <c r="N444" i="30"/>
  <c r="N446" i="30"/>
  <c r="K773" i="30"/>
  <c r="K772" i="30"/>
  <c r="K774" i="30"/>
  <c r="V774" i="30" s="1"/>
  <c r="K769" i="30"/>
  <c r="K775" i="30"/>
  <c r="V775" i="30" s="1"/>
  <c r="K770" i="30"/>
  <c r="K771" i="30"/>
  <c r="V771" i="30" s="1"/>
  <c r="K776" i="30"/>
  <c r="V776" i="30" s="1"/>
  <c r="K777" i="30"/>
  <c r="O196" i="30"/>
  <c r="O195" i="30"/>
  <c r="Z195" i="30" s="1"/>
  <c r="O190" i="30"/>
  <c r="O192" i="30"/>
  <c r="O191" i="30"/>
  <c r="O194" i="30"/>
  <c r="Z194" i="30" s="1"/>
  <c r="O193" i="30"/>
  <c r="Z193" i="30" s="1"/>
  <c r="O188" i="30"/>
  <c r="Z188" i="30" s="1"/>
  <c r="O187" i="30"/>
  <c r="Z187" i="30" s="1"/>
  <c r="O189" i="30"/>
  <c r="Z189" i="30" s="1"/>
  <c r="O186" i="30"/>
  <c r="N704" i="30"/>
  <c r="N703" i="30"/>
  <c r="N700" i="30"/>
  <c r="Y700" i="30" s="1"/>
  <c r="N699" i="30"/>
  <c r="N702" i="30"/>
  <c r="N697" i="30"/>
  <c r="N705" i="30"/>
  <c r="Y705" i="30" s="1"/>
  <c r="N698" i="30"/>
  <c r="Y698" i="30" s="1"/>
  <c r="N701" i="30"/>
  <c r="Y701" i="30" s="1"/>
  <c r="O670" i="30"/>
  <c r="Z670" i="30" s="1"/>
  <c r="O675" i="30"/>
  <c r="Z675" i="30" s="1"/>
  <c r="O676" i="30"/>
  <c r="O671" i="30"/>
  <c r="Z671" i="30" s="1"/>
  <c r="O678" i="30"/>
  <c r="O677" i="30"/>
  <c r="Z677" i="30" s="1"/>
  <c r="O672" i="30"/>
  <c r="O674" i="30"/>
  <c r="O673" i="30"/>
  <c r="H777" i="30"/>
  <c r="S777" i="30" s="1"/>
  <c r="H776" i="30"/>
  <c r="S776" i="30" s="1"/>
  <c r="H775" i="30"/>
  <c r="S775" i="30" s="1"/>
  <c r="H769" i="30"/>
  <c r="H774" i="30"/>
  <c r="S774" i="30" s="1"/>
  <c r="H771" i="30"/>
  <c r="S771" i="30" s="1"/>
  <c r="H770" i="30"/>
  <c r="H772" i="30"/>
  <c r="H773" i="30"/>
  <c r="N397" i="30"/>
  <c r="N392" i="30"/>
  <c r="N391" i="30"/>
  <c r="N394" i="30"/>
  <c r="Y394" i="30" s="1"/>
  <c r="N390" i="30"/>
  <c r="Y390" i="30" s="1"/>
  <c r="N393" i="30"/>
  <c r="Y393" i="30" s="1"/>
  <c r="N389" i="30"/>
  <c r="N399" i="30"/>
  <c r="Y399" i="30" s="1"/>
  <c r="N396" i="30"/>
  <c r="N395" i="30"/>
  <c r="N398" i="30"/>
  <c r="N440" i="30"/>
  <c r="Y440" i="30" s="1"/>
  <c r="N439" i="30"/>
  <c r="N441" i="30"/>
  <c r="N436" i="30"/>
  <c r="N435" i="30"/>
  <c r="Y435" i="30" s="1"/>
  <c r="N442" i="30"/>
  <c r="Y442" i="30" s="1"/>
  <c r="N437" i="30"/>
  <c r="N434" i="30"/>
  <c r="N433" i="30"/>
  <c r="Y433" i="30" s="1"/>
  <c r="N438" i="30"/>
  <c r="Y438" i="30" s="1"/>
  <c r="L828" i="30"/>
  <c r="W828" i="30" s="1"/>
  <c r="L831" i="30"/>
  <c r="L824" i="30"/>
  <c r="L827" i="30"/>
  <c r="W827" i="30" s="1"/>
  <c r="L829" i="30"/>
  <c r="L825" i="30"/>
  <c r="L823" i="30"/>
  <c r="W823" i="30" s="1"/>
  <c r="L826" i="30"/>
  <c r="W826" i="30" s="1"/>
  <c r="L830" i="30"/>
  <c r="W830" i="30" s="1"/>
  <c r="N645" i="30"/>
  <c r="Y645" i="30" s="1"/>
  <c r="N647" i="30"/>
  <c r="Y647" i="30" s="1"/>
  <c r="N643" i="30"/>
  <c r="N648" i="30"/>
  <c r="Y648" i="30" s="1"/>
  <c r="N650" i="30"/>
  <c r="N646" i="30"/>
  <c r="Y646" i="30" s="1"/>
  <c r="N649" i="30"/>
  <c r="N651" i="30"/>
  <c r="N644" i="30"/>
  <c r="N656" i="30"/>
  <c r="N657" i="30"/>
  <c r="Y657" i="30" s="1"/>
  <c r="N652" i="30"/>
  <c r="N659" i="30"/>
  <c r="Y659" i="30" s="1"/>
  <c r="N653" i="30"/>
  <c r="Y653" i="30" s="1"/>
  <c r="N655" i="30"/>
  <c r="Y655" i="30" s="1"/>
  <c r="N658" i="30"/>
  <c r="N660" i="30"/>
  <c r="N654" i="30"/>
  <c r="O212" i="30"/>
  <c r="O211" i="30"/>
  <c r="O210" i="30"/>
  <c r="O213" i="30"/>
  <c r="Z213" i="30" s="1"/>
  <c r="O208" i="30"/>
  <c r="Z208" i="30" s="1"/>
  <c r="O207" i="30"/>
  <c r="Z207" i="30" s="1"/>
  <c r="O209" i="30"/>
  <c r="Z209" i="30" s="1"/>
  <c r="O214" i="30"/>
  <c r="O206" i="30"/>
  <c r="Z206" i="30" s="1"/>
  <c r="O739" i="30"/>
  <c r="O738" i="30"/>
  <c r="O741" i="30"/>
  <c r="Z741" i="30" s="1"/>
  <c r="O735" i="30"/>
  <c r="O734" i="30"/>
  <c r="O737" i="30"/>
  <c r="Z737" i="30" s="1"/>
  <c r="O733" i="30"/>
  <c r="O736" i="30"/>
  <c r="Z736" i="30" s="1"/>
  <c r="O740" i="30"/>
  <c r="Z740" i="30" s="1"/>
  <c r="O29" i="30"/>
  <c r="Z29" i="30" s="1"/>
  <c r="O26" i="30"/>
  <c r="Z26" i="30" s="1"/>
  <c r="O30" i="30"/>
  <c r="Z30" i="30" s="1"/>
  <c r="O31" i="30"/>
  <c r="Z31" i="30" s="1"/>
  <c r="O24" i="30"/>
  <c r="Z24" i="30" s="1"/>
  <c r="O25" i="30"/>
  <c r="O27" i="30"/>
  <c r="Z27" i="30" s="1"/>
  <c r="O22" i="30"/>
  <c r="O28" i="30"/>
  <c r="Z28" i="30" s="1"/>
  <c r="O23" i="30"/>
  <c r="O32" i="30"/>
  <c r="Z32" i="30" s="1"/>
  <c r="M822" i="30"/>
  <c r="X822" i="30" s="1"/>
  <c r="M820" i="30"/>
  <c r="X820" i="30" s="1"/>
  <c r="M819" i="30"/>
  <c r="X819" i="30" s="1"/>
  <c r="M818" i="30"/>
  <c r="M816" i="30"/>
  <c r="X816" i="30" s="1"/>
  <c r="M815" i="30"/>
  <c r="X815" i="30" s="1"/>
  <c r="M814" i="30"/>
  <c r="M817" i="30"/>
  <c r="M821" i="30"/>
  <c r="L764" i="30"/>
  <c r="W764" i="30" s="1"/>
  <c r="L762" i="30"/>
  <c r="W762" i="30" s="1"/>
  <c r="L760" i="30"/>
  <c r="W760" i="30" s="1"/>
  <c r="L765" i="30"/>
  <c r="W765" i="30" s="1"/>
  <c r="L761" i="30"/>
  <c r="W761" i="30" s="1"/>
  <c r="L763" i="30"/>
  <c r="L766" i="30"/>
  <c r="L767" i="30"/>
  <c r="W767" i="30" s="1"/>
  <c r="L768" i="30"/>
  <c r="W768" i="30" s="1"/>
  <c r="N258" i="30"/>
  <c r="Y258" i="30" s="1"/>
  <c r="N253" i="30"/>
  <c r="Y253" i="30" s="1"/>
  <c r="N254" i="30"/>
  <c r="Y254" i="30" s="1"/>
  <c r="N261" i="30"/>
  <c r="Y261" i="30" s="1"/>
  <c r="N260" i="30"/>
  <c r="Y260" i="30" s="1"/>
  <c r="N256" i="30"/>
  <c r="Y256" i="30" s="1"/>
  <c r="N255" i="30"/>
  <c r="Y255" i="30" s="1"/>
  <c r="N259" i="30"/>
  <c r="Y259" i="30" s="1"/>
  <c r="N257" i="30"/>
  <c r="Y257" i="30" s="1"/>
  <c r="M768" i="30"/>
  <c r="M765" i="30"/>
  <c r="M760" i="30"/>
  <c r="M763" i="30"/>
  <c r="M767" i="30"/>
  <c r="X767" i="30" s="1"/>
  <c r="M766" i="30"/>
  <c r="M762" i="30"/>
  <c r="M761" i="30"/>
  <c r="M764" i="30"/>
  <c r="X764" i="30" s="1"/>
  <c r="M756" i="30"/>
  <c r="X756" i="30" s="1"/>
  <c r="M754" i="30"/>
  <c r="X754" i="30" s="1"/>
  <c r="M758" i="30"/>
  <c r="M753" i="30"/>
  <c r="X753" i="30" s="1"/>
  <c r="M759" i="30"/>
  <c r="M752" i="30"/>
  <c r="X752" i="30" s="1"/>
  <c r="M755" i="30"/>
  <c r="M751" i="30"/>
  <c r="M757" i="30"/>
  <c r="O116" i="30"/>
  <c r="O115" i="30"/>
  <c r="O118" i="30"/>
  <c r="Z118" i="30" s="1"/>
  <c r="O122" i="30"/>
  <c r="Z122" i="30" s="1"/>
  <c r="O117" i="30"/>
  <c r="Z117" i="30" s="1"/>
  <c r="O124" i="30"/>
  <c r="O123" i="30"/>
  <c r="Z123" i="30" s="1"/>
  <c r="O119" i="30"/>
  <c r="O120" i="30"/>
  <c r="Z120" i="30" s="1"/>
  <c r="O121" i="30"/>
  <c r="O260" i="30"/>
  <c r="O259" i="30"/>
  <c r="O254" i="30"/>
  <c r="O261" i="30"/>
  <c r="Z261" i="30" s="1"/>
  <c r="O256" i="30"/>
  <c r="Z256" i="30" s="1"/>
  <c r="O255" i="30"/>
  <c r="Z255" i="30" s="1"/>
  <c r="O258" i="30"/>
  <c r="Z258" i="30" s="1"/>
  <c r="O257" i="30"/>
  <c r="O253" i="30"/>
  <c r="O143" i="30"/>
  <c r="O142" i="30"/>
  <c r="Z142" i="30" s="1"/>
  <c r="O141" i="30"/>
  <c r="O144" i="30"/>
  <c r="O140" i="30"/>
  <c r="O139" i="30"/>
  <c r="Z139" i="30" s="1"/>
  <c r="O137" i="30"/>
  <c r="O136" i="30"/>
  <c r="Z136" i="30" s="1"/>
  <c r="O138" i="30"/>
  <c r="Z138" i="30" s="1"/>
  <c r="N822" i="30"/>
  <c r="Y822" i="30" s="1"/>
  <c r="N821" i="30"/>
  <c r="N819" i="30"/>
  <c r="Y819" i="30" s="1"/>
  <c r="N818" i="30"/>
  <c r="N817" i="30"/>
  <c r="Y817" i="30" s="1"/>
  <c r="N820" i="30"/>
  <c r="N815" i="30"/>
  <c r="N814" i="30"/>
  <c r="N816" i="30"/>
  <c r="Y816" i="30" s="1"/>
  <c r="N811" i="30"/>
  <c r="N810" i="30"/>
  <c r="Y810" i="30" s="1"/>
  <c r="N809" i="30"/>
  <c r="Y809" i="30" s="1"/>
  <c r="N807" i="30"/>
  <c r="Y807" i="30" s="1"/>
  <c r="N806" i="30"/>
  <c r="N805" i="30"/>
  <c r="N812" i="30"/>
  <c r="N808" i="30"/>
  <c r="Y808" i="30" s="1"/>
  <c r="N813" i="30"/>
  <c r="N839" i="30"/>
  <c r="Y839" i="30" s="1"/>
  <c r="N840" i="30"/>
  <c r="Y840" i="30" s="1"/>
  <c r="I775" i="30"/>
  <c r="I774" i="30"/>
  <c r="T774" i="30" s="1"/>
  <c r="I772" i="30"/>
  <c r="T772" i="30" s="1"/>
  <c r="I769" i="30"/>
  <c r="I771" i="30"/>
  <c r="T771" i="30" s="1"/>
  <c r="I770" i="30"/>
  <c r="T770" i="30" s="1"/>
  <c r="I773" i="30"/>
  <c r="T773" i="30" s="1"/>
  <c r="I776" i="30"/>
  <c r="I777" i="30"/>
  <c r="L722" i="30"/>
  <c r="W722" i="30" s="1"/>
  <c r="L721" i="30"/>
  <c r="L718" i="30"/>
  <c r="L717" i="30"/>
  <c r="L720" i="30"/>
  <c r="W720" i="30" s="1"/>
  <c r="L716" i="30"/>
  <c r="L719" i="30"/>
  <c r="W719" i="30" s="1"/>
  <c r="L723" i="30"/>
  <c r="W723" i="30" s="1"/>
  <c r="L715" i="30"/>
  <c r="W715" i="30" s="1"/>
  <c r="O185" i="30"/>
  <c r="Z185" i="30" s="1"/>
  <c r="O180" i="30"/>
  <c r="Z180" i="30" s="1"/>
  <c r="O179" i="30"/>
  <c r="O182" i="30"/>
  <c r="Z182" i="30" s="1"/>
  <c r="O178" i="30"/>
  <c r="O181" i="30"/>
  <c r="O184" i="30"/>
  <c r="O183" i="30"/>
  <c r="Z183" i="30" s="1"/>
  <c r="O249" i="30"/>
  <c r="Z249" i="30" s="1"/>
  <c r="O244" i="30"/>
  <c r="Z244" i="30" s="1"/>
  <c r="O243" i="30"/>
  <c r="Z243" i="30" s="1"/>
  <c r="O246" i="30"/>
  <c r="Z246" i="30" s="1"/>
  <c r="O242" i="30"/>
  <c r="Z242" i="30" s="1"/>
  <c r="O245" i="30"/>
  <c r="Z245" i="30" s="1"/>
  <c r="O252" i="30"/>
  <c r="O251" i="30"/>
  <c r="Z251" i="30" s="1"/>
  <c r="O248" i="30"/>
  <c r="O247" i="30"/>
  <c r="O250" i="30"/>
  <c r="O233" i="30"/>
  <c r="Z233" i="30" s="1"/>
  <c r="O234" i="30"/>
  <c r="Z234" i="30" s="1"/>
  <c r="O238" i="30"/>
  <c r="Z238" i="30" s="1"/>
  <c r="O240" i="30"/>
  <c r="O239" i="30"/>
  <c r="Z239" i="30" s="1"/>
  <c r="O241" i="30"/>
  <c r="Z241" i="30" s="1"/>
  <c r="O236" i="30"/>
  <c r="Z236" i="30" s="1"/>
  <c r="O235" i="30"/>
  <c r="O237" i="30"/>
  <c r="Z237" i="30" s="1"/>
  <c r="O232" i="30"/>
  <c r="O228" i="30"/>
  <c r="O227" i="30"/>
  <c r="O229" i="30"/>
  <c r="Z229" i="30" s="1"/>
  <c r="O224" i="30"/>
  <c r="Z224" i="30" s="1"/>
  <c r="O230" i="30"/>
  <c r="Z230" i="30" s="1"/>
  <c r="O225" i="30"/>
  <c r="Z225" i="30" s="1"/>
  <c r="O231" i="30"/>
  <c r="Z231" i="30" s="1"/>
  <c r="O226" i="30"/>
  <c r="Z226" i="30" s="1"/>
  <c r="O849" i="30"/>
  <c r="Z849" i="30" s="1"/>
  <c r="O845" i="30"/>
  <c r="O848" i="30"/>
  <c r="Z848" i="30" s="1"/>
  <c r="O846" i="30"/>
  <c r="O841" i="30"/>
  <c r="O844" i="30"/>
  <c r="O842" i="30"/>
  <c r="Z842" i="30" s="1"/>
  <c r="O847" i="30"/>
  <c r="Z847" i="30" s="1"/>
  <c r="O843" i="30"/>
  <c r="Z843" i="30" s="1"/>
  <c r="Z22" i="43"/>
  <c r="AD14" i="43" s="1"/>
  <c r="AD19" i="43" s="1"/>
  <c r="AE19" i="43" s="1"/>
  <c r="AF19" i="43" s="1"/>
  <c r="M835" i="30"/>
  <c r="X835" i="30" s="1"/>
  <c r="M838" i="30"/>
  <c r="X838" i="30" s="1"/>
  <c r="M840" i="30"/>
  <c r="X840" i="30" s="1"/>
  <c r="M834" i="30"/>
  <c r="X834" i="30" s="1"/>
  <c r="M836" i="30"/>
  <c r="X836" i="30" s="1"/>
  <c r="M832" i="30"/>
  <c r="X832" i="30" s="1"/>
  <c r="M833" i="30"/>
  <c r="M837" i="30"/>
  <c r="X837" i="30" s="1"/>
  <c r="M839" i="30"/>
  <c r="X839" i="30" s="1"/>
  <c r="N381" i="30"/>
  <c r="Y381" i="30" s="1"/>
  <c r="N380" i="30"/>
  <c r="Y380" i="30" s="1"/>
  <c r="N387" i="30"/>
  <c r="Y387" i="30" s="1"/>
  <c r="N388" i="30"/>
  <c r="Y388" i="30" s="1"/>
  <c r="N385" i="30"/>
  <c r="Y385" i="30" s="1"/>
  <c r="N383" i="30"/>
  <c r="Y383" i="30" s="1"/>
  <c r="N382" i="30"/>
  <c r="Y382" i="30" s="1"/>
  <c r="N384" i="30"/>
  <c r="Y384" i="30" s="1"/>
  <c r="N386" i="30"/>
  <c r="Y386" i="30" s="1"/>
  <c r="M713" i="30"/>
  <c r="X713" i="30" s="1"/>
  <c r="M712" i="30"/>
  <c r="X712" i="30" s="1"/>
  <c r="M706" i="30"/>
  <c r="X706" i="30" s="1"/>
  <c r="M714" i="30"/>
  <c r="X714" i="30" s="1"/>
  <c r="M709" i="30"/>
  <c r="X709" i="30" s="1"/>
  <c r="M708" i="30"/>
  <c r="X708" i="30" s="1"/>
  <c r="M711" i="30"/>
  <c r="X711" i="30" s="1"/>
  <c r="M707" i="30"/>
  <c r="X707" i="30" s="1"/>
  <c r="M710" i="30"/>
  <c r="X710" i="30" s="1"/>
  <c r="L41" i="30"/>
  <c r="W41" i="30" s="1"/>
  <c r="L33" i="30"/>
  <c r="L38" i="30"/>
  <c r="W38" i="30" s="1"/>
  <c r="L40" i="30"/>
  <c r="L39" i="30"/>
  <c r="W39" i="30" s="1"/>
  <c r="L34" i="30"/>
  <c r="W34" i="30" s="1"/>
  <c r="L37" i="30"/>
  <c r="W37" i="30" s="1"/>
  <c r="L36" i="30"/>
  <c r="W36" i="30" s="1"/>
  <c r="L35" i="30"/>
  <c r="W35" i="30" s="1"/>
  <c r="F770" i="30"/>
  <c r="Q770" i="30" s="1"/>
  <c r="F772" i="30"/>
  <c r="Q772" i="30" s="1"/>
  <c r="F774" i="30"/>
  <c r="Q774" i="30" s="1"/>
  <c r="F776" i="30"/>
  <c r="Q776" i="30" s="1"/>
  <c r="F769" i="30"/>
  <c r="Q769" i="30" s="1"/>
  <c r="F771" i="30"/>
  <c r="Q771" i="30" s="1"/>
  <c r="F773" i="30"/>
  <c r="Q773" i="30" s="1"/>
  <c r="F775" i="30"/>
  <c r="Q775" i="30" s="1"/>
  <c r="F777" i="30"/>
  <c r="Q777" i="30" s="1"/>
  <c r="X821" i="30"/>
  <c r="X817" i="30"/>
  <c r="W766" i="30"/>
  <c r="W763" i="30"/>
  <c r="AC32" i="30"/>
  <c r="AD32" i="30" s="1"/>
  <c r="Y65" i="34"/>
  <c r="AE22" i="30" s="1"/>
  <c r="AF22" i="30" s="1"/>
  <c r="AC8" i="30" s="1"/>
  <c r="AD8" i="30" s="1"/>
  <c r="AE8" i="30" s="1"/>
  <c r="Z23" i="30"/>
  <c r="Z25" i="30"/>
  <c r="Z22" i="30"/>
  <c r="X833" i="30"/>
  <c r="N65" i="34"/>
  <c r="Z65" i="34" s="1"/>
  <c r="X818" i="30"/>
  <c r="Z149" i="30"/>
  <c r="X787" i="30"/>
  <c r="X805" i="30"/>
  <c r="X697" i="30"/>
  <c r="U751" i="30"/>
  <c r="U760" i="30"/>
  <c r="V824" i="30"/>
  <c r="R824" i="30"/>
  <c r="R716" i="30"/>
  <c r="Y224" i="30"/>
  <c r="Y733" i="30"/>
  <c r="U824" i="30"/>
  <c r="W778" i="30"/>
  <c r="W475" i="30"/>
  <c r="Y841" i="30"/>
  <c r="X814" i="30"/>
  <c r="X424" i="30"/>
  <c r="X643" i="30"/>
  <c r="W662" i="30"/>
  <c r="Y147" i="30"/>
  <c r="X724" i="30"/>
  <c r="S716" i="30"/>
  <c r="X391" i="30"/>
  <c r="X434" i="30"/>
  <c r="U716" i="30"/>
  <c r="T716" i="30"/>
  <c r="R751" i="30"/>
  <c r="X652" i="30"/>
  <c r="Y179" i="30"/>
  <c r="Y233" i="30"/>
  <c r="Y670" i="30"/>
  <c r="T824" i="30"/>
  <c r="Y136" i="30"/>
  <c r="V716" i="30"/>
  <c r="U778" i="30"/>
  <c r="W751" i="30"/>
  <c r="X444" i="30"/>
  <c r="S824" i="30"/>
  <c r="Y116" i="30"/>
  <c r="Y244" i="30"/>
  <c r="R760" i="30"/>
  <c r="Y188" i="30"/>
  <c r="T751" i="30"/>
  <c r="L22" i="43"/>
  <c r="M22" i="43" s="1"/>
  <c r="AD12" i="43"/>
  <c r="AD18" i="43" s="1"/>
  <c r="S23" i="43"/>
  <c r="T23" i="43" s="1"/>
  <c r="U23" i="43" s="1"/>
  <c r="K23" i="43"/>
  <c r="L23" i="43" s="1"/>
  <c r="M23" i="43" s="1"/>
  <c r="G23" i="43"/>
  <c r="H23" i="43" s="1"/>
  <c r="I23" i="43" s="1"/>
  <c r="C24" i="43"/>
  <c r="W23" i="43"/>
  <c r="X23" i="43" s="1"/>
  <c r="Y23" i="43" s="1"/>
  <c r="D23" i="43"/>
  <c r="E23" i="43" s="1"/>
  <c r="O23" i="43"/>
  <c r="P23" i="43" s="1"/>
  <c r="Q23" i="43" s="1"/>
  <c r="W40" i="30"/>
  <c r="W33" i="30"/>
  <c r="V642" i="30"/>
  <c r="V634" i="30"/>
  <c r="V635" i="30"/>
  <c r="V640" i="30"/>
  <c r="Z845" i="30"/>
  <c r="Z841" i="30"/>
  <c r="Z844" i="30"/>
  <c r="Z846" i="30"/>
  <c r="Z733" i="30"/>
  <c r="Z738" i="30"/>
  <c r="Z734" i="30"/>
  <c r="Z739" i="30"/>
  <c r="Z735" i="30"/>
  <c r="AK64" i="31"/>
  <c r="Y792" i="30"/>
  <c r="Y788" i="30"/>
  <c r="Y795" i="30"/>
  <c r="Y791" i="30"/>
  <c r="Y794" i="30"/>
  <c r="Y790" i="30"/>
  <c r="Z212" i="30"/>
  <c r="Z211" i="30"/>
  <c r="Z210" i="30"/>
  <c r="Z214" i="30"/>
  <c r="Z150" i="30"/>
  <c r="Z153" i="30"/>
  <c r="Z146" i="30"/>
  <c r="Z147" i="30"/>
  <c r="Z154" i="30"/>
  <c r="AC124" i="30"/>
  <c r="AD124" i="30" s="1"/>
  <c r="Y17" i="34"/>
  <c r="AE124" i="30" s="1"/>
  <c r="AF124" i="30" s="1"/>
  <c r="N17" i="34"/>
  <c r="N47" i="31"/>
  <c r="X47" i="31"/>
  <c r="AE650" i="30" s="1"/>
  <c r="AF650" i="30" s="1"/>
  <c r="AC650" i="30"/>
  <c r="AD650" i="30" s="1"/>
  <c r="Y12" i="34"/>
  <c r="AC53" i="30"/>
  <c r="AD53" i="30" s="1"/>
  <c r="N12" i="34"/>
  <c r="Z12" i="34" s="1"/>
  <c r="AC63" i="30"/>
  <c r="AD63" i="30" s="1"/>
  <c r="Y14" i="34"/>
  <c r="AE104" i="30" s="1"/>
  <c r="AF104" i="30" s="1"/>
  <c r="Z14" i="34"/>
  <c r="AC104" i="30"/>
  <c r="AD104" i="30" s="1"/>
  <c r="Z227" i="30"/>
  <c r="Z228" i="30"/>
  <c r="Z191" i="30"/>
  <c r="Z190" i="30"/>
  <c r="Z186" i="30"/>
  <c r="Z196" i="30"/>
  <c r="Z192" i="30"/>
  <c r="Z252" i="30"/>
  <c r="Z248" i="30"/>
  <c r="Z247" i="30"/>
  <c r="Z250" i="30"/>
  <c r="Y660" i="30"/>
  <c r="Y656" i="30"/>
  <c r="Y658" i="30"/>
  <c r="Y654" i="30"/>
  <c r="Z181" i="30"/>
  <c r="Z184" i="30"/>
  <c r="Z179" i="30"/>
  <c r="Z178" i="30"/>
  <c r="AK54" i="31"/>
  <c r="Z235" i="30"/>
  <c r="Z240" i="30"/>
  <c r="Z232" i="30"/>
  <c r="Y649" i="30"/>
  <c r="Y650" i="30"/>
  <c r="Y651" i="30"/>
  <c r="Y644" i="30"/>
  <c r="Z121" i="30"/>
  <c r="Z124" i="30"/>
  <c r="Z116" i="30"/>
  <c r="AK47" i="31"/>
  <c r="Z119" i="30"/>
  <c r="Z115" i="30"/>
  <c r="S773" i="30"/>
  <c r="S770" i="30"/>
  <c r="S772" i="30"/>
  <c r="X668" i="30"/>
  <c r="X664" i="30"/>
  <c r="X669" i="30"/>
  <c r="X665" i="30"/>
  <c r="X667" i="30"/>
  <c r="X663" i="30"/>
  <c r="U775" i="30"/>
  <c r="U771" i="30"/>
  <c r="U774" i="30"/>
  <c r="U770" i="30"/>
  <c r="R777" i="30"/>
  <c r="R773" i="30"/>
  <c r="R771" i="30"/>
  <c r="R776" i="30"/>
  <c r="W721" i="30"/>
  <c r="W717" i="30"/>
  <c r="W718" i="30"/>
  <c r="AH82" i="31"/>
  <c r="Y398" i="30"/>
  <c r="Y395" i="30"/>
  <c r="Y397" i="30"/>
  <c r="Y389" i="30"/>
  <c r="Y396" i="30"/>
  <c r="Y392" i="30"/>
  <c r="Y447" i="30"/>
  <c r="Y449" i="30"/>
  <c r="AJ79" i="31"/>
  <c r="Y450" i="30"/>
  <c r="Y446" i="30"/>
  <c r="Y443" i="30"/>
  <c r="Y436" i="30"/>
  <c r="Y439" i="30"/>
  <c r="Y441" i="30"/>
  <c r="Y437" i="30"/>
  <c r="V777" i="30"/>
  <c r="V773" i="30"/>
  <c r="V770" i="30"/>
  <c r="V772" i="30"/>
  <c r="AI78" i="31"/>
  <c r="AI81" i="31"/>
  <c r="AI80" i="31" s="1"/>
  <c r="T775" i="30"/>
  <c r="T776" i="30"/>
  <c r="T777" i="30"/>
  <c r="Y428" i="30"/>
  <c r="Y431" i="30"/>
  <c r="Y427" i="30"/>
  <c r="Y430" i="30"/>
  <c r="Y425" i="30"/>
  <c r="X482" i="30"/>
  <c r="X476" i="30"/>
  <c r="X481" i="30"/>
  <c r="X480" i="30"/>
  <c r="X477" i="30"/>
  <c r="AI83" i="31"/>
  <c r="AI84" i="31"/>
  <c r="W829" i="30"/>
  <c r="W825" i="30"/>
  <c r="W831" i="30"/>
  <c r="Y820" i="30"/>
  <c r="Y818" i="30"/>
  <c r="Y815" i="30"/>
  <c r="Y821" i="30"/>
  <c r="Y713" i="30"/>
  <c r="Y707" i="30"/>
  <c r="Y712" i="30"/>
  <c r="Y708" i="30"/>
  <c r="Z259" i="30"/>
  <c r="Z257" i="30"/>
  <c r="Z253" i="30"/>
  <c r="Z260" i="30"/>
  <c r="Z254" i="30"/>
  <c r="Y703" i="30"/>
  <c r="Y699" i="30"/>
  <c r="Y704" i="30"/>
  <c r="Y702" i="30"/>
  <c r="Y813" i="30"/>
  <c r="Y811" i="30"/>
  <c r="Y812" i="30"/>
  <c r="Y806" i="30"/>
  <c r="X786" i="30"/>
  <c r="X784" i="30"/>
  <c r="X782" i="30"/>
  <c r="X780" i="30"/>
  <c r="X779" i="30"/>
  <c r="X768" i="30"/>
  <c r="X766" i="30"/>
  <c r="X762" i="30"/>
  <c r="X765" i="30"/>
  <c r="X763" i="30"/>
  <c r="X761" i="30"/>
  <c r="Z143" i="30"/>
  <c r="Z141" i="30"/>
  <c r="Z137" i="30"/>
  <c r="Z144" i="30"/>
  <c r="Z140" i="30"/>
  <c r="X758" i="30"/>
  <c r="X759" i="30"/>
  <c r="X757" i="30"/>
  <c r="X755" i="30"/>
  <c r="X751" i="30"/>
  <c r="Y731" i="30"/>
  <c r="Y729" i="30"/>
  <c r="Y727" i="30"/>
  <c r="Y725" i="30"/>
  <c r="Y732" i="30"/>
  <c r="Y730" i="30"/>
  <c r="Z385" i="30"/>
  <c r="Z381" i="30"/>
  <c r="Z386" i="30"/>
  <c r="Z384" i="30"/>
  <c r="Z380" i="30"/>
  <c r="Z678" i="30"/>
  <c r="Z676" i="30"/>
  <c r="Z674" i="30"/>
  <c r="Z672" i="30"/>
  <c r="Z673" i="30"/>
  <c r="AK62" i="31"/>
  <c r="AK51" i="31"/>
  <c r="AK52" i="31"/>
  <c r="AK49" i="31"/>
  <c r="AK46" i="31"/>
  <c r="AJ69" i="31"/>
  <c r="AJ50" i="31"/>
  <c r="AJ48" i="31"/>
  <c r="AJ71" i="31"/>
  <c r="AK73" i="31"/>
  <c r="AK72" i="31"/>
  <c r="AK67" i="31"/>
  <c r="AK70" i="31"/>
  <c r="AK53" i="31"/>
  <c r="AK56" i="31"/>
  <c r="AJ57" i="31"/>
  <c r="AK58" i="31"/>
  <c r="AK59" i="31"/>
  <c r="AJ55" i="31"/>
  <c r="AK77" i="31"/>
  <c r="AK74" i="31"/>
  <c r="AJ76" i="31"/>
  <c r="Q55" i="31"/>
  <c r="N74" i="31"/>
  <c r="Y63" i="34"/>
  <c r="N77" i="31"/>
  <c r="Y62" i="34"/>
  <c r="N62" i="34"/>
  <c r="AC773" i="30"/>
  <c r="AD773" i="30" s="1"/>
  <c r="U82" i="31"/>
  <c r="AE773" i="30" s="1"/>
  <c r="AF773" i="30" s="1"/>
  <c r="V82" i="31"/>
  <c r="AE774" i="30" s="1"/>
  <c r="AF774" i="30" s="1"/>
  <c r="AC774" i="30"/>
  <c r="AD774" i="30" s="1"/>
  <c r="AE32" i="30"/>
  <c r="AF32" i="30" s="1"/>
  <c r="AC11" i="30"/>
  <c r="AD11" i="30" s="1"/>
  <c r="AE11" i="30" s="1"/>
  <c r="AC18" i="30"/>
  <c r="AD18" i="30" s="1"/>
  <c r="AE18" i="30" s="1"/>
  <c r="S82" i="31"/>
  <c r="AE771" i="30" s="1"/>
  <c r="AF771" i="30" s="1"/>
  <c r="AC771" i="30"/>
  <c r="AD771" i="30" s="1"/>
  <c r="AC770" i="30"/>
  <c r="AD770" i="30" s="1"/>
  <c r="R82" i="31"/>
  <c r="AE770" i="30" s="1"/>
  <c r="AF770" i="30" s="1"/>
  <c r="E82" i="31"/>
  <c r="AC769" i="30"/>
  <c r="AD769" i="30" s="1"/>
  <c r="Q82" i="31"/>
  <c r="X74" i="31"/>
  <c r="M76" i="31"/>
  <c r="X77" i="31"/>
  <c r="W76" i="31"/>
  <c r="L82" i="31"/>
  <c r="X67" i="31"/>
  <c r="W69" i="31"/>
  <c r="AE262" i="30"/>
  <c r="AF262" i="30" s="1"/>
  <c r="AC14" i="30" s="1"/>
  <c r="AD14" i="30" s="1"/>
  <c r="AE14" i="30" s="1"/>
  <c r="AE272" i="30"/>
  <c r="AF272" i="30" s="1"/>
  <c r="Q69" i="31"/>
  <c r="X70" i="31"/>
  <c r="M69" i="31"/>
  <c r="N48" i="34"/>
  <c r="Y48" i="34"/>
  <c r="N67" i="31"/>
  <c r="N70" i="31"/>
  <c r="AC678" i="30"/>
  <c r="AD678" i="30" s="1"/>
  <c r="Y68" i="31"/>
  <c r="AE678" i="30" s="1"/>
  <c r="AF678" i="30" s="1"/>
  <c r="O68" i="31"/>
  <c r="Z68" i="31" s="1"/>
  <c r="Z58" i="34"/>
  <c r="Z56" i="31"/>
  <c r="O55" i="31"/>
  <c r="Z55" i="31" s="1"/>
  <c r="W78" i="31"/>
  <c r="X67" i="34"/>
  <c r="M67" i="34"/>
  <c r="M78" i="31"/>
  <c r="U80" i="31"/>
  <c r="N79" i="31"/>
  <c r="AC451" i="30"/>
  <c r="AD451" i="30" s="1"/>
  <c r="N75" i="34"/>
  <c r="Y75" i="34"/>
  <c r="AE451" i="30" s="1"/>
  <c r="AF451" i="30" s="1"/>
  <c r="AE52" i="30"/>
  <c r="AF52" i="30" s="1"/>
  <c r="AE42" i="30"/>
  <c r="AF42" i="30" s="1"/>
  <c r="AC9" i="30" s="1"/>
  <c r="AD9" i="30" s="1"/>
  <c r="AE9" i="30" s="1"/>
  <c r="M48" i="31"/>
  <c r="X49" i="31"/>
  <c r="W48" i="31"/>
  <c r="V80" i="31"/>
  <c r="Y71" i="34"/>
  <c r="N70" i="34"/>
  <c r="AC432" i="30"/>
  <c r="AD432" i="30" s="1"/>
  <c r="Y70" i="34"/>
  <c r="AC422" i="30"/>
  <c r="AD422" i="30" s="1"/>
  <c r="Y74" i="34"/>
  <c r="AC389" i="30"/>
  <c r="AD389" i="30" s="1"/>
  <c r="N74" i="34"/>
  <c r="Z74" i="34" s="1"/>
  <c r="AC399" i="30"/>
  <c r="AD399" i="30" s="1"/>
  <c r="M80" i="31"/>
  <c r="X81" i="31"/>
  <c r="W81" i="31"/>
  <c r="L80" i="31"/>
  <c r="Y55" i="31"/>
  <c r="Y73" i="34"/>
  <c r="N73" i="34"/>
  <c r="Z73" i="34" s="1"/>
  <c r="AC442" i="30"/>
  <c r="AD442" i="30" s="1"/>
  <c r="AC668" i="30"/>
  <c r="AD668" i="30" s="1"/>
  <c r="X79" i="31"/>
  <c r="AE668" i="30" s="1"/>
  <c r="AF668" i="30" s="1"/>
  <c r="X46" i="31"/>
  <c r="N46" i="31"/>
  <c r="Y8" i="34"/>
  <c r="N8" i="34"/>
  <c r="N49" i="31"/>
  <c r="V75" i="31"/>
  <c r="AE639" i="30" s="1"/>
  <c r="AF639" i="30" s="1"/>
  <c r="AC639" i="30"/>
  <c r="AD639" i="30" s="1"/>
  <c r="Q48" i="31"/>
  <c r="S48" i="31"/>
  <c r="S80" i="31"/>
  <c r="Q80" i="31"/>
  <c r="AH75" i="31"/>
  <c r="L75" i="31"/>
  <c r="L66" i="34"/>
  <c r="AC39" i="30"/>
  <c r="AD39" i="30" s="1"/>
  <c r="W66" i="34"/>
  <c r="AE39" i="30" s="1"/>
  <c r="AF39" i="30" s="1"/>
  <c r="N714" i="30" l="1"/>
  <c r="Y714" i="30" s="1"/>
  <c r="N709" i="30"/>
  <c r="Y709" i="30" s="1"/>
  <c r="N706" i="30"/>
  <c r="D13" i="66"/>
  <c r="D14" i="66" s="1"/>
  <c r="E14" i="66" s="1"/>
  <c r="F14" i="66" s="1"/>
  <c r="G14" i="66" s="1"/>
  <c r="H14" i="66" s="1"/>
  <c r="I14" i="66" s="1"/>
  <c r="C14" i="66"/>
  <c r="C86" i="66"/>
  <c r="N835" i="30"/>
  <c r="Y835" i="30" s="1"/>
  <c r="N838" i="30"/>
  <c r="Y838" i="30" s="1"/>
  <c r="N832" i="30"/>
  <c r="Y832" i="30" s="1"/>
  <c r="N837" i="30"/>
  <c r="Y837" i="30" s="1"/>
  <c r="N836" i="30"/>
  <c r="Y836" i="30" s="1"/>
  <c r="G98" i="66"/>
  <c r="H11" i="27" s="1"/>
  <c r="H98" i="66"/>
  <c r="I11" i="27" s="1"/>
  <c r="E98" i="66"/>
  <c r="F11" i="27" s="1"/>
  <c r="F98" i="66"/>
  <c r="G11" i="27" s="1"/>
  <c r="K98" i="66"/>
  <c r="L11" i="27" s="1"/>
  <c r="I98" i="66"/>
  <c r="J11" i="27" s="1"/>
  <c r="J98" i="66"/>
  <c r="K11" i="27" s="1"/>
  <c r="L98" i="66"/>
  <c r="M11" i="27" s="1"/>
  <c r="M98" i="66"/>
  <c r="N11" i="27" s="1"/>
  <c r="N833" i="30"/>
  <c r="Y833" i="30" s="1"/>
  <c r="O818" i="30"/>
  <c r="Z818" i="30" s="1"/>
  <c r="O817" i="30"/>
  <c r="O822" i="30"/>
  <c r="O816" i="30"/>
  <c r="O814" i="30"/>
  <c r="Z814" i="30" s="1"/>
  <c r="O821" i="30"/>
  <c r="O819" i="30"/>
  <c r="O815" i="30"/>
  <c r="O820" i="30"/>
  <c r="Z820" i="30" s="1"/>
  <c r="O807" i="30"/>
  <c r="Z807" i="30" s="1"/>
  <c r="O813" i="30"/>
  <c r="Z813" i="30" s="1"/>
  <c r="O812" i="30"/>
  <c r="Z812" i="30" s="1"/>
  <c r="O806" i="30"/>
  <c r="Z806" i="30" s="1"/>
  <c r="O811" i="30"/>
  <c r="O810" i="30"/>
  <c r="O809" i="30"/>
  <c r="O808" i="30"/>
  <c r="Z808" i="30" s="1"/>
  <c r="O805" i="30"/>
  <c r="O647" i="30"/>
  <c r="O648" i="30"/>
  <c r="O643" i="30"/>
  <c r="O650" i="30"/>
  <c r="Z650" i="30" s="1"/>
  <c r="O644" i="30"/>
  <c r="Z644" i="30" s="1"/>
  <c r="O646" i="30"/>
  <c r="Z646" i="30" s="1"/>
  <c r="O645" i="30"/>
  <c r="Z645" i="30" s="1"/>
  <c r="O649" i="30"/>
  <c r="O651" i="30"/>
  <c r="O652" i="30"/>
  <c r="O654" i="30"/>
  <c r="Z654" i="30" s="1"/>
  <c r="O659" i="30"/>
  <c r="O660" i="30"/>
  <c r="Z660" i="30" s="1"/>
  <c r="O655" i="30"/>
  <c r="O657" i="30"/>
  <c r="O656" i="30"/>
  <c r="O658" i="30"/>
  <c r="Z658" i="30" s="1"/>
  <c r="O653" i="30"/>
  <c r="Z653" i="30" s="1"/>
  <c r="O727" i="30"/>
  <c r="O726" i="30"/>
  <c r="O729" i="30"/>
  <c r="O728" i="30"/>
  <c r="Z728" i="30" s="1"/>
  <c r="O725" i="30"/>
  <c r="O732" i="30"/>
  <c r="O731" i="30"/>
  <c r="O724" i="30"/>
  <c r="Z724" i="30" s="1"/>
  <c r="O730" i="30"/>
  <c r="O711" i="30"/>
  <c r="Z711" i="30" s="1"/>
  <c r="O710" i="30"/>
  <c r="O713" i="30"/>
  <c r="Z713" i="30" s="1"/>
  <c r="O707" i="30"/>
  <c r="O706" i="30"/>
  <c r="O709" i="30"/>
  <c r="O712" i="30"/>
  <c r="Z712" i="30" s="1"/>
  <c r="O708" i="30"/>
  <c r="O714" i="30"/>
  <c r="O833" i="30"/>
  <c r="O836" i="30"/>
  <c r="Z836" i="30" s="1"/>
  <c r="O832" i="30"/>
  <c r="O835" i="30"/>
  <c r="Z835" i="30" s="1"/>
  <c r="O838" i="30"/>
  <c r="Z838" i="30" s="1"/>
  <c r="O837" i="30"/>
  <c r="Z837" i="30" s="1"/>
  <c r="O840" i="30"/>
  <c r="O834" i="30"/>
  <c r="O839" i="30"/>
  <c r="O697" i="30"/>
  <c r="Z697" i="30" s="1"/>
  <c r="O700" i="30"/>
  <c r="O704" i="30"/>
  <c r="O703" i="30"/>
  <c r="O702" i="30"/>
  <c r="Z702" i="30" s="1"/>
  <c r="O705" i="30"/>
  <c r="O698" i="30"/>
  <c r="O699" i="30"/>
  <c r="Z699" i="30" s="1"/>
  <c r="O701" i="30"/>
  <c r="Z701" i="30" s="1"/>
  <c r="M831" i="30"/>
  <c r="M827" i="30"/>
  <c r="M830" i="30"/>
  <c r="M828" i="30"/>
  <c r="X828" i="30" s="1"/>
  <c r="M824" i="30"/>
  <c r="M829" i="30"/>
  <c r="M823" i="30"/>
  <c r="M826" i="30"/>
  <c r="X826" i="30" s="1"/>
  <c r="M825" i="30"/>
  <c r="L776" i="30"/>
  <c r="W776" i="30" s="1"/>
  <c r="L775" i="30"/>
  <c r="W775" i="30" s="1"/>
  <c r="L773" i="30"/>
  <c r="W773" i="30" s="1"/>
  <c r="L772" i="30"/>
  <c r="L771" i="30"/>
  <c r="L777" i="30"/>
  <c r="L774" i="30"/>
  <c r="W774" i="30" s="1"/>
  <c r="L770" i="30"/>
  <c r="L769" i="30"/>
  <c r="M37" i="30"/>
  <c r="M34" i="30"/>
  <c r="X34" i="30" s="1"/>
  <c r="M40" i="30"/>
  <c r="M39" i="30"/>
  <c r="X39" i="30" s="1"/>
  <c r="M33" i="30"/>
  <c r="M38" i="30"/>
  <c r="X38" i="30" s="1"/>
  <c r="M36" i="30"/>
  <c r="M35" i="30"/>
  <c r="M41" i="30"/>
  <c r="N768" i="30"/>
  <c r="Y768" i="30" s="1"/>
  <c r="N767" i="30"/>
  <c r="N764" i="30"/>
  <c r="N763" i="30"/>
  <c r="Y763" i="30" s="1"/>
  <c r="N766" i="30"/>
  <c r="Y766" i="30" s="1"/>
  <c r="N760" i="30"/>
  <c r="N761" i="30"/>
  <c r="Y761" i="30" s="1"/>
  <c r="N762" i="30"/>
  <c r="Y762" i="30" s="1"/>
  <c r="N765" i="30"/>
  <c r="Y765" i="30" s="1"/>
  <c r="N778" i="30"/>
  <c r="N784" i="30"/>
  <c r="N786" i="30"/>
  <c r="N785" i="30"/>
  <c r="Y785" i="30" s="1"/>
  <c r="N779" i="30"/>
  <c r="Y779" i="30" s="1"/>
  <c r="N780" i="30"/>
  <c r="N781" i="30"/>
  <c r="Y781" i="30" s="1"/>
  <c r="N782" i="30"/>
  <c r="Y782" i="30" s="1"/>
  <c r="N783" i="30"/>
  <c r="N477" i="30"/>
  <c r="Y477" i="30" s="1"/>
  <c r="N482" i="30"/>
  <c r="Y482" i="30" s="1"/>
  <c r="N480" i="30"/>
  <c r="Y480" i="30" s="1"/>
  <c r="N479" i="30"/>
  <c r="N476" i="30"/>
  <c r="N475" i="30"/>
  <c r="N474" i="30"/>
  <c r="N478" i="30"/>
  <c r="Y478" i="30" s="1"/>
  <c r="N481" i="30"/>
  <c r="O436" i="30"/>
  <c r="O442" i="30"/>
  <c r="Z442" i="30" s="1"/>
  <c r="O439" i="30"/>
  <c r="O438" i="30"/>
  <c r="Z438" i="30" s="1"/>
  <c r="O433" i="30"/>
  <c r="Z433" i="30" s="1"/>
  <c r="O440" i="30"/>
  <c r="Z440" i="30" s="1"/>
  <c r="O434" i="30"/>
  <c r="O441" i="30"/>
  <c r="O437" i="30"/>
  <c r="O435" i="30"/>
  <c r="Z435" i="30" s="1"/>
  <c r="N661" i="30"/>
  <c r="Y661" i="30" s="1"/>
  <c r="N663" i="30"/>
  <c r="Y663" i="30" s="1"/>
  <c r="N668" i="30"/>
  <c r="Y668" i="30" s="1"/>
  <c r="N669" i="30"/>
  <c r="Y669" i="30" s="1"/>
  <c r="N664" i="30"/>
  <c r="N665" i="30"/>
  <c r="N667" i="30"/>
  <c r="Y667" i="30" s="1"/>
  <c r="N662" i="30"/>
  <c r="N666" i="30"/>
  <c r="Y666" i="30" s="1"/>
  <c r="O399" i="30"/>
  <c r="O398" i="30"/>
  <c r="O397" i="30"/>
  <c r="Z397" i="30" s="1"/>
  <c r="O395" i="30"/>
  <c r="O394" i="30"/>
  <c r="O396" i="30"/>
  <c r="Z396" i="30" s="1"/>
  <c r="O391" i="30"/>
  <c r="Z391" i="30" s="1"/>
  <c r="O390" i="30"/>
  <c r="O392" i="30"/>
  <c r="Z392" i="30" s="1"/>
  <c r="O393" i="30"/>
  <c r="Z393" i="30" s="1"/>
  <c r="O389" i="30"/>
  <c r="Z389" i="30" s="1"/>
  <c r="O791" i="30"/>
  <c r="O794" i="30"/>
  <c r="Z794" i="30" s="1"/>
  <c r="O793" i="30"/>
  <c r="Z793" i="30" s="1"/>
  <c r="O792" i="30"/>
  <c r="Z792" i="30" s="1"/>
  <c r="O795" i="30"/>
  <c r="Z795" i="30" s="1"/>
  <c r="O790" i="30"/>
  <c r="O788" i="30"/>
  <c r="Z788" i="30" s="1"/>
  <c r="O789" i="30"/>
  <c r="Z789" i="30" s="1"/>
  <c r="O787" i="30"/>
  <c r="N757" i="30"/>
  <c r="Y757" i="30" s="1"/>
  <c r="N752" i="30"/>
  <c r="Y752" i="30" s="1"/>
  <c r="N751" i="30"/>
  <c r="N756" i="30"/>
  <c r="Y756" i="30" s="1"/>
  <c r="N754" i="30"/>
  <c r="Y754" i="30" s="1"/>
  <c r="N759" i="30"/>
  <c r="Y759" i="30" s="1"/>
  <c r="N753" i="30"/>
  <c r="N758" i="30"/>
  <c r="Y758" i="30" s="1"/>
  <c r="N755" i="30"/>
  <c r="Y755" i="30" s="1"/>
  <c r="O431" i="30"/>
  <c r="Z431" i="30" s="1"/>
  <c r="O430" i="30"/>
  <c r="Z430" i="30" s="1"/>
  <c r="O425" i="30"/>
  <c r="O432" i="30"/>
  <c r="Z432" i="30" s="1"/>
  <c r="O427" i="30"/>
  <c r="Z427" i="30" s="1"/>
  <c r="O426" i="30"/>
  <c r="Z426" i="30" s="1"/>
  <c r="O428" i="30"/>
  <c r="Z428" i="30" s="1"/>
  <c r="O423" i="30"/>
  <c r="Z423" i="30" s="1"/>
  <c r="O422" i="30"/>
  <c r="Z422" i="30" s="1"/>
  <c r="O429" i="30"/>
  <c r="Z429" i="30" s="1"/>
  <c r="O424" i="30"/>
  <c r="O447" i="30"/>
  <c r="Z447" i="30" s="1"/>
  <c r="O446" i="30"/>
  <c r="Z446" i="30" s="1"/>
  <c r="O448" i="30"/>
  <c r="Z448" i="30" s="1"/>
  <c r="O443" i="30"/>
  <c r="Z443" i="30" s="1"/>
  <c r="O449" i="30"/>
  <c r="Z449" i="30" s="1"/>
  <c r="O444" i="30"/>
  <c r="Z444" i="30" s="1"/>
  <c r="O450" i="30"/>
  <c r="Z450" i="30" s="1"/>
  <c r="O451" i="30"/>
  <c r="O445" i="30"/>
  <c r="Z445" i="30" s="1"/>
  <c r="L642" i="30"/>
  <c r="L638" i="30"/>
  <c r="W638" i="30" s="1"/>
  <c r="L639" i="30"/>
  <c r="W639" i="30" s="1"/>
  <c r="L634" i="30"/>
  <c r="W634" i="30" s="1"/>
  <c r="L641" i="30"/>
  <c r="W641" i="30" s="1"/>
  <c r="L640" i="30"/>
  <c r="W640" i="30" s="1"/>
  <c r="L636" i="30"/>
  <c r="W636" i="30" s="1"/>
  <c r="L637" i="30"/>
  <c r="W637" i="30" s="1"/>
  <c r="L635" i="30"/>
  <c r="W635" i="30" s="1"/>
  <c r="AE442" i="30"/>
  <c r="AF442" i="30" s="1"/>
  <c r="M715" i="30"/>
  <c r="X715" i="30" s="1"/>
  <c r="M721" i="30"/>
  <c r="X721" i="30" s="1"/>
  <c r="M720" i="30"/>
  <c r="X720" i="30" s="1"/>
  <c r="M723" i="30"/>
  <c r="X723" i="30" s="1"/>
  <c r="M718" i="30"/>
  <c r="X718" i="30" s="1"/>
  <c r="M717" i="30"/>
  <c r="X717" i="30" s="1"/>
  <c r="M719" i="30"/>
  <c r="X719" i="30" s="1"/>
  <c r="M722" i="30"/>
  <c r="X722" i="30" s="1"/>
  <c r="M716" i="30"/>
  <c r="Y665" i="30"/>
  <c r="X829" i="30"/>
  <c r="X830" i="30"/>
  <c r="W772" i="30"/>
  <c r="W771" i="30"/>
  <c r="Z821" i="30"/>
  <c r="Z652" i="30"/>
  <c r="Z655" i="30"/>
  <c r="Z810" i="30"/>
  <c r="Z647" i="30"/>
  <c r="Z648" i="30"/>
  <c r="Y724" i="30"/>
  <c r="Y706" i="30"/>
  <c r="W824" i="30"/>
  <c r="X475" i="30"/>
  <c r="Y444" i="30"/>
  <c r="Y652" i="30"/>
  <c r="R769" i="30"/>
  <c r="W716" i="30"/>
  <c r="X778" i="30"/>
  <c r="X760" i="30"/>
  <c r="S769" i="30"/>
  <c r="Y643" i="30"/>
  <c r="Y424" i="30"/>
  <c r="Y787" i="30"/>
  <c r="Y814" i="30"/>
  <c r="Y697" i="30"/>
  <c r="Y434" i="30"/>
  <c r="V769" i="30"/>
  <c r="Y391" i="30"/>
  <c r="Y805" i="30"/>
  <c r="X662" i="30"/>
  <c r="T769" i="30"/>
  <c r="U769" i="30"/>
  <c r="G24" i="43"/>
  <c r="H24" i="43" s="1"/>
  <c r="I24" i="43" s="1"/>
  <c r="W24" i="43"/>
  <c r="X24" i="43" s="1"/>
  <c r="Y24" i="43" s="1"/>
  <c r="D24" i="43"/>
  <c r="E24" i="43" s="1"/>
  <c r="K24" i="43"/>
  <c r="L24" i="43" s="1"/>
  <c r="M24" i="43" s="1"/>
  <c r="O24" i="43"/>
  <c r="P24" i="43" s="1"/>
  <c r="Q24" i="43" s="1"/>
  <c r="S24" i="43"/>
  <c r="T24" i="43" s="1"/>
  <c r="U24" i="43" s="1"/>
  <c r="AE18" i="43"/>
  <c r="AF18" i="43"/>
  <c r="Z23" i="43"/>
  <c r="X35" i="30"/>
  <c r="X41" i="30"/>
  <c r="X37" i="30"/>
  <c r="X33" i="30"/>
  <c r="X40" i="30"/>
  <c r="X36" i="30"/>
  <c r="W642" i="30"/>
  <c r="Z790" i="30"/>
  <c r="Z791" i="30"/>
  <c r="Z787" i="30"/>
  <c r="Y47" i="31"/>
  <c r="AE651" i="30" s="1"/>
  <c r="AF651" i="30" s="1"/>
  <c r="AC651" i="30"/>
  <c r="AD651" i="30" s="1"/>
  <c r="AE63" i="30"/>
  <c r="AF63" i="30" s="1"/>
  <c r="AE53" i="30"/>
  <c r="AF53" i="30" s="1"/>
  <c r="Z17" i="34"/>
  <c r="O47" i="31"/>
  <c r="Z47" i="31" s="1"/>
  <c r="Z656" i="30"/>
  <c r="Z657" i="30"/>
  <c r="Z659" i="30"/>
  <c r="Z651" i="30"/>
  <c r="Z643" i="30"/>
  <c r="Z649" i="30"/>
  <c r="X825" i="30"/>
  <c r="X831" i="30"/>
  <c r="X827" i="30"/>
  <c r="X823" i="30"/>
  <c r="AI82" i="31"/>
  <c r="Z425" i="30"/>
  <c r="Z424" i="30"/>
  <c r="AJ81" i="31"/>
  <c r="AJ80" i="31" s="1"/>
  <c r="AJ78" i="31"/>
  <c r="Z441" i="30"/>
  <c r="Z437" i="30"/>
  <c r="Z436" i="30"/>
  <c r="Z439" i="30"/>
  <c r="Z434" i="30"/>
  <c r="Z451" i="30"/>
  <c r="AK79" i="31"/>
  <c r="Y664" i="30"/>
  <c r="Z399" i="30"/>
  <c r="Z395" i="30"/>
  <c r="Z398" i="30"/>
  <c r="Z390" i="30"/>
  <c r="Z394" i="30"/>
  <c r="Y474" i="30"/>
  <c r="Y479" i="30"/>
  <c r="AJ83" i="31"/>
  <c r="Y476" i="30"/>
  <c r="Y481" i="30"/>
  <c r="AJ84" i="31"/>
  <c r="W777" i="30"/>
  <c r="W770" i="30"/>
  <c r="Y767" i="30"/>
  <c r="Y764" i="30"/>
  <c r="Z839" i="30"/>
  <c r="Z833" i="30"/>
  <c r="Z840" i="30"/>
  <c r="Z834" i="30"/>
  <c r="Z832" i="30"/>
  <c r="Y753" i="30"/>
  <c r="Z819" i="30"/>
  <c r="Z817" i="30"/>
  <c r="Z816" i="30"/>
  <c r="Z822" i="30"/>
  <c r="Z815" i="30"/>
  <c r="Z811" i="30"/>
  <c r="Z809" i="30"/>
  <c r="Z805" i="30"/>
  <c r="Z714" i="30"/>
  <c r="Z710" i="30"/>
  <c r="Z708" i="30"/>
  <c r="Z706" i="30"/>
  <c r="Z709" i="30"/>
  <c r="Z707" i="30"/>
  <c r="Z732" i="30"/>
  <c r="Z730" i="30"/>
  <c r="Z726" i="30"/>
  <c r="Z731" i="30"/>
  <c r="Z729" i="30"/>
  <c r="Z727" i="30"/>
  <c r="Z725" i="30"/>
  <c r="Y783" i="30"/>
  <c r="Y786" i="30"/>
  <c r="Y784" i="30"/>
  <c r="Y780" i="30"/>
  <c r="Z704" i="30"/>
  <c r="Z700" i="30"/>
  <c r="Z698" i="30"/>
  <c r="Z705" i="30"/>
  <c r="Z703" i="30"/>
  <c r="AK50" i="31"/>
  <c r="AK69" i="31"/>
  <c r="AK71" i="31"/>
  <c r="AK48" i="31"/>
  <c r="AK55" i="31"/>
  <c r="AK76" i="31"/>
  <c r="AK57" i="31"/>
  <c r="AE769" i="30"/>
  <c r="AF769" i="30" s="1"/>
  <c r="P82" i="31"/>
  <c r="Y74" i="31"/>
  <c r="W82" i="31"/>
  <c r="AE775" i="30" s="1"/>
  <c r="AF775" i="30" s="1"/>
  <c r="AC775" i="30"/>
  <c r="AD775" i="30" s="1"/>
  <c r="M82" i="31"/>
  <c r="X76" i="31"/>
  <c r="Z63" i="34"/>
  <c r="O74" i="31"/>
  <c r="Z74" i="31" s="1"/>
  <c r="Z62" i="34"/>
  <c r="O77" i="31"/>
  <c r="N76" i="31"/>
  <c r="Y77" i="31"/>
  <c r="Y67" i="31"/>
  <c r="Y70" i="31"/>
  <c r="N69" i="31"/>
  <c r="Z48" i="34"/>
  <c r="O67" i="31"/>
  <c r="Z67" i="31" s="1"/>
  <c r="O70" i="31"/>
  <c r="X69" i="31"/>
  <c r="Y49" i="31"/>
  <c r="N48" i="31"/>
  <c r="W80" i="31"/>
  <c r="X80" i="31"/>
  <c r="AE399" i="30"/>
  <c r="AF399" i="30" s="1"/>
  <c r="AE389" i="30"/>
  <c r="AF389" i="30" s="1"/>
  <c r="AC15" i="30" s="1"/>
  <c r="AD15" i="30" s="1"/>
  <c r="AE15" i="30" s="1"/>
  <c r="AE422" i="30"/>
  <c r="AF422" i="30" s="1"/>
  <c r="AC16" i="30" s="1"/>
  <c r="AD16" i="30" s="1"/>
  <c r="AE16" i="30" s="1"/>
  <c r="AE432" i="30"/>
  <c r="AF432" i="30" s="1"/>
  <c r="Z71" i="34"/>
  <c r="Z70" i="34"/>
  <c r="X48" i="31"/>
  <c r="Z75" i="34"/>
  <c r="O79" i="31"/>
  <c r="Z79" i="31" s="1"/>
  <c r="AC669" i="30"/>
  <c r="AD669" i="30" s="1"/>
  <c r="Y79" i="31"/>
  <c r="AE669" i="30" s="1"/>
  <c r="AF669" i="30" s="1"/>
  <c r="N67" i="34"/>
  <c r="Y67" i="34"/>
  <c r="N78" i="31"/>
  <c r="N81" i="31"/>
  <c r="O49" i="31"/>
  <c r="O46" i="31"/>
  <c r="Z46" i="31" s="1"/>
  <c r="Z8" i="34"/>
  <c r="Y46" i="31"/>
  <c r="X78" i="31"/>
  <c r="W75" i="31"/>
  <c r="AE640" i="30" s="1"/>
  <c r="AF640" i="30" s="1"/>
  <c r="AC640" i="30"/>
  <c r="AD640" i="30" s="1"/>
  <c r="AI75" i="31"/>
  <c r="M75" i="31"/>
  <c r="X66" i="34"/>
  <c r="AE40" i="30" s="1"/>
  <c r="AF40" i="30" s="1"/>
  <c r="M66" i="34"/>
  <c r="AC40" i="30"/>
  <c r="AD40" i="30" s="1"/>
  <c r="E13" i="66" l="1"/>
  <c r="E72" i="36"/>
  <c r="D98" i="66"/>
  <c r="E11" i="27" s="1"/>
  <c r="C77" i="66"/>
  <c r="C78" i="66" s="1"/>
  <c r="C102" i="66"/>
  <c r="D73" i="36"/>
  <c r="C94" i="66"/>
  <c r="D71" i="36"/>
  <c r="C61" i="66"/>
  <c r="D62" i="66" s="1"/>
  <c r="D69" i="36"/>
  <c r="C98" i="66"/>
  <c r="D72" i="36"/>
  <c r="D70" i="36"/>
  <c r="C90" i="66"/>
  <c r="M771" i="30"/>
  <c r="X771" i="30" s="1"/>
  <c r="M770" i="30"/>
  <c r="M777" i="30"/>
  <c r="X777" i="30" s="1"/>
  <c r="M772" i="30"/>
  <c r="X772" i="30" s="1"/>
  <c r="M769" i="30"/>
  <c r="M776" i="30"/>
  <c r="X776" i="30" s="1"/>
  <c r="M774" i="30"/>
  <c r="X774" i="30" s="1"/>
  <c r="M775" i="30"/>
  <c r="X775" i="30" s="1"/>
  <c r="M773" i="30"/>
  <c r="O758" i="30"/>
  <c r="Z758" i="30" s="1"/>
  <c r="O759" i="30"/>
  <c r="O757" i="30"/>
  <c r="O755" i="30"/>
  <c r="Z755" i="30" s="1"/>
  <c r="O754" i="30"/>
  <c r="Z754" i="30" s="1"/>
  <c r="O756" i="30"/>
  <c r="Z756" i="30" s="1"/>
  <c r="O751" i="30"/>
  <c r="Z751" i="30" s="1"/>
  <c r="O753" i="30"/>
  <c r="Z753" i="30" s="1"/>
  <c r="O752" i="30"/>
  <c r="Z752" i="30" s="1"/>
  <c r="O479" i="30"/>
  <c r="Z479" i="30" s="1"/>
  <c r="O478" i="30"/>
  <c r="Z478" i="30" s="1"/>
  <c r="O480" i="30"/>
  <c r="O475" i="30"/>
  <c r="Z475" i="30" s="1"/>
  <c r="O474" i="30"/>
  <c r="Z474" i="30" s="1"/>
  <c r="O476" i="30"/>
  <c r="O481" i="30"/>
  <c r="O482" i="30"/>
  <c r="Z482" i="30" s="1"/>
  <c r="O477" i="30"/>
  <c r="O668" i="30"/>
  <c r="Z668" i="30" s="1"/>
  <c r="O663" i="30"/>
  <c r="O664" i="30"/>
  <c r="Z664" i="30" s="1"/>
  <c r="O666" i="30"/>
  <c r="Z666" i="30" s="1"/>
  <c r="O662" i="30"/>
  <c r="Z662" i="30" s="1"/>
  <c r="O665" i="30"/>
  <c r="O667" i="30"/>
  <c r="O669" i="30"/>
  <c r="Z669" i="30" s="1"/>
  <c r="O661" i="30"/>
  <c r="N41" i="30"/>
  <c r="Y41" i="30" s="1"/>
  <c r="N34" i="30"/>
  <c r="Y34" i="30" s="1"/>
  <c r="N40" i="30"/>
  <c r="Y40" i="30" s="1"/>
  <c r="N38" i="30"/>
  <c r="Y38" i="30" s="1"/>
  <c r="N36" i="30"/>
  <c r="Y36" i="30" s="1"/>
  <c r="N35" i="30"/>
  <c r="Y35" i="30" s="1"/>
  <c r="N37" i="30"/>
  <c r="Y37" i="30" s="1"/>
  <c r="N39" i="30"/>
  <c r="Y39" i="30" s="1"/>
  <c r="N33" i="30"/>
  <c r="Y33" i="30" s="1"/>
  <c r="O768" i="30"/>
  <c r="Z768" i="30" s="1"/>
  <c r="O765" i="30"/>
  <c r="O764" i="30"/>
  <c r="O760" i="30"/>
  <c r="Z760" i="30" s="1"/>
  <c r="O766" i="30"/>
  <c r="Z766" i="30" s="1"/>
  <c r="O762" i="30"/>
  <c r="Z762" i="30" s="1"/>
  <c r="O767" i="30"/>
  <c r="Z767" i="30" s="1"/>
  <c r="O763" i="30"/>
  <c r="Z763" i="30" s="1"/>
  <c r="O761" i="30"/>
  <c r="Z761" i="30" s="1"/>
  <c r="N826" i="30"/>
  <c r="Y826" i="30" s="1"/>
  <c r="N829" i="30"/>
  <c r="Y829" i="30" s="1"/>
  <c r="N824" i="30"/>
  <c r="N825" i="30"/>
  <c r="Y825" i="30" s="1"/>
  <c r="N831" i="30"/>
  <c r="Y831" i="30" s="1"/>
  <c r="N830" i="30"/>
  <c r="N827" i="30"/>
  <c r="Y827" i="30" s="1"/>
  <c r="N828" i="30"/>
  <c r="Y828" i="30" s="1"/>
  <c r="N823" i="30"/>
  <c r="Y823" i="30" s="1"/>
  <c r="Z24" i="43"/>
  <c r="M638" i="30"/>
  <c r="X638" i="30" s="1"/>
  <c r="M640" i="30"/>
  <c r="X640" i="30" s="1"/>
  <c r="M636" i="30"/>
  <c r="X636" i="30" s="1"/>
  <c r="M641" i="30"/>
  <c r="X641" i="30" s="1"/>
  <c r="M642" i="30"/>
  <c r="M635" i="30"/>
  <c r="X635" i="30" s="1"/>
  <c r="M634" i="30"/>
  <c r="X634" i="30" s="1"/>
  <c r="M639" i="30"/>
  <c r="X639" i="30" s="1"/>
  <c r="M637" i="30"/>
  <c r="X637" i="30" s="1"/>
  <c r="O785" i="30"/>
  <c r="Z785" i="30" s="1"/>
  <c r="O784" i="30"/>
  <c r="Z784" i="30" s="1"/>
  <c r="O782" i="30"/>
  <c r="Z782" i="30" s="1"/>
  <c r="O779" i="30"/>
  <c r="Z779" i="30" s="1"/>
  <c r="O781" i="30"/>
  <c r="Z781" i="30" s="1"/>
  <c r="O780" i="30"/>
  <c r="Z780" i="30" s="1"/>
  <c r="O786" i="30"/>
  <c r="Z786" i="30" s="1"/>
  <c r="O783" i="30"/>
  <c r="Z783" i="30" s="1"/>
  <c r="O778" i="30"/>
  <c r="N720" i="30"/>
  <c r="Y720" i="30" s="1"/>
  <c r="N719" i="30"/>
  <c r="N722" i="30"/>
  <c r="Y722" i="30" s="1"/>
  <c r="N721" i="30"/>
  <c r="Y721" i="30" s="1"/>
  <c r="N716" i="30"/>
  <c r="N715" i="30"/>
  <c r="Y715" i="30" s="1"/>
  <c r="N718" i="30"/>
  <c r="Y718" i="30" s="1"/>
  <c r="N717" i="30"/>
  <c r="Y717" i="30" s="1"/>
  <c r="N723" i="30"/>
  <c r="Y723" i="30" s="1"/>
  <c r="Y830" i="30"/>
  <c r="Z665" i="30"/>
  <c r="Z661" i="30"/>
  <c r="Z765" i="30"/>
  <c r="Z764" i="30"/>
  <c r="Y662" i="30"/>
  <c r="W769" i="30"/>
  <c r="Y760" i="30"/>
  <c r="Y778" i="30"/>
  <c r="Y751" i="30"/>
  <c r="X716" i="30"/>
  <c r="Y475" i="30"/>
  <c r="X824" i="30"/>
  <c r="D33" i="31"/>
  <c r="C33" i="31" s="1"/>
  <c r="AF20" i="43"/>
  <c r="AG18" i="43" s="1"/>
  <c r="D28" i="31" s="1"/>
  <c r="C28" i="31" s="1"/>
  <c r="X642" i="30"/>
  <c r="AK81" i="31"/>
  <c r="AK80" i="31" s="1"/>
  <c r="AK78" i="31"/>
  <c r="X773" i="30"/>
  <c r="X770" i="30"/>
  <c r="Z481" i="30"/>
  <c r="Z477" i="30"/>
  <c r="AK84" i="31"/>
  <c r="Z480" i="30"/>
  <c r="Z476" i="30"/>
  <c r="AK83" i="31"/>
  <c r="Y719" i="30"/>
  <c r="AJ82" i="31"/>
  <c r="Z667" i="30"/>
  <c r="Z663" i="30"/>
  <c r="Z778" i="30"/>
  <c r="Z759" i="30"/>
  <c r="Z757" i="30"/>
  <c r="O76" i="31"/>
  <c r="Z77" i="31"/>
  <c r="X82" i="31"/>
  <c r="AE776" i="30" s="1"/>
  <c r="AF776" i="30" s="1"/>
  <c r="AC776" i="30"/>
  <c r="AD776" i="30" s="1"/>
  <c r="N82" i="31"/>
  <c r="Y76" i="31"/>
  <c r="Z70" i="31"/>
  <c r="O69" i="31"/>
  <c r="Z69" i="31" s="1"/>
  <c r="Y69" i="31"/>
  <c r="Z49" i="31"/>
  <c r="O48" i="31"/>
  <c r="Z48" i="31" s="1"/>
  <c r="Y78" i="31"/>
  <c r="N80" i="31"/>
  <c r="Y81" i="31"/>
  <c r="Z67" i="34"/>
  <c r="O78" i="31"/>
  <c r="Z78" i="31" s="1"/>
  <c r="O81" i="31"/>
  <c r="Y48" i="31"/>
  <c r="N75" i="31"/>
  <c r="N66" i="34"/>
  <c r="AC41" i="30"/>
  <c r="AD41" i="30" s="1"/>
  <c r="Y66" i="34"/>
  <c r="AE41" i="30" s="1"/>
  <c r="AF41" i="30" s="1"/>
  <c r="X75" i="31"/>
  <c r="AE641" i="30" s="1"/>
  <c r="AF641" i="30" s="1"/>
  <c r="AC641" i="30"/>
  <c r="AD641" i="30" s="1"/>
  <c r="AJ75" i="31"/>
  <c r="C118" i="66" l="1"/>
  <c r="D77" i="36"/>
  <c r="D80" i="36" s="1"/>
  <c r="O720" i="30"/>
  <c r="O723" i="30"/>
  <c r="O722" i="30"/>
  <c r="O719" i="30"/>
  <c r="O718" i="30"/>
  <c r="O721" i="30"/>
  <c r="Z721" i="30" s="1"/>
  <c r="O715" i="30"/>
  <c r="Z715" i="30" s="1"/>
  <c r="O717" i="30"/>
  <c r="Z717" i="30" s="1"/>
  <c r="O716" i="30"/>
  <c r="N640" i="30"/>
  <c r="Y640" i="30" s="1"/>
  <c r="N641" i="30"/>
  <c r="N636" i="30"/>
  <c r="N637" i="30"/>
  <c r="N639" i="30"/>
  <c r="N638" i="30"/>
  <c r="Y638" i="30" s="1"/>
  <c r="N642" i="30"/>
  <c r="N635" i="30"/>
  <c r="N634" i="30"/>
  <c r="N777" i="30"/>
  <c r="Y777" i="30" s="1"/>
  <c r="N775" i="30"/>
  <c r="Y775" i="30" s="1"/>
  <c r="N772" i="30"/>
  <c r="Y772" i="30" s="1"/>
  <c r="N776" i="30"/>
  <c r="Y776" i="30" s="1"/>
  <c r="N774" i="30"/>
  <c r="N773" i="30"/>
  <c r="N770" i="30"/>
  <c r="N769" i="30"/>
  <c r="N771" i="30"/>
  <c r="O35" i="30"/>
  <c r="Z35" i="30" s="1"/>
  <c r="O36" i="30"/>
  <c r="O34" i="30"/>
  <c r="Z34" i="30" s="1"/>
  <c r="O41" i="30"/>
  <c r="Z41" i="30" s="1"/>
  <c r="O33" i="30"/>
  <c r="Z33" i="30" s="1"/>
  <c r="O38" i="30"/>
  <c r="Z38" i="30" s="1"/>
  <c r="O37" i="30"/>
  <c r="Z37" i="30" s="1"/>
  <c r="O39" i="30"/>
  <c r="O40" i="30"/>
  <c r="O826" i="30"/>
  <c r="Z826" i="30" s="1"/>
  <c r="O831" i="30"/>
  <c r="O829" i="30"/>
  <c r="Z829" i="30" s="1"/>
  <c r="O823" i="30"/>
  <c r="Z823" i="30" s="1"/>
  <c r="O827" i="30"/>
  <c r="O825" i="30"/>
  <c r="Z825" i="30" s="1"/>
  <c r="O828" i="30"/>
  <c r="Z828" i="30" s="1"/>
  <c r="O824" i="30"/>
  <c r="Z824" i="30" s="1"/>
  <c r="O830" i="30"/>
  <c r="Z830" i="30" s="1"/>
  <c r="Y639" i="30"/>
  <c r="Y824" i="30"/>
  <c r="Y716" i="30"/>
  <c r="X769" i="30"/>
  <c r="AG858" i="30"/>
  <c r="AG839" i="30"/>
  <c r="AG814" i="30"/>
  <c r="AG143" i="30"/>
  <c r="AG826" i="30"/>
  <c r="AG256" i="30"/>
  <c r="AG853" i="30"/>
  <c r="AG852" i="30"/>
  <c r="AG829" i="30"/>
  <c r="AG808" i="30"/>
  <c r="AG137" i="30"/>
  <c r="AG815" i="30"/>
  <c r="AG144" i="30"/>
  <c r="AG855" i="30"/>
  <c r="AG854" i="30"/>
  <c r="AG831" i="30"/>
  <c r="AG810" i="30"/>
  <c r="AG139" i="30"/>
  <c r="AG817" i="30"/>
  <c r="AG254" i="30"/>
  <c r="AG849" i="30"/>
  <c r="AG844" i="30"/>
  <c r="AG825" i="30"/>
  <c r="AG261" i="30"/>
  <c r="AG832" i="30"/>
  <c r="AG811" i="30"/>
  <c r="AG138" i="30"/>
  <c r="AG818" i="30"/>
  <c r="AG260" i="30"/>
  <c r="AG833" i="30"/>
  <c r="AG824" i="30"/>
  <c r="AG847" i="30"/>
  <c r="AG259" i="30"/>
  <c r="AG136" i="30"/>
  <c r="AG816" i="30"/>
  <c r="AG807" i="30"/>
  <c r="AG851" i="30"/>
  <c r="AG846" i="30"/>
  <c r="AG827" i="30"/>
  <c r="AG806" i="30"/>
  <c r="AG834" i="30"/>
  <c r="AG813" i="30"/>
  <c r="AG142" i="30"/>
  <c r="AG841" i="30"/>
  <c r="AG840" i="30"/>
  <c r="AG820" i="30"/>
  <c r="AG253" i="30"/>
  <c r="AG828" i="30"/>
  <c r="AG805" i="30"/>
  <c r="AG823" i="30"/>
  <c r="AG843" i="30"/>
  <c r="AG842" i="30"/>
  <c r="AG822" i="30"/>
  <c r="AG255" i="30"/>
  <c r="AG830" i="30"/>
  <c r="AG809" i="30"/>
  <c r="AG857" i="30"/>
  <c r="AG856" i="30"/>
  <c r="AG837" i="30"/>
  <c r="AG812" i="30"/>
  <c r="AG141" i="30"/>
  <c r="AG819" i="30"/>
  <c r="AG258" i="30"/>
  <c r="AG850" i="30"/>
  <c r="AG838" i="30"/>
  <c r="AG845" i="30"/>
  <c r="AG257" i="30"/>
  <c r="AG140" i="30"/>
  <c r="AG835" i="30"/>
  <c r="AG821" i="30"/>
  <c r="AG848" i="30"/>
  <c r="AG836" i="30"/>
  <c r="AG477" i="30"/>
  <c r="AG381" i="30"/>
  <c r="AG566" i="30"/>
  <c r="AG630" i="30"/>
  <c r="AG629" i="30"/>
  <c r="AG388" i="30"/>
  <c r="AG481" i="30"/>
  <c r="AG385" i="30"/>
  <c r="AG382" i="30"/>
  <c r="AG625" i="30"/>
  <c r="AG482" i="30"/>
  <c r="AG633" i="30"/>
  <c r="AG380" i="30"/>
  <c r="AG387" i="30"/>
  <c r="AG474" i="30"/>
  <c r="AG383" i="30"/>
  <c r="AG479" i="30"/>
  <c r="AG476" i="30"/>
  <c r="AG567" i="30"/>
  <c r="AG386" i="30"/>
  <c r="AG384" i="30"/>
  <c r="AG475" i="30"/>
  <c r="AG478" i="30"/>
  <c r="AG559" i="30"/>
  <c r="AG627" i="30"/>
  <c r="AG563" i="30"/>
  <c r="AG560" i="30"/>
  <c r="AG632" i="30"/>
  <c r="AG565" i="30"/>
  <c r="AG480" i="30"/>
  <c r="AG561" i="30"/>
  <c r="AG564" i="30"/>
  <c r="AG626" i="30"/>
  <c r="AG562" i="30"/>
  <c r="AG628" i="30"/>
  <c r="AG631" i="30"/>
  <c r="AF21" i="43"/>
  <c r="AF22" i="43" s="1"/>
  <c r="AG19" i="43"/>
  <c r="Z40" i="30"/>
  <c r="Z36" i="30"/>
  <c r="Z39" i="30"/>
  <c r="Y641" i="30"/>
  <c r="Y637" i="30"/>
  <c r="Y636" i="30"/>
  <c r="Y642" i="30"/>
  <c r="Y634" i="30"/>
  <c r="Y635" i="30"/>
  <c r="Z831" i="30"/>
  <c r="Z827" i="30"/>
  <c r="Y771" i="30"/>
  <c r="Y774" i="30"/>
  <c r="Y773" i="30"/>
  <c r="Y770" i="30"/>
  <c r="Z722" i="30"/>
  <c r="Z718" i="30"/>
  <c r="Z723" i="30"/>
  <c r="Z719" i="30"/>
  <c r="Z720" i="30"/>
  <c r="Z716" i="30"/>
  <c r="AK82" i="31"/>
  <c r="Y82" i="31"/>
  <c r="AE777" i="30" s="1"/>
  <c r="AF777" i="30" s="1"/>
  <c r="AC777" i="30"/>
  <c r="AD777" i="30" s="1"/>
  <c r="Z76" i="31"/>
  <c r="O82" i="31"/>
  <c r="Z82" i="31" s="1"/>
  <c r="Y80" i="31"/>
  <c r="O80" i="31"/>
  <c r="Z80" i="31" s="1"/>
  <c r="Z81" i="31"/>
  <c r="Y75" i="31"/>
  <c r="AE642" i="30" s="1"/>
  <c r="AF642" i="30" s="1"/>
  <c r="AC642" i="30"/>
  <c r="AD642" i="30" s="1"/>
  <c r="O75" i="31"/>
  <c r="Z75" i="31" s="1"/>
  <c r="Z66" i="34"/>
  <c r="AK75" i="31"/>
  <c r="O636" i="30" l="1"/>
  <c r="O638" i="30"/>
  <c r="O634" i="30"/>
  <c r="Z634" i="30" s="1"/>
  <c r="O639" i="30"/>
  <c r="Z639" i="30" s="1"/>
  <c r="O635" i="30"/>
  <c r="Z635" i="30" s="1"/>
  <c r="O637" i="30"/>
  <c r="Z637" i="30" s="1"/>
  <c r="O641" i="30"/>
  <c r="Z641" i="30" s="1"/>
  <c r="O642" i="30"/>
  <c r="Z642" i="30" s="1"/>
  <c r="O640" i="30"/>
  <c r="Z640" i="30" s="1"/>
  <c r="O769" i="30"/>
  <c r="Z769" i="30" s="1"/>
  <c r="O770" i="30"/>
  <c r="Z770" i="30" s="1"/>
  <c r="O774" i="30"/>
  <c r="Z774" i="30" s="1"/>
  <c r="O771" i="30"/>
  <c r="O777" i="30"/>
  <c r="Z777" i="30" s="1"/>
  <c r="O776" i="30"/>
  <c r="Z776" i="30" s="1"/>
  <c r="O775" i="30"/>
  <c r="Z775" i="30" s="1"/>
  <c r="O773" i="30"/>
  <c r="Z773" i="30" s="1"/>
  <c r="O772" i="30"/>
  <c r="Z772" i="30" s="1"/>
  <c r="Y769" i="30"/>
  <c r="E33" i="31"/>
  <c r="AC45" i="34"/>
  <c r="AC44" i="34"/>
  <c r="E28" i="31"/>
  <c r="Z638" i="30"/>
  <c r="Z636" i="30"/>
  <c r="Z771" i="30"/>
  <c r="K19" i="34" l="1"/>
  <c r="K38" i="34"/>
  <c r="K89" i="34"/>
  <c r="K47" i="34"/>
  <c r="K78" i="34"/>
  <c r="K61" i="34"/>
  <c r="F78" i="34"/>
  <c r="G89" i="34"/>
  <c r="H61" i="34"/>
  <c r="H78" i="34"/>
  <c r="G78" i="34"/>
  <c r="I47" i="34"/>
  <c r="F47" i="34"/>
  <c r="E61" i="34"/>
  <c r="J89" i="34"/>
  <c r="G47" i="34"/>
  <c r="E89" i="34"/>
  <c r="F89" i="34"/>
  <c r="I61" i="34"/>
  <c r="F61" i="34"/>
  <c r="G61" i="34"/>
  <c r="J78" i="34"/>
  <c r="J47" i="34"/>
  <c r="I89" i="34"/>
  <c r="H47" i="34"/>
  <c r="H89" i="34"/>
  <c r="E47" i="34"/>
  <c r="J61" i="34"/>
  <c r="I78" i="34"/>
  <c r="E19" i="34"/>
  <c r="H19" i="34"/>
  <c r="J38" i="34"/>
  <c r="J19" i="34"/>
  <c r="I19" i="34"/>
  <c r="E38" i="34"/>
  <c r="H38" i="34"/>
  <c r="F38" i="34"/>
  <c r="I38" i="34"/>
  <c r="F19" i="34"/>
  <c r="G38" i="34"/>
  <c r="G19" i="34"/>
  <c r="S38" i="34" l="1"/>
  <c r="AE255" i="30" s="1"/>
  <c r="AF255" i="30" s="1"/>
  <c r="H58" i="31"/>
  <c r="AC255" i="30"/>
  <c r="AD255" i="30" s="1"/>
  <c r="H59" i="31"/>
  <c r="AC257" i="30"/>
  <c r="AD257" i="30" s="1"/>
  <c r="U38" i="34"/>
  <c r="AE257" i="30" s="1"/>
  <c r="AF257" i="30" s="1"/>
  <c r="J58" i="31"/>
  <c r="J59" i="31"/>
  <c r="I58" i="31"/>
  <c r="T38" i="34"/>
  <c r="AE256" i="30" s="1"/>
  <c r="AF256" i="30" s="1"/>
  <c r="I59" i="31"/>
  <c r="AC256" i="30"/>
  <c r="AD256" i="30" s="1"/>
  <c r="AC140" i="30"/>
  <c r="AD140" i="30" s="1"/>
  <c r="J52" i="31"/>
  <c r="U19" i="34"/>
  <c r="AE140" i="30" s="1"/>
  <c r="AF140" i="30" s="1"/>
  <c r="J51" i="31"/>
  <c r="V38" i="34"/>
  <c r="AE258" i="30" s="1"/>
  <c r="AF258" i="30" s="1"/>
  <c r="K58" i="31"/>
  <c r="K59" i="31"/>
  <c r="AC258" i="30"/>
  <c r="AD258" i="30" s="1"/>
  <c r="Q19" i="34"/>
  <c r="AE136" i="30" s="1"/>
  <c r="AF136" i="30" s="1"/>
  <c r="F51" i="31"/>
  <c r="F52" i="31"/>
  <c r="AC136" i="30"/>
  <c r="AD136" i="30" s="1"/>
  <c r="K72" i="31"/>
  <c r="K73" i="31"/>
  <c r="AC385" i="30"/>
  <c r="AD385" i="30" s="1"/>
  <c r="V61" i="34"/>
  <c r="AE385" i="30" s="1"/>
  <c r="AF385" i="30" s="1"/>
  <c r="AC562" i="30"/>
  <c r="AD562" i="30" s="1"/>
  <c r="I91" i="31"/>
  <c r="I90" i="31"/>
  <c r="T89" i="34"/>
  <c r="AE562" i="30" s="1"/>
  <c r="AF562" i="30" s="1"/>
  <c r="AC563" i="30"/>
  <c r="AD563" i="30" s="1"/>
  <c r="J91" i="31"/>
  <c r="U89" i="34"/>
  <c r="AE563" i="30" s="1"/>
  <c r="AF563" i="30" s="1"/>
  <c r="J90" i="31"/>
  <c r="V78" i="34"/>
  <c r="AE479" i="30" s="1"/>
  <c r="AF479" i="30" s="1"/>
  <c r="AC479" i="30"/>
  <c r="AD479" i="30" s="1"/>
  <c r="K83" i="31"/>
  <c r="K84" i="31"/>
  <c r="R61" i="34"/>
  <c r="AE381" i="30" s="1"/>
  <c r="AF381" i="30" s="1"/>
  <c r="AC381" i="30"/>
  <c r="AD381" i="30" s="1"/>
  <c r="G73" i="31"/>
  <c r="G72" i="31"/>
  <c r="R89" i="34"/>
  <c r="AE560" i="30" s="1"/>
  <c r="AF560" i="30" s="1"/>
  <c r="G90" i="31"/>
  <c r="G91" i="31"/>
  <c r="AC560" i="30"/>
  <c r="AD560" i="30" s="1"/>
  <c r="H65" i="31"/>
  <c r="S47" i="34"/>
  <c r="AE627" i="30" s="1"/>
  <c r="AF627" i="30" s="1"/>
  <c r="H66" i="31"/>
  <c r="AC627" i="30"/>
  <c r="AD627" i="30" s="1"/>
  <c r="AC380" i="30"/>
  <c r="AD380" i="30" s="1"/>
  <c r="F72" i="31"/>
  <c r="Q61" i="34"/>
  <c r="AE380" i="30" s="1"/>
  <c r="AF380" i="30" s="1"/>
  <c r="F73" i="31"/>
  <c r="AC629" i="30"/>
  <c r="AD629" i="30" s="1"/>
  <c r="U47" i="34"/>
  <c r="AE629" i="30" s="1"/>
  <c r="AF629" i="30" s="1"/>
  <c r="J65" i="31"/>
  <c r="J66" i="31"/>
  <c r="AC477" i="30"/>
  <c r="AD477" i="30" s="1"/>
  <c r="T78" i="34"/>
  <c r="AE477" i="30" s="1"/>
  <c r="AF477" i="30" s="1"/>
  <c r="I84" i="31"/>
  <c r="I83" i="31"/>
  <c r="H91" i="31"/>
  <c r="H90" i="31"/>
  <c r="S89" i="34"/>
  <c r="AE561" i="30" s="1"/>
  <c r="AF561" i="30" s="1"/>
  <c r="AC561" i="30"/>
  <c r="AD561" i="30" s="1"/>
  <c r="H52" i="31"/>
  <c r="H51" i="31"/>
  <c r="S19" i="34"/>
  <c r="AE138" i="30" s="1"/>
  <c r="AF138" i="30" s="1"/>
  <c r="AC138" i="30"/>
  <c r="AD138" i="30" s="1"/>
  <c r="R19" i="34"/>
  <c r="AE137" i="30" s="1"/>
  <c r="AF137" i="30" s="1"/>
  <c r="G51" i="31"/>
  <c r="AC137" i="30"/>
  <c r="AD137" i="30" s="1"/>
  <c r="G52" i="31"/>
  <c r="AC254" i="30"/>
  <c r="AD254" i="30" s="1"/>
  <c r="G58" i="31"/>
  <c r="G59" i="31"/>
  <c r="R38" i="34"/>
  <c r="AE254" i="30" s="1"/>
  <c r="AF254" i="30" s="1"/>
  <c r="AC253" i="30"/>
  <c r="AD253" i="30" s="1"/>
  <c r="Q38" i="34"/>
  <c r="AE253" i="30" s="1"/>
  <c r="AF253" i="30" s="1"/>
  <c r="F59" i="31"/>
  <c r="F58" i="31"/>
  <c r="K52" i="31"/>
  <c r="K51" i="31"/>
  <c r="V19" i="34"/>
  <c r="AE141" i="30" s="1"/>
  <c r="AF141" i="30" s="1"/>
  <c r="AC141" i="30"/>
  <c r="AD141" i="30" s="1"/>
  <c r="I51" i="31"/>
  <c r="T19" i="34"/>
  <c r="AE139" i="30" s="1"/>
  <c r="AF139" i="30" s="1"/>
  <c r="I52" i="31"/>
  <c r="AC139" i="30"/>
  <c r="AD139" i="30" s="1"/>
  <c r="U78" i="34"/>
  <c r="AE478" i="30" s="1"/>
  <c r="AF478" i="30" s="1"/>
  <c r="J83" i="31"/>
  <c r="J84" i="31"/>
  <c r="AC478" i="30"/>
  <c r="AD478" i="30" s="1"/>
  <c r="F66" i="31"/>
  <c r="F65" i="31"/>
  <c r="Q47" i="34"/>
  <c r="AE625" i="30" s="1"/>
  <c r="AF625" i="30" s="1"/>
  <c r="AC625" i="30"/>
  <c r="AD625" i="30" s="1"/>
  <c r="AC628" i="30"/>
  <c r="AD628" i="30" s="1"/>
  <c r="T47" i="34"/>
  <c r="AE628" i="30" s="1"/>
  <c r="AF628" i="30" s="1"/>
  <c r="I65" i="31"/>
  <c r="I66" i="31"/>
  <c r="AC630" i="30"/>
  <c r="AD630" i="30" s="1"/>
  <c r="V47" i="34"/>
  <c r="AE630" i="30" s="1"/>
  <c r="AF630" i="30" s="1"/>
  <c r="K65" i="31"/>
  <c r="K66" i="31"/>
  <c r="AC382" i="30"/>
  <c r="AD382" i="30" s="1"/>
  <c r="H72" i="31"/>
  <c r="S61" i="34"/>
  <c r="AE382" i="30" s="1"/>
  <c r="AF382" i="30" s="1"/>
  <c r="H73" i="31"/>
  <c r="AC384" i="30"/>
  <c r="AD384" i="30" s="1"/>
  <c r="J73" i="31"/>
  <c r="J72" i="31"/>
  <c r="U61" i="34"/>
  <c r="AE384" i="30" s="1"/>
  <c r="AF384" i="30" s="1"/>
  <c r="Q89" i="34"/>
  <c r="AE559" i="30" s="1"/>
  <c r="AF559" i="30" s="1"/>
  <c r="F90" i="31"/>
  <c r="F91" i="31"/>
  <c r="AC559" i="30"/>
  <c r="AD559" i="30" s="1"/>
  <c r="AC564" i="30"/>
  <c r="AD564" i="30" s="1"/>
  <c r="K90" i="31"/>
  <c r="V89" i="34"/>
  <c r="AE564" i="30" s="1"/>
  <c r="AF564" i="30" s="1"/>
  <c r="K91" i="31"/>
  <c r="G66" i="31"/>
  <c r="AC626" i="30"/>
  <c r="AD626" i="30" s="1"/>
  <c r="G65" i="31"/>
  <c r="R47" i="34"/>
  <c r="AE626" i="30" s="1"/>
  <c r="AF626" i="30" s="1"/>
  <c r="H83" i="31"/>
  <c r="S78" i="34"/>
  <c r="AE476" i="30" s="1"/>
  <c r="AF476" i="30" s="1"/>
  <c r="H84" i="31"/>
  <c r="AC476" i="30"/>
  <c r="AD476" i="30" s="1"/>
  <c r="T61" i="34"/>
  <c r="AE383" i="30" s="1"/>
  <c r="AF383" i="30" s="1"/>
  <c r="AC383" i="30"/>
  <c r="AD383" i="30" s="1"/>
  <c r="I72" i="31"/>
  <c r="I73" i="31"/>
  <c r="G83" i="31"/>
  <c r="G84" i="31"/>
  <c r="R78" i="34"/>
  <c r="AE475" i="30" s="1"/>
  <c r="AF475" i="30" s="1"/>
  <c r="AC475" i="30"/>
  <c r="AD475" i="30" s="1"/>
  <c r="AC835" i="30" l="1"/>
  <c r="AD835" i="30" s="1"/>
  <c r="T73" i="31"/>
  <c r="AE835" i="30" s="1"/>
  <c r="AF835" i="30" s="1"/>
  <c r="V91" i="31"/>
  <c r="AE855" i="30" s="1"/>
  <c r="AF855" i="30" s="1"/>
  <c r="AC855" i="30"/>
  <c r="AD855" i="30" s="1"/>
  <c r="L90" i="31"/>
  <c r="L91" i="31"/>
  <c r="L89" i="34"/>
  <c r="AC565" i="30"/>
  <c r="AD565" i="30" s="1"/>
  <c r="W89" i="34"/>
  <c r="AE565" i="30" s="1"/>
  <c r="AF565" i="30" s="1"/>
  <c r="E91" i="31"/>
  <c r="Q91" i="31"/>
  <c r="AC850" i="30"/>
  <c r="AD850" i="30" s="1"/>
  <c r="U72" i="31"/>
  <c r="AE728" i="30" s="1"/>
  <c r="AF728" i="30" s="1"/>
  <c r="AC728" i="30"/>
  <c r="AD728" i="30" s="1"/>
  <c r="AC738" i="30"/>
  <c r="AD738" i="30" s="1"/>
  <c r="K71" i="31"/>
  <c r="V65" i="31"/>
  <c r="AE738" i="30" s="1"/>
  <c r="AF738" i="30" s="1"/>
  <c r="T66" i="31"/>
  <c r="AE844" i="30" s="1"/>
  <c r="AF844" i="30" s="1"/>
  <c r="AC844" i="30"/>
  <c r="AD844" i="30" s="1"/>
  <c r="AC733" i="30"/>
  <c r="AD733" i="30" s="1"/>
  <c r="E65" i="31"/>
  <c r="F71" i="31"/>
  <c r="Q65" i="31"/>
  <c r="J89" i="31"/>
  <c r="U83" i="31"/>
  <c r="AE719" i="30" s="1"/>
  <c r="AF719" i="30" s="1"/>
  <c r="AC719" i="30"/>
  <c r="AD719" i="30" s="1"/>
  <c r="AC810" i="30"/>
  <c r="AD810" i="30" s="1"/>
  <c r="V52" i="31"/>
  <c r="AE810" i="30" s="1"/>
  <c r="AF810" i="30" s="1"/>
  <c r="AC814" i="30"/>
  <c r="AD814" i="30" s="1"/>
  <c r="E59" i="31"/>
  <c r="Q59" i="31"/>
  <c r="R59" i="31"/>
  <c r="AE815" i="30" s="1"/>
  <c r="AF815" i="30" s="1"/>
  <c r="AC815" i="30"/>
  <c r="AD815" i="30" s="1"/>
  <c r="AC807" i="30"/>
  <c r="AD807" i="30" s="1"/>
  <c r="S52" i="31"/>
  <c r="AE807" i="30" s="1"/>
  <c r="AF807" i="30" s="1"/>
  <c r="S91" i="31"/>
  <c r="AE852" i="30" s="1"/>
  <c r="AF852" i="30" s="1"/>
  <c r="AC852" i="30"/>
  <c r="AD852" i="30" s="1"/>
  <c r="T84" i="31"/>
  <c r="AE826" i="30" s="1"/>
  <c r="AF826" i="30" s="1"/>
  <c r="AC826" i="30"/>
  <c r="AD826" i="30" s="1"/>
  <c r="AC737" i="30"/>
  <c r="AD737" i="30" s="1"/>
  <c r="U65" i="31"/>
  <c r="AE737" i="30" s="1"/>
  <c r="AF737" i="30" s="1"/>
  <c r="J71" i="31"/>
  <c r="S66" i="31"/>
  <c r="AE843" i="30" s="1"/>
  <c r="AF843" i="30" s="1"/>
  <c r="AC843" i="30"/>
  <c r="AD843" i="30" s="1"/>
  <c r="AC735" i="30"/>
  <c r="AD735" i="30" s="1"/>
  <c r="H71" i="31"/>
  <c r="S65" i="31"/>
  <c r="AE735" i="30" s="1"/>
  <c r="AF735" i="30" s="1"/>
  <c r="R91" i="31"/>
  <c r="AE851" i="30" s="1"/>
  <c r="AF851" i="30" s="1"/>
  <c r="AC851" i="30"/>
  <c r="AD851" i="30" s="1"/>
  <c r="AC833" i="30"/>
  <c r="AD833" i="30" s="1"/>
  <c r="R73" i="31"/>
  <c r="AE833" i="30" s="1"/>
  <c r="AF833" i="30" s="1"/>
  <c r="K89" i="31"/>
  <c r="V83" i="31"/>
  <c r="AE720" i="30" s="1"/>
  <c r="AF720" i="30" s="1"/>
  <c r="AC720" i="30"/>
  <c r="AD720" i="30" s="1"/>
  <c r="AC480" i="30"/>
  <c r="AD480" i="30" s="1"/>
  <c r="L78" i="34"/>
  <c r="L83" i="31"/>
  <c r="L84" i="31"/>
  <c r="W78" i="34"/>
  <c r="AE480" i="30" s="1"/>
  <c r="AF480" i="30" s="1"/>
  <c r="AC746" i="30"/>
  <c r="AD746" i="30" s="1"/>
  <c r="U90" i="31"/>
  <c r="AE746" i="30" s="1"/>
  <c r="AF746" i="30" s="1"/>
  <c r="U91" i="31"/>
  <c r="AE854" i="30" s="1"/>
  <c r="AF854" i="30" s="1"/>
  <c r="AC854" i="30"/>
  <c r="AD854" i="30" s="1"/>
  <c r="T91" i="31"/>
  <c r="AE853" i="30" s="1"/>
  <c r="AF853" i="30" s="1"/>
  <c r="AC853" i="30"/>
  <c r="AD853" i="30" s="1"/>
  <c r="L61" i="34"/>
  <c r="L73" i="31"/>
  <c r="W61" i="34"/>
  <c r="AE386" i="30" s="1"/>
  <c r="AF386" i="30" s="1"/>
  <c r="AC386" i="30"/>
  <c r="AD386" i="30" s="1"/>
  <c r="L72" i="31"/>
  <c r="AC729" i="30"/>
  <c r="AD729" i="30" s="1"/>
  <c r="V72" i="31"/>
  <c r="AE729" i="30" s="1"/>
  <c r="AF729" i="30" s="1"/>
  <c r="AC805" i="30"/>
  <c r="AD805" i="30" s="1"/>
  <c r="Q52" i="31"/>
  <c r="E52" i="31"/>
  <c r="V59" i="31"/>
  <c r="AE819" i="30" s="1"/>
  <c r="AF819" i="30" s="1"/>
  <c r="AC819" i="30"/>
  <c r="AD819" i="30" s="1"/>
  <c r="AC701" i="30"/>
  <c r="AD701" i="30" s="1"/>
  <c r="J57" i="31"/>
  <c r="U51" i="31"/>
  <c r="AE701" i="30" s="1"/>
  <c r="AF701" i="30" s="1"/>
  <c r="J50" i="31"/>
  <c r="AC809" i="30"/>
  <c r="AD809" i="30" s="1"/>
  <c r="U52" i="31"/>
  <c r="AE809" i="30" s="1"/>
  <c r="AF809" i="30" s="1"/>
  <c r="U59" i="31"/>
  <c r="AE818" i="30" s="1"/>
  <c r="AF818" i="30" s="1"/>
  <c r="AC818" i="30"/>
  <c r="AD818" i="30" s="1"/>
  <c r="AC816" i="30"/>
  <c r="AD816" i="30" s="1"/>
  <c r="S59" i="31"/>
  <c r="AE816" i="30" s="1"/>
  <c r="AF816" i="30" s="1"/>
  <c r="H64" i="31"/>
  <c r="S58" i="31"/>
  <c r="AE708" i="30" s="1"/>
  <c r="AF708" i="30" s="1"/>
  <c r="AC708" i="30"/>
  <c r="AD708" i="30" s="1"/>
  <c r="AC824" i="30"/>
  <c r="AD824" i="30" s="1"/>
  <c r="R84" i="31"/>
  <c r="AE824" i="30" s="1"/>
  <c r="AF824" i="30" s="1"/>
  <c r="G89" i="31"/>
  <c r="R83" i="31"/>
  <c r="AE716" i="30" s="1"/>
  <c r="AF716" i="30" s="1"/>
  <c r="AC716" i="30"/>
  <c r="AD716" i="30" s="1"/>
  <c r="AC727" i="30"/>
  <c r="AD727" i="30" s="1"/>
  <c r="T72" i="31"/>
  <c r="AE727" i="30" s="1"/>
  <c r="AF727" i="30" s="1"/>
  <c r="AC825" i="30"/>
  <c r="AD825" i="30" s="1"/>
  <c r="S84" i="31"/>
  <c r="AE825" i="30" s="1"/>
  <c r="AF825" i="30" s="1"/>
  <c r="S83" i="31"/>
  <c r="AE717" i="30" s="1"/>
  <c r="AF717" i="30" s="1"/>
  <c r="AC717" i="30"/>
  <c r="AD717" i="30" s="1"/>
  <c r="H89" i="31"/>
  <c r="G71" i="31"/>
  <c r="R65" i="31"/>
  <c r="AE734" i="30" s="1"/>
  <c r="AF734" i="30" s="1"/>
  <c r="AC734" i="30"/>
  <c r="AD734" i="30" s="1"/>
  <c r="AC842" i="30"/>
  <c r="AD842" i="30" s="1"/>
  <c r="R66" i="31"/>
  <c r="AE842" i="30" s="1"/>
  <c r="AF842" i="30" s="1"/>
  <c r="AC747" i="30"/>
  <c r="AD747" i="30" s="1"/>
  <c r="V90" i="31"/>
  <c r="AE747" i="30" s="1"/>
  <c r="AF747" i="30" s="1"/>
  <c r="Q90" i="31"/>
  <c r="E90" i="31"/>
  <c r="AC742" i="30"/>
  <c r="AD742" i="30" s="1"/>
  <c r="AC836" i="30"/>
  <c r="AD836" i="30" s="1"/>
  <c r="U73" i="31"/>
  <c r="AE836" i="30" s="1"/>
  <c r="AF836" i="30" s="1"/>
  <c r="S73" i="31"/>
  <c r="AE834" i="30" s="1"/>
  <c r="AF834" i="30" s="1"/>
  <c r="AC834" i="30"/>
  <c r="AD834" i="30" s="1"/>
  <c r="AC726" i="30"/>
  <c r="AD726" i="30" s="1"/>
  <c r="S72" i="31"/>
  <c r="AE726" i="30" s="1"/>
  <c r="AF726" i="30" s="1"/>
  <c r="AC846" i="30"/>
  <c r="AD846" i="30" s="1"/>
  <c r="V66" i="31"/>
  <c r="AE846" i="30" s="1"/>
  <c r="AF846" i="30" s="1"/>
  <c r="L47" i="34"/>
  <c r="AC631" i="30"/>
  <c r="AD631" i="30" s="1"/>
  <c r="W47" i="34"/>
  <c r="AE631" i="30" s="1"/>
  <c r="AF631" i="30" s="1"/>
  <c r="L66" i="31"/>
  <c r="L65" i="31"/>
  <c r="AC736" i="30"/>
  <c r="AD736" i="30" s="1"/>
  <c r="I71" i="31"/>
  <c r="T65" i="31"/>
  <c r="AE736" i="30" s="1"/>
  <c r="AF736" i="30" s="1"/>
  <c r="E66" i="31"/>
  <c r="AC841" i="30"/>
  <c r="AD841" i="30" s="1"/>
  <c r="Q66" i="31"/>
  <c r="AC827" i="30"/>
  <c r="AD827" i="30" s="1"/>
  <c r="U84" i="31"/>
  <c r="AE827" i="30" s="1"/>
  <c r="AF827" i="30" s="1"/>
  <c r="T52" i="31"/>
  <c r="AE808" i="30" s="1"/>
  <c r="AF808" i="30" s="1"/>
  <c r="AC808" i="30"/>
  <c r="AD808" i="30" s="1"/>
  <c r="I50" i="31"/>
  <c r="I57" i="31"/>
  <c r="T51" i="31"/>
  <c r="AE700" i="30" s="1"/>
  <c r="AF700" i="30" s="1"/>
  <c r="AC700" i="30"/>
  <c r="AD700" i="30" s="1"/>
  <c r="AC142" i="30"/>
  <c r="AD142" i="30" s="1"/>
  <c r="L51" i="31"/>
  <c r="W19" i="34"/>
  <c r="AE142" i="30" s="1"/>
  <c r="AF142" i="30" s="1"/>
  <c r="L52" i="31"/>
  <c r="L19" i="34"/>
  <c r="AC702" i="30"/>
  <c r="AD702" i="30" s="1"/>
  <c r="K50" i="31"/>
  <c r="K57" i="31"/>
  <c r="V51" i="31"/>
  <c r="AE702" i="30" s="1"/>
  <c r="AF702" i="30" s="1"/>
  <c r="AC706" i="30"/>
  <c r="AD706" i="30" s="1"/>
  <c r="E58" i="31"/>
  <c r="Q58" i="31"/>
  <c r="F64" i="31"/>
  <c r="G64" i="31"/>
  <c r="AC707" i="30"/>
  <c r="AD707" i="30" s="1"/>
  <c r="R58" i="31"/>
  <c r="AE707" i="30" s="1"/>
  <c r="AF707" i="30" s="1"/>
  <c r="R52" i="31"/>
  <c r="AE806" i="30" s="1"/>
  <c r="AF806" i="30" s="1"/>
  <c r="AC806" i="30"/>
  <c r="AD806" i="30" s="1"/>
  <c r="G50" i="31"/>
  <c r="R51" i="31"/>
  <c r="AE698" i="30" s="1"/>
  <c r="AF698" i="30" s="1"/>
  <c r="AC698" i="30"/>
  <c r="AD698" i="30" s="1"/>
  <c r="G57" i="31"/>
  <c r="H50" i="31"/>
  <c r="AC699" i="30"/>
  <c r="AD699" i="30" s="1"/>
  <c r="S51" i="31"/>
  <c r="AE699" i="30" s="1"/>
  <c r="AF699" i="30" s="1"/>
  <c r="H57" i="31"/>
  <c r="AC744" i="30"/>
  <c r="AD744" i="30" s="1"/>
  <c r="S90" i="31"/>
  <c r="AE744" i="30" s="1"/>
  <c r="AF744" i="30" s="1"/>
  <c r="T83" i="31"/>
  <c r="AE718" i="30" s="1"/>
  <c r="AF718" i="30" s="1"/>
  <c r="AC718" i="30"/>
  <c r="AD718" i="30" s="1"/>
  <c r="I89" i="31"/>
  <c r="AC845" i="30"/>
  <c r="AD845" i="30" s="1"/>
  <c r="U66" i="31"/>
  <c r="AE845" i="30" s="1"/>
  <c r="AF845" i="30" s="1"/>
  <c r="Q73" i="31"/>
  <c r="E73" i="31"/>
  <c r="AC832" i="30"/>
  <c r="AD832" i="30" s="1"/>
  <c r="Q72" i="31"/>
  <c r="E72" i="31"/>
  <c r="AC724" i="30"/>
  <c r="AD724" i="30" s="1"/>
  <c r="AC743" i="30"/>
  <c r="AD743" i="30" s="1"/>
  <c r="R90" i="31"/>
  <c r="AE743" i="30" s="1"/>
  <c r="AF743" i="30" s="1"/>
  <c r="R72" i="31"/>
  <c r="AE725" i="30" s="1"/>
  <c r="AF725" i="30" s="1"/>
  <c r="AC725" i="30"/>
  <c r="AD725" i="30" s="1"/>
  <c r="V84" i="31"/>
  <c r="AE828" i="30" s="1"/>
  <c r="AF828" i="30" s="1"/>
  <c r="AC828" i="30"/>
  <c r="AD828" i="30" s="1"/>
  <c r="T90" i="31"/>
  <c r="AE745" i="30" s="1"/>
  <c r="AF745" i="30" s="1"/>
  <c r="AC745" i="30"/>
  <c r="AD745" i="30" s="1"/>
  <c r="AC837" i="30"/>
  <c r="AD837" i="30" s="1"/>
  <c r="V73" i="31"/>
  <c r="AE837" i="30" s="1"/>
  <c r="AF837" i="30" s="1"/>
  <c r="Q51" i="31"/>
  <c r="E51" i="31"/>
  <c r="AC697" i="30"/>
  <c r="AD697" i="30" s="1"/>
  <c r="F57" i="31"/>
  <c r="F50" i="31"/>
  <c r="K64" i="31"/>
  <c r="AC711" i="30"/>
  <c r="AD711" i="30" s="1"/>
  <c r="V58" i="31"/>
  <c r="AE711" i="30" s="1"/>
  <c r="AF711" i="30" s="1"/>
  <c r="L38" i="34"/>
  <c r="W38" i="34"/>
  <c r="AE259" i="30" s="1"/>
  <c r="AF259" i="30" s="1"/>
  <c r="L58" i="31"/>
  <c r="AC259" i="30"/>
  <c r="AD259" i="30" s="1"/>
  <c r="L59" i="31"/>
  <c r="AC817" i="30"/>
  <c r="AD817" i="30" s="1"/>
  <c r="T59" i="31"/>
  <c r="AE817" i="30" s="1"/>
  <c r="AF817" i="30" s="1"/>
  <c r="I64" i="31"/>
  <c r="AC709" i="30"/>
  <c r="AD709" i="30" s="1"/>
  <c r="T58" i="31"/>
  <c r="AE709" i="30" s="1"/>
  <c r="AF709" i="30" s="1"/>
  <c r="J64" i="31"/>
  <c r="U58" i="31"/>
  <c r="AE710" i="30" s="1"/>
  <c r="AF710" i="30" s="1"/>
  <c r="AC710" i="30"/>
  <c r="AD710" i="30" s="1"/>
  <c r="AC790" i="30" l="1"/>
  <c r="AD790" i="30" s="1"/>
  <c r="T64" i="31"/>
  <c r="AE790" i="30" s="1"/>
  <c r="AF790" i="30" s="1"/>
  <c r="AC799" i="30"/>
  <c r="AD799" i="30" s="1"/>
  <c r="T89" i="31"/>
  <c r="AE799" i="30" s="1"/>
  <c r="AF799" i="30" s="1"/>
  <c r="AC791" i="30"/>
  <c r="AD791" i="30" s="1"/>
  <c r="U64" i="31"/>
  <c r="AE791" i="30" s="1"/>
  <c r="AF791" i="30" s="1"/>
  <c r="W59" i="31"/>
  <c r="AE820" i="30" s="1"/>
  <c r="AF820" i="30" s="1"/>
  <c r="AC820" i="30"/>
  <c r="AD820" i="30" s="1"/>
  <c r="L64" i="31"/>
  <c r="AC712" i="30"/>
  <c r="AD712" i="30" s="1"/>
  <c r="W58" i="31"/>
  <c r="AE712" i="30" s="1"/>
  <c r="AF712" i="30" s="1"/>
  <c r="AC260" i="30"/>
  <c r="AD260" i="30" s="1"/>
  <c r="X38" i="34"/>
  <c r="AE260" i="30" s="1"/>
  <c r="AF260" i="30" s="1"/>
  <c r="M38" i="34"/>
  <c r="M58" i="31"/>
  <c r="M59" i="31"/>
  <c r="AC751" i="30"/>
  <c r="AD751" i="30" s="1"/>
  <c r="Q50" i="31"/>
  <c r="E50" i="31"/>
  <c r="P51" i="31"/>
  <c r="AE697" i="30"/>
  <c r="AF697" i="30" s="1"/>
  <c r="AE832" i="30"/>
  <c r="AF832" i="30" s="1"/>
  <c r="P73" i="31"/>
  <c r="AC762" i="30"/>
  <c r="AD762" i="30" s="1"/>
  <c r="S57" i="31"/>
  <c r="AE762" i="30" s="1"/>
  <c r="AF762" i="30" s="1"/>
  <c r="R57" i="31"/>
  <c r="AE761" i="30" s="1"/>
  <c r="AF761" i="30" s="1"/>
  <c r="AC761" i="30"/>
  <c r="AD761" i="30" s="1"/>
  <c r="R64" i="31"/>
  <c r="AE788" i="30" s="1"/>
  <c r="AF788" i="30" s="1"/>
  <c r="AC788" i="30"/>
  <c r="AD788" i="30" s="1"/>
  <c r="P58" i="31"/>
  <c r="AE706" i="30"/>
  <c r="AF706" i="30" s="1"/>
  <c r="AC765" i="30"/>
  <c r="AD765" i="30" s="1"/>
  <c r="V57" i="31"/>
  <c r="AE765" i="30" s="1"/>
  <c r="AF765" i="30" s="1"/>
  <c r="W52" i="31"/>
  <c r="AE811" i="30" s="1"/>
  <c r="AF811" i="30" s="1"/>
  <c r="AC811" i="30"/>
  <c r="AD811" i="30" s="1"/>
  <c r="L50" i="31"/>
  <c r="AC703" i="30"/>
  <c r="AD703" i="30" s="1"/>
  <c r="W51" i="31"/>
  <c r="AE703" i="30" s="1"/>
  <c r="AF703" i="30" s="1"/>
  <c r="L57" i="31"/>
  <c r="AC763" i="30"/>
  <c r="AD763" i="30" s="1"/>
  <c r="T57" i="31"/>
  <c r="AE763" i="30" s="1"/>
  <c r="AF763" i="30" s="1"/>
  <c r="AE841" i="30"/>
  <c r="AF841" i="30" s="1"/>
  <c r="P66" i="31"/>
  <c r="AC781" i="30"/>
  <c r="AD781" i="30" s="1"/>
  <c r="T71" i="31"/>
  <c r="AE781" i="30" s="1"/>
  <c r="AF781" i="30" s="1"/>
  <c r="L71" i="31"/>
  <c r="W65" i="31"/>
  <c r="AE739" i="30" s="1"/>
  <c r="AF739" i="30" s="1"/>
  <c r="AC739" i="30"/>
  <c r="AD739" i="30" s="1"/>
  <c r="X47" i="34"/>
  <c r="AE632" i="30" s="1"/>
  <c r="AF632" i="30" s="1"/>
  <c r="M66" i="31"/>
  <c r="M65" i="31"/>
  <c r="M47" i="34"/>
  <c r="AC632" i="30"/>
  <c r="AD632" i="30" s="1"/>
  <c r="R71" i="31"/>
  <c r="AE779" i="30" s="1"/>
  <c r="AF779" i="30" s="1"/>
  <c r="AC779" i="30"/>
  <c r="AD779" i="30" s="1"/>
  <c r="AC797" i="30"/>
  <c r="AD797" i="30" s="1"/>
  <c r="R89" i="31"/>
  <c r="AE797" i="30" s="1"/>
  <c r="AF797" i="30" s="1"/>
  <c r="U50" i="31"/>
  <c r="AE755" i="30" s="1"/>
  <c r="AF755" i="30" s="1"/>
  <c r="AC755" i="30"/>
  <c r="AD755" i="30" s="1"/>
  <c r="AC764" i="30"/>
  <c r="AD764" i="30" s="1"/>
  <c r="U57" i="31"/>
  <c r="AE764" i="30" s="1"/>
  <c r="AF764" i="30" s="1"/>
  <c r="W73" i="31"/>
  <c r="AE838" i="30" s="1"/>
  <c r="AF838" i="30" s="1"/>
  <c r="AC838" i="30"/>
  <c r="AD838" i="30" s="1"/>
  <c r="AC721" i="30"/>
  <c r="AD721" i="30" s="1"/>
  <c r="W83" i="31"/>
  <c r="AE721" i="30" s="1"/>
  <c r="AF721" i="30" s="1"/>
  <c r="L89" i="31"/>
  <c r="U71" i="31"/>
  <c r="AE782" i="30" s="1"/>
  <c r="AF782" i="30" s="1"/>
  <c r="AC782" i="30"/>
  <c r="AD782" i="30" s="1"/>
  <c r="AC800" i="30"/>
  <c r="AD800" i="30" s="1"/>
  <c r="U89" i="31"/>
  <c r="AE800" i="30" s="1"/>
  <c r="AF800" i="30" s="1"/>
  <c r="E71" i="31"/>
  <c r="Q71" i="31"/>
  <c r="AC778" i="30"/>
  <c r="AD778" i="30" s="1"/>
  <c r="V71" i="31"/>
  <c r="AE783" i="30" s="1"/>
  <c r="AF783" i="30" s="1"/>
  <c r="AC783" i="30"/>
  <c r="AD783" i="30" s="1"/>
  <c r="W91" i="31"/>
  <c r="AE856" i="30" s="1"/>
  <c r="AF856" i="30" s="1"/>
  <c r="AC856" i="30"/>
  <c r="AD856" i="30" s="1"/>
  <c r="V64" i="31"/>
  <c r="AE792" i="30" s="1"/>
  <c r="AF792" i="30" s="1"/>
  <c r="AC792" i="30"/>
  <c r="AD792" i="30" s="1"/>
  <c r="Q57" i="31"/>
  <c r="AC760" i="30"/>
  <c r="AD760" i="30" s="1"/>
  <c r="E57" i="31"/>
  <c r="P72" i="31"/>
  <c r="AE724" i="30"/>
  <c r="AF724" i="30" s="1"/>
  <c r="AC753" i="30"/>
  <c r="AD753" i="30" s="1"/>
  <c r="S50" i="31"/>
  <c r="AE753" i="30" s="1"/>
  <c r="AF753" i="30" s="1"/>
  <c r="AC752" i="30"/>
  <c r="AD752" i="30" s="1"/>
  <c r="R50" i="31"/>
  <c r="AE752" i="30" s="1"/>
  <c r="AF752" i="30" s="1"/>
  <c r="Q64" i="31"/>
  <c r="AC787" i="30"/>
  <c r="AD787" i="30" s="1"/>
  <c r="E64" i="31"/>
  <c r="V50" i="31"/>
  <c r="AE756" i="30" s="1"/>
  <c r="AF756" i="30" s="1"/>
  <c r="AC756" i="30"/>
  <c r="AD756" i="30" s="1"/>
  <c r="M51" i="31"/>
  <c r="M19" i="34"/>
  <c r="AC143" i="30"/>
  <c r="AD143" i="30" s="1"/>
  <c r="X19" i="34"/>
  <c r="AE143" i="30" s="1"/>
  <c r="AF143" i="30" s="1"/>
  <c r="M52" i="31"/>
  <c r="AC754" i="30"/>
  <c r="AD754" i="30" s="1"/>
  <c r="T50" i="31"/>
  <c r="AE754" i="30" s="1"/>
  <c r="AF754" i="30" s="1"/>
  <c r="W66" i="31"/>
  <c r="AE847" i="30" s="1"/>
  <c r="AF847" i="30" s="1"/>
  <c r="AC847" i="30"/>
  <c r="AD847" i="30" s="1"/>
  <c r="P90" i="31"/>
  <c r="AE742" i="30"/>
  <c r="AF742" i="30" s="1"/>
  <c r="S89" i="31"/>
  <c r="AE798" i="30" s="1"/>
  <c r="AF798" i="30" s="1"/>
  <c r="AC798" i="30"/>
  <c r="AD798" i="30" s="1"/>
  <c r="AC789" i="30"/>
  <c r="AD789" i="30" s="1"/>
  <c r="S64" i="31"/>
  <c r="AE789" i="30" s="1"/>
  <c r="AF789" i="30" s="1"/>
  <c r="P52" i="31"/>
  <c r="AE805" i="30"/>
  <c r="AF805" i="30" s="1"/>
  <c r="W72" i="31"/>
  <c r="AE730" i="30" s="1"/>
  <c r="AF730" i="30" s="1"/>
  <c r="AC730" i="30"/>
  <c r="AD730" i="30" s="1"/>
  <c r="X61" i="34"/>
  <c r="AE387" i="30" s="1"/>
  <c r="AF387" i="30" s="1"/>
  <c r="M61" i="34"/>
  <c r="M72" i="31"/>
  <c r="AC387" i="30"/>
  <c r="AD387" i="30" s="1"/>
  <c r="M73" i="31"/>
  <c r="W84" i="31"/>
  <c r="AE829" i="30" s="1"/>
  <c r="AF829" i="30" s="1"/>
  <c r="AC829" i="30"/>
  <c r="AD829" i="30" s="1"/>
  <c r="X78" i="34"/>
  <c r="AE481" i="30" s="1"/>
  <c r="AF481" i="30" s="1"/>
  <c r="M83" i="31"/>
  <c r="AC481" i="30"/>
  <c r="AD481" i="30" s="1"/>
  <c r="M84" i="31"/>
  <c r="M78" i="34"/>
  <c r="AC801" i="30"/>
  <c r="AD801" i="30" s="1"/>
  <c r="V89" i="31"/>
  <c r="AE801" i="30" s="1"/>
  <c r="AF801" i="30" s="1"/>
  <c r="AC780" i="30"/>
  <c r="AD780" i="30" s="1"/>
  <c r="S71" i="31"/>
  <c r="AE780" i="30" s="1"/>
  <c r="AF780" i="30" s="1"/>
  <c r="P59" i="31"/>
  <c r="AE814" i="30"/>
  <c r="AF814" i="30" s="1"/>
  <c r="P65" i="31"/>
  <c r="AE733" i="30"/>
  <c r="AF733" i="30" s="1"/>
  <c r="AE850" i="30"/>
  <c r="AF850" i="30" s="1"/>
  <c r="P91" i="31"/>
  <c r="M89" i="34"/>
  <c r="AC566" i="30"/>
  <c r="AD566" i="30" s="1"/>
  <c r="M91" i="31"/>
  <c r="X89" i="34"/>
  <c r="AE566" i="30" s="1"/>
  <c r="AF566" i="30" s="1"/>
  <c r="M90" i="31"/>
  <c r="W90" i="31"/>
  <c r="AE748" i="30" s="1"/>
  <c r="AF748" i="30" s="1"/>
  <c r="AC748" i="30"/>
  <c r="AD748" i="30" s="1"/>
  <c r="N83" i="31" l="1"/>
  <c r="N78" i="34"/>
  <c r="N84" i="31"/>
  <c r="Y78" i="34"/>
  <c r="AE482" i="30" s="1"/>
  <c r="AF482" i="30" s="1"/>
  <c r="AC482" i="30"/>
  <c r="AD482" i="30" s="1"/>
  <c r="AE760" i="30"/>
  <c r="AF760" i="30" s="1"/>
  <c r="P57" i="31"/>
  <c r="P71" i="31"/>
  <c r="AE778" i="30"/>
  <c r="AF778" i="30" s="1"/>
  <c r="W89" i="31"/>
  <c r="AE802" i="30" s="1"/>
  <c r="AF802" i="30" s="1"/>
  <c r="AC802" i="30"/>
  <c r="AD802" i="30" s="1"/>
  <c r="N66" i="31"/>
  <c r="N65" i="31"/>
  <c r="AC633" i="30"/>
  <c r="AD633" i="30" s="1"/>
  <c r="N47" i="34"/>
  <c r="Y47" i="34"/>
  <c r="AE633" i="30" s="1"/>
  <c r="AF633" i="30" s="1"/>
  <c r="AC848" i="30"/>
  <c r="AD848" i="30" s="1"/>
  <c r="X66" i="31"/>
  <c r="AE848" i="30" s="1"/>
  <c r="AF848" i="30" s="1"/>
  <c r="W71" i="31"/>
  <c r="AE784" i="30" s="1"/>
  <c r="AF784" i="30" s="1"/>
  <c r="AC784" i="30"/>
  <c r="AD784" i="30" s="1"/>
  <c r="AC757" i="30"/>
  <c r="AD757" i="30" s="1"/>
  <c r="W50" i="31"/>
  <c r="AE757" i="30" s="1"/>
  <c r="AF757" i="30" s="1"/>
  <c r="P50" i="31"/>
  <c r="AE751" i="30"/>
  <c r="AF751" i="30" s="1"/>
  <c r="AC821" i="30"/>
  <c r="AD821" i="30" s="1"/>
  <c r="X59" i="31"/>
  <c r="AE821" i="30" s="1"/>
  <c r="AF821" i="30" s="1"/>
  <c r="N58" i="31"/>
  <c r="AC261" i="30"/>
  <c r="AD261" i="30" s="1"/>
  <c r="N59" i="31"/>
  <c r="N38" i="34"/>
  <c r="Y38" i="34"/>
  <c r="AE261" i="30" s="1"/>
  <c r="AF261" i="30" s="1"/>
  <c r="N73" i="31"/>
  <c r="AC388" i="30"/>
  <c r="AD388" i="30" s="1"/>
  <c r="Y61" i="34"/>
  <c r="AE388" i="30" s="1"/>
  <c r="AF388" i="30" s="1"/>
  <c r="N61" i="34"/>
  <c r="N72" i="31"/>
  <c r="AC812" i="30"/>
  <c r="AD812" i="30" s="1"/>
  <c r="X52" i="31"/>
  <c r="AE812" i="30" s="1"/>
  <c r="AF812" i="30" s="1"/>
  <c r="M57" i="31"/>
  <c r="X51" i="31"/>
  <c r="AE704" i="30" s="1"/>
  <c r="AF704" i="30" s="1"/>
  <c r="M50" i="31"/>
  <c r="AC704" i="30"/>
  <c r="AD704" i="30" s="1"/>
  <c r="AC749" i="30"/>
  <c r="AD749" i="30" s="1"/>
  <c r="X90" i="31"/>
  <c r="AE749" i="30" s="1"/>
  <c r="AF749" i="30" s="1"/>
  <c r="AC857" i="30"/>
  <c r="AD857" i="30" s="1"/>
  <c r="X91" i="31"/>
  <c r="AE857" i="30" s="1"/>
  <c r="AF857" i="30" s="1"/>
  <c r="N90" i="31"/>
  <c r="N89" i="34"/>
  <c r="AC567" i="30"/>
  <c r="AD567" i="30" s="1"/>
  <c r="N91" i="31"/>
  <c r="Y89" i="34"/>
  <c r="AE567" i="30" s="1"/>
  <c r="AF567" i="30" s="1"/>
  <c r="X84" i="31"/>
  <c r="AE830" i="30" s="1"/>
  <c r="AF830" i="30" s="1"/>
  <c r="AC830" i="30"/>
  <c r="AD830" i="30" s="1"/>
  <c r="X83" i="31"/>
  <c r="AE722" i="30" s="1"/>
  <c r="AF722" i="30" s="1"/>
  <c r="M89" i="31"/>
  <c r="AC722" i="30"/>
  <c r="AD722" i="30" s="1"/>
  <c r="X73" i="31"/>
  <c r="AE839" i="30" s="1"/>
  <c r="AF839" i="30" s="1"/>
  <c r="AC839" i="30"/>
  <c r="AD839" i="30" s="1"/>
  <c r="X72" i="31"/>
  <c r="AE731" i="30" s="1"/>
  <c r="AF731" i="30" s="1"/>
  <c r="AC731" i="30"/>
  <c r="AD731" i="30" s="1"/>
  <c r="Y19" i="34"/>
  <c r="AE144" i="30" s="1"/>
  <c r="AF144" i="30" s="1"/>
  <c r="N51" i="31"/>
  <c r="N52" i="31"/>
  <c r="AC144" i="30"/>
  <c r="AD144" i="30" s="1"/>
  <c r="N19" i="34"/>
  <c r="P64" i="31"/>
  <c r="AE787" i="30"/>
  <c r="AF787" i="30" s="1"/>
  <c r="X65" i="31"/>
  <c r="AE740" i="30" s="1"/>
  <c r="AF740" i="30" s="1"/>
  <c r="AC740" i="30"/>
  <c r="AD740" i="30" s="1"/>
  <c r="M71" i="31"/>
  <c r="W57" i="31"/>
  <c r="AE766" i="30" s="1"/>
  <c r="AF766" i="30" s="1"/>
  <c r="AC766" i="30"/>
  <c r="AD766" i="30" s="1"/>
  <c r="X58" i="31"/>
  <c r="AE713" i="30" s="1"/>
  <c r="AF713" i="30" s="1"/>
  <c r="M64" i="31"/>
  <c r="AC713" i="30"/>
  <c r="AD713" i="30" s="1"/>
  <c r="W64" i="31"/>
  <c r="AE793" i="30" s="1"/>
  <c r="AF793" i="30" s="1"/>
  <c r="AC793" i="30"/>
  <c r="AD793" i="30" s="1"/>
  <c r="X64" i="31" l="1"/>
  <c r="AE794" i="30" s="1"/>
  <c r="AF794" i="30" s="1"/>
  <c r="AC794" i="30"/>
  <c r="AD794" i="30" s="1"/>
  <c r="X71" i="31"/>
  <c r="AE785" i="30" s="1"/>
  <c r="AF785" i="30" s="1"/>
  <c r="AC785" i="30"/>
  <c r="AD785" i="30" s="1"/>
  <c r="Y72" i="31"/>
  <c r="AE732" i="30" s="1"/>
  <c r="AF732" i="30" s="1"/>
  <c r="AC732" i="30"/>
  <c r="AD732" i="30" s="1"/>
  <c r="Y73" i="31"/>
  <c r="AE840" i="30" s="1"/>
  <c r="AF840" i="30" s="1"/>
  <c r="AC840" i="30"/>
  <c r="AD840" i="30" s="1"/>
  <c r="O58" i="31"/>
  <c r="Z38" i="34"/>
  <c r="O59" i="31"/>
  <c r="Z59" i="31" s="1"/>
  <c r="Y66" i="31"/>
  <c r="AE849" i="30" s="1"/>
  <c r="AF849" i="30" s="1"/>
  <c r="AC849" i="30"/>
  <c r="AD849" i="30" s="1"/>
  <c r="O83" i="31"/>
  <c r="O84" i="31"/>
  <c r="Z84" i="31" s="1"/>
  <c r="Z78" i="34"/>
  <c r="N50" i="31"/>
  <c r="AC705" i="30"/>
  <c r="AD705" i="30" s="1"/>
  <c r="Y51" i="31"/>
  <c r="AE705" i="30" s="1"/>
  <c r="AF705" i="30" s="1"/>
  <c r="N57" i="31"/>
  <c r="Y91" i="31"/>
  <c r="AE858" i="30" s="1"/>
  <c r="AF858" i="30" s="1"/>
  <c r="AC858" i="30"/>
  <c r="AD858" i="30" s="1"/>
  <c r="Z89" i="34"/>
  <c r="O91" i="31"/>
  <c r="Z91" i="31" s="1"/>
  <c r="O90" i="31"/>
  <c r="Z90" i="31" s="1"/>
  <c r="Z19" i="34"/>
  <c r="O51" i="31"/>
  <c r="O52" i="31"/>
  <c r="Z52" i="31" s="1"/>
  <c r="AC813" i="30"/>
  <c r="AD813" i="30" s="1"/>
  <c r="Y52" i="31"/>
  <c r="AE813" i="30" s="1"/>
  <c r="AF813" i="30" s="1"/>
  <c r="X89" i="31"/>
  <c r="AE803" i="30" s="1"/>
  <c r="AF803" i="30" s="1"/>
  <c r="AC803" i="30"/>
  <c r="AD803" i="30" s="1"/>
  <c r="AC750" i="30"/>
  <c r="AD750" i="30" s="1"/>
  <c r="Y90" i="31"/>
  <c r="AE750" i="30" s="1"/>
  <c r="AF750" i="30" s="1"/>
  <c r="X50" i="31"/>
  <c r="AE758" i="30" s="1"/>
  <c r="AF758" i="30" s="1"/>
  <c r="AC758" i="30"/>
  <c r="AD758" i="30" s="1"/>
  <c r="X57" i="31"/>
  <c r="AE767" i="30" s="1"/>
  <c r="AF767" i="30" s="1"/>
  <c r="AC767" i="30"/>
  <c r="AD767" i="30" s="1"/>
  <c r="O72" i="31"/>
  <c r="Z72" i="31" s="1"/>
  <c r="Z61" i="34"/>
  <c r="O73" i="31"/>
  <c r="Z73" i="31" s="1"/>
  <c r="AC822" i="30"/>
  <c r="AD822" i="30" s="1"/>
  <c r="Y59" i="31"/>
  <c r="AE822" i="30" s="1"/>
  <c r="AF822" i="30" s="1"/>
  <c r="Y58" i="31"/>
  <c r="AE714" i="30" s="1"/>
  <c r="AF714" i="30" s="1"/>
  <c r="N64" i="31"/>
  <c r="AC714" i="30"/>
  <c r="AD714" i="30" s="1"/>
  <c r="O66" i="31"/>
  <c r="Z66" i="31" s="1"/>
  <c r="Z47" i="34"/>
  <c r="O65" i="31"/>
  <c r="Y65" i="31"/>
  <c r="AE741" i="30" s="1"/>
  <c r="AF741" i="30" s="1"/>
  <c r="AC741" i="30"/>
  <c r="AD741" i="30" s="1"/>
  <c r="N71" i="31"/>
  <c r="AC831" i="30"/>
  <c r="AD831" i="30" s="1"/>
  <c r="Y84" i="31"/>
  <c r="AE831" i="30" s="1"/>
  <c r="AF831" i="30" s="1"/>
  <c r="AC723" i="30"/>
  <c r="AD723" i="30" s="1"/>
  <c r="N89" i="31"/>
  <c r="Y83" i="31"/>
  <c r="AE723" i="30" s="1"/>
  <c r="AF723" i="30" s="1"/>
  <c r="Y89" i="31" l="1"/>
  <c r="AE804" i="30" s="1"/>
  <c r="AF804" i="30" s="1"/>
  <c r="AC804" i="30"/>
  <c r="AD804" i="30" s="1"/>
  <c r="Y71" i="31"/>
  <c r="AE786" i="30" s="1"/>
  <c r="AF786" i="30" s="1"/>
  <c r="AC786" i="30"/>
  <c r="AD786" i="30" s="1"/>
  <c r="Y57" i="31"/>
  <c r="AE768" i="30" s="1"/>
  <c r="AF768" i="30" s="1"/>
  <c r="AC768" i="30"/>
  <c r="AD768" i="30" s="1"/>
  <c r="O89" i="31"/>
  <c r="Z89" i="31" s="1"/>
  <c r="Z83" i="31"/>
  <c r="Z65" i="31"/>
  <c r="O71" i="31"/>
  <c r="Z71" i="31" s="1"/>
  <c r="AC795" i="30"/>
  <c r="AD795" i="30" s="1"/>
  <c r="Y64" i="31"/>
  <c r="AE795" i="30" s="1"/>
  <c r="AF795" i="30" s="1"/>
  <c r="Z51" i="31"/>
  <c r="O50" i="31"/>
  <c r="Z50" i="31" s="1"/>
  <c r="O57" i="31"/>
  <c r="Z57" i="31" s="1"/>
  <c r="Y50" i="31"/>
  <c r="AE759" i="30" s="1"/>
  <c r="AF759" i="30" s="1"/>
  <c r="AC759" i="30"/>
  <c r="AD759" i="30" s="1"/>
  <c r="O64" i="31"/>
  <c r="Z64" i="31" s="1"/>
  <c r="Z58" i="31"/>
  <c r="Y36" i="66" l="1"/>
  <c r="F13" i="66"/>
  <c r="G13" i="66" s="1"/>
  <c r="H13" i="66" s="1"/>
  <c r="I13" i="66" s="1"/>
  <c r="J13" i="66" s="1"/>
  <c r="K13" i="66" s="1"/>
  <c r="L13" i="66" s="1"/>
  <c r="M13" i="66" s="1"/>
  <c r="D94" i="66" l="1"/>
  <c r="E69" i="36" l="1"/>
  <c r="D90" i="66"/>
  <c r="E9" i="27" s="1"/>
  <c r="E70" i="36"/>
  <c r="D102" i="66"/>
  <c r="E73" i="36"/>
  <c r="E86" i="66"/>
  <c r="F8" i="27" s="1"/>
  <c r="E90" i="66"/>
  <c r="F9" i="27" s="1"/>
  <c r="E102" i="66"/>
  <c r="E94" i="66"/>
  <c r="F10" i="27" s="1"/>
  <c r="D68" i="66"/>
  <c r="E10" i="27"/>
  <c r="E71" i="36"/>
  <c r="D82" i="66" l="1"/>
  <c r="D118" i="66" s="1"/>
  <c r="D77" i="66"/>
  <c r="E68" i="66"/>
  <c r="E61" i="66"/>
  <c r="E62" i="66" s="1"/>
  <c r="F102" i="66"/>
  <c r="F94" i="66"/>
  <c r="G10" i="27" s="1"/>
  <c r="F90" i="66"/>
  <c r="G9" i="27" s="1"/>
  <c r="F86" i="66"/>
  <c r="G8" i="27" s="1"/>
  <c r="E77" i="36"/>
  <c r="F12" i="27"/>
  <c r="E12" i="27"/>
  <c r="C15" i="36" l="1"/>
  <c r="E80" i="36"/>
  <c r="E12" i="36"/>
  <c r="E77" i="66"/>
  <c r="E78" i="66" s="1"/>
  <c r="E82" i="66"/>
  <c r="F61" i="66"/>
  <c r="F62" i="66" s="1"/>
  <c r="F68" i="66"/>
  <c r="C18" i="36"/>
  <c r="C16" i="36"/>
  <c r="C17" i="36"/>
  <c r="C19" i="36"/>
  <c r="G90" i="66"/>
  <c r="H9" i="27" s="1"/>
  <c r="G102" i="66"/>
  <c r="G94" i="66"/>
  <c r="H10" i="27" s="1"/>
  <c r="G86" i="66"/>
  <c r="H8" i="27" s="1"/>
  <c r="G12" i="27"/>
  <c r="E17" i="27"/>
  <c r="D48" i="66" l="1"/>
  <c r="C60" i="36"/>
  <c r="C23" i="36"/>
  <c r="C62" i="36"/>
  <c r="R60" i="36"/>
  <c r="R62" i="36"/>
  <c r="C40" i="36"/>
  <c r="E118" i="66"/>
  <c r="H12" i="27"/>
  <c r="W60" i="36"/>
  <c r="W62" i="36"/>
  <c r="C41" i="36"/>
  <c r="H102" i="66"/>
  <c r="H94" i="66"/>
  <c r="I10" i="27" s="1"/>
  <c r="H90" i="66"/>
  <c r="I9" i="27" s="1"/>
  <c r="H86" i="66"/>
  <c r="I8" i="27" s="1"/>
  <c r="G61" i="66"/>
  <c r="G62" i="66" s="1"/>
  <c r="G68" i="66"/>
  <c r="M62" i="36"/>
  <c r="M60" i="36"/>
  <c r="C39" i="36"/>
  <c r="F82" i="66"/>
  <c r="F77" i="66"/>
  <c r="F78" i="66" s="1"/>
  <c r="H62" i="36"/>
  <c r="H60" i="36"/>
  <c r="C38" i="36"/>
  <c r="C46" i="36" l="1"/>
  <c r="E50" i="36"/>
  <c r="T55" i="36"/>
  <c r="S55" i="36"/>
  <c r="O55" i="36"/>
  <c r="N55" i="36"/>
  <c r="I55" i="36"/>
  <c r="J55" i="36"/>
  <c r="X55" i="36"/>
  <c r="Y55" i="36"/>
  <c r="C48" i="36"/>
  <c r="E55" i="36"/>
  <c r="M19" i="23" s="1"/>
  <c r="I12" i="27"/>
  <c r="X8" i="23"/>
  <c r="G82" i="66"/>
  <c r="G77" i="66"/>
  <c r="G78" i="66" s="1"/>
  <c r="AB8" i="23"/>
  <c r="P8" i="23"/>
  <c r="F118" i="66"/>
  <c r="T8" i="23"/>
  <c r="I86" i="66"/>
  <c r="J8" i="27" s="1"/>
  <c r="J14" i="66"/>
  <c r="J94" i="66" s="1"/>
  <c r="I90" i="66"/>
  <c r="J9" i="27" s="1"/>
  <c r="I94" i="66"/>
  <c r="J10" i="27" s="1"/>
  <c r="I102" i="66"/>
  <c r="H61" i="66"/>
  <c r="H62" i="66" s="1"/>
  <c r="H68" i="66"/>
  <c r="F17" i="27"/>
  <c r="L8" i="23" l="1"/>
  <c r="D56" i="36"/>
  <c r="N34" i="36"/>
  <c r="C47" i="36"/>
  <c r="L19" i="23"/>
  <c r="AB19" i="23"/>
  <c r="U19" i="23"/>
  <c r="Q55" i="36"/>
  <c r="P55" i="36"/>
  <c r="T19" i="23"/>
  <c r="F55" i="36"/>
  <c r="Q19" i="23"/>
  <c r="L55" i="36"/>
  <c r="K55" i="36"/>
  <c r="X19" i="23"/>
  <c r="AC19" i="23"/>
  <c r="Z55" i="36"/>
  <c r="AA55" i="36"/>
  <c r="P19" i="23"/>
  <c r="Y19" i="23"/>
  <c r="V55" i="36"/>
  <c r="U55" i="36"/>
  <c r="I68" i="66"/>
  <c r="I61" i="66"/>
  <c r="I62" i="66" s="1"/>
  <c r="P54" i="36"/>
  <c r="V15" i="23" s="1"/>
  <c r="M54" i="36"/>
  <c r="T15" i="23"/>
  <c r="Q54" i="36"/>
  <c r="W15" i="23" s="1"/>
  <c r="O54" i="36"/>
  <c r="U15" i="23" s="1"/>
  <c r="G17" i="27"/>
  <c r="J53" i="36"/>
  <c r="Q14" i="23" s="1"/>
  <c r="H53" i="36"/>
  <c r="L53" i="36"/>
  <c r="S14" i="23" s="1"/>
  <c r="P14" i="23"/>
  <c r="K53" i="36"/>
  <c r="R14" i="23" s="1"/>
  <c r="L50" i="36"/>
  <c r="S12" i="23" s="1"/>
  <c r="J50" i="36"/>
  <c r="Q12" i="23" s="1"/>
  <c r="P12" i="23"/>
  <c r="H50" i="36"/>
  <c r="K50" i="36"/>
  <c r="R12" i="23" s="1"/>
  <c r="AB15" i="23"/>
  <c r="W54" i="36"/>
  <c r="Y54" i="36"/>
  <c r="AC15" i="23" s="1"/>
  <c r="Z54" i="36"/>
  <c r="AD15" i="23" s="1"/>
  <c r="AA54" i="36"/>
  <c r="AE15" i="23" s="1"/>
  <c r="AA53" i="36"/>
  <c r="AE14" i="23" s="1"/>
  <c r="Y53" i="36"/>
  <c r="AC14" i="23" s="1"/>
  <c r="W53" i="36"/>
  <c r="AB14" i="23"/>
  <c r="Z53" i="36"/>
  <c r="AD14" i="23" s="1"/>
  <c r="G118" i="66"/>
  <c r="X14" i="23"/>
  <c r="R53" i="36"/>
  <c r="T53" i="36"/>
  <c r="Y14" i="23" s="1"/>
  <c r="U53" i="36"/>
  <c r="Z14" i="23" s="1"/>
  <c r="V53" i="36"/>
  <c r="AA14" i="23" s="1"/>
  <c r="T54" i="36"/>
  <c r="Y15" i="23" s="1"/>
  <c r="X15" i="23"/>
  <c r="U54" i="36"/>
  <c r="Z15" i="23" s="1"/>
  <c r="V54" i="36"/>
  <c r="AA15" i="23" s="1"/>
  <c r="R54" i="36"/>
  <c r="J86" i="66"/>
  <c r="K8" i="27" s="1"/>
  <c r="J90" i="66"/>
  <c r="K9" i="27" s="1"/>
  <c r="J102" i="66"/>
  <c r="K12" i="27" s="1"/>
  <c r="K10" i="27"/>
  <c r="K14" i="66"/>
  <c r="J12" i="27"/>
  <c r="T10" i="23"/>
  <c r="O49" i="36"/>
  <c r="U10" i="23" s="1"/>
  <c r="M49" i="36"/>
  <c r="Q49" i="36"/>
  <c r="W10" i="23" s="1"/>
  <c r="P49" i="36"/>
  <c r="V10" i="23" s="1"/>
  <c r="T14" i="23"/>
  <c r="O53" i="36"/>
  <c r="U14" i="23" s="1"/>
  <c r="P53" i="36"/>
  <c r="V14" i="23" s="1"/>
  <c r="M53" i="36"/>
  <c r="Q53" i="36"/>
  <c r="W14" i="23" s="1"/>
  <c r="J46" i="36"/>
  <c r="Q7" i="23" s="1"/>
  <c r="K46" i="36"/>
  <c r="R7" i="23" s="1"/>
  <c r="P7" i="23"/>
  <c r="L46" i="36"/>
  <c r="S7" i="23" s="1"/>
  <c r="H46" i="36"/>
  <c r="P11" i="23"/>
  <c r="K51" i="36"/>
  <c r="R11" i="23" s="1"/>
  <c r="J51" i="36"/>
  <c r="Q11" i="23" s="1"/>
  <c r="L51" i="36"/>
  <c r="S11" i="23" s="1"/>
  <c r="H51" i="36"/>
  <c r="J49" i="36"/>
  <c r="Q10" i="23" s="1"/>
  <c r="L49" i="36"/>
  <c r="S10" i="23" s="1"/>
  <c r="K49" i="36"/>
  <c r="R10" i="23" s="1"/>
  <c r="P10" i="23"/>
  <c r="H49" i="36"/>
  <c r="AB7" i="23"/>
  <c r="AA46" i="36"/>
  <c r="AE7" i="23" s="1"/>
  <c r="Z46" i="36"/>
  <c r="AD7" i="23" s="1"/>
  <c r="W46" i="36"/>
  <c r="Y46" i="36"/>
  <c r="AC7" i="23" s="1"/>
  <c r="Z52" i="36"/>
  <c r="AD13" i="23" s="1"/>
  <c r="AA52" i="36"/>
  <c r="AE13" i="23" s="1"/>
  <c r="AB13" i="23"/>
  <c r="W52" i="36"/>
  <c r="Y52" i="36"/>
  <c r="AC13" i="23" s="1"/>
  <c r="U46" i="36"/>
  <c r="Z7" i="23" s="1"/>
  <c r="V46" i="36"/>
  <c r="AA7" i="23" s="1"/>
  <c r="R46" i="36"/>
  <c r="T46" i="36"/>
  <c r="Y7" i="23" s="1"/>
  <c r="X7" i="23"/>
  <c r="R51" i="36"/>
  <c r="X11" i="23"/>
  <c r="U51" i="36"/>
  <c r="Z11" i="23" s="1"/>
  <c r="V51" i="36"/>
  <c r="AA11" i="23" s="1"/>
  <c r="T51" i="36"/>
  <c r="Y11" i="23" s="1"/>
  <c r="X12" i="23"/>
  <c r="T50" i="36"/>
  <c r="Y12" i="23" s="1"/>
  <c r="R50" i="36"/>
  <c r="V50" i="36"/>
  <c r="AA12" i="23" s="1"/>
  <c r="U50" i="36"/>
  <c r="Z12" i="23" s="1"/>
  <c r="G47" i="36"/>
  <c r="O8" i="23" s="1"/>
  <c r="F47" i="36"/>
  <c r="N8" i="23" s="1"/>
  <c r="E47" i="36"/>
  <c r="M8" i="23" s="1"/>
  <c r="M47" i="36"/>
  <c r="P47" i="36"/>
  <c r="V8" i="23" s="1"/>
  <c r="O47" i="36"/>
  <c r="U8" i="23" s="1"/>
  <c r="Q47" i="36"/>
  <c r="W8" i="23" s="1"/>
  <c r="T48" i="36"/>
  <c r="Y9" i="23" s="1"/>
  <c r="X9" i="23"/>
  <c r="V48" i="36"/>
  <c r="AA9" i="23" s="1"/>
  <c r="R48" i="36"/>
  <c r="U48" i="36"/>
  <c r="Z9" i="23" s="1"/>
  <c r="L14" i="23"/>
  <c r="G53" i="36"/>
  <c r="O14" i="23" s="1"/>
  <c r="E53" i="36"/>
  <c r="M14" i="23" s="1"/>
  <c r="F53" i="36"/>
  <c r="N14" i="23" s="1"/>
  <c r="C53" i="36"/>
  <c r="G54" i="36"/>
  <c r="O15" i="23" s="1"/>
  <c r="L15" i="23"/>
  <c r="C54" i="36"/>
  <c r="F54" i="36"/>
  <c r="N15" i="23" s="1"/>
  <c r="E54" i="36"/>
  <c r="M15" i="23" s="1"/>
  <c r="O46" i="36"/>
  <c r="U7" i="23" s="1"/>
  <c r="T7" i="23"/>
  <c r="Q46" i="36"/>
  <c r="W7" i="23" s="1"/>
  <c r="M46" i="36"/>
  <c r="P46" i="36"/>
  <c r="V7" i="23" s="1"/>
  <c r="F51" i="36"/>
  <c r="N11" i="23" s="1"/>
  <c r="G51" i="36"/>
  <c r="O11" i="23" s="1"/>
  <c r="E51" i="36"/>
  <c r="M11" i="23" s="1"/>
  <c r="L11" i="23"/>
  <c r="C51" i="36"/>
  <c r="G49" i="36"/>
  <c r="O10" i="23" s="1"/>
  <c r="L10" i="23"/>
  <c r="C49" i="36"/>
  <c r="F49" i="36"/>
  <c r="N10" i="23" s="1"/>
  <c r="E49" i="36"/>
  <c r="M10" i="23" s="1"/>
  <c r="L12" i="23"/>
  <c r="F50" i="36"/>
  <c r="N12" i="23" s="1"/>
  <c r="P34" i="36"/>
  <c r="M12" i="23"/>
  <c r="C50" i="36"/>
  <c r="G50" i="36"/>
  <c r="O12" i="23" s="1"/>
  <c r="H82" i="66"/>
  <c r="H77" i="66"/>
  <c r="H78" i="66" s="1"/>
  <c r="Q48" i="36"/>
  <c r="W9" i="23" s="1"/>
  <c r="T9" i="23"/>
  <c r="O48" i="36"/>
  <c r="U9" i="23" s="1"/>
  <c r="P48" i="36"/>
  <c r="V9" i="23" s="1"/>
  <c r="M48" i="36"/>
  <c r="Q52" i="36"/>
  <c r="W13" i="23" s="1"/>
  <c r="P52" i="36"/>
  <c r="V13" i="23" s="1"/>
  <c r="T13" i="23"/>
  <c r="O52" i="36"/>
  <c r="U13" i="23" s="1"/>
  <c r="M52" i="36"/>
  <c r="L47" i="36"/>
  <c r="S8" i="23" s="1"/>
  <c r="J47" i="36"/>
  <c r="Q8" i="23" s="1"/>
  <c r="K47" i="36"/>
  <c r="R8" i="23" s="1"/>
  <c r="H47" i="36"/>
  <c r="P15" i="23"/>
  <c r="J54" i="36"/>
  <c r="Q15" i="23" s="1"/>
  <c r="K54" i="36"/>
  <c r="R15" i="23" s="1"/>
  <c r="L54" i="36"/>
  <c r="S15" i="23" s="1"/>
  <c r="H54" i="36"/>
  <c r="AA51" i="36"/>
  <c r="AE11" i="23" s="1"/>
  <c r="W51" i="36"/>
  <c r="AB11" i="23"/>
  <c r="Y51" i="36"/>
  <c r="AC11" i="23" s="1"/>
  <c r="Z51" i="36"/>
  <c r="AD11" i="23" s="1"/>
  <c r="Z48" i="36"/>
  <c r="AD9" i="23" s="1"/>
  <c r="AA48" i="36"/>
  <c r="AE9" i="23" s="1"/>
  <c r="Y48" i="36"/>
  <c r="AC9" i="23" s="1"/>
  <c r="AB9" i="23"/>
  <c r="W48" i="36"/>
  <c r="AA47" i="36"/>
  <c r="AE8" i="23" s="1"/>
  <c r="Z47" i="36"/>
  <c r="AD8" i="23" s="1"/>
  <c r="W47" i="36"/>
  <c r="Y47" i="36"/>
  <c r="AC8" i="23" s="1"/>
  <c r="X10" i="23"/>
  <c r="R49" i="36"/>
  <c r="V49" i="36"/>
  <c r="AA10" i="23" s="1"/>
  <c r="T49" i="36"/>
  <c r="Y10" i="23" s="1"/>
  <c r="U49" i="36"/>
  <c r="Z10" i="23" s="1"/>
  <c r="G52" i="36"/>
  <c r="O13" i="23" s="1"/>
  <c r="L13" i="23"/>
  <c r="E52" i="36"/>
  <c r="M13" i="23" s="1"/>
  <c r="F52" i="36"/>
  <c r="N13" i="23" s="1"/>
  <c r="C52" i="36"/>
  <c r="F46" i="36"/>
  <c r="N7" i="23" s="1"/>
  <c r="G46" i="36"/>
  <c r="O7" i="23" s="1"/>
  <c r="G48" i="36"/>
  <c r="O9" i="23" s="1"/>
  <c r="L9" i="23"/>
  <c r="E48" i="36"/>
  <c r="F48" i="36"/>
  <c r="N9" i="23" s="1"/>
  <c r="T12" i="23"/>
  <c r="Q50" i="36"/>
  <c r="W12" i="23" s="1"/>
  <c r="O50" i="36"/>
  <c r="U12" i="23" s="1"/>
  <c r="P50" i="36"/>
  <c r="V12" i="23" s="1"/>
  <c r="M50" i="36"/>
  <c r="O51" i="36"/>
  <c r="U11" i="23" s="1"/>
  <c r="Q51" i="36"/>
  <c r="W11" i="23" s="1"/>
  <c r="T11" i="23"/>
  <c r="P51" i="36"/>
  <c r="V11" i="23" s="1"/>
  <c r="M51" i="36"/>
  <c r="K52" i="36"/>
  <c r="R13" i="23" s="1"/>
  <c r="L52" i="36"/>
  <c r="S13" i="23" s="1"/>
  <c r="P13" i="23"/>
  <c r="H52" i="36"/>
  <c r="J52" i="36"/>
  <c r="Q13" i="23" s="1"/>
  <c r="P9" i="23"/>
  <c r="J48" i="36"/>
  <c r="Q9" i="23" s="1"/>
  <c r="H48" i="36"/>
  <c r="K48" i="36"/>
  <c r="R9" i="23" s="1"/>
  <c r="L48" i="36"/>
  <c r="S9" i="23" s="1"/>
  <c r="AB12" i="23"/>
  <c r="W50" i="36"/>
  <c r="AA50" i="36"/>
  <c r="AE12" i="23" s="1"/>
  <c r="Z50" i="36"/>
  <c r="AD12" i="23" s="1"/>
  <c r="Y50" i="36"/>
  <c r="AC12" i="23" s="1"/>
  <c r="Y49" i="36"/>
  <c r="AC10" i="23" s="1"/>
  <c r="AA49" i="36"/>
  <c r="AE10" i="23" s="1"/>
  <c r="AB10" i="23"/>
  <c r="W49" i="36"/>
  <c r="Z49" i="36"/>
  <c r="AD10" i="23" s="1"/>
  <c r="X13" i="23"/>
  <c r="T52" i="36"/>
  <c r="Y13" i="23" s="1"/>
  <c r="V52" i="36"/>
  <c r="AA13" i="23" s="1"/>
  <c r="R52" i="36"/>
  <c r="U52" i="36"/>
  <c r="Z13" i="23" s="1"/>
  <c r="R47" i="36"/>
  <c r="U47" i="36"/>
  <c r="Z8" i="23" s="1"/>
  <c r="T47" i="36"/>
  <c r="Y8" i="23" s="1"/>
  <c r="V47" i="36"/>
  <c r="AA8" i="23" s="1"/>
  <c r="M9" i="23" l="1"/>
  <c r="E57" i="36"/>
  <c r="P23" i="23"/>
  <c r="L21" i="23"/>
  <c r="AB23" i="23"/>
  <c r="X23" i="23"/>
  <c r="T23" i="23"/>
  <c r="L23" i="23"/>
  <c r="M7" i="23"/>
  <c r="Z19" i="23"/>
  <c r="R19" i="23"/>
  <c r="AA19" i="23"/>
  <c r="S19" i="23"/>
  <c r="V19" i="23"/>
  <c r="AE19" i="23"/>
  <c r="W19" i="23"/>
  <c r="G55" i="36"/>
  <c r="N19" i="23"/>
  <c r="AD19" i="23"/>
  <c r="C63" i="36"/>
  <c r="C59" i="36"/>
  <c r="M61" i="36"/>
  <c r="C61" i="36"/>
  <c r="M59" i="36"/>
  <c r="M63" i="36"/>
  <c r="Y21" i="23"/>
  <c r="H59" i="36"/>
  <c r="H63" i="36"/>
  <c r="Q21" i="23"/>
  <c r="W61" i="36"/>
  <c r="R63" i="36"/>
  <c r="R59" i="36"/>
  <c r="AC21" i="23"/>
  <c r="K102" i="66"/>
  <c r="K90" i="66"/>
  <c r="L9" i="27" s="1"/>
  <c r="K86" i="66"/>
  <c r="L8" i="27" s="1"/>
  <c r="K94" i="66"/>
  <c r="L10" i="27" s="1"/>
  <c r="L14" i="66"/>
  <c r="M14" i="66" s="1"/>
  <c r="I17" i="27"/>
  <c r="H118" i="66"/>
  <c r="W63" i="36"/>
  <c r="W59" i="36"/>
  <c r="J61" i="66"/>
  <c r="J62" i="66" s="1"/>
  <c r="J68" i="66"/>
  <c r="H17" i="27"/>
  <c r="H61" i="36"/>
  <c r="U21" i="23"/>
  <c r="R61" i="36"/>
  <c r="I77" i="66"/>
  <c r="I78" i="66" s="1"/>
  <c r="I82" i="66"/>
  <c r="X21" i="23" l="1"/>
  <c r="P21" i="23"/>
  <c r="R21" i="23"/>
  <c r="S21" i="23"/>
  <c r="W21" i="23"/>
  <c r="AB21" i="23"/>
  <c r="T21" i="23"/>
  <c r="AA21" i="23"/>
  <c r="M21" i="23"/>
  <c r="V21" i="23"/>
  <c r="Z21" i="23"/>
  <c r="AE21" i="23"/>
  <c r="AD21" i="23"/>
  <c r="N21" i="23"/>
  <c r="O19" i="23"/>
  <c r="L102" i="66"/>
  <c r="L94" i="66"/>
  <c r="M10" i="27" s="1"/>
  <c r="L86" i="66"/>
  <c r="M8" i="27" s="1"/>
  <c r="L90" i="66"/>
  <c r="M9" i="27" s="1"/>
  <c r="J17" i="27"/>
  <c r="I118" i="66"/>
  <c r="K61" i="66"/>
  <c r="K62" i="66" s="1"/>
  <c r="K68" i="66"/>
  <c r="L12" i="27"/>
  <c r="J77" i="66"/>
  <c r="J78" i="66" s="1"/>
  <c r="J82" i="66"/>
  <c r="O21" i="23" l="1"/>
  <c r="K82" i="66"/>
  <c r="K77" i="66"/>
  <c r="K78" i="66" s="1"/>
  <c r="K17" i="27"/>
  <c r="J118" i="66"/>
  <c r="L61" i="66"/>
  <c r="L62" i="66" s="1"/>
  <c r="L68" i="66"/>
  <c r="M90" i="66"/>
  <c r="N9" i="27" s="1"/>
  <c r="M86" i="66"/>
  <c r="N8" i="27" s="1"/>
  <c r="M94" i="66"/>
  <c r="N10" i="27" s="1"/>
  <c r="M102" i="66"/>
  <c r="M12" i="27"/>
  <c r="M61" i="66" l="1"/>
  <c r="M62" i="66" s="1"/>
  <c r="M68" i="66"/>
  <c r="L77" i="66"/>
  <c r="L78" i="66" s="1"/>
  <c r="L82" i="66"/>
  <c r="N12" i="27"/>
  <c r="L17" i="27"/>
  <c r="K118" i="66"/>
  <c r="M17" i="27" l="1"/>
  <c r="L118" i="66"/>
  <c r="M82" i="66"/>
  <c r="M77" i="66"/>
  <c r="M78" i="66" s="1"/>
  <c r="N17" i="27" l="1"/>
  <c r="M118"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Isik, Mine</author>
    <author>Dan Loughlin</author>
  </authors>
  <commentList>
    <comment ref="W19" authorId="0" shapeId="0" xr:uid="{4D617D67-45AE-4700-AD83-CDC9D7576561}">
      <text>
        <r>
          <rPr>
            <b/>
            <sz val="9"/>
            <color indexed="81"/>
            <rFont val="Tahoma"/>
            <family val="2"/>
          </rPr>
          <t>Isik, Mine:MPG Rating is published by EPA</t>
        </r>
      </text>
    </comment>
    <comment ref="D36" authorId="1" shapeId="0" xr:uid="{00000000-0006-0000-1B00-000001000000}">
      <text>
        <r>
          <rPr>
            <b/>
            <sz val="8"/>
            <color indexed="81"/>
            <rFont val="Tahoma"/>
            <family val="2"/>
          </rPr>
          <t>Dan Loughlin:</t>
        </r>
        <r>
          <rPr>
            <sz val="8"/>
            <color indexed="81"/>
            <rFont val="Tahoma"/>
            <family val="2"/>
          </rPr>
          <t xml:space="preserve">
Corrected to add to 100%
</t>
        </r>
      </text>
    </comment>
    <comment ref="C46" authorId="1" shapeId="0" xr:uid="{00000000-0006-0000-1B00-000002000000}">
      <text>
        <r>
          <rPr>
            <b/>
            <sz val="8"/>
            <color indexed="81"/>
            <rFont val="Tahoma"/>
            <family val="2"/>
          </rPr>
          <t>Dan Loughlin:</t>
        </r>
        <r>
          <rPr>
            <sz val="8"/>
            <color indexed="81"/>
            <rFont val="Tahoma"/>
            <family val="2"/>
          </rPr>
          <t xml:space="preserve">
Note that these add up to slightly more than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D91" authorId="0" shapeId="0" xr:uid="{E4D51485-3045-43BB-B83E-5E7C2436F3C6}">
      <text>
        <r>
          <rPr>
            <b/>
            <sz val="9"/>
            <color indexed="81"/>
            <rFont val="Tahoma"/>
            <family val="2"/>
          </rPr>
          <t>Isik, Mine:</t>
        </r>
        <r>
          <rPr>
            <sz val="9"/>
            <color indexed="81"/>
            <rFont val="Tahoma"/>
            <family val="2"/>
          </rPr>
          <t xml:space="preserve">
Original data  (provided by Benjamin and Iyad)</t>
        </r>
      </text>
    </comment>
    <comment ref="H91" authorId="0" shapeId="0" xr:uid="{1F006939-9F98-4ABB-B476-3FCCC81B287F}">
      <text>
        <r>
          <rPr>
            <b/>
            <sz val="9"/>
            <color indexed="81"/>
            <rFont val="Tahoma"/>
            <family val="2"/>
          </rPr>
          <t>Isik, Mine:</t>
        </r>
        <r>
          <rPr>
            <sz val="9"/>
            <color indexed="81"/>
            <rFont val="Tahoma"/>
            <family val="2"/>
          </rPr>
          <t xml:space="preserve">
Original data  (provided by Benjamin and Iyad)</t>
        </r>
      </text>
    </comment>
    <comment ref="J91" authorId="0" shapeId="0" xr:uid="{EA03A4DB-B642-4787-88D1-86B828610AD0}">
      <text>
        <r>
          <rPr>
            <b/>
            <sz val="9"/>
            <color indexed="81"/>
            <rFont val="Tahoma"/>
            <family val="2"/>
          </rPr>
          <t>Isik, Mine:</t>
        </r>
        <r>
          <rPr>
            <sz val="9"/>
            <color indexed="81"/>
            <rFont val="Tahoma"/>
            <family val="2"/>
          </rPr>
          <t xml:space="preserve">
Original data  (provided by Benjamin and Iyad)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C17" authorId="0" shapeId="0" xr:uid="{00000000-0006-0000-1C00-000001000000}">
      <text>
        <r>
          <rPr>
            <b/>
            <sz val="8"/>
            <color indexed="81"/>
            <rFont val="Tahoma"/>
            <family val="2"/>
          </rPr>
          <t>newuser:</t>
        </r>
        <r>
          <rPr>
            <sz val="8"/>
            <color indexed="81"/>
            <rFont val="Tahoma"/>
            <family val="2"/>
          </rPr>
          <t xml:space="preserve">
2005-2008 data from older AEOs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Lenox, Carol</author>
  </authors>
  <commentList>
    <comment ref="H22" authorId="0" shapeId="0" xr:uid="{00000000-0006-0000-2400-000001000000}">
      <text>
        <r>
          <rPr>
            <b/>
            <sz val="8"/>
            <color indexed="81"/>
            <rFont val="Tahoma"/>
            <family val="2"/>
          </rPr>
          <t>Lenox, Carol:</t>
        </r>
        <r>
          <rPr>
            <sz val="8"/>
            <color indexed="81"/>
            <rFont val="Tahoma"/>
            <family val="2"/>
          </rPr>
          <t xml:space="preserve">
in the AEO10 T60 workbook, there is no cost for large DHEV cars in 2020, therefore, instead of the calculation, the value was made equal to 2025</t>
        </r>
      </text>
    </comment>
  </commentList>
</comments>
</file>

<file path=xl/sharedStrings.xml><?xml version="1.0" encoding="utf-8"?>
<sst xmlns="http://schemas.openxmlformats.org/spreadsheetml/2006/main" count="9234" uniqueCount="3411">
  <si>
    <t>General Notes</t>
  </si>
  <si>
    <t>Tabs for pages that consist primarily of input data are colored blue</t>
  </si>
  <si>
    <t>Tabs for pages that consist primarily of calculations are white</t>
  </si>
  <si>
    <t>Tabs for pages that are read into Answer are colored yellow</t>
  </si>
  <si>
    <t>The tabs generally should be navigated from right to left, e.g., the</t>
  </si>
  <si>
    <t xml:space="preserve">   pages with input data tables are the right-most. Calculations</t>
  </si>
  <si>
    <t xml:space="preserve">   come next (with each subsequent page typically building on the </t>
  </si>
  <si>
    <t xml:space="preserve">   a previous page). Finally, the MARKAL inputs are in the left-most</t>
  </si>
  <si>
    <t xml:space="preserve">   pages.</t>
  </si>
  <si>
    <t>Data Inputs to this sector</t>
  </si>
  <si>
    <t>Population Data ("Population")</t>
  </si>
  <si>
    <t>'- U.S. Census Bureau projections</t>
  </si>
  <si>
    <t>'- U.S. EPA ORD Integrated Land Use Scenarios model projections</t>
  </si>
  <si>
    <t>Vehicle Miles Traveled Breakdown by Region ("Demands")</t>
  </si>
  <si>
    <t>'- EIA Household Transportation Energy Use Survey, 2001</t>
  </si>
  <si>
    <t>Price Deflators to Convert Costs to $2000 ("GDPdeflator")</t>
  </si>
  <si>
    <t>'- Bureau of Economic Analysis NIPA Table 1.1.9</t>
  </si>
  <si>
    <t>Vehicle Sales Data by Class ("Sales Data")</t>
  </si>
  <si>
    <t>'- EIA Annual Energy Outlook 2008, Table 51</t>
  </si>
  <si>
    <t>Technology Cost and Efficiency Estimates ("AEO08 T59","AEO08 T60","OTAQ-Car","OTAQ-Truck","QM2002")</t>
  </si>
  <si>
    <t>'- EIA Annual Energy Outlook 2008, Tables 59 and 60</t>
  </si>
  <si>
    <t>'- OTAQ vehicle assumptions for SGM provided by Simon Mui</t>
  </si>
  <si>
    <t>'- Vehicle maintenance estimates from DOE's Quality Metrics Report 2002</t>
  </si>
  <si>
    <t>Existing Fleet Info</t>
  </si>
  <si>
    <t>'- Transportation Energy Data book, Edition 21</t>
  </si>
  <si>
    <t>General Flow of Operations for Preparing Data for Input to ANSWER</t>
  </si>
  <si>
    <t>Demand Calculation:</t>
  </si>
  <si>
    <t>'- Regional VMT demands are calculated in "VMT by Region"</t>
  </si>
  <si>
    <t>Vehicle Characterization:</t>
  </si>
  <si>
    <t>'- Vehicle efficiency and cost calculations for vehicles described in AEO are provided in the "Costs" and "Efficiencies" pages</t>
  </si>
  <si>
    <t>- Additional vehicle types are characterized in "AdditionalVehs"</t>
  </si>
  <si>
    <t>'- The AEO and additional vehicle data are consolidated in "ConsolidatedVehData"</t>
  </si>
  <si>
    <t>Emissions Characterization:</t>
  </si>
  <si>
    <t>'- These factors are linked to vehicle technologies &amp; classes in "Emissions Linkage"</t>
  </si>
  <si>
    <t>Characterization of Existing Fleet:</t>
  </si>
  <si>
    <t>'- Carried out in "Existing Fleet"</t>
  </si>
  <si>
    <t>Formated Input for Loading into Answer</t>
  </si>
  <si>
    <t>'- Demands: "CommData"</t>
  </si>
  <si>
    <t>'- Backstop technologies: "TechDataZZ" (not currently used)</t>
  </si>
  <si>
    <t>'- Emissions: "TechData-Emissions"</t>
  </si>
  <si>
    <t>'- Characterization of existing vehicles: "TechData_RES" (RES here represents "residual")</t>
  </si>
  <si>
    <t>'- Characterization of vehicle costs, efficiencies, fuels, lifetimes, etc.: "TechData_All"</t>
  </si>
  <si>
    <t>'- Market share and fuel share constraints: "ConstrData"</t>
  </si>
  <si>
    <t>'- Declaration of fuel, technology, and constraint names: "Constraints", "Technologies", "Commodities"</t>
  </si>
  <si>
    <t>Exogenous Assumptions:</t>
  </si>
  <si>
    <t>'* Population growth - several projections are available from different sources</t>
  </si>
  <si>
    <t xml:space="preserve">'* Market share breakdown by class is constrained to follow AEO </t>
  </si>
  <si>
    <t>projections</t>
  </si>
  <si>
    <t xml:space="preserve">'* Vehicle cost and efficiency data is largely from AEO's time </t>
  </si>
  <si>
    <t xml:space="preserve">series projections. We do not assume that learning will decrease </t>
  </si>
  <si>
    <t xml:space="preserve">costs (although some degree of learning is likely represented in </t>
  </si>
  <si>
    <t>AEO's projections for technologies that penetrate the market)</t>
  </si>
  <si>
    <t>Endogenous Calculations:</t>
  </si>
  <si>
    <t xml:space="preserve">MARKAL seeks to find the set of technologies in all modeled sectors </t>
  </si>
  <si>
    <t xml:space="preserve">that meets energy demands at least cost. Fuel prices are calculated </t>
  </si>
  <si>
    <t>endogenously as a function of their supply curves. The primary outputs</t>
  </si>
  <si>
    <t xml:space="preserve"> include technology penetrations, fuel use, and the resulting </t>
  </si>
  <si>
    <t xml:space="preserve">emissions. The model may also have to meet other constraints, such </t>
  </si>
  <si>
    <t xml:space="preserve">as lower or upper bounds on market share for technologies and/or </t>
  </si>
  <si>
    <t>fuels.</t>
  </si>
  <si>
    <t>ANSWER-Commodities</t>
  </si>
  <si>
    <t>CommName</t>
  </si>
  <si>
    <t>CommDesc</t>
  </si>
  <si>
    <t>CommUnit</t>
  </si>
  <si>
    <t>Set Memberships</t>
  </si>
  <si>
    <t>Comment</t>
  </si>
  <si>
    <t>R1,R2,R3,R4,R5,R6</t>
  </si>
  <si>
    <t>*Energy Carriers</t>
  </si>
  <si>
    <t>R2,R3,R4,R5,R6</t>
  </si>
  <si>
    <t>ELC</t>
  </si>
  <si>
    <t>Electricity</t>
  </si>
  <si>
    <t>PJ</t>
  </si>
  <si>
    <t>*R2,R3,R4,R5,R6</t>
  </si>
  <si>
    <t>TRNNGA</t>
  </si>
  <si>
    <t>Natural Gas to Transportation Sector</t>
  </si>
  <si>
    <t>TRNCNG</t>
  </si>
  <si>
    <t>CNG to TRN</t>
  </si>
  <si>
    <t>TRNCNGH</t>
  </si>
  <si>
    <t>CNG to TRN - Heavy Duty Vehicles</t>
  </si>
  <si>
    <t>TRNCNGL</t>
  </si>
  <si>
    <t>CNG to TRN - Light Duty Vehicles</t>
  </si>
  <si>
    <t>TRNCNGX</t>
  </si>
  <si>
    <t>CNGX to TRN</t>
  </si>
  <si>
    <t>TRDSLL</t>
  </si>
  <si>
    <t>DSLL to Blend</t>
  </si>
  <si>
    <t>TRDSLU</t>
  </si>
  <si>
    <t>DSLU to Blend</t>
  </si>
  <si>
    <t>TRNDSLB</t>
  </si>
  <si>
    <t>DSL combo of DSLL and DSLU</t>
  </si>
  <si>
    <t>TRNDSL</t>
  </si>
  <si>
    <t>DSL to TRN</t>
  </si>
  <si>
    <t>TRNE10</t>
  </si>
  <si>
    <t>E10 Blend</t>
  </si>
  <si>
    <t>TRNE85</t>
  </si>
  <si>
    <t>E85 Blend</t>
  </si>
  <si>
    <t>TLE85X</t>
  </si>
  <si>
    <t>E85X to TL</t>
  </si>
  <si>
    <t>TRNETH</t>
  </si>
  <si>
    <t>Ethanol to Transportation Sector</t>
  </si>
  <si>
    <t>TRNELC</t>
  </si>
  <si>
    <t>ELC to TRN</t>
  </si>
  <si>
    <t>TRGSLC1</t>
  </si>
  <si>
    <t>CONV GSL to TRN after Collection</t>
  </si>
  <si>
    <t>TRGSLR1</t>
  </si>
  <si>
    <t>REF GSL to TRN after Collection</t>
  </si>
  <si>
    <t>TRNH2</t>
  </si>
  <si>
    <t>H2 to TRN</t>
  </si>
  <si>
    <t>TRNLPGEA</t>
  </si>
  <si>
    <t>LPG to TRN after Collection</t>
  </si>
  <si>
    <t>TRNLPGX</t>
  </si>
  <si>
    <t>LPGX to TRN</t>
  </si>
  <si>
    <t>TLGSL</t>
  </si>
  <si>
    <t>GSL to TRN</t>
  </si>
  <si>
    <t>TRGSLR</t>
  </si>
  <si>
    <t>Ref GSL to TRN</t>
  </si>
  <si>
    <t>TRGSLC</t>
  </si>
  <si>
    <t xml:space="preserve">Conv GSL to TRN  </t>
  </si>
  <si>
    <t>TRGSLB</t>
  </si>
  <si>
    <t>GSL combo of R and C for blending</t>
  </si>
  <si>
    <t>TRNB20EA</t>
  </si>
  <si>
    <t>Transportation B20 after emissions accounting</t>
  </si>
  <si>
    <t>TRNE10EA</t>
  </si>
  <si>
    <t>Transportation E10 after emissions accounting</t>
  </si>
  <si>
    <t>TRNE85EA</t>
  </si>
  <si>
    <t>Transportation E85 after emissions accounting</t>
  </si>
  <si>
    <t>Transportation LPG after emissions accounting</t>
  </si>
  <si>
    <t>TRNCNGEA</t>
  </si>
  <si>
    <t>Transportation CNG after emissions accounting</t>
  </si>
  <si>
    <t>TRGSLREA</t>
  </si>
  <si>
    <t>Transportation GSLR after emissions accounting</t>
  </si>
  <si>
    <t>TRGSLCEA</t>
  </si>
  <si>
    <t>Transportation GSLC after emissions accounting</t>
  </si>
  <si>
    <t>TRNRFHEA</t>
  </si>
  <si>
    <t>Transportation RFH after emissions accounting</t>
  </si>
  <si>
    <t>TRNRFLEA</t>
  </si>
  <si>
    <t>Transportation RFL after emissions accounting</t>
  </si>
  <si>
    <t>TRDSLUEA</t>
  </si>
  <si>
    <t>Transportation DSLU after emissions accounting</t>
  </si>
  <si>
    <t>TRDSLLEA</t>
  </si>
  <si>
    <t>Transportation DSLL after emissions accounting</t>
  </si>
  <si>
    <t>ZZDMY</t>
  </si>
  <si>
    <t>Dummy commodity</t>
  </si>
  <si>
    <t>*Demands</t>
  </si>
  <si>
    <t>TL</t>
  </si>
  <si>
    <t>Transportation Light Duty</t>
  </si>
  <si>
    <t>bn-vmt</t>
  </si>
  <si>
    <t>*Emissions Commodities</t>
  </si>
  <si>
    <t>CO2</t>
  </si>
  <si>
    <t>Carbon dioxide emissions</t>
  </si>
  <si>
    <t>Mt</t>
  </si>
  <si>
    <t>ENV</t>
  </si>
  <si>
    <t>NOX</t>
  </si>
  <si>
    <t>NOx emissions</t>
  </si>
  <si>
    <t>kt</t>
  </si>
  <si>
    <t>SO2</t>
  </si>
  <si>
    <t>SO2 emissions</t>
  </si>
  <si>
    <t>PM10</t>
  </si>
  <si>
    <t>PM10 emissions</t>
  </si>
  <si>
    <t>PM25</t>
  </si>
  <si>
    <t>PM2.5 emissions</t>
  </si>
  <si>
    <t>CO</t>
  </si>
  <si>
    <t>Carbon monoxide</t>
  </si>
  <si>
    <t>N2O</t>
  </si>
  <si>
    <t>Nitrous oxide</t>
  </si>
  <si>
    <t>CH4</t>
  </si>
  <si>
    <t>Methane</t>
  </si>
  <si>
    <t>VOC</t>
  </si>
  <si>
    <t>VOCs</t>
  </si>
  <si>
    <t>NH3</t>
  </si>
  <si>
    <t>Ammonia</t>
  </si>
  <si>
    <t>BC</t>
  </si>
  <si>
    <t>Black carbon</t>
  </si>
  <si>
    <t>OC</t>
  </si>
  <si>
    <t>Organic carbon</t>
  </si>
  <si>
    <t>CO2T</t>
  </si>
  <si>
    <t>Transportaiton sector CO2</t>
  </si>
  <si>
    <t>NOXT</t>
  </si>
  <si>
    <t>Transportation sector NOx</t>
  </si>
  <si>
    <t>SO2T</t>
  </si>
  <si>
    <t>Transportation sector SO2</t>
  </si>
  <si>
    <t>PM10T</t>
  </si>
  <si>
    <t>Transportation sector PM10</t>
  </si>
  <si>
    <t>PM25T</t>
  </si>
  <si>
    <t>Transportation sector PM25</t>
  </si>
  <si>
    <t>ANSWER-Technologies</t>
  </si>
  <si>
    <t>TechName</t>
  </si>
  <si>
    <t>TechDesc</t>
  </si>
  <si>
    <t>TACTUnit</t>
  </si>
  <si>
    <t>TCAPUnit</t>
  </si>
  <si>
    <t>* Process Technologies</t>
  </si>
  <si>
    <t>*</t>
  </si>
  <si>
    <t>PNGACNG</t>
  </si>
  <si>
    <t>Conv: NGA to CNG</t>
  </si>
  <si>
    <t>PJ/a</t>
  </si>
  <si>
    <t>* Collectors</t>
  </si>
  <si>
    <t>SCTRNCNGL</t>
  </si>
  <si>
    <t>Collector: CNG to TRN LDV</t>
  </si>
  <si>
    <t>SCCNGCNGX</t>
  </si>
  <si>
    <t>Collector: CNG to CNGX</t>
  </si>
  <si>
    <t>SCGSLCNGX</t>
  </si>
  <si>
    <t>Collector: GSL to CNGX</t>
  </si>
  <si>
    <t>SCGSLLPGX</t>
  </si>
  <si>
    <t>Collector: GSL to LPGX</t>
  </si>
  <si>
    <t>SCLPGLPGX</t>
  </si>
  <si>
    <t>Collector: LPG to LPGX</t>
  </si>
  <si>
    <t>SCTLGSLE85</t>
  </si>
  <si>
    <t>Collector: GSL to E85X</t>
  </si>
  <si>
    <t>SCTLE85E85</t>
  </si>
  <si>
    <t>Collector: E85 to E85X</t>
  </si>
  <si>
    <t>SCTLGSLGSL</t>
  </si>
  <si>
    <t>Collector: GSLB to TRNGSL</t>
  </si>
  <si>
    <t>SCTRGSLRB</t>
  </si>
  <si>
    <t>Collector: GSLR to TRN for blending</t>
  </si>
  <si>
    <t>SCTRGSLCB</t>
  </si>
  <si>
    <t>Collector: GSLC to TRN for blending</t>
  </si>
  <si>
    <t>SCTLE10GSL</t>
  </si>
  <si>
    <t>Collector: TRNE10 to GSL</t>
  </si>
  <si>
    <t>SCDSLLDSL</t>
  </si>
  <si>
    <t>Collector: DSLL to DSLB</t>
  </si>
  <si>
    <t>SCDSLUDSL</t>
  </si>
  <si>
    <t>Collector: DSLU to DSLB</t>
  </si>
  <si>
    <t>SCDSLBDSL</t>
  </si>
  <si>
    <t>Collector: DSLB to DSL</t>
  </si>
  <si>
    <t>SCTRNELC</t>
  </si>
  <si>
    <t>Collector: ELC to TRN</t>
  </si>
  <si>
    <t>SETLGSL</t>
  </si>
  <si>
    <t>Collector: TRNGSL to TLGSL</t>
  </si>
  <si>
    <t>SETLCNG</t>
  </si>
  <si>
    <t>Collector: TRNCNG to TLCNG</t>
  </si>
  <si>
    <t>SCGSL2CNGX</t>
  </si>
  <si>
    <t>Collector: TRNGSL to TLCNGX</t>
  </si>
  <si>
    <t>SCCNG2CNGX</t>
  </si>
  <si>
    <t>Collector: TRNCNG to TLCNGX</t>
  </si>
  <si>
    <t>SETLLPG</t>
  </si>
  <si>
    <t>Collector: TRNLPG to TLLPG</t>
  </si>
  <si>
    <t>SCGSL2LPGX</t>
  </si>
  <si>
    <t>Collector: TRNGSL to TLLPGX</t>
  </si>
  <si>
    <t>SCLPG2LPGX</t>
  </si>
  <si>
    <t>Collector: TRNLPG to TLLPGX</t>
  </si>
  <si>
    <t>* Light Duty Vehicle Demand Technologies</t>
  </si>
  <si>
    <t>bn-vmt/a</t>
  </si>
  <si>
    <t>TLMCELC</t>
  </si>
  <si>
    <t>Electric minicar w/100 mi range</t>
  </si>
  <si>
    <t>TLCELC</t>
  </si>
  <si>
    <t>Electric compact car w/100 mi range</t>
  </si>
  <si>
    <t>TLFELC</t>
  </si>
  <si>
    <t>Electric fullsize car w/100 mi range</t>
  </si>
  <si>
    <t>TLMELC</t>
  </si>
  <si>
    <t>Electric minivan w/100 mi range</t>
  </si>
  <si>
    <t>TLPELC</t>
  </si>
  <si>
    <t>Electric pickup truck w/100 mi range</t>
  </si>
  <si>
    <t>TLSSELC</t>
  </si>
  <si>
    <t>Electric small SUV w/100 mi range</t>
  </si>
  <si>
    <t>TLLSELC</t>
  </si>
  <si>
    <t>Electric large SUV w/100 mi range</t>
  </si>
  <si>
    <t>TLMCELCB</t>
  </si>
  <si>
    <t>Electric minicar w/200 mi range</t>
  </si>
  <si>
    <t>TLCELCB</t>
  </si>
  <si>
    <t>Electric compact car w/200 mi range</t>
  </si>
  <si>
    <t>TLFELCB</t>
  </si>
  <si>
    <t>Electric fullsize car w/200 mi range</t>
  </si>
  <si>
    <t>TLMELCB</t>
  </si>
  <si>
    <t>Electric minivan w/200 mi range</t>
  </si>
  <si>
    <t>TLPELCB</t>
  </si>
  <si>
    <t>Electric pickup truck w/200 mi range</t>
  </si>
  <si>
    <t>TLSSELCB</t>
  </si>
  <si>
    <t>Electric small SUV w/200 mi range</t>
  </si>
  <si>
    <t>TLLSELCB</t>
  </si>
  <si>
    <t>Electric large SUV w/200 mi range</t>
  </si>
  <si>
    <t>* Dummy Backstop Technology</t>
  </si>
  <si>
    <t>ZZTLDV</t>
  </si>
  <si>
    <t>Transportation LDV - ZZINFES backstop</t>
  </si>
  <si>
    <t>SCTRNCNGH</t>
  </si>
  <si>
    <t>Collector: CNG to TRN HDV</t>
  </si>
  <si>
    <t>TechData</t>
  </si>
  <si>
    <t>R2</t>
  </si>
  <si>
    <t>R3</t>
  </si>
  <si>
    <t>R4</t>
  </si>
  <si>
    <t>R5</t>
  </si>
  <si>
    <t>R6</t>
  </si>
  <si>
    <t>MA(ENT)</t>
  </si>
  <si>
    <t>OUT(DM)</t>
  </si>
  <si>
    <t>START</t>
  </si>
  <si>
    <t>LIFE</t>
  </si>
  <si>
    <t>EFF</t>
  </si>
  <si>
    <t>FIXOM</t>
  </si>
  <si>
    <t>DISCRATE</t>
  </si>
  <si>
    <t>IBOND(UP)</t>
  </si>
  <si>
    <t>Units</t>
  </si>
  <si>
    <t>CommIN</t>
  </si>
  <si>
    <t>CommOUT</t>
  </si>
  <si>
    <t>* Light Duty Vehicle Demand Technologies - Residuals</t>
  </si>
  <si>
    <t>bn-vmt, bn-vmt/a</t>
  </si>
  <si>
    <t>Description: Market share and household data from miscl sources, including the Transportation Energy Data Book (TED), Edition 29</t>
  </si>
  <si>
    <t>Source: http://cta.ornl.gov/data/index.shtml</t>
  </si>
  <si>
    <t>Sales MARKAL shares… 2010 through 2040 … from AEO2014:</t>
  </si>
  <si>
    <t>Supplemental tables from AEO2012, Scenario ref2012.d121011b</t>
  </si>
  <si>
    <t>RESID data and calculations</t>
  </si>
  <si>
    <t>Data &amp; Calculations updated by Cynthia Gage on 8/16/2007</t>
  </si>
  <si>
    <t>Data from AEO 08 Supplemental Table 50</t>
  </si>
  <si>
    <t>Data From TED, Edition 29, Table 2.3</t>
  </si>
  <si>
    <t>Billion vehicle miles traveled</t>
  </si>
  <si>
    <t>Light-duty BVMT by Size Class, 2005</t>
  </si>
  <si>
    <t>FractionBVMT</t>
  </si>
  <si>
    <t>BVMT2010</t>
  </si>
  <si>
    <t>Light-duty* BVMT by Technology, 2005</t>
  </si>
  <si>
    <t>Alternative Fuel Consumption, 2000</t>
  </si>
  <si>
    <t>Transportation Energy Data, 2010</t>
  </si>
  <si>
    <t>Passenger cars (Table 4.1)</t>
  </si>
  <si>
    <t>BVMT</t>
  </si>
  <si>
    <t>BVMT share</t>
  </si>
  <si>
    <t>thous gal equiv</t>
  </si>
  <si>
    <t>frac sales</t>
  </si>
  <si>
    <t>Light trucks (Table 4.2)</t>
  </si>
  <si>
    <t>Gasoline ICE &amp; hybrid</t>
  </si>
  <si>
    <t>Gasoline</t>
  </si>
  <si>
    <t>MARKAL Demand</t>
  </si>
  <si>
    <t>Diesel ICE</t>
  </si>
  <si>
    <t>Elec</t>
  </si>
  <si>
    <t>Shares of vehicle 2000</t>
  </si>
  <si>
    <t>Regional Shares</t>
  </si>
  <si>
    <t>Frac.VMT</t>
  </si>
  <si>
    <t>MiniCompact</t>
  </si>
  <si>
    <t>Compact</t>
  </si>
  <si>
    <t>Full</t>
  </si>
  <si>
    <t>CAR VMT</t>
  </si>
  <si>
    <t>SmalllSUV</t>
  </si>
  <si>
    <t>Large SUV</t>
  </si>
  <si>
    <t xml:space="preserve">Van </t>
  </si>
  <si>
    <t>Pickup</t>
  </si>
  <si>
    <t>TRUCK VMT</t>
  </si>
  <si>
    <t>Ethanol Flex</t>
  </si>
  <si>
    <t>E85</t>
  </si>
  <si>
    <t>CNG bi-fuel</t>
  </si>
  <si>
    <t>CNG</t>
  </si>
  <si>
    <t>Data from EIA</t>
  </si>
  <si>
    <t>R2 - Brooklyn</t>
  </si>
  <si>
    <t>LPG &amp; bifuel</t>
  </si>
  <si>
    <t>LPG</t>
  </si>
  <si>
    <t xml:space="preserve">National Household Vehicle </t>
  </si>
  <si>
    <t>R3 - Bronx</t>
  </si>
  <si>
    <t>Electricty</t>
  </si>
  <si>
    <t>Enerfy Survey, 2001</t>
  </si>
  <si>
    <t>R4 - Manhattan</t>
  </si>
  <si>
    <t>*includes fleets</t>
  </si>
  <si>
    <t>R5 - Staten Island</t>
  </si>
  <si>
    <t>R6 - Queens</t>
  </si>
  <si>
    <t>Estimated Scappage Rates</t>
  </si>
  <si>
    <t>Calibration values</t>
  </si>
  <si>
    <t>Original values</t>
  </si>
  <si>
    <t>5 years</t>
  </si>
  <si>
    <t>10 years</t>
  </si>
  <si>
    <t>Totals</t>
  </si>
  <si>
    <t>15 years</t>
  </si>
  <si>
    <t>20 years</t>
  </si>
  <si>
    <t>Car</t>
  </si>
  <si>
    <t>Truck</t>
  </si>
  <si>
    <t>Diesel</t>
  </si>
  <si>
    <t>Car (PJ)</t>
  </si>
  <si>
    <t>Truck (PJ)</t>
  </si>
  <si>
    <t>percentage</t>
  </si>
  <si>
    <t>(2010 value )</t>
  </si>
  <si>
    <t>Car (Bvmt)</t>
  </si>
  <si>
    <t>Truck (Bvmt)</t>
  </si>
  <si>
    <t>Frac. VMT</t>
  </si>
  <si>
    <t>RESID Calculations</t>
  </si>
  <si>
    <t>Vehicle Tech</t>
  </si>
  <si>
    <t>Description</t>
  </si>
  <si>
    <t>TLEMCGSL</t>
  </si>
  <si>
    <t>MiniCompact - Gas</t>
  </si>
  <si>
    <t>TLECGSL</t>
  </si>
  <si>
    <t>Compact - Gas</t>
  </si>
  <si>
    <t>TLEFDSL</t>
  </si>
  <si>
    <t>Full size - Diesel</t>
  </si>
  <si>
    <t>TLEFGSL</t>
  </si>
  <si>
    <t>Full size - Gasoline</t>
  </si>
  <si>
    <t>TLELSGSL</t>
  </si>
  <si>
    <t>Large SUV - Gas</t>
  </si>
  <si>
    <t>TLESSGSL</t>
  </si>
  <si>
    <t>Small Suv - Gas</t>
  </si>
  <si>
    <t>TLEMGSL</t>
  </si>
  <si>
    <t>Minivan - Gas</t>
  </si>
  <si>
    <t>TLEPGSL</t>
  </si>
  <si>
    <t>Pickup - gas</t>
  </si>
  <si>
    <t>TLEPDSL</t>
  </si>
  <si>
    <t>Pickup - diesel</t>
  </si>
  <si>
    <t>car sum</t>
  </si>
  <si>
    <t>truck sum</t>
  </si>
  <si>
    <t>AEO 2010 VMT values</t>
  </si>
  <si>
    <t>Region</t>
  </si>
  <si>
    <t>NE</t>
  </si>
  <si>
    <t>R1</t>
  </si>
  <si>
    <t>MA</t>
  </si>
  <si>
    <t>Brooklyn</t>
  </si>
  <si>
    <t>SA</t>
  </si>
  <si>
    <t>Bronx</t>
  </si>
  <si>
    <t>ESC</t>
  </si>
  <si>
    <t>Manhattan</t>
  </si>
  <si>
    <t>ENC</t>
  </si>
  <si>
    <t>Staten Island</t>
  </si>
  <si>
    <t>WSC</t>
  </si>
  <si>
    <t>Queens</t>
  </si>
  <si>
    <t>WNC</t>
  </si>
  <si>
    <t>M</t>
  </si>
  <si>
    <t>P</t>
  </si>
  <si>
    <t>Total</t>
  </si>
  <si>
    <t>TED tables 4.1&amp;4.2 (BVMT for cars and trucks)</t>
  </si>
  <si>
    <t>Diff</t>
  </si>
  <si>
    <t>EIA Transportation Energy Consumption Surveys: Household Vehicle energy use, 2001</t>
  </si>
  <si>
    <t>From Transportation Energy Data Book, Edition 29</t>
  </si>
  <si>
    <t>Table A1</t>
  </si>
  <si>
    <t>Table A16</t>
  </si>
  <si>
    <t>Table 6.4 Number of Alt Refuel sites by State and fuel</t>
  </si>
  <si>
    <t>Fraction</t>
  </si>
  <si>
    <t>Vehicle type (millions), 2001</t>
  </si>
  <si>
    <t>Fractional Distribution by EIA Survey Class</t>
  </si>
  <si>
    <t>Fractional Distribution by MARKAL Class</t>
  </si>
  <si>
    <t>Number of sales aites</t>
  </si>
  <si>
    <t>Fraction of sites</t>
  </si>
  <si>
    <t>VMT (2000)</t>
  </si>
  <si>
    <t>Cars</t>
  </si>
  <si>
    <t>SUV</t>
  </si>
  <si>
    <t>Van</t>
  </si>
  <si>
    <t>Trucks</t>
  </si>
  <si>
    <t>Small SUV</t>
  </si>
  <si>
    <t>TOTAL</t>
  </si>
  <si>
    <t>BK</t>
  </si>
  <si>
    <t>BX</t>
  </si>
  <si>
    <t>MH</t>
  </si>
  <si>
    <t>SI</t>
  </si>
  <si>
    <t>QN</t>
  </si>
  <si>
    <t>National Distribution</t>
  </si>
  <si>
    <t>Class Distrib.</t>
  </si>
  <si>
    <t>Car Class Constraints</t>
  </si>
  <si>
    <t>R7</t>
  </si>
  <si>
    <t>R8</t>
  </si>
  <si>
    <t>R9</t>
  </si>
  <si>
    <t>US*</t>
  </si>
  <si>
    <t>MC</t>
  </si>
  <si>
    <t>C</t>
  </si>
  <si>
    <t>F</t>
  </si>
  <si>
    <t>SSUV</t>
  </si>
  <si>
    <t>LSUV</t>
  </si>
  <si>
    <t>Pick-up</t>
  </si>
  <si>
    <t>V</t>
  </si>
  <si>
    <t>PU</t>
  </si>
  <si>
    <t>Data from Carol Shay 3/20/07</t>
  </si>
  <si>
    <t>* This is national sales shares as of 2030 per AEO 2008.</t>
  </si>
  <si>
    <t>Based on new car purchases</t>
  </si>
  <si>
    <t>Relaxation</t>
  </si>
  <si>
    <t>INP(ENT)p</t>
  </si>
  <si>
    <t>OUT(ENC)p</t>
  </si>
  <si>
    <t>AF</t>
  </si>
  <si>
    <t>VAROM</t>
  </si>
  <si>
    <t>BOUND(UP)O</t>
  </si>
  <si>
    <t>INVCOST</t>
  </si>
  <si>
    <t>EFF_I</t>
  </si>
  <si>
    <t>INP(ENT)c</t>
  </si>
  <si>
    <t>OUT(ELC)_TID</t>
  </si>
  <si>
    <t>PEAK(CON)</t>
  </si>
  <si>
    <t>CAPUNIT</t>
  </si>
  <si>
    <t>R1,R2,R3,R4,R5,R6,R7,R8,R9</t>
  </si>
  <si>
    <t>PJ, PJ/a</t>
  </si>
  <si>
    <t>Collector: GSLR to TRN</t>
  </si>
  <si>
    <t>Collector: GSLC to TRN</t>
  </si>
  <si>
    <t>Collector: DSLU to DSL</t>
  </si>
  <si>
    <t>Collector: DSLL to DSL</t>
  </si>
  <si>
    <t>PJ,PJ/a</t>
  </si>
  <si>
    <t>Collector: GSLB to GSL</t>
  </si>
  <si>
    <t>ConstrName</t>
  </si>
  <si>
    <t>ConstrDesc</t>
  </si>
  <si>
    <t>* ZZ&lt;dm&gt;INFES Backstop Technologies</t>
  </si>
  <si>
    <t>* Existing Vehicles</t>
  </si>
  <si>
    <t>Mini car</t>
  </si>
  <si>
    <t>GSL</t>
  </si>
  <si>
    <t>Compact car</t>
  </si>
  <si>
    <t>Full size car</t>
  </si>
  <si>
    <t>DSL</t>
  </si>
  <si>
    <t>Minivan</t>
  </si>
  <si>
    <t xml:space="preserve">* Notes: </t>
  </si>
  <si>
    <t>* PM10 from electric cars assumed to be 85% of conventional gasoline; PM2.5 from electric assumed to be 50% of conventional gasoline. These fractions approximated from MOVES results by comparing brake+tire wear to overall PM emissions.</t>
  </si>
  <si>
    <t>Sector</t>
  </si>
  <si>
    <t>LightDuty-</t>
  </si>
  <si>
    <t>tCO2e</t>
  </si>
  <si>
    <t>Gasoline Hybrid</t>
  </si>
  <si>
    <t>Diesel Hybrid</t>
  </si>
  <si>
    <t>Fuel Cell</t>
  </si>
  <si>
    <t>MediumDuty-</t>
  </si>
  <si>
    <t>HeavyDuty-</t>
  </si>
  <si>
    <t>SWCV-HD-</t>
  </si>
  <si>
    <t>Private</t>
  </si>
  <si>
    <t>GJ</t>
  </si>
  <si>
    <t>Sum of 2010</t>
  </si>
  <si>
    <t>Row Labels</t>
  </si>
  <si>
    <t>Grand Total</t>
  </si>
  <si>
    <t>Public</t>
  </si>
  <si>
    <t>CommData</t>
  </si>
  <si>
    <t>*Energy Demands by End Use</t>
  </si>
  <si>
    <t>*R7</t>
  </si>
  <si>
    <t>*R8</t>
  </si>
  <si>
    <t>*R9</t>
  </si>
  <si>
    <t>*NYC (R2-R6)</t>
  </si>
  <si>
    <t>pj</t>
  </si>
  <si>
    <t>CO2/Pj</t>
  </si>
  <si>
    <t>ANSWER-Constraints</t>
  </si>
  <si>
    <t>ANSWER-TechData</t>
  </si>
  <si>
    <t>ANSWER-CommData</t>
  </si>
  <si>
    <t>ANSWER-ConstrData</t>
  </si>
  <si>
    <t>GHG Emissions 2010</t>
  </si>
  <si>
    <t>Fuel Type</t>
  </si>
  <si>
    <t>Consumed</t>
  </si>
  <si>
    <t>MgCO2e</t>
  </si>
  <si>
    <t>Source GJ</t>
  </si>
  <si>
    <t>Source PJ</t>
  </si>
  <si>
    <t>Sum of Source GJ</t>
  </si>
  <si>
    <t>Sum of Consumed</t>
  </si>
  <si>
    <t>transit bus</t>
  </si>
  <si>
    <t>TB</t>
  </si>
  <si>
    <t>transportation</t>
  </si>
  <si>
    <t>commuter rail</t>
  </si>
  <si>
    <t>TR</t>
  </si>
  <si>
    <t>liters</t>
  </si>
  <si>
    <t>heavy truck</t>
  </si>
  <si>
    <t>THS</t>
  </si>
  <si>
    <t>light truck</t>
  </si>
  <si>
    <t>non-transit bus</t>
  </si>
  <si>
    <t>passenger cars</t>
  </si>
  <si>
    <t>solid waste trn rail</t>
  </si>
  <si>
    <t>solid waste trn truck</t>
  </si>
  <si>
    <t>subway and commuter rail</t>
  </si>
  <si>
    <t>Street light and traffic signals</t>
  </si>
  <si>
    <t>These values are taken from Citywide GHG emissions summary Appendix K publication year 2012</t>
  </si>
  <si>
    <t>CY 2005</t>
  </si>
  <si>
    <t>CY 2014</t>
  </si>
  <si>
    <t>CY 2015</t>
  </si>
  <si>
    <t>Source MMBtu</t>
  </si>
  <si>
    <t>Passenger cars</t>
  </si>
  <si>
    <t>VMT</t>
  </si>
  <si>
    <t>Medium duty trucks</t>
  </si>
  <si>
    <t>Heavy duty trucks</t>
  </si>
  <si>
    <t>Buses</t>
  </si>
  <si>
    <t>Railways</t>
  </si>
  <si>
    <t>Electricity - subway and commuter rail</t>
  </si>
  <si>
    <t>kWh</t>
  </si>
  <si>
    <t>Diesel - commuter rail</t>
  </si>
  <si>
    <t>Marine Navigation</t>
  </si>
  <si>
    <t>Diesel - marine navigation</t>
  </si>
  <si>
    <t>Biofuel</t>
  </si>
  <si>
    <t>-</t>
  </si>
  <si>
    <t>Gasoline - marine navigation</t>
  </si>
  <si>
    <t>Aviation</t>
  </si>
  <si>
    <t>Jet fuel - aviation</t>
  </si>
  <si>
    <t>Waste</t>
  </si>
  <si>
    <t>Landfills</t>
  </si>
  <si>
    <t>Exported solid waste - landfills</t>
  </si>
  <si>
    <t>MT</t>
  </si>
  <si>
    <t>Biological treatment</t>
  </si>
  <si>
    <t>CH4 and N2O - composting</t>
  </si>
  <si>
    <t>Wastewater treatment</t>
  </si>
  <si>
    <t>CH4 - wastewater treatment plants</t>
  </si>
  <si>
    <t>N2O - wastewater treatment plants</t>
  </si>
  <si>
    <t>TOTALS</t>
  </si>
  <si>
    <t>Consumption values that provided by NYC are not equal to the total consumption presented NYC 2010 GHG inventory report</t>
  </si>
  <si>
    <t>% values are gathered and applied to the reported values</t>
  </si>
  <si>
    <r>
      <rPr>
        <sz val="12"/>
        <color rgb="FFFFFFFF"/>
        <rFont val="Calibri"/>
        <family val="2"/>
        <scheme val="minor"/>
      </rPr>
      <t>Sector</t>
    </r>
  </si>
  <si>
    <r>
      <rPr>
        <sz val="12"/>
        <color rgb="FFFFFFFF"/>
        <rFont val="Calibri"/>
        <family val="2"/>
        <scheme val="minor"/>
      </rPr>
      <t>Units</t>
    </r>
  </si>
  <si>
    <r>
      <rPr>
        <sz val="12"/>
        <color rgb="FFFFFFFF"/>
        <rFont val="Calibri"/>
        <family val="2"/>
        <scheme val="minor"/>
      </rPr>
      <t>Consumed</t>
    </r>
  </si>
  <si>
    <t>SourceMMBtu</t>
  </si>
  <si>
    <t>On-Road</t>
  </si>
  <si>
    <t>passengercars</t>
  </si>
  <si>
    <t>lighttrucks</t>
  </si>
  <si>
    <t>heavytrucks</t>
  </si>
  <si>
    <t>transitbus</t>
  </si>
  <si>
    <t>non-transitbus</t>
  </si>
  <si>
    <t>Ethanol</t>
  </si>
  <si>
    <t>subwayandcommuterra</t>
  </si>
  <si>
    <t>kwh</t>
  </si>
  <si>
    <t>commuterrail</t>
  </si>
  <si>
    <t>Marine</t>
  </si>
  <si>
    <t>marinenavigation</t>
  </si>
  <si>
    <t>aviation</t>
  </si>
  <si>
    <t>Jetfuel</t>
  </si>
  <si>
    <t>These values are taken from 2014 NYC GHG citywide inventory</t>
  </si>
  <si>
    <t>citywide values are not equal to city government</t>
  </si>
  <si>
    <t>Gasoline Consumption Share</t>
  </si>
  <si>
    <t>Diesel Consumption Share</t>
  </si>
  <si>
    <t>Description: Calculated regional light duty vehicle demand</t>
  </si>
  <si>
    <t>EMISSIONS INTENSITY FACTORS</t>
  </si>
  <si>
    <t>Transportation</t>
  </si>
  <si>
    <t>GJ Consumed</t>
  </si>
  <si>
    <t>PJ Consumed</t>
  </si>
  <si>
    <t>GJ/Liter</t>
  </si>
  <si>
    <t>Liters Consumed</t>
  </si>
  <si>
    <t>Gal. Consumed</t>
  </si>
  <si>
    <t>km/liter</t>
  </si>
  <si>
    <t>Distance km</t>
  </si>
  <si>
    <t>MPGe</t>
  </si>
  <si>
    <t>Miles Traveled</t>
  </si>
  <si>
    <t>Miles Traveled (B VKM)</t>
  </si>
  <si>
    <t>Source</t>
  </si>
  <si>
    <t>Average eff</t>
  </si>
  <si>
    <t>Eff</t>
  </si>
  <si>
    <t>Inputs:</t>
  </si>
  <si>
    <t>car</t>
  </si>
  <si>
    <t>Household Vehicles Energy Use, Energy Information Agency, U.S. Department of Energy, http://www.eia.doe.gov/emeu/rtecs/</t>
  </si>
  <si>
    <t>CNG-Transit Bus</t>
  </si>
  <si>
    <t>NYC GHG Inventory 14</t>
  </si>
  <si>
    <t>Diesel-Commuter Rail</t>
  </si>
  <si>
    <t>Railtec Article</t>
  </si>
  <si>
    <t>Diesel-Heavy Trucks</t>
  </si>
  <si>
    <t>Note: Calculates VMT/capita per region for 2000, then uses national growth in VMT/capita to project these values. Results used with regional population to derive regional VMT</t>
  </si>
  <si>
    <t>Diesel-Light Trucks</t>
  </si>
  <si>
    <t>truck</t>
  </si>
  <si>
    <t>Diesel-Non Bus</t>
  </si>
  <si>
    <t>Diesel-Cars</t>
  </si>
  <si>
    <t>NYC Light Duty Vehicle Miles Traveled (VMT) Adjusted to Account for Chosen Population Projection</t>
  </si>
  <si>
    <t>Diesel-Solid Waste</t>
  </si>
  <si>
    <t>Diesel-Transit Bus</t>
  </si>
  <si>
    <t>Scenario Pop from Population Tab (millions)</t>
  </si>
  <si>
    <t>Diesel-Ships &amp; Boats</t>
  </si>
  <si>
    <t>Scenario LDV vehicle miles traveled (bln-VMT)</t>
  </si>
  <si>
    <t>Diesel-Other Off-Road Vehicles</t>
  </si>
  <si>
    <t>Ratio (bln-VMT/million people)</t>
  </si>
  <si>
    <t>Electricity-Subway</t>
  </si>
  <si>
    <t>Ethanol (E100)</t>
  </si>
  <si>
    <t>Gas-Light Trucks</t>
  </si>
  <si>
    <t>Gas-Cars</t>
  </si>
  <si>
    <t>TL-DSL Ratio</t>
  </si>
  <si>
    <t>Transportation VMT Estimates</t>
  </si>
  <si>
    <t>km/year</t>
  </si>
  <si>
    <t>Gallons/year</t>
  </si>
  <si>
    <t>MPG Rating</t>
  </si>
  <si>
    <t>Total VMT</t>
  </si>
  <si>
    <t>VMT/Person</t>
  </si>
  <si>
    <t>References</t>
  </si>
  <si>
    <t xml:space="preserve">Biofuel </t>
  </si>
  <si>
    <t>DOT RITA Bus Fuel Economy</t>
  </si>
  <si>
    <t>CNG-Transit Bus (GJ)</t>
  </si>
  <si>
    <t>Assumes 2.78 kBut/PMT</t>
  </si>
  <si>
    <t xml:space="preserve">Diesel-Commuter Rail </t>
  </si>
  <si>
    <t>361.1 million miles by NYC subway in 2014</t>
  </si>
  <si>
    <t xml:space="preserve">Diesel-Heavy Trucks </t>
  </si>
  <si>
    <t xml:space="preserve">Diesel-Light Trucks </t>
  </si>
  <si>
    <t xml:space="preserve">Diesel-Non Bus </t>
  </si>
  <si>
    <t xml:space="preserve">Diesel-Cars </t>
  </si>
  <si>
    <t xml:space="preserve">Diesel-Solid Waste </t>
  </si>
  <si>
    <t xml:space="preserve">Diesel-Transit Bus </t>
  </si>
  <si>
    <t xml:space="preserve">Diesel-Ships &amp; Boats </t>
  </si>
  <si>
    <t xml:space="preserve">Diesel-Other Off-Road Vehicles </t>
  </si>
  <si>
    <t>Electricity-Subway (GJ)</t>
  </si>
  <si>
    <t xml:space="preserve">Ethanol </t>
  </si>
  <si>
    <t xml:space="preserve">Gas-Light Trucks </t>
  </si>
  <si>
    <t>Regional VMT per capita (bln-VMT/million people) Using ICLUS Regional Population and AEO VMT share by region</t>
  </si>
  <si>
    <t xml:space="preserve">Gas-Cars </t>
  </si>
  <si>
    <t>VMT per capita for all regions is grown using the national VMT/capita growth rate calculated on the AEO10 DMD tab</t>
  </si>
  <si>
    <t>LDV Total</t>
  </si>
  <si>
    <t>Census Street Blog Post on NYC Car Ownership</t>
  </si>
  <si>
    <t>NYC Car Ownership by StatsBee</t>
  </si>
  <si>
    <t>R1 - Supply Region</t>
  </si>
  <si>
    <t>NEMA</t>
  </si>
  <si>
    <t>Subway Ridership</t>
  </si>
  <si>
    <t>Subway Miles</t>
  </si>
  <si>
    <t>Miles/GJ</t>
  </si>
  <si>
    <t>NYC Estimated VMT/person-day</t>
  </si>
  <si>
    <t>NYC Car Ownership</t>
  </si>
  <si>
    <t>2010 Population</t>
  </si>
  <si>
    <t>Households</t>
  </si>
  <si>
    <t>% Car Ownership</t>
  </si>
  <si>
    <t>Cars/Household</t>
  </si>
  <si>
    <t>Total Vehicles</t>
  </si>
  <si>
    <t>Cars per Capita</t>
  </si>
  <si>
    <t>Cars/100 People</t>
  </si>
  <si>
    <t>NYC Total</t>
  </si>
  <si>
    <t>Calculated Regionalized Light Duty Demand Data</t>
  </si>
  <si>
    <t>Assumes that the regional VMT/cap is constant over time</t>
  </si>
  <si>
    <t>Light Duty Vehicles billion vehicle-miles</t>
  </si>
  <si>
    <t>Ratio</t>
  </si>
  <si>
    <t>Light Duty Vehicles (passenger) (billion vmt)</t>
  </si>
  <si>
    <t>Description: National transportation demands and regional breakdowns</t>
  </si>
  <si>
    <t>Sources: Annual Energy Outlook (AEO) 2014 Early Release, Energy Information Agency, U.S. Department of Energy, http://www.eia.doe.gov/oiaf/aeo/</t>
  </si>
  <si>
    <t>Notes: A national VMT/person estimate is derived.  This rate is assumed to be constant after 2030</t>
  </si>
  <si>
    <t xml:space="preserve">              </t>
  </si>
  <si>
    <t>Census bureau population estimates are used after 2030. These are roughly in line with AEO</t>
  </si>
  <si>
    <t>AEO 2014</t>
  </si>
  <si>
    <t>Table 7.  Transportation Sector Key Indicators and Delivered Energy Consumption</t>
  </si>
  <si>
    <t>Key Indicators</t>
  </si>
  <si>
    <t>Travel Indicators</t>
  </si>
  <si>
    <t xml:space="preserve"> (billion vehicle miles traveled)</t>
  </si>
  <si>
    <t>2005</t>
  </si>
  <si>
    <t>2006</t>
  </si>
  <si>
    <t xml:space="preserve">   Light-Duty Vehicles &lt; 8500 pounds</t>
  </si>
  <si>
    <t xml:space="preserve">   Commercial Light Trucks 1/</t>
  </si>
  <si>
    <t xml:space="preserve">   Freight Trucks &gt; 10000 pounds</t>
  </si>
  <si>
    <t xml:space="preserve"> (billion seat miles available)</t>
  </si>
  <si>
    <t xml:space="preserve">   Air</t>
  </si>
  <si>
    <t xml:space="preserve"> (billion ton miles traveled)</t>
  </si>
  <si>
    <t xml:space="preserve">   Rail</t>
  </si>
  <si>
    <t xml:space="preserve">   Domestic Shipping</t>
  </si>
  <si>
    <t>Derived Data</t>
  </si>
  <si>
    <t>LDV from AEO (bln-VMT)</t>
  </si>
  <si>
    <t>Calculated from the next two rows</t>
  </si>
  <si>
    <t>Pop from Census (Million)</t>
  </si>
  <si>
    <t>Followed Census Bureau projections after 2030</t>
  </si>
  <si>
    <t>Base LDV rate (bln-VMT/Million People)</t>
  </si>
  <si>
    <t>Held constant after 2030</t>
  </si>
  <si>
    <t/>
  </si>
  <si>
    <t>2008-</t>
  </si>
  <si>
    <t>Population Projections for NYC</t>
  </si>
  <si>
    <t>Note:  To change projections, copy the data in one of the scenario tables and paste into the top table.</t>
  </si>
  <si>
    <t>Population Projections for calculations</t>
  </si>
  <si>
    <t>Supply Region</t>
  </si>
  <si>
    <t>NE/MA</t>
  </si>
  <si>
    <t>MN</t>
  </si>
  <si>
    <t>Growth Rate</t>
  </si>
  <si>
    <t>NYC Population Projections Low Growth</t>
  </si>
  <si>
    <t>New England</t>
  </si>
  <si>
    <t>Middle Atlantic</t>
  </si>
  <si>
    <t>`</t>
  </si>
  <si>
    <t>Total US</t>
  </si>
  <si>
    <t>Total NYC</t>
  </si>
  <si>
    <t>NYC</t>
  </si>
  <si>
    <t>NYC Population Projections High Growth</t>
  </si>
  <si>
    <t>* Average of 2020-2030 and 2030-2040, 2045-2055 are projections based on annual growth rates from 2010-2040</t>
  </si>
  <si>
    <t>NYC Dept. of City Planning Web</t>
  </si>
  <si>
    <t>NYC Dept. of City Planning Report</t>
  </si>
  <si>
    <t>Description: Population Projections from the Census Bureau and from the EPA's Integrated Climate and Land Use Scenarios (ICLUS) modeling system, Spring 2008.</t>
  </si>
  <si>
    <t>Source: ICLUS model, U.S. EPA Office of Research and Development. Contact: Britta Bierwagen EPA/ORD/NCEA</t>
  </si>
  <si>
    <t>Pacific</t>
  </si>
  <si>
    <t>Population Projections for A1 Scenario*</t>
  </si>
  <si>
    <t>South Atlantic</t>
  </si>
  <si>
    <t>East South Central</t>
  </si>
  <si>
    <t>East North Central</t>
  </si>
  <si>
    <t>West South Central</t>
  </si>
  <si>
    <t>West North Central</t>
  </si>
  <si>
    <t>Mountain</t>
  </si>
  <si>
    <t>Population Projections Based on Census Projections</t>
  </si>
  <si>
    <t>Total US in millions</t>
  </si>
  <si>
    <t>* A1 scenario from ICLUS project.  ICLUS Pacific region has been adjusted to include Alaska and Hawaii projects based on Census projections.</t>
  </si>
  <si>
    <t xml:space="preserve">Households per Region based on A2 Projections* </t>
  </si>
  <si>
    <t>Quad=</t>
  </si>
  <si>
    <t>10^(15)</t>
  </si>
  <si>
    <t>BTU</t>
  </si>
  <si>
    <t>PJ=</t>
  </si>
  <si>
    <t>Electric</t>
  </si>
  <si>
    <t>Description: Consolidates vehicle efficiency and cost characterizations into a single large table</t>
  </si>
  <si>
    <t>Inputs: "Costs", "Efficiencies", "AdditionalVehs"</t>
  </si>
  <si>
    <t>This table consolidates non-emissions vehicle data from ISAW, OTAQ and AEO.</t>
  </si>
  <si>
    <t>Note: modified so no vehs will be purchased in 2005. Resids will be used.</t>
  </si>
  <si>
    <t>Fixed O&amp;M</t>
  </si>
  <si>
    <t>Fuel Efficiency</t>
  </si>
  <si>
    <t>Input</t>
  </si>
  <si>
    <t>Cost (2005$s)</t>
  </si>
  <si>
    <t>Converted Cost (M$2005/bvmt/yr)</t>
  </si>
  <si>
    <t>(Ann. 1999$/vehicle)</t>
  </si>
  <si>
    <t>(M2000$/bvmt/yr)</t>
  </si>
  <si>
    <t>(unadjusted)</t>
  </si>
  <si>
    <t>(adjusted)</t>
  </si>
  <si>
    <t>from ELC</t>
  </si>
  <si>
    <t>Start Year</t>
  </si>
  <si>
    <t>(mpg)</t>
  </si>
  <si>
    <t>(bvmt/PJ)</t>
  </si>
  <si>
    <t>TL.GSL.MC.Existing fleet</t>
  </si>
  <si>
    <t>MC.EGSL</t>
  </si>
  <si>
    <t>Conversion factors</t>
  </si>
  <si>
    <t>TL.GSL.C.Existing fleet</t>
  </si>
  <si>
    <t>C.EGSL</t>
  </si>
  <si>
    <t>TL.DSL.F.Existing fleet</t>
  </si>
  <si>
    <t>F.EDSL</t>
  </si>
  <si>
    <t>TL.GSL.F.Existing fleet</t>
  </si>
  <si>
    <t>F.EGSL</t>
  </si>
  <si>
    <t>MMBTU/gallon (gasoline)</t>
  </si>
  <si>
    <t>(AEO Tables H1 and H2)</t>
  </si>
  <si>
    <t>TL.GSL.SS.Existing fleet</t>
  </si>
  <si>
    <t>SS.EGSL</t>
  </si>
  <si>
    <t>MMBTU/gallon (diesel)</t>
  </si>
  <si>
    <t>(AEO 2007, p 59)</t>
  </si>
  <si>
    <t>TL.GSL.LS.Existing fleet</t>
  </si>
  <si>
    <t>LS.EGSL</t>
  </si>
  <si>
    <t>MMBTU/gallon (E85)</t>
  </si>
  <si>
    <t>TL.GSL.M.Existing Fleet</t>
  </si>
  <si>
    <t>M.EGSL</t>
  </si>
  <si>
    <t>TL.GSL.P.Existing Fleet</t>
  </si>
  <si>
    <t>P.EGSL</t>
  </si>
  <si>
    <t>PJ per MMBTU</t>
  </si>
  <si>
    <t>(AEO Table H2)</t>
  </si>
  <si>
    <t>TL.DSL.P.Existing fleet</t>
  </si>
  <si>
    <t>P.EDSL</t>
  </si>
  <si>
    <t>TLEMTH</t>
  </si>
  <si>
    <t>TL.MTH.F.Existing fleet</t>
  </si>
  <si>
    <t>F.EMTH</t>
  </si>
  <si>
    <t>Annual Vehicle Miles Traveled</t>
  </si>
  <si>
    <t>TLEETHX</t>
  </si>
  <si>
    <t>TL.E85X.F.Existing fleet</t>
  </si>
  <si>
    <t>F.EETH</t>
  </si>
  <si>
    <t>passenger vehicle 2000</t>
  </si>
  <si>
    <t>Ave. miles for passenger cars in year 2000 taken from Table 4.1 (Summary Statistics for Cars) of ORNL Transportation Energy Data Book: Edition 27, 2008.</t>
  </si>
  <si>
    <t>TLECNGX</t>
  </si>
  <si>
    <t>TL.CNGX.F.Existing fleet</t>
  </si>
  <si>
    <t>F.ECNG</t>
  </si>
  <si>
    <t>passenger vehicle 2005</t>
  </si>
  <si>
    <t>Ave. miles for passenger cars in year 2005 taken from Table 4.1 (Summary Statistics for Cars) of ORNL Transportation Energy Data Book: Edition 27, 2008.</t>
  </si>
  <si>
    <t>TLELPGX</t>
  </si>
  <si>
    <t>TL.LPGX.F.Existing fleet</t>
  </si>
  <si>
    <t>F.ELPG</t>
  </si>
  <si>
    <t>TLEELC</t>
  </si>
  <si>
    <t>TL.ELC.F.Existing fleet</t>
  </si>
  <si>
    <t>F.EELC</t>
  </si>
  <si>
    <t>TLMCCONV00</t>
  </si>
  <si>
    <t>TL.GSL.MC.CONV.2000</t>
  </si>
  <si>
    <t>MC.GSL</t>
  </si>
  <si>
    <t>TLMCCONV05</t>
  </si>
  <si>
    <t>TL.GSL.MC.CONV.2005</t>
  </si>
  <si>
    <t>TLMCCONV10</t>
  </si>
  <si>
    <t>TL.GSL.MC.CONV.2010</t>
  </si>
  <si>
    <t>TLMCCONV15</t>
  </si>
  <si>
    <t>TL.GSL.MC.CONV.2015</t>
  </si>
  <si>
    <t>commercial light truck 2000</t>
  </si>
  <si>
    <t>Ave. miles for passenger light trucks in year 2000 taken from Table 4.2 (Summary Statistics for Two-Axle, Four Tire Trucks) of ORNL Transportation Energy Data Book: Edition 27, 2008.</t>
  </si>
  <si>
    <t>TLMCCONV20</t>
  </si>
  <si>
    <t>TL.GSL.MC.CONV.2020</t>
  </si>
  <si>
    <t>commercial light truck 2005</t>
  </si>
  <si>
    <t>Ave. miles for passenger light trucks in year 2005 taken from Table 4.2 (Summary Statistics for Two-Axle, Four Tire Trucks) of ORNL Transportation Energy Data Book: Edition 27, 2008.</t>
  </si>
  <si>
    <t>TLMCCONV25</t>
  </si>
  <si>
    <t>TL.GSL.MC.CONV.2025</t>
  </si>
  <si>
    <t>TLMCCONV30</t>
  </si>
  <si>
    <t>TL.GSL.MC.CONV.2030</t>
  </si>
  <si>
    <t>TLMCCONV35</t>
  </si>
  <si>
    <t>TL.GSL.MC.CONV.2035</t>
  </si>
  <si>
    <t>TLMCCONV40</t>
  </si>
  <si>
    <t>TL.GSL.MC.CONV.2040</t>
  </si>
  <si>
    <t>TLMCCONV45</t>
  </si>
  <si>
    <t>TL.GSL.MC.CONV.2045</t>
  </si>
  <si>
    <t>TLMCCONV50</t>
  </si>
  <si>
    <t>TL.GSL.MC.CONV.2050</t>
  </si>
  <si>
    <t>TLMCHEV10</t>
  </si>
  <si>
    <t>TL.GSL.MC.HEV.2010</t>
  </si>
  <si>
    <t>MC.HEV</t>
  </si>
  <si>
    <t>TLMCHEV15</t>
  </si>
  <si>
    <t>TL.GSL.MC.HEV.2015</t>
  </si>
  <si>
    <t>TLMCHEV20</t>
  </si>
  <si>
    <t>TL.GSL.MC.HEV.2020</t>
  </si>
  <si>
    <t>TLMCHEV25</t>
  </si>
  <si>
    <t>TL.GSL.MC.HEV.2025</t>
  </si>
  <si>
    <t>TLMCHEV30</t>
  </si>
  <si>
    <t>TL.GSL.MC.HEV.2030</t>
  </si>
  <si>
    <t>TLMCHEV35</t>
  </si>
  <si>
    <t>TL.GSL.MC.HEV.2035</t>
  </si>
  <si>
    <t>TLMCHEV40</t>
  </si>
  <si>
    <t>TL.GSL.MC.HEV.2040</t>
  </si>
  <si>
    <t>TLMCHEV45</t>
  </si>
  <si>
    <t>TL.GSL.MC.HEV.2045</t>
  </si>
  <si>
    <t>TLMCHEV50</t>
  </si>
  <si>
    <t>TL.GSL.MC.HEV.2050</t>
  </si>
  <si>
    <t>TLCCONV00</t>
  </si>
  <si>
    <t>TL.GSL.C.CONV.2000</t>
  </si>
  <si>
    <t>C.GSL</t>
  </si>
  <si>
    <t>TLCCONV05</t>
  </si>
  <si>
    <t>TL.GSL.C.CONV.2005</t>
  </si>
  <si>
    <t>TLCCONV10</t>
  </si>
  <si>
    <t>TL.GSL.C.CONV.2010</t>
  </si>
  <si>
    <t>TLCCONV15</t>
  </si>
  <si>
    <t>TL.GSL.C.CONV.2015</t>
  </si>
  <si>
    <t>TLCCONV20</t>
  </si>
  <si>
    <t>TL.GSL.C.CONV.2020</t>
  </si>
  <si>
    <t>TLCCONV25</t>
  </si>
  <si>
    <t>TL.GSL.C.CONV.2025</t>
  </si>
  <si>
    <t>TLCCONV30</t>
  </si>
  <si>
    <t>TL.GSL.C.CONV.2030</t>
  </si>
  <si>
    <t>TLCCONV35</t>
  </si>
  <si>
    <t>TL.GSL.C.CONV.2035</t>
  </si>
  <si>
    <t>TLCCONV40</t>
  </si>
  <si>
    <t>TL.GSL.C.CONV.2040</t>
  </si>
  <si>
    <t>TLCCONV45</t>
  </si>
  <si>
    <t>TL.GSL.C.CONV.2045</t>
  </si>
  <si>
    <t>TLCCONV50</t>
  </si>
  <si>
    <t>TL.GSL.C.CONV.2050</t>
  </si>
  <si>
    <t>TLCDSL00</t>
  </si>
  <si>
    <t>TL.DSL.C.DSL.2000</t>
  </si>
  <si>
    <t>C.DSL</t>
  </si>
  <si>
    <t>TLCDSL05</t>
  </si>
  <si>
    <t>TL.DSL.C.DSL.2005</t>
  </si>
  <si>
    <t>TLCDSL10</t>
  </si>
  <si>
    <t>TL.DSL.C.DSL.2010</t>
  </si>
  <si>
    <t>TLCDSL15</t>
  </si>
  <si>
    <t>TL.DSL.C.DSL.2015</t>
  </si>
  <si>
    <t>TLCDSL20</t>
  </si>
  <si>
    <t>TL.DSL.C.DSL.2020</t>
  </si>
  <si>
    <t>TLCDSL25</t>
  </si>
  <si>
    <t>TL.DSL.C.DSL.2025</t>
  </si>
  <si>
    <t>TLCDSL30</t>
  </si>
  <si>
    <t>TL.DSL.C.DSL.2030</t>
  </si>
  <si>
    <t>TLCDSL35</t>
  </si>
  <si>
    <t>TL.DSL.C.DSL.2035</t>
  </si>
  <si>
    <t>TLCDSL40</t>
  </si>
  <si>
    <t>TL.DSL.C.DSL.2040</t>
  </si>
  <si>
    <t>TLCDSL45</t>
  </si>
  <si>
    <t>TL.DSL.C.DSL.2045</t>
  </si>
  <si>
    <t>TLCDSL50</t>
  </si>
  <si>
    <t>TL.DSL.C.DSL.2050</t>
  </si>
  <si>
    <t>TLCCNG00</t>
  </si>
  <si>
    <t>TL.CNG.C.CNG.2000</t>
  </si>
  <si>
    <t>C.CNG</t>
  </si>
  <si>
    <t>TLCCNG05</t>
  </si>
  <si>
    <t>TL.CNG.C.CNG.2005</t>
  </si>
  <si>
    <t>TLCCNG10</t>
  </si>
  <si>
    <t>TL.CNG.C.CNG.2010</t>
  </si>
  <si>
    <t>TLCCNG15</t>
  </si>
  <si>
    <t>TL.CNG.C.CNG.2015</t>
  </si>
  <si>
    <t>TLCCNG20</t>
  </si>
  <si>
    <t>TL.CNG.C.CNG.2020</t>
  </si>
  <si>
    <t>TLCCNG25</t>
  </si>
  <si>
    <t>TL.CNG.C.CNG.2025</t>
  </si>
  <si>
    <t>TLCCNG30</t>
  </si>
  <si>
    <t>TL.CNG.C.CNG.2030</t>
  </si>
  <si>
    <t>TLCCNG35</t>
  </si>
  <si>
    <t>TL.CNG.C.CNG.2035</t>
  </si>
  <si>
    <t>TLCCNG40</t>
  </si>
  <si>
    <t>TL.CNG.C.CNG.2040</t>
  </si>
  <si>
    <t>TLCCNG45</t>
  </si>
  <si>
    <t>TL.CNG.C.CNG.2045</t>
  </si>
  <si>
    <t>TLCCNG50</t>
  </si>
  <si>
    <t>TL.CNG.C.CNG.2050</t>
  </si>
  <si>
    <t>TLCCNGX00</t>
  </si>
  <si>
    <t>TL.CNGX.C.CNGX.2000</t>
  </si>
  <si>
    <t>C.CNGX</t>
  </si>
  <si>
    <t>TLCCNGX05</t>
  </si>
  <si>
    <t>TL.CNGX.C.CNGX.2005</t>
  </si>
  <si>
    <t>TLCCNGX10</t>
  </si>
  <si>
    <t>TL.CNGX.C.CNGX.2010</t>
  </si>
  <si>
    <t>TLCCNGX15</t>
  </si>
  <si>
    <t>TL.CNGX.C.CNGX.2015</t>
  </si>
  <si>
    <t>TLCCNGX20</t>
  </si>
  <si>
    <t>TL.CNGX.C.CNGX.2020</t>
  </si>
  <si>
    <t>TLCCNGX25</t>
  </si>
  <si>
    <t>TL.CNGX.C.CNGX.2025</t>
  </si>
  <si>
    <t>TLCCNGX30</t>
  </si>
  <si>
    <t>TL.CNGX.C.CNGX.2030</t>
  </si>
  <si>
    <t>TLCCNGX35</t>
  </si>
  <si>
    <t>TL.CNGX.C.CNGX.2035</t>
  </si>
  <si>
    <t>TLCCNGX40</t>
  </si>
  <si>
    <t>TL.CNGX.C.CNGX.2040</t>
  </si>
  <si>
    <t>TLCCNGX45</t>
  </si>
  <si>
    <t>TL.CNGX.C.CNGX.2045</t>
  </si>
  <si>
    <t>TLCCNGX50</t>
  </si>
  <si>
    <t>TL.CNGX.C.CNGX.2050</t>
  </si>
  <si>
    <t>TLCDHEV10</t>
  </si>
  <si>
    <t>TL.DSL.C.DHEV.2010</t>
  </si>
  <si>
    <t>C.DHEV</t>
  </si>
  <si>
    <t>TLCDHEV15</t>
  </si>
  <si>
    <t>TL.DSL.C.DHEV.2015</t>
  </si>
  <si>
    <t>TLCDHEV20</t>
  </si>
  <si>
    <t>TL.DSL.C.DHEV.2020</t>
  </si>
  <si>
    <t>TLCDHEV25</t>
  </si>
  <si>
    <t>TL.DSL.C.DHEV.2025</t>
  </si>
  <si>
    <t>TLCDHEV30</t>
  </si>
  <si>
    <t>TL.DSL.C.DHEV.2030</t>
  </si>
  <si>
    <t>TLCDHEV35</t>
  </si>
  <si>
    <t>TL.DSL.C.DHEV.2035</t>
  </si>
  <si>
    <t>TLCDHEV40</t>
  </si>
  <si>
    <t>TL.DSL.C.DHEV.2040</t>
  </si>
  <si>
    <t>TLCDHEV45</t>
  </si>
  <si>
    <t>TL.DSL.C.DHEV.2045</t>
  </si>
  <si>
    <t>TLCDHEV50</t>
  </si>
  <si>
    <t>TL.DSL.C.DHEV.2050</t>
  </si>
  <si>
    <t>TLCETHX05</t>
  </si>
  <si>
    <t>TL.E85X.C.ETHX.2005</t>
  </si>
  <si>
    <t>C.ETHX</t>
  </si>
  <si>
    <t>TLCETHX10</t>
  </si>
  <si>
    <t>TL.E85X.C.ETHX.2010</t>
  </si>
  <si>
    <t>TLCETHX15</t>
  </si>
  <si>
    <t>TL.E85X.C.ETHX.2015</t>
  </si>
  <si>
    <t>TLCETHX20</t>
  </si>
  <si>
    <t>TL.E85X.C.ETHX.2020</t>
  </si>
  <si>
    <t>TLCETHX25</t>
  </si>
  <si>
    <t>TL.E85X.C.ETHX.2025</t>
  </si>
  <si>
    <t>TLCETHX30</t>
  </si>
  <si>
    <t>TL.E85X.C.ETHX.2030</t>
  </si>
  <si>
    <t>TLCETHX35</t>
  </si>
  <si>
    <t>TL.E85X.C.ETHX.2035</t>
  </si>
  <si>
    <t>TLCETHX40</t>
  </si>
  <si>
    <t>TL.E85X.C.ETHX.2040</t>
  </si>
  <si>
    <t>TLCETHX45</t>
  </si>
  <si>
    <t>TL.E85X.C.ETHX.2045</t>
  </si>
  <si>
    <t>TLCETHX50</t>
  </si>
  <si>
    <t>TL.E85X.C.ETHX.2050</t>
  </si>
  <si>
    <t>TLCFCH05</t>
  </si>
  <si>
    <t>TL.H2.C.FCH.2005</t>
  </si>
  <si>
    <t>C.FCH</t>
  </si>
  <si>
    <t>TLCFCH10</t>
  </si>
  <si>
    <t>TL.H2.C.FCH.2010</t>
  </si>
  <si>
    <t>TLCFCH15</t>
  </si>
  <si>
    <t>TL.H2.C.FCH.2015</t>
  </si>
  <si>
    <t>TLCFCH20</t>
  </si>
  <si>
    <t>TL.H2.C.FCH.2020</t>
  </si>
  <si>
    <t>TLCFCH25</t>
  </si>
  <si>
    <t>TL.H2.C.FCH.2025</t>
  </si>
  <si>
    <t>TLCFCH30</t>
  </si>
  <si>
    <t>TL.H2.C.FCH.2030</t>
  </si>
  <si>
    <t>TLCFCH35</t>
  </si>
  <si>
    <t>TL.H2.C.FCH.2035</t>
  </si>
  <si>
    <t>TLCFCH40</t>
  </si>
  <si>
    <t>TL.H2.C.FCH.2040</t>
  </si>
  <si>
    <t>TLCFCH45</t>
  </si>
  <si>
    <t>TL.H2.C.FCH.2045</t>
  </si>
  <si>
    <t>TLCFCH50</t>
  </si>
  <si>
    <t>TL.H2.C.FCH.2050</t>
  </si>
  <si>
    <t>TLCHEV05</t>
  </si>
  <si>
    <t>TL.GSL.C.HEV.2005</t>
  </si>
  <si>
    <t>C.HEV</t>
  </si>
  <si>
    <t>TLCHEV10</t>
  </si>
  <si>
    <t>TL.GSL.C.HEV.2010</t>
  </si>
  <si>
    <t>TLCHEV15</t>
  </si>
  <si>
    <t>TL.GSL.C.HEV.2015</t>
  </si>
  <si>
    <t>TLCHEV20</t>
  </si>
  <si>
    <t>TL.GSL.C.HEV.2020</t>
  </si>
  <si>
    <t>TLCHEV25</t>
  </si>
  <si>
    <t>TL.GSL.C.HEV.2025</t>
  </si>
  <si>
    <t>TLCHEV30</t>
  </si>
  <si>
    <t>TL.GSL.C.HEV.2030</t>
  </si>
  <si>
    <t>TLCHEV35</t>
  </si>
  <si>
    <t>TL.GSL.C.HEV.2035</t>
  </si>
  <si>
    <t>TLCHEV40</t>
  </si>
  <si>
    <t>TL.GSL.C.HEV.2040</t>
  </si>
  <si>
    <t>TLCHEV45</t>
  </si>
  <si>
    <t>TL.GSL.C.HEV.2045</t>
  </si>
  <si>
    <t>TLCHEV50</t>
  </si>
  <si>
    <t>TL.GSL.C.HEV.2050</t>
  </si>
  <si>
    <t>TLCLPGX00</t>
  </si>
  <si>
    <t>TL.LPGX.C.LPGX.2000</t>
  </si>
  <si>
    <t>C.LPGX</t>
  </si>
  <si>
    <t>TLCLPGX05</t>
  </si>
  <si>
    <t>TL.LPGX.C.LPGX.2005</t>
  </si>
  <si>
    <t>TLCLPGX10</t>
  </si>
  <si>
    <t>TL.LPGX.C.LPGX.2010</t>
  </si>
  <si>
    <t>TLCLPGX15</t>
  </si>
  <si>
    <t>TL.LPGX.C.LPGX.2015</t>
  </si>
  <si>
    <t>TLCLPGX20</t>
  </si>
  <si>
    <t>TL.LPGX.C.LPGX.2020</t>
  </si>
  <si>
    <t>TLCLPGX25</t>
  </si>
  <si>
    <t>TL.LPGX.C.LPGX.2025</t>
  </si>
  <si>
    <t>TLCLPGX30</t>
  </si>
  <si>
    <t>TL.LPGX.C.LPGX.2030</t>
  </si>
  <si>
    <t>TLCLPGX35</t>
  </si>
  <si>
    <t>TL.LPGX.C.LPGX.2035</t>
  </si>
  <si>
    <t>TLCLPGX40</t>
  </si>
  <si>
    <t>TL.LPGX.C.LPGX.2040</t>
  </si>
  <si>
    <t>TLCLPGX45</t>
  </si>
  <si>
    <t>TL.LPGX.C.LPGX.2045</t>
  </si>
  <si>
    <t>TLCLPGX50</t>
  </si>
  <si>
    <t>TL.LPGX.C.LPGX.2050</t>
  </si>
  <si>
    <t>TLCPHVG10</t>
  </si>
  <si>
    <t>TL.GSL.C.PHVG.2010</t>
  </si>
  <si>
    <t>C.PHVG</t>
  </si>
  <si>
    <t>TLCPHVG15</t>
  </si>
  <si>
    <t>TL.GSL.C.PHVG.2015</t>
  </si>
  <si>
    <t>TLCPHVG20</t>
  </si>
  <si>
    <t>TL.GSL.C.PHVG.2020</t>
  </si>
  <si>
    <t>TLCPHVG25</t>
  </si>
  <si>
    <t>TL.GSL.C.PHVG.2025</t>
  </si>
  <si>
    <t>TLCPHVG30</t>
  </si>
  <si>
    <t>TL.GSL.C.PHVG.2030</t>
  </si>
  <si>
    <t>TLCPHVG35</t>
  </si>
  <si>
    <t>TL.GSL.C.PHVG.2035</t>
  </si>
  <si>
    <t>TLCPHVG40</t>
  </si>
  <si>
    <t>TL.GSL.C.PHVG.2040</t>
  </si>
  <si>
    <t>TLCPHVG45</t>
  </si>
  <si>
    <t>TL.GSL.C.PHVG.2045</t>
  </si>
  <si>
    <t>TLCPHVG50</t>
  </si>
  <si>
    <t>TL.GSL.C.PHVG.2050</t>
  </si>
  <si>
    <t>TLFCONV00</t>
  </si>
  <si>
    <t>TL.GSL.F.CONV.2000</t>
  </si>
  <si>
    <t>F.GSL</t>
  </si>
  <si>
    <t>TLFCONV05</t>
  </si>
  <si>
    <t>TL.GSL.F.CONV.2005</t>
  </si>
  <si>
    <t>TLFCONV10</t>
  </si>
  <si>
    <t>TL.GSL.F.CONV.2010</t>
  </si>
  <si>
    <t>TLFCONV15</t>
  </si>
  <si>
    <t>TL.GSL.F.CONV.2015</t>
  </si>
  <si>
    <t>TLFCONV20</t>
  </si>
  <si>
    <t>TL.GSL.F.CONV.2020</t>
  </si>
  <si>
    <t>TLFCONV25</t>
  </si>
  <si>
    <t>TL.GSL.F.CONV.2025</t>
  </si>
  <si>
    <t>TLFCONV30</t>
  </si>
  <si>
    <t>TL.GSL.F.CONV.2030</t>
  </si>
  <si>
    <t>TLFCONV35</t>
  </si>
  <si>
    <t>TL.GSL.F.CONV.2035</t>
  </si>
  <si>
    <t>TLFCONV40</t>
  </si>
  <si>
    <t>TL.GSL.F.CONV.2040</t>
  </si>
  <si>
    <t>TLFCONV45</t>
  </si>
  <si>
    <t>TL.GSL.F.CONV.2045</t>
  </si>
  <si>
    <t>TLFCONV50</t>
  </si>
  <si>
    <t>TL.GSL.F.CONV.2050</t>
  </si>
  <si>
    <t>TLFCNG00</t>
  </si>
  <si>
    <t>TL.CNG.F.CNG.2000</t>
  </si>
  <si>
    <t>F.CNG</t>
  </si>
  <si>
    <t>TLFCNG05</t>
  </si>
  <si>
    <t>TL.CNG.F.CNG.2005</t>
  </si>
  <si>
    <t>TLFCNG10</t>
  </si>
  <si>
    <t>TL.CNG.F.CNG.2010</t>
  </si>
  <si>
    <t>TLFCNG15</t>
  </si>
  <si>
    <t>TL.CNG.F.CNG.2015</t>
  </si>
  <si>
    <t>TLFCNG20</t>
  </si>
  <si>
    <t>TL.CNG.F.CNG.2020</t>
  </si>
  <si>
    <t>TLFCNG25</t>
  </si>
  <si>
    <t>TL.CNG.F.CNG.2025</t>
  </si>
  <si>
    <t>TLFCNG30</t>
  </si>
  <si>
    <t>TL.CNG.F.CNG.2030</t>
  </si>
  <si>
    <t>TLFCNG35</t>
  </si>
  <si>
    <t>TL.CNG.F.CNG.2035</t>
  </si>
  <si>
    <t>TLFCNG40</t>
  </si>
  <si>
    <t>TL.CNG.F.CNG.2040</t>
  </si>
  <si>
    <t>TLFCNG45</t>
  </si>
  <si>
    <t>TL.CNG.F.CNG.2045</t>
  </si>
  <si>
    <t>TLFCNG50</t>
  </si>
  <si>
    <t>TL.CNG.F.CNG.2050</t>
  </si>
  <si>
    <t>TLFCNGX00</t>
  </si>
  <si>
    <t>TL.CNGX.F.CNGX.2000</t>
  </si>
  <si>
    <t>F.CNGX</t>
  </si>
  <si>
    <t>TLFCNGX05</t>
  </si>
  <si>
    <t>TL.CNGX.F.CNGX.2005</t>
  </si>
  <si>
    <t>TLFCNGX10</t>
  </si>
  <si>
    <t>TL.CNGX.F.CNGX.2010</t>
  </si>
  <si>
    <t>TLFCNGX15</t>
  </si>
  <si>
    <t>TL.CNGX.F.CNGX.2015</t>
  </si>
  <si>
    <t>TLFCNGX20</t>
  </si>
  <si>
    <t>TL.CNGX.F.CNGX.2020</t>
  </si>
  <si>
    <t>TLFCNGX25</t>
  </si>
  <si>
    <t>TL.CNGX.F.CNGX.2025</t>
  </si>
  <si>
    <t>TLFCNGX30</t>
  </si>
  <si>
    <t>TL.CNGX.F.CNGX.2030</t>
  </si>
  <si>
    <t>TLFCNGX35</t>
  </si>
  <si>
    <t>TL.CNGX.F.CNGX.2035</t>
  </si>
  <si>
    <t>TLFCNGX40</t>
  </si>
  <si>
    <t>TL.CNGX.F.CNGX.2040</t>
  </si>
  <si>
    <t>TLFCNGX45</t>
  </si>
  <si>
    <t>TL.CNGX.F.CNGX.2045</t>
  </si>
  <si>
    <t>TLFCNGX50</t>
  </si>
  <si>
    <t>TL.CNGX.F.CNGX.2050</t>
  </si>
  <si>
    <t>TLFDHEV15</t>
  </si>
  <si>
    <t>TL.DSL.F.DHEV.2015</t>
  </si>
  <si>
    <t>F.DHEV</t>
  </si>
  <si>
    <t>TLFDHEV20</t>
  </si>
  <si>
    <t>TL.DSL.F.DHEV.2020</t>
  </si>
  <si>
    <t>TLFDHEV25</t>
  </si>
  <si>
    <t>TL.DSL.F.DHEV.2025</t>
  </si>
  <si>
    <t>TLFDHEV30</t>
  </si>
  <si>
    <t>TL.DSL.F.DHEV.2030</t>
  </si>
  <si>
    <t>TLFDHEV35</t>
  </si>
  <si>
    <t>TL.DSL.F.DHEV.2035</t>
  </si>
  <si>
    <t>TLFDHEV40</t>
  </si>
  <si>
    <t>TL.DSL.F.DHEV.2040</t>
  </si>
  <si>
    <t>TLFDHEV45</t>
  </si>
  <si>
    <t>TL.DSL.F.DHEV.2045</t>
  </si>
  <si>
    <t>TLFDHEV50</t>
  </si>
  <si>
    <t>TL.DSL.F.DHEV.2050</t>
  </si>
  <si>
    <t>TLFDSL00</t>
  </si>
  <si>
    <t>TL.DSL.F.DSL.2000</t>
  </si>
  <si>
    <t>F.DSL</t>
  </si>
  <si>
    <t>TLFDSL05</t>
  </si>
  <si>
    <t>TL.DSL.F.DSL.2005</t>
  </si>
  <si>
    <t>TLFDSL10</t>
  </si>
  <si>
    <t>TL.DSL.F.DSL.2010</t>
  </si>
  <si>
    <t>TLFDSL15</t>
  </si>
  <si>
    <t>TL.DSL.F.DSL.2015</t>
  </si>
  <si>
    <t>TLFDSL20</t>
  </si>
  <si>
    <t>TL.DSL.F.DSL.2020</t>
  </si>
  <si>
    <t>TLFDSL25</t>
  </si>
  <si>
    <t>TL.DSL.F.DSL.2025</t>
  </si>
  <si>
    <t>TLFDSL30</t>
  </si>
  <si>
    <t>TL.DSL.F.DSL.2030</t>
  </si>
  <si>
    <t>TLFDSL35</t>
  </si>
  <si>
    <t>TL.DSL.F.DSL.2035</t>
  </si>
  <si>
    <t>TLFDSL40</t>
  </si>
  <si>
    <t>TL.DSL.F.DSL.2040</t>
  </si>
  <si>
    <t>TLFDSL45</t>
  </si>
  <si>
    <t>TL.DSL.F.DSL.2045</t>
  </si>
  <si>
    <t>TLFDSL50</t>
  </si>
  <si>
    <t>TL.DSL.F.DSL.2050</t>
  </si>
  <si>
    <t>TLFETH10</t>
  </si>
  <si>
    <t>TL.E85X.F.ETH.2010</t>
  </si>
  <si>
    <t>F.ETH</t>
  </si>
  <si>
    <t>TLFETH15</t>
  </si>
  <si>
    <t>TL.E85X.F.ETH.2015</t>
  </si>
  <si>
    <t>TLFETH20</t>
  </si>
  <si>
    <t>TL.E85X.F.ETH.2020</t>
  </si>
  <si>
    <t>TLFETH25</t>
  </si>
  <si>
    <t>TL.E85X.F.ETH.2025</t>
  </si>
  <si>
    <t>TLFETH30</t>
  </si>
  <si>
    <t>TL.E85X.F.ETH.2030</t>
  </si>
  <si>
    <t>TLFETH35</t>
  </si>
  <si>
    <t>TL.E85X.F.ETH.2035</t>
  </si>
  <si>
    <t>TLFETH40</t>
  </si>
  <si>
    <t>TL.E85X.F.ETH.2040</t>
  </si>
  <si>
    <t>TLFETH45</t>
  </si>
  <si>
    <t>TL.E85X.F.ETH.2045</t>
  </si>
  <si>
    <t>TLFETH50</t>
  </si>
  <si>
    <t>TL.E85X.F.ETH.2050</t>
  </si>
  <si>
    <t>TLFETHX10</t>
  </si>
  <si>
    <t>TL.E85X.F.ETHX.2010</t>
  </si>
  <si>
    <t>F.ETHX</t>
  </si>
  <si>
    <t>TLFETHX15</t>
  </si>
  <si>
    <t>TL.E85X.F.ETHX.2015</t>
  </si>
  <si>
    <t>TLFETHX20</t>
  </si>
  <si>
    <t>TL.E85X.F.ETHX.2020</t>
  </si>
  <si>
    <t>TLFETHX25</t>
  </si>
  <si>
    <t>TL.E85X.F.ETHX.2025</t>
  </si>
  <si>
    <t>TLFETHX30</t>
  </si>
  <si>
    <t>TL.E85X.F.ETHX.2030</t>
  </si>
  <si>
    <t>TLFETHX35</t>
  </si>
  <si>
    <t>TL.E85X.F.ETHX.2035</t>
  </si>
  <si>
    <t>TLFETHX40</t>
  </si>
  <si>
    <t>TL.E85X.F.ETHX.2040</t>
  </si>
  <si>
    <t>TLFETHX45</t>
  </si>
  <si>
    <t>TL.E85X.F.ETHX.2045</t>
  </si>
  <si>
    <t>TLFETHX50</t>
  </si>
  <si>
    <t>TL.E85X.F.ETHX.2050</t>
  </si>
  <si>
    <t>TLFFCG10</t>
  </si>
  <si>
    <t>TL.GSL.F.FCG.2010</t>
  </si>
  <si>
    <t>F.FCG</t>
  </si>
  <si>
    <t>TLFFCG15</t>
  </si>
  <si>
    <t>TL.GSL.F.FCG.2015</t>
  </si>
  <si>
    <t>TLFFCG20</t>
  </si>
  <si>
    <t>TL.GSL.F.FCG.2020</t>
  </si>
  <si>
    <t>TLFFCG25</t>
  </si>
  <si>
    <t>TL.GSL.F.FCG.2025</t>
  </si>
  <si>
    <t>TLFFCG30</t>
  </si>
  <si>
    <t>TL.GSL.F.FCG.2030</t>
  </si>
  <si>
    <t>TLFFCG35</t>
  </si>
  <si>
    <t>TL.GSL.F.FCG.2035</t>
  </si>
  <si>
    <t>TLFFCG40</t>
  </si>
  <si>
    <t>TL.GSL.F.FCG.2040</t>
  </si>
  <si>
    <t>TLFFCG45</t>
  </si>
  <si>
    <t>TL.GSL.F.FCG.2045</t>
  </si>
  <si>
    <t>TLFFCG50</t>
  </si>
  <si>
    <t>TL.GSL.F.FCG.2050</t>
  </si>
  <si>
    <t>TLFFCH15</t>
  </si>
  <si>
    <t>TL.H2.F.FCH.2015</t>
  </si>
  <si>
    <t>F.FCH</t>
  </si>
  <si>
    <t>TLFFCH20</t>
  </si>
  <si>
    <t>TL.H2.F.FCH.2020</t>
  </si>
  <si>
    <t>TLFFCH25</t>
  </si>
  <si>
    <t>TL.H2.F.FCH.2025</t>
  </si>
  <si>
    <t>TLFFCH30</t>
  </si>
  <si>
    <t>TL.H2.F.FCH.2030</t>
  </si>
  <si>
    <t>TLFFCH35</t>
  </si>
  <si>
    <t>TL.H2.F.FCH.2035</t>
  </si>
  <si>
    <t>TLFFCH40</t>
  </si>
  <si>
    <t>TL.H2.F.FCH.2040</t>
  </si>
  <si>
    <t>TLFFCH45</t>
  </si>
  <si>
    <t>TL.H2.F.FCH.2045</t>
  </si>
  <si>
    <t>TLFFCH50</t>
  </si>
  <si>
    <t>TL.H2.F.FCH.2050</t>
  </si>
  <si>
    <t>TLFHEV05</t>
  </si>
  <si>
    <t>TL.GSL.F.HEV.2005</t>
  </si>
  <si>
    <t>F.HEV</t>
  </si>
  <si>
    <t>TLFHEV10</t>
  </si>
  <si>
    <t>TL.GSL.F.HEV.2010</t>
  </si>
  <si>
    <t>TLFHEV15</t>
  </si>
  <si>
    <t>TL.GSL.F.HEV.2015</t>
  </si>
  <si>
    <t>TLFHEV20</t>
  </si>
  <si>
    <t>TL.GSL.F.HEV.2020</t>
  </si>
  <si>
    <t>TLFHEV25</t>
  </si>
  <si>
    <t>TL.GSL.F.HEV.2025</t>
  </si>
  <si>
    <t>TLFHEV30</t>
  </si>
  <si>
    <t>TL.GSL.F.HEV.2030</t>
  </si>
  <si>
    <t>TLFHEV35</t>
  </si>
  <si>
    <t>TL.GSL.F.HEV.2035</t>
  </si>
  <si>
    <t>TLFHEV40</t>
  </si>
  <si>
    <t>TL.GSL.F.HEV.2040</t>
  </si>
  <si>
    <t>TLFHEV45</t>
  </si>
  <si>
    <t>TL.GSL.F.HEV.2045</t>
  </si>
  <si>
    <t>TLFHEV50</t>
  </si>
  <si>
    <t>TL.GSL.F.HEV.2050</t>
  </si>
  <si>
    <t>TLFLPGX00</t>
  </si>
  <si>
    <t>TL.LPGX.F.LPGX.2000</t>
  </si>
  <si>
    <t>F.LPGX</t>
  </si>
  <si>
    <t>TLFLPGX05</t>
  </si>
  <si>
    <t>TL.LPGX.F.LPGX.2005</t>
  </si>
  <si>
    <t>TLFLPGX10</t>
  </si>
  <si>
    <t>TL.LPGX.F.LPGX.2010</t>
  </si>
  <si>
    <t>TLFLPGX15</t>
  </si>
  <si>
    <t>TL.LPGX.F.LPGX.2015</t>
  </si>
  <si>
    <t>TLFLPGX20</t>
  </si>
  <si>
    <t>TL.LPGX.F.LPGX.2020</t>
  </si>
  <si>
    <t>TLFLPGX25</t>
  </si>
  <si>
    <t>TL.LPGX.F.LPGX.2025</t>
  </si>
  <si>
    <t>TLFLPGX30</t>
  </si>
  <si>
    <t>TL.LPGX.F.LPGX.2030</t>
  </si>
  <si>
    <t>TLFLPGX35</t>
  </si>
  <si>
    <t>TL.LPGX.F.LPGX.2035</t>
  </si>
  <si>
    <t>TLFLPGX40</t>
  </si>
  <si>
    <t>TL.LPGX.F.LPGX.2040</t>
  </si>
  <si>
    <t>TLFLPGX45</t>
  </si>
  <si>
    <t>TL.LPGX.F.LPGX.2045</t>
  </si>
  <si>
    <t>TLFLPGX50</t>
  </si>
  <si>
    <t>TL.LPGX.F.LPGX.2050</t>
  </si>
  <si>
    <t>TLFPHVG10</t>
  </si>
  <si>
    <t>TL.GSL.F.PHVG.2010</t>
  </si>
  <si>
    <t>F.PHVG</t>
  </si>
  <si>
    <t>TLFPHVG15</t>
  </si>
  <si>
    <t>TL.GSL.F.PHVG.2015</t>
  </si>
  <si>
    <t>TLFPHVG20</t>
  </si>
  <si>
    <t>TL.GSL.F.PHVG.2020</t>
  </si>
  <si>
    <t>TLFPHVG25</t>
  </si>
  <si>
    <t>TL.GSL.F.PHVG.2025</t>
  </si>
  <si>
    <t>TLFPHVG30</t>
  </si>
  <si>
    <t>TL.GSL.F.PHVG.2030</t>
  </si>
  <si>
    <t>TLFPHVG35</t>
  </si>
  <si>
    <t>TL.GSL.F.PHVG.2035</t>
  </si>
  <si>
    <t>TLFPHVG40</t>
  </si>
  <si>
    <t>TL.GSL.F.PHVG.2040</t>
  </si>
  <si>
    <t>TLFPHVG45</t>
  </si>
  <si>
    <t>TL.GSL.F.PHVG.2045</t>
  </si>
  <si>
    <t>TLFPHVG50</t>
  </si>
  <si>
    <t>TL.GSL.F.PHVG.2050</t>
  </si>
  <si>
    <t>TLMCONV00</t>
  </si>
  <si>
    <t>TL.GSL.M.CONV.2000</t>
  </si>
  <si>
    <t>M.GSL</t>
  </si>
  <si>
    <t>TLMCONV05</t>
  </si>
  <si>
    <t>TL.GSL.M.CONV.2005</t>
  </si>
  <si>
    <t>TLMCONV10</t>
  </si>
  <si>
    <t>TL.GSL.M.CONV.2010</t>
  </si>
  <si>
    <t>TLMCONV15</t>
  </si>
  <si>
    <t>TL.GSL.M.CONV.2015</t>
  </si>
  <si>
    <t>TLMCONV20</t>
  </si>
  <si>
    <t>TL.GSL.M.CONV.2020</t>
  </si>
  <si>
    <t>TLMCONV25</t>
  </si>
  <si>
    <t>TL.GSL.M.CONV.2025</t>
  </si>
  <si>
    <t>TLMCONV30</t>
  </si>
  <si>
    <t>TL.GSL.M.CONV.2030</t>
  </si>
  <si>
    <t>TLMCONV35</t>
  </si>
  <si>
    <t>TL.GSL.M.CONV.2035</t>
  </si>
  <si>
    <t>TLMCONV40</t>
  </si>
  <si>
    <t>TL.GSL.M.CONV.2040</t>
  </si>
  <si>
    <t>TLMCONV45</t>
  </si>
  <si>
    <t>TL.GSL.M.CONV.2045</t>
  </si>
  <si>
    <t>TLMCONV50</t>
  </si>
  <si>
    <t>TL.GSL.M.CONV.2050</t>
  </si>
  <si>
    <t>TLMCNG00</t>
  </si>
  <si>
    <t>TL.CNG.M.CNG.2000</t>
  </si>
  <si>
    <t>M.CNG</t>
  </si>
  <si>
    <t>TLMCNG05</t>
  </si>
  <si>
    <t>TL.CNG.M.CNG.2005</t>
  </si>
  <si>
    <t>TLMCNG10</t>
  </si>
  <si>
    <t>TL.CNG.M.CNG.2010</t>
  </si>
  <si>
    <t>TLMCNG15</t>
  </si>
  <si>
    <t>TL.CNG.M.CNG.2015</t>
  </si>
  <si>
    <t>TLMCNG20</t>
  </si>
  <si>
    <t>TL.CNG.M.CNG.2020</t>
  </si>
  <si>
    <t>TLMCNG25</t>
  </si>
  <si>
    <t>TL.CNG.M.CNG.2025</t>
  </si>
  <si>
    <t>TLMCNG30</t>
  </si>
  <si>
    <t>TL.CNG.M.CNG.2030</t>
  </si>
  <si>
    <t>TLMCNG35</t>
  </si>
  <si>
    <t>TL.CNG.M.CNG.2035</t>
  </si>
  <si>
    <t>TLMCNG40</t>
  </si>
  <si>
    <t>TL.CNG.M.CNG.2040</t>
  </si>
  <si>
    <t>TLMCNG45</t>
  </si>
  <si>
    <t>TL.CNG.M.CNG.2045</t>
  </si>
  <si>
    <t>TLMCNG50</t>
  </si>
  <si>
    <t>TL.CNG.M.CNG.2050</t>
  </si>
  <si>
    <t>TLMCNGX00</t>
  </si>
  <si>
    <t>TL.CNGX.M.CNGX.2000</t>
  </si>
  <si>
    <t>M.CNGX</t>
  </si>
  <si>
    <t>TLMCNGX05</t>
  </si>
  <si>
    <t>TL.CNGX.M.CNGX.2005</t>
  </si>
  <si>
    <t>TLMCNGX10</t>
  </si>
  <si>
    <t>TL.CNGX.M.CNGX.2010</t>
  </si>
  <si>
    <t>TLMCNGX15</t>
  </si>
  <si>
    <t>TL.CNGX.M.CNGX.2015</t>
  </si>
  <si>
    <t>TLMCNGX20</t>
  </si>
  <si>
    <t>TL.CNGX.M.CNGX.2020</t>
  </si>
  <si>
    <t>TLMCNGX25</t>
  </si>
  <si>
    <t>TL.CNGX.M.CNGX.2025</t>
  </si>
  <si>
    <t>TLMCNGX30</t>
  </si>
  <si>
    <t>TL.CNGX.M.CNGX.2030</t>
  </si>
  <si>
    <t>TLMCNGX35</t>
  </si>
  <si>
    <t>TL.CNGX.M.CNGX.2035</t>
  </si>
  <si>
    <t>TLMCNGX40</t>
  </si>
  <si>
    <t>TL.CNGX.M.CNGX.2040</t>
  </si>
  <si>
    <t>TLMCNGX45</t>
  </si>
  <si>
    <t>TL.CNGX.M.CNGX.2045</t>
  </si>
  <si>
    <t>TLMCNGX50</t>
  </si>
  <si>
    <t>TL.CNGX.M.CNGX.2050</t>
  </si>
  <si>
    <t>TLMDHEV15</t>
  </si>
  <si>
    <t>TL.DSL.M.DHEV.2015</t>
  </si>
  <si>
    <t>M.DHEV</t>
  </si>
  <si>
    <t>TLMDHEV20</t>
  </si>
  <si>
    <t>TL.DSL.M.DHEV.2020</t>
  </si>
  <si>
    <t>TLMDHEV25</t>
  </si>
  <si>
    <t>TL.DSL.M.DHEV.2025</t>
  </si>
  <si>
    <t>TLMDHEV30</t>
  </si>
  <si>
    <t>TL.DSL.M.DHEV.2030</t>
  </si>
  <si>
    <t>TLMDHEV35</t>
  </si>
  <si>
    <t>TL.DSL.M.DHEV.2035</t>
  </si>
  <si>
    <t>TLMDHEV40</t>
  </si>
  <si>
    <t>TL.DSL.M.DHEV.2040</t>
  </si>
  <si>
    <t>TLMDHEV45</t>
  </si>
  <si>
    <t>TL.DSL.M.DHEV.2045</t>
  </si>
  <si>
    <t>TLMDHEV50</t>
  </si>
  <si>
    <t>TL.DSL.M.DHEV.2050</t>
  </si>
  <si>
    <t>TLMDSL00</t>
  </si>
  <si>
    <t>TL.DSL.M.DSL.2000</t>
  </si>
  <si>
    <t>M.DSL</t>
  </si>
  <si>
    <t>TLMDSL05</t>
  </si>
  <si>
    <t>TL.DSL.M.DSL.2005</t>
  </si>
  <si>
    <t>TLMDSL10</t>
  </si>
  <si>
    <t>TL.DSL.M.DSL.2010</t>
  </si>
  <si>
    <t>TLMDSL15</t>
  </si>
  <si>
    <t>TL.DSL.M.DSL.2015</t>
  </si>
  <si>
    <t>TLMDSL20</t>
  </si>
  <si>
    <t>TL.DSL.M.DSL.2020</t>
  </si>
  <si>
    <t>TLMDSL25</t>
  </si>
  <si>
    <t>TL.DSL.M.DSL.2025</t>
  </si>
  <si>
    <t>TLMDSL30</t>
  </si>
  <si>
    <t>TL.DSL.M.DSL.2030</t>
  </si>
  <si>
    <t>TLMDSL35</t>
  </si>
  <si>
    <t>TL.DSL.M.DSL.2035</t>
  </si>
  <si>
    <t>TLMDSL40</t>
  </si>
  <si>
    <t>TL.DSL.M.DSL.2040</t>
  </si>
  <si>
    <t>TLMDSL45</t>
  </si>
  <si>
    <t>TL.DSL.M.DSL.2045</t>
  </si>
  <si>
    <t>TLMDSL50</t>
  </si>
  <si>
    <t>TL.DSL.M.DSL.2050</t>
  </si>
  <si>
    <t>TLMETHX05</t>
  </si>
  <si>
    <t>TL.E85X.M.ETHX.2005</t>
  </si>
  <si>
    <t>M.ETHX</t>
  </si>
  <si>
    <t>TLMETHX10</t>
  </si>
  <si>
    <t>TL.E85X.M.ETHX.2010</t>
  </si>
  <si>
    <t>TLMETHX15</t>
  </si>
  <si>
    <t>TL.E85X.M.ETHX.2015</t>
  </si>
  <si>
    <t>TLMETHX20</t>
  </si>
  <si>
    <t>TL.E85X.M.ETHX.2020</t>
  </si>
  <si>
    <t>TLMETHX25</t>
  </si>
  <si>
    <t>TL.E85X.M.ETHX.2025</t>
  </si>
  <si>
    <t>TLMETHX30</t>
  </si>
  <si>
    <t>TL.E85X.M.ETHX.2030</t>
  </si>
  <si>
    <t>TLMETHX35</t>
  </si>
  <si>
    <t>TL.E85X.M.ETHX.2035</t>
  </si>
  <si>
    <t>TLMETHX40</t>
  </si>
  <si>
    <t>TL.E85X.M.ETHX.2040</t>
  </si>
  <si>
    <t>TLMETHX45</t>
  </si>
  <si>
    <t>TL.E85X.M.ETHX.2045</t>
  </si>
  <si>
    <t>TLMETHX50</t>
  </si>
  <si>
    <t>TL.E85X.M.ETHX.2050</t>
  </si>
  <si>
    <t>TLMFCG15</t>
  </si>
  <si>
    <t>TL.GSL.M.FCG.2015</t>
  </si>
  <si>
    <t>M.FCG</t>
  </si>
  <si>
    <t>TLMFCG20</t>
  </si>
  <si>
    <t>TL.GSL.M.FCG.2020</t>
  </si>
  <si>
    <t>TLMFCG25</t>
  </si>
  <si>
    <t>TL.GSL.M.FCG.2025</t>
  </si>
  <si>
    <t>TLMFCG30</t>
  </si>
  <si>
    <t>TL.GSL.M.FCG.2030</t>
  </si>
  <si>
    <t>TLMFCG35</t>
  </si>
  <si>
    <t>TL.GSL.M.FCG.2035</t>
  </si>
  <si>
    <t>TLMFCG40</t>
  </si>
  <si>
    <t>TL.GSL.M.FCG.2040</t>
  </si>
  <si>
    <t>TLMFCG45</t>
  </si>
  <si>
    <t>TL.GSL.M.FCG.2045</t>
  </si>
  <si>
    <t>TLMFCG50</t>
  </si>
  <si>
    <t>TL.GSL.M.FCG.2050</t>
  </si>
  <si>
    <t>TLMFCH15</t>
  </si>
  <si>
    <t>TL.H2.M.FCH.2015</t>
  </si>
  <si>
    <t>M.FCH</t>
  </si>
  <si>
    <t>TLMFCH20</t>
  </si>
  <si>
    <t>TL.H2.M.FCH.2020</t>
  </si>
  <si>
    <t>TLMFCH25</t>
  </si>
  <si>
    <t>TL.H2.M.FCH.2025</t>
  </si>
  <si>
    <t>TLMFCH30</t>
  </si>
  <si>
    <t>TL.H2.M.FCH.2030</t>
  </si>
  <si>
    <t>TLMFCH35</t>
  </si>
  <si>
    <t>TL.H2.M.FCH.2035</t>
  </si>
  <si>
    <t>TLMFCH40</t>
  </si>
  <si>
    <t>TL.H2.M.FCH.2040</t>
  </si>
  <si>
    <t>TLMFCH45</t>
  </si>
  <si>
    <t>TL.H2.M.FCH.2045</t>
  </si>
  <si>
    <t>TLMFCH50</t>
  </si>
  <si>
    <t>TL.H2.M.FCH.2050</t>
  </si>
  <si>
    <t>TLMELC10</t>
  </si>
  <si>
    <t>TL.ELC.M.ELC.2010</t>
  </si>
  <si>
    <t>MC.ELC</t>
  </si>
  <si>
    <t>TLMELC15</t>
  </si>
  <si>
    <t>TL.ELC.M.ELC.2015</t>
  </si>
  <si>
    <t>TLMELC20</t>
  </si>
  <si>
    <t>TL.ELC.M.ELC.2020</t>
  </si>
  <si>
    <t>TLMELC25</t>
  </si>
  <si>
    <t>TL.ELC.M.ELC.2025</t>
  </si>
  <si>
    <t>TLMELC30</t>
  </si>
  <si>
    <t>TL.ELC.M.ELC.2030</t>
  </si>
  <si>
    <t>TLMELC35</t>
  </si>
  <si>
    <t>TL.ELC.M.ELC.2035</t>
  </si>
  <si>
    <t>TLMELC40</t>
  </si>
  <si>
    <t>TL.ELC.M.ELC.2040</t>
  </si>
  <si>
    <t>TLMELC45</t>
  </si>
  <si>
    <t>TL.ELC.M.ELC.2045</t>
  </si>
  <si>
    <t>TLMELC50</t>
  </si>
  <si>
    <t>TL.ELC.M.ELC.2050</t>
  </si>
  <si>
    <t>TLMHEV10</t>
  </si>
  <si>
    <t>TL.GSL.M.HEV.2010</t>
  </si>
  <si>
    <t>M.HEV</t>
  </si>
  <si>
    <t>TLMHEV15</t>
  </si>
  <si>
    <t>TL.GSL.M.HEV.2015</t>
  </si>
  <si>
    <t>TLMHEV20</t>
  </si>
  <si>
    <t>TL.GSL.M.HEV.2020</t>
  </si>
  <si>
    <t>TLMHEV25</t>
  </si>
  <si>
    <t>TL.GSL.M.HEV.2025</t>
  </si>
  <si>
    <t>TLMHEV30</t>
  </si>
  <si>
    <t>TL.GSL.M.HEV.2030</t>
  </si>
  <si>
    <t>TLMHEV35</t>
  </si>
  <si>
    <t>TL.GSL.M.HEV.2035</t>
  </si>
  <si>
    <t>TLMHEV40</t>
  </si>
  <si>
    <t>TL.GSL.M.HEV.2040</t>
  </si>
  <si>
    <t>TLMHEV45</t>
  </si>
  <si>
    <t>TL.GSL.M.HEV.2045</t>
  </si>
  <si>
    <t>TLMHEV50</t>
  </si>
  <si>
    <t>TL.GSL.M.HEV.2050</t>
  </si>
  <si>
    <t>TLMLPG00</t>
  </si>
  <si>
    <t>TL.LPG1.M.LPG.2000</t>
  </si>
  <si>
    <t>M.LPG</t>
  </si>
  <si>
    <t>TLMLPG05</t>
  </si>
  <si>
    <t>TL.LPG1.M.LPG.2005</t>
  </si>
  <si>
    <t>TLMLPG10</t>
  </si>
  <si>
    <t>TL.LPG1.M.LPG.2010</t>
  </si>
  <si>
    <t>TLMLPG15</t>
  </si>
  <si>
    <t>TL.LPG1.M.LPG.2015</t>
  </si>
  <si>
    <t>TLMLPG20</t>
  </si>
  <si>
    <t>TL.LPG1.M.LPG.2020</t>
  </si>
  <si>
    <t>TLMLPG25</t>
  </si>
  <si>
    <t>TL.LPG1.M.LPG.2025</t>
  </si>
  <si>
    <t>TLMLPG30</t>
  </si>
  <si>
    <t>TL.LPG1.M.LPG.2030</t>
  </si>
  <si>
    <t>TLMLPG35</t>
  </si>
  <si>
    <t>TL.LPG1.M.LPG.2035</t>
  </si>
  <si>
    <t>TLMLPG40</t>
  </si>
  <si>
    <t>TL.LPG1.M.LPG.2040</t>
  </si>
  <si>
    <t>TLMLPG45</t>
  </si>
  <si>
    <t>TL.LPG1.M.LPG.2045</t>
  </si>
  <si>
    <t>TLMLPG50</t>
  </si>
  <si>
    <t>TL.LPG1.M.LPG.2050</t>
  </si>
  <si>
    <t>TLMLPGX00</t>
  </si>
  <si>
    <t>TL.LPGX.M.LPGX.2000</t>
  </si>
  <si>
    <t>M.LPGX</t>
  </si>
  <si>
    <t>TLMLPGX05</t>
  </si>
  <si>
    <t>TL.LPGX.M.LPGX.2005</t>
  </si>
  <si>
    <t>TLMLPGX10</t>
  </si>
  <si>
    <t>TL.LPGX.M.LPGX.2010</t>
  </si>
  <si>
    <t>TLMLPGX15</t>
  </si>
  <si>
    <t>TL.LPGX.M.LPGX.2015</t>
  </si>
  <si>
    <t>TLMLPGX20</t>
  </si>
  <si>
    <t>TL.LPGX.M.LPGX.2020</t>
  </si>
  <si>
    <t>TLMLPGX25</t>
  </si>
  <si>
    <t>TL.LPGX.M.LPGX.2025</t>
  </si>
  <si>
    <t>TLMLPGX30</t>
  </si>
  <si>
    <t>TL.LPGX.M.LPGX.2030</t>
  </si>
  <si>
    <t>TLMLPGX35</t>
  </si>
  <si>
    <t>TL.LPGX.M.LPGX.2035</t>
  </si>
  <si>
    <t>TLMLPGX40</t>
  </si>
  <si>
    <t>TL.LPGX.M.LPGX.2040</t>
  </si>
  <si>
    <t>TLMLPGX45</t>
  </si>
  <si>
    <t>TL.LPGX.M.LPGX.2045</t>
  </si>
  <si>
    <t>TLMLPGX50</t>
  </si>
  <si>
    <t>TL.LPGX.M.LPGX.2050</t>
  </si>
  <si>
    <t>TLMPHVG10</t>
  </si>
  <si>
    <t>TL.GSL.M.PHVG.2010</t>
  </si>
  <si>
    <t>M.PHVG</t>
  </si>
  <si>
    <t>TLMPHVG15</t>
  </si>
  <si>
    <t>TL.GSL.M.PHVG.2015</t>
  </si>
  <si>
    <t>TLMPHVG20</t>
  </si>
  <si>
    <t>TL.GSL.M.PHVG.2020</t>
  </si>
  <si>
    <t>TLMPHVG25</t>
  </si>
  <si>
    <t>TL.GSL.M.PHVG.2025</t>
  </si>
  <si>
    <t>TLMPHVG30</t>
  </si>
  <si>
    <t>TL.GSL.M.PHVG.2030</t>
  </si>
  <si>
    <t>TLMPHVG35</t>
  </si>
  <si>
    <t>TL.GSL.M.PHVG.2035</t>
  </si>
  <si>
    <t>TLMPHVG40</t>
  </si>
  <si>
    <t>TL.GSL.M.PHVG.2040</t>
  </si>
  <si>
    <t>TLMPHVG45</t>
  </si>
  <si>
    <t>TL.GSL.M.PHVG.2045</t>
  </si>
  <si>
    <t>TLMPHVG50</t>
  </si>
  <si>
    <t>TL.GSL.M.PHVG.2050</t>
  </si>
  <si>
    <t>TLPCONV00</t>
  </si>
  <si>
    <t>TL.GSL.P.CONV.2000</t>
  </si>
  <si>
    <t>P.GSL</t>
  </si>
  <si>
    <t>TLPCONV05</t>
  </si>
  <si>
    <t>TL.GSL.P.CONV.2005</t>
  </si>
  <si>
    <t>TLPCONV10</t>
  </si>
  <si>
    <t>TL.GSL.P.CONV.2010</t>
  </si>
  <si>
    <t>TLPCONV15</t>
  </si>
  <si>
    <t>TL.GSL.P.CONV.2015</t>
  </si>
  <si>
    <t>TLPCONV20</t>
  </si>
  <si>
    <t>TL.GSL.P.CONV.2020</t>
  </si>
  <si>
    <t>TLPCONV25</t>
  </si>
  <si>
    <t>TL.GSL.P.CONV.2025</t>
  </si>
  <si>
    <t>TLPCONV30</t>
  </si>
  <si>
    <t>TL.GSL.P.CONV.2030</t>
  </si>
  <si>
    <t>TLPCONV35</t>
  </si>
  <si>
    <t>TL.GSL.P.CONV.2035</t>
  </si>
  <si>
    <t>TLPCONV40</t>
  </si>
  <si>
    <t>TL.GSL.P.CONV.2040</t>
  </si>
  <si>
    <t>TLPCONV45</t>
  </si>
  <si>
    <t>TL.GSL.P.CONV.2045</t>
  </si>
  <si>
    <t>TLPCONV50</t>
  </si>
  <si>
    <t>TL.GSL.P.CONV.2050</t>
  </si>
  <si>
    <t>TLPCNG00</t>
  </si>
  <si>
    <t>TL.CNG.P.CNG.2000</t>
  </si>
  <si>
    <t>P.CNG</t>
  </si>
  <si>
    <t>TLPCNG05</t>
  </si>
  <si>
    <t>TL.CNG.P.CNG.2005</t>
  </si>
  <si>
    <t>TLPCNG10</t>
  </si>
  <si>
    <t>TL.CNG.P.CNG.2010</t>
  </si>
  <si>
    <t>TLPCNG15</t>
  </si>
  <si>
    <t>TL.CNG.P.CNG.2015</t>
  </si>
  <si>
    <t>TLPCNG20</t>
  </si>
  <si>
    <t>TL.CNG.P.CNG.2020</t>
  </si>
  <si>
    <t>TLPCNG25</t>
  </si>
  <si>
    <t>TL.CNG.P.CNG.2025</t>
  </si>
  <si>
    <t>TLPCNG30</t>
  </si>
  <si>
    <t>TL.CNG.P.CNG.2030</t>
  </si>
  <si>
    <t>TLPCNG35</t>
  </si>
  <si>
    <t>TL.CNG.P.CNG.2035</t>
  </si>
  <si>
    <t>TLPCNG40</t>
  </si>
  <si>
    <t>TL.CNG.P.CNG.2040</t>
  </si>
  <si>
    <t>TLPCNG45</t>
  </si>
  <si>
    <t>TL.CNG.P.CNG.2045</t>
  </si>
  <si>
    <t>TLPCNG50</t>
  </si>
  <si>
    <t>TL.CNG.P.CNG.2050</t>
  </si>
  <si>
    <t>TLPCNGX00</t>
  </si>
  <si>
    <t>TL.CNGX.P.CNGX.2000</t>
  </si>
  <si>
    <t>P.CNGX</t>
  </si>
  <si>
    <t>TLPCNGX05</t>
  </si>
  <si>
    <t>TL.CNGX.P.CNGX.2005</t>
  </si>
  <si>
    <t>TLPCNGX10</t>
  </si>
  <si>
    <t>TL.CNGX.P.CNGX.2010</t>
  </si>
  <si>
    <t>TLPCNGX15</t>
  </si>
  <si>
    <t>TL.CNGX.P.CNGX.2015</t>
  </si>
  <si>
    <t>TLPCNGX20</t>
  </si>
  <si>
    <t>TL.CNGX.P.CNGX.2020</t>
  </si>
  <si>
    <t>TLPCNGX25</t>
  </si>
  <si>
    <t>TL.CNGX.P.CNGX.2025</t>
  </si>
  <si>
    <t>TLPCNGX30</t>
  </si>
  <si>
    <t>TL.CNGX.P.CNGX.2030</t>
  </si>
  <si>
    <t>TLPCNGX35</t>
  </si>
  <si>
    <t>TL.CNGX.P.CNGX.2035</t>
  </si>
  <si>
    <t>TLPCNGX40</t>
  </si>
  <si>
    <t>TL.CNGX.P.CNGX.2040</t>
  </si>
  <si>
    <t>TLPCNGX45</t>
  </si>
  <si>
    <t>TL.CNGX.P.CNGX.2045</t>
  </si>
  <si>
    <t>TLPCNGX50</t>
  </si>
  <si>
    <t>TL.CNGX.P.CNGX.2050</t>
  </si>
  <si>
    <t>TLPDSL00</t>
  </si>
  <si>
    <t>TL.DSL.P.DSL.2000</t>
  </si>
  <si>
    <t>P.DSL</t>
  </si>
  <si>
    <t>TLPDSL05</t>
  </si>
  <si>
    <t>TL.DSL.P.DSL.2005</t>
  </si>
  <si>
    <t>TLPDSL10</t>
  </si>
  <si>
    <t>TL.DSL.P.DSL.2010</t>
  </si>
  <si>
    <t>TLPDSL15</t>
  </si>
  <si>
    <t>TL.DSL.P.DSL.2015</t>
  </si>
  <si>
    <t>TLPDSL20</t>
  </si>
  <si>
    <t>TL.DSL.P.DSL.2020</t>
  </si>
  <si>
    <t>TLPDSL25</t>
  </si>
  <si>
    <t>TL.DSL.P.DSL.2025</t>
  </si>
  <si>
    <t>TLPDSL30</t>
  </si>
  <si>
    <t>TL.DSL.P.DSL.2030</t>
  </si>
  <si>
    <t>TLPDSL35</t>
  </si>
  <si>
    <t>TL.DSL.P.DSL.2035</t>
  </si>
  <si>
    <t>TLPDSL40</t>
  </si>
  <si>
    <t>TL.DSL.P.DSL.2040</t>
  </si>
  <si>
    <t>TLPDSL45</t>
  </si>
  <si>
    <t>TL.DSL.P.DSL.2045</t>
  </si>
  <si>
    <t>TLPDSL50</t>
  </si>
  <si>
    <t>TL.DSL.P.DSL.2050</t>
  </si>
  <si>
    <t>TLPETHX05</t>
  </si>
  <si>
    <t>TL.E85X.P.ETHX.2005</t>
  </si>
  <si>
    <t>P.ETHX</t>
  </si>
  <si>
    <t>TLPETHX10</t>
  </si>
  <si>
    <t>TL.E85X.P.ETHX.2010</t>
  </si>
  <si>
    <t>TLPETHX15</t>
  </si>
  <si>
    <t>TL.E85X.P.ETHX.2015</t>
  </si>
  <si>
    <t>TLPETHX20</t>
  </si>
  <si>
    <t>TL.E85X.P.ETHX.2020</t>
  </si>
  <si>
    <t>TLPETHX25</t>
  </si>
  <si>
    <t>TL.E85X.P.ETHX.2025</t>
  </si>
  <si>
    <t>TLPETHX30</t>
  </si>
  <si>
    <t>TL.E85X.P.ETHX.2030</t>
  </si>
  <si>
    <t>TLPETHX35</t>
  </si>
  <si>
    <t>TL.E85X.P.ETHX.2035</t>
  </si>
  <si>
    <t>TLPETHX40</t>
  </si>
  <si>
    <t>TL.E85X.P.ETHX.2040</t>
  </si>
  <si>
    <t>TLPETHX45</t>
  </si>
  <si>
    <t>TL.E85X.P.ETHX.2045</t>
  </si>
  <si>
    <t>TLPETHX50</t>
  </si>
  <si>
    <t>TL.E85X.P.ETHX.2050</t>
  </si>
  <si>
    <t>TLPHEV10</t>
  </si>
  <si>
    <t>TL.GSL.P.HEV.2010</t>
  </si>
  <si>
    <t>P.HEV</t>
  </si>
  <si>
    <t>TLPHEV15</t>
  </si>
  <si>
    <t>TL.GSL.P.HEV.2015</t>
  </si>
  <si>
    <t>TLPHEV20</t>
  </si>
  <si>
    <t>TL.GSL.P.HEV.2020</t>
  </si>
  <si>
    <t>TLPHEV25</t>
  </si>
  <si>
    <t>TL.GSL.P.HEV.2025</t>
  </si>
  <si>
    <t>TLPHEV30</t>
  </si>
  <si>
    <t>TL.GSL.P.HEV.2030</t>
  </si>
  <si>
    <t>TLPHEV35</t>
  </si>
  <si>
    <t>TL.GSL.P.HEV.2035</t>
  </si>
  <si>
    <t>TLPHEV40</t>
  </si>
  <si>
    <t>TL.GSL.P.HEV.2040</t>
  </si>
  <si>
    <t>TLPHEV45</t>
  </si>
  <si>
    <t>TL.GSL.P.HEV.2045</t>
  </si>
  <si>
    <t>TLPHEV50</t>
  </si>
  <si>
    <t>TL.GSL.P.HEV.2050</t>
  </si>
  <si>
    <t>TLPLPG00</t>
  </si>
  <si>
    <t>TL.LPG1.P.LPG.2000</t>
  </si>
  <si>
    <t>P.LPG</t>
  </si>
  <si>
    <t>TLPLPG05</t>
  </si>
  <si>
    <t>TL.LPG1.P.LPG.2005</t>
  </si>
  <si>
    <t>TLPLPG10</t>
  </si>
  <si>
    <t>TL.LPG1.P.LPG.2010</t>
  </si>
  <si>
    <t>TLPLPG15</t>
  </si>
  <si>
    <t>TL.LPG1.P.LPG.2015</t>
  </si>
  <si>
    <t>TLPLPG20</t>
  </si>
  <si>
    <t>TL.LPG1.P.LPG.2020</t>
  </si>
  <si>
    <t>TLPLPG25</t>
  </si>
  <si>
    <t>TL.LPG1.P.LPG.2025</t>
  </si>
  <si>
    <t>TLPLPG30</t>
  </si>
  <si>
    <t>TL.LPG1.P.LPG.2030</t>
  </si>
  <si>
    <t>TLPLPG35</t>
  </si>
  <si>
    <t>TL.LPG1.P.LPG.2035</t>
  </si>
  <si>
    <t>TLPLPG40</t>
  </si>
  <si>
    <t>TL.LPG1.P.LPG.2040</t>
  </si>
  <si>
    <t>TLPLPG45</t>
  </si>
  <si>
    <t>TL.LPG1.P.LPG.2045</t>
  </si>
  <si>
    <t>TLPLPG50</t>
  </si>
  <si>
    <t>TL.LPG1.P.LPG.2050</t>
  </si>
  <si>
    <t>TLPLPGX00</t>
  </si>
  <si>
    <t>TL.LPGX.P.LPGX.2000</t>
  </si>
  <si>
    <t>P.LPGX</t>
  </si>
  <si>
    <t>TLPLPGX05</t>
  </si>
  <si>
    <t>TL.LPGX.P.LPGX.2005</t>
  </si>
  <si>
    <t>TLPLPGX10</t>
  </si>
  <si>
    <t>TL.LPGX.P.LPGX.2010</t>
  </si>
  <si>
    <t>TLPLPGX15</t>
  </si>
  <si>
    <t>TL.LPGX.P.LPGX.2015</t>
  </si>
  <si>
    <t>TLPLPGX20</t>
  </si>
  <si>
    <t>TL.LPGX.P.LPGX.2020</t>
  </si>
  <si>
    <t>TLPLPGX25</t>
  </si>
  <si>
    <t>TL.LPGX.P.LPGX.2025</t>
  </si>
  <si>
    <t>TLPLPGX30</t>
  </si>
  <si>
    <t>TL.LPGX.P.LPGX.2030</t>
  </si>
  <si>
    <t>TLPLPGX35</t>
  </si>
  <si>
    <t>TL.LPGX.P.LPGX.2035</t>
  </si>
  <si>
    <t>TLPLPGX40</t>
  </si>
  <si>
    <t>TL.LPGX.P.LPGX.2040</t>
  </si>
  <si>
    <t>TLPLPGX45</t>
  </si>
  <si>
    <t>TL.LPGX.P.LPGX.2045</t>
  </si>
  <si>
    <t>TLPLPGX50</t>
  </si>
  <si>
    <t>TL.LPGX.P.LPGX.2050</t>
  </si>
  <si>
    <t>TLPPHVG10</t>
  </si>
  <si>
    <t>TL.GSL.P.PHVG.2010</t>
  </si>
  <si>
    <t>P.PHVG</t>
  </si>
  <si>
    <t>TLPPHVG15</t>
  </si>
  <si>
    <t>TL.GSL.P.PHVG.2015</t>
  </si>
  <si>
    <t>TLPPHVG20</t>
  </si>
  <si>
    <t>TL.GSL.P.PHVG.2020</t>
  </si>
  <si>
    <t>TLPPHVG25</t>
  </si>
  <si>
    <t>TL.GSL.P.PHVG.2025</t>
  </si>
  <si>
    <t>TLPPHVG30</t>
  </si>
  <si>
    <t>TL.GSL.P.PHVG.2030</t>
  </si>
  <si>
    <t>TLPPHVG35</t>
  </si>
  <si>
    <t>TL.GSL.P.PHVG.2035</t>
  </si>
  <si>
    <t>TLPPHVG40</t>
  </si>
  <si>
    <t>TL.GSL.P.PHVG.2040</t>
  </si>
  <si>
    <t>TLPPHVG45</t>
  </si>
  <si>
    <t>TL.GSL.P.PHVG.2045</t>
  </si>
  <si>
    <t>TLPPHVG50</t>
  </si>
  <si>
    <t>TL.GSL.P.PHVG.2050</t>
  </si>
  <si>
    <t>TLSSCONV00</t>
  </si>
  <si>
    <t>TL.GSL.SS.CONV.2000</t>
  </si>
  <si>
    <t>SS.GSL</t>
  </si>
  <si>
    <t>TLSSCONV05</t>
  </si>
  <si>
    <t>TL.GSL.SS.CONV.2005</t>
  </si>
  <si>
    <t>TLSSCONV10</t>
  </si>
  <si>
    <t>TL.GSL.SS.CONV.2010</t>
  </si>
  <si>
    <t>TLSSCONV15</t>
  </si>
  <si>
    <t>TL.GSL.SS.CONV.2015</t>
  </si>
  <si>
    <t>TLSSCONV20</t>
  </si>
  <si>
    <t>TL.GSL.SS.CONV.2020</t>
  </si>
  <si>
    <t>TLSSCONV25</t>
  </si>
  <si>
    <t>TL.GSL.SS.CONV.2025</t>
  </si>
  <si>
    <t>TLSSCONV30</t>
  </si>
  <si>
    <t>TL.GSL.SS.CONV.2030</t>
  </si>
  <si>
    <t>TLSSCONV35</t>
  </si>
  <si>
    <t>TL.GSL.SS.CONV.2035</t>
  </si>
  <si>
    <t>TLSSCONV40</t>
  </si>
  <si>
    <t>TL.GSL.SS.CONV.2040</t>
  </si>
  <si>
    <t>TLSSCONV45</t>
  </si>
  <si>
    <t>TL.GSL.SS.CONV.2045</t>
  </si>
  <si>
    <t>TLSSCONV50</t>
  </si>
  <si>
    <t>TL.GSL.SS.CONV.2050</t>
  </si>
  <si>
    <t>TLSSDHEV20</t>
  </si>
  <si>
    <t>TL.DSL.SS.DHEV.2020</t>
  </si>
  <si>
    <t>SS.DHEV</t>
  </si>
  <si>
    <t>TLSSDHEV25</t>
  </si>
  <si>
    <t>TL.DSL.SS.DHEV.2025</t>
  </si>
  <si>
    <t>TLSSDHEV30</t>
  </si>
  <si>
    <t>TL.DSL.SS.DHEV.2030</t>
  </si>
  <si>
    <t>TLSSDHEV35</t>
  </si>
  <si>
    <t>TL.DSL.SS.DHEV.2035</t>
  </si>
  <si>
    <t>TLSSDHEV40</t>
  </si>
  <si>
    <t>TL.DSL.SS.DHEV.2040</t>
  </si>
  <si>
    <t>TLSSDHEV45</t>
  </si>
  <si>
    <t>TL.DSL.SS.DHEV.2045</t>
  </si>
  <si>
    <t>TLSSDHEV50</t>
  </si>
  <si>
    <t>TL.DSL.SS.DHEV.2050</t>
  </si>
  <si>
    <t>TLSSDSL00</t>
  </si>
  <si>
    <t>TL.DSL.SS.DSL.2000</t>
  </si>
  <si>
    <t>SS.DSL</t>
  </si>
  <si>
    <t>TLSSDSL05</t>
  </si>
  <si>
    <t>TL.DSL.SS.DSL.2005</t>
  </si>
  <si>
    <t>TLSSDSL10</t>
  </si>
  <si>
    <t>TL.DSL.SS.DSL.2010</t>
  </si>
  <si>
    <t>TLSSDSL15</t>
  </si>
  <si>
    <t>TL.DSL.SS.DSL.2015</t>
  </si>
  <si>
    <t>TLSSDSL20</t>
  </si>
  <si>
    <t>TL.DSL.SS.DSL.2020</t>
  </si>
  <si>
    <t>TLSSDSL25</t>
  </si>
  <si>
    <t>TL.DSL.SS.DSL.2025</t>
  </si>
  <si>
    <t>TLSSDSL30</t>
  </si>
  <si>
    <t>TL.DSL.SS.DSL.2030</t>
  </si>
  <si>
    <t>TLSSDSL35</t>
  </si>
  <si>
    <t>TL.DSL.SS.DSL.2035</t>
  </si>
  <si>
    <t>TLSSDSL40</t>
  </si>
  <si>
    <t>TL.DSL.SS.DSL.2040</t>
  </si>
  <si>
    <t>TLSSDSL45</t>
  </si>
  <si>
    <t>TL.DSL.SS.DSL.2045</t>
  </si>
  <si>
    <t>TLSSDSL50</t>
  </si>
  <si>
    <t>TL.DSL.SS.DSL.2050</t>
  </si>
  <si>
    <t>TLSSELC00</t>
  </si>
  <si>
    <t>TL.ELC.SS.ELC.2000</t>
  </si>
  <si>
    <t>SS.ELC</t>
  </si>
  <si>
    <t>TLSSELC05</t>
  </si>
  <si>
    <t>TL.ELC.SS.ELC.2005</t>
  </si>
  <si>
    <t>TLSSELC10</t>
  </si>
  <si>
    <t>TL.ELC.SS.ELC.2010</t>
  </si>
  <si>
    <t>TLSSELC15</t>
  </si>
  <si>
    <t>TL.ELC.SS.ELC.2015</t>
  </si>
  <si>
    <t>TLSSELC20</t>
  </si>
  <si>
    <t>TL.ELC.SS.ELC.2020</t>
  </si>
  <si>
    <t>TLSSELC25</t>
  </si>
  <si>
    <t>TL.ELC.SS.ELC.2025</t>
  </si>
  <si>
    <t>TLSSELC30</t>
  </si>
  <si>
    <t>TL.ELC.SS.ELC.2030</t>
  </si>
  <si>
    <t>TLSSELC35</t>
  </si>
  <si>
    <t>TL.ELC.SS.ELC.2035</t>
  </si>
  <si>
    <t>TLSSELC40</t>
  </si>
  <si>
    <t>TL.ELC.SS.ELC.2040</t>
  </si>
  <si>
    <t>TLSSELC45</t>
  </si>
  <si>
    <t>TL.ELC.SS.ELC.2045</t>
  </si>
  <si>
    <t>TLSSELC50</t>
  </si>
  <si>
    <t>TL.ELC.SS.ELC.2050</t>
  </si>
  <si>
    <t>TLSSETHX10</t>
  </si>
  <si>
    <t>TL.E85X.SS.ETHX.2010</t>
  </si>
  <si>
    <t>SS.ETHX</t>
  </si>
  <si>
    <t>TLSSETHX15</t>
  </si>
  <si>
    <t>TL.E85X.SS.ETHX.2015</t>
  </si>
  <si>
    <t>TLSSETHX20</t>
  </si>
  <si>
    <t>TL.E85X.SS.ETHX.2020</t>
  </si>
  <si>
    <t>TLSSETHX25</t>
  </si>
  <si>
    <t>TL.E85X.SS.ETHX.2025</t>
  </si>
  <si>
    <t>TLSSETHX30</t>
  </si>
  <si>
    <t>TL.E85X.SS.ETHX.2030</t>
  </si>
  <si>
    <t>TLSSETHX35</t>
  </si>
  <si>
    <t>TL.E85X.SS.ETHX.2035</t>
  </si>
  <si>
    <t>TLSSETHX40</t>
  </si>
  <si>
    <t>TL.E85X.SS.ETHX.2040</t>
  </si>
  <si>
    <t>TLSSETHX45</t>
  </si>
  <si>
    <t>TL.E85X.SS.ETHX.2045</t>
  </si>
  <si>
    <t>TLSSETHX50</t>
  </si>
  <si>
    <t>TL.E85X.SS.ETHX.2050</t>
  </si>
  <si>
    <t>TLSSFCG15</t>
  </si>
  <si>
    <t>TL.GSL.SS.FCG.2015</t>
  </si>
  <si>
    <t>SS.FCG</t>
  </si>
  <si>
    <t>TLSSFCG20</t>
  </si>
  <si>
    <t>TL.GSL.SS.FCG.2020</t>
  </si>
  <si>
    <t>TLSSFCG25</t>
  </si>
  <si>
    <t>TL.GSL.SS.FCG.2025</t>
  </si>
  <si>
    <t>TLSSFCG30</t>
  </si>
  <si>
    <t>TL.GSL.SS.FCG.2030</t>
  </si>
  <si>
    <t>TLSSFCG35</t>
  </si>
  <si>
    <t>TL.GSL.SS.FCG.2035</t>
  </si>
  <si>
    <t>TLSSFCG40</t>
  </si>
  <si>
    <t>TL.GSL.SS.FCG.2040</t>
  </si>
  <si>
    <t>TLSSFCG45</t>
  </si>
  <si>
    <t>TL.GSL.SS.FCG.2045</t>
  </si>
  <si>
    <t>TLSSFCG50</t>
  </si>
  <si>
    <t>TL.GSL.SS.FCG.2050</t>
  </si>
  <si>
    <t>TLSSFCH05</t>
  </si>
  <si>
    <t>TL.H2.SS.FCH.2005</t>
  </si>
  <si>
    <t>SS.FCH</t>
  </si>
  <si>
    <t>TLSSFCH10</t>
  </si>
  <si>
    <t>TL.H2.SS.FCH.2010</t>
  </si>
  <si>
    <t>TLSSFCH15</t>
  </si>
  <si>
    <t>TL.H2.SS.FCH.2015</t>
  </si>
  <si>
    <t>TLSSFCH20</t>
  </si>
  <si>
    <t>TL.H2.SS.FCH.2020</t>
  </si>
  <si>
    <t>TLSSFCH25</t>
  </si>
  <si>
    <t>TL.H2.SS.FCH.2025</t>
  </si>
  <si>
    <t>TLSSFCH30</t>
  </si>
  <si>
    <t>TL.H2.SS.FCH.2030</t>
  </si>
  <si>
    <t>TLSSFCH35</t>
  </si>
  <si>
    <t>TL.H2.SS.FCH.2035</t>
  </si>
  <si>
    <t>TLSSFCH40</t>
  </si>
  <si>
    <t>TL.H2.SS.FCH.2040</t>
  </si>
  <si>
    <t>TLSSFCH45</t>
  </si>
  <si>
    <t>TL.H2.SS.FCH.2045</t>
  </si>
  <si>
    <t>TLSSFCH50</t>
  </si>
  <si>
    <t>TL.H2.SS.FCH.2050</t>
  </si>
  <si>
    <t>TLSSHEV10</t>
  </si>
  <si>
    <t>TL.GSL.SS.HEV.2010</t>
  </si>
  <si>
    <t>SS.HEV</t>
  </si>
  <si>
    <t>TLSSHEV15</t>
  </si>
  <si>
    <t>TL.GSL.SS.HEV.2015</t>
  </si>
  <si>
    <t>TLSSHEV20</t>
  </si>
  <si>
    <t>TL.GSL.SS.HEV.2020</t>
  </si>
  <si>
    <t>TLSSHEV25</t>
  </si>
  <si>
    <t>TL.GSL.SS.HEV.2025</t>
  </si>
  <si>
    <t>TLSSHEV30</t>
  </si>
  <si>
    <t>TL.GSL.SS.HEV.2030</t>
  </si>
  <si>
    <t>TLSSHEV35</t>
  </si>
  <si>
    <t>TL.GSL.SS.HEV.2035</t>
  </si>
  <si>
    <t>TLSSHEV40</t>
  </si>
  <si>
    <t>TL.GSL.SS.HEV.2040</t>
  </si>
  <si>
    <t>TLSSHEV45</t>
  </si>
  <si>
    <t>TL.GSL.SS.HEV.2045</t>
  </si>
  <si>
    <t>TLSSHEV50</t>
  </si>
  <si>
    <t>TL.GSL.SS.HEV.2050</t>
  </si>
  <si>
    <t>TLSSPHVG10</t>
  </si>
  <si>
    <t>TL.GSL.SS.PHVG.2010</t>
  </si>
  <si>
    <t>SS.PHVG</t>
  </si>
  <si>
    <t>TLSSPHVG15</t>
  </si>
  <si>
    <t>TL.GSL.SS.PHVG.2015</t>
  </si>
  <si>
    <t>TLSSPHVG20</t>
  </si>
  <si>
    <t>TL.GSL.SS.PHVG.2020</t>
  </si>
  <si>
    <t>TLSSPHVG25</t>
  </si>
  <si>
    <t>TL.GSL.SS.PHVG.2025</t>
  </si>
  <si>
    <t>TLSSPHVG30</t>
  </si>
  <si>
    <t>TL.GSL.SS.PHVG.2030</t>
  </si>
  <si>
    <t>TLSSPHVG35</t>
  </si>
  <si>
    <t>TL.GSL.SS.PHVG.2035</t>
  </si>
  <si>
    <t>TLSSPHVG40</t>
  </si>
  <si>
    <t>TL.GSL.SS.PHVG.2040</t>
  </si>
  <si>
    <t>TLSSPHVG45</t>
  </si>
  <si>
    <t>TL.GSL.SS.PHVG.2045</t>
  </si>
  <si>
    <t>TLSSPHVG50</t>
  </si>
  <si>
    <t>TL.GSL.SS.PHVG.2050</t>
  </si>
  <si>
    <t>TLLSCONV00</t>
  </si>
  <si>
    <t>TL.GSL.LS.CONV.2000</t>
  </si>
  <si>
    <t>LS.GSL</t>
  </si>
  <si>
    <t>TLLSCONV05</t>
  </si>
  <si>
    <t>TL.GSL.LS.CONV.2005</t>
  </si>
  <si>
    <t>TLLSCONV10</t>
  </si>
  <si>
    <t>TL.GSL.LS.CONV.2010</t>
  </si>
  <si>
    <t>TLLSCONV15</t>
  </si>
  <si>
    <t>TL.GSL.LS.CONV.2015</t>
  </si>
  <si>
    <t>TLLSCONV20</t>
  </si>
  <si>
    <t>TL.GSL.LS.CONV.2020</t>
  </si>
  <si>
    <t>TLLSCONV25</t>
  </si>
  <si>
    <t>TL.GSL.LS.CONV.2025</t>
  </si>
  <si>
    <t>TLLSCONV30</t>
  </si>
  <si>
    <t>TL.GSL.LS.CONV.2030</t>
  </si>
  <si>
    <t>TLLSCONV35</t>
  </si>
  <si>
    <t>TL.GSL.LS.CONV.2035</t>
  </si>
  <si>
    <t>TLLSCONV40</t>
  </si>
  <si>
    <t>TL.GSL.LS.CONV.2040</t>
  </si>
  <si>
    <t>TLLSCONV45</t>
  </si>
  <si>
    <t>TL.GSL.LS.CONV.2045</t>
  </si>
  <si>
    <t>TLLSCONV50</t>
  </si>
  <si>
    <t>TL.GSL.LS.CONV.2050</t>
  </si>
  <si>
    <t>TLLSDHEV20</t>
  </si>
  <si>
    <t>TL.DSL.LS.DHEV.2020</t>
  </si>
  <si>
    <t>LS.DHEV</t>
  </si>
  <si>
    <t>TLLSDHEV25</t>
  </si>
  <si>
    <t>TL.DSL.LS.DHEV.2025</t>
  </si>
  <si>
    <t>TLLSDHEV30</t>
  </si>
  <si>
    <t>TL.DSL.LS.DHEV.2030</t>
  </si>
  <si>
    <t>TLLSDHEV35</t>
  </si>
  <si>
    <t>TL.DSL.LS.DHEV.2035</t>
  </si>
  <si>
    <t>TLLSDHEV40</t>
  </si>
  <si>
    <t>TL.DSL.LS.DHEV.2040</t>
  </si>
  <si>
    <t>TLLSDHEV45</t>
  </si>
  <si>
    <t>TL.DSL.LS.DHEV.2045</t>
  </si>
  <si>
    <t>TLLSDHEV50</t>
  </si>
  <si>
    <t>TL.DSL.LS.DHEV.2050</t>
  </si>
  <si>
    <t>TLLSDSL00</t>
  </si>
  <si>
    <t>TL.DSL.LS.DSL.2000</t>
  </si>
  <si>
    <t>LS.DSL</t>
  </si>
  <si>
    <t>TLLSDSL05</t>
  </si>
  <si>
    <t>TL.DSL.LS.DSL.2005</t>
  </si>
  <si>
    <t>TLLSDSL10</t>
  </si>
  <si>
    <t>TL.DSL.LS.DSL.2010</t>
  </si>
  <si>
    <t>TLLSDSL15</t>
  </si>
  <si>
    <t>TL.DSL.LS.DSL.2015</t>
  </si>
  <si>
    <t>TLLSDSL20</t>
  </si>
  <si>
    <t>TL.DSL.LS.DSL.2020</t>
  </si>
  <si>
    <t>TLLSDSL25</t>
  </si>
  <si>
    <t>TL.DSL.LS.DSL.2025</t>
  </si>
  <si>
    <t>TLLSDSL30</t>
  </si>
  <si>
    <t>TL.DSL.LS.DSL.2030</t>
  </si>
  <si>
    <t>TLLSDSL35</t>
  </si>
  <si>
    <t>TL.DSL.LS.DSL.2035</t>
  </si>
  <si>
    <t>TLLSDSL40</t>
  </si>
  <si>
    <t>TL.DSL.LS.DSL.2040</t>
  </si>
  <si>
    <t>TLLSDSL45</t>
  </si>
  <si>
    <t>TL.DSL.LS.DSL.2045</t>
  </si>
  <si>
    <t>TLLSDSL50</t>
  </si>
  <si>
    <t>TL.DSL.LS.DSL.2050</t>
  </si>
  <si>
    <t>TLLSETHX00</t>
  </si>
  <si>
    <t>TL.E85X.LS.ETHX.2000</t>
  </si>
  <si>
    <t>LS.ETHX</t>
  </si>
  <si>
    <t>TLLSETHX05</t>
  </si>
  <si>
    <t>TL.E85X.LS.ETHX.2005</t>
  </si>
  <si>
    <t>TLLSETHX10</t>
  </si>
  <si>
    <t>TL.E85X.LS.ETHX.2010</t>
  </si>
  <si>
    <t>TLLSETHX15</t>
  </si>
  <si>
    <t>TL.E85X.LS.ETHX.2015</t>
  </si>
  <si>
    <t>TLLSETHX20</t>
  </si>
  <si>
    <t>TL.E85X.LS.ETHX.2020</t>
  </si>
  <si>
    <t>TLLSETHX25</t>
  </si>
  <si>
    <t>TL.E85X.LS.ETHX.2025</t>
  </si>
  <si>
    <t>TLLSETHX30</t>
  </si>
  <si>
    <t>TL.E85X.LS.ETHX.2030</t>
  </si>
  <si>
    <t>TLLSETHX35</t>
  </si>
  <si>
    <t>TL.E85X.LS.ETHX.2035</t>
  </si>
  <si>
    <t>TLLSETHX40</t>
  </si>
  <si>
    <t>TL.E85X.LS.ETHX.2040</t>
  </si>
  <si>
    <t>TLLSETHX45</t>
  </si>
  <si>
    <t>TL.E85X.LS.ETHX.2045</t>
  </si>
  <si>
    <t>TLLSETHX50</t>
  </si>
  <si>
    <t>TL.E85X.LS.ETHX.2050</t>
  </si>
  <si>
    <t>TLLSFCH25</t>
  </si>
  <si>
    <t>TL.H2.LS.FCH.2025</t>
  </si>
  <si>
    <t>LS.FCH</t>
  </si>
  <si>
    <t>TLLSFCH30</t>
  </si>
  <si>
    <t>TL.H2.LS.FCH.2030</t>
  </si>
  <si>
    <t>TLLSFCH35</t>
  </si>
  <si>
    <t>TL.H2.LS.FCH.2035</t>
  </si>
  <si>
    <t>TLLSFCH40</t>
  </si>
  <si>
    <t>TL.H2.LS.FCH.2040</t>
  </si>
  <si>
    <t>TLLSFCH45</t>
  </si>
  <si>
    <t>TL.H2.LS.FCH.2045</t>
  </si>
  <si>
    <t>TLLSFCH50</t>
  </si>
  <si>
    <t>TL.H2.LS.FCH.2050</t>
  </si>
  <si>
    <t>TLLSHEV00</t>
  </si>
  <si>
    <t>TL.GSL.LS.HEV.2000</t>
  </si>
  <si>
    <t>LS.HEV</t>
  </si>
  <si>
    <t>TLLSHEV05</t>
  </si>
  <si>
    <t>TL.GSL.LS.HEV.2005</t>
  </si>
  <si>
    <t>TLLSHEV10</t>
  </si>
  <si>
    <t>TL.GSL.LS.HEV.2010</t>
  </si>
  <si>
    <t>TLLSHEV15</t>
  </si>
  <si>
    <t>TL.GSL.LS.HEV.2015</t>
  </si>
  <si>
    <t>TLLSHEV20</t>
  </si>
  <si>
    <t>TL.GSL.LS.HEV.2020</t>
  </si>
  <si>
    <t>TLLSHEV25</t>
  </si>
  <si>
    <t>TL.GSL.LS.HEV.2025</t>
  </si>
  <si>
    <t>TLLSHEV30</t>
  </si>
  <si>
    <t>TL.GSL.LS.HEV.2030</t>
  </si>
  <si>
    <t>TLLSHEV35</t>
  </si>
  <si>
    <t>TL.GSL.LS.HEV.2035</t>
  </si>
  <si>
    <t>TLLSHEV40</t>
  </si>
  <si>
    <t>TL.GSL.LS.HEV.2040</t>
  </si>
  <si>
    <t>TLLSHEV45</t>
  </si>
  <si>
    <t>TL.GSL.LS.HEV.2045</t>
  </si>
  <si>
    <t>TLLSHEV50</t>
  </si>
  <si>
    <t>TL.GSL.LS.HEV.2050</t>
  </si>
  <si>
    <t>TLLSPHVG10</t>
  </si>
  <si>
    <t>TL.GSL.LS.PHVG.2010</t>
  </si>
  <si>
    <t>LS.PHVG</t>
  </si>
  <si>
    <t>TLLSPHVG15</t>
  </si>
  <si>
    <t>TL.GSL.LS.PHVG.2015</t>
  </si>
  <si>
    <t>TLLSPHVG20</t>
  </si>
  <si>
    <t>TL.GSL.LS.PHVG.2020</t>
  </si>
  <si>
    <t>TLLSPHVG25</t>
  </si>
  <si>
    <t>TL.GSL.LS.PHVG.2025</t>
  </si>
  <si>
    <t>TLLSPHVG30</t>
  </si>
  <si>
    <t>TL.GSL.LS.PHVG.2030</t>
  </si>
  <si>
    <t>TLLSPHVG35</t>
  </si>
  <si>
    <t>TL.GSL.LS.PHVG.2035</t>
  </si>
  <si>
    <t>TLLSPHVG40</t>
  </si>
  <si>
    <t>TL.GSL.LS.PHVG.2040</t>
  </si>
  <si>
    <t>TLLSPHVG45</t>
  </si>
  <si>
    <t>TL.GSL.LS.PHVG.2045</t>
  </si>
  <si>
    <t>TLLSPHVG50</t>
  </si>
  <si>
    <t>TL.GSL.LS.PHVG.2050</t>
  </si>
  <si>
    <t>TLMCHE8510</t>
  </si>
  <si>
    <t>TL.E85X.MC.HE85.2010</t>
  </si>
  <si>
    <t>MC.HE85</t>
  </si>
  <si>
    <t>TLMCHE8515</t>
  </si>
  <si>
    <t>TL.E85X.MC.HE85.2015</t>
  </si>
  <si>
    <t>TLMCHE8520</t>
  </si>
  <si>
    <t>TL.E85X.MC.HE85.2020</t>
  </si>
  <si>
    <t>TLMCHE8525</t>
  </si>
  <si>
    <t>TL.E85X.MC.HE85.2025</t>
  </si>
  <si>
    <t>TLMCHE8530</t>
  </si>
  <si>
    <t>TL.E85X.MC.HE85.2030</t>
  </si>
  <si>
    <t>TLMCHE8535</t>
  </si>
  <si>
    <t>TL.E85X.MC.HE85.2035</t>
  </si>
  <si>
    <t>TLMCHE8540</t>
  </si>
  <si>
    <t>TL.E85X.MC.HE85.2040</t>
  </si>
  <si>
    <t>TLMCHE8545</t>
  </si>
  <si>
    <t>TL.E85X.MC.HE85.2045</t>
  </si>
  <si>
    <t>TLMCHE8550</t>
  </si>
  <si>
    <t>TL.E85X.MC.HE85.2050</t>
  </si>
  <si>
    <t>TLCHE8510</t>
  </si>
  <si>
    <t>TL.E85X.C.HE85.2010</t>
  </si>
  <si>
    <t>C.HE85</t>
  </si>
  <si>
    <t>TLCHE8515</t>
  </si>
  <si>
    <t>TL.E85X.C.HE85.2015</t>
  </si>
  <si>
    <t>TLCHE8520</t>
  </si>
  <si>
    <t>TL.E85X.C.HE85.2020</t>
  </si>
  <si>
    <t>TLCHE8525</t>
  </si>
  <si>
    <t>TL.E85X.C.HE85.2025</t>
  </si>
  <si>
    <t>TLCHE8530</t>
  </si>
  <si>
    <t>TL.E85X.C.HE85.2030</t>
  </si>
  <si>
    <t>TLCHE8535</t>
  </si>
  <si>
    <t>TL.E85X.C.HE85.2035</t>
  </si>
  <si>
    <t>TLCHE8540</t>
  </si>
  <si>
    <t>TL.E85X.C.HE85.2040</t>
  </si>
  <si>
    <t>TLCHE8545</t>
  </si>
  <si>
    <t>TL.E85X.C.HE85.2045</t>
  </si>
  <si>
    <t>TLCHE8550</t>
  </si>
  <si>
    <t>TL.E85X.C.HE85.2050</t>
  </si>
  <si>
    <t>TLFHE8510</t>
  </si>
  <si>
    <t>TL.E85X.F.HE85.2010</t>
  </si>
  <si>
    <t>F.HE85</t>
  </si>
  <si>
    <t>TLFHE8515</t>
  </si>
  <si>
    <t>TL.E85X.F.HE85.2015</t>
  </si>
  <si>
    <t>TLFHE8520</t>
  </si>
  <si>
    <t>TL.E85X.F.HE85.2020</t>
  </si>
  <si>
    <t>TLFHE8525</t>
  </si>
  <si>
    <t>TL.E85X.F.HE85.2025</t>
  </si>
  <si>
    <t>TLFHE8530</t>
  </si>
  <si>
    <t>TL.E85X.F.HE85.2030</t>
  </si>
  <si>
    <t>TLFHE8535</t>
  </si>
  <si>
    <t>TL.E85X.F.HE85.2035</t>
  </si>
  <si>
    <t>TLFHE8540</t>
  </si>
  <si>
    <t>TL.E85X.F.HE85.2040</t>
  </si>
  <si>
    <t>TLFHE8545</t>
  </si>
  <si>
    <t>TL.E85X.F.HE85.2045</t>
  </si>
  <si>
    <t>TLFHE8550</t>
  </si>
  <si>
    <t>TL.E85X.F.HE85.2050</t>
  </si>
  <si>
    <t>TLPHE8510</t>
  </si>
  <si>
    <t>TL.E85X.P.HE85.2010</t>
  </si>
  <si>
    <t>P.HE85</t>
  </si>
  <si>
    <t>TLPHE8515</t>
  </si>
  <si>
    <t>TL.E85X.P.HE85.2015</t>
  </si>
  <si>
    <t>TLPHE8520</t>
  </si>
  <si>
    <t>TL.E85X.P.HE85.2020</t>
  </si>
  <si>
    <t>TLPHE8525</t>
  </si>
  <si>
    <t>TL.E85X.P.HE85.2025</t>
  </si>
  <si>
    <t>TLPHE8530</t>
  </si>
  <si>
    <t>TL.E85X.P.HE85.2030</t>
  </si>
  <si>
    <t>TLPHE8535</t>
  </si>
  <si>
    <t>TL.E85X.P.HE85.2035</t>
  </si>
  <si>
    <t>TLPHE8540</t>
  </si>
  <si>
    <t>TL.E85X.P.HE85.2040</t>
  </si>
  <si>
    <t>TLPHE8545</t>
  </si>
  <si>
    <t>TL.E85X.P.HE85.2045</t>
  </si>
  <si>
    <t>TLPHE8550</t>
  </si>
  <si>
    <t>TL.E85X.P.HE85.2050</t>
  </si>
  <si>
    <t>TLMHE8510</t>
  </si>
  <si>
    <t>TL.E85X.M.HE85.2010</t>
  </si>
  <si>
    <t>M.HE85</t>
  </si>
  <si>
    <t>TLMHE8515</t>
  </si>
  <si>
    <t>TL.E85X.M.HE85.2015</t>
  </si>
  <si>
    <t>TLMHE8520</t>
  </si>
  <si>
    <t>TL.E85X.M.HE85.2020</t>
  </si>
  <si>
    <t>TLMHE8525</t>
  </si>
  <si>
    <t>TL.E85X.M.HE85.2025</t>
  </si>
  <si>
    <t>TLMHE8530</t>
  </si>
  <si>
    <t>TL.E85X.M.HE85.2030</t>
  </si>
  <si>
    <t>TLMHE8535</t>
  </si>
  <si>
    <t>TL.E85X.M.HE85.2035</t>
  </si>
  <si>
    <t>TLMHE8540</t>
  </si>
  <si>
    <t>TL.E85X.M.HE85.2040</t>
  </si>
  <si>
    <t>TLMHE8545</t>
  </si>
  <si>
    <t>TL.E85X.M.HE85.2045</t>
  </si>
  <si>
    <t>TLMHE8550</t>
  </si>
  <si>
    <t>TL.E85X.M.HE85.2050</t>
  </si>
  <si>
    <t>TLLSHE8510</t>
  </si>
  <si>
    <t>TL.E85X.LS.HE85.2010</t>
  </si>
  <si>
    <t>LS.HE85</t>
  </si>
  <si>
    <t>TLLSHE8515</t>
  </si>
  <si>
    <t>TL.E85X.LS.HE85.2015</t>
  </si>
  <si>
    <t>TLLSHE8520</t>
  </si>
  <si>
    <t>TL.E85X.LS.HE85.2020</t>
  </si>
  <si>
    <t>TLLSHE8525</t>
  </si>
  <si>
    <t>TL.E85X.LS.HE85.2025</t>
  </si>
  <si>
    <t>TLLSHE8530</t>
  </si>
  <si>
    <t>TL.E85X.LS.HE85.2030</t>
  </si>
  <si>
    <t>TLLSHE8535</t>
  </si>
  <si>
    <t>TL.E85X.LS.HE85.2035</t>
  </si>
  <si>
    <t>TLLSHE8540</t>
  </si>
  <si>
    <t>TL.E85X.LS.HE85.2040</t>
  </si>
  <si>
    <t>TLLSHE8545</t>
  </si>
  <si>
    <t>TL.E85X.LS.HE85.2045</t>
  </si>
  <si>
    <t>TLLSHE8550</t>
  </si>
  <si>
    <t>TL.E85X.LS.HE85.2050</t>
  </si>
  <si>
    <t>TLSSHE8510</t>
  </si>
  <si>
    <t>TL.E85X.SS.HE85.2010</t>
  </si>
  <si>
    <t>SS.HE85</t>
  </si>
  <si>
    <t>TLSSHE8515</t>
  </si>
  <si>
    <t>TL.E85X.SS.HE85.2015</t>
  </si>
  <si>
    <t>TLSSHE8520</t>
  </si>
  <si>
    <t>TL.E85X.SS.HE85.2020</t>
  </si>
  <si>
    <t>TLSSHE8525</t>
  </si>
  <si>
    <t>TL.E85X.SS.HE85.2025</t>
  </si>
  <si>
    <t>TLSSHE8530</t>
  </si>
  <si>
    <t>TL.E85X.SS.HE85.2030</t>
  </si>
  <si>
    <t>TLSSHE8535</t>
  </si>
  <si>
    <t>TL.E85X.SS.HE85.2035</t>
  </si>
  <si>
    <t>TLSSHE8540</t>
  </si>
  <si>
    <t>TL.E85X.SS.HE85.2040</t>
  </si>
  <si>
    <t>TLSSHE8545</t>
  </si>
  <si>
    <t>TL.E85X.SS.HE85.2045</t>
  </si>
  <si>
    <t>TLSSHE8550</t>
  </si>
  <si>
    <t>TL.E85X.SS.HE85.2050</t>
  </si>
  <si>
    <t>TLCP20G10</t>
  </si>
  <si>
    <t>TL.GSL.C.P20G.2010</t>
  </si>
  <si>
    <t>C.P20G</t>
  </si>
  <si>
    <t>TLCP20G15</t>
  </si>
  <si>
    <t>TL.GSL.C.P20G.2015</t>
  </si>
  <si>
    <t>TLCP20G20</t>
  </si>
  <si>
    <t>TL.GSL.C.P20G.2020</t>
  </si>
  <si>
    <t>TLCP20G25</t>
  </si>
  <si>
    <t>TL.GSL.C.P20G.2025</t>
  </si>
  <si>
    <t>TLCP20G30</t>
  </si>
  <si>
    <t>TL.GSL.C.P20G.2030</t>
  </si>
  <si>
    <t>TLCP20G35</t>
  </si>
  <si>
    <t>TL.GSL.C.P20G.2035</t>
  </si>
  <si>
    <t>TLCP20G40</t>
  </si>
  <si>
    <t>TL.GSL.C.P20G.2040</t>
  </si>
  <si>
    <t>TLCP20G45</t>
  </si>
  <si>
    <t>TL.GSL.C.P20G.2045</t>
  </si>
  <si>
    <t>TLCP20G50</t>
  </si>
  <si>
    <t>TL.GSL.C.P20G.2050</t>
  </si>
  <si>
    <t>TLFP20G10</t>
  </si>
  <si>
    <t>TL.GSL.F.P20G.2010</t>
  </si>
  <si>
    <t>F.P20G</t>
  </si>
  <si>
    <t>TLFP20G15</t>
  </si>
  <si>
    <t>TL.GSL.F.P20G.2015</t>
  </si>
  <si>
    <t>TLFP20G20</t>
  </si>
  <si>
    <t>TL.GSL.F.P20G.2020</t>
  </si>
  <si>
    <t>TLFP20G25</t>
  </si>
  <si>
    <t>TL.GSL.F.P20G.2025</t>
  </si>
  <si>
    <t>TLFP20G30</t>
  </si>
  <si>
    <t>TL.GSL.F.P20G.2030</t>
  </si>
  <si>
    <t>TLFP20G35</t>
  </si>
  <si>
    <t>TL.GSL.F.P20G.2035</t>
  </si>
  <si>
    <t>TLFP20G40</t>
  </si>
  <si>
    <t>TL.GSL.F.P20G.2040</t>
  </si>
  <si>
    <t>TLFP20G45</t>
  </si>
  <si>
    <t>TL.GSL.F.P20G.2045</t>
  </si>
  <si>
    <t>TLFP20G50</t>
  </si>
  <si>
    <t>TL.GSL.F.P20G.2050</t>
  </si>
  <si>
    <t>TLPP20G10</t>
  </si>
  <si>
    <t>TL.GSL.P.P20G.2010</t>
  </si>
  <si>
    <t>P.P20G</t>
  </si>
  <si>
    <t>TLPP20G15</t>
  </si>
  <si>
    <t>TL.GSL.P.P20G.2015</t>
  </si>
  <si>
    <t>TLPP20G20</t>
  </si>
  <si>
    <t>TL.GSL.P.P20G.2020</t>
  </si>
  <si>
    <t>TLPP20G25</t>
  </si>
  <si>
    <t>TL.GSL.P.P20G.2025</t>
  </si>
  <si>
    <t>TLPP20G30</t>
  </si>
  <si>
    <t>TL.GSL.P.P20G.2030</t>
  </si>
  <si>
    <t>TLPP20G35</t>
  </si>
  <si>
    <t>TL.GSL.P.P20G.2035</t>
  </si>
  <si>
    <t>TLPP20G40</t>
  </si>
  <si>
    <t>TL.GSL.P.P20G.2040</t>
  </si>
  <si>
    <t>TLPP20G45</t>
  </si>
  <si>
    <t>TL.GSL.P.P20G.2045</t>
  </si>
  <si>
    <t>TLPP20G50</t>
  </si>
  <si>
    <t>TL.GSL.P.P20G.2050</t>
  </si>
  <si>
    <t>TLMP20G10</t>
  </si>
  <si>
    <t>TL.GSL.M.P20G.2010</t>
  </si>
  <si>
    <t>M.P20G</t>
  </si>
  <si>
    <t>TLMP20G15</t>
  </si>
  <si>
    <t>TL.GSL.M.P20G.2015</t>
  </si>
  <si>
    <t>TLMP20G20</t>
  </si>
  <si>
    <t>TL.GSL.M.P20G.2020</t>
  </si>
  <si>
    <t>TLMP20G25</t>
  </si>
  <si>
    <t>TL.GSL.M.P20G.2025</t>
  </si>
  <si>
    <t>TLMP20G30</t>
  </si>
  <si>
    <t>TL.GSL.M.P20G.2030</t>
  </si>
  <si>
    <t>TLMP20G35</t>
  </si>
  <si>
    <t>TL.GSL.M.P20G.2035</t>
  </si>
  <si>
    <t>TLMP20G40</t>
  </si>
  <si>
    <t>TL.GSL.M.P20G.2040</t>
  </si>
  <si>
    <t>TLMP20G45</t>
  </si>
  <si>
    <t>TL.GSL.M.P20G.2045</t>
  </si>
  <si>
    <t>TLMP20G50</t>
  </si>
  <si>
    <t>TL.GSL.M.P20G.2050</t>
  </si>
  <si>
    <t>TLLSP20G10</t>
  </si>
  <si>
    <t>TL.GSL.LS.P20G.2010</t>
  </si>
  <si>
    <t>LS.P20G</t>
  </si>
  <si>
    <t>TLLSP20G15</t>
  </si>
  <si>
    <t>TL.GSL.LS.P20G.2015</t>
  </si>
  <si>
    <t>TLLSP20G20</t>
  </si>
  <si>
    <t>TL.GSL.LS.P20G.2020</t>
  </si>
  <si>
    <t>TLLSP20G25</t>
  </si>
  <si>
    <t>TL.GSL.LS.P20G.2025</t>
  </si>
  <si>
    <t>TLLSP20G30</t>
  </si>
  <si>
    <t>TL.GSL.LS.P20G.2030</t>
  </si>
  <si>
    <t>TLLSP20G35</t>
  </si>
  <si>
    <t>TL.GSL.LS.P20G.2035</t>
  </si>
  <si>
    <t>TLLSP20G40</t>
  </si>
  <si>
    <t>TL.GSL.LS.P20G.2040</t>
  </si>
  <si>
    <t>TLLSP20G45</t>
  </si>
  <si>
    <t>TL.GSL.LS.P20G.2045</t>
  </si>
  <si>
    <t>TLLSP20G50</t>
  </si>
  <si>
    <t>TL.GSL.LS.P20G.2050</t>
  </si>
  <si>
    <t>TLSSP20G10</t>
  </si>
  <si>
    <t>TL.GSL.SS.P20G.2010</t>
  </si>
  <si>
    <t>SS.P20G</t>
  </si>
  <si>
    <t>TLSSP20G15</t>
  </si>
  <si>
    <t>TL.GSL.SS.P20G.2015</t>
  </si>
  <si>
    <t>TLSSP20G20</t>
  </si>
  <si>
    <t>TL.GSL.SS.P20G.2020</t>
  </si>
  <si>
    <t>TLSSP20G25</t>
  </si>
  <si>
    <t>TL.GSL.SS.P20G.2025</t>
  </si>
  <si>
    <t>TLSSP20G30</t>
  </si>
  <si>
    <t>TL.GSL.SS.P20G.2030</t>
  </si>
  <si>
    <t>TLSSP20G35</t>
  </si>
  <si>
    <t>TL.GSL.SS.P20G.2035</t>
  </si>
  <si>
    <t>TLSSP20G40</t>
  </si>
  <si>
    <t>TL.GSL.SS.P20G.2040</t>
  </si>
  <si>
    <t>TLSSP20G45</t>
  </si>
  <si>
    <t>TL.GSL.SS.P20G.2045</t>
  </si>
  <si>
    <t>TLSSP20G50</t>
  </si>
  <si>
    <t>TL.GSL.SS.P20G.2050</t>
  </si>
  <si>
    <t>TLCP20E10</t>
  </si>
  <si>
    <t>TL.E85X.C.P20E.2010</t>
  </si>
  <si>
    <t>C.P20E</t>
  </si>
  <si>
    <t>TLCP20E15</t>
  </si>
  <si>
    <t>TL.E85X.C.P20E.2015</t>
  </si>
  <si>
    <t>TLCP20E20</t>
  </si>
  <si>
    <t>TL.E85X.C.P20E.2020</t>
  </si>
  <si>
    <t>TLCP20E25</t>
  </si>
  <si>
    <t>TL.E85X.C.P20E.2025</t>
  </si>
  <si>
    <t>TLCP20E30</t>
  </si>
  <si>
    <t>TL.E85X.C.P20E.2030</t>
  </si>
  <si>
    <t>TLCP20E35</t>
  </si>
  <si>
    <t>TL.E85X.C.P20E.2035</t>
  </si>
  <si>
    <t>TLCP20E40</t>
  </si>
  <si>
    <t>TL.E85X.C.P20E.2040</t>
  </si>
  <si>
    <t>TLCP20E45</t>
  </si>
  <si>
    <t>TL.E85X.C.P20E.2045</t>
  </si>
  <si>
    <t>TLCP20E50</t>
  </si>
  <si>
    <t>TL.E85X.C.P20E.2050</t>
  </si>
  <si>
    <t>TLFP20E10</t>
  </si>
  <si>
    <t>TL.E85X.F.P20E.2010</t>
  </si>
  <si>
    <t>F.P20E</t>
  </si>
  <si>
    <t>TLFP20E15</t>
  </si>
  <si>
    <t>TL.E85X.F.P20E.2015</t>
  </si>
  <si>
    <t>TLFP20E20</t>
  </si>
  <si>
    <t>TL.E85X.F.P20E.2020</t>
  </si>
  <si>
    <t>TLFP20E25</t>
  </si>
  <si>
    <t>TL.E85X.F.P20E.2025</t>
  </si>
  <si>
    <t>TLFP20E30</t>
  </si>
  <si>
    <t>TL.E85X.F.P20E.2030</t>
  </si>
  <si>
    <t>TLFP20E35</t>
  </si>
  <si>
    <t>TL.E85X.F.P20E.2035</t>
  </si>
  <si>
    <t>TLFP20E40</t>
  </si>
  <si>
    <t>TL.E85X.F.P20E.2040</t>
  </si>
  <si>
    <t>TLFP20E45</t>
  </si>
  <si>
    <t>TL.E85X.F.P20E.2045</t>
  </si>
  <si>
    <t>TLFP20E50</t>
  </si>
  <si>
    <t>TL.E85X.F.P20E.2050</t>
  </si>
  <si>
    <t>TLPP20E10</t>
  </si>
  <si>
    <t>TL.E85X.P.P20E.2010</t>
  </si>
  <si>
    <t>P.P20E</t>
  </si>
  <si>
    <t>TLPP20E15</t>
  </si>
  <si>
    <t>TL.E85X.P.P20E.2015</t>
  </si>
  <si>
    <t>TLPP20E20</t>
  </si>
  <si>
    <t>TL.E85X.P.P20E.2020</t>
  </si>
  <si>
    <t>TLPP20E25</t>
  </si>
  <si>
    <t>TL.E85X.P.P20E.2025</t>
  </si>
  <si>
    <t>TLPP20E30</t>
  </si>
  <si>
    <t>TL.E85X.P.P20E.2030</t>
  </si>
  <si>
    <t>TLPP20E35</t>
  </si>
  <si>
    <t>TL.E85X.P.P20E.2035</t>
  </si>
  <si>
    <t>TLPP20E40</t>
  </si>
  <si>
    <t>TL.E85X.P.P20E.2040</t>
  </si>
  <si>
    <t>TLPP20E45</t>
  </si>
  <si>
    <t>TL.E85X.P.P20E.2045</t>
  </si>
  <si>
    <t>TLPP20E50</t>
  </si>
  <si>
    <t>TL.E85X.P.P20E.2050</t>
  </si>
  <si>
    <t>TLMP20E10</t>
  </si>
  <si>
    <t>TL.E85X.M.P20E.2010</t>
  </si>
  <si>
    <t>M.P20E</t>
  </si>
  <si>
    <t>TLMP20E15</t>
  </si>
  <si>
    <t>TL.E85X.M.P20E.2015</t>
  </si>
  <si>
    <t>TLMP20E20</t>
  </si>
  <si>
    <t>TL.E85X.M.P20E.2020</t>
  </si>
  <si>
    <t>TLMP20E25</t>
  </si>
  <si>
    <t>TL.E85X.M.P20E.2025</t>
  </si>
  <si>
    <t>TLMP20E30</t>
  </si>
  <si>
    <t>TL.E85X.M.P20E.2030</t>
  </si>
  <si>
    <t>TLMP20E35</t>
  </si>
  <si>
    <t>TL.E85X.M.P20E.2035</t>
  </si>
  <si>
    <t>TLMP20E40</t>
  </si>
  <si>
    <t>TL.E85X.M.P20E.2040</t>
  </si>
  <si>
    <t>TLMP20E45</t>
  </si>
  <si>
    <t>TL.E85X.M.P20E.2045</t>
  </si>
  <si>
    <t>TLMP20E50</t>
  </si>
  <si>
    <t>TL.E85X.M.P20E.2050</t>
  </si>
  <si>
    <t>TLLSP20E10</t>
  </si>
  <si>
    <t>TL.E85X.LS.P20E.2010</t>
  </si>
  <si>
    <t>LS.P20E</t>
  </si>
  <si>
    <t>TLLSP20E15</t>
  </si>
  <si>
    <t>TL.E85X.LS.P20E.2015</t>
  </si>
  <si>
    <t>TLLSP20E20</t>
  </si>
  <si>
    <t>TL.E85X.LS.P20E.2020</t>
  </si>
  <si>
    <t>TLLSP20E25</t>
  </si>
  <si>
    <t>TL.E85X.LS.P20E.2025</t>
  </si>
  <si>
    <t>TLLSP20E30</t>
  </si>
  <si>
    <t>TL.E85X.LS.P20E.2030</t>
  </si>
  <si>
    <t>TLLSP20E35</t>
  </si>
  <si>
    <t>TL.E85X.LS.P20E.2035</t>
  </si>
  <si>
    <t>TLLSP20E40</t>
  </si>
  <si>
    <t>TL.E85X.LS.P20E.2040</t>
  </si>
  <si>
    <t>TLLSP20E45</t>
  </si>
  <si>
    <t>TL.E85X.LS.P20E.2045</t>
  </si>
  <si>
    <t>TLLSP20E50</t>
  </si>
  <si>
    <t>TL.E85X.LS.P20E.2050</t>
  </si>
  <si>
    <t>TLSSP20E10</t>
  </si>
  <si>
    <t>TL.E85X.SS.P20E.2010</t>
  </si>
  <si>
    <t>SS.P20E</t>
  </si>
  <si>
    <t>TLSSP20E15</t>
  </si>
  <si>
    <t>TL.E85X.SS.P20E.2015</t>
  </si>
  <si>
    <t>TLSSP20E20</t>
  </si>
  <si>
    <t>TL.E85X.SS.P20E.2020</t>
  </si>
  <si>
    <t>TLSSP20E25</t>
  </si>
  <si>
    <t>TL.E85X.SS.P20E.2025</t>
  </si>
  <si>
    <t>TLSSP20E30</t>
  </si>
  <si>
    <t>TL.E85X.SS.P20E.2030</t>
  </si>
  <si>
    <t>TLSSP20E35</t>
  </si>
  <si>
    <t>TL.E85X.SS.P20E.2035</t>
  </si>
  <si>
    <t>TLSSP20E40</t>
  </si>
  <si>
    <t>TL.E85X.SS.P20E.2040</t>
  </si>
  <si>
    <t>TLSSP20E45</t>
  </si>
  <si>
    <t>TL.E85X.SS.P20E.2045</t>
  </si>
  <si>
    <t>TLSSP20E50</t>
  </si>
  <si>
    <t>TL.E85X.SS.P20E.2050</t>
  </si>
  <si>
    <t>TLCPHVE10</t>
  </si>
  <si>
    <t>TL.E85X.C.PHVE.2010</t>
  </si>
  <si>
    <t>C.PHVE</t>
  </si>
  <si>
    <t>TLCPHVE15</t>
  </si>
  <si>
    <t>TL.E85X.C.PHVE.2015</t>
  </si>
  <si>
    <t>TLCPHVE20</t>
  </si>
  <si>
    <t>TL.E85X.C.PHVE.2020</t>
  </si>
  <si>
    <t>TLCPHVE25</t>
  </si>
  <si>
    <t>TL.E85X.C.PHVE.2025</t>
  </si>
  <si>
    <t>TLCPHVE30</t>
  </si>
  <si>
    <t>TL.E85X.C.PHVE.2030</t>
  </si>
  <si>
    <t>TLCPHVE35</t>
  </si>
  <si>
    <t>TL.E85X.C.PHVE.2035</t>
  </si>
  <si>
    <t>TLCPHVE40</t>
  </si>
  <si>
    <t>TL.E85X.C.PHVE.2040</t>
  </si>
  <si>
    <t>TLCPHVE45</t>
  </si>
  <si>
    <t>TL.E85X.C.PHVE.2045</t>
  </si>
  <si>
    <t>TLCPHVE50</t>
  </si>
  <si>
    <t>TL.E85X.C.PHVE.2050</t>
  </si>
  <si>
    <t>TLFPHVE10</t>
  </si>
  <si>
    <t>TL.E85X.F.PHVE.2010</t>
  </si>
  <si>
    <t>F.PHVE</t>
  </si>
  <si>
    <t>TLFPHVE15</t>
  </si>
  <si>
    <t>TL.E85X.F.PHVE.2015</t>
  </si>
  <si>
    <t>TLFPHVE20</t>
  </si>
  <si>
    <t>TL.E85X.F.PHVE.2020</t>
  </si>
  <si>
    <t>TLFPHVE25</t>
  </si>
  <si>
    <t>TL.E85X.F.PHVE.2025</t>
  </si>
  <si>
    <t>TLFPHVE30</t>
  </si>
  <si>
    <t>TL.E85X.F.PHVE.2030</t>
  </si>
  <si>
    <t>TLFPHVE35</t>
  </si>
  <si>
    <t>TL.E85X.F.PHVE.2035</t>
  </si>
  <si>
    <t>TLFPHVE40</t>
  </si>
  <si>
    <t>TL.E85X.F.PHVE.2040</t>
  </si>
  <si>
    <t>TLFPHVE45</t>
  </si>
  <si>
    <t>TL.E85X.F.PHVE.2045</t>
  </si>
  <si>
    <t>TLFPHVE50</t>
  </si>
  <si>
    <t>TL.E85X.F.PHVE.2050</t>
  </si>
  <si>
    <t>TLPPHVE10</t>
  </si>
  <si>
    <t>TL.E85X.P.PHVE.2010</t>
  </si>
  <si>
    <t>P.PHVE</t>
  </si>
  <si>
    <t>TLPPHVE15</t>
  </si>
  <si>
    <t>TL.E85X.P.PHVE.2015</t>
  </si>
  <si>
    <t>TLPPHVE20</t>
  </si>
  <si>
    <t>TL.E85X.P.PHVE.2020</t>
  </si>
  <si>
    <t>TLPPHVE25</t>
  </si>
  <si>
    <t>TL.E85X.P.PHVE.2025</t>
  </si>
  <si>
    <t>TLPPHVE30</t>
  </si>
  <si>
    <t>TL.E85X.P.PHVE.2030</t>
  </si>
  <si>
    <t>TLPPHVE35</t>
  </si>
  <si>
    <t>TL.E85X.P.PHVE.2035</t>
  </si>
  <si>
    <t>TLPPHVE40</t>
  </si>
  <si>
    <t>TL.E85X.P.PHVE.2040</t>
  </si>
  <si>
    <t>TLPPHVE45</t>
  </si>
  <si>
    <t>TL.E85X.P.PHVE.2045</t>
  </si>
  <si>
    <t>TLPPHVE50</t>
  </si>
  <si>
    <t>TL.E85X.P.PHVE.2050</t>
  </si>
  <si>
    <t>TLMPHVE10</t>
  </si>
  <si>
    <t>TL.E85X.M.PHVE.2010</t>
  </si>
  <si>
    <t>M.PHVE</t>
  </si>
  <si>
    <t>TLMPHVE15</t>
  </si>
  <si>
    <t>TL.E85X.M.PHVE.2015</t>
  </si>
  <si>
    <t>TLMPHVE20</t>
  </si>
  <si>
    <t>TL.E85X.M.PHVE.2020</t>
  </si>
  <si>
    <t>TLMPHVE25</t>
  </si>
  <si>
    <t>TL.E85X.M.PHVE.2025</t>
  </si>
  <si>
    <t>TLMPHVE30</t>
  </si>
  <si>
    <t>TL.E85X.M.PHVE.2030</t>
  </si>
  <si>
    <t>TLMPHVE35</t>
  </si>
  <si>
    <t>TL.E85X.M.PHVE.2035</t>
  </si>
  <si>
    <t>TLMPHVE40</t>
  </si>
  <si>
    <t>TL.E85X.M.PHVE.2040</t>
  </si>
  <si>
    <t>TLMPHVE45</t>
  </si>
  <si>
    <t>TL.E85X.M.PHVE.2045</t>
  </si>
  <si>
    <t>TLMPHVE50</t>
  </si>
  <si>
    <t>TL.E85X.M.PHVE.2050</t>
  </si>
  <si>
    <t>TLLSPHVE10</t>
  </si>
  <si>
    <t>TL.E85X.LS.PHVE.2010</t>
  </si>
  <si>
    <t>LS.PHVE</t>
  </si>
  <si>
    <t>TLLSPHVE15</t>
  </si>
  <si>
    <t>TL.E85X.LS.PHVE.2015</t>
  </si>
  <si>
    <t>TLLSPHVE20</t>
  </si>
  <si>
    <t>TL.E85X.LS.PHVE.2020</t>
  </si>
  <si>
    <t>TLLSPHVE25</t>
  </si>
  <si>
    <t>TL.E85X.LS.PHVE.2025</t>
  </si>
  <si>
    <t>TLLSPHVE30</t>
  </si>
  <si>
    <t>TL.E85X.LS.PHVE.2030</t>
  </si>
  <si>
    <t>TLLSPHVE35</t>
  </si>
  <si>
    <t>TL.E85X.LS.PHVE.2035</t>
  </si>
  <si>
    <t>TLLSPHVE40</t>
  </si>
  <si>
    <t>TL.E85X.LS.PHVE.2040</t>
  </si>
  <si>
    <t>TLLSPHVE45</t>
  </si>
  <si>
    <t>TL.E85X.LS.PHVE.2045</t>
  </si>
  <si>
    <t>TLLSPHVE50</t>
  </si>
  <si>
    <t>TL.E85X.LS.PHVE.2050</t>
  </si>
  <si>
    <t>TLSSPHVE10</t>
  </si>
  <si>
    <t>TL.E85X.SS.PHVE.2010</t>
  </si>
  <si>
    <t>SS.PHVE</t>
  </si>
  <si>
    <t>TLSSPHVE15</t>
  </si>
  <si>
    <t>TL.E85X.SS.PHVE.2015</t>
  </si>
  <si>
    <t>TLSSPHVE20</t>
  </si>
  <si>
    <t>TL.E85X.SS.PHVE.2020</t>
  </si>
  <si>
    <t>TLSSPHVE25</t>
  </si>
  <si>
    <t>TL.E85X.SS.PHVE.2025</t>
  </si>
  <si>
    <t>TLSSPHVE30</t>
  </si>
  <si>
    <t>TL.E85X.SS.PHVE.2030</t>
  </si>
  <si>
    <t>TLSSPHVE35</t>
  </si>
  <si>
    <t>TL.E85X.SS.PHVE.2035</t>
  </si>
  <si>
    <t>TLSSPHVE40</t>
  </si>
  <si>
    <t>TL.E85X.SS.PHVE.2040</t>
  </si>
  <si>
    <t>TLSSPHVE45</t>
  </si>
  <si>
    <t>TL.E85X.SS.PHVE.2045</t>
  </si>
  <si>
    <t>TLSSPHVE50</t>
  </si>
  <si>
    <t>TL.E85X.SS.PHVE.2050</t>
  </si>
  <si>
    <t>Description: Describes vehicle technology-classification pairs not in the original AEO data, including E85 hybrids, PHEV20, E85 PHEV20, and E85 PHEV40</t>
  </si>
  <si>
    <t>Inputs: "Costs", "Efficiencies"</t>
  </si>
  <si>
    <t xml:space="preserve">These tables consolidate efficiency and cost data on advanced vehicle technologies from OTAQ, AEO, and QM sources. </t>
  </si>
  <si>
    <t>Additional technologies are also added, including moderate ICE vehicles, running both on gasoline and E85, advanced ICE vehicles running on E85, PHEV20s running on gasoline and E85, and PHEV40s, running on E85</t>
  </si>
  <si>
    <t>Notes:</t>
  </si>
  <si>
    <t>Moderate ICE vehicle assumptions</t>
  </si>
  <si>
    <t>Assume Mod ICE engines have efficiencies and costs both halfway between conventional and advanced vehicles of the same class and vintage</t>
  </si>
  <si>
    <t>Ethanol Vehicle Assumptions</t>
  </si>
  <si>
    <t>Assume MGSL and ME85, and AGSL and AE85 vehicles have the same efficiency, but the flex variants have an additional incremental cost per vehicle of:</t>
  </si>
  <si>
    <t>K per veh for</t>
  </si>
  <si>
    <t>compact</t>
  </si>
  <si>
    <t>in</t>
  </si>
  <si>
    <t>2005+</t>
  </si>
  <si>
    <t>large</t>
  </si>
  <si>
    <t>2010+</t>
  </si>
  <si>
    <t>SUV-Large</t>
  </si>
  <si>
    <t>SUV-small</t>
  </si>
  <si>
    <t>Minicompact</t>
  </si>
  <si>
    <t>Fraction of E85 that is GSL:</t>
  </si>
  <si>
    <t>Plugin-Hybrid 20 Vehicle Assumptions</t>
  </si>
  <si>
    <t>Utilization of GSL and ELC in Plugin Hybrid Cars</t>
  </si>
  <si>
    <t>P20G/E Calculations</t>
  </si>
  <si>
    <t>GSL/E85</t>
  </si>
  <si>
    <t>Eff Gain</t>
  </si>
  <si>
    <t>P20E/G</t>
  </si>
  <si>
    <t>Annual Driving Miles</t>
  </si>
  <si>
    <t>PHVE/G</t>
  </si>
  <si>
    <t>From FE proj. BAU Car</t>
  </si>
  <si>
    <t>HEV Efficiency</t>
  </si>
  <si>
    <t>Utility Factor for PHEV20</t>
  </si>
  <si>
    <t>Utilization of GSL and ELC in Plugin Hybrid Trucks</t>
  </si>
  <si>
    <t>ELC Efficiency (kwh/mi)</t>
  </si>
  <si>
    <t>GSL gallon</t>
  </si>
  <si>
    <t>From FE proj. BAU Truck</t>
  </si>
  <si>
    <t>Mode</t>
  </si>
  <si>
    <t>Miles</t>
  </si>
  <si>
    <t>Energy Use</t>
  </si>
  <si>
    <t>Unit</t>
  </si>
  <si>
    <t>Equivalent</t>
  </si>
  <si>
    <t>gal</t>
  </si>
  <si>
    <t>Cost of P20G/E:</t>
  </si>
  <si>
    <t xml:space="preserve">ELC </t>
  </si>
  <si>
    <t>Fraction of PHVG delta over HEV:</t>
  </si>
  <si>
    <t>percent</t>
  </si>
  <si>
    <t>MPG Equivalent</t>
  </si>
  <si>
    <t>Conversion Factors</t>
  </si>
  <si>
    <t>Efficiency Gain</t>
  </si>
  <si>
    <t>=</t>
  </si>
  <si>
    <t>Gallon GSL</t>
  </si>
  <si>
    <t>(The Consolidated Data page uses lookup functions to pull data off these tables. To support the lookup functions, column C data *must* be in alphabetically increasing order)</t>
  </si>
  <si>
    <t>Passenger vehicles - Efficiency &amp; Cost</t>
  </si>
  <si>
    <t>UNADJUSTED Efficiency</t>
  </si>
  <si>
    <t>ADJUSTED Efficiency (using AEO Degradation Factors)</t>
  </si>
  <si>
    <t>Cost</t>
  </si>
  <si>
    <t xml:space="preserve">Compact </t>
  </si>
  <si>
    <t>Adv E85</t>
  </si>
  <si>
    <t>C.AE85</t>
  </si>
  <si>
    <t>HEV E85</t>
  </si>
  <si>
    <t>Mod E85</t>
  </si>
  <si>
    <t>C.ME85</t>
  </si>
  <si>
    <t>Mod GSL</t>
  </si>
  <si>
    <t>C.MGSL</t>
  </si>
  <si>
    <t>PHEV20 E85</t>
  </si>
  <si>
    <t>PHEV20 GSL</t>
  </si>
  <si>
    <t>PHEV E85</t>
  </si>
  <si>
    <t>FullSize</t>
  </si>
  <si>
    <t>F.AE85</t>
  </si>
  <si>
    <t>F.ME85</t>
  </si>
  <si>
    <t>F.MGSL</t>
  </si>
  <si>
    <t>LS.AE85</t>
  </si>
  <si>
    <t>LS.ME85</t>
  </si>
  <si>
    <t>LS.MGSL</t>
  </si>
  <si>
    <t>M.AE85</t>
  </si>
  <si>
    <t>M.ME85</t>
  </si>
  <si>
    <t>M.MGSL</t>
  </si>
  <si>
    <t>Mini Compact</t>
  </si>
  <si>
    <t>MC.AE85</t>
  </si>
  <si>
    <t>MC.ME85</t>
  </si>
  <si>
    <t>MC.MGSL</t>
  </si>
  <si>
    <t>P.AE85</t>
  </si>
  <si>
    <t>P.ME85</t>
  </si>
  <si>
    <t>P.MGSL</t>
  </si>
  <si>
    <t>SUV-Small</t>
  </si>
  <si>
    <t>SS.AE85</t>
  </si>
  <si>
    <t>SS.ME85</t>
  </si>
  <si>
    <t>SS.MGSL</t>
  </si>
  <si>
    <t>This table includes estimates of the purchase cost of vehicles using various propulsion technologies and/or fuels. The values are in thousands of dollars per vehicle.</t>
  </si>
  <si>
    <t>Passenger vehicles - COST</t>
  </si>
  <si>
    <t>Costs based on AEO Table 60</t>
  </si>
  <si>
    <t>Adv GSL</t>
  </si>
  <si>
    <t>C.AGSL</t>
  </si>
  <si>
    <t>CNG Flex Fuel</t>
  </si>
  <si>
    <t>DSL HEV</t>
  </si>
  <si>
    <t>Existing GSL</t>
  </si>
  <si>
    <t>Ethanol Flex Fuel</t>
  </si>
  <si>
    <t>Fuel Cell - Hydrogen</t>
  </si>
  <si>
    <t>passenger vehicle</t>
  </si>
  <si>
    <t>Ave. miles for passenger cars in year 2000 taken from Table 4.1 of ORNL Transportation Energy Data Book: Edition 26, 2007.</t>
  </si>
  <si>
    <t>Conventional</t>
  </si>
  <si>
    <t>HEV</t>
  </si>
  <si>
    <t>commercial light truck</t>
  </si>
  <si>
    <t>Ave. miles for passenger light trucks in year 2000 taken from Table 4.2 of ORNL Transportation Energy Data Book: Edition 26, 2007.</t>
  </si>
  <si>
    <t>LPG Flex Fuel</t>
  </si>
  <si>
    <t>PHEV</t>
  </si>
  <si>
    <t>AEO Car Splits</t>
  </si>
  <si>
    <t>F.AGSL</t>
  </si>
  <si>
    <t>Mini</t>
  </si>
  <si>
    <t>Subcompact</t>
  </si>
  <si>
    <t>Two Seater</t>
  </si>
  <si>
    <t>Midsize</t>
  </si>
  <si>
    <t>Existing CNG</t>
  </si>
  <si>
    <t>Large</t>
  </si>
  <si>
    <t>Existing DSL</t>
  </si>
  <si>
    <t>Small Pickup</t>
  </si>
  <si>
    <t>Existing ELC</t>
  </si>
  <si>
    <t>Large Pickup</t>
  </si>
  <si>
    <t>Existing ETH</t>
  </si>
  <si>
    <t>Small Van</t>
  </si>
  <si>
    <t>Large Van</t>
  </si>
  <si>
    <t>Existing LPG</t>
  </si>
  <si>
    <t>Small Utility</t>
  </si>
  <si>
    <t>Existing MTH</t>
  </si>
  <si>
    <t>Large Utility</t>
  </si>
  <si>
    <t xml:space="preserve">Ethanol  </t>
  </si>
  <si>
    <t>Fuel Cell - Gasoline</t>
  </si>
  <si>
    <t>ADV GSL Assumptions</t>
  </si>
  <si>
    <t>$ over Conventional (see FE proj. BAU Car and FE proj BAU Truck)</t>
  </si>
  <si>
    <t>LS.AGSL</t>
  </si>
  <si>
    <t>PHEV Assumptions</t>
  </si>
  <si>
    <t>M.AGSL</t>
  </si>
  <si>
    <t xml:space="preserve">LPG  </t>
  </si>
  <si>
    <t>MC.AGSL</t>
  </si>
  <si>
    <t>Mini-Compact</t>
  </si>
  <si>
    <t>P.AGSL</t>
  </si>
  <si>
    <t>SS.AGSL</t>
  </si>
  <si>
    <t>These data tables are based on efficiency estimates from AEO14</t>
  </si>
  <si>
    <t>AEO adjustment factors are used to reduce values to account for real-world driving conditions and vehicle degredation over time.</t>
  </si>
  <si>
    <t>Passenger vehicles - EFFICIENCY</t>
  </si>
  <si>
    <t>UNADJUSTED</t>
  </si>
  <si>
    <t>ADJUSTED (using AEO Degradation Factors)</t>
  </si>
  <si>
    <t>Ave. miles for passenger cars in year 2005 taken from Table 4.1 (Summary Statistics for Cars) of ORNL Transportation Energy Data Book: Edition 29, 2010.</t>
  </si>
  <si>
    <t>Ave. miles for passenger light truckes in year 2005 taken from Table 4.2  of ORNL Transportation Energy Data Book: Edition 29, 2010.</t>
  </si>
  <si>
    <t>% change over Conventional (see FE proj. BAU Car and FE proj BAU Truck)</t>
  </si>
  <si>
    <t xml:space="preserve"> </t>
  </si>
  <si>
    <t>Car - Eff Gain relative to HEV</t>
  </si>
  <si>
    <t>(from example calculation on FE proj. BAU Car)</t>
  </si>
  <si>
    <t>Truck - Eff Gain relative to HEV</t>
  </si>
  <si>
    <t>(from example calculation on FE proj. BAU Truck)</t>
  </si>
  <si>
    <t>AEO 2010 Table 61.  Summary of New Light-Duty Vehicle Size Class Attributes</t>
  </si>
  <si>
    <t xml:space="preserve"> Degradation Factors 1/</t>
  </si>
  <si>
    <t xml:space="preserve">   Cars</t>
  </si>
  <si>
    <t xml:space="preserve">   Light Trucks</t>
  </si>
  <si>
    <t>Supplemental tables from AEO2014 early release</t>
  </si>
  <si>
    <t xml:space="preserve"> Conventional Light Trucks</t>
  </si>
  <si>
    <t xml:space="preserve">   Small Pickup</t>
  </si>
  <si>
    <t xml:space="preserve">   Large Pickup</t>
  </si>
  <si>
    <t xml:space="preserve">   Small Van</t>
  </si>
  <si>
    <t xml:space="preserve">   Large Van</t>
  </si>
  <si>
    <t xml:space="preserve">   Small Utility</t>
  </si>
  <si>
    <t xml:space="preserve">   Large Utility</t>
  </si>
  <si>
    <t>New Vehicle Sales Shares (percent)</t>
  </si>
  <si>
    <t xml:space="preserve"> Technology Type</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</si>
  <si>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</si>
  <si>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</si>
  <si>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</si>
  <si>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</si>
  <si>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</si>
  <si>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</si>
  <si>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</si>
  <si>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</si>
  <si>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</si>
  <si>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</si>
  <si>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</si>
  <si>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</si>
  <si>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TCA000:ja_SmallPickup</t>
  </si>
  <si>
    <t>TCA000:ja_LargePickup</t>
  </si>
  <si>
    <t>TCA000:ja_SmallVan</t>
  </si>
  <si>
    <t>TCA000:ja_LargeVan</t>
  </si>
  <si>
    <t>TCA000:ja_SmallUtility</t>
  </si>
  <si>
    <t>TCA000:ja_LargeUtility</t>
  </si>
  <si>
    <t>Extrapolated</t>
  </si>
  <si>
    <t>(miles per gallon)</t>
  </si>
  <si>
    <t xml:space="preserve"> Gasoline ICE Vehicles</t>
  </si>
  <si>
    <t xml:space="preserve"> TDI Diesel ICE</t>
  </si>
  <si>
    <t>Alternative-Fuel Vehicles</t>
  </si>
  <si>
    <t xml:space="preserve">   Ethanol-Flex Fuel ICE</t>
  </si>
  <si>
    <t xml:space="preserve">   Compressed Natural Gas ICE</t>
  </si>
  <si>
    <t xml:space="preserve">   Compressed Natural Gas Bi-fuel</t>
  </si>
  <si>
    <t xml:space="preserve">   Liquefied Petroleum Gases ICE</t>
  </si>
  <si>
    <t xml:space="preserve">   Liquefied Petroleum Gases Bi-fuel</t>
  </si>
  <si>
    <t xml:space="preserve">   Plug-in Gasoline Hybrid</t>
  </si>
  <si>
    <t xml:space="preserve">   Electric-Diesel Hybrid</t>
  </si>
  <si>
    <t xml:space="preserve">   Electric-Gasoline Hybrid</t>
  </si>
  <si>
    <t xml:space="preserve">   Fuel Cell Gasoline</t>
  </si>
  <si>
    <t xml:space="preserve">   Fuel Cell Methanol</t>
  </si>
  <si>
    <t xml:space="preserve">   Fuel Cell Hydrogen</t>
  </si>
  <si>
    <t>- -</t>
  </si>
  <si>
    <t xml:space="preserve">    - - = Not applicable.</t>
  </si>
  <si>
    <t xml:space="preserve">    Source:  Energy Information Administration, AEO2010 National Energy Modeling System run aeo2010r.d111809a.</t>
  </si>
  <si>
    <t xml:space="preserve">Description: Light Duty car technology cost and efficiency assumptions used with SGM </t>
  </si>
  <si>
    <t>Source: Provided in 2007 by Simon Mui of EPA's Office of Transportation and Air Quality</t>
  </si>
  <si>
    <t>Fuel Economy Projections by Technology through 2050 for SGM input</t>
  </si>
  <si>
    <t>BAU Car FE projections</t>
  </si>
  <si>
    <t>all projections shown in red</t>
  </si>
  <si>
    <t>mpg</t>
  </si>
  <si>
    <t>year</t>
  </si>
  <si>
    <t>D</t>
  </si>
  <si>
    <t>gas</t>
  </si>
  <si>
    <t xml:space="preserve">% </t>
  </si>
  <si>
    <t>annualized %</t>
  </si>
  <si>
    <t>adv-gas</t>
  </si>
  <si>
    <t>hev</t>
  </si>
  <si>
    <t>diesel</t>
  </si>
  <si>
    <t>diesel-HEV</t>
  </si>
  <si>
    <t>Elect Use (miles/kWh)**</t>
  </si>
  <si>
    <t>Example calculations of energy inputs and efficiency improvement in 2040</t>
  </si>
  <si>
    <t>Utility Factor for PHEV40</t>
  </si>
  <si>
    <t>ELC Efficiency (mi/kwh)</t>
  </si>
  <si>
    <t>Mode Unit</t>
  </si>
  <si>
    <t>GSL (gal)</t>
  </si>
  <si>
    <t>ELC (kwh)</t>
  </si>
  <si>
    <t>Advanced Gasoline</t>
  </si>
  <si>
    <t>CAR</t>
  </si>
  <si>
    <t>FE gain</t>
  </si>
  <si>
    <t>CO2 red</t>
  </si>
  <si>
    <t>Inc. Cost</t>
  </si>
  <si>
    <t>NAS</t>
  </si>
  <si>
    <t>CARB</t>
  </si>
  <si>
    <t>avg</t>
  </si>
  <si>
    <t>EPRI</t>
  </si>
  <si>
    <t>ORNL</t>
  </si>
  <si>
    <t>FEV</t>
  </si>
  <si>
    <t>Diesel-HEV</t>
  </si>
  <si>
    <t>FEV/EPA</t>
  </si>
  <si>
    <t>tailpipe</t>
  </si>
  <si>
    <t>Electricity FC**</t>
  </si>
  <si>
    <t>kWh/mile</t>
  </si>
  <si>
    <t>Source: US EPA Vehicle Technology Pathways paper, 2005</t>
  </si>
  <si>
    <t>** Note: this is the electricity use averaged out over the entire drive cycle</t>
  </si>
  <si>
    <t>To obtain the annual electricity consumption, multiply this value by the annual VMT</t>
  </si>
  <si>
    <t>Description: Sales data by class for new automobiles</t>
  </si>
  <si>
    <t>Source: Annual Energy Outlook (AEO) 2014 early release, Energy Information Agency, U.S. Department of Energy, http://www.eia.doe.gov/oiaf/aeo/</t>
  </si>
  <si>
    <t>Regional Car and Truck sales shares updated to AEO14</t>
  </si>
  <si>
    <t>Total New Car Sales</t>
  </si>
  <si>
    <t>Total New Light Truck Sales</t>
  </si>
  <si>
    <t>AEO 2014 (with prior-year data from earlier AEOs)</t>
  </si>
  <si>
    <t>Table 61.  Summary of New Light-Duty Vehicle Size Class Attributes</t>
  </si>
  <si>
    <t>*from earlier AEO data</t>
  </si>
  <si>
    <t>2009-</t>
  </si>
  <si>
    <t>*2003</t>
  </si>
  <si>
    <t>*2004</t>
  </si>
  <si>
    <t>*2005</t>
  </si>
  <si>
    <t>*2006</t>
  </si>
  <si>
    <t>*2007</t>
  </si>
  <si>
    <t>*2008</t>
  </si>
  <si>
    <t>New Vehicle Sales Shares (%)</t>
  </si>
  <si>
    <t xml:space="preserve"> Conventional Cars</t>
  </si>
  <si>
    <t xml:space="preserve">   1/  Conversion factor used to convert Environmental Protection Agency (EPA) rated efficiency to "on road" miles per gallon.</t>
  </si>
  <si>
    <t xml:space="preserve">   2/  Environmental Protection Agency rated miles per gallon.</t>
  </si>
  <si>
    <t xml:space="preserve">   Sources:  2007 and 2008 values derived using:  Energy and Environmental Analysis Inc., Updates to the Fuel Economy Model (Washington, DC, June 1998), prepared for Energy Information</t>
  </si>
  <si>
    <t>Administration (EIA); National Highway Traffic and Safety Administration, Fuel Economy Reports from Auto Manufacturers, 2007; Federal Highway Administration, Highway Statistics</t>
  </si>
  <si>
    <t>2007 (Washington, DC, October 2008); Oak Ridge National Laboratory, "Fleet Vehicles in the United States:  Composition, Operating Characteristics, and Fueling Practices" (Oak Ridge, TN, March 1992),</t>
  </si>
  <si>
    <t>prepared for the U.S. Department of Energy, Office of Transportation Technologies, and Office of Policy, Planning, and Analysis; and EIA, AEO2010 National Energy Modeling System run</t>
  </si>
  <si>
    <t>run aeo2010r.d111809a.  Projections:  EIA, AEO2010 National Energy Modeling System run aeo2010r.d111809a.</t>
  </si>
  <si>
    <t>The following table has not yet been updated to AEO14</t>
  </si>
  <si>
    <t>Table 57.  Light-Duty Vehicle Sales by Technology Type</t>
  </si>
  <si>
    <t>(thousands)</t>
  </si>
  <si>
    <t>United States</t>
  </si>
  <si>
    <t>Average</t>
  </si>
  <si>
    <t>Annual</t>
  </si>
  <si>
    <t>Growth</t>
  </si>
  <si>
    <t>2006-</t>
  </si>
  <si>
    <t>New Car Sales 1/</t>
  </si>
  <si>
    <t xml:space="preserve">   Gasoline ICE Vehicles</t>
  </si>
  <si>
    <t xml:space="preserve">   TDI Diesel ICE</t>
  </si>
  <si>
    <t xml:space="preserve">     Total Conventional Cars</t>
  </si>
  <si>
    <t xml:space="preserve"> Alternative-Fuel Cars</t>
  </si>
  <si>
    <t>   100 Mile Electric Vehicle</t>
  </si>
  <si>
    <t>   200 Mile Electric Vehicle</t>
  </si>
  <si>
    <t xml:space="preserve">   Plug-in 10 Gasoline Hybrid</t>
  </si>
  <si>
    <t xml:space="preserve">   Plug-in 40 Gasoline Hybrid</t>
  </si>
  <si>
    <t>N/A</t>
  </si>
  <si>
    <t xml:space="preserve">     Total Alternative Cars</t>
  </si>
  <si>
    <t>Percent Alternative Car Sales</t>
  </si>
  <si>
    <t>New Light Truck Sales 2/</t>
  </si>
  <si>
    <t xml:space="preserve">     Total Conventional Light Trucks</t>
  </si>
  <si>
    <t xml:space="preserve"> Alternative-Fuel Light Trucks</t>
  </si>
  <si>
    <t xml:space="preserve">     Total Alternative Light Trucks</t>
  </si>
  <si>
    <t>Percent Alternative Light Truck Sales</t>
  </si>
  <si>
    <t>Percent Total Alternative Sales</t>
  </si>
  <si>
    <t>EPACT Legislative  Alternative Sales</t>
  </si>
  <si>
    <t>ZEVP Legislative Alternative Sales</t>
  </si>
  <si>
    <t>Total Vehicles Sales</t>
  </si>
  <si>
    <t xml:space="preserve">    1/ Includes personal and fleet light-duty cars.</t>
  </si>
  <si>
    <t xml:space="preserve">    2/ Includes personal and fleet light-duty trucks.</t>
  </si>
  <si>
    <t xml:space="preserve">    ICE = Internal combustion engine.</t>
  </si>
  <si>
    <t xml:space="preserve">    EPACT = Energy Policy Act of 1992.</t>
  </si>
  <si>
    <t xml:space="preserve">    ZEVP = Zero emission vehicles from the low emission vehicle program.</t>
  </si>
  <si>
    <t>Table 58.  Light-Duty Vehicle Stock by Technology Type</t>
  </si>
  <si>
    <t>(millions)</t>
  </si>
  <si>
    <t>Light-Duty Car Stock 1/</t>
  </si>
  <si>
    <t>Conventional Vehicles</t>
  </si>
  <si>
    <t xml:space="preserve">   Total Conventional</t>
  </si>
  <si>
    <t xml:space="preserve">   Liquefied Petroleum Gas ICE</t>
  </si>
  <si>
    <t xml:space="preserve">   Liquefied Petroleum Gas Bi-fuel</t>
  </si>
  <si>
    <t xml:space="preserve">     Total Alternatives</t>
  </si>
  <si>
    <t>Total Car Stock</t>
  </si>
  <si>
    <t>Light-Duty Truck Stock 1/</t>
  </si>
  <si>
    <t>Total Truck Stock</t>
  </si>
  <si>
    <t>Total Vehicle Stock</t>
  </si>
  <si>
    <t>    1/ Includes personal and fleet vehicles.</t>
  </si>
  <si>
    <t>    ICE = Internal combustion engine.</t>
  </si>
  <si>
    <t>    - - = Not applicable.</t>
  </si>
  <si>
    <t>    Sources:  2009 and 2010 values derived using:  Energy</t>
  </si>
  <si>
    <t>Information Administration (EIA), Household Vehicles Energy Consumption</t>
  </si>
  <si>
    <t>1994, DOE/EIA-0464(94) (Washington, DC, August 1997); EIA, Describing Current and Potential Markets for</t>
  </si>
  <si>
    <t>Alternative-Fuel Vehicles, DOE/EIA-0604(96) (Washington, DC, March 1996); EIA, Alternatives to Traditional</t>
  </si>
  <si>
    <t>Transportation Fuels 1998, http://www.eia.doe.gov/cneaf/alt_trans98/table1.html; Federal Highway Administration, Highway</t>
  </si>
  <si>
    <t>Statistics 2009 (Washington, DC, April 2011); Oak Ridge National Laboratory,</t>
  </si>
  <si>
    <t>Transportation Energy Data Book:  30 and Annual (Oak Ridge, TN, 2011);</t>
  </si>
  <si>
    <t>and EIA, AEO2012 National Energy Modeling System.</t>
  </si>
  <si>
    <t>Projections:  EIA, AEO2012 National Energy Modeling System.</t>
  </si>
  <si>
    <t>Transportation Energy Data Book, 2010</t>
  </si>
  <si>
    <t>The Federal Highway Administration released revised historical data back</t>
  </si>
  <si>
    <t>This list includes public and private refuel sites; therefore, not all of these sites are available to the public.</t>
  </si>
  <si>
    <t>http://cta.ornl.gov/data/chapter4.shtml</t>
  </si>
  <si>
    <t xml:space="preserve">to 1985 which better reflected two-axle, four-tire trucks.  The definition </t>
  </si>
  <si>
    <t xml:space="preserve">Oxygenates are blended with gasoline to be used in conventional vehicles.  The amount of oxygenate </t>
  </si>
  <si>
    <t>of this category includes vans, pickup trucks, and sport utility vehicles.</t>
  </si>
  <si>
    <t xml:space="preserve">use dwarfs the alternative fuel use.  Gasoline-equivalent gallons are used in this table to allow </t>
  </si>
  <si>
    <t xml:space="preserve"> Though car registrations grew slightly from 2007 to 2008, the vehicle travel </t>
  </si>
  <si>
    <t xml:space="preserve">The number of two-axle, four-tire trucks registered in the United States </t>
  </si>
  <si>
    <t xml:space="preserve">comparisons of different fuel types. </t>
  </si>
  <si>
    <t>Table 6.4</t>
  </si>
  <si>
    <t xml:space="preserve">and fuel use declined.  The data in this table from 1985–on DO NOT include </t>
  </si>
  <si>
    <t>decreased from 2007 to 2008, as did vehicle travel and fuel use.</t>
  </si>
  <si>
    <t>Number of Alternative Refuel Sites by State and Fuel Type, 2010</t>
  </si>
  <si>
    <t>minivans, pickups,or sport utility vehicles.</t>
  </si>
  <si>
    <t>Table 2.3</t>
  </si>
  <si>
    <t>Biodiesel</t>
  </si>
  <si>
    <t>Hydrogen</t>
  </si>
  <si>
    <t>LNG</t>
  </si>
  <si>
    <t>Table 4.1</t>
  </si>
  <si>
    <t>Table 4.2</t>
  </si>
  <si>
    <t>Alternative Fuel and Oxygenate Consumption, 2003-2008</t>
  </si>
  <si>
    <t>State</t>
  </si>
  <si>
    <t>sites</t>
  </si>
  <si>
    <t>site</t>
  </si>
  <si>
    <t>Summary Statistics for Passenger Cars, 1970–2008</t>
  </si>
  <si>
    <t>Summary Statistics for Two-Axle, Four-Tire Trucks, 1970–2008</t>
  </si>
  <si>
    <t>(thousand gasoline–equivalent gallons)</t>
  </si>
  <si>
    <t>Connecticut</t>
  </si>
  <si>
    <t>Maine</t>
  </si>
  <si>
    <r>
      <t>Registrations</t>
    </r>
    <r>
      <rPr>
        <vertAlign val="superscript"/>
        <sz val="10"/>
        <rFont val="Arial"/>
        <family val="2"/>
      </rPr>
      <t>a</t>
    </r>
  </si>
  <si>
    <t xml:space="preserve">Vehicle travel </t>
  </si>
  <si>
    <t>Fuel use</t>
  </si>
  <si>
    <r>
      <t>Fuel economy</t>
    </r>
    <r>
      <rPr>
        <vertAlign val="superscript"/>
        <sz val="10"/>
        <rFont val="Arial"/>
        <family val="2"/>
      </rPr>
      <t>b</t>
    </r>
    <r>
      <rPr>
        <sz val="10"/>
        <rFont val="Arial"/>
        <family val="2"/>
      </rPr>
      <t xml:space="preserve"> </t>
    </r>
  </si>
  <si>
    <t>Registrations</t>
  </si>
  <si>
    <t>Vehicle travel</t>
  </si>
  <si>
    <t>Fuel economy</t>
  </si>
  <si>
    <t>Massachusetts</t>
  </si>
  <si>
    <t>Year</t>
  </si>
  <si>
    <t>(million miles)</t>
  </si>
  <si>
    <t>(million gallons)</t>
  </si>
  <si>
    <t>New Hampshire</t>
  </si>
  <si>
    <t>Alternative fuel</t>
  </si>
  <si>
    <t>Rhode Island</t>
  </si>
  <si>
    <t xml:space="preserve">     Liquified petroleum gas</t>
  </si>
  <si>
    <t>Vermont</t>
  </si>
  <si>
    <t xml:space="preserve">     Compressed natural gas</t>
  </si>
  <si>
    <t>New Jersey</t>
  </si>
  <si>
    <t xml:space="preserve">     Liquified natural gas</t>
  </si>
  <si>
    <t>New York</t>
  </si>
  <si>
    <r>
      <t xml:space="preserve">     E85</t>
    </r>
    <r>
      <rPr>
        <vertAlign val="superscript"/>
        <sz val="10"/>
        <rFont val="Arial"/>
        <family val="2"/>
      </rPr>
      <t>a</t>
    </r>
  </si>
  <si>
    <t>Pennsylvania</t>
  </si>
  <si>
    <r>
      <t xml:space="preserve">     Electricity</t>
    </r>
    <r>
      <rPr>
        <vertAlign val="superscript"/>
        <sz val="10"/>
        <rFont val="Arial"/>
        <family val="2"/>
      </rPr>
      <t>b</t>
    </r>
  </si>
  <si>
    <t>Illinois</t>
  </si>
  <si>
    <t xml:space="preserve">     Hydrogen</t>
  </si>
  <si>
    <t>Indiana</t>
  </si>
  <si>
    <t xml:space="preserve">     Biodiesel</t>
  </si>
  <si>
    <t>Michigan</t>
  </si>
  <si>
    <t xml:space="preserve">     Other</t>
  </si>
  <si>
    <t>Ohio</t>
  </si>
  <si>
    <t xml:space="preserve">     Subtotal</t>
  </si>
  <si>
    <t>Wisconsin</t>
  </si>
  <si>
    <t>Oxygenates</t>
  </si>
  <si>
    <t>Iowa</t>
  </si>
  <si>
    <r>
      <t xml:space="preserve">     MTBE</t>
    </r>
    <r>
      <rPr>
        <vertAlign val="superscript"/>
        <sz val="10"/>
        <rFont val="Arial"/>
        <family val="2"/>
      </rPr>
      <t>c</t>
    </r>
  </si>
  <si>
    <t>Kansas</t>
  </si>
  <si>
    <t xml:space="preserve">     Ethanol in gasohol</t>
  </si>
  <si>
    <t>Minnesota</t>
  </si>
  <si>
    <t>Missouri</t>
  </si>
  <si>
    <t>Nebraska</t>
  </si>
  <si>
    <r>
      <t xml:space="preserve"> 1985</t>
    </r>
    <r>
      <rPr>
        <vertAlign val="superscript"/>
        <sz val="10"/>
        <rFont val="Arial"/>
        <family val="2"/>
      </rPr>
      <t>c</t>
    </r>
  </si>
  <si>
    <t xml:space="preserve"> 1985a</t>
  </si>
  <si>
    <t>Source:</t>
  </si>
  <si>
    <t>North Dakota</t>
  </si>
  <si>
    <r>
      <t xml:space="preserve">U.S. Department of Energy, Energy Information Administration, </t>
    </r>
    <r>
      <rPr>
        <i/>
        <sz val="10"/>
        <rFont val="Arial"/>
        <family val="2"/>
      </rPr>
      <t xml:space="preserve">Alternatives to Traditional Transportation Fuels, 2008, </t>
    </r>
  </si>
  <si>
    <t>South Dakota</t>
  </si>
  <si>
    <t xml:space="preserve">     Washington, DC, April 2010, web site www.eia.doe.gov/cneaf/alternate/page/atftables/afv-atf2008.pdf, </t>
  </si>
  <si>
    <t>Delaware</t>
  </si>
  <si>
    <t xml:space="preserve">      Table C1.  (Additional resources:  www.eia.doe.gov)</t>
  </si>
  <si>
    <t>Dist. of Columbia</t>
  </si>
  <si>
    <t>Florida</t>
  </si>
  <si>
    <t>Georgia</t>
  </si>
  <si>
    <r>
      <t xml:space="preserve">     </t>
    </r>
    <r>
      <rPr>
        <vertAlign val="superscript"/>
        <sz val="10"/>
        <rFont val="Arial"/>
        <family val="2"/>
      </rPr>
      <t>a</t>
    </r>
    <r>
      <rPr>
        <sz val="10"/>
        <rFont val="Arial"/>
        <family val="2"/>
      </rPr>
      <t xml:space="preserve"> Consumption includes gasoline portion of the mixture.</t>
    </r>
  </si>
  <si>
    <t>Maryland</t>
  </si>
  <si>
    <r>
      <t xml:space="preserve">     </t>
    </r>
    <r>
      <rPr>
        <vertAlign val="superscript"/>
        <sz val="10"/>
        <rFont val="Arial"/>
        <family val="2"/>
      </rPr>
      <t>b</t>
    </r>
    <r>
      <rPr>
        <sz val="10"/>
        <rFont val="Arial"/>
        <family val="2"/>
      </rPr>
      <t xml:space="preserve"> Vehicle consumption only; does not include power plant inputs.</t>
    </r>
  </si>
  <si>
    <t>North Carolina</t>
  </si>
  <si>
    <r>
      <t xml:space="preserve">     </t>
    </r>
    <r>
      <rPr>
        <vertAlign val="superscript"/>
        <sz val="10"/>
        <rFont val="Arial"/>
        <family val="2"/>
      </rPr>
      <t>c</t>
    </r>
    <r>
      <rPr>
        <sz val="10"/>
        <rFont val="Arial"/>
        <family val="2"/>
      </rPr>
      <t xml:space="preserve"> Methyl Tertiary Butyl Ether.  This category includes a very small amount of other ethers, primarily </t>
    </r>
  </si>
  <si>
    <t>South Carolina</t>
  </si>
  <si>
    <t>Tertiary Amyl Methyl Ether (TAME) and Ethyl Tertiary Butyl Ether (ETBE).</t>
  </si>
  <si>
    <t>Virginia</t>
  </si>
  <si>
    <t>West Virginia</t>
  </si>
  <si>
    <t>Alabama</t>
  </si>
  <si>
    <t>Kentucky</t>
  </si>
  <si>
    <t>Mississippi</t>
  </si>
  <si>
    <t>Tennessee</t>
  </si>
  <si>
    <t>Arkansas</t>
  </si>
  <si>
    <t>Louisiana</t>
  </si>
  <si>
    <t>Oklahoma</t>
  </si>
  <si>
    <t>Texas</t>
  </si>
  <si>
    <t>Arizona</t>
  </si>
  <si>
    <t>Colorado</t>
  </si>
  <si>
    <t>Idaho</t>
  </si>
  <si>
    <t>Montana</t>
  </si>
  <si>
    <t>Nevada</t>
  </si>
  <si>
    <t>Average annual percentage change</t>
  </si>
  <si>
    <t>New Mexico</t>
  </si>
  <si>
    <t>1970–2008</t>
  </si>
  <si>
    <t>Utah</t>
  </si>
  <si>
    <t>1998–2008</t>
  </si>
  <si>
    <t>Wyoming</t>
  </si>
  <si>
    <t>Alaska</t>
  </si>
  <si>
    <t>California</t>
  </si>
  <si>
    <r>
      <t xml:space="preserve">U.S. Department of Transportation, Federal Highway Administration, </t>
    </r>
    <r>
      <rPr>
        <i/>
        <sz val="10"/>
        <rFont val="Arial"/>
        <family val="2"/>
      </rPr>
      <t>Highway</t>
    </r>
    <r>
      <rPr>
        <sz val="10"/>
        <rFont val="Arial"/>
        <family val="2"/>
      </rPr>
      <t xml:space="preserve"> </t>
    </r>
  </si>
  <si>
    <r>
      <t xml:space="preserve">U.S. Department of Transportation, Federal Highway Administration, </t>
    </r>
    <r>
      <rPr>
        <i/>
        <sz val="10"/>
        <rFont val="Arial"/>
        <family val="2"/>
      </rPr>
      <t/>
    </r>
  </si>
  <si>
    <t>Hawaii</t>
  </si>
  <si>
    <r>
      <t xml:space="preserve">     </t>
    </r>
    <r>
      <rPr>
        <i/>
        <sz val="10"/>
        <rFont val="Arial"/>
        <family val="2"/>
      </rPr>
      <t>Statistics 2008</t>
    </r>
    <r>
      <rPr>
        <sz val="10"/>
        <rFont val="Arial"/>
        <family val="2"/>
      </rPr>
      <t>, Washington, DC, 2010, Table VM-1and annual.</t>
    </r>
  </si>
  <si>
    <t xml:space="preserve">     Highway Statistics 2008, Washington, DC, 2010, Table VM-1 </t>
  </si>
  <si>
    <t>Oregon</t>
  </si>
  <si>
    <t xml:space="preserve">     (Additional resources:  www.fhwa.dot.gov)</t>
  </si>
  <si>
    <t xml:space="preserve">     and annual.  (Additional resources:  www.fhwa.dot.gov)</t>
  </si>
  <si>
    <t>Washington</t>
  </si>
  <si>
    <t>Totals by Fuel:</t>
  </si>
  <si>
    <r>
      <t xml:space="preserve">    </t>
    </r>
    <r>
      <rPr>
        <vertAlign val="superscript"/>
        <sz val="10"/>
        <rFont val="Arial"/>
        <family val="2"/>
      </rPr>
      <t xml:space="preserve"> a </t>
    </r>
    <r>
      <rPr>
        <sz val="10"/>
        <rFont val="Arial"/>
        <family val="2"/>
      </rPr>
      <t>This number differs from R.L. Polk’s estimates of “number of automobiles</t>
    </r>
  </si>
  <si>
    <r>
      <t xml:space="preserve">     </t>
    </r>
    <r>
      <rPr>
        <vertAlign val="superscript"/>
        <sz val="10"/>
        <rFont val="Arial"/>
        <family val="2"/>
      </rPr>
      <t xml:space="preserve">a </t>
    </r>
    <r>
      <rPr>
        <sz val="10"/>
        <rFont val="Arial"/>
        <family val="2"/>
      </rPr>
      <t xml:space="preserve">Beginning in this year the data were revised to include all vans </t>
    </r>
  </si>
  <si>
    <t>in use.”  See Table 3.3.</t>
  </si>
  <si>
    <t>(including mini-vans), pickups and sport utility vehicles.</t>
  </si>
  <si>
    <t xml:space="preserve">Source:  </t>
  </si>
  <si>
    <r>
      <t xml:space="preserve">     </t>
    </r>
    <r>
      <rPr>
        <vertAlign val="superscript"/>
        <sz val="10"/>
        <rFont val="Arial"/>
        <family val="2"/>
      </rPr>
      <t>b</t>
    </r>
    <r>
      <rPr>
        <sz val="10"/>
        <rFont val="Arial"/>
        <family val="2"/>
      </rPr>
      <t>Fuel economy for car population.</t>
    </r>
  </si>
  <si>
    <t>U.S. Department of Energy, Alternative Fuels Data Center web site,</t>
  </si>
  <si>
    <r>
      <t xml:space="preserve">     </t>
    </r>
    <r>
      <rPr>
        <vertAlign val="superscript"/>
        <sz val="10"/>
        <rFont val="Arial"/>
        <family val="2"/>
      </rPr>
      <t>c</t>
    </r>
    <r>
      <rPr>
        <sz val="10"/>
        <rFont val="Arial"/>
        <family val="2"/>
      </rPr>
      <t xml:space="preserve">Beginning in this year the data were revised to exclude minivans, pickups </t>
    </r>
  </si>
  <si>
    <t xml:space="preserve">     www.eere.energy.gov/afdc/infrastructure/station counts.html, February 2010.</t>
  </si>
  <si>
    <t>and sport utility vehicles which may have been previously included.</t>
  </si>
  <si>
    <t xml:space="preserve">        </t>
  </si>
  <si>
    <t>Description: Price deflators for converting costs to $2005</t>
  </si>
  <si>
    <t xml:space="preserve">NIPA Table 1.1.9. Implicit Price Deflators for Gross Domestic Product                                                                                                                                                                                          </t>
  </si>
  <si>
    <t xml:space="preserve">[Index numbers, 2005=100]                                                                                                                                                                                                                                 </t>
  </si>
  <si>
    <t>US Department of Commerce: Bureau of Economic Analysis</t>
  </si>
  <si>
    <t>http://www.bea.gov/national/nipaweb/SelectTable.asp?Selected=Y</t>
  </si>
  <si>
    <t>Downloaded on 4/20/2012    Last Revised March 29,2012</t>
  </si>
  <si>
    <t>Deflator</t>
  </si>
  <si>
    <t>To convert this year to 2005, multiply by</t>
  </si>
  <si>
    <t>vehicle</t>
  </si>
  <si>
    <t>county</t>
  </si>
  <si>
    <t>fuelTypeID</t>
  </si>
  <si>
    <t>pollutant</t>
  </si>
  <si>
    <t>LDV</t>
  </si>
  <si>
    <t>Note that "LDV" means source class 21 and therefore does not include passenger pickup trucks, which are source class 31.</t>
  </si>
  <si>
    <t>Added by Andrew Zalesak on 5-6-2022.</t>
  </si>
  <si>
    <t>Readme - 05-12-2022</t>
  </si>
  <si>
    <t>- NYC Population Estimates</t>
  </si>
  <si>
    <t>For questions contact: Ozge Kaplan, kaplan.ozge@epa.gov, 919-541-5069</t>
  </si>
  <si>
    <t>Contributors:</t>
  </si>
  <si>
    <t>Mine Isik, Former ORISE</t>
  </si>
  <si>
    <t>Andrew Zalesak, ORISE</t>
  </si>
  <si>
    <t>Emissions (ICF WA on County Level MOVES runs)</t>
  </si>
  <si>
    <t>-county simulated MOVES runs</t>
  </si>
  <si>
    <t xml:space="preserve">- NYC.GOV </t>
  </si>
  <si>
    <t>- Emission factors from MOVES are consolidated in "NewEmisData"</t>
  </si>
  <si>
    <t xml:space="preserve">* VMT/person by region is calculated from input data. </t>
  </si>
  <si>
    <t>-inelastic</t>
  </si>
  <si>
    <t>~FI_Comm</t>
  </si>
  <si>
    <t>Csets</t>
  </si>
  <si>
    <t>LimType</t>
  </si>
  <si>
    <t>CTSLvl</t>
  </si>
  <si>
    <t>PeakTS</t>
  </si>
  <si>
    <t>Ctype</t>
  </si>
  <si>
    <t>NRG</t>
  </si>
  <si>
    <t>DEM</t>
  </si>
  <si>
    <t>~FI_Process</t>
  </si>
  <si>
    <t>Tact</t>
  </si>
  <si>
    <t>Tcap</t>
  </si>
  <si>
    <t>Sets</t>
  </si>
  <si>
    <t>PrimaryCG</t>
  </si>
  <si>
    <t>Vintage</t>
  </si>
  <si>
    <t>PRE</t>
  </si>
  <si>
    <t>DMD</t>
  </si>
  <si>
    <t>*CommDesc</t>
  </si>
  <si>
    <t>*Units</t>
  </si>
  <si>
    <t>COM_PROJ~2010</t>
  </si>
  <si>
    <t>COM_PROJ~2015</t>
  </si>
  <si>
    <t>COM_PROJ~2020</t>
  </si>
  <si>
    <t>COM_PROJ~2025</t>
  </si>
  <si>
    <t>COM_PROJ~2030</t>
  </si>
  <si>
    <t>COM_PROJ~2035</t>
  </si>
  <si>
    <t>COM_PROJ~2040</t>
  </si>
  <si>
    <t>COM_PROJ~2045</t>
  </si>
  <si>
    <t>COM_PROJ~2050</t>
  </si>
  <si>
    <t>COM_PROJ~2055</t>
  </si>
  <si>
    <t>COM_FR~IDAM</t>
  </si>
  <si>
    <t>COM_FR~IDPM</t>
  </si>
  <si>
    <t>COM_FR~IN</t>
  </si>
  <si>
    <t>COM_FR~IP</t>
  </si>
  <si>
    <t>COM_FR~SDAM</t>
  </si>
  <si>
    <t>COM_FR~SDPM</t>
  </si>
  <si>
    <t>COM_FR~SN</t>
  </si>
  <si>
    <t>COM_FR~SP</t>
  </si>
  <si>
    <t>COM_FR~WDAM</t>
  </si>
  <si>
    <t>COM_FR~WDPM</t>
  </si>
  <si>
    <t>COM_FR~WN</t>
  </si>
  <si>
    <t>COM_FR~WP</t>
  </si>
  <si>
    <t>~FI_T</t>
  </si>
  <si>
    <t>PRC_RESID~R2~2010</t>
  </si>
  <si>
    <t>PRC_RESID~R2~2015</t>
  </si>
  <si>
    <t>PRC_RESID~R2~2020</t>
  </si>
  <si>
    <t>PRC_RESID~R2~2025</t>
  </si>
  <si>
    <t>PRC_RESID~R3~2010</t>
  </si>
  <si>
    <t>PRC_RESID~R3~2015</t>
  </si>
  <si>
    <t>PRC_RESID~R3~2020</t>
  </si>
  <si>
    <t>PRC_RESID~R3~2025</t>
  </si>
  <si>
    <t>PRC_RESID~R4~2010</t>
  </si>
  <si>
    <t>PRC_RESID~R4~2015</t>
  </si>
  <si>
    <t>PRC_RESID~R4~2020</t>
  </si>
  <si>
    <t>PRC_RESID~R4~2025</t>
  </si>
  <si>
    <t>PRC_RESID~R5~2010</t>
  </si>
  <si>
    <t>PRC_RESID~R5~2015</t>
  </si>
  <si>
    <t>PRC_RESID~R5~2020</t>
  </si>
  <si>
    <t>PRC_RESID~R5~2025</t>
  </si>
  <si>
    <t>PRC_RESID~R6~2010</t>
  </si>
  <si>
    <t>PRC_RESID~R6~2015</t>
  </si>
  <si>
    <t>PRC_RESID~R6~2020</t>
  </si>
  <si>
    <t>PRC_RESID~R6~2025</t>
  </si>
  <si>
    <t>NCAP_DRATE</t>
  </si>
  <si>
    <t>NCAP_FOM</t>
  </si>
  <si>
    <t>NCAP_START</t>
  </si>
  <si>
    <t>NCAP_LIFE</t>
  </si>
  <si>
    <t>*TechDesc</t>
  </si>
  <si>
    <t>NCAP_AFA</t>
  </si>
  <si>
    <t>NCAP_BND~2010</t>
  </si>
  <si>
    <t>NCAP_BND~2015</t>
  </si>
  <si>
    <t>NCAP_BND~2020</t>
  </si>
  <si>
    <t>NCAP_BND~2025</t>
  </si>
  <si>
    <t>NCAP_BND~2030</t>
  </si>
  <si>
    <t>NCAP_BND~2035</t>
  </si>
  <si>
    <t>NCAP_BND~2040</t>
  </si>
  <si>
    <t>NCAP_BND~2045</t>
  </si>
  <si>
    <t>NCAP_BND~2050</t>
  </si>
  <si>
    <t>NCAP_BND~2055</t>
  </si>
  <si>
    <t>Share~UP</t>
  </si>
  <si>
    <t>NCAP_TLIFE</t>
  </si>
  <si>
    <t>NCAP_COST~2010</t>
  </si>
  <si>
    <t>NCAP_COST~2015</t>
  </si>
  <si>
    <t>NCAP_COST~2020</t>
  </si>
  <si>
    <t>NCAP_COST~2025</t>
  </si>
  <si>
    <t>NCAP_COST~2030</t>
  </si>
  <si>
    <t>NCAP_COST~2035</t>
  </si>
  <si>
    <t>NCAP_COST~2040</t>
  </si>
  <si>
    <t>NCAP_COST~2045</t>
  </si>
  <si>
    <t>NCAP_COST~2050</t>
  </si>
  <si>
    <t>NCAP_COST~2055</t>
  </si>
  <si>
    <t>EFF~2010</t>
  </si>
  <si>
    <t>EFF~2015</t>
  </si>
  <si>
    <t>EFF~2020</t>
  </si>
  <si>
    <t>EFF~2025</t>
  </si>
  <si>
    <t>EFF~2030</t>
  </si>
  <si>
    <t>EFF~2035</t>
  </si>
  <si>
    <t>EFF~2040</t>
  </si>
  <si>
    <t>EFF~2045</t>
  </si>
  <si>
    <t>EFF~2050</t>
  </si>
  <si>
    <t>EFF~2055</t>
  </si>
  <si>
    <t>*NCAP_DRATE</t>
  </si>
  <si>
    <t>NCAP_BND~UP~2010</t>
  </si>
  <si>
    <t>*CommIN</t>
  </si>
  <si>
    <t>*CommOUT</t>
  </si>
  <si>
    <t>*Type</t>
  </si>
  <si>
    <t>*Fuel</t>
  </si>
  <si>
    <t>*Adjustment</t>
  </si>
  <si>
    <t>*Categories for tracking emissions</t>
  </si>
  <si>
    <t>*ENV_ACT~CO2~2010</t>
  </si>
  <si>
    <t>*ENV_ACT~CO2~2015</t>
  </si>
  <si>
    <t>*ENV_ACT~CO2~2020</t>
  </si>
  <si>
    <t>*ENV_ACT~CO2~2025</t>
  </si>
  <si>
    <t>*ENV_ACT~CO2~2030</t>
  </si>
  <si>
    <t>*ENV_ACT~CO2~2035</t>
  </si>
  <si>
    <t>*ENV_ACT~CO2~2040</t>
  </si>
  <si>
    <t>*ENV_ACT~CO2~2045</t>
  </si>
  <si>
    <t>*ENV_ACT~CO2~2050</t>
  </si>
  <si>
    <t>*ENV_ACT~CO2~2055</t>
  </si>
  <si>
    <t>ENV_ACT~NOX~2010</t>
  </si>
  <si>
    <t>ENV_ACT~NOX~2015</t>
  </si>
  <si>
    <t>ENV_ACT~NOX~2020</t>
  </si>
  <si>
    <t>ENV_ACT~NOX~2025</t>
  </si>
  <si>
    <t>ENV_ACT~NOX~2030</t>
  </si>
  <si>
    <t>ENV_ACT~NOX~2035</t>
  </si>
  <si>
    <t>ENV_ACT~NOX~2040</t>
  </si>
  <si>
    <t>ENV_ACT~NOX~2045</t>
  </si>
  <si>
    <t>ENV_ACT~NOX~2050</t>
  </si>
  <si>
    <t>ENV_ACT~NOX~2055</t>
  </si>
  <si>
    <t>ENV_ACT~SO2~2010</t>
  </si>
  <si>
    <t>ENV_ACT~SO2~2015</t>
  </si>
  <si>
    <t>ENV_ACT~SO2~2020</t>
  </si>
  <si>
    <t>ENV_ACT~SO2~2025</t>
  </si>
  <si>
    <t>ENV_ACT~SO2~2030</t>
  </si>
  <si>
    <t>ENV_ACT~SO2~2035</t>
  </si>
  <si>
    <t>ENV_ACT~SO2~2040</t>
  </si>
  <si>
    <t>ENV_ACT~SO2~2045</t>
  </si>
  <si>
    <t>ENV_ACT~SO2~2050</t>
  </si>
  <si>
    <t>ENV_ACT~SO2~2055</t>
  </si>
  <si>
    <t>ENV_ACT~PM10~2010</t>
  </si>
  <si>
    <t>ENV_ACT~PM10~2015</t>
  </si>
  <si>
    <t>ENV_ACT~PM10~2020</t>
  </si>
  <si>
    <t>ENV_ACT~PM10~2025</t>
  </si>
  <si>
    <t>ENV_ACT~PM10~2030</t>
  </si>
  <si>
    <t>ENV_ACT~PM10~2035</t>
  </si>
  <si>
    <t>ENV_ACT~PM10~2040</t>
  </si>
  <si>
    <t>ENV_ACT~PM10~2045</t>
  </si>
  <si>
    <t>ENV_ACT~PM10~2050</t>
  </si>
  <si>
    <t>ENV_ACT~PM10~2055</t>
  </si>
  <si>
    <t>*ENV_ACT~CO2T~2010</t>
  </si>
  <si>
    <t>*ENV_ACT~CO2T~2015</t>
  </si>
  <si>
    <t>*ENV_ACT~CO2T~2020</t>
  </si>
  <si>
    <t>*ENV_ACT~CO2T~2025</t>
  </si>
  <si>
    <t>*ENV_ACT~CO2T~2030</t>
  </si>
  <si>
    <t>*ENV_ACT~CO2T~2035</t>
  </si>
  <si>
    <t>*ENV_ACT~CO2T~2040</t>
  </si>
  <si>
    <t>*ENV_ACT~CO2T~2045</t>
  </si>
  <si>
    <t>*ENV_ACT~CO2T~2050</t>
  </si>
  <si>
    <t>*ENV_ACT~CO2T~2055</t>
  </si>
  <si>
    <t>*ENV_ACT~NOXT~2010</t>
  </si>
  <si>
    <t>*ENV_ACT~NOXT~2015</t>
  </si>
  <si>
    <t>*ENV_ACT~NOXT~2020</t>
  </si>
  <si>
    <t>*ENV_ACT~NOXT~2025</t>
  </si>
  <si>
    <t>*ENV_ACT~NOXT~2030</t>
  </si>
  <si>
    <t>*ENV_ACT~NOXT~2035</t>
  </si>
  <si>
    <t>*ENV_ACT~NOXT~2040</t>
  </si>
  <si>
    <t>*ENV_ACT~NOXT~2045</t>
  </si>
  <si>
    <t>*ENV_ACT~NOXT~2050</t>
  </si>
  <si>
    <t>*ENV_ACT~NOXT~2055</t>
  </si>
  <si>
    <t>*ENV_ACT~SO2T~2010</t>
  </si>
  <si>
    <t>*ENV_ACT~SO2T~2015</t>
  </si>
  <si>
    <t>*ENV_ACT~SO2T~2020</t>
  </si>
  <si>
    <t>*ENV_ACT~SO2T~2025</t>
  </si>
  <si>
    <t>*ENV_ACT~SO2T~2030</t>
  </si>
  <si>
    <t>*ENV_ACT~SO2T~2035</t>
  </si>
  <si>
    <t>*ENV_ACT~SO2T~2040</t>
  </si>
  <si>
    <t>*ENV_ACT~SO2T~2045</t>
  </si>
  <si>
    <t>*ENV_ACT~SO2T~2050</t>
  </si>
  <si>
    <t>*ENV_ACT~SO2T~2055</t>
  </si>
  <si>
    <t>*ENV_ACT~PM10T~2010</t>
  </si>
  <si>
    <t>*ENV_ACT~PM10T~2015</t>
  </si>
  <si>
    <t>*ENV_ACT~PM10T~2020</t>
  </si>
  <si>
    <t>*ENV_ACT~PM10T~2025</t>
  </si>
  <si>
    <t>*ENV_ACT~PM10T~2030</t>
  </si>
  <si>
    <t>*ENV_ACT~PM10T~2035</t>
  </si>
  <si>
    <t>*ENV_ACT~PM10T~2040</t>
  </si>
  <si>
    <t>*ENV_ACT~PM10T~2045</t>
  </si>
  <si>
    <t>*ENV_ACT~PM10T~2050</t>
  </si>
  <si>
    <t>*ENV_ACT~PM10T~2055</t>
  </si>
  <si>
    <t>*ENV_ACT~PM25T~2010</t>
  </si>
  <si>
    <t>*ENV_ACT~PM25T~2015</t>
  </si>
  <si>
    <t>*ENV_ACT~PM25T~2020</t>
  </si>
  <si>
    <t>*ENV_ACT~PM25T~2025</t>
  </si>
  <si>
    <t>*ENV_ACT~PM25T~2030</t>
  </si>
  <si>
    <t>*ENV_ACT~PM25T~2035</t>
  </si>
  <si>
    <t>*ENV_ACT~PM25T~2040</t>
  </si>
  <si>
    <t>*ENV_ACT~PM25T~2045</t>
  </si>
  <si>
    <t>*ENV_ACT~PM25T~2050</t>
  </si>
  <si>
    <t>*ENV_ACT~PM25T~2055</t>
  </si>
  <si>
    <t>FI_T</t>
  </si>
  <si>
    <t>* Light Duty Vehicle Demand Technologies - Existing</t>
  </si>
  <si>
    <t>kJ</t>
  </si>
  <si>
    <t>Emissions data from new borough-specific runs using MOVES2014a. Re-processed in 2022.</t>
  </si>
  <si>
    <t>kg/GJ</t>
  </si>
  <si>
    <t>gasoline</t>
  </si>
  <si>
    <t>Manhathan</t>
  </si>
  <si>
    <t>Assumed LDV VMT (from city data)</t>
  </si>
  <si>
    <t xml:space="preserve">Efficiency - old </t>
  </si>
  <si>
    <t>old Bvmt - sum</t>
  </si>
  <si>
    <t>Efficiency adjusted to new  VMT - bvmt/PJ</t>
  </si>
  <si>
    <t xml:space="preserve">Fuel allocation Table NYC </t>
  </si>
  <si>
    <t>Vehicle Type</t>
  </si>
  <si>
    <t>Light Duty</t>
  </si>
  <si>
    <t>New Bvmt sum to match (minus Elc veh)</t>
  </si>
  <si>
    <t>bvmt</t>
  </si>
  <si>
    <t>ENV_ACT~PM25~2010</t>
  </si>
  <si>
    <t>ENV_ACT~PM25~2015</t>
  </si>
  <si>
    <t>ENV_ACT~PM25~2020</t>
  </si>
  <si>
    <t>ENV_ACT~PM25~2025</t>
  </si>
  <si>
    <t>ENV_ACT~PM25~2030</t>
  </si>
  <si>
    <t>ENV_ACT~PM25~2035</t>
  </si>
  <si>
    <t>ENV_ACT~PM25~2040</t>
  </si>
  <si>
    <t>ENV_ACT~PM25~2050</t>
  </si>
  <si>
    <t>ENV_ACT~PM25~2055</t>
  </si>
  <si>
    <t>ENV_ACT~CO~2010</t>
  </si>
  <si>
    <t>ENV_ACT~CO~2015</t>
  </si>
  <si>
    <t>ENV_ACT~CO~2020</t>
  </si>
  <si>
    <t>ENV_ACT~CO~2025</t>
  </si>
  <si>
    <t>ENV_ACT~CO~2030</t>
  </si>
  <si>
    <t>ENV_ACT~CO~2035</t>
  </si>
  <si>
    <t>ENV_ACT~CO~2040</t>
  </si>
  <si>
    <t>ENV_ACT~CO~2045</t>
  </si>
  <si>
    <t>ENV_ACT~CO~2050</t>
  </si>
  <si>
    <t>ENV_ACT~CO~2055</t>
  </si>
  <si>
    <t>ENV_ACT~VOC~2010</t>
  </si>
  <si>
    <t>ENV_ACT~VOC~2015</t>
  </si>
  <si>
    <t>ENV_ACT~VOC~2020</t>
  </si>
  <si>
    <t>ENV_ACT~VOC~2025</t>
  </si>
  <si>
    <t>ENV_ACT~VOC~2030</t>
  </si>
  <si>
    <t>ENV_ACT~VOC~2035</t>
  </si>
  <si>
    <t>ENV_ACT~VOC~2040</t>
  </si>
  <si>
    <t>ENV_ACT~VOC~2045</t>
  </si>
  <si>
    <t>ENV_ACT~VOC~2050</t>
  </si>
  <si>
    <t>ENV_ACT~VOC~2055</t>
  </si>
  <si>
    <t>ENV_ACT~NH3~2010</t>
  </si>
  <si>
    <t>ENV_ACT~NH3~2015</t>
  </si>
  <si>
    <t>ENV_ACT~NH3~2020</t>
  </si>
  <si>
    <t>ENV_ACT~NH3~2025</t>
  </si>
  <si>
    <t>ENV_ACT~NH3~2030</t>
  </si>
  <si>
    <t>ENV_ACT~NH3~2035</t>
  </si>
  <si>
    <t>ENV_ACT~NH3~2040</t>
  </si>
  <si>
    <t>ENV_ACT~NH3~2045</t>
  </si>
  <si>
    <t>ENV_ACT~NH3~2050</t>
  </si>
  <si>
    <t>ENV_ACT~NH3~2055</t>
  </si>
  <si>
    <t>ENV_ACT~N2O~2010</t>
  </si>
  <si>
    <t>ENV_ACT~N2O~2015</t>
  </si>
  <si>
    <t>ENV_ACT~N2O~2020</t>
  </si>
  <si>
    <t>ENV_ACT~N2O~2025</t>
  </si>
  <si>
    <t>ENV_ACT~N2O~2030</t>
  </si>
  <si>
    <t>ENV_ACT~N2O~2035</t>
  </si>
  <si>
    <t>ENV_ACT~N2O~2040</t>
  </si>
  <si>
    <t>ENV_ACT~N2O~2045</t>
  </si>
  <si>
    <t>ENV_ACT~N2O~2050</t>
  </si>
  <si>
    <t>ENV_ACT~N2O~2055</t>
  </si>
  <si>
    <t>ENV_ACT~BC~2010</t>
  </si>
  <si>
    <t>ENV_ACT~BC~2015</t>
  </si>
  <si>
    <t>ENV_ACT~BC~2020</t>
  </si>
  <si>
    <t>ENV_ACT~BC~2025</t>
  </si>
  <si>
    <t>ENV_ACT~BC~2030</t>
  </si>
  <si>
    <t>ENV_ACT~BC~2035</t>
  </si>
  <si>
    <t>ENV_ACT~BC~2040</t>
  </si>
  <si>
    <t>ENV_ACT~BC~2045</t>
  </si>
  <si>
    <t>ENV_ACT~BC~2050</t>
  </si>
  <si>
    <t>ENV_ACT~BC~2055</t>
  </si>
  <si>
    <t>ENV_ACT~OC~2010</t>
  </si>
  <si>
    <t>ENV_ACT~OC~2015</t>
  </si>
  <si>
    <t>ENV_ACT~OC~2020</t>
  </si>
  <si>
    <t>ENV_ACT~OC~2025</t>
  </si>
  <si>
    <t>ENV_ACT~OC~2030</t>
  </si>
  <si>
    <t>ENV_ACT~OC~2035</t>
  </si>
  <si>
    <t>ENV_ACT~OC~2040</t>
  </si>
  <si>
    <t>ENV_ACT~OC~2045</t>
  </si>
  <si>
    <t>ENV_ACT~OC~2050</t>
  </si>
  <si>
    <t>ENV_ACT~OC~2055</t>
  </si>
  <si>
    <t>ENV_ACT~CH4~2010</t>
  </si>
  <si>
    <t>ENV_ACT~CH4~2015</t>
  </si>
  <si>
    <t>ENV_ACT~CH4~2020</t>
  </si>
  <si>
    <t>ENV_ACT~CH4~2025</t>
  </si>
  <si>
    <t>ENV_ACT~CH4~2030</t>
  </si>
  <si>
    <t>ENV_ACT~CH4~2035</t>
  </si>
  <si>
    <t>ENV_ACT~CH4~2040</t>
  </si>
  <si>
    <t>ENV_ACT~CH4~2045</t>
  </si>
  <si>
    <t>ENV_ACT~CH4~2050</t>
  </si>
  <si>
    <t>ENV_ACT~CH4~2055</t>
  </si>
  <si>
    <t>ENV_ACT~PM25~2045</t>
  </si>
  <si>
    <t>Description: Light duty vehicle cost projections by technology and vehicle classification</t>
  </si>
  <si>
    <t>Source: Annual Energy Outlook (AEO) 2014, Energy Information Agency, U.S. Department of Energy, http://www.eia.doe.gov/oiaf/aeo/</t>
  </si>
  <si>
    <t>Table 70.  New Light-Duty Vehicle Prices</t>
  </si>
  <si>
    <t>(thousand 2012 dollars)</t>
  </si>
  <si>
    <t>AEO08</t>
  </si>
  <si>
    <t>AEO12</t>
  </si>
  <si>
    <t>AEO14</t>
  </si>
  <si>
    <t>2006$s</t>
  </si>
  <si>
    <t>2010$s</t>
  </si>
  <si>
    <t>2012$s</t>
  </si>
  <si>
    <t xml:space="preserve">  Mini-compact Cars</t>
  </si>
  <si>
    <t xml:space="preserve">  Subcompact Cars</t>
  </si>
  <si>
    <t xml:space="preserve">  Compact Cars</t>
  </si>
  <si>
    <t xml:space="preserve">  Midsize Cars</t>
  </si>
  <si>
    <t xml:space="preserve">  Large Cars</t>
  </si>
  <si>
    <t xml:space="preserve">  Two Seater Cars</t>
  </si>
  <si>
    <t xml:space="preserve">  Small Pickup</t>
  </si>
  <si>
    <t xml:space="preserve">  Large Pickup</t>
  </si>
  <si>
    <t xml:space="preserve">  Small Van</t>
  </si>
  <si>
    <t xml:space="preserve">  Large Van</t>
  </si>
  <si>
    <t xml:space="preserve">  Small Utility</t>
  </si>
  <si>
    <t xml:space="preserve">  Large Utility</t>
  </si>
  <si>
    <t>Turbo Direct Injection Diesel</t>
  </si>
  <si>
    <t>Plug-in Gasoline Hybrid</t>
  </si>
  <si>
    <t>Delta Ethanol Flex</t>
  </si>
  <si>
    <t>average</t>
  </si>
  <si>
    <t>Compressed Natural Gas</t>
  </si>
  <si>
    <t>Compressed Natural Gas Bi-Fuel</t>
  </si>
  <si>
    <t>Liquefied Petroleum Gas</t>
  </si>
  <si>
    <t>Liquefied Petroleum Gas Bi-Fuel</t>
  </si>
  <si>
    <t>100 Mile Electric Vehicle</t>
  </si>
  <si>
    <t>  Mini-compact Cars</t>
  </si>
  <si>
    <t>  Subcompact Cars</t>
  </si>
  <si>
    <t>  Compact Cars</t>
  </si>
  <si>
    <t>  Midsize Cars</t>
  </si>
  <si>
    <t>  Large Cars</t>
  </si>
  <si>
    <t>  Two Seater Cars</t>
  </si>
  <si>
    <t>  Small Pickup</t>
  </si>
  <si>
    <t>  Large Pickup</t>
  </si>
  <si>
    <t>  Small Van</t>
  </si>
  <si>
    <t>  Large Van</t>
  </si>
  <si>
    <t>  Small Utility</t>
  </si>
  <si>
    <t>  Large Utility</t>
  </si>
  <si>
    <t>200 Mile Electric Vehicle</t>
  </si>
  <si>
    <t>Diesel-Electric Hybrid</t>
  </si>
  <si>
    <t>Gasoline-Electric Hybrid</t>
  </si>
  <si>
    <t>Fuel Cell Methanol</t>
  </si>
  <si>
    <t>Fuel Cell Hydrogen</t>
  </si>
  <si>
    <t>Fuel Cell Gasoline</t>
  </si>
  <si>
    <t>Average Price</t>
  </si>
  <si>
    <t xml:space="preserve">  Cars</t>
  </si>
  <si>
    <t xml:space="preserve">  Trucks</t>
  </si>
  <si>
    <t xml:space="preserve">    Light Duty Vehicles</t>
  </si>
  <si>
    <t>Electric Vehicle Info from Rick Baker of ERG, provided Spring 2011</t>
  </si>
  <si>
    <t>Incremental cost over conventional vehicle</t>
  </si>
  <si>
    <t>Effiency (kwh/mi)</t>
  </si>
  <si>
    <t>100 Mile Range (80 miles effective)</t>
  </si>
  <si>
    <t>Vehicle Class</t>
  </si>
  <si>
    <t>Minimcompact</t>
  </si>
  <si>
    <t>Full Size</t>
  </si>
  <si>
    <t>200 Mile Range (160 miles effective)</t>
  </si>
  <si>
    <t>Incremental cost over conventional vehicle ($mil/blnvmt)</t>
  </si>
  <si>
    <t>Effiency (bvmt/PJ)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</si>
</sst>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0.0"/>
    <numFmt numFmtId="165" formatCode="0.000"/>
    <numFmt numFmtId="166" formatCode="0.0000"/>
    <numFmt numFmtId="167" formatCode="0.000000"/>
    <numFmt numFmtId="168" formatCode="0.00000"/>
    <numFmt numFmtId="169" formatCode="0.0%"/>
    <numFmt numFmtId="170" formatCode="_(&quot;$&quot;* #,##0_);_(&quot;$&quot;* \(#,##0\);_(&quot;$&quot;* &quot;-&quot;??_);_(@_)"/>
    <numFmt numFmtId="171" formatCode="_(* #,##0.00000_);_(* \(#,##0.00000\);_(* &quot;-&quot;??_);_(@_)"/>
    <numFmt numFmtId="172" formatCode="0.0000000"/>
    <numFmt numFmtId="173" formatCode="0.00_)"/>
    <numFmt numFmtId="174" formatCode="0.000_)"/>
    <numFmt numFmtId="175" formatCode="0.0_)"/>
    <numFmt numFmtId="176" formatCode="0_)"/>
    <numFmt numFmtId="177" formatCode="#,##0.0"/>
    <numFmt numFmtId="178" formatCode="#,##0.00000"/>
    <numFmt numFmtId="179" formatCode="_(* #,##0_);_(* \(#,##0\);_(* &quot;-&quot;??_);_(@_)"/>
    <numFmt numFmtId="180" formatCode="\Te\x\t"/>
    <numFmt numFmtId="181" formatCode="_-* #,##0.00_-;\-* #,##0.00_-;_-* &quot;-&quot;??_-;_-@_-"/>
    <numFmt numFmtId="182" formatCode="_(* #,##0.00000_);_(* \(#,##0.00000\);_(* &quot;-&quot;?????_);_(@_)"/>
  </numFmts>
  <fonts count="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b/>
      <sz val="9"/>
      <name val="Arial"/>
      <family val="2"/>
    </font>
    <font>
      <b/>
      <sz val="8"/>
      <name val="Arial"/>
      <family val="2"/>
    </font>
    <font>
      <sz val="8"/>
      <color indexed="81"/>
      <name val="Tahoma"/>
      <family val="2"/>
    </font>
    <font>
      <sz val="10"/>
      <color indexed="8"/>
      <name val="Arial"/>
      <family val="2"/>
    </font>
    <font>
      <sz val="9"/>
      <name val="Arial"/>
      <family val="2"/>
    </font>
    <font>
      <b/>
      <sz val="8"/>
      <color indexed="81"/>
      <name val="Tahoma"/>
      <family val="2"/>
    </font>
    <font>
      <b/>
      <u/>
      <sz val="10"/>
      <name val="Arial"/>
      <family val="2"/>
    </font>
    <font>
      <b/>
      <i/>
      <sz val="10"/>
      <name val="Arial"/>
      <family val="2"/>
    </font>
    <font>
      <sz val="10"/>
      <color indexed="14"/>
      <name val="Arial"/>
      <family val="2"/>
    </font>
    <font>
      <sz val="10"/>
      <color indexed="53"/>
      <name val="Arial"/>
      <family val="2"/>
    </font>
    <font>
      <i/>
      <sz val="10"/>
      <name val="Arial"/>
      <family val="2"/>
    </font>
    <font>
      <vertAlign val="superscript"/>
      <sz val="10"/>
      <name val="Arial"/>
      <family val="2"/>
    </font>
    <font>
      <sz val="10"/>
      <name val="Arial"/>
      <family val="2"/>
    </font>
    <font>
      <sz val="11"/>
      <color theme="1"/>
      <name val="Calibri"/>
      <family val="2"/>
      <scheme val="minor"/>
    </font>
    <font>
      <sz val="11"/>
      <color rgb="FF006100"/>
      <name val="Calibri"/>
      <family val="2"/>
      <scheme val="minor"/>
    </font>
    <font>
      <i/>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indexed="12"/>
      <name val="Arial"/>
      <family val="2"/>
    </font>
    <font>
      <u/>
      <sz val="10"/>
      <color indexed="12"/>
      <name val="Arial"/>
      <family val="2"/>
    </font>
    <font>
      <u/>
      <sz val="10"/>
      <color theme="10"/>
      <name val="Arial"/>
      <family val="2"/>
    </font>
    <font>
      <sz val="10"/>
      <color rgb="FFFF0000"/>
      <name val="Arial"/>
      <family val="2"/>
    </font>
    <font>
      <i/>
      <sz val="10"/>
      <color theme="0" tint="-0.249977111117893"/>
      <name val="Arial"/>
      <family val="2"/>
    </font>
    <font>
      <b/>
      <i/>
      <sz val="10"/>
      <color theme="0" tint="-0.249977111117893"/>
      <name val="Arial"/>
      <family val="2"/>
    </font>
    <font>
      <i/>
      <u/>
      <sz val="11"/>
      <color theme="10"/>
      <name val="Calibri"/>
      <family val="2"/>
      <scheme val="minor"/>
    </font>
    <font>
      <b/>
      <u/>
      <sz val="10"/>
      <color indexed="12"/>
      <name val="Arial"/>
      <family val="2"/>
    </font>
    <font>
      <sz val="10"/>
      <color theme="1"/>
      <name val="Arial"/>
      <family val="2"/>
    </font>
    <font>
      <b/>
      <sz val="10"/>
      <color theme="1"/>
      <name val="Arial"/>
      <family val="2"/>
    </font>
    <font>
      <u/>
      <sz val="10"/>
      <name val="Arial"/>
      <family val="2"/>
    </font>
    <font>
      <sz val="11"/>
      <name val="Calibri"/>
      <family val="2"/>
      <scheme val="minor"/>
    </font>
    <font>
      <b/>
      <sz val="12"/>
      <name val="Calibri"/>
      <family val="2"/>
      <scheme val="minor"/>
    </font>
    <font>
      <sz val="12"/>
      <color rgb="FFFFFFFF"/>
      <name val="Calibri"/>
      <family val="2"/>
      <scheme val="minor"/>
    </font>
    <font>
      <sz val="12"/>
      <color theme="0"/>
      <name val="Calibri"/>
      <family val="2"/>
      <scheme val="minor"/>
    </font>
    <font>
      <sz val="12"/>
      <color theme="1"/>
      <name val="Calibri"/>
      <family val="2"/>
      <scheme val="minor"/>
    </font>
    <font>
      <sz val="12"/>
      <name val="Calibri"/>
      <family val="2"/>
      <scheme val="minor"/>
    </font>
    <font>
      <sz val="10"/>
      <color theme="0"/>
      <name val="Arial"/>
      <family val="2"/>
    </font>
    <font>
      <b/>
      <sz val="9"/>
      <color indexed="81"/>
      <name val="Tahoma"/>
      <family val="2"/>
    </font>
    <font>
      <sz val="9"/>
      <color indexed="81"/>
      <name val="Tahoma"/>
      <family val="2"/>
    </font>
    <font>
      <b/>
      <sz val="12"/>
      <color theme="4"/>
      <name val="Calibri"/>
      <family val="2"/>
      <scheme val="minor"/>
    </font>
    <font>
      <b/>
      <sz val="9"/>
      <color theme="1"/>
      <name val="Calibri"/>
      <family val="2"/>
      <scheme val="minor"/>
    </font>
    <font>
      <sz val="9"/>
      <color theme="1"/>
      <name val="Calibri"/>
      <family val="2"/>
      <scheme val="minor"/>
    </font>
    <font>
      <b/>
      <sz val="10"/>
      <color rgb="FFFF0000"/>
      <name val="Arial"/>
      <family val="2"/>
    </font>
    <font>
      <i/>
      <sz val="11"/>
      <color rgb="FF000000"/>
      <name val="Calibri"/>
      <family val="2"/>
    </font>
    <font>
      <u/>
      <sz val="11"/>
      <color rgb="FF000000"/>
      <name val="Calibri"/>
      <family val="2"/>
    </font>
  </fonts>
  <fills count="51">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FFCC"/>
        <bgColor indexed="64"/>
      </patternFill>
    </fill>
    <fill>
      <patternFill patternType="solid">
        <fgColor indexed="43"/>
        <bgColor indexed="64"/>
      </patternFill>
    </fill>
    <fill>
      <patternFill patternType="solid">
        <fgColor theme="5"/>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000000"/>
      </patternFill>
    </fill>
  </fills>
  <borders count="28">
    <border>
      <left/>
      <right/>
      <top/>
      <bottom/>
      <diagonal/>
    </border>
    <border>
      <left/>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theme="0" tint="-0.249977111117893"/>
      </bottom>
      <diagonal/>
    </border>
    <border>
      <left/>
      <right/>
      <top/>
      <bottom style="dashed">
        <color theme="0" tint="-0.24994659260841701"/>
      </bottom>
      <diagonal/>
    </border>
  </borders>
  <cellStyleXfs count="108">
    <xf numFmtId="0" fontId="0" fillId="0" borderId="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27" fillId="3" borderId="0" applyNumberFormat="0" applyBorder="0" applyAlignment="0" applyProtection="0"/>
    <xf numFmtId="0" fontId="26" fillId="0" borderId="0"/>
    <xf numFmtId="0" fontId="4" fillId="0" borderId="0"/>
    <xf numFmtId="0" fontId="4" fillId="0" borderId="0"/>
    <xf numFmtId="0" fontId="16" fillId="0" borderId="0"/>
    <xf numFmtId="9" fontId="4" fillId="0" borderId="0" applyFont="0" applyFill="0" applyBorder="0" applyAlignment="0" applyProtection="0"/>
    <xf numFmtId="0" fontId="29" fillId="0" borderId="0" applyNumberFormat="0" applyFill="0" applyBorder="0" applyAlignment="0" applyProtection="0"/>
    <xf numFmtId="0" fontId="30" fillId="0" borderId="10" applyNumberFormat="0" applyFill="0" applyAlignment="0" applyProtection="0"/>
    <xf numFmtId="0" fontId="31" fillId="0" borderId="11" applyNumberFormat="0" applyFill="0" applyAlignment="0" applyProtection="0"/>
    <xf numFmtId="0" fontId="32" fillId="0" borderId="12" applyNumberFormat="0" applyFill="0" applyAlignment="0" applyProtection="0"/>
    <xf numFmtId="0" fontId="32" fillId="0" borderId="0" applyNumberFormat="0" applyFill="0" applyBorder="0" applyAlignment="0" applyProtection="0"/>
    <xf numFmtId="0" fontId="33" fillId="4" borderId="0" applyNumberFormat="0" applyBorder="0" applyAlignment="0" applyProtection="0"/>
    <xf numFmtId="0" fontId="34" fillId="5" borderId="0" applyNumberFormat="0" applyBorder="0" applyAlignment="0" applyProtection="0"/>
    <xf numFmtId="0" fontId="35" fillId="6" borderId="13" applyNumberFormat="0" applyAlignment="0" applyProtection="0"/>
    <xf numFmtId="0" fontId="36" fillId="7" borderId="14" applyNumberFormat="0" applyAlignment="0" applyProtection="0"/>
    <xf numFmtId="0" fontId="37" fillId="7" borderId="13" applyNumberFormat="0" applyAlignment="0" applyProtection="0"/>
    <xf numFmtId="0" fontId="38" fillId="0" borderId="15" applyNumberFormat="0" applyFill="0" applyAlignment="0" applyProtection="0"/>
    <xf numFmtId="0" fontId="39" fillId="8" borderId="16"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8" applyNumberFormat="0" applyFill="0" applyAlignment="0" applyProtection="0"/>
    <xf numFmtId="0" fontId="4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43" fillId="29" borderId="0" applyNumberFormat="0" applyBorder="0" applyAlignment="0" applyProtection="0"/>
    <xf numFmtId="0" fontId="4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43" fillId="33" borderId="0" applyNumberFormat="0" applyBorder="0" applyAlignment="0" applyProtection="0"/>
    <xf numFmtId="169" fontId="4" fillId="0" borderId="0" applyFont="0" applyFill="0" applyBorder="0" applyAlignment="0" applyProtection="0"/>
    <xf numFmtId="0" fontId="3" fillId="9" borderId="17" applyNumberFormat="0" applyFont="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0" fontId="3" fillId="9" borderId="17" applyNumberFormat="0" applyFont="0" applyAlignment="0" applyProtection="0"/>
    <xf numFmtId="169" fontId="25"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169" fontId="25" fillId="0" borderId="0" applyFont="0" applyFill="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44" fillId="0" borderId="0" applyNumberForma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0" fontId="45" fillId="0" borderId="0" applyNumberFormat="0" applyFill="0" applyBorder="0" applyAlignment="0" applyProtection="0">
      <alignment vertical="top"/>
      <protection locked="0"/>
    </xf>
    <xf numFmtId="0" fontId="4" fillId="0" borderId="0"/>
    <xf numFmtId="0" fontId="4" fillId="0" borderId="0"/>
    <xf numFmtId="0" fontId="2" fillId="0" borderId="0"/>
    <xf numFmtId="181" fontId="4" fillId="0" borderId="0" applyFont="0" applyFill="0" applyBorder="0" applyAlignment="0" applyProtection="0"/>
    <xf numFmtId="0" fontId="1" fillId="0" borderId="0"/>
    <xf numFmtId="0" fontId="4" fillId="0" borderId="0"/>
    <xf numFmtId="9" fontId="4" fillId="0" borderId="0" applyFont="0" applyFill="0" applyBorder="0" applyAlignment="0" applyProtection="0"/>
    <xf numFmtId="0" fontId="46" fillId="0" borderId="0" applyNumberFormat="0" applyFill="0" applyBorder="0" applyAlignment="0" applyProtection="0">
      <alignment vertical="top"/>
      <protection locked="0"/>
    </xf>
    <xf numFmtId="0" fontId="1" fillId="0" borderId="0"/>
    <xf numFmtId="0" fontId="64" fillId="0" borderId="0" applyNumberFormat="0" applyProtection="0">
      <alignment horizontal="left"/>
    </xf>
    <xf numFmtId="0" fontId="65" fillId="0" borderId="10" applyNumberFormat="0" applyProtection="0">
      <alignment wrapText="1"/>
    </xf>
    <xf numFmtId="0" fontId="65" fillId="0" borderId="26" applyNumberFormat="0" applyProtection="0">
      <alignment wrapText="1"/>
    </xf>
    <xf numFmtId="0" fontId="66" fillId="0" borderId="27" applyNumberFormat="0" applyFont="0" applyProtection="0">
      <alignment wrapText="1"/>
    </xf>
    <xf numFmtId="0" fontId="1" fillId="0" borderId="0"/>
  </cellStyleXfs>
  <cellXfs count="407">
    <xf numFmtId="0" fontId="0" fillId="0" borderId="0" xfId="0"/>
    <xf numFmtId="0" fontId="5" fillId="0" borderId="0" xfId="0" applyFont="1"/>
    <xf numFmtId="0" fontId="6" fillId="0" borderId="0" xfId="0" applyFont="1"/>
    <xf numFmtId="0" fontId="7" fillId="0" borderId="0" xfId="0" applyFont="1"/>
    <xf numFmtId="0" fontId="0" fillId="2" borderId="0" xfId="0" applyFill="1"/>
    <xf numFmtId="0" fontId="8" fillId="0" borderId="0" xfId="0" applyFont="1"/>
    <xf numFmtId="49" fontId="6" fillId="0" borderId="0" xfId="0" applyNumberFormat="1" applyFont="1"/>
    <xf numFmtId="11" fontId="6" fillId="0" borderId="0" xfId="0" applyNumberFormat="1" applyFont="1"/>
    <xf numFmtId="0" fontId="9" fillId="0" borderId="0" xfId="0" applyFont="1"/>
    <xf numFmtId="0" fontId="10" fillId="0" borderId="0" xfId="0" applyFont="1"/>
    <xf numFmtId="49" fontId="9" fillId="0" borderId="0" xfId="0" applyNumberFormat="1" applyFont="1"/>
    <xf numFmtId="0" fontId="11" fillId="0" borderId="0" xfId="0" applyFont="1"/>
    <xf numFmtId="0" fontId="0" fillId="0" borderId="0" xfId="0" quotePrefix="1"/>
    <xf numFmtId="0" fontId="4" fillId="0" borderId="0" xfId="0" applyFont="1"/>
    <xf numFmtId="0" fontId="5" fillId="37" borderId="0" xfId="0" applyFont="1" applyFill="1" applyAlignment="1">
      <alignment horizontal="left" vertical="center"/>
    </xf>
    <xf numFmtId="0" fontId="4" fillId="37" borderId="0" xfId="0" applyFont="1" applyFill="1" applyAlignment="1">
      <alignment horizontal="right" vertical="center"/>
    </xf>
    <xf numFmtId="0" fontId="0" fillId="37" borderId="0" xfId="0" applyFill="1"/>
    <xf numFmtId="0" fontId="4" fillId="37" borderId="0" xfId="0" applyFont="1" applyFill="1"/>
    <xf numFmtId="0" fontId="5" fillId="37" borderId="0" xfId="0" applyFont="1" applyFill="1" applyAlignment="1">
      <alignment horizontal="right" vertical="center"/>
    </xf>
    <xf numFmtId="0" fontId="20" fillId="37" borderId="0" xfId="0" applyFont="1" applyFill="1" applyAlignment="1">
      <alignment horizontal="right" vertical="center"/>
    </xf>
    <xf numFmtId="0" fontId="53" fillId="37" borderId="0" xfId="0" applyFont="1" applyFill="1" applyAlignment="1">
      <alignment horizontal="right" vertical="center"/>
    </xf>
    <xf numFmtId="3" fontId="53" fillId="37" borderId="0" xfId="0" applyNumberFormat="1" applyFont="1" applyFill="1" applyAlignment="1">
      <alignment horizontal="right" vertical="center"/>
    </xf>
    <xf numFmtId="0" fontId="52" fillId="37" borderId="0" xfId="0" applyFont="1" applyFill="1" applyAlignment="1">
      <alignment horizontal="right" vertical="center"/>
    </xf>
    <xf numFmtId="3" fontId="52" fillId="37" borderId="0" xfId="0" applyNumberFormat="1" applyFont="1" applyFill="1" applyAlignment="1">
      <alignment horizontal="right" vertical="center"/>
    </xf>
    <xf numFmtId="0" fontId="46" fillId="37" borderId="0" xfId="93" applyFont="1" applyFill="1" applyBorder="1" applyAlignment="1" applyProtection="1">
      <alignment horizontal="right" vertical="center"/>
    </xf>
    <xf numFmtId="4" fontId="52" fillId="37" borderId="0" xfId="0" applyNumberFormat="1" applyFont="1" applyFill="1" applyAlignment="1">
      <alignment horizontal="right" vertical="center"/>
    </xf>
    <xf numFmtId="2" fontId="4" fillId="37" borderId="0" xfId="0" applyNumberFormat="1" applyFont="1" applyFill="1" applyAlignment="1">
      <alignment horizontal="right" vertical="center"/>
    </xf>
    <xf numFmtId="177" fontId="52" fillId="37" borderId="0" xfId="0" applyNumberFormat="1" applyFont="1" applyFill="1" applyAlignment="1">
      <alignment horizontal="right" vertical="center"/>
    </xf>
    <xf numFmtId="0" fontId="44" fillId="37" borderId="0" xfId="93" applyFont="1" applyFill="1" applyBorder="1" applyAlignment="1" applyProtection="1">
      <alignment horizontal="right" vertical="center"/>
    </xf>
    <xf numFmtId="10" fontId="4" fillId="37" borderId="0" xfId="0" applyNumberFormat="1" applyFont="1" applyFill="1" applyAlignment="1">
      <alignment horizontal="right" vertical="center"/>
    </xf>
    <xf numFmtId="164" fontId="4" fillId="37" borderId="0" xfId="9" applyNumberFormat="1" applyFont="1" applyFill="1" applyBorder="1" applyAlignment="1">
      <alignment horizontal="right" vertical="center"/>
    </xf>
    <xf numFmtId="169" fontId="4" fillId="37" borderId="0" xfId="9" applyNumberFormat="1" applyFont="1" applyFill="1" applyBorder="1" applyAlignment="1">
      <alignment horizontal="right" vertical="center"/>
    </xf>
    <xf numFmtId="3" fontId="5" fillId="37" borderId="0" xfId="0" applyNumberFormat="1" applyFont="1" applyFill="1" applyAlignment="1">
      <alignment horizontal="right" vertical="center"/>
    </xf>
    <xf numFmtId="177" fontId="5" fillId="37" borderId="0" xfId="0" applyNumberFormat="1" applyFont="1" applyFill="1" applyAlignment="1">
      <alignment horizontal="right" vertical="center"/>
    </xf>
    <xf numFmtId="0" fontId="51" fillId="37" borderId="0" xfId="93" applyFont="1" applyFill="1" applyBorder="1" applyAlignment="1" applyProtection="1">
      <alignment horizontal="right" vertical="center"/>
    </xf>
    <xf numFmtId="165" fontId="4" fillId="37" borderId="0" xfId="9" applyNumberFormat="1" applyFont="1" applyFill="1" applyBorder="1" applyAlignment="1">
      <alignment horizontal="right" vertical="center"/>
    </xf>
    <xf numFmtId="169" fontId="52" fillId="37" borderId="0" xfId="9" applyNumberFormat="1" applyFont="1" applyFill="1" applyBorder="1" applyAlignment="1">
      <alignment horizontal="right" vertical="center"/>
    </xf>
    <xf numFmtId="169" fontId="53" fillId="37" borderId="0" xfId="9" applyNumberFormat="1" applyFont="1" applyFill="1" applyBorder="1" applyAlignment="1">
      <alignment horizontal="right" vertical="center"/>
    </xf>
    <xf numFmtId="4" fontId="53" fillId="37" borderId="0" xfId="0" applyNumberFormat="1" applyFont="1" applyFill="1" applyAlignment="1">
      <alignment horizontal="right" vertical="center"/>
    </xf>
    <xf numFmtId="165" fontId="4" fillId="37" borderId="0" xfId="0" applyNumberFormat="1" applyFont="1" applyFill="1" applyAlignment="1">
      <alignment horizontal="right" vertical="center"/>
    </xf>
    <xf numFmtId="0" fontId="4" fillId="37" borderId="0" xfId="0" applyFont="1" applyFill="1" applyAlignment="1">
      <alignment horizontal="right"/>
    </xf>
    <xf numFmtId="0" fontId="4" fillId="37" borderId="0" xfId="0" applyFont="1" applyFill="1" applyAlignment="1">
      <alignment horizontal="left" vertical="center"/>
    </xf>
    <xf numFmtId="0" fontId="4" fillId="37" borderId="0" xfId="0" applyFont="1" applyFill="1" applyAlignment="1">
      <alignment horizontal="left" vertical="center" wrapText="1"/>
    </xf>
    <xf numFmtId="0" fontId="5" fillId="36" borderId="0" xfId="0" applyFont="1" applyFill="1" applyAlignment="1">
      <alignment horizontal="right" vertical="center"/>
    </xf>
    <xf numFmtId="0" fontId="5" fillId="37" borderId="0" xfId="0" applyFont="1" applyFill="1" applyAlignment="1">
      <alignment horizontal="left"/>
    </xf>
    <xf numFmtId="0" fontId="5" fillId="37" borderId="0" xfId="0" applyFont="1" applyFill="1" applyAlignment="1">
      <alignment horizontal="right"/>
    </xf>
    <xf numFmtId="0" fontId="20" fillId="37" borderId="0" xfId="0" applyFont="1" applyFill="1" applyAlignment="1">
      <alignment horizontal="right"/>
    </xf>
    <xf numFmtId="0" fontId="4" fillId="37" borderId="0" xfId="0" applyFont="1" applyFill="1" applyAlignment="1">
      <alignment horizontal="left"/>
    </xf>
    <xf numFmtId="176" fontId="4" fillId="37" borderId="0" xfId="0" applyNumberFormat="1" applyFont="1" applyFill="1" applyAlignment="1">
      <alignment horizontal="right"/>
    </xf>
    <xf numFmtId="1" fontId="4" fillId="37" borderId="0" xfId="0" applyNumberFormat="1" applyFont="1" applyFill="1" applyAlignment="1">
      <alignment horizontal="right"/>
    </xf>
    <xf numFmtId="0" fontId="4" fillId="37" borderId="0" xfId="0" applyFont="1" applyFill="1" applyAlignment="1">
      <alignment horizontal="right" wrapText="1"/>
    </xf>
    <xf numFmtId="10" fontId="4" fillId="37" borderId="0" xfId="0" applyNumberFormat="1" applyFont="1" applyFill="1" applyAlignment="1">
      <alignment horizontal="right" wrapText="1"/>
    </xf>
    <xf numFmtId="2" fontId="4" fillId="37" borderId="0" xfId="0" applyNumberFormat="1" applyFont="1" applyFill="1" applyAlignment="1">
      <alignment horizontal="right"/>
    </xf>
    <xf numFmtId="169" fontId="4" fillId="37" borderId="0" xfId="9" applyNumberFormat="1" applyFont="1" applyFill="1" applyAlignment="1">
      <alignment horizontal="right"/>
    </xf>
    <xf numFmtId="2" fontId="5" fillId="37" borderId="0" xfId="0" applyNumberFormat="1" applyFont="1" applyFill="1" applyAlignment="1">
      <alignment horizontal="right"/>
    </xf>
    <xf numFmtId="169" fontId="5" fillId="37" borderId="0" xfId="0" applyNumberFormat="1" applyFont="1" applyFill="1" applyAlignment="1">
      <alignment horizontal="right"/>
    </xf>
    <xf numFmtId="9" fontId="5" fillId="37" borderId="0" xfId="9" applyFont="1" applyFill="1" applyAlignment="1">
      <alignment horizontal="right"/>
    </xf>
    <xf numFmtId="0" fontId="5" fillId="36" borderId="0" xfId="0" applyFont="1" applyFill="1" applyAlignment="1">
      <alignment horizontal="right"/>
    </xf>
    <xf numFmtId="0" fontId="5" fillId="37" borderId="0" xfId="0" applyFont="1" applyFill="1"/>
    <xf numFmtId="0" fontId="13" fillId="37" borderId="0" xfId="5" applyFont="1" applyFill="1" applyAlignment="1">
      <alignment horizontal="left" vertical="center"/>
    </xf>
    <xf numFmtId="3" fontId="4" fillId="37" borderId="0" xfId="0" applyNumberFormat="1" applyFont="1" applyFill="1" applyAlignment="1">
      <alignment horizontal="right" vertical="center"/>
    </xf>
    <xf numFmtId="0" fontId="17" fillId="37" borderId="0" xfId="5" applyFont="1" applyFill="1" applyAlignment="1">
      <alignment horizontal="right" vertical="center"/>
    </xf>
    <xf numFmtId="3" fontId="17" fillId="37" borderId="0" xfId="5" applyNumberFormat="1" applyFont="1" applyFill="1" applyAlignment="1">
      <alignment horizontal="right" vertical="center"/>
    </xf>
    <xf numFmtId="0" fontId="17" fillId="37" borderId="0" xfId="5" applyFont="1" applyFill="1" applyAlignment="1">
      <alignment horizontal="right"/>
    </xf>
    <xf numFmtId="3" fontId="17" fillId="37" borderId="0" xfId="5" applyNumberFormat="1" applyFont="1" applyFill="1" applyAlignment="1">
      <alignment horizontal="right"/>
    </xf>
    <xf numFmtId="10" fontId="17" fillId="37" borderId="0" xfId="9" applyNumberFormat="1" applyFont="1" applyFill="1" applyBorder="1" applyAlignment="1">
      <alignment horizontal="right"/>
    </xf>
    <xf numFmtId="0" fontId="13" fillId="37" borderId="0" xfId="5" applyFont="1" applyFill="1" applyAlignment="1">
      <alignment horizontal="right" vertical="center"/>
    </xf>
    <xf numFmtId="0" fontId="13" fillId="37" borderId="0" xfId="5" applyFont="1" applyFill="1" applyAlignment="1">
      <alignment horizontal="right"/>
    </xf>
    <xf numFmtId="0" fontId="0" fillId="37" borderId="0" xfId="0" applyFill="1" applyAlignment="1">
      <alignment horizontal="right" vertical="center"/>
    </xf>
    <xf numFmtId="0" fontId="50" fillId="37" borderId="0" xfId="93" applyFont="1" applyFill="1" applyBorder="1" applyAlignment="1" applyProtection="1">
      <alignment horizontal="right" vertical="top"/>
    </xf>
    <xf numFmtId="0" fontId="0" fillId="37" borderId="0" xfId="0" applyFill="1" applyAlignment="1">
      <alignment horizontal="right" vertical="top"/>
    </xf>
    <xf numFmtId="0" fontId="28" fillId="37" borderId="0" xfId="0" applyFont="1" applyFill="1" applyAlignment="1">
      <alignment horizontal="left" vertical="center"/>
    </xf>
    <xf numFmtId="0" fontId="50" fillId="37" borderId="0" xfId="93" applyFont="1" applyFill="1" applyBorder="1" applyAlignment="1" applyProtection="1">
      <alignment horizontal="left" vertical="top"/>
    </xf>
    <xf numFmtId="2" fontId="17" fillId="37" borderId="0" xfId="5" applyNumberFormat="1" applyFont="1" applyFill="1" applyAlignment="1">
      <alignment horizontal="right"/>
    </xf>
    <xf numFmtId="1" fontId="4" fillId="37" borderId="0" xfId="0" applyNumberFormat="1" applyFont="1" applyFill="1" applyAlignment="1">
      <alignment horizontal="right" vertical="center"/>
    </xf>
    <xf numFmtId="0" fontId="12" fillId="37" borderId="0" xfId="0" applyFont="1" applyFill="1" applyAlignment="1">
      <alignment horizontal="right"/>
    </xf>
    <xf numFmtId="0" fontId="0" fillId="37" borderId="0" xfId="0" applyFill="1" applyAlignment="1">
      <alignment horizontal="right"/>
    </xf>
    <xf numFmtId="165" fontId="4" fillId="37" borderId="0" xfId="0" applyNumberFormat="1" applyFont="1" applyFill="1" applyAlignment="1">
      <alignment horizontal="right"/>
    </xf>
    <xf numFmtId="165" fontId="5" fillId="37" borderId="0" xfId="0" applyNumberFormat="1" applyFont="1" applyFill="1" applyAlignment="1">
      <alignment horizontal="right"/>
    </xf>
    <xf numFmtId="164" fontId="4" fillId="37" borderId="0" xfId="0" applyNumberFormat="1" applyFont="1" applyFill="1" applyAlignment="1">
      <alignment horizontal="right"/>
    </xf>
    <xf numFmtId="166" fontId="4" fillId="37" borderId="0" xfId="0" applyNumberFormat="1" applyFont="1" applyFill="1" applyAlignment="1">
      <alignment horizontal="right"/>
    </xf>
    <xf numFmtId="0" fontId="4" fillId="37" borderId="0" xfId="0" quotePrefix="1" applyFont="1" applyFill="1" applyAlignment="1">
      <alignment horizontal="right"/>
    </xf>
    <xf numFmtId="49" fontId="4" fillId="37" borderId="0" xfId="0" applyNumberFormat="1" applyFont="1" applyFill="1" applyAlignment="1">
      <alignment horizontal="right"/>
    </xf>
    <xf numFmtId="0" fontId="5" fillId="36" borderId="0" xfId="0" applyFont="1" applyFill="1" applyAlignment="1" applyProtection="1">
      <alignment horizontal="right"/>
      <protection locked="0"/>
    </xf>
    <xf numFmtId="0" fontId="4" fillId="36" borderId="0" xfId="0" applyFont="1" applyFill="1" applyAlignment="1">
      <alignment horizontal="right"/>
    </xf>
    <xf numFmtId="1" fontId="5" fillId="36" borderId="0" xfId="0" applyNumberFormat="1" applyFont="1" applyFill="1" applyAlignment="1" applyProtection="1">
      <alignment horizontal="right"/>
      <protection locked="0"/>
    </xf>
    <xf numFmtId="164" fontId="4" fillId="37" borderId="0" xfId="0" applyNumberFormat="1" applyFont="1" applyFill="1" applyAlignment="1" applyProtection="1">
      <alignment horizontal="right"/>
      <protection locked="0"/>
    </xf>
    <xf numFmtId="164" fontId="4" fillId="37" borderId="0" xfId="2" applyNumberFormat="1" applyFont="1" applyFill="1" applyBorder="1" applyAlignment="1" applyProtection="1">
      <alignment horizontal="right"/>
      <protection locked="0"/>
    </xf>
    <xf numFmtId="38" fontId="4" fillId="37" borderId="0" xfId="2" applyNumberFormat="1" applyFont="1" applyFill="1" applyBorder="1" applyAlignment="1" applyProtection="1">
      <alignment horizontal="right"/>
      <protection locked="0"/>
    </xf>
    <xf numFmtId="2" fontId="4" fillId="37" borderId="0" xfId="2" applyNumberFormat="1" applyFont="1" applyFill="1" applyBorder="1" applyAlignment="1" applyProtection="1">
      <alignment horizontal="right"/>
      <protection locked="0"/>
    </xf>
    <xf numFmtId="166" fontId="4" fillId="37" borderId="0" xfId="0" applyNumberFormat="1" applyFont="1" applyFill="1" applyAlignment="1" applyProtection="1">
      <alignment horizontal="right"/>
      <protection locked="0"/>
    </xf>
    <xf numFmtId="0" fontId="19" fillId="37" borderId="0" xfId="0" applyFont="1" applyFill="1" applyAlignment="1">
      <alignment horizontal="right"/>
    </xf>
    <xf numFmtId="0" fontId="6" fillId="37" borderId="0" xfId="8" applyFont="1" applyFill="1" applyAlignment="1">
      <alignment horizontal="right" wrapText="1"/>
    </xf>
    <xf numFmtId="3" fontId="4" fillId="37" borderId="0" xfId="0" applyNumberFormat="1" applyFont="1" applyFill="1" applyAlignment="1">
      <alignment horizontal="right"/>
    </xf>
    <xf numFmtId="0" fontId="47" fillId="37" borderId="0" xfId="8" applyFont="1" applyFill="1" applyAlignment="1">
      <alignment horizontal="right" wrapText="1"/>
    </xf>
    <xf numFmtId="0" fontId="47" fillId="37" borderId="0" xfId="0" applyFont="1" applyFill="1" applyAlignment="1" applyProtection="1">
      <alignment horizontal="right"/>
      <protection locked="0"/>
    </xf>
    <xf numFmtId="0" fontId="47" fillId="37" borderId="0" xfId="0" applyFont="1" applyFill="1" applyAlignment="1">
      <alignment horizontal="right"/>
    </xf>
    <xf numFmtId="164" fontId="47" fillId="37" borderId="0" xfId="0" applyNumberFormat="1" applyFont="1" applyFill="1" applyAlignment="1" applyProtection="1">
      <alignment horizontal="right"/>
      <protection locked="0"/>
    </xf>
    <xf numFmtId="164" fontId="47" fillId="37" borderId="0" xfId="2" applyNumberFormat="1" applyFont="1" applyFill="1" applyBorder="1" applyAlignment="1" applyProtection="1">
      <alignment horizontal="right"/>
      <protection locked="0"/>
    </xf>
    <xf numFmtId="38" fontId="47" fillId="37" borderId="0" xfId="2" applyNumberFormat="1" applyFont="1" applyFill="1" applyBorder="1" applyAlignment="1" applyProtection="1">
      <alignment horizontal="right"/>
      <protection locked="0"/>
    </xf>
    <xf numFmtId="2" fontId="47" fillId="37" borderId="0" xfId="2" applyNumberFormat="1" applyFont="1" applyFill="1" applyBorder="1" applyAlignment="1" applyProtection="1">
      <alignment horizontal="right"/>
      <protection locked="0"/>
    </xf>
    <xf numFmtId="166" fontId="47" fillId="37" borderId="0" xfId="0" applyNumberFormat="1" applyFont="1" applyFill="1" applyAlignment="1" applyProtection="1">
      <alignment horizontal="right"/>
      <protection locked="0"/>
    </xf>
    <xf numFmtId="0" fontId="4" fillId="37" borderId="0" xfId="0" applyFont="1" applyFill="1" applyAlignment="1">
      <alignment horizontal="center"/>
    </xf>
    <xf numFmtId="0" fontId="4" fillId="37" borderId="0" xfId="0" applyFont="1" applyFill="1" applyAlignment="1" applyProtection="1">
      <alignment horizontal="right" vertical="center"/>
      <protection locked="0"/>
    </xf>
    <xf numFmtId="10" fontId="4" fillId="37" borderId="0" xfId="0" applyNumberFormat="1" applyFont="1" applyFill="1"/>
    <xf numFmtId="0" fontId="23" fillId="37" borderId="0" xfId="0" applyFont="1" applyFill="1"/>
    <xf numFmtId="174" fontId="4" fillId="37" borderId="0" xfId="0" applyNumberFormat="1" applyFont="1" applyFill="1"/>
    <xf numFmtId="0" fontId="54" fillId="37" borderId="0" xfId="0" applyFont="1" applyFill="1" applyAlignment="1">
      <alignment horizontal="right"/>
    </xf>
    <xf numFmtId="2" fontId="4" fillId="37" borderId="0" xfId="0" quotePrefix="1" applyNumberFormat="1" applyFont="1" applyFill="1" applyAlignment="1">
      <alignment horizontal="right"/>
    </xf>
    <xf numFmtId="4" fontId="4" fillId="37" borderId="0" xfId="0" applyNumberFormat="1" applyFont="1" applyFill="1" applyAlignment="1">
      <alignment horizontal="right"/>
    </xf>
    <xf numFmtId="38" fontId="4" fillId="37" borderId="0" xfId="0" applyNumberFormat="1" applyFont="1" applyFill="1" applyAlignment="1">
      <alignment horizontal="right"/>
    </xf>
    <xf numFmtId="174" fontId="4" fillId="37" borderId="0" xfId="0" applyNumberFormat="1" applyFont="1" applyFill="1" applyAlignment="1">
      <alignment horizontal="right"/>
    </xf>
    <xf numFmtId="0" fontId="23" fillId="37" borderId="0" xfId="0" applyFont="1" applyFill="1" applyAlignment="1">
      <alignment horizontal="right"/>
    </xf>
    <xf numFmtId="167" fontId="4" fillId="37" borderId="0" xfId="2" applyNumberFormat="1" applyFont="1" applyFill="1" applyBorder="1" applyAlignment="1" applyProtection="1">
      <alignment horizontal="right"/>
      <protection locked="0"/>
    </xf>
    <xf numFmtId="0" fontId="5" fillId="36" borderId="0" xfId="0" applyFont="1" applyFill="1"/>
    <xf numFmtId="175" fontId="4" fillId="37" borderId="0" xfId="0" applyNumberFormat="1" applyFont="1" applyFill="1" applyAlignment="1">
      <alignment horizontal="right"/>
    </xf>
    <xf numFmtId="169" fontId="4" fillId="37" borderId="0" xfId="9" quotePrefix="1" applyNumberFormat="1" applyFont="1" applyFill="1" applyAlignment="1">
      <alignment horizontal="right"/>
    </xf>
    <xf numFmtId="169" fontId="4" fillId="37" borderId="0" xfId="9" applyNumberFormat="1" applyFont="1" applyFill="1" applyBorder="1" applyAlignment="1">
      <alignment horizontal="right"/>
    </xf>
    <xf numFmtId="164" fontId="5" fillId="37" borderId="0" xfId="0" applyNumberFormat="1" applyFont="1" applyFill="1" applyAlignment="1">
      <alignment horizontal="right"/>
    </xf>
    <xf numFmtId="9" fontId="4" fillId="37" borderId="0" xfId="0" applyNumberFormat="1" applyFont="1" applyFill="1" applyAlignment="1">
      <alignment horizontal="right"/>
    </xf>
    <xf numFmtId="9" fontId="4" fillId="37" borderId="0" xfId="9" applyFont="1" applyFill="1" applyBorder="1" applyAlignment="1">
      <alignment horizontal="right"/>
    </xf>
    <xf numFmtId="0" fontId="5" fillId="37" borderId="0" xfId="0" applyFont="1" applyFill="1" applyAlignment="1">
      <alignment horizontal="right" wrapText="1"/>
    </xf>
    <xf numFmtId="43" fontId="4" fillId="37" borderId="0" xfId="2" applyFont="1" applyFill="1" applyBorder="1" applyAlignment="1">
      <alignment horizontal="right"/>
    </xf>
    <xf numFmtId="170" fontId="4" fillId="37" borderId="0" xfId="3" applyNumberFormat="1" applyFont="1" applyFill="1" applyBorder="1" applyAlignment="1">
      <alignment horizontal="right"/>
    </xf>
    <xf numFmtId="171" fontId="4" fillId="37" borderId="0" xfId="2" applyNumberFormat="1" applyFont="1" applyFill="1" applyBorder="1" applyAlignment="1">
      <alignment horizontal="right"/>
    </xf>
    <xf numFmtId="43" fontId="4" fillId="37" borderId="0" xfId="0" applyNumberFormat="1" applyFont="1" applyFill="1" applyAlignment="1">
      <alignment horizontal="right"/>
    </xf>
    <xf numFmtId="0" fontId="13" fillId="37" borderId="0" xfId="0" applyFont="1" applyFill="1" applyAlignment="1">
      <alignment horizontal="left"/>
    </xf>
    <xf numFmtId="0" fontId="4" fillId="37" borderId="20" xfId="0" applyFont="1" applyFill="1" applyBorder="1" applyAlignment="1">
      <alignment horizontal="right" wrapText="1"/>
    </xf>
    <xf numFmtId="173" fontId="4" fillId="37" borderId="0" xfId="0" applyNumberFormat="1" applyFont="1" applyFill="1" applyAlignment="1">
      <alignment horizontal="right"/>
    </xf>
    <xf numFmtId="9" fontId="4" fillId="37" borderId="0" xfId="9" applyFont="1" applyFill="1" applyAlignment="1">
      <alignment horizontal="right"/>
    </xf>
    <xf numFmtId="0" fontId="4" fillId="37" borderId="19" xfId="0" applyFont="1" applyFill="1" applyBorder="1" applyAlignment="1">
      <alignment horizontal="right" wrapText="1"/>
    </xf>
    <xf numFmtId="0" fontId="23" fillId="37" borderId="0" xfId="0" applyFont="1" applyFill="1" applyAlignment="1">
      <alignment horizontal="left"/>
    </xf>
    <xf numFmtId="0" fontId="52" fillId="37" borderId="0" xfId="0" applyFont="1" applyFill="1" applyAlignment="1">
      <alignment horizontal="right" wrapText="1"/>
    </xf>
    <xf numFmtId="3" fontId="5" fillId="37" borderId="0" xfId="0" applyNumberFormat="1" applyFont="1" applyFill="1" applyAlignment="1">
      <alignment horizontal="right"/>
    </xf>
    <xf numFmtId="3" fontId="4" fillId="37" borderId="0" xfId="0" applyNumberFormat="1" applyFont="1" applyFill="1" applyAlignment="1">
      <alignment horizontal="right" wrapText="1"/>
    </xf>
    <xf numFmtId="177" fontId="4" fillId="37" borderId="0" xfId="0" applyNumberFormat="1" applyFont="1" applyFill="1" applyAlignment="1">
      <alignment horizontal="right"/>
    </xf>
    <xf numFmtId="3" fontId="4" fillId="37" borderId="0" xfId="9" applyNumberFormat="1" applyFont="1" applyFill="1" applyBorder="1" applyAlignment="1">
      <alignment horizontal="right"/>
    </xf>
    <xf numFmtId="3" fontId="5" fillId="37" borderId="0" xfId="9" applyNumberFormat="1" applyFont="1" applyFill="1" applyBorder="1" applyAlignment="1">
      <alignment horizontal="right"/>
    </xf>
    <xf numFmtId="169" fontId="4" fillId="37" borderId="0" xfId="0" applyNumberFormat="1" applyFont="1" applyFill="1" applyAlignment="1">
      <alignment horizontal="right"/>
    </xf>
    <xf numFmtId="0" fontId="12" fillId="37" borderId="0" xfId="7" applyFont="1" applyFill="1" applyAlignment="1">
      <alignment horizontal="right"/>
    </xf>
    <xf numFmtId="0" fontId="4" fillId="37" borderId="0" xfId="6" applyFill="1" applyAlignment="1">
      <alignment horizontal="right"/>
    </xf>
    <xf numFmtId="0" fontId="4" fillId="37" borderId="0" xfId="5" applyFont="1" applyFill="1" applyAlignment="1">
      <alignment horizontal="right"/>
    </xf>
    <xf numFmtId="165" fontId="12" fillId="37" borderId="0" xfId="7" applyNumberFormat="1" applyFont="1" applyFill="1" applyAlignment="1">
      <alignment horizontal="right"/>
    </xf>
    <xf numFmtId="0" fontId="17" fillId="37" borderId="0" xfId="94" applyFont="1" applyFill="1" applyAlignment="1">
      <alignment horizontal="right"/>
    </xf>
    <xf numFmtId="172" fontId="17" fillId="37" borderId="0" xfId="94" applyNumberFormat="1" applyFont="1" applyFill="1" applyAlignment="1">
      <alignment horizontal="right"/>
    </xf>
    <xf numFmtId="0" fontId="14" fillId="37" borderId="0" xfId="7" applyFont="1" applyFill="1" applyAlignment="1">
      <alignment horizontal="left"/>
    </xf>
    <xf numFmtId="0" fontId="12" fillId="37" borderId="0" xfId="7" applyFont="1" applyFill="1" applyAlignment="1">
      <alignment horizontal="left"/>
    </xf>
    <xf numFmtId="0" fontId="54" fillId="37" borderId="0" xfId="93" applyFont="1" applyFill="1" applyAlignment="1" applyProtection="1">
      <alignment horizontal="left"/>
    </xf>
    <xf numFmtId="0" fontId="20" fillId="37" borderId="0" xfId="0" applyFont="1" applyFill="1" applyAlignment="1">
      <alignment horizontal="right" vertical="center" wrapText="1"/>
    </xf>
    <xf numFmtId="0" fontId="5" fillId="37" borderId="0" xfId="0" applyFont="1" applyFill="1" applyAlignment="1" applyProtection="1">
      <alignment horizontal="right" vertical="center"/>
      <protection locked="0"/>
    </xf>
    <xf numFmtId="165" fontId="22" fillId="37" borderId="0" xfId="0" applyNumberFormat="1" applyFont="1" applyFill="1" applyAlignment="1">
      <alignment horizontal="right" vertical="center"/>
    </xf>
    <xf numFmtId="166" fontId="4" fillId="37" borderId="0" xfId="0" applyNumberFormat="1" applyFont="1" applyFill="1" applyAlignment="1">
      <alignment horizontal="right" vertical="center"/>
    </xf>
    <xf numFmtId="0" fontId="4" fillId="38" borderId="0" xfId="0" applyFont="1" applyFill="1" applyAlignment="1">
      <alignment horizontal="right" vertical="center"/>
    </xf>
    <xf numFmtId="2" fontId="20" fillId="37" borderId="0" xfId="0" applyNumberFormat="1" applyFont="1" applyFill="1" applyAlignment="1">
      <alignment horizontal="right" vertical="center"/>
    </xf>
    <xf numFmtId="164" fontId="4" fillId="37" borderId="0" xfId="0" applyNumberFormat="1" applyFont="1" applyFill="1" applyAlignment="1">
      <alignment horizontal="right" vertical="center"/>
    </xf>
    <xf numFmtId="165" fontId="4" fillId="37" borderId="0" xfId="0" applyNumberFormat="1" applyFont="1" applyFill="1" applyAlignment="1" applyProtection="1">
      <alignment horizontal="right" vertical="center"/>
      <protection locked="0"/>
    </xf>
    <xf numFmtId="169" fontId="4" fillId="37" borderId="0" xfId="9" applyNumberFormat="1" applyFont="1" applyFill="1" applyBorder="1" applyAlignment="1" applyProtection="1">
      <alignment horizontal="right" vertical="center"/>
      <protection locked="0"/>
    </xf>
    <xf numFmtId="165" fontId="5" fillId="37" borderId="0" xfId="0" applyNumberFormat="1" applyFont="1" applyFill="1" applyAlignment="1">
      <alignment horizontal="right" vertical="center"/>
    </xf>
    <xf numFmtId="0" fontId="21" fillId="37" borderId="0" xfId="0" applyFont="1" applyFill="1" applyAlignment="1" applyProtection="1">
      <alignment horizontal="right" vertical="center"/>
      <protection locked="0"/>
    </xf>
    <xf numFmtId="2" fontId="4" fillId="37" borderId="0" xfId="9" applyNumberFormat="1" applyFont="1" applyFill="1" applyBorder="1" applyAlignment="1">
      <alignment horizontal="right" vertical="center"/>
    </xf>
    <xf numFmtId="0" fontId="19" fillId="37" borderId="0" xfId="0" applyFont="1" applyFill="1" applyAlignment="1" applyProtection="1">
      <alignment horizontal="right" vertical="center"/>
      <protection locked="0"/>
    </xf>
    <xf numFmtId="0" fontId="22" fillId="37" borderId="0" xfId="0" applyFont="1" applyFill="1" applyAlignment="1">
      <alignment horizontal="right" vertical="center"/>
    </xf>
    <xf numFmtId="0" fontId="23" fillId="37" borderId="0" xfId="0" applyFont="1" applyFill="1" applyAlignment="1">
      <alignment horizontal="right" vertical="center"/>
    </xf>
    <xf numFmtId="2" fontId="22" fillId="37" borderId="0" xfId="0" applyNumberFormat="1" applyFont="1" applyFill="1" applyAlignment="1">
      <alignment horizontal="right" vertical="center"/>
    </xf>
    <xf numFmtId="169" fontId="22" fillId="37" borderId="0" xfId="9" applyNumberFormat="1" applyFont="1" applyFill="1" applyBorder="1" applyAlignment="1">
      <alignment horizontal="right" vertical="center"/>
    </xf>
    <xf numFmtId="10" fontId="4" fillId="37" borderId="0" xfId="9" applyNumberFormat="1" applyFont="1" applyFill="1" applyBorder="1" applyAlignment="1">
      <alignment horizontal="right" vertical="center"/>
    </xf>
    <xf numFmtId="4" fontId="4" fillId="37" borderId="0" xfId="0" applyNumberFormat="1" applyFont="1" applyFill="1" applyAlignment="1">
      <alignment horizontal="right" vertical="center"/>
    </xf>
    <xf numFmtId="169" fontId="4" fillId="37" borderId="0" xfId="0" applyNumberFormat="1" applyFont="1" applyFill="1" applyAlignment="1">
      <alignment horizontal="right" vertical="center"/>
    </xf>
    <xf numFmtId="0" fontId="42" fillId="36" borderId="0" xfId="0" applyFont="1" applyFill="1"/>
    <xf numFmtId="0" fontId="0" fillId="36" borderId="0" xfId="0" applyFill="1"/>
    <xf numFmtId="0" fontId="55" fillId="37" borderId="0" xfId="0" applyFont="1" applyFill="1"/>
    <xf numFmtId="3" fontId="55" fillId="37" borderId="0" xfId="0" applyNumberFormat="1" applyFont="1" applyFill="1"/>
    <xf numFmtId="0" fontId="0" fillId="0" borderId="0" xfId="0" applyAlignment="1">
      <alignment horizontal="left"/>
    </xf>
    <xf numFmtId="3" fontId="0" fillId="37" borderId="0" xfId="0" applyNumberFormat="1" applyFill="1"/>
    <xf numFmtId="0" fontId="0" fillId="36" borderId="0" xfId="0" applyFill="1" applyAlignment="1">
      <alignment horizontal="left"/>
    </xf>
    <xf numFmtId="0" fontId="0" fillId="39" borderId="0" xfId="0" applyFill="1"/>
    <xf numFmtId="0" fontId="0" fillId="0" borderId="0" xfId="0" pivotButton="1"/>
    <xf numFmtId="2" fontId="0" fillId="37" borderId="0" xfId="0" applyNumberFormat="1" applyFill="1"/>
    <xf numFmtId="0" fontId="56" fillId="40" borderId="21" xfId="0" applyFont="1" applyFill="1" applyBorder="1" applyAlignment="1">
      <alignment horizontal="left" vertical="top" wrapText="1"/>
    </xf>
    <xf numFmtId="0" fontId="56" fillId="40" borderId="21" xfId="0" applyFont="1" applyFill="1" applyBorder="1" applyAlignment="1">
      <alignment horizontal="right" vertical="top" wrapText="1" indent="2"/>
    </xf>
    <xf numFmtId="0" fontId="56" fillId="40" borderId="21" xfId="0" applyFont="1" applyFill="1" applyBorder="1" applyAlignment="1">
      <alignment horizontal="right" vertical="top" wrapText="1"/>
    </xf>
    <xf numFmtId="0" fontId="58" fillId="40" borderId="21" xfId="0" applyFont="1" applyFill="1" applyBorder="1" applyAlignment="1">
      <alignment horizontal="right" vertical="top" wrapText="1" indent="1"/>
    </xf>
    <xf numFmtId="0" fontId="60" fillId="37" borderId="21" xfId="0" applyFont="1" applyFill="1" applyBorder="1" applyAlignment="1">
      <alignment horizontal="left" vertical="top" wrapText="1"/>
    </xf>
    <xf numFmtId="0" fontId="60" fillId="37" borderId="21" xfId="0" applyFont="1" applyFill="1" applyBorder="1" applyAlignment="1">
      <alignment horizontal="right" vertical="top" wrapText="1"/>
    </xf>
    <xf numFmtId="0" fontId="60" fillId="37" borderId="21" xfId="0" applyFont="1" applyFill="1" applyBorder="1" applyAlignment="1">
      <alignment horizontal="right" vertical="top" wrapText="1" indent="1"/>
    </xf>
    <xf numFmtId="0" fontId="59" fillId="37" borderId="21" xfId="0" applyFont="1" applyFill="1" applyBorder="1" applyAlignment="1">
      <alignment horizontal="left"/>
    </xf>
    <xf numFmtId="0" fontId="59" fillId="37" borderId="0" xfId="0" applyFont="1" applyFill="1" applyAlignment="1">
      <alignment horizontal="left"/>
    </xf>
    <xf numFmtId="0" fontId="59" fillId="37" borderId="0" xfId="0" applyFont="1" applyFill="1" applyAlignment="1">
      <alignment horizontal="right"/>
    </xf>
    <xf numFmtId="0" fontId="59" fillId="37" borderId="21" xfId="0" applyFont="1" applyFill="1" applyBorder="1" applyAlignment="1">
      <alignment horizontal="right"/>
    </xf>
    <xf numFmtId="0" fontId="59" fillId="37" borderId="0" xfId="0" applyFont="1" applyFill="1"/>
    <xf numFmtId="10" fontId="59" fillId="37" borderId="21" xfId="0" applyNumberFormat="1" applyFont="1" applyFill="1" applyBorder="1" applyAlignment="1">
      <alignment horizontal="left"/>
    </xf>
    <xf numFmtId="10" fontId="59" fillId="37" borderId="0" xfId="0" applyNumberFormat="1" applyFont="1" applyFill="1" applyAlignment="1">
      <alignment horizontal="left"/>
    </xf>
    <xf numFmtId="0" fontId="0" fillId="41" borderId="0" xfId="0" applyFill="1"/>
    <xf numFmtId="0" fontId="4" fillId="41" borderId="0" xfId="0" applyFont="1" applyFill="1" applyAlignment="1">
      <alignment horizontal="right"/>
    </xf>
    <xf numFmtId="3" fontId="0" fillId="41" borderId="0" xfId="0" applyNumberFormat="1" applyFill="1"/>
    <xf numFmtId="0" fontId="0" fillId="42" borderId="0" xfId="0" applyFill="1"/>
    <xf numFmtId="0" fontId="4" fillId="42" borderId="0" xfId="0" applyFont="1" applyFill="1" applyAlignment="1">
      <alignment horizontal="right"/>
    </xf>
    <xf numFmtId="3" fontId="0" fillId="42" borderId="0" xfId="0" applyNumberFormat="1" applyFill="1"/>
    <xf numFmtId="4" fontId="55" fillId="37" borderId="0" xfId="0" applyNumberFormat="1" applyFont="1" applyFill="1"/>
    <xf numFmtId="165" fontId="4" fillId="40" borderId="0" xfId="0" applyNumberFormat="1" applyFont="1" applyFill="1" applyAlignment="1">
      <alignment horizontal="right" vertical="center"/>
    </xf>
    <xf numFmtId="10" fontId="4" fillId="36" borderId="0" xfId="0" applyNumberFormat="1" applyFont="1" applyFill="1" applyAlignment="1">
      <alignment horizontal="right" vertical="center"/>
    </xf>
    <xf numFmtId="169" fontId="4" fillId="35" borderId="0" xfId="0" applyNumberFormat="1" applyFont="1" applyFill="1" applyAlignment="1">
      <alignment horizontal="right" vertical="center"/>
    </xf>
    <xf numFmtId="0" fontId="5" fillId="35" borderId="0" xfId="0" applyFont="1" applyFill="1" applyAlignment="1">
      <alignment horizontal="right" vertical="center"/>
    </xf>
    <xf numFmtId="0" fontId="4" fillId="40" borderId="0" xfId="0" applyFont="1" applyFill="1" applyAlignment="1" applyProtection="1">
      <alignment horizontal="right" vertical="center"/>
      <protection locked="0"/>
    </xf>
    <xf numFmtId="0" fontId="4" fillId="40" borderId="0" xfId="0" applyFont="1" applyFill="1" applyAlignment="1">
      <alignment horizontal="right" vertical="center"/>
    </xf>
    <xf numFmtId="0" fontId="6" fillId="40" borderId="0" xfId="8" applyFont="1" applyFill="1" applyAlignment="1">
      <alignment horizontal="right" vertical="center" wrapText="1"/>
    </xf>
    <xf numFmtId="0" fontId="5" fillId="40" borderId="0" xfId="0" applyFont="1" applyFill="1" applyAlignment="1">
      <alignment horizontal="right" vertical="center"/>
    </xf>
    <xf numFmtId="2" fontId="4" fillId="40" borderId="0" xfId="0" applyNumberFormat="1" applyFont="1" applyFill="1" applyAlignment="1">
      <alignment horizontal="right" vertical="center"/>
    </xf>
    <xf numFmtId="2" fontId="4" fillId="40" borderId="0" xfId="9" applyNumberFormat="1" applyFont="1" applyFill="1" applyBorder="1" applyAlignment="1">
      <alignment horizontal="right" vertical="center"/>
    </xf>
    <xf numFmtId="165" fontId="52" fillId="37" borderId="0" xfId="0" applyNumberFormat="1" applyFont="1" applyFill="1" applyAlignment="1">
      <alignment horizontal="right" vertical="center"/>
    </xf>
    <xf numFmtId="178" fontId="52" fillId="37" borderId="0" xfId="0" applyNumberFormat="1" applyFont="1" applyFill="1" applyAlignment="1">
      <alignment horizontal="right" vertical="center"/>
    </xf>
    <xf numFmtId="2" fontId="52" fillId="37" borderId="0" xfId="0" applyNumberFormat="1" applyFont="1" applyFill="1" applyAlignment="1">
      <alignment horizontal="right" vertical="center"/>
    </xf>
    <xf numFmtId="165" fontId="4" fillId="35" borderId="0" xfId="0" applyNumberFormat="1" applyFont="1" applyFill="1" applyAlignment="1">
      <alignment horizontal="right" vertical="center"/>
    </xf>
    <xf numFmtId="0" fontId="6" fillId="35" borderId="0" xfId="8" applyFont="1" applyFill="1" applyAlignment="1">
      <alignment horizontal="right" vertical="center" wrapText="1"/>
    </xf>
    <xf numFmtId="0" fontId="4" fillId="35" borderId="0" xfId="0" applyFont="1" applyFill="1" applyAlignment="1">
      <alignment horizontal="right" vertical="center"/>
    </xf>
    <xf numFmtId="165" fontId="0" fillId="37" borderId="0" xfId="0" applyNumberFormat="1" applyFill="1" applyAlignment="1">
      <alignment horizontal="right"/>
    </xf>
    <xf numFmtId="0" fontId="59" fillId="35" borderId="0" xfId="0" applyFont="1" applyFill="1" applyAlignment="1">
      <alignment horizontal="left"/>
    </xf>
    <xf numFmtId="0" fontId="59" fillId="35" borderId="0" xfId="0" applyFont="1" applyFill="1" applyAlignment="1">
      <alignment horizontal="right"/>
    </xf>
    <xf numFmtId="165" fontId="59" fillId="38" borderId="0" xfId="0" applyNumberFormat="1" applyFont="1" applyFill="1" applyAlignment="1">
      <alignment horizontal="right"/>
    </xf>
    <xf numFmtId="165" fontId="0" fillId="38" borderId="0" xfId="0" applyNumberFormat="1" applyFill="1" applyAlignment="1">
      <alignment horizontal="right"/>
    </xf>
    <xf numFmtId="165" fontId="0" fillId="35" borderId="0" xfId="0" applyNumberFormat="1" applyFill="1" applyAlignment="1">
      <alignment horizontal="right"/>
    </xf>
    <xf numFmtId="0" fontId="0" fillId="39" borderId="0" xfId="0" applyFill="1" applyAlignment="1">
      <alignment horizontal="right"/>
    </xf>
    <xf numFmtId="0" fontId="59" fillId="37" borderId="0" xfId="0" applyFont="1" applyFill="1" applyAlignment="1">
      <alignment horizontal="right" wrapText="1"/>
    </xf>
    <xf numFmtId="2" fontId="4" fillId="36" borderId="0" xfId="0" applyNumberFormat="1" applyFont="1" applyFill="1" applyAlignment="1">
      <alignment horizontal="right" vertical="center"/>
    </xf>
    <xf numFmtId="2" fontId="4" fillId="36" borderId="0" xfId="9" applyNumberFormat="1" applyFont="1" applyFill="1" applyBorder="1" applyAlignment="1">
      <alignment horizontal="right" vertical="center"/>
    </xf>
    <xf numFmtId="4" fontId="0" fillId="37" borderId="0" xfId="0" applyNumberFormat="1" applyFill="1"/>
    <xf numFmtId="0" fontId="4" fillId="34" borderId="0" xfId="0" applyFont="1" applyFill="1" applyAlignment="1" applyProtection="1">
      <alignment horizontal="right" vertical="center"/>
      <protection locked="0"/>
    </xf>
    <xf numFmtId="165" fontId="4" fillId="34" borderId="0" xfId="0" applyNumberFormat="1" applyFont="1" applyFill="1" applyAlignment="1">
      <alignment horizontal="right" vertical="center"/>
    </xf>
    <xf numFmtId="0" fontId="4" fillId="34" borderId="0" xfId="0" applyFont="1" applyFill="1" applyAlignment="1">
      <alignment horizontal="right" vertical="center"/>
    </xf>
    <xf numFmtId="0" fontId="5" fillId="37" borderId="4" xfId="0" applyFont="1" applyFill="1" applyBorder="1" applyAlignment="1" applyProtection="1">
      <alignment horizontal="right" vertical="center"/>
      <protection locked="0"/>
    </xf>
    <xf numFmtId="0" fontId="5" fillId="37" borderId="2" xfId="0" applyFont="1" applyFill="1" applyBorder="1" applyAlignment="1" applyProtection="1">
      <alignment horizontal="right" vertical="center"/>
      <protection locked="0"/>
    </xf>
    <xf numFmtId="0" fontId="5" fillId="37" borderId="3" xfId="0" applyFont="1" applyFill="1" applyBorder="1" applyAlignment="1" applyProtection="1">
      <alignment horizontal="right" vertical="center"/>
      <protection locked="0"/>
    </xf>
    <xf numFmtId="0" fontId="5" fillId="37" borderId="6" xfId="0" applyFont="1" applyFill="1" applyBorder="1" applyAlignment="1" applyProtection="1">
      <alignment horizontal="right" vertical="center"/>
      <protection locked="0"/>
    </xf>
    <xf numFmtId="0" fontId="5" fillId="37" borderId="5" xfId="0" applyFont="1" applyFill="1" applyBorder="1" applyAlignment="1" applyProtection="1">
      <alignment horizontal="right" vertical="center"/>
      <protection locked="0"/>
    </xf>
    <xf numFmtId="165" fontId="4" fillId="40" borderId="6" xfId="0" applyNumberFormat="1" applyFont="1" applyFill="1" applyBorder="1" applyAlignment="1">
      <alignment horizontal="right" vertical="center"/>
    </xf>
    <xf numFmtId="165" fontId="4" fillId="40" borderId="5" xfId="0" applyNumberFormat="1" applyFont="1" applyFill="1" applyBorder="1" applyAlignment="1">
      <alignment horizontal="right" vertical="center"/>
    </xf>
    <xf numFmtId="165" fontId="4" fillId="35" borderId="6" xfId="0" applyNumberFormat="1" applyFont="1" applyFill="1" applyBorder="1" applyAlignment="1">
      <alignment horizontal="right" vertical="center"/>
    </xf>
    <xf numFmtId="165" fontId="4" fillId="35" borderId="5" xfId="0" applyNumberFormat="1" applyFont="1" applyFill="1" applyBorder="1" applyAlignment="1">
      <alignment horizontal="right" vertical="center"/>
    </xf>
    <xf numFmtId="165" fontId="4" fillId="34" borderId="6" xfId="0" applyNumberFormat="1" applyFont="1" applyFill="1" applyBorder="1" applyAlignment="1">
      <alignment horizontal="right" vertical="center"/>
    </xf>
    <xf numFmtId="165" fontId="4" fillId="34" borderId="5" xfId="0" applyNumberFormat="1" applyFont="1" applyFill="1" applyBorder="1" applyAlignment="1">
      <alignment horizontal="right" vertical="center"/>
    </xf>
    <xf numFmtId="165" fontId="4" fillId="37" borderId="9" xfId="0" applyNumberFormat="1" applyFont="1" applyFill="1" applyBorder="1" applyAlignment="1">
      <alignment horizontal="right" vertical="center"/>
    </xf>
    <xf numFmtId="165" fontId="4" fillId="37" borderId="7" xfId="0" applyNumberFormat="1" applyFont="1" applyFill="1" applyBorder="1" applyAlignment="1">
      <alignment horizontal="right" vertical="center"/>
    </xf>
    <xf numFmtId="165" fontId="4" fillId="37" borderId="8" xfId="0" applyNumberFormat="1" applyFont="1" applyFill="1" applyBorder="1" applyAlignment="1">
      <alignment horizontal="right" vertical="center"/>
    </xf>
    <xf numFmtId="0" fontId="4" fillId="37" borderId="6" xfId="0" applyFont="1" applyFill="1" applyBorder="1" applyAlignment="1">
      <alignment horizontal="right" vertical="center"/>
    </xf>
    <xf numFmtId="0" fontId="4" fillId="37" borderId="5" xfId="0" applyFont="1" applyFill="1" applyBorder="1" applyAlignment="1">
      <alignment horizontal="right" vertical="center"/>
    </xf>
    <xf numFmtId="0" fontId="4" fillId="37" borderId="0" xfId="0" applyFont="1" applyFill="1" applyAlignment="1">
      <alignment horizontal="right" vertical="center" wrapText="1"/>
    </xf>
    <xf numFmtId="0" fontId="5" fillId="37" borderId="0" xfId="0" applyFont="1" applyFill="1" applyAlignment="1" applyProtection="1">
      <alignment horizontal="right"/>
      <protection locked="0"/>
    </xf>
    <xf numFmtId="164" fontId="5" fillId="37" borderId="0" xfId="0" applyNumberFormat="1" applyFont="1" applyFill="1" applyAlignment="1" applyProtection="1">
      <alignment horizontal="right"/>
      <protection locked="0"/>
    </xf>
    <xf numFmtId="0" fontId="4" fillId="37" borderId="0" xfId="0" applyFont="1" applyFill="1" applyAlignment="1" applyProtection="1">
      <alignment horizontal="right"/>
      <protection locked="0"/>
    </xf>
    <xf numFmtId="0" fontId="5"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180" fontId="10" fillId="0" borderId="0" xfId="0" applyNumberFormat="1" applyFont="1"/>
    <xf numFmtId="180" fontId="5" fillId="43" borderId="1" xfId="0" applyNumberFormat="1" applyFont="1" applyFill="1" applyBorder="1" applyAlignment="1">
      <alignment horizontal="left"/>
    </xf>
    <xf numFmtId="0" fontId="4" fillId="44" borderId="0" xfId="95" applyFill="1" applyAlignment="1">
      <alignment vertical="center"/>
    </xf>
    <xf numFmtId="0" fontId="0" fillId="44" borderId="0" xfId="0" applyFill="1" applyAlignment="1">
      <alignment vertical="center"/>
    </xf>
    <xf numFmtId="0" fontId="4" fillId="44" borderId="0" xfId="0" applyFont="1" applyFill="1" applyAlignment="1">
      <alignment vertical="center"/>
    </xf>
    <xf numFmtId="0" fontId="5" fillId="43" borderId="0" xfId="95" applyFont="1" applyFill="1" applyAlignment="1">
      <alignment vertical="center"/>
    </xf>
    <xf numFmtId="0" fontId="4" fillId="43" borderId="0" xfId="95" applyFill="1" applyAlignment="1">
      <alignment vertical="center"/>
    </xf>
    <xf numFmtId="0" fontId="0" fillId="43" borderId="0" xfId="0" applyFill="1" applyAlignment="1">
      <alignment vertical="center"/>
    </xf>
    <xf numFmtId="0" fontId="4" fillId="43" borderId="0" xfId="0" applyFont="1" applyFill="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180" fontId="5" fillId="45" borderId="25" xfId="0" applyNumberFormat="1" applyFont="1" applyFill="1" applyBorder="1"/>
    <xf numFmtId="49" fontId="4" fillId="0" borderId="0" xfId="0" applyNumberFormat="1" applyFont="1" applyAlignment="1">
      <alignment horizontal="center" vertical="center"/>
    </xf>
    <xf numFmtId="0" fontId="4" fillId="0" borderId="6" xfId="0" applyFont="1" applyBorder="1" applyAlignment="1">
      <alignment vertical="center"/>
    </xf>
    <xf numFmtId="2" fontId="4" fillId="0" borderId="0" xfId="0" applyNumberFormat="1" applyFont="1" applyAlignment="1">
      <alignment horizontal="center" vertical="center"/>
    </xf>
    <xf numFmtId="166" fontId="4" fillId="0" borderId="0" xfId="0" applyNumberFormat="1" applyFont="1" applyAlignment="1">
      <alignment horizontal="center" vertical="center"/>
    </xf>
    <xf numFmtId="166" fontId="4" fillId="0" borderId="5" xfId="0" applyNumberFormat="1" applyFont="1" applyBorder="1" applyAlignment="1">
      <alignment horizontal="center" vertical="center"/>
    </xf>
    <xf numFmtId="0" fontId="61" fillId="0" borderId="6" xfId="0" applyFont="1" applyBorder="1" applyAlignment="1">
      <alignment vertical="center"/>
    </xf>
    <xf numFmtId="0" fontId="61" fillId="0" borderId="0" xfId="0" applyFont="1" applyAlignment="1">
      <alignment vertical="center"/>
    </xf>
    <xf numFmtId="2" fontId="61" fillId="0" borderId="0" xfId="0" applyNumberFormat="1" applyFont="1" applyAlignment="1">
      <alignment horizontal="center" vertical="center"/>
    </xf>
    <xf numFmtId="166" fontId="61" fillId="0" borderId="0" xfId="0" applyNumberFormat="1" applyFont="1" applyAlignment="1">
      <alignment horizontal="center" vertical="center"/>
    </xf>
    <xf numFmtId="166" fontId="61" fillId="0" borderId="5" xfId="0" applyNumberFormat="1" applyFont="1" applyBorder="1" applyAlignment="1">
      <alignment horizontal="center" vertical="center"/>
    </xf>
    <xf numFmtId="0" fontId="5" fillId="0" borderId="9" xfId="0" applyFont="1" applyBorder="1" applyAlignment="1">
      <alignment vertical="center"/>
    </xf>
    <xf numFmtId="0" fontId="5" fillId="0" borderId="7" xfId="0" applyFont="1" applyBorder="1" applyAlignment="1">
      <alignment vertical="center"/>
    </xf>
    <xf numFmtId="2" fontId="5" fillId="0" borderId="7" xfId="0" applyNumberFormat="1"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49" fontId="5" fillId="0" borderId="0" xfId="0" applyNumberFormat="1" applyFont="1" applyAlignment="1">
      <alignment horizontal="center" vertical="center"/>
    </xf>
    <xf numFmtId="0" fontId="5" fillId="43" borderId="4" xfId="0" applyFont="1" applyFill="1" applyBorder="1" applyAlignment="1">
      <alignment vertical="center"/>
    </xf>
    <xf numFmtId="0" fontId="4" fillId="43" borderId="2" xfId="0" applyFont="1" applyFill="1" applyBorder="1" applyAlignment="1">
      <alignment vertical="center"/>
    </xf>
    <xf numFmtId="0" fontId="4" fillId="43" borderId="2" xfId="0" applyFont="1" applyFill="1" applyBorder="1" applyAlignment="1">
      <alignment horizontal="center" vertical="center"/>
    </xf>
    <xf numFmtId="0" fontId="4" fillId="43" borderId="3" xfId="0" applyFont="1" applyFill="1" applyBorder="1" applyAlignment="1">
      <alignment horizontal="center" vertical="center"/>
    </xf>
    <xf numFmtId="0" fontId="4" fillId="44" borderId="6" xfId="0" applyFont="1" applyFill="1" applyBorder="1" applyAlignment="1">
      <alignment vertical="center"/>
    </xf>
    <xf numFmtId="2" fontId="4" fillId="44" borderId="0" xfId="0" applyNumberFormat="1" applyFont="1" applyFill="1" applyAlignment="1">
      <alignment horizontal="center" vertical="center"/>
    </xf>
    <xf numFmtId="166" fontId="4" fillId="44" borderId="0" xfId="0" applyNumberFormat="1" applyFont="1" applyFill="1" applyAlignment="1">
      <alignment horizontal="center" vertical="center"/>
    </xf>
    <xf numFmtId="166" fontId="4" fillId="44" borderId="5" xfId="0" applyNumberFormat="1" applyFont="1" applyFill="1" applyBorder="1" applyAlignment="1">
      <alignment horizontal="center" vertical="center"/>
    </xf>
    <xf numFmtId="0" fontId="10" fillId="0" borderId="0" xfId="96" applyFont="1" applyAlignment="1">
      <alignment horizontal="left"/>
    </xf>
    <xf numFmtId="0" fontId="5" fillId="0" borderId="0" xfId="0" applyFont="1" applyAlignment="1">
      <alignment horizontal="left" vertical="center"/>
    </xf>
    <xf numFmtId="0" fontId="4" fillId="0" borderId="0" xfId="0" applyFont="1" applyAlignment="1">
      <alignment horizontal="left" vertical="center"/>
    </xf>
    <xf numFmtId="0" fontId="5" fillId="43" borderId="0" xfId="0" applyFont="1" applyFill="1" applyAlignment="1">
      <alignment horizontal="center" vertical="center"/>
    </xf>
    <xf numFmtId="0" fontId="4" fillId="43" borderId="0" xfId="0" applyFont="1" applyFill="1" applyAlignment="1">
      <alignment horizontal="center" vertical="center"/>
    </xf>
    <xf numFmtId="0" fontId="4" fillId="44" borderId="0" xfId="0" applyFont="1" applyFill="1" applyAlignment="1">
      <alignment horizontal="center" vertical="center"/>
    </xf>
    <xf numFmtId="2" fontId="4" fillId="44" borderId="0" xfId="9" applyNumberFormat="1" applyFont="1" applyFill="1" applyAlignment="1">
      <alignment horizontal="center" vertical="center"/>
    </xf>
    <xf numFmtId="9" fontId="4" fillId="44" borderId="0" xfId="9" applyFont="1" applyFill="1" applyAlignment="1">
      <alignment horizontal="center" vertical="center"/>
    </xf>
    <xf numFmtId="0" fontId="5" fillId="44" borderId="0" xfId="0" applyFont="1" applyFill="1" applyAlignment="1">
      <alignment horizontal="left" vertical="center"/>
    </xf>
    <xf numFmtId="0" fontId="4" fillId="44" borderId="0" xfId="0" applyFont="1" applyFill="1" applyAlignment="1">
      <alignment horizontal="left" vertical="center"/>
    </xf>
    <xf numFmtId="0" fontId="5" fillId="0" borderId="0" xfId="0" applyFont="1" applyAlignment="1">
      <alignment horizontal="right" vertical="center"/>
    </xf>
    <xf numFmtId="1" fontId="4" fillId="0" borderId="0" xfId="0" applyNumberFormat="1" applyFont="1" applyAlignment="1">
      <alignment horizontal="center" vertical="center"/>
    </xf>
    <xf numFmtId="165" fontId="4" fillId="0" borderId="0" xfId="0" applyNumberFormat="1" applyFont="1" applyAlignment="1">
      <alignment horizontal="center" vertical="center"/>
    </xf>
    <xf numFmtId="0" fontId="48" fillId="0" borderId="0" xfId="0" applyFont="1" applyAlignment="1">
      <alignment vertical="center"/>
    </xf>
    <xf numFmtId="0" fontId="49" fillId="0" borderId="0" xfId="0" applyFont="1" applyAlignment="1">
      <alignment vertical="center"/>
    </xf>
    <xf numFmtId="0" fontId="49" fillId="0" borderId="0" xfId="0" applyFont="1" applyAlignment="1">
      <alignment horizontal="center" vertical="center"/>
    </xf>
    <xf numFmtId="0" fontId="48" fillId="0" borderId="0" xfId="0" applyFont="1" applyAlignment="1">
      <alignment horizontal="center" vertical="center"/>
    </xf>
    <xf numFmtId="0" fontId="4" fillId="42" borderId="0" xfId="0" applyFont="1" applyFill="1" applyAlignment="1">
      <alignment horizontal="center" vertical="center"/>
    </xf>
    <xf numFmtId="0" fontId="5" fillId="42" borderId="0" xfId="0" applyFont="1" applyFill="1" applyAlignment="1">
      <alignment horizontal="right" vertical="center"/>
    </xf>
    <xf numFmtId="0" fontId="5" fillId="44" borderId="0" xfId="0" applyFont="1" applyFill="1" applyAlignment="1">
      <alignment horizontal="center" vertical="center"/>
    </xf>
    <xf numFmtId="1" fontId="4" fillId="44" borderId="0" xfId="0" applyNumberFormat="1" applyFont="1" applyFill="1" applyAlignment="1">
      <alignment horizontal="center" vertical="center"/>
    </xf>
    <xf numFmtId="165" fontId="4" fillId="44" borderId="0" xfId="0" applyNumberFormat="1" applyFont="1" applyFill="1" applyAlignment="1">
      <alignment horizontal="center" vertical="center"/>
    </xf>
    <xf numFmtId="169" fontId="4" fillId="44" borderId="0" xfId="9" applyNumberFormat="1" applyFont="1" applyFill="1" applyAlignment="1">
      <alignment horizontal="center" vertical="center"/>
    </xf>
    <xf numFmtId="0" fontId="5" fillId="43" borderId="0" xfId="0" applyFont="1" applyFill="1" applyAlignment="1">
      <alignment horizontal="right" vertical="center"/>
    </xf>
    <xf numFmtId="0" fontId="11"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2" fontId="4" fillId="0" borderId="0" xfId="0" applyNumberFormat="1" applyFont="1" applyAlignment="1">
      <alignment vertical="center"/>
    </xf>
    <xf numFmtId="1" fontId="4" fillId="0" borderId="0" xfId="0" applyNumberFormat="1" applyFont="1" applyAlignment="1">
      <alignment vertical="center"/>
    </xf>
    <xf numFmtId="165" fontId="4" fillId="0" borderId="0" xfId="0" applyNumberFormat="1" applyFont="1" applyAlignment="1">
      <alignment vertical="center"/>
    </xf>
    <xf numFmtId="0" fontId="5" fillId="44" borderId="0" xfId="0" applyFont="1" applyFill="1" applyAlignment="1">
      <alignment vertical="center"/>
    </xf>
    <xf numFmtId="2" fontId="4" fillId="44" borderId="0" xfId="0" applyNumberFormat="1" applyFont="1" applyFill="1" applyAlignment="1">
      <alignment vertical="center"/>
    </xf>
    <xf numFmtId="1" fontId="4" fillId="44" borderId="0" xfId="0" applyNumberFormat="1" applyFont="1" applyFill="1" applyAlignment="1">
      <alignment vertical="center"/>
    </xf>
    <xf numFmtId="0" fontId="5" fillId="0" borderId="2" xfId="0" applyFont="1" applyBorder="1" applyAlignment="1">
      <alignment horizontal="center" vertical="center"/>
    </xf>
    <xf numFmtId="166" fontId="4" fillId="0" borderId="0" xfId="0" applyNumberFormat="1" applyFont="1" applyAlignment="1" applyProtection="1">
      <alignment horizontal="center" vertical="center"/>
      <protection locked="0"/>
    </xf>
    <xf numFmtId="166" fontId="4" fillId="44" borderId="0" xfId="0" applyNumberFormat="1" applyFont="1" applyFill="1" applyAlignment="1" applyProtection="1">
      <alignment horizontal="center" vertical="center"/>
      <protection locked="0"/>
    </xf>
    <xf numFmtId="0" fontId="5" fillId="43" borderId="0" xfId="0" applyFont="1" applyFill="1" applyAlignment="1">
      <alignment horizontal="left" vertical="center"/>
    </xf>
    <xf numFmtId="0" fontId="4" fillId="43" borderId="0" xfId="0" applyFont="1" applyFill="1" applyAlignment="1">
      <alignment horizontal="left" vertical="center"/>
    </xf>
    <xf numFmtId="166" fontId="4" fillId="43" borderId="0" xfId="0" applyNumberFormat="1" applyFont="1" applyFill="1" applyAlignment="1" applyProtection="1">
      <alignment horizontal="center" vertical="center"/>
      <protection locked="0"/>
    </xf>
    <xf numFmtId="180" fontId="5" fillId="0" borderId="0" xfId="0" applyNumberFormat="1" applyFont="1" applyAlignment="1">
      <alignment horizontal="left"/>
    </xf>
    <xf numFmtId="0" fontId="4" fillId="0" borderId="0" xfId="95" applyAlignment="1">
      <alignment vertical="center"/>
    </xf>
    <xf numFmtId="166" fontId="47" fillId="44" borderId="0" xfId="0" applyNumberFormat="1" applyFont="1" applyFill="1" applyAlignment="1">
      <alignment horizontal="center" vertical="center"/>
    </xf>
    <xf numFmtId="43" fontId="4" fillId="0" borderId="0" xfId="1" applyFont="1" applyAlignment="1">
      <alignment horizontal="center" vertical="center"/>
    </xf>
    <xf numFmtId="179" fontId="0" fillId="37" borderId="0" xfId="1" applyNumberFormat="1" applyFont="1" applyFill="1"/>
    <xf numFmtId="0" fontId="0" fillId="36" borderId="4" xfId="0" applyFill="1" applyBorder="1" applyAlignment="1">
      <alignment horizontal="left"/>
    </xf>
    <xf numFmtId="0" fontId="0" fillId="36" borderId="2" xfId="0" applyFill="1" applyBorder="1" applyAlignment="1">
      <alignment horizontal="left"/>
    </xf>
    <xf numFmtId="0" fontId="0" fillId="36" borderId="3" xfId="0" applyFill="1" applyBorder="1" applyAlignment="1">
      <alignment horizontal="left"/>
    </xf>
    <xf numFmtId="0" fontId="0" fillId="36" borderId="6" xfId="0" applyFill="1" applyBorder="1" applyAlignment="1">
      <alignment horizontal="left"/>
    </xf>
    <xf numFmtId="0" fontId="0" fillId="36" borderId="5" xfId="0" applyFill="1" applyBorder="1" applyAlignment="1">
      <alignment horizontal="left"/>
    </xf>
    <xf numFmtId="0" fontId="0" fillId="37" borderId="9" xfId="0" applyFill="1" applyBorder="1"/>
    <xf numFmtId="179" fontId="0" fillId="37" borderId="6" xfId="1" applyNumberFormat="1" applyFont="1" applyFill="1" applyBorder="1"/>
    <xf numFmtId="179" fontId="0" fillId="37" borderId="0" xfId="1" applyNumberFormat="1" applyFont="1" applyFill="1" applyBorder="1"/>
    <xf numFmtId="179" fontId="0" fillId="37" borderId="5" xfId="1" applyNumberFormat="1" applyFont="1" applyFill="1" applyBorder="1"/>
    <xf numFmtId="179" fontId="0" fillId="37" borderId="7" xfId="1" applyNumberFormat="1" applyFont="1" applyFill="1" applyBorder="1"/>
    <xf numFmtId="179" fontId="0" fillId="37" borderId="8" xfId="1" applyNumberFormat="1" applyFont="1" applyFill="1" applyBorder="1"/>
    <xf numFmtId="0" fontId="67" fillId="37" borderId="0" xfId="0" applyFont="1" applyFill="1" applyAlignment="1">
      <alignment horizontal="left" vertical="center"/>
    </xf>
    <xf numFmtId="0" fontId="47" fillId="37" borderId="0" xfId="0" applyFont="1" applyFill="1" applyAlignment="1">
      <alignment horizontal="right" vertical="center"/>
    </xf>
    <xf numFmtId="2" fontId="67" fillId="37" borderId="0" xfId="0" applyNumberFormat="1" applyFont="1" applyFill="1" applyAlignment="1">
      <alignment horizontal="right" vertical="center"/>
    </xf>
    <xf numFmtId="2" fontId="47" fillId="37" borderId="0" xfId="0" applyNumberFormat="1" applyFont="1" applyFill="1" applyAlignment="1">
      <alignment horizontal="right" vertical="center"/>
    </xf>
    <xf numFmtId="0" fontId="47" fillId="37" borderId="0" xfId="0" applyFont="1" applyFill="1" applyAlignment="1">
      <alignment horizontal="left" vertical="center"/>
    </xf>
    <xf numFmtId="0" fontId="67" fillId="37" borderId="0" xfId="0" applyFont="1" applyFill="1" applyAlignment="1">
      <alignment horizontal="right" vertical="center"/>
    </xf>
    <xf numFmtId="10" fontId="47" fillId="37" borderId="0" xfId="0" applyNumberFormat="1" applyFont="1" applyFill="1" applyAlignment="1">
      <alignment horizontal="right" vertical="center"/>
    </xf>
    <xf numFmtId="0" fontId="4" fillId="46" borderId="0" xfId="0" applyFont="1" applyFill="1" applyAlignment="1">
      <alignment horizontal="right" vertical="center"/>
    </xf>
    <xf numFmtId="2" fontId="4" fillId="46" borderId="0" xfId="0" applyNumberFormat="1" applyFont="1" applyFill="1" applyAlignment="1">
      <alignment horizontal="right" vertical="center"/>
    </xf>
    <xf numFmtId="166" fontId="4" fillId="46" borderId="0" xfId="0" applyNumberFormat="1" applyFont="1" applyFill="1" applyAlignment="1">
      <alignment horizontal="right" vertical="center"/>
    </xf>
    <xf numFmtId="0" fontId="4" fillId="46" borderId="0" xfId="0" applyFont="1" applyFill="1" applyAlignment="1">
      <alignment horizontal="left" vertical="center"/>
    </xf>
    <xf numFmtId="0" fontId="5" fillId="46" borderId="0" xfId="0" applyFont="1" applyFill="1" applyAlignment="1">
      <alignment horizontal="right" vertical="center"/>
    </xf>
    <xf numFmtId="2" fontId="47" fillId="46" borderId="0" xfId="0" applyNumberFormat="1" applyFont="1" applyFill="1" applyAlignment="1">
      <alignment horizontal="right" vertical="center"/>
    </xf>
    <xf numFmtId="43" fontId="4" fillId="46" borderId="0" xfId="1" applyFont="1" applyFill="1" applyAlignment="1">
      <alignment horizontal="right" vertical="center"/>
    </xf>
    <xf numFmtId="0" fontId="47" fillId="46" borderId="0" xfId="0" applyFont="1" applyFill="1" applyAlignment="1">
      <alignment horizontal="right" vertical="center"/>
    </xf>
    <xf numFmtId="168" fontId="47" fillId="37" borderId="0" xfId="9" applyNumberFormat="1" applyFont="1" applyFill="1" applyBorder="1" applyAlignment="1">
      <alignment horizontal="right" vertical="center"/>
    </xf>
    <xf numFmtId="43" fontId="4" fillId="47" borderId="0" xfId="1" applyFont="1" applyFill="1" applyAlignment="1">
      <alignment horizontal="right" vertical="center"/>
    </xf>
    <xf numFmtId="0" fontId="4" fillId="48" borderId="0" xfId="0" applyFont="1" applyFill="1" applyAlignment="1">
      <alignment horizontal="right" vertical="center"/>
    </xf>
    <xf numFmtId="2" fontId="4" fillId="48" borderId="0" xfId="0" applyNumberFormat="1" applyFont="1" applyFill="1" applyAlignment="1">
      <alignment horizontal="right" vertical="center"/>
    </xf>
    <xf numFmtId="166" fontId="4" fillId="48" borderId="0" xfId="0" applyNumberFormat="1" applyFont="1" applyFill="1" applyAlignment="1">
      <alignment horizontal="right" vertical="center"/>
    </xf>
    <xf numFmtId="168" fontId="4" fillId="46" borderId="0" xfId="0" applyNumberFormat="1" applyFont="1" applyFill="1" applyAlignment="1">
      <alignment horizontal="right" vertical="center"/>
    </xf>
    <xf numFmtId="43" fontId="4" fillId="37" borderId="0" xfId="1" applyFont="1" applyFill="1" applyBorder="1" applyAlignment="1">
      <alignment horizontal="right" vertical="center"/>
    </xf>
    <xf numFmtId="182" fontId="4" fillId="46" borderId="0" xfId="0" applyNumberFormat="1" applyFont="1" applyFill="1" applyAlignment="1">
      <alignment horizontal="right" vertical="center"/>
    </xf>
    <xf numFmtId="43" fontId="0" fillId="0" borderId="0" xfId="1" applyFont="1" applyAlignment="1">
      <alignment horizontal="center" vertical="center"/>
    </xf>
    <xf numFmtId="166" fontId="4" fillId="37" borderId="0" xfId="9" applyNumberFormat="1" applyFont="1" applyFill="1" applyBorder="1" applyAlignment="1">
      <alignment horizontal="right" vertical="center"/>
    </xf>
    <xf numFmtId="165" fontId="4" fillId="46" borderId="0" xfId="0" applyNumberFormat="1" applyFont="1" applyFill="1" applyAlignment="1">
      <alignment horizontal="right" vertical="center"/>
    </xf>
    <xf numFmtId="43" fontId="4" fillId="44" borderId="0" xfId="1" applyFont="1" applyFill="1" applyAlignment="1">
      <alignment horizontal="center" vertical="center"/>
    </xf>
    <xf numFmtId="43" fontId="4" fillId="37" borderId="0" xfId="1" applyFont="1" applyFill="1" applyAlignment="1">
      <alignment horizontal="right" vertical="center"/>
    </xf>
    <xf numFmtId="9" fontId="4" fillId="46" borderId="0" xfId="9" applyFont="1" applyFill="1" applyAlignment="1">
      <alignment horizontal="right" vertical="center"/>
    </xf>
    <xf numFmtId="0" fontId="5" fillId="49" borderId="0" xfId="0" applyFont="1" applyFill="1" applyAlignment="1">
      <alignment horizontal="left"/>
    </xf>
    <xf numFmtId="0" fontId="4" fillId="49" borderId="0" xfId="0" applyFont="1" applyFill="1" applyAlignment="1">
      <alignment horizontal="right"/>
    </xf>
    <xf numFmtId="0" fontId="4" fillId="49" borderId="0" xfId="0" applyFont="1" applyFill="1" applyAlignment="1">
      <alignment horizontal="left"/>
    </xf>
    <xf numFmtId="0" fontId="0" fillId="49" borderId="0" xfId="0" applyFill="1" applyAlignment="1">
      <alignment horizontal="right"/>
    </xf>
    <xf numFmtId="0" fontId="5" fillId="50" borderId="0" xfId="0" applyFont="1" applyFill="1" applyAlignment="1">
      <alignment horizontal="right"/>
    </xf>
    <xf numFmtId="0" fontId="4" fillId="49" borderId="0" xfId="0" applyFont="1" applyFill="1" applyAlignment="1">
      <alignment horizontal="right" wrapText="1"/>
    </xf>
    <xf numFmtId="0" fontId="19" fillId="49" borderId="0" xfId="0" applyFont="1" applyFill="1" applyAlignment="1">
      <alignment horizontal="right"/>
    </xf>
    <xf numFmtId="10" fontId="4" fillId="49" borderId="0" xfId="0" applyNumberFormat="1" applyFont="1" applyFill="1" applyAlignment="1">
      <alignment horizontal="right"/>
    </xf>
    <xf numFmtId="0" fontId="5" fillId="49" borderId="0" xfId="0" applyFont="1" applyFill="1" applyAlignment="1">
      <alignment horizontal="right"/>
    </xf>
    <xf numFmtId="0" fontId="23" fillId="49" borderId="0" xfId="0" applyFont="1" applyFill="1" applyAlignment="1">
      <alignment horizontal="right"/>
    </xf>
    <xf numFmtId="0" fontId="4" fillId="49" borderId="0" xfId="0" applyFont="1" applyFill="1"/>
    <xf numFmtId="0" fontId="4" fillId="49" borderId="0" xfId="0" applyFont="1" applyFill="1" applyAlignment="1">
      <alignment horizontal="center"/>
    </xf>
    <xf numFmtId="0" fontId="5" fillId="49" borderId="0" xfId="0" applyFont="1" applyFill="1"/>
    <xf numFmtId="0" fontId="5" fillId="49" borderId="0" xfId="0" applyFont="1" applyFill="1" applyAlignment="1">
      <alignment horizontal="center"/>
    </xf>
    <xf numFmtId="0" fontId="5" fillId="50" borderId="0" xfId="0" applyFont="1" applyFill="1" applyAlignment="1">
      <alignment horizontal="center"/>
    </xf>
    <xf numFmtId="0" fontId="19" fillId="49" borderId="0" xfId="0" applyFont="1" applyFill="1"/>
    <xf numFmtId="3" fontId="4" fillId="49" borderId="0" xfId="0" applyNumberFormat="1" applyFont="1" applyFill="1"/>
    <xf numFmtId="0" fontId="5" fillId="50" borderId="0" xfId="0" applyFont="1" applyFill="1"/>
    <xf numFmtId="6" fontId="4" fillId="49" borderId="0" xfId="0" applyNumberFormat="1" applyFont="1" applyFill="1"/>
    <xf numFmtId="0" fontId="68" fillId="49" borderId="0" xfId="0" applyFont="1" applyFill="1" applyAlignment="1">
      <alignment horizontal="right"/>
    </xf>
    <xf numFmtId="0" fontId="69" fillId="49" borderId="0" xfId="0" applyFont="1" applyFill="1" applyAlignment="1">
      <alignment horizontal="right"/>
    </xf>
    <xf numFmtId="6" fontId="0" fillId="49" borderId="0" xfId="0" applyNumberFormat="1" applyFill="1" applyAlignment="1">
      <alignment horizontal="right"/>
    </xf>
    <xf numFmtId="0" fontId="4" fillId="37" borderId="0" xfId="0" applyFont="1" applyFill="1" applyAlignment="1">
      <alignment horizontal="right" vertical="center"/>
    </xf>
    <xf numFmtId="0" fontId="4" fillId="37" borderId="0" xfId="0" applyFont="1" applyFill="1" applyAlignment="1">
      <alignment horizontal="right" vertical="center" wrapText="1"/>
    </xf>
    <xf numFmtId="0" fontId="5" fillId="37" borderId="0" xfId="0" applyFont="1" applyFill="1" applyAlignment="1" applyProtection="1">
      <alignment horizontal="right"/>
      <protection locked="0"/>
    </xf>
    <xf numFmtId="164" fontId="5" fillId="37" borderId="0" xfId="0" applyNumberFormat="1" applyFont="1" applyFill="1" applyAlignment="1" applyProtection="1">
      <alignment horizontal="right"/>
      <protection locked="0"/>
    </xf>
    <xf numFmtId="0" fontId="59" fillId="37" borderId="22" xfId="0" applyFont="1" applyFill="1" applyBorder="1" applyAlignment="1">
      <alignment horizontal="left"/>
    </xf>
    <xf numFmtId="0" fontId="59" fillId="37" borderId="23" xfId="0" applyFont="1" applyFill="1" applyBorder="1" applyAlignment="1">
      <alignment horizontal="left"/>
    </xf>
    <xf numFmtId="0" fontId="59" fillId="37" borderId="24" xfId="0" applyFont="1" applyFill="1" applyBorder="1" applyAlignment="1">
      <alignment horizontal="left"/>
    </xf>
    <xf numFmtId="0" fontId="59" fillId="37" borderId="0" xfId="0" applyFont="1" applyFill="1" applyAlignment="1">
      <alignment horizontal="left" wrapText="1"/>
    </xf>
    <xf numFmtId="0" fontId="5" fillId="49" borderId="0" xfId="0" applyFont="1" applyFill="1" applyAlignment="1">
      <alignment horizontal="center"/>
    </xf>
    <xf numFmtId="0" fontId="4" fillId="37" borderId="0" xfId="0" applyFont="1" applyFill="1" applyAlignment="1" applyProtection="1">
      <alignment horizontal="right"/>
      <protection locked="0"/>
    </xf>
    <xf numFmtId="0" fontId="23" fillId="37" borderId="0" xfId="0" applyFont="1" applyFill="1" applyAlignment="1">
      <alignment horizontal="right"/>
    </xf>
    <xf numFmtId="0" fontId="5" fillId="37" borderId="0" xfId="0" applyFont="1" applyFill="1" applyAlignment="1">
      <alignment horizontal="right"/>
    </xf>
  </cellXfs>
  <cellStyles count="108">
    <cellStyle name="20% - Accent1" xfId="26" builtinId="30" customBuiltin="1"/>
    <cellStyle name="20% - Accent1 2" xfId="58" xr:uid="{00000000-0005-0000-0000-000001000000}"/>
    <cellStyle name="20% - Accent2" xfId="30" builtinId="34" customBuiltin="1"/>
    <cellStyle name="20% - Accent2 2" xfId="60" xr:uid="{00000000-0005-0000-0000-000003000000}"/>
    <cellStyle name="20% - Accent3" xfId="34" builtinId="38" customBuiltin="1"/>
    <cellStyle name="20% - Accent3 2" xfId="62" xr:uid="{00000000-0005-0000-0000-000005000000}"/>
    <cellStyle name="20% - Accent4" xfId="38" builtinId="42" customBuiltin="1"/>
    <cellStyle name="20% - Accent4 2" xfId="64" xr:uid="{00000000-0005-0000-0000-000007000000}"/>
    <cellStyle name="20% - Accent5" xfId="42" builtinId="46" customBuiltin="1"/>
    <cellStyle name="20% - Accent5 2" xfId="67" xr:uid="{00000000-0005-0000-0000-000009000000}"/>
    <cellStyle name="20% - Accent6" xfId="46" builtinId="50" customBuiltin="1"/>
    <cellStyle name="20% - Accent6 2" xfId="69" xr:uid="{00000000-0005-0000-0000-00000B000000}"/>
    <cellStyle name="40% - Accent1" xfId="27" builtinId="31" customBuiltin="1"/>
    <cellStyle name="40% - Accent1 2" xfId="59" xr:uid="{00000000-0005-0000-0000-00000D000000}"/>
    <cellStyle name="40% - Accent2" xfId="31" builtinId="35" customBuiltin="1"/>
    <cellStyle name="40% - Accent2 2" xfId="61" xr:uid="{00000000-0005-0000-0000-00000F000000}"/>
    <cellStyle name="40% - Accent3" xfId="35" builtinId="39" customBuiltin="1"/>
    <cellStyle name="40% - Accent3 2" xfId="63" xr:uid="{00000000-0005-0000-0000-000011000000}"/>
    <cellStyle name="40% - Accent4" xfId="39" builtinId="43" customBuiltin="1"/>
    <cellStyle name="40% - Accent4 2" xfId="65" xr:uid="{00000000-0005-0000-0000-000013000000}"/>
    <cellStyle name="40% - Accent5" xfId="43" builtinId="47" customBuiltin="1"/>
    <cellStyle name="40% - Accent5 2" xfId="68" xr:uid="{00000000-0005-0000-0000-000015000000}"/>
    <cellStyle name="40% - Accent6" xfId="47" builtinId="51" customBuiltin="1"/>
    <cellStyle name="40% - Accent6 2" xfId="70" xr:uid="{00000000-0005-0000-0000-000017000000}"/>
    <cellStyle name="60% - Accent1" xfId="28" builtinId="32" customBuiltin="1"/>
    <cellStyle name="60% - Accent2" xfId="32" builtinId="36" customBuiltin="1"/>
    <cellStyle name="60% - Accent3" xfId="36" builtinId="40" customBuiltin="1"/>
    <cellStyle name="60% - Accent4" xfId="40" builtinId="44" customBuiltin="1"/>
    <cellStyle name="60% - Accent5" xfId="44" builtinId="48" customBuiltin="1"/>
    <cellStyle name="60%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5" builtinId="27" customBuiltin="1"/>
    <cellStyle name="Body: normal cell" xfId="106" xr:uid="{B860B3D4-B3E9-4298-A0BF-FFBDF69E778A}"/>
    <cellStyle name="Calculation" xfId="19" builtinId="22" customBuiltin="1"/>
    <cellStyle name="Check Cell" xfId="21" builtinId="23" customBuiltin="1"/>
    <cellStyle name="Comma" xfId="1" builtinId="3"/>
    <cellStyle name="Comma 3" xfId="97" xr:uid="{A97C2BC3-6029-4709-92E9-A5F686914673}"/>
    <cellStyle name="Comma_MARKAL_16-TransportLDVotaq" xfId="2" xr:uid="{00000000-0005-0000-0000-000028000000}"/>
    <cellStyle name="Currency_MARKAL_16-TransportLDVotaq" xfId="3" xr:uid="{00000000-0005-0000-0000-00002A000000}"/>
    <cellStyle name="Explanatory Text" xfId="23" builtinId="53" customBuiltin="1"/>
    <cellStyle name="Good" xfId="4" builtinId="26" customBuiltin="1"/>
    <cellStyle name="Header: bottom row" xfId="104" xr:uid="{D9FA449A-1289-45D3-9CF2-3D0366F6659A}"/>
    <cellStyle name="Heading 1" xfId="11" builtinId="16" customBuiltin="1"/>
    <cellStyle name="Heading 2" xfId="12" builtinId="17" customBuiltin="1"/>
    <cellStyle name="Heading 3" xfId="13" builtinId="18" customBuiltin="1"/>
    <cellStyle name="Heading 4" xfId="14" builtinId="19" customBuiltin="1"/>
    <cellStyle name="Hyperlink" xfId="93" builtinId="8"/>
    <cellStyle name="Hyperlink 2" xfId="71" xr:uid="{00000000-0005-0000-0000-000032000000}"/>
    <cellStyle name="Hyperlink 3" xfId="101" xr:uid="{2FE6B160-9438-4212-8A01-9EF3EAADC504}"/>
    <cellStyle name="Input" xfId="17" builtinId="20" customBuiltin="1"/>
    <cellStyle name="Linked Cell" xfId="20" builtinId="24" customBuiltin="1"/>
    <cellStyle name="Neutral" xfId="16" builtinId="28" customBuiltin="1"/>
    <cellStyle name="Normal" xfId="0" builtinId="0" customBuiltin="1"/>
    <cellStyle name="Normal 10" xfId="96" xr:uid="{A203BCCF-C533-4F9C-94E8-553682920BF1}"/>
    <cellStyle name="Normal 10 2" xfId="107" xr:uid="{8D94B32C-F538-4D76-9C1C-97F301AC9313}"/>
    <cellStyle name="Normal 2" xfId="5" xr:uid="{00000000-0005-0000-0000-000037000000}"/>
    <cellStyle name="Normal 2 2" xfId="95" xr:uid="{00000000-0005-0000-0000-000038000000}"/>
    <cellStyle name="Normal 3" xfId="98" xr:uid="{88F99EBB-AE70-41BE-BFA8-A23B6A464728}"/>
    <cellStyle name="Normal 4" xfId="102" xr:uid="{21341980-086A-4977-B67E-F5E4AA508BAC}"/>
    <cellStyle name="Normal 7" xfId="99" xr:uid="{A105A4F1-4091-4182-9185-68EDDF494290}"/>
    <cellStyle name="Normal_conversion factors" xfId="6" xr:uid="{00000000-0005-0000-0000-000039000000}"/>
    <cellStyle name="Normal_Data Improvement Calcs" xfId="94" xr:uid="{00000000-0005-0000-0000-00003A000000}"/>
    <cellStyle name="Normal_EPAUS9r_08_SRC_Coal_v0.1a" xfId="7" xr:uid="{00000000-0005-0000-0000-00003B000000}"/>
    <cellStyle name="Normal_other" xfId="8" xr:uid="{00000000-0005-0000-0000-00003D000000}"/>
    <cellStyle name="Note 2" xfId="56" xr:uid="{00000000-0005-0000-0000-00003F000000}"/>
    <cellStyle name="Note 3" xfId="50" xr:uid="{00000000-0005-0000-0000-000040000000}"/>
    <cellStyle name="Output" xfId="18" builtinId="21" customBuiltin="1"/>
    <cellStyle name="Parent row" xfId="105" xr:uid="{8BA2D50C-B3E5-4059-AF5E-C9A532ED9201}"/>
    <cellStyle name="Percent" xfId="9" builtinId="5"/>
    <cellStyle name="Percent 10" xfId="73" xr:uid="{00000000-0005-0000-0000-000043000000}"/>
    <cellStyle name="Percent 11" xfId="74" xr:uid="{00000000-0005-0000-0000-000044000000}"/>
    <cellStyle name="Percent 12" xfId="75" xr:uid="{00000000-0005-0000-0000-000045000000}"/>
    <cellStyle name="Percent 13" xfId="76" xr:uid="{00000000-0005-0000-0000-000046000000}"/>
    <cellStyle name="Percent 14" xfId="77" xr:uid="{00000000-0005-0000-0000-000047000000}"/>
    <cellStyle name="Percent 15" xfId="78" xr:uid="{00000000-0005-0000-0000-000048000000}"/>
    <cellStyle name="Percent 16" xfId="79" xr:uid="{00000000-0005-0000-0000-000049000000}"/>
    <cellStyle name="Percent 17" xfId="80" xr:uid="{00000000-0005-0000-0000-00004A000000}"/>
    <cellStyle name="Percent 18" xfId="81" xr:uid="{00000000-0005-0000-0000-00004B000000}"/>
    <cellStyle name="Percent 19" xfId="82" xr:uid="{00000000-0005-0000-0000-00004C000000}"/>
    <cellStyle name="Percent 2" xfId="51" xr:uid="{00000000-0005-0000-0000-00004D000000}"/>
    <cellStyle name="Percent 2 2" xfId="100" xr:uid="{F0934FB3-2109-4B86-87ED-EED99AD0B155}"/>
    <cellStyle name="Percent 20" xfId="83" xr:uid="{00000000-0005-0000-0000-00004E000000}"/>
    <cellStyle name="Percent 21" xfId="84" xr:uid="{00000000-0005-0000-0000-00004F000000}"/>
    <cellStyle name="Percent 22" xfId="85" xr:uid="{00000000-0005-0000-0000-000050000000}"/>
    <cellStyle name="Percent 23" xfId="86" xr:uid="{00000000-0005-0000-0000-000051000000}"/>
    <cellStyle name="Percent 24" xfId="87" xr:uid="{00000000-0005-0000-0000-000052000000}"/>
    <cellStyle name="Percent 25" xfId="88" xr:uid="{00000000-0005-0000-0000-000053000000}"/>
    <cellStyle name="Percent 26" xfId="89" xr:uid="{00000000-0005-0000-0000-000054000000}"/>
    <cellStyle name="Percent 27" xfId="90" xr:uid="{00000000-0005-0000-0000-000055000000}"/>
    <cellStyle name="Percent 28" xfId="91" xr:uid="{00000000-0005-0000-0000-000056000000}"/>
    <cellStyle name="Percent 29" xfId="92" xr:uid="{00000000-0005-0000-0000-000057000000}"/>
    <cellStyle name="Percent 3" xfId="57" xr:uid="{00000000-0005-0000-0000-000058000000}"/>
    <cellStyle name="Percent 30" xfId="49" xr:uid="{00000000-0005-0000-0000-000059000000}"/>
    <cellStyle name="Percent 4" xfId="66" xr:uid="{00000000-0005-0000-0000-00005A000000}"/>
    <cellStyle name="Percent 5" xfId="54" xr:uid="{00000000-0005-0000-0000-00005B000000}"/>
    <cellStyle name="Percent 6" xfId="52" xr:uid="{00000000-0005-0000-0000-00005C000000}"/>
    <cellStyle name="Percent 7" xfId="55" xr:uid="{00000000-0005-0000-0000-00005D000000}"/>
    <cellStyle name="Percent 8" xfId="53" xr:uid="{00000000-0005-0000-0000-00005E000000}"/>
    <cellStyle name="Percent 9" xfId="72" xr:uid="{00000000-0005-0000-0000-00005F000000}"/>
    <cellStyle name="Table title" xfId="103" xr:uid="{9F162A4D-2FFB-4EEA-85FB-7C44D602B083}"/>
    <cellStyle name="Title" xfId="10" builtinId="15" customBuiltin="1"/>
    <cellStyle name="Total" xfId="24" builtinId="25" customBuiltin="1"/>
    <cellStyle name="Warning Text" xfId="22" builtinId="11" customBuiltin="1"/>
  </cellStyles>
  <dxfs count="6">
    <dxf>
      <font>
        <b/>
        <i val="0"/>
        <condense val="0"/>
        <extend val="0"/>
      </font>
      <fill>
        <patternFill>
          <bgColor indexed="10"/>
        </patternFill>
      </fill>
    </dxf>
    <dxf>
      <font>
        <b/>
        <i val="0"/>
        <condense val="0"/>
        <extend val="0"/>
      </font>
      <fill>
        <patternFill>
          <bgColor indexed="10"/>
        </patternFill>
      </fill>
    </dxf>
    <dxf>
      <font>
        <b/>
        <i val="0"/>
        <condense val="0"/>
        <extend val="0"/>
      </font>
      <fill>
        <patternFill>
          <bgColor indexed="1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FCCFF"/>
      <color rgb="FFFF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0" b="1" i="0" u="none" strike="noStrike" baseline="0">
                <a:solidFill>
                  <a:srgbClr val="000000"/>
                </a:solidFill>
                <a:latin typeface="Arial"/>
                <a:ea typeface="Arial"/>
                <a:cs typeface="Arial"/>
              </a:defRPr>
            </a:pPr>
            <a:r>
              <a:rPr lang="en-US"/>
              <a:t>Car Fuel Economy Projections by Technology through 2050 for SGM input</a:t>
            </a:r>
          </a:p>
        </c:rich>
      </c:tx>
      <c:layout>
        <c:manualLayout>
          <c:xMode val="edge"/>
          <c:yMode val="edge"/>
          <c:x val="0.12597790874167855"/>
          <c:y val="2.8227885252362622E-2"/>
        </c:manualLayout>
      </c:layout>
      <c:overlay val="0"/>
      <c:spPr>
        <a:noFill/>
        <a:ln w="25400">
          <a:noFill/>
        </a:ln>
      </c:spPr>
    </c:title>
    <c:autoTitleDeleted val="0"/>
    <c:plotArea>
      <c:layout>
        <c:manualLayout>
          <c:layoutTarget val="inner"/>
          <c:xMode val="edge"/>
          <c:yMode val="edge"/>
          <c:x val="0.1136270983647277"/>
          <c:y val="0.19445916351440556"/>
          <c:w val="0.66076627853403003"/>
          <c:h val="0.65551556733081162"/>
        </c:manualLayout>
      </c:layout>
      <c:scatterChart>
        <c:scatterStyle val="lineMarker"/>
        <c:varyColors val="0"/>
        <c:ser>
          <c:idx val="0"/>
          <c:order val="0"/>
          <c:tx>
            <c:strRef>
              <c:f>'OTAQ Car'!$C$8</c:f>
              <c:strCache>
                <c:ptCount val="1"/>
                <c:pt idx="0">
                  <c:v>gas</c:v>
                </c:pt>
              </c:strCache>
            </c:strRef>
          </c:tx>
          <c:spPr>
            <a:ln w="12700">
              <a:solidFill>
                <a:srgbClr val="000080"/>
              </a:solidFill>
              <a:prstDash val="solid"/>
            </a:ln>
          </c:spPr>
          <c:marker>
            <c:symbol val="none"/>
          </c:marker>
          <c:xVal>
            <c:numRef>
              <c:f>'OTAQ Car'!$A$9:$A$24</c:f>
              <c:numCache>
                <c:formatCode>General</c:formatCode>
                <c:ptCount val="16"/>
                <c:pt idx="0">
                  <c:v>1975</c:v>
                </c:pt>
                <c:pt idx="1">
                  <c:v>1980</c:v>
                </c:pt>
                <c:pt idx="2">
                  <c:v>1985</c:v>
                </c:pt>
                <c:pt idx="3">
                  <c:v>1990</c:v>
                </c:pt>
                <c:pt idx="4">
                  <c:v>1995</c:v>
                </c:pt>
                <c:pt idx="5">
                  <c:v>2000</c:v>
                </c:pt>
                <c:pt idx="6">
                  <c:v>2005</c:v>
                </c:pt>
                <c:pt idx="7">
                  <c:v>2010</c:v>
                </c:pt>
                <c:pt idx="8">
                  <c:v>2015</c:v>
                </c:pt>
                <c:pt idx="9">
                  <c:v>2020</c:v>
                </c:pt>
                <c:pt idx="10">
                  <c:v>2025</c:v>
                </c:pt>
                <c:pt idx="11">
                  <c:v>2030</c:v>
                </c:pt>
                <c:pt idx="12">
                  <c:v>2035</c:v>
                </c:pt>
                <c:pt idx="13">
                  <c:v>2040</c:v>
                </c:pt>
                <c:pt idx="14">
                  <c:v>2045</c:v>
                </c:pt>
                <c:pt idx="15">
                  <c:v>2050</c:v>
                </c:pt>
              </c:numCache>
            </c:numRef>
          </c:xVal>
          <c:yVal>
            <c:numRef>
              <c:f>'OTAQ Car'!$C$9:$C$24</c:f>
              <c:numCache>
                <c:formatCode>General</c:formatCode>
                <c:ptCount val="16"/>
                <c:pt idx="0">
                  <c:v>13.5</c:v>
                </c:pt>
                <c:pt idx="1">
                  <c:v>20</c:v>
                </c:pt>
                <c:pt idx="2">
                  <c:v>23</c:v>
                </c:pt>
                <c:pt idx="3">
                  <c:v>23.7</c:v>
                </c:pt>
                <c:pt idx="4">
                  <c:v>24.2</c:v>
                </c:pt>
                <c:pt idx="5">
                  <c:v>24.1</c:v>
                </c:pt>
                <c:pt idx="6">
                  <c:v>24.6</c:v>
                </c:pt>
                <c:pt idx="7">
                  <c:v>24.85</c:v>
                </c:pt>
                <c:pt idx="8">
                  <c:v>25.1</c:v>
                </c:pt>
                <c:pt idx="9">
                  <c:v>25.35</c:v>
                </c:pt>
                <c:pt idx="10">
                  <c:v>25.6</c:v>
                </c:pt>
                <c:pt idx="11">
                  <c:v>25.85</c:v>
                </c:pt>
                <c:pt idx="12">
                  <c:v>26.1</c:v>
                </c:pt>
                <c:pt idx="13">
                  <c:v>26.35</c:v>
                </c:pt>
                <c:pt idx="14">
                  <c:v>26.6</c:v>
                </c:pt>
                <c:pt idx="15">
                  <c:v>26.85</c:v>
                </c:pt>
              </c:numCache>
            </c:numRef>
          </c:yVal>
          <c:smooth val="0"/>
          <c:extLst>
            <c:ext xmlns:c16="http://schemas.microsoft.com/office/drawing/2014/chart" uri="{C3380CC4-5D6E-409C-BE32-E72D297353CC}">
              <c16:uniqueId val="{00000000-F08E-4591-B491-84E96DBB96B7}"/>
            </c:ext>
          </c:extLst>
        </c:ser>
        <c:ser>
          <c:idx val="1"/>
          <c:order val="1"/>
          <c:tx>
            <c:strRef>
              <c:f>'OTAQ Car'!$G$8</c:f>
              <c:strCache>
                <c:ptCount val="1"/>
                <c:pt idx="0">
                  <c:v>adv-gas</c:v>
                </c:pt>
              </c:strCache>
            </c:strRef>
          </c:tx>
          <c:spPr>
            <a:ln w="12700">
              <a:solidFill>
                <a:srgbClr val="FF00FF"/>
              </a:solidFill>
              <a:prstDash val="solid"/>
            </a:ln>
          </c:spPr>
          <c:marker>
            <c:symbol val="none"/>
          </c:marker>
          <c:xVal>
            <c:numRef>
              <c:f>'OTAQ Car'!$A$9:$A$24</c:f>
              <c:numCache>
                <c:formatCode>General</c:formatCode>
                <c:ptCount val="16"/>
                <c:pt idx="0">
                  <c:v>1975</c:v>
                </c:pt>
                <c:pt idx="1">
                  <c:v>1980</c:v>
                </c:pt>
                <c:pt idx="2">
                  <c:v>1985</c:v>
                </c:pt>
                <c:pt idx="3">
                  <c:v>1990</c:v>
                </c:pt>
                <c:pt idx="4">
                  <c:v>1995</c:v>
                </c:pt>
                <c:pt idx="5">
                  <c:v>2000</c:v>
                </c:pt>
                <c:pt idx="6">
                  <c:v>2005</c:v>
                </c:pt>
                <c:pt idx="7">
                  <c:v>2010</c:v>
                </c:pt>
                <c:pt idx="8">
                  <c:v>2015</c:v>
                </c:pt>
                <c:pt idx="9">
                  <c:v>2020</c:v>
                </c:pt>
                <c:pt idx="10">
                  <c:v>2025</c:v>
                </c:pt>
                <c:pt idx="11">
                  <c:v>2030</c:v>
                </c:pt>
                <c:pt idx="12">
                  <c:v>2035</c:v>
                </c:pt>
                <c:pt idx="13">
                  <c:v>2040</c:v>
                </c:pt>
                <c:pt idx="14">
                  <c:v>2045</c:v>
                </c:pt>
                <c:pt idx="15">
                  <c:v>2050</c:v>
                </c:pt>
              </c:numCache>
            </c:numRef>
          </c:xVal>
          <c:yVal>
            <c:numRef>
              <c:f>'OTAQ Car'!$G$9:$G$24</c:f>
              <c:numCache>
                <c:formatCode>0.0</c:formatCode>
                <c:ptCount val="16"/>
                <c:pt idx="7">
                  <c:v>32.305</c:v>
                </c:pt>
                <c:pt idx="8">
                  <c:v>32.630000000000003</c:v>
                </c:pt>
                <c:pt idx="9">
                  <c:v>32.955000000000005</c:v>
                </c:pt>
                <c:pt idx="10">
                  <c:v>33.28</c:v>
                </c:pt>
                <c:pt idx="11">
                  <c:v>33.605000000000004</c:v>
                </c:pt>
                <c:pt idx="12">
                  <c:v>33.93</c:v>
                </c:pt>
                <c:pt idx="13">
                  <c:v>34.255000000000003</c:v>
                </c:pt>
                <c:pt idx="14">
                  <c:v>34.580000000000005</c:v>
                </c:pt>
                <c:pt idx="15">
                  <c:v>34.905000000000001</c:v>
                </c:pt>
              </c:numCache>
            </c:numRef>
          </c:yVal>
          <c:smooth val="0"/>
          <c:extLst>
            <c:ext xmlns:c16="http://schemas.microsoft.com/office/drawing/2014/chart" uri="{C3380CC4-5D6E-409C-BE32-E72D297353CC}">
              <c16:uniqueId val="{00000001-F08E-4591-B491-84E96DBB96B7}"/>
            </c:ext>
          </c:extLst>
        </c:ser>
        <c:ser>
          <c:idx val="2"/>
          <c:order val="2"/>
          <c:tx>
            <c:strRef>
              <c:f>'OTAQ Car'!$K$8</c:f>
              <c:strCache>
                <c:ptCount val="1"/>
                <c:pt idx="0">
                  <c:v>hev</c:v>
                </c:pt>
              </c:strCache>
            </c:strRef>
          </c:tx>
          <c:spPr>
            <a:ln w="12700">
              <a:solidFill>
                <a:srgbClr val="FFFF00"/>
              </a:solidFill>
              <a:prstDash val="solid"/>
            </a:ln>
          </c:spPr>
          <c:marker>
            <c:symbol val="none"/>
          </c:marker>
          <c:xVal>
            <c:numRef>
              <c:f>'OTAQ Car'!$A$9:$A$24</c:f>
              <c:numCache>
                <c:formatCode>General</c:formatCode>
                <c:ptCount val="16"/>
                <c:pt idx="0">
                  <c:v>1975</c:v>
                </c:pt>
                <c:pt idx="1">
                  <c:v>1980</c:v>
                </c:pt>
                <c:pt idx="2">
                  <c:v>1985</c:v>
                </c:pt>
                <c:pt idx="3">
                  <c:v>1990</c:v>
                </c:pt>
                <c:pt idx="4">
                  <c:v>1995</c:v>
                </c:pt>
                <c:pt idx="5">
                  <c:v>2000</c:v>
                </c:pt>
                <c:pt idx="6">
                  <c:v>2005</c:v>
                </c:pt>
                <c:pt idx="7">
                  <c:v>2010</c:v>
                </c:pt>
                <c:pt idx="8">
                  <c:v>2015</c:v>
                </c:pt>
                <c:pt idx="9">
                  <c:v>2020</c:v>
                </c:pt>
                <c:pt idx="10">
                  <c:v>2025</c:v>
                </c:pt>
                <c:pt idx="11">
                  <c:v>2030</c:v>
                </c:pt>
                <c:pt idx="12">
                  <c:v>2035</c:v>
                </c:pt>
                <c:pt idx="13">
                  <c:v>2040</c:v>
                </c:pt>
                <c:pt idx="14">
                  <c:v>2045</c:v>
                </c:pt>
                <c:pt idx="15">
                  <c:v>2050</c:v>
                </c:pt>
              </c:numCache>
            </c:numRef>
          </c:xVal>
          <c:yVal>
            <c:numRef>
              <c:f>'OTAQ Car'!$K$9:$K$24</c:f>
              <c:numCache>
                <c:formatCode>0.0</c:formatCode>
                <c:ptCount val="16"/>
                <c:pt idx="7">
                  <c:v>35.411250000000003</c:v>
                </c:pt>
                <c:pt idx="8">
                  <c:v>35.767500000000005</c:v>
                </c:pt>
                <c:pt idx="9">
                  <c:v>36.123750000000001</c:v>
                </c:pt>
                <c:pt idx="10">
                  <c:v>36.480000000000004</c:v>
                </c:pt>
                <c:pt idx="11">
                  <c:v>36.83625</c:v>
                </c:pt>
                <c:pt idx="12">
                  <c:v>37.192500000000003</c:v>
                </c:pt>
                <c:pt idx="13">
                  <c:v>37.548750000000005</c:v>
                </c:pt>
                <c:pt idx="14">
                  <c:v>37.905000000000001</c:v>
                </c:pt>
                <c:pt idx="15">
                  <c:v>38.261250000000004</c:v>
                </c:pt>
              </c:numCache>
            </c:numRef>
          </c:yVal>
          <c:smooth val="0"/>
          <c:extLst>
            <c:ext xmlns:c16="http://schemas.microsoft.com/office/drawing/2014/chart" uri="{C3380CC4-5D6E-409C-BE32-E72D297353CC}">
              <c16:uniqueId val="{00000002-F08E-4591-B491-84E96DBB96B7}"/>
            </c:ext>
          </c:extLst>
        </c:ser>
        <c:ser>
          <c:idx val="3"/>
          <c:order val="3"/>
          <c:tx>
            <c:strRef>
              <c:f>'OTAQ Car'!$O$8</c:f>
              <c:strCache>
                <c:ptCount val="1"/>
                <c:pt idx="0">
                  <c:v>diesel</c:v>
                </c:pt>
              </c:strCache>
            </c:strRef>
          </c:tx>
          <c:spPr>
            <a:ln w="12700">
              <a:solidFill>
                <a:srgbClr val="00FFFF"/>
              </a:solidFill>
              <a:prstDash val="solid"/>
            </a:ln>
          </c:spPr>
          <c:marker>
            <c:symbol val="none"/>
          </c:marker>
          <c:xVal>
            <c:numRef>
              <c:f>'OTAQ Car'!$A$9:$A$24</c:f>
              <c:numCache>
                <c:formatCode>General</c:formatCode>
                <c:ptCount val="16"/>
                <c:pt idx="0">
                  <c:v>1975</c:v>
                </c:pt>
                <c:pt idx="1">
                  <c:v>1980</c:v>
                </c:pt>
                <c:pt idx="2">
                  <c:v>1985</c:v>
                </c:pt>
                <c:pt idx="3">
                  <c:v>1990</c:v>
                </c:pt>
                <c:pt idx="4">
                  <c:v>1995</c:v>
                </c:pt>
                <c:pt idx="5">
                  <c:v>2000</c:v>
                </c:pt>
                <c:pt idx="6">
                  <c:v>2005</c:v>
                </c:pt>
                <c:pt idx="7">
                  <c:v>2010</c:v>
                </c:pt>
                <c:pt idx="8">
                  <c:v>2015</c:v>
                </c:pt>
                <c:pt idx="9">
                  <c:v>2020</c:v>
                </c:pt>
                <c:pt idx="10">
                  <c:v>2025</c:v>
                </c:pt>
                <c:pt idx="11">
                  <c:v>2030</c:v>
                </c:pt>
                <c:pt idx="12">
                  <c:v>2035</c:v>
                </c:pt>
                <c:pt idx="13">
                  <c:v>2040</c:v>
                </c:pt>
                <c:pt idx="14">
                  <c:v>2045</c:v>
                </c:pt>
                <c:pt idx="15">
                  <c:v>2050</c:v>
                </c:pt>
              </c:numCache>
            </c:numRef>
          </c:xVal>
          <c:yVal>
            <c:numRef>
              <c:f>'OTAQ Car'!$O$9:$O$24</c:f>
              <c:numCache>
                <c:formatCode>0.0</c:formatCode>
                <c:ptCount val="16"/>
                <c:pt idx="7">
                  <c:v>33.920250000000003</c:v>
                </c:pt>
                <c:pt idx="8">
                  <c:v>34.261500000000005</c:v>
                </c:pt>
                <c:pt idx="9">
                  <c:v>34.60275</c:v>
                </c:pt>
                <c:pt idx="10">
                  <c:v>34.944000000000003</c:v>
                </c:pt>
                <c:pt idx="11">
                  <c:v>35.285250000000005</c:v>
                </c:pt>
                <c:pt idx="12">
                  <c:v>35.6265</c:v>
                </c:pt>
                <c:pt idx="13">
                  <c:v>35.967750000000002</c:v>
                </c:pt>
                <c:pt idx="14">
                  <c:v>36.309000000000005</c:v>
                </c:pt>
                <c:pt idx="15">
                  <c:v>36.65025</c:v>
                </c:pt>
              </c:numCache>
            </c:numRef>
          </c:yVal>
          <c:smooth val="0"/>
          <c:extLst>
            <c:ext xmlns:c16="http://schemas.microsoft.com/office/drawing/2014/chart" uri="{C3380CC4-5D6E-409C-BE32-E72D297353CC}">
              <c16:uniqueId val="{00000003-F08E-4591-B491-84E96DBB96B7}"/>
            </c:ext>
          </c:extLst>
        </c:ser>
        <c:ser>
          <c:idx val="4"/>
          <c:order val="4"/>
          <c:tx>
            <c:strRef>
              <c:f>'OTAQ Car'!$S$8</c:f>
              <c:strCache>
                <c:ptCount val="1"/>
                <c:pt idx="0">
                  <c:v>diesel-HEV</c:v>
                </c:pt>
              </c:strCache>
            </c:strRef>
          </c:tx>
          <c:spPr>
            <a:ln w="12700">
              <a:solidFill>
                <a:srgbClr val="800080"/>
              </a:solidFill>
              <a:prstDash val="solid"/>
            </a:ln>
          </c:spPr>
          <c:marker>
            <c:symbol val="none"/>
          </c:marker>
          <c:xVal>
            <c:numRef>
              <c:f>'OTAQ Car'!$A$9:$A$24</c:f>
              <c:numCache>
                <c:formatCode>General</c:formatCode>
                <c:ptCount val="16"/>
                <c:pt idx="0">
                  <c:v>1975</c:v>
                </c:pt>
                <c:pt idx="1">
                  <c:v>1980</c:v>
                </c:pt>
                <c:pt idx="2">
                  <c:v>1985</c:v>
                </c:pt>
                <c:pt idx="3">
                  <c:v>1990</c:v>
                </c:pt>
                <c:pt idx="4">
                  <c:v>1995</c:v>
                </c:pt>
                <c:pt idx="5">
                  <c:v>2000</c:v>
                </c:pt>
                <c:pt idx="6">
                  <c:v>2005</c:v>
                </c:pt>
                <c:pt idx="7">
                  <c:v>2010</c:v>
                </c:pt>
                <c:pt idx="8">
                  <c:v>2015</c:v>
                </c:pt>
                <c:pt idx="9">
                  <c:v>2020</c:v>
                </c:pt>
                <c:pt idx="10">
                  <c:v>2025</c:v>
                </c:pt>
                <c:pt idx="11">
                  <c:v>2030</c:v>
                </c:pt>
                <c:pt idx="12">
                  <c:v>2035</c:v>
                </c:pt>
                <c:pt idx="13">
                  <c:v>2040</c:v>
                </c:pt>
                <c:pt idx="14">
                  <c:v>2045</c:v>
                </c:pt>
                <c:pt idx="15">
                  <c:v>2050</c:v>
                </c:pt>
              </c:numCache>
            </c:numRef>
          </c:xVal>
          <c:yVal>
            <c:numRef>
              <c:f>'OTAQ Car'!$S$9:$S$24</c:f>
              <c:numCache>
                <c:formatCode>0.0</c:formatCode>
                <c:ptCount val="16"/>
                <c:pt idx="7">
                  <c:v>42.369250000000001</c:v>
                </c:pt>
                <c:pt idx="8">
                  <c:v>42.795500000000004</c:v>
                </c:pt>
                <c:pt idx="9">
                  <c:v>43.221750000000007</c:v>
                </c:pt>
                <c:pt idx="10">
                  <c:v>43.648000000000003</c:v>
                </c:pt>
                <c:pt idx="11">
                  <c:v>44.074250000000006</c:v>
                </c:pt>
                <c:pt idx="12">
                  <c:v>44.500500000000002</c:v>
                </c:pt>
                <c:pt idx="13">
                  <c:v>44.926750000000006</c:v>
                </c:pt>
                <c:pt idx="14">
                  <c:v>45.353000000000002</c:v>
                </c:pt>
                <c:pt idx="15">
                  <c:v>45.779250000000005</c:v>
                </c:pt>
              </c:numCache>
            </c:numRef>
          </c:yVal>
          <c:smooth val="0"/>
          <c:extLst>
            <c:ext xmlns:c16="http://schemas.microsoft.com/office/drawing/2014/chart" uri="{C3380CC4-5D6E-409C-BE32-E72D297353CC}">
              <c16:uniqueId val="{00000004-F08E-4591-B491-84E96DBB96B7}"/>
            </c:ext>
          </c:extLst>
        </c:ser>
        <c:dLbls>
          <c:showLegendKey val="0"/>
          <c:showVal val="0"/>
          <c:showCatName val="0"/>
          <c:showSerName val="0"/>
          <c:showPercent val="0"/>
          <c:showBubbleSize val="0"/>
        </c:dLbls>
        <c:axId val="175947400"/>
        <c:axId val="413720920"/>
      </c:scatterChart>
      <c:valAx>
        <c:axId val="175947400"/>
        <c:scaling>
          <c:orientation val="minMax"/>
          <c:min val="1975"/>
        </c:scaling>
        <c:delete val="0"/>
        <c:axPos val="b"/>
        <c:title>
          <c:tx>
            <c:rich>
              <a:bodyPr/>
              <a:lstStyle/>
              <a:p>
                <a:pPr>
                  <a:defRPr sz="1475" b="1" i="0" u="none" strike="noStrike" baseline="0">
                    <a:solidFill>
                      <a:srgbClr val="000000"/>
                    </a:solidFill>
                    <a:latin typeface="Arial"/>
                    <a:ea typeface="Arial"/>
                    <a:cs typeface="Arial"/>
                  </a:defRPr>
                </a:pPr>
                <a:r>
                  <a:rPr lang="en-US"/>
                  <a:t>year</a:t>
                </a:r>
              </a:p>
            </c:rich>
          </c:tx>
          <c:layout>
            <c:manualLayout>
              <c:xMode val="edge"/>
              <c:yMode val="edge"/>
              <c:x val="0.41498593810175732"/>
              <c:y val="0.9205445565310761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75" b="0" i="0" u="none" strike="noStrike" baseline="0">
                <a:solidFill>
                  <a:srgbClr val="000000"/>
                </a:solidFill>
                <a:latin typeface="Arial"/>
                <a:ea typeface="Arial"/>
                <a:cs typeface="Arial"/>
              </a:defRPr>
            </a:pPr>
            <a:endParaRPr lang="en-US"/>
          </a:p>
        </c:txPr>
        <c:crossAx val="413720920"/>
        <c:crosses val="autoZero"/>
        <c:crossBetween val="midCat"/>
      </c:valAx>
      <c:valAx>
        <c:axId val="413720920"/>
        <c:scaling>
          <c:orientation val="minMax"/>
          <c:min val="15"/>
        </c:scaling>
        <c:delete val="0"/>
        <c:axPos val="l"/>
        <c:majorGridlines>
          <c:spPr>
            <a:ln w="3175">
              <a:solidFill>
                <a:srgbClr val="000000"/>
              </a:solidFill>
              <a:prstDash val="solid"/>
            </a:ln>
          </c:spPr>
        </c:majorGridlines>
        <c:title>
          <c:tx>
            <c:rich>
              <a:bodyPr/>
              <a:lstStyle/>
              <a:p>
                <a:pPr>
                  <a:defRPr sz="1475" b="1" i="0" u="none" strike="noStrike" baseline="0">
                    <a:solidFill>
                      <a:srgbClr val="000000"/>
                    </a:solidFill>
                    <a:latin typeface="Arial"/>
                    <a:ea typeface="Arial"/>
                    <a:cs typeface="Arial"/>
                  </a:defRPr>
                </a:pPr>
                <a:r>
                  <a:rPr lang="en-US"/>
                  <a:t>FE (mpg)</a:t>
                </a:r>
              </a:p>
            </c:rich>
          </c:tx>
          <c:layout>
            <c:manualLayout>
              <c:xMode val="edge"/>
              <c:yMode val="edge"/>
              <c:x val="1.9761222818787744E-2"/>
              <c:y val="0.4500789078681479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75" b="0" i="0" u="none" strike="noStrike" baseline="0">
                <a:solidFill>
                  <a:srgbClr val="000000"/>
                </a:solidFill>
                <a:latin typeface="Arial"/>
                <a:ea typeface="Arial"/>
                <a:cs typeface="Arial"/>
              </a:defRPr>
            </a:pPr>
            <a:endParaRPr lang="en-US"/>
          </a:p>
        </c:txPr>
        <c:crossAx val="175947400"/>
        <c:crosses val="autoZero"/>
        <c:crossBetween val="midCat"/>
      </c:valAx>
      <c:spPr>
        <a:solidFill>
          <a:srgbClr val="C0C0C0"/>
        </a:solidFill>
        <a:ln w="12700">
          <a:solidFill>
            <a:srgbClr val="808080"/>
          </a:solidFill>
          <a:prstDash val="solid"/>
        </a:ln>
      </c:spPr>
    </c:plotArea>
    <c:legend>
      <c:legendPos val="r"/>
      <c:layout>
        <c:manualLayout>
          <c:xMode val="edge"/>
          <c:yMode val="edge"/>
          <c:x val="0.8188562126405039"/>
          <c:y val="0.41244161572455357"/>
          <c:w val="0.17167567987417107"/>
          <c:h val="0.22111896556061478"/>
        </c:manualLayout>
      </c:layout>
      <c:overlay val="0"/>
      <c:spPr>
        <a:solidFill>
          <a:srgbClr val="FFFFFF"/>
        </a:solidFill>
        <a:ln w="3175">
          <a:solidFill>
            <a:srgbClr val="000000"/>
          </a:solidFill>
          <a:prstDash val="solid"/>
        </a:ln>
      </c:spPr>
      <c:txPr>
        <a:bodyPr/>
        <a:lstStyle/>
        <a:p>
          <a:pPr>
            <a:defRPr sz="12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475" b="0" i="0" u="none" strike="noStrike" baseline="0">
          <a:solidFill>
            <a:srgbClr val="000000"/>
          </a:solidFill>
          <a:latin typeface="Arial"/>
          <a:ea typeface="Arial"/>
          <a:cs typeface="Arial"/>
        </a:defRPr>
      </a:pPr>
      <a:endParaRPr lang="en-US"/>
    </a:p>
  </c:txPr>
  <c:printSettings>
    <c:headerFooter alignWithMargins="0"/>
    <c:pageMargins b="1" l="0.75000000000000688" r="0.75000000000000688" t="1" header="0.5" footer="0.5"/>
    <c:pageSetup orientation="landscape"/>
  </c:printSettings>
</c:chartSpace>
</file>

<file path=xl/drawings/_rels/drawing5.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26.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3.emf"/><Relationship Id="rId7" Type="http://schemas.openxmlformats.org/officeDocument/2006/relationships/image" Target="../media/image9.emf"/><Relationship Id="rId2" Type="http://schemas.openxmlformats.org/officeDocument/2006/relationships/image" Target="../media/image14.emf"/><Relationship Id="rId1" Type="http://schemas.openxmlformats.org/officeDocument/2006/relationships/image" Target="../media/image15.emf"/><Relationship Id="rId6" Type="http://schemas.openxmlformats.org/officeDocument/2006/relationships/image" Target="../media/image10.emf"/><Relationship Id="rId5" Type="http://schemas.openxmlformats.org/officeDocument/2006/relationships/image" Target="../media/image11.emf"/><Relationship Id="rId4" Type="http://schemas.openxmlformats.org/officeDocument/2006/relationships/image" Target="../media/image12.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 Id="rId5" Type="http://schemas.openxmlformats.org/officeDocument/2006/relationships/image" Target="../media/image16.emf"/><Relationship Id="rId4" Type="http://schemas.openxmlformats.org/officeDocument/2006/relationships/image" Target="../media/image1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4.emf"/><Relationship Id="rId1" Type="http://schemas.openxmlformats.org/officeDocument/2006/relationships/image" Target="../media/image25.emf"/><Relationship Id="rId5" Type="http://schemas.openxmlformats.org/officeDocument/2006/relationships/image" Target="../media/image21.emf"/><Relationship Id="rId4" Type="http://schemas.openxmlformats.org/officeDocument/2006/relationships/image" Target="../media/image22.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9.emf"/><Relationship Id="rId2" Type="http://schemas.openxmlformats.org/officeDocument/2006/relationships/image" Target="../media/image30.emf"/><Relationship Id="rId1" Type="http://schemas.openxmlformats.org/officeDocument/2006/relationships/image" Target="../media/image31.emf"/><Relationship Id="rId4" Type="http://schemas.openxmlformats.org/officeDocument/2006/relationships/image" Target="../media/image28.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 Id="rId4" Type="http://schemas.openxmlformats.org/officeDocument/2006/relationships/image" Target="../media/image32.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0.emf"/><Relationship Id="rId7" Type="http://schemas.openxmlformats.org/officeDocument/2006/relationships/image" Target="../media/image36.emf"/><Relationship Id="rId2" Type="http://schemas.openxmlformats.org/officeDocument/2006/relationships/image" Target="../media/image41.emf"/><Relationship Id="rId1" Type="http://schemas.openxmlformats.org/officeDocument/2006/relationships/image" Target="../media/image42.emf"/><Relationship Id="rId6" Type="http://schemas.openxmlformats.org/officeDocument/2006/relationships/image" Target="../media/image37.emf"/><Relationship Id="rId5" Type="http://schemas.openxmlformats.org/officeDocument/2006/relationships/image" Target="../media/image38.emf"/><Relationship Id="rId4" Type="http://schemas.openxmlformats.org/officeDocument/2006/relationships/image" Target="../media/image39.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45.emf"/><Relationship Id="rId2" Type="http://schemas.openxmlformats.org/officeDocument/2006/relationships/image" Target="../media/image46.emf"/><Relationship Id="rId1" Type="http://schemas.openxmlformats.org/officeDocument/2006/relationships/image" Target="../media/image47.emf"/><Relationship Id="rId5" Type="http://schemas.openxmlformats.org/officeDocument/2006/relationships/image" Target="../media/image43.emf"/><Relationship Id="rId4" Type="http://schemas.openxmlformats.org/officeDocument/2006/relationships/image" Target="../media/image44.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50.emf"/><Relationship Id="rId2" Type="http://schemas.openxmlformats.org/officeDocument/2006/relationships/image" Target="../media/image51.emf"/><Relationship Id="rId1" Type="http://schemas.openxmlformats.org/officeDocument/2006/relationships/image" Target="../media/image52.emf"/><Relationship Id="rId5" Type="http://schemas.openxmlformats.org/officeDocument/2006/relationships/image" Target="../media/image48.emf"/><Relationship Id="rId4" Type="http://schemas.openxmlformats.org/officeDocument/2006/relationships/image" Target="../media/image49.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57.emf"/><Relationship Id="rId7" Type="http://schemas.openxmlformats.org/officeDocument/2006/relationships/image" Target="../media/image53.emf"/><Relationship Id="rId2" Type="http://schemas.openxmlformats.org/officeDocument/2006/relationships/image" Target="../media/image58.emf"/><Relationship Id="rId1" Type="http://schemas.openxmlformats.org/officeDocument/2006/relationships/image" Target="../media/image59.emf"/><Relationship Id="rId6" Type="http://schemas.openxmlformats.org/officeDocument/2006/relationships/image" Target="../media/image54.emf"/><Relationship Id="rId5" Type="http://schemas.openxmlformats.org/officeDocument/2006/relationships/image" Target="../media/image55.emf"/><Relationship Id="rId4" Type="http://schemas.openxmlformats.org/officeDocument/2006/relationships/image" Target="../media/image56.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63.emf"/><Relationship Id="rId2" Type="http://schemas.openxmlformats.org/officeDocument/2006/relationships/image" Target="../media/image64.emf"/><Relationship Id="rId1" Type="http://schemas.openxmlformats.org/officeDocument/2006/relationships/image" Target="../media/image65.emf"/><Relationship Id="rId6" Type="http://schemas.openxmlformats.org/officeDocument/2006/relationships/image" Target="../media/image60.emf"/><Relationship Id="rId5" Type="http://schemas.openxmlformats.org/officeDocument/2006/relationships/image" Target="../media/image61.emf"/><Relationship Id="rId4" Type="http://schemas.openxmlformats.org/officeDocument/2006/relationships/image" Target="../media/image62.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69.emf"/><Relationship Id="rId2" Type="http://schemas.openxmlformats.org/officeDocument/2006/relationships/image" Target="../media/image70.emf"/><Relationship Id="rId1" Type="http://schemas.openxmlformats.org/officeDocument/2006/relationships/image" Target="../media/image71.emf"/><Relationship Id="rId6" Type="http://schemas.openxmlformats.org/officeDocument/2006/relationships/image" Target="../media/image66.emf"/><Relationship Id="rId5" Type="http://schemas.openxmlformats.org/officeDocument/2006/relationships/image" Target="../media/image67.emf"/><Relationship Id="rId4" Type="http://schemas.openxmlformats.org/officeDocument/2006/relationships/image" Target="../media/image6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55297" name="cmdEnergySets" hidden="1">
              <a:extLst>
                <a:ext uri="{63B3BB69-23CF-44E3-9099-C40C66FF867C}">
                  <a14:compatExt spid="_x0000_s55297"/>
                </a:ext>
                <a:ext uri="{FF2B5EF4-FFF2-40B4-BE49-F238E27FC236}">
                  <a16:creationId xmlns:a16="http://schemas.microsoft.com/office/drawing/2014/main" id="{00000000-0008-0000-0100-000001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55298" name="cmdDemandSets" hidden="1">
              <a:extLst>
                <a:ext uri="{63B3BB69-23CF-44E3-9099-C40C66FF867C}">
                  <a14:compatExt spid="_x0000_s55298"/>
                </a:ext>
                <a:ext uri="{FF2B5EF4-FFF2-40B4-BE49-F238E27FC236}">
                  <a16:creationId xmlns:a16="http://schemas.microsoft.com/office/drawing/2014/main" id="{00000000-0008-0000-0100-000002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55299" name="cmdEmissionSets" hidden="1">
              <a:extLst>
                <a:ext uri="{63B3BB69-23CF-44E3-9099-C40C66FF867C}">
                  <a14:compatExt spid="_x0000_s55299"/>
                </a:ext>
                <a:ext uri="{FF2B5EF4-FFF2-40B4-BE49-F238E27FC236}">
                  <a16:creationId xmlns:a16="http://schemas.microsoft.com/office/drawing/2014/main" id="{00000000-0008-0000-0100-000003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55300" name="cmdMaterialSets" hidden="1">
              <a:extLst>
                <a:ext uri="{63B3BB69-23CF-44E3-9099-C40C66FF867C}">
                  <a14:compatExt spid="_x0000_s55300"/>
                </a:ext>
                <a:ext uri="{FF2B5EF4-FFF2-40B4-BE49-F238E27FC236}">
                  <a16:creationId xmlns:a16="http://schemas.microsoft.com/office/drawing/2014/main" id="{00000000-0008-0000-0100-000004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55301" name="cmdCheckCommoditiesSheet" hidden="1">
              <a:extLst>
                <a:ext uri="{63B3BB69-23CF-44E3-9099-C40C66FF867C}">
                  <a14:compatExt spid="_x0000_s55301"/>
                </a:ext>
                <a:ext uri="{FF2B5EF4-FFF2-40B4-BE49-F238E27FC236}">
                  <a16:creationId xmlns:a16="http://schemas.microsoft.com/office/drawing/2014/main" id="{00000000-0008-0000-0100-000005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55302" name="cmdCommUnit" hidden="1">
              <a:extLst>
                <a:ext uri="{63B3BB69-23CF-44E3-9099-C40C66FF867C}">
                  <a14:compatExt spid="_x0000_s55302"/>
                </a:ext>
                <a:ext uri="{FF2B5EF4-FFF2-40B4-BE49-F238E27FC236}">
                  <a16:creationId xmlns:a16="http://schemas.microsoft.com/office/drawing/2014/main" id="{00000000-0008-0000-0100-000006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55303" name="cmdRefreshUnits" hidden="1">
              <a:extLst>
                <a:ext uri="{63B3BB69-23CF-44E3-9099-C40C66FF867C}">
                  <a14:compatExt spid="_x0000_s55303"/>
                </a:ext>
                <a:ext uri="{FF2B5EF4-FFF2-40B4-BE49-F238E27FC236}">
                  <a16:creationId xmlns:a16="http://schemas.microsoft.com/office/drawing/2014/main" id="{00000000-0008-0000-0100-000007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xdr:row>
          <xdr:rowOff>0</xdr:rowOff>
        </xdr:from>
        <xdr:to>
          <xdr:col>4</xdr:col>
          <xdr:colOff>1514475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57345" name="cmdTechnologySets" hidden="1">
              <a:extLst>
                <a:ext uri="{63B3BB69-23CF-44E3-9099-C40C66FF867C}">
                  <a14:compatExt spid="_x0000_s57345"/>
                </a:ext>
                <a:ext uri="{FF2B5EF4-FFF2-40B4-BE49-F238E27FC236}">
                  <a16:creationId xmlns:a16="http://schemas.microsoft.com/office/drawing/2014/main" id="{00000000-0008-0000-0400-000001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57346" name="cmdCheckTechnologiesSheet" hidden="1">
              <a:extLst>
                <a:ext uri="{63B3BB69-23CF-44E3-9099-C40C66FF867C}">
                  <a14:compatExt spid="_x0000_s57346"/>
                </a:ext>
                <a:ext uri="{FF2B5EF4-FFF2-40B4-BE49-F238E27FC236}">
                  <a16:creationId xmlns:a16="http://schemas.microsoft.com/office/drawing/2014/main" id="{00000000-0008-0000-0400-000002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57347" name="cmdTACTUnit" hidden="1">
              <a:extLst>
                <a:ext uri="{63B3BB69-23CF-44E3-9099-C40C66FF867C}">
                  <a14:compatExt spid="_x0000_s57347"/>
                </a:ext>
                <a:ext uri="{FF2B5EF4-FFF2-40B4-BE49-F238E27FC236}">
                  <a16:creationId xmlns:a16="http://schemas.microsoft.com/office/drawing/2014/main" id="{00000000-0008-0000-0400-000003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57348" name="cmdTCAPUnit" hidden="1">
              <a:extLst>
                <a:ext uri="{63B3BB69-23CF-44E3-9099-C40C66FF867C}">
                  <a14:compatExt spid="_x0000_s57348"/>
                </a:ext>
                <a:ext uri="{FF2B5EF4-FFF2-40B4-BE49-F238E27FC236}">
                  <a16:creationId xmlns:a16="http://schemas.microsoft.com/office/drawing/2014/main" id="{00000000-0008-0000-0400-000004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57349" name="cmdRefreshUnits" hidden="1">
              <a:extLst>
                <a:ext uri="{63B3BB69-23CF-44E3-9099-C40C66FF867C}">
                  <a14:compatExt spid="_x0000_s57349"/>
                </a:ext>
                <a:ext uri="{FF2B5EF4-FFF2-40B4-BE49-F238E27FC236}">
                  <a16:creationId xmlns:a16="http://schemas.microsoft.com/office/drawing/2014/main" id="{00000000-0008-0000-0400-000005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5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5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5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5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17</xdr:col>
      <xdr:colOff>23811</xdr:colOff>
      <xdr:row>45</xdr:row>
      <xdr:rowOff>130970</xdr:rowOff>
    </xdr:from>
    <xdr:to>
      <xdr:col>23</xdr:col>
      <xdr:colOff>228558</xdr:colOff>
      <xdr:row>72</xdr:row>
      <xdr:rowOff>53976</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4918530" y="7667626"/>
          <a:ext cx="7241341" cy="4417218"/>
        </a:xfrm>
        <a:prstGeom prst="rect">
          <a:avLst/>
        </a:prstGeom>
        <a:solidFill>
          <a:schemeClr val="bg1"/>
        </a:solidFill>
        <a:ln w="19050">
          <a:solidFill>
            <a:schemeClr val="tx1"/>
          </a:solidFill>
        </a:ln>
      </xdr:spPr>
    </xdr:pic>
    <xdr:clientData/>
  </xdr:twoCellAnchor>
  <xdr:twoCellAnchor editAs="oneCell">
    <xdr:from>
      <xdr:col>24</xdr:col>
      <xdr:colOff>398915</xdr:colOff>
      <xdr:row>46</xdr:row>
      <xdr:rowOff>1</xdr:rowOff>
    </xdr:from>
    <xdr:to>
      <xdr:col>28</xdr:col>
      <xdr:colOff>550861</xdr:colOff>
      <xdr:row>72</xdr:row>
      <xdr:rowOff>53975</xdr:rowOff>
    </xdr:to>
    <xdr:pic>
      <xdr:nvPicPr>
        <xdr:cNvPr id="3" name="Picture 2" descr="NYC Car Ownership Rates">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234978" y="7703345"/>
          <a:ext cx="4339771" cy="4381499"/>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59393" name="cmdConstraintSets" hidden="1">
              <a:extLst>
                <a:ext uri="{63B3BB69-23CF-44E3-9099-C40C66FF867C}">
                  <a14:compatExt spid="_x0000_s59393"/>
                </a:ext>
                <a:ext uri="{FF2B5EF4-FFF2-40B4-BE49-F238E27FC236}">
                  <a16:creationId xmlns:a16="http://schemas.microsoft.com/office/drawing/2014/main" id="{00000000-0008-0000-1000-000001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59394" name="cmdCheckConstraintsSheet" hidden="1">
              <a:extLst>
                <a:ext uri="{63B3BB69-23CF-44E3-9099-C40C66FF867C}">
                  <a14:compatExt spid="_x0000_s59394"/>
                </a:ext>
                <a:ext uri="{FF2B5EF4-FFF2-40B4-BE49-F238E27FC236}">
                  <a16:creationId xmlns:a16="http://schemas.microsoft.com/office/drawing/2014/main" id="{00000000-0008-0000-1000-000002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59395" name="cmdConstraintUnit" hidden="1">
              <a:extLst>
                <a:ext uri="{63B3BB69-23CF-44E3-9099-C40C66FF867C}">
                  <a14:compatExt spid="_x0000_s59395"/>
                </a:ext>
                <a:ext uri="{FF2B5EF4-FFF2-40B4-BE49-F238E27FC236}">
                  <a16:creationId xmlns:a16="http://schemas.microsoft.com/office/drawing/2014/main" id="{00000000-0008-0000-1000-000003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59396" name="cmdRefreshUnits" hidden="1">
              <a:extLst>
                <a:ext uri="{63B3BB69-23CF-44E3-9099-C40C66FF867C}">
                  <a14:compatExt spid="_x0000_s59396"/>
                </a:ext>
                <a:ext uri="{FF2B5EF4-FFF2-40B4-BE49-F238E27FC236}">
                  <a16:creationId xmlns:a16="http://schemas.microsoft.com/office/drawing/2014/main" id="{00000000-0008-0000-1000-000004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11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11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11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11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62465" name="cmdTechNameAndDesc" hidden="1">
              <a:extLst>
                <a:ext uri="{63B3BB69-23CF-44E3-9099-C40C66FF867C}">
                  <a14:compatExt spid="_x0000_s62465"/>
                </a:ext>
                <a:ext uri="{FF2B5EF4-FFF2-40B4-BE49-F238E27FC236}">
                  <a16:creationId xmlns:a16="http://schemas.microsoft.com/office/drawing/2014/main" id="{00000000-0008-0000-1200-00000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62466" name="cmdCommIN" hidden="1">
              <a:extLst>
                <a:ext uri="{63B3BB69-23CF-44E3-9099-C40C66FF867C}">
                  <a14:compatExt spid="_x0000_s62466"/>
                </a:ext>
                <a:ext uri="{FF2B5EF4-FFF2-40B4-BE49-F238E27FC236}">
                  <a16:creationId xmlns:a16="http://schemas.microsoft.com/office/drawing/2014/main" id="{00000000-0008-0000-1200-00000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62467" name="cmdCommOUT" hidden="1">
              <a:extLst>
                <a:ext uri="{63B3BB69-23CF-44E3-9099-C40C66FF867C}">
                  <a14:compatExt spid="_x0000_s62467"/>
                </a:ext>
                <a:ext uri="{FF2B5EF4-FFF2-40B4-BE49-F238E27FC236}">
                  <a16:creationId xmlns:a16="http://schemas.microsoft.com/office/drawing/2014/main" id="{00000000-0008-0000-1200-00000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62468" name="cmdAddParameter" hidden="1">
              <a:extLst>
                <a:ext uri="{63B3BB69-23CF-44E3-9099-C40C66FF867C}">
                  <a14:compatExt spid="_x0000_s62468"/>
                </a:ext>
                <a:ext uri="{FF2B5EF4-FFF2-40B4-BE49-F238E27FC236}">
                  <a16:creationId xmlns:a16="http://schemas.microsoft.com/office/drawing/2014/main" id="{00000000-0008-0000-1200-00000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62469" name="cmdAddParamQualifier" hidden="1">
              <a:extLst>
                <a:ext uri="{63B3BB69-23CF-44E3-9099-C40C66FF867C}">
                  <a14:compatExt spid="_x0000_s62469"/>
                </a:ext>
                <a:ext uri="{FF2B5EF4-FFF2-40B4-BE49-F238E27FC236}">
                  <a16:creationId xmlns:a16="http://schemas.microsoft.com/office/drawing/2014/main" id="{00000000-0008-0000-1200-00000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62470" name="cmdCheckTechDataSheet" hidden="1">
              <a:extLst>
                <a:ext uri="{63B3BB69-23CF-44E3-9099-C40C66FF867C}">
                  <a14:compatExt spid="_x0000_s62470"/>
                </a:ext>
                <a:ext uri="{FF2B5EF4-FFF2-40B4-BE49-F238E27FC236}">
                  <a16:creationId xmlns:a16="http://schemas.microsoft.com/office/drawing/2014/main" id="{00000000-0008-0000-1200-00000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62471" name="cmdRefreshUnits" hidden="1">
              <a:extLst>
                <a:ext uri="{63B3BB69-23CF-44E3-9099-C40C66FF867C}">
                  <a14:compatExt spid="_x0000_s62471"/>
                </a:ext>
                <a:ext uri="{FF2B5EF4-FFF2-40B4-BE49-F238E27FC236}">
                  <a16:creationId xmlns:a16="http://schemas.microsoft.com/office/drawing/2014/main" id="{00000000-0008-0000-1200-00000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61441" name="cmdAddParameter" hidden="1">
              <a:extLst>
                <a:ext uri="{63B3BB69-23CF-44E3-9099-C40C66FF867C}">
                  <a14:compatExt spid="_x0000_s61441"/>
                </a:ext>
                <a:ext uri="{FF2B5EF4-FFF2-40B4-BE49-F238E27FC236}">
                  <a16:creationId xmlns:a16="http://schemas.microsoft.com/office/drawing/2014/main" id="{00000000-0008-0000-13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1442" name="cmdCommNameAndDesc" hidden="1">
              <a:extLst>
                <a:ext uri="{63B3BB69-23CF-44E3-9099-C40C66FF867C}">
                  <a14:compatExt spid="_x0000_s61442"/>
                </a:ext>
                <a:ext uri="{FF2B5EF4-FFF2-40B4-BE49-F238E27FC236}">
                  <a16:creationId xmlns:a16="http://schemas.microsoft.com/office/drawing/2014/main" id="{00000000-0008-0000-1300-000002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61443" name="cmdAddParamQualifier" hidden="1">
              <a:extLst>
                <a:ext uri="{63B3BB69-23CF-44E3-9099-C40C66FF867C}">
                  <a14:compatExt spid="_x0000_s61443"/>
                </a:ext>
                <a:ext uri="{FF2B5EF4-FFF2-40B4-BE49-F238E27FC236}">
                  <a16:creationId xmlns:a16="http://schemas.microsoft.com/office/drawing/2014/main" id="{00000000-0008-0000-1300-000003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61444" name="cmdCheckCommDataSheet" hidden="1">
              <a:extLst>
                <a:ext uri="{63B3BB69-23CF-44E3-9099-C40C66FF867C}">
                  <a14:compatExt spid="_x0000_s61444"/>
                </a:ext>
                <a:ext uri="{FF2B5EF4-FFF2-40B4-BE49-F238E27FC236}">
                  <a16:creationId xmlns:a16="http://schemas.microsoft.com/office/drawing/2014/main" id="{00000000-0008-0000-1300-000004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1445" name="cmdRefreshUnits" hidden="1">
              <a:extLst>
                <a:ext uri="{63B3BB69-23CF-44E3-9099-C40C66FF867C}">
                  <a14:compatExt spid="_x0000_s61445"/>
                </a:ext>
                <a:ext uri="{FF2B5EF4-FFF2-40B4-BE49-F238E27FC236}">
                  <a16:creationId xmlns:a16="http://schemas.microsoft.com/office/drawing/2014/main" id="{00000000-0008-0000-1300-000005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14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14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14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14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14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15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15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15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15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15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15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15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6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6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6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6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6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6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0</xdr:col>
      <xdr:colOff>200025</xdr:colOff>
      <xdr:row>32</xdr:row>
      <xdr:rowOff>47625</xdr:rowOff>
    </xdr:from>
    <xdr:to>
      <xdr:col>16</xdr:col>
      <xdr:colOff>142875</xdr:colOff>
      <xdr:row>68</xdr:row>
      <xdr:rowOff>66675</xdr:rowOff>
    </xdr:to>
    <xdr:graphicFrame macro="">
      <xdr:nvGraphicFramePr>
        <xdr:cNvPr id="160769" name="Chart 1">
          <a:extLst>
            <a:ext uri="{FF2B5EF4-FFF2-40B4-BE49-F238E27FC236}">
              <a16:creationId xmlns:a16="http://schemas.microsoft.com/office/drawing/2014/main" id="{00000000-0008-0000-2D00-00000174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24</xdr:row>
      <xdr:rowOff>133350</xdr:rowOff>
    </xdr:from>
    <xdr:to>
      <xdr:col>16</xdr:col>
      <xdr:colOff>276225</xdr:colOff>
      <xdr:row>30</xdr:row>
      <xdr:rowOff>133350</xdr:rowOff>
    </xdr:to>
    <xdr:sp macro="" textlink="">
      <xdr:nvSpPr>
        <xdr:cNvPr id="73730" name="Text Box 2">
          <a:extLst>
            <a:ext uri="{FF2B5EF4-FFF2-40B4-BE49-F238E27FC236}">
              <a16:creationId xmlns:a16="http://schemas.microsoft.com/office/drawing/2014/main" id="{00000000-0008-0000-2D00-000002200100}"/>
            </a:ext>
          </a:extLst>
        </xdr:cNvPr>
        <xdr:cNvSpPr txBox="1">
          <a:spLocks noChangeArrowheads="1"/>
        </xdr:cNvSpPr>
      </xdr:nvSpPr>
      <xdr:spPr bwMode="auto">
        <a:xfrm>
          <a:off x="238125" y="4695825"/>
          <a:ext cx="7820025" cy="10001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Fuel economy improvements are assumed to be constant over the CV baseline in any given year.  % improvements are based on the average of FE gain from the Vehicle Technology Pathways paper</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68609" name="cmdConstrNameAndDesc" hidden="1">
              <a:extLst>
                <a:ext uri="{63B3BB69-23CF-44E3-9099-C40C66FF867C}">
                  <a14:compatExt spid="_x0000_s68609"/>
                </a:ext>
                <a:ext uri="{FF2B5EF4-FFF2-40B4-BE49-F238E27FC236}">
                  <a16:creationId xmlns:a16="http://schemas.microsoft.com/office/drawing/2014/main" id="{00000000-0008-0000-25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68610" name="cmdTechName" hidden="1">
              <a:extLst>
                <a:ext uri="{63B3BB69-23CF-44E3-9099-C40C66FF867C}">
                  <a14:compatExt spid="_x0000_s68610"/>
                </a:ext>
                <a:ext uri="{FF2B5EF4-FFF2-40B4-BE49-F238E27FC236}">
                  <a16:creationId xmlns:a16="http://schemas.microsoft.com/office/drawing/2014/main" id="{00000000-0008-0000-25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68611" name="cmdAddParameter" hidden="1">
              <a:extLst>
                <a:ext uri="{63B3BB69-23CF-44E3-9099-C40C66FF867C}">
                  <a14:compatExt spid="_x0000_s68611"/>
                </a:ext>
                <a:ext uri="{FF2B5EF4-FFF2-40B4-BE49-F238E27FC236}">
                  <a16:creationId xmlns:a16="http://schemas.microsoft.com/office/drawing/2014/main" id="{00000000-0008-0000-25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68612" name="cmdCheckConstrDataSheet" hidden="1">
              <a:extLst>
                <a:ext uri="{63B3BB69-23CF-44E3-9099-C40C66FF867C}">
                  <a14:compatExt spid="_x0000_s68612"/>
                </a:ext>
                <a:ext uri="{FF2B5EF4-FFF2-40B4-BE49-F238E27FC236}">
                  <a16:creationId xmlns:a16="http://schemas.microsoft.com/office/drawing/2014/main" id="{00000000-0008-0000-25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68613" name="cmdAddParamQualifier" hidden="1">
              <a:extLst>
                <a:ext uri="{63B3BB69-23CF-44E3-9099-C40C66FF867C}">
                  <a14:compatExt spid="_x0000_s68613"/>
                </a:ext>
                <a:ext uri="{FF2B5EF4-FFF2-40B4-BE49-F238E27FC236}">
                  <a16:creationId xmlns:a16="http://schemas.microsoft.com/office/drawing/2014/main" id="{00000000-0008-0000-25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68614" name="cmdRefreshUnits" hidden="1">
              <a:extLst>
                <a:ext uri="{63B3BB69-23CF-44E3-9099-C40C66FF867C}">
                  <a14:compatExt spid="_x0000_s68614"/>
                </a:ext>
                <a:ext uri="{FF2B5EF4-FFF2-40B4-BE49-F238E27FC236}">
                  <a16:creationId xmlns:a16="http://schemas.microsoft.com/office/drawing/2014/main" id="{00000000-0008-0000-25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nrml_appcd\MARKAL%202005%20USEPA%20NM\MARKAL_14_Residentia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usepa.sharepoint.com/sites/COMET507/Shared%20Documents/General/COMET_NYC_v15.0.9/VT_NYC_TRNLDV_V01.xlsx" TargetMode="External"/><Relationship Id="rId1" Type="http://schemas.openxmlformats.org/officeDocument/2006/relationships/externalLinkPath" Target="https://usepa.sharepoint.com/sites/COMET507/Shared%20Documents/General/COMET_NYC_v15.0.9/VT_NYC_TRNLDV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ANSv6.0-Commodities"/>
      <sheetName val="ANSv6.1-Commodities"/>
      <sheetName val="Commodities"/>
      <sheetName val="ANSv6.0-Technologies"/>
      <sheetName val="ANSv6.1-Technologies"/>
      <sheetName val="Technologies"/>
      <sheetName val="CommData"/>
      <sheetName val="TechData_existing"/>
      <sheetName val="VMT NYC"/>
      <sheetName val="TechData-Emis"/>
      <sheetName val="Constraints"/>
      <sheetName val="ConstrData"/>
      <sheetName val="ConstrData2"/>
      <sheetName val="TechData_ZZ"/>
      <sheetName val="TechData_All"/>
      <sheetName val="ResidDataAndCalcs"/>
      <sheetName val="ConsolidatedVehData"/>
      <sheetName val="NewEmisData"/>
      <sheetName val="OldEmisData"/>
      <sheetName val="MayEmis"/>
      <sheetName val="Total GHG emissions (tCO2e)"/>
      <sheetName val="Fuel Consumptions"/>
      <sheetName val="Vehicle Data"/>
      <sheetName val="ANSv6.0-Constraints"/>
      <sheetName val="ANSv6.1-Constraints"/>
      <sheetName val="ANSv6.0-TechData"/>
      <sheetName val="ANSv6.0-CommData"/>
      <sheetName val="ANSv6.1-CommData"/>
      <sheetName val="ANSv6.1-TechData"/>
      <sheetName val="ANSv6.1-ConstrData"/>
      <sheetName val="GHG Reports"/>
      <sheetName val="AEO14 DMD"/>
      <sheetName val="Population NYC"/>
      <sheetName val="Population"/>
      <sheetName val="MOVES2014"/>
      <sheetName val="ERG_ElectricVeh"/>
      <sheetName val="AdditionalVehs"/>
      <sheetName val="Costs"/>
      <sheetName val="Efficiencies"/>
      <sheetName val="SalesShareCalcs"/>
      <sheetName val="CAFE14_54.5"/>
      <sheetName val="NREL PHEV"/>
      <sheetName val="AEO14 T59"/>
      <sheetName val="AEO14 T60"/>
      <sheetName val="OTAQ Car"/>
      <sheetName val="OTAQ Truck"/>
      <sheetName val="AEO14 Sales data"/>
      <sheetName val="AEO14 T7"/>
      <sheetName val="TED10"/>
      <sheetName val="AEO08 T50"/>
      <sheetName val="VMT By Region"/>
      <sheetName val="Original GJ"/>
      <sheetName val="GDPdeflator"/>
      <sheetName val="ANSv6.0-ConstrData"/>
    </sheetNames>
    <sheetDataSet>
      <sheetData sheetId="0"/>
      <sheetData sheetId="1"/>
      <sheetData sheetId="2"/>
      <sheetData sheetId="3">
        <row r="9">
          <cell r="D9" t="str">
            <v>TL</v>
          </cell>
        </row>
      </sheetData>
      <sheetData sheetId="4"/>
      <sheetData sheetId="5"/>
      <sheetData sheetId="6">
        <row r="30">
          <cell r="D30" t="str">
            <v>PNGACNG</v>
          </cell>
          <cell r="E30" t="str">
            <v>Conv: NGA to CNG</v>
          </cell>
        </row>
        <row r="32">
          <cell r="D32" t="str">
            <v>SCTRNCNGL</v>
          </cell>
          <cell r="E32" t="str">
            <v>Collector: CNG to TRN LDV</v>
          </cell>
        </row>
        <row r="33">
          <cell r="D33" t="str">
            <v>SCCNGCNGX</v>
          </cell>
          <cell r="E33" t="str">
            <v>Collector: CNG to CNGX</v>
          </cell>
        </row>
        <row r="34">
          <cell r="D34" t="str">
            <v>SCGSLCNGX</v>
          </cell>
          <cell r="E34" t="str">
            <v>Collector: GSL to CNGX</v>
          </cell>
        </row>
        <row r="35">
          <cell r="D35" t="str">
            <v>SCGSLLPGX</v>
          </cell>
          <cell r="E35" t="str">
            <v>Collector: GSL to LPGX</v>
          </cell>
        </row>
        <row r="36">
          <cell r="D36" t="str">
            <v>SCLPGLPGX</v>
          </cell>
          <cell r="E36" t="str">
            <v>Collector: LPG to LPGX</v>
          </cell>
        </row>
        <row r="37">
          <cell r="D37" t="str">
            <v>SCTLGSLE85</v>
          </cell>
          <cell r="E37" t="str">
            <v>Collector: GSL to E85X</v>
          </cell>
        </row>
        <row r="38">
          <cell r="D38" t="str">
            <v>SCTLE85E85</v>
          </cell>
          <cell r="E38" t="str">
            <v>Collector: E85 to E85X</v>
          </cell>
        </row>
        <row r="42">
          <cell r="D42" t="str">
            <v>SCTLE10GSL</v>
          </cell>
          <cell r="E42" t="str">
            <v>Collector: TRNE10 to GSL</v>
          </cell>
        </row>
        <row r="45">
          <cell r="D45" t="str">
            <v>SCDSLBDSL</v>
          </cell>
          <cell r="E45" t="str">
            <v>Collector: DSLB to DSL</v>
          </cell>
        </row>
        <row r="46">
          <cell r="D46" t="str">
            <v>SCTRNELC</v>
          </cell>
          <cell r="E46" t="str">
            <v>Collector: ELC to TRN</v>
          </cell>
        </row>
        <row r="77">
          <cell r="B77" t="str">
            <v>R2,R3,R4,R5,R6</v>
          </cell>
          <cell r="D77" t="str">
            <v>TLMCELC</v>
          </cell>
          <cell r="E77" t="str">
            <v>Electric minicar w/100 mi range</v>
          </cell>
        </row>
        <row r="78">
          <cell r="B78" t="str">
            <v>R2,R3,R4,R5,R6</v>
          </cell>
          <cell r="D78" t="str">
            <v>TLCELC</v>
          </cell>
          <cell r="E78" t="str">
            <v>Electric compact car w/100 mi range</v>
          </cell>
        </row>
        <row r="79">
          <cell r="B79" t="str">
            <v>R2,R3,R4,R5,R6</v>
          </cell>
          <cell r="D79" t="str">
            <v>TLFELC</v>
          </cell>
          <cell r="E79" t="str">
            <v>Electric fullsize car w/100 mi range</v>
          </cell>
        </row>
        <row r="80">
          <cell r="B80" t="str">
            <v>R2,R3,R4,R5,R6</v>
          </cell>
          <cell r="D80" t="str">
            <v>TLMELC</v>
          </cell>
          <cell r="E80" t="str">
            <v>Electric minivan w/100 mi range</v>
          </cell>
        </row>
        <row r="81">
          <cell r="B81" t="str">
            <v>R2,R3,R4,R5,R6</v>
          </cell>
          <cell r="D81" t="str">
            <v>TLPELC</v>
          </cell>
          <cell r="E81" t="str">
            <v>Electric pickup truck w/100 mi range</v>
          </cell>
        </row>
        <row r="82">
          <cell r="B82" t="str">
            <v>R2,R3,R4,R5,R6</v>
          </cell>
          <cell r="D82" t="str">
            <v>TLSSELC</v>
          </cell>
          <cell r="E82" t="str">
            <v>Electric small SUV w/100 mi range</v>
          </cell>
        </row>
        <row r="83">
          <cell r="D83" t="str">
            <v>TLLSELC</v>
          </cell>
          <cell r="E83" t="str">
            <v>Electric large SUV w/100 mi range</v>
          </cell>
        </row>
        <row r="84">
          <cell r="B84" t="str">
            <v>R2,R3,R4,R5,R6</v>
          </cell>
          <cell r="D84" t="str">
            <v>TLMCELCB</v>
          </cell>
          <cell r="E84" t="str">
            <v>Electric minicar w/200 mi range</v>
          </cell>
        </row>
        <row r="85">
          <cell r="B85" t="str">
            <v>R2,R3,R4,R5,R6</v>
          </cell>
          <cell r="D85" t="str">
            <v>TLCELCB</v>
          </cell>
          <cell r="E85" t="str">
            <v>Electric compact car w/200 mi range</v>
          </cell>
        </row>
        <row r="86">
          <cell r="B86" t="str">
            <v>R2,R3,R4,R5,R6</v>
          </cell>
          <cell r="D86" t="str">
            <v>TLFELCB</v>
          </cell>
          <cell r="E86" t="str">
            <v>Electric fullsize car w/200 mi range</v>
          </cell>
        </row>
        <row r="87">
          <cell r="B87" t="str">
            <v>R2,R3,R4,R5,R6</v>
          </cell>
          <cell r="D87" t="str">
            <v>TLMELCB</v>
          </cell>
          <cell r="E87" t="str">
            <v>Electric minivan w/200 mi range</v>
          </cell>
        </row>
        <row r="88">
          <cell r="B88" t="str">
            <v>R2,R3,R4,R5,R6</v>
          </cell>
          <cell r="D88" t="str">
            <v>TLPELCB</v>
          </cell>
          <cell r="E88" t="str">
            <v>Electric pickup truck w/200 mi range</v>
          </cell>
        </row>
        <row r="89">
          <cell r="B89" t="str">
            <v>R2,R3,R4,R5,R6</v>
          </cell>
          <cell r="D89" t="str">
            <v>TLSSELCB</v>
          </cell>
          <cell r="E89" t="str">
            <v>Electric small SUV w/200 mi range</v>
          </cell>
        </row>
        <row r="90">
          <cell r="B90" t="str">
            <v>R2,R3,R4,R5,R6</v>
          </cell>
          <cell r="D90" t="str">
            <v>TLLSELCB</v>
          </cell>
          <cell r="E90" t="str">
            <v>Electric large SUV w/200 mi range</v>
          </cell>
        </row>
        <row r="91">
          <cell r="B91" t="str">
            <v>R2,R3,R4,R5,R6</v>
          </cell>
          <cell r="D91" t="str">
            <v>TLMCCONV10</v>
          </cell>
          <cell r="E91" t="str">
            <v>TL.GSL.MC.CONV.2010</v>
          </cell>
        </row>
        <row r="92">
          <cell r="B92" t="str">
            <v>R2,R3,R4,R5,R6</v>
          </cell>
          <cell r="D92" t="str">
            <v>TLCCONV10</v>
          </cell>
          <cell r="E92" t="str">
            <v>TL.GSL.C.CONV.2010</v>
          </cell>
        </row>
        <row r="93">
          <cell r="B93" t="str">
            <v>R2,R3,R4,R5,R6</v>
          </cell>
          <cell r="D93" t="str">
            <v>TLCDSL10</v>
          </cell>
          <cell r="E93" t="str">
            <v>TL.DSL.C.DSL.2010</v>
          </cell>
        </row>
        <row r="94">
          <cell r="B94" t="str">
            <v>R2,R3,R4,R5,R6</v>
          </cell>
          <cell r="D94" t="str">
            <v>TLCCNG10</v>
          </cell>
          <cell r="E94" t="str">
            <v>TL.CNG.C.CNG.2010</v>
          </cell>
        </row>
        <row r="95">
          <cell r="B95" t="str">
            <v>*R2,R3,R4,R5,R6</v>
          </cell>
          <cell r="D95" t="str">
            <v>TLCCNGX10</v>
          </cell>
          <cell r="E95" t="str">
            <v>TL.CNGX.C.CNGX.2010</v>
          </cell>
        </row>
        <row r="96">
          <cell r="B96" t="str">
            <v>R2,R3,R4,R5,R6</v>
          </cell>
          <cell r="D96" t="str">
            <v>TLCDHEV15</v>
          </cell>
          <cell r="E96" t="str">
            <v>TL.DSL.C.DHEV.2015</v>
          </cell>
        </row>
        <row r="97">
          <cell r="B97" t="str">
            <v>*R2,R3,R4,R5,R6</v>
          </cell>
          <cell r="D97" t="str">
            <v>TLCETHX10</v>
          </cell>
          <cell r="E97" t="str">
            <v>TL.E85X.C.ETHX.2010</v>
          </cell>
        </row>
        <row r="98">
          <cell r="B98" t="str">
            <v>R2,R3,R4,R5,R6</v>
          </cell>
          <cell r="D98" t="str">
            <v>TLCFCH10</v>
          </cell>
          <cell r="E98" t="str">
            <v>TL.H2.C.FCH.2010</v>
          </cell>
        </row>
        <row r="99">
          <cell r="B99" t="str">
            <v>R2,R3,R4,R5,R6</v>
          </cell>
          <cell r="D99" t="str">
            <v>TLCHEV10</v>
          </cell>
          <cell r="E99" t="str">
            <v>TL.GSL.C.HEV.2010</v>
          </cell>
        </row>
        <row r="100">
          <cell r="B100" t="str">
            <v>*R2,R3,R4,R5,R6</v>
          </cell>
          <cell r="D100" t="str">
            <v>TLCLPGX10</v>
          </cell>
          <cell r="E100" t="str">
            <v>TL.LPGX.C.LPGX.2010</v>
          </cell>
        </row>
        <row r="101">
          <cell r="B101" t="str">
            <v>R2,R3,R4,R5,R6</v>
          </cell>
          <cell r="D101" t="str">
            <v>TLCPHVG10</v>
          </cell>
          <cell r="E101" t="str">
            <v>TL.GSL.C.PHVG.2010</v>
          </cell>
        </row>
        <row r="102">
          <cell r="B102" t="str">
            <v>R2,R3,R4,R5,R6</v>
          </cell>
          <cell r="D102" t="str">
            <v>TLFCONV10</v>
          </cell>
          <cell r="E102" t="str">
            <v>TL.GSL.F.CONV.2010</v>
          </cell>
        </row>
        <row r="103">
          <cell r="B103" t="str">
            <v>*R2,R3,R4,R5,R6</v>
          </cell>
          <cell r="D103" t="str">
            <v>TLFCNG10</v>
          </cell>
          <cell r="E103" t="str">
            <v>TL.CNG.F.CNG.2010</v>
          </cell>
        </row>
        <row r="104">
          <cell r="B104" t="str">
            <v>*R2,R3,R4,R5,R6</v>
          </cell>
          <cell r="D104" t="str">
            <v>TLFCNGX10</v>
          </cell>
          <cell r="E104" t="str">
            <v>TL.CNGX.F.CNGX.2010</v>
          </cell>
        </row>
        <row r="105">
          <cell r="B105" t="str">
            <v>R2,R3,R4,R5,R6</v>
          </cell>
          <cell r="D105" t="str">
            <v>TLFDHEV20</v>
          </cell>
          <cell r="E105" t="str">
            <v>TL.DSL.F.DHEV.2020</v>
          </cell>
        </row>
        <row r="106">
          <cell r="B106" t="str">
            <v>R2,R3,R4,R5,R6</v>
          </cell>
          <cell r="D106" t="str">
            <v>TLFDSL10</v>
          </cell>
          <cell r="E106" t="str">
            <v>TL.DSL.F.DSL.2010</v>
          </cell>
        </row>
        <row r="107">
          <cell r="B107" t="str">
            <v>*R2,R3,R4,R5,R6</v>
          </cell>
          <cell r="D107" t="str">
            <v>TLFETHX10</v>
          </cell>
          <cell r="E107" t="str">
            <v>TL.E85X.F.ETHX.2010</v>
          </cell>
        </row>
        <row r="108">
          <cell r="B108" t="str">
            <v>R2,R3,R4,R5,R6</v>
          </cell>
          <cell r="D108" t="str">
            <v>TLFFCH15</v>
          </cell>
          <cell r="E108" t="str">
            <v>TL.H2.F.FCH.2015</v>
          </cell>
        </row>
        <row r="109">
          <cell r="B109" t="str">
            <v>R2,R3,R4,R5,R6</v>
          </cell>
          <cell r="D109" t="str">
            <v>TLFHEV10</v>
          </cell>
          <cell r="E109" t="str">
            <v>TL.GSL.F.HEV.2010</v>
          </cell>
        </row>
        <row r="110">
          <cell r="B110" t="str">
            <v>*R2,R3,R4,R5,R6</v>
          </cell>
          <cell r="D110" t="str">
            <v>TLFLPGX10</v>
          </cell>
          <cell r="E110" t="str">
            <v>TL.LPGX.F.LPGX.2010</v>
          </cell>
        </row>
        <row r="111">
          <cell r="B111" t="str">
            <v>R2,R3,R4,R5,R6</v>
          </cell>
          <cell r="D111" t="str">
            <v>TLFPHVG10</v>
          </cell>
          <cell r="E111" t="str">
            <v>TL.GSL.F.PHVG.2010</v>
          </cell>
        </row>
        <row r="112">
          <cell r="B112" t="str">
            <v>R2,R3,R4,R5,R6</v>
          </cell>
          <cell r="D112" t="str">
            <v>TLMCONV10</v>
          </cell>
          <cell r="E112" t="str">
            <v>TL.GSL.M.CONV.2010</v>
          </cell>
        </row>
        <row r="113">
          <cell r="B113" t="str">
            <v>R2,R3,R4,R5,R6</v>
          </cell>
          <cell r="D113" t="str">
            <v>TLMCNG10</v>
          </cell>
          <cell r="E113" t="str">
            <v>TL.CNG.M.CNG.2010</v>
          </cell>
        </row>
        <row r="114">
          <cell r="B114" t="str">
            <v>*R2,R3,R4,R5,R6</v>
          </cell>
          <cell r="D114" t="str">
            <v>TLMCNGX10</v>
          </cell>
          <cell r="E114" t="str">
            <v>TL.CNGX.M.CNGX.2010</v>
          </cell>
        </row>
        <row r="115">
          <cell r="B115" t="str">
            <v>R2,R3,R4,R5,R6</v>
          </cell>
          <cell r="D115" t="str">
            <v>TLMDHEV15</v>
          </cell>
          <cell r="E115" t="str">
            <v>TL.DSL.M.DHEV.2015</v>
          </cell>
        </row>
        <row r="116">
          <cell r="B116" t="str">
            <v>R2,R3,R4,R5,R6</v>
          </cell>
          <cell r="D116" t="str">
            <v>TLMDSL10</v>
          </cell>
          <cell r="E116" t="str">
            <v>TL.DSL.M.DSL.2010</v>
          </cell>
        </row>
        <row r="117">
          <cell r="B117" t="str">
            <v>*R2,R3,R4,R5,R6</v>
          </cell>
          <cell r="D117" t="str">
            <v>TLMETHX10</v>
          </cell>
          <cell r="E117" t="str">
            <v>TL.E85X.M.ETHX.2010</v>
          </cell>
        </row>
        <row r="118">
          <cell r="B118" t="str">
            <v>R2,R3,R4,R5,R6</v>
          </cell>
          <cell r="D118" t="str">
            <v>TLMFCH15</v>
          </cell>
          <cell r="E118" t="str">
            <v>TL.H2.M.FCH.2015</v>
          </cell>
        </row>
        <row r="119">
          <cell r="B119" t="str">
            <v>R2,R3,R4,R5,R6</v>
          </cell>
          <cell r="D119" t="str">
            <v>TLMHEV10</v>
          </cell>
          <cell r="E119" t="str">
            <v>TL.GSL.M.HEV.2010</v>
          </cell>
        </row>
        <row r="120">
          <cell r="B120" t="str">
            <v>*R2,R3,R4,R5,R6</v>
          </cell>
          <cell r="D120" t="str">
            <v>TLMLPG10</v>
          </cell>
          <cell r="E120" t="str">
            <v>TL.LPG1.M.LPG.2010</v>
          </cell>
        </row>
        <row r="121">
          <cell r="B121" t="str">
            <v>*R2,R3,R4,R5,R6</v>
          </cell>
          <cell r="D121" t="str">
            <v>TLMLPGX10</v>
          </cell>
          <cell r="E121" t="str">
            <v>TL.LPGX.M.LPGX.2010</v>
          </cell>
        </row>
        <row r="122">
          <cell r="B122" t="str">
            <v>R2,R3,R4,R5,R6</v>
          </cell>
          <cell r="D122" t="str">
            <v>TLMPHVG10</v>
          </cell>
          <cell r="E122" t="str">
            <v>TL.GSL.M.PHVG.2010</v>
          </cell>
        </row>
        <row r="123">
          <cell r="B123" t="str">
            <v>R2,R3,R4,R5,R6</v>
          </cell>
          <cell r="D123" t="str">
            <v>TLPCONV10</v>
          </cell>
          <cell r="E123" t="str">
            <v>TL.GSL.P.CONV.2010</v>
          </cell>
        </row>
        <row r="124">
          <cell r="B124" t="str">
            <v>R2,R3,R4,R5,R6</v>
          </cell>
          <cell r="D124" t="str">
            <v>TLPCNG10</v>
          </cell>
          <cell r="E124" t="str">
            <v>TL.CNG.P.CNG.2010</v>
          </cell>
        </row>
        <row r="125">
          <cell r="B125" t="str">
            <v>*R2,R3,R4,R5,R6</v>
          </cell>
          <cell r="D125" t="str">
            <v>TLPCNGX10</v>
          </cell>
          <cell r="E125" t="str">
            <v>TL.CNGX.P.CNGX.2010</v>
          </cell>
        </row>
        <row r="126">
          <cell r="B126" t="str">
            <v>R2,R3,R4,R5,R6</v>
          </cell>
          <cell r="D126" t="str">
            <v>TLPDSL10</v>
          </cell>
          <cell r="E126" t="str">
            <v>TL.DSL.P.DSL.2010</v>
          </cell>
        </row>
        <row r="127">
          <cell r="B127" t="str">
            <v>*R2,R3,R4,R5,R6</v>
          </cell>
          <cell r="D127" t="str">
            <v>TLPETHX10</v>
          </cell>
          <cell r="E127" t="str">
            <v>TL.E85X.P.ETHX.2010</v>
          </cell>
        </row>
        <row r="128">
          <cell r="B128" t="str">
            <v>R2,R3,R4,R5,R6</v>
          </cell>
          <cell r="D128" t="str">
            <v>TLPHEV15</v>
          </cell>
          <cell r="E128" t="str">
            <v>TL.GSL.P.HEV.2015</v>
          </cell>
        </row>
        <row r="129">
          <cell r="B129" t="str">
            <v>*R2,R3,R4,R5,R6</v>
          </cell>
          <cell r="D129" t="str">
            <v>TLPLPG10</v>
          </cell>
          <cell r="E129" t="str">
            <v>TL.LPG1.P.LPG.2010</v>
          </cell>
        </row>
        <row r="130">
          <cell r="B130" t="str">
            <v>*R2,R3,R4,R5,R6</v>
          </cell>
          <cell r="D130" t="str">
            <v>TLPLPGX10</v>
          </cell>
          <cell r="E130" t="str">
            <v>TL.LPGX.P.LPGX.2010</v>
          </cell>
        </row>
        <row r="131">
          <cell r="B131" t="str">
            <v>R2,R3,R4,R5,R6</v>
          </cell>
          <cell r="D131" t="str">
            <v>TLPPHVG15</v>
          </cell>
          <cell r="E131" t="str">
            <v>TL.GSL.P.PHVG.2015</v>
          </cell>
        </row>
        <row r="132">
          <cell r="B132" t="str">
            <v>R2,R3,R4,R5,R6</v>
          </cell>
          <cell r="D132" t="str">
            <v>TLSSCONV10</v>
          </cell>
          <cell r="E132" t="str">
            <v>TL.GSL.SS.CONV.2010</v>
          </cell>
        </row>
        <row r="133">
          <cell r="B133" t="str">
            <v>R2,R3,R4,R5,R6</v>
          </cell>
          <cell r="D133" t="str">
            <v>TLSSDHEV20</v>
          </cell>
          <cell r="E133" t="str">
            <v>TL.DSL.SS.DHEV.2020</v>
          </cell>
        </row>
        <row r="134">
          <cell r="B134" t="str">
            <v>R2,R3,R4,R5,R6</v>
          </cell>
          <cell r="D134" t="str">
            <v>TLSSDSL10</v>
          </cell>
          <cell r="E134" t="str">
            <v>TL.DSL.SS.DSL.2010</v>
          </cell>
        </row>
        <row r="135">
          <cell r="B135" t="str">
            <v>*R2,R3,R4,R5,R6</v>
          </cell>
          <cell r="D135" t="str">
            <v>TLSSETHX10</v>
          </cell>
          <cell r="E135" t="str">
            <v>TL.E85X.SS.ETHX.2010</v>
          </cell>
        </row>
        <row r="136">
          <cell r="B136" t="str">
            <v>R2,R3,R4,R5,R6</v>
          </cell>
          <cell r="D136" t="str">
            <v>TLSSFCH10</v>
          </cell>
          <cell r="E136" t="str">
            <v>TL.H2.SS.FCH.2010</v>
          </cell>
        </row>
        <row r="137">
          <cell r="B137" t="str">
            <v>R2,R3,R4,R5,R6</v>
          </cell>
          <cell r="D137" t="str">
            <v>TLSSHEV10</v>
          </cell>
          <cell r="E137" t="str">
            <v>TL.GSL.SS.HEV.2010</v>
          </cell>
        </row>
        <row r="138">
          <cell r="B138" t="str">
            <v>R2,R3,R4,R5,R6</v>
          </cell>
          <cell r="D138" t="str">
            <v>TLSSPHVG10</v>
          </cell>
          <cell r="E138" t="str">
            <v>TL.GSL.SS.PHVG.2010</v>
          </cell>
        </row>
        <row r="139">
          <cell r="B139" t="str">
            <v>R2,R3,R4,R5,R6</v>
          </cell>
          <cell r="D139" t="str">
            <v>TLLSCONV10</v>
          </cell>
          <cell r="E139" t="str">
            <v>TL.GSL.LS.CONV.2010</v>
          </cell>
        </row>
        <row r="140">
          <cell r="B140" t="str">
            <v>R2,R3,R4,R5,R6</v>
          </cell>
          <cell r="D140" t="str">
            <v>TLLSDHEV20</v>
          </cell>
          <cell r="E140" t="str">
            <v>TL.DSL.LS.DHEV.2020</v>
          </cell>
        </row>
        <row r="141">
          <cell r="B141" t="str">
            <v>R2,R3,R4,R5,R6</v>
          </cell>
          <cell r="D141" t="str">
            <v>TLLSDSL10</v>
          </cell>
          <cell r="E141" t="str">
            <v>TL.DSL.LS.DSL.2010</v>
          </cell>
        </row>
        <row r="142">
          <cell r="B142" t="str">
            <v>*R2,R3,R4,R5,R6</v>
          </cell>
          <cell r="D142" t="str">
            <v>TLLSETHX10</v>
          </cell>
          <cell r="E142" t="str">
            <v>TL.E85X.LS.ETHX.2010</v>
          </cell>
        </row>
        <row r="143">
          <cell r="B143" t="str">
            <v>R2,R3,R4,R5,R6</v>
          </cell>
          <cell r="D143" t="str">
            <v>TLLSFCH25</v>
          </cell>
          <cell r="E143" t="str">
            <v>TL.H2.LS.FCH.2025</v>
          </cell>
        </row>
        <row r="144">
          <cell r="B144" t="str">
            <v>R2,R3,R4,R5,R6</v>
          </cell>
          <cell r="D144" t="str">
            <v>TLLSHEV10</v>
          </cell>
          <cell r="E144" t="str">
            <v>TL.GSL.LS.HEV.2010</v>
          </cell>
        </row>
        <row r="145">
          <cell r="B145" t="str">
            <v>R2,R3,R4,R5,R6</v>
          </cell>
          <cell r="D145" t="str">
            <v>TLLSPHVG10</v>
          </cell>
          <cell r="E145" t="str">
            <v>TL.GSL.LS.PHVG.2010</v>
          </cell>
        </row>
        <row r="146">
          <cell r="B146" t="str">
            <v>*R2,R3,R4,R5,R6</v>
          </cell>
          <cell r="D146" t="str">
            <v>TLCHE8510</v>
          </cell>
          <cell r="E146" t="str">
            <v>TL.E85X.C.HE85.2010</v>
          </cell>
        </row>
        <row r="147">
          <cell r="B147" t="str">
            <v>*R2,R3,R4,R5,R6</v>
          </cell>
          <cell r="D147" t="str">
            <v>TLFHE8510</v>
          </cell>
          <cell r="E147" t="str">
            <v>TL.E85X.F.HE85.2010</v>
          </cell>
        </row>
        <row r="148">
          <cell r="B148" t="str">
            <v>*R2,R3,R4,R5,R6</v>
          </cell>
          <cell r="D148" t="str">
            <v>TLPHE8515</v>
          </cell>
          <cell r="E148" t="str">
            <v>TL.E85X.P.HE85.2015</v>
          </cell>
        </row>
        <row r="149">
          <cell r="B149" t="str">
            <v>*R2,R3,R4,R5,R6</v>
          </cell>
          <cell r="D149" t="str">
            <v>TLMHE8510</v>
          </cell>
          <cell r="E149" t="str">
            <v>TL.E85X.M.HE85.2010</v>
          </cell>
        </row>
        <row r="150">
          <cell r="B150" t="str">
            <v>*R2,R3,R4,R5,R6</v>
          </cell>
          <cell r="D150" t="str">
            <v>TLLSHE8510</v>
          </cell>
          <cell r="E150" t="str">
            <v>TL.E85X.LS.HE85.2010</v>
          </cell>
        </row>
        <row r="151">
          <cell r="B151" t="str">
            <v>*R2,R3,R4,R5,R6</v>
          </cell>
          <cell r="D151" t="str">
            <v>TLSSHE8510</v>
          </cell>
          <cell r="E151" t="str">
            <v>TL.E85X.SS.HE85.2010</v>
          </cell>
        </row>
        <row r="152">
          <cell r="B152" t="str">
            <v>R2,R3,R4,R5,R6</v>
          </cell>
          <cell r="D152" t="str">
            <v>TLCP20G10</v>
          </cell>
          <cell r="E152" t="str">
            <v>TL.GSL.C.P20G.2010</v>
          </cell>
        </row>
        <row r="153">
          <cell r="B153" t="str">
            <v>R2,R3,R4,R5,R6</v>
          </cell>
          <cell r="D153" t="str">
            <v>TLFP20G10</v>
          </cell>
          <cell r="E153" t="str">
            <v>TL.GSL.F.P20G.2010</v>
          </cell>
        </row>
        <row r="154">
          <cell r="B154" t="str">
            <v>R2,R3,R4,R5,R6</v>
          </cell>
          <cell r="D154" t="str">
            <v>TLPP20G15</v>
          </cell>
          <cell r="E154" t="str">
            <v>TL.GSL.P.P20G.2015</v>
          </cell>
        </row>
        <row r="155">
          <cell r="B155" t="str">
            <v>R2,R3,R4,R5,R6</v>
          </cell>
          <cell r="D155" t="str">
            <v>TLMP20G10</v>
          </cell>
          <cell r="E155" t="str">
            <v>TL.GSL.M.P20G.2010</v>
          </cell>
        </row>
        <row r="156">
          <cell r="B156" t="str">
            <v>R2,R3,R4,R5,R6</v>
          </cell>
          <cell r="D156" t="str">
            <v>TLLSP20G10</v>
          </cell>
          <cell r="E156" t="str">
            <v>TL.GSL.LS.P20G.2010</v>
          </cell>
        </row>
        <row r="157">
          <cell r="B157" t="str">
            <v>R2,R3,R4,R5,R6</v>
          </cell>
          <cell r="D157" t="str">
            <v>TLSSP20G10</v>
          </cell>
          <cell r="E157" t="str">
            <v>TL.GSL.SS.P20G.2010</v>
          </cell>
        </row>
        <row r="158">
          <cell r="B158" t="str">
            <v>*R2,R3,R4,R5,R6</v>
          </cell>
          <cell r="D158" t="str">
            <v>TLCP20E10</v>
          </cell>
          <cell r="E158" t="str">
            <v>TL.E85X.C.P20E.2010</v>
          </cell>
        </row>
        <row r="159">
          <cell r="B159" t="str">
            <v>*R2,R3,R4,R5,R6</v>
          </cell>
          <cell r="D159" t="str">
            <v>TLFP20E10</v>
          </cell>
          <cell r="E159" t="str">
            <v>TL.E85X.F.P20E.2010</v>
          </cell>
        </row>
        <row r="160">
          <cell r="B160" t="str">
            <v>*R2,R3,R4,R5,R6</v>
          </cell>
          <cell r="D160" t="str">
            <v>TLPP20E10</v>
          </cell>
          <cell r="E160" t="str">
            <v>TL.E85X.P.P20E.2010</v>
          </cell>
        </row>
        <row r="161">
          <cell r="B161" t="str">
            <v>*R2,R3,R4,R5,R6</v>
          </cell>
          <cell r="D161" t="str">
            <v>TLMP20E10</v>
          </cell>
          <cell r="E161" t="str">
            <v>TL.E85X.M.P20E.2010</v>
          </cell>
        </row>
        <row r="162">
          <cell r="B162" t="str">
            <v>*R2,R3,R4,R5,R6</v>
          </cell>
          <cell r="D162" t="str">
            <v>TLLSP20E10</v>
          </cell>
          <cell r="E162" t="str">
            <v>TL.E85X.LS.P20E.2010</v>
          </cell>
        </row>
        <row r="163">
          <cell r="B163" t="str">
            <v>*R2,R3,R4,R5,R6</v>
          </cell>
          <cell r="D163" t="str">
            <v>TLSSP20E15</v>
          </cell>
          <cell r="E163" t="str">
            <v>TL.E85X.SS.P20E.2015</v>
          </cell>
        </row>
        <row r="164">
          <cell r="B164" t="str">
            <v>*R2,R3,R4,R5,R6</v>
          </cell>
          <cell r="D164" t="str">
            <v>TLCPHVE10</v>
          </cell>
          <cell r="E164" t="str">
            <v>TL.E85X.C.PHVE.2010</v>
          </cell>
        </row>
        <row r="165">
          <cell r="B165" t="str">
            <v>*R2,R3,R4,R5,R6</v>
          </cell>
          <cell r="D165" t="str">
            <v>TLFPHVE10</v>
          </cell>
          <cell r="E165" t="str">
            <v>TL.E85X.F.PHVE.2010</v>
          </cell>
        </row>
        <row r="166">
          <cell r="B166" t="str">
            <v>*R2,R3,R4,R5,R6</v>
          </cell>
          <cell r="D166" t="str">
            <v>TLPPHVE15</v>
          </cell>
          <cell r="E166" t="str">
            <v>TL.E85X.P.PHVE.2015</v>
          </cell>
        </row>
        <row r="167">
          <cell r="B167" t="str">
            <v>*R2,R3,R4,R5,R6</v>
          </cell>
          <cell r="D167" t="str">
            <v>TLMPHVE10</v>
          </cell>
          <cell r="E167" t="str">
            <v>TL.E85X.M.PHVE.2010</v>
          </cell>
        </row>
        <row r="168">
          <cell r="B168" t="str">
            <v>*R2,R3,R4,R5,R6</v>
          </cell>
          <cell r="D168" t="str">
            <v>TLLSPHVE10</v>
          </cell>
          <cell r="E168" t="str">
            <v>TL.E85X.LS.PHVE.2010</v>
          </cell>
        </row>
        <row r="169">
          <cell r="B169" t="str">
            <v>*R2,R3,R4,R5,R6</v>
          </cell>
          <cell r="D169" t="str">
            <v>TLSSPHVE10</v>
          </cell>
          <cell r="E169" t="str">
            <v>TL.E85X.SS.PHVE.2010</v>
          </cell>
        </row>
        <row r="179">
          <cell r="D179" t="str">
            <v>SCTRNCNGH</v>
          </cell>
          <cell r="E179" t="str">
            <v>Collector: CNG to TRN HDV</v>
          </cell>
        </row>
      </sheetData>
      <sheetData sheetId="7"/>
      <sheetData sheetId="8"/>
      <sheetData sheetId="9"/>
      <sheetData sheetId="10"/>
      <sheetData sheetId="11"/>
      <sheetData sheetId="12"/>
      <sheetData sheetId="13"/>
      <sheetData sheetId="14"/>
      <sheetData sheetId="15"/>
      <sheetData sheetId="16"/>
      <sheetData sheetId="17">
        <row r="7">
          <cell r="P7">
            <v>2005</v>
          </cell>
          <cell r="Q7">
            <v>2010</v>
          </cell>
          <cell r="R7">
            <v>2015</v>
          </cell>
          <cell r="S7">
            <v>2020</v>
          </cell>
          <cell r="T7">
            <v>2025</v>
          </cell>
          <cell r="U7">
            <v>2030</v>
          </cell>
          <cell r="V7">
            <v>2035</v>
          </cell>
          <cell r="W7">
            <v>2040</v>
          </cell>
          <cell r="X7">
            <v>2045</v>
          </cell>
          <cell r="Y7">
            <v>2050</v>
          </cell>
          <cell r="Z7">
            <v>2055</v>
          </cell>
        </row>
        <row r="22">
          <cell r="A22" t="str">
            <v>TLMCCONV00</v>
          </cell>
          <cell r="D22">
            <v>2060</v>
          </cell>
          <cell r="P22">
            <v>3162.0687572809761</v>
          </cell>
          <cell r="Q22">
            <v>3235.013828472976</v>
          </cell>
          <cell r="R22">
            <v>3298.2275741102394</v>
          </cell>
          <cell r="S22">
            <v>3346.7555254311587</v>
          </cell>
          <cell r="T22">
            <v>3453.8076000516553</v>
          </cell>
          <cell r="U22">
            <v>3455.3578236266408</v>
          </cell>
          <cell r="V22">
            <v>3456.7459790639782</v>
          </cell>
          <cell r="W22">
            <v>3455.1755638660616</v>
          </cell>
          <cell r="X22">
            <v>3455.1755638660616</v>
          </cell>
          <cell r="Y22">
            <v>3455.1755638660616</v>
          </cell>
          <cell r="Z22">
            <v>3455.1755638660616</v>
          </cell>
          <cell r="AB22">
            <v>38.459799414932235</v>
          </cell>
          <cell r="AF22">
            <v>0.26299744635193539</v>
          </cell>
          <cell r="AG22">
            <v>0</v>
          </cell>
        </row>
        <row r="23">
          <cell r="A23" t="str">
            <v>TLMCCONV05</v>
          </cell>
          <cell r="D23">
            <v>2005</v>
          </cell>
          <cell r="P23">
            <v>3162.0687572809761</v>
          </cell>
          <cell r="Q23">
            <v>3235.013828472976</v>
          </cell>
          <cell r="R23">
            <v>3298.2275741102394</v>
          </cell>
          <cell r="S23">
            <v>3346.7555254311587</v>
          </cell>
          <cell r="T23">
            <v>3453.8076000516553</v>
          </cell>
          <cell r="U23">
            <v>3455.3578236266408</v>
          </cell>
          <cell r="V23">
            <v>3456.7459790639782</v>
          </cell>
          <cell r="W23">
            <v>3455.1755638660616</v>
          </cell>
          <cell r="X23">
            <v>3455.1755638660616</v>
          </cell>
          <cell r="Y23">
            <v>3455.1755638660616</v>
          </cell>
          <cell r="Z23">
            <v>3455.1755638660616</v>
          </cell>
          <cell r="AB23">
            <v>38.459799414932235</v>
          </cell>
          <cell r="AF23">
            <v>0.15984589751411674</v>
          </cell>
          <cell r="AG23">
            <v>0</v>
          </cell>
        </row>
        <row r="24">
          <cell r="A24" t="str">
            <v>TLMCCONV10</v>
          </cell>
          <cell r="D24">
            <v>2010</v>
          </cell>
          <cell r="P24">
            <v>3162.0687572809761</v>
          </cell>
          <cell r="Q24">
            <v>3235.013828472976</v>
          </cell>
          <cell r="R24">
            <v>3298.2275741102394</v>
          </cell>
          <cell r="S24">
            <v>3346.7555254311587</v>
          </cell>
          <cell r="T24">
            <v>3453.8076000516553</v>
          </cell>
          <cell r="U24">
            <v>3455.3578236266408</v>
          </cell>
          <cell r="V24">
            <v>3456.7459790639782</v>
          </cell>
          <cell r="W24">
            <v>3455.1755638660616</v>
          </cell>
          <cell r="X24">
            <v>3455.1755638660616</v>
          </cell>
          <cell r="Y24">
            <v>3455.1755638660616</v>
          </cell>
          <cell r="Z24">
            <v>3455.1755638660616</v>
          </cell>
          <cell r="AB24">
            <v>38.459799414932235</v>
          </cell>
          <cell r="AF24">
            <v>0.1701727185145106</v>
          </cell>
          <cell r="AG24">
            <v>0</v>
          </cell>
        </row>
        <row r="25">
          <cell r="A25" t="str">
            <v>TLMCCONV15</v>
          </cell>
          <cell r="D25">
            <v>2015</v>
          </cell>
          <cell r="P25">
            <v>3162.0687572809761</v>
          </cell>
          <cell r="Q25">
            <v>3235.013828472976</v>
          </cell>
          <cell r="R25">
            <v>3298.2275741102394</v>
          </cell>
          <cell r="S25">
            <v>3346.7555254311587</v>
          </cell>
          <cell r="T25">
            <v>3453.8076000516553</v>
          </cell>
          <cell r="U25">
            <v>3455.3578236266408</v>
          </cell>
          <cell r="V25">
            <v>3456.7459790639782</v>
          </cell>
          <cell r="W25">
            <v>3455.1755638660616</v>
          </cell>
          <cell r="X25">
            <v>3455.1755638660616</v>
          </cell>
          <cell r="Y25">
            <v>3455.1755638660616</v>
          </cell>
          <cell r="Z25">
            <v>3455.1755638660616</v>
          </cell>
          <cell r="AB25">
            <v>38.459799414932235</v>
          </cell>
          <cell r="AF25">
            <v>0.17585158271448098</v>
          </cell>
          <cell r="AG25">
            <v>0</v>
          </cell>
        </row>
        <row r="26">
          <cell r="A26" t="str">
            <v>TLMCCONV20</v>
          </cell>
          <cell r="D26">
            <v>2020</v>
          </cell>
          <cell r="P26">
            <v>3162.0687572809761</v>
          </cell>
          <cell r="Q26">
            <v>3235.013828472976</v>
          </cell>
          <cell r="R26">
            <v>3298.2275741102394</v>
          </cell>
          <cell r="S26">
            <v>3346.7555254311587</v>
          </cell>
          <cell r="T26">
            <v>3453.8076000516553</v>
          </cell>
          <cell r="U26">
            <v>3455.3578236266408</v>
          </cell>
          <cell r="V26">
            <v>3456.7459790639782</v>
          </cell>
          <cell r="W26">
            <v>3455.1755638660616</v>
          </cell>
          <cell r="X26">
            <v>3455.1755638660616</v>
          </cell>
          <cell r="Y26">
            <v>3455.1755638660616</v>
          </cell>
          <cell r="Z26">
            <v>3455.1755638660616</v>
          </cell>
          <cell r="AB26">
            <v>38.459799414932235</v>
          </cell>
          <cell r="AF26">
            <v>0.21104254109960052</v>
          </cell>
          <cell r="AG26">
            <v>0</v>
          </cell>
        </row>
        <row r="27">
          <cell r="A27" t="str">
            <v>TLMCCONV25</v>
          </cell>
          <cell r="D27">
            <v>2025</v>
          </cell>
          <cell r="P27">
            <v>3162.0687572809761</v>
          </cell>
          <cell r="Q27">
            <v>3235.013828472976</v>
          </cell>
          <cell r="R27">
            <v>3298.2275741102394</v>
          </cell>
          <cell r="S27">
            <v>3346.7555254311587</v>
          </cell>
          <cell r="T27">
            <v>3453.8076000516553</v>
          </cell>
          <cell r="U27">
            <v>3455.3578236266408</v>
          </cell>
          <cell r="V27">
            <v>3456.7459790639782</v>
          </cell>
          <cell r="W27">
            <v>3455.1755638660616</v>
          </cell>
          <cell r="X27">
            <v>3455.1755638660616</v>
          </cell>
          <cell r="Y27">
            <v>3455.1755638660616</v>
          </cell>
          <cell r="Z27">
            <v>3455.1755638660616</v>
          </cell>
          <cell r="AB27">
            <v>38.459799414932235</v>
          </cell>
          <cell r="AF27">
            <v>0.26243479496145988</v>
          </cell>
          <cell r="AG27">
            <v>0</v>
          </cell>
        </row>
        <row r="28">
          <cell r="A28" t="str">
            <v>TLMCCONV30</v>
          </cell>
          <cell r="D28">
            <v>2030</v>
          </cell>
          <cell r="P28">
            <v>3162.0687572809761</v>
          </cell>
          <cell r="Q28">
            <v>3235.013828472976</v>
          </cell>
          <cell r="R28">
            <v>3298.2275741102394</v>
          </cell>
          <cell r="S28">
            <v>3346.7555254311587</v>
          </cell>
          <cell r="T28">
            <v>3453.8076000516553</v>
          </cell>
          <cell r="U28">
            <v>3455.3578236266408</v>
          </cell>
          <cell r="V28">
            <v>3456.7459790639782</v>
          </cell>
          <cell r="W28">
            <v>3455.1755638660616</v>
          </cell>
          <cell r="X28">
            <v>3455.1755638660616</v>
          </cell>
          <cell r="Y28">
            <v>3455.1755638660616</v>
          </cell>
          <cell r="Z28">
            <v>3455.1755638660616</v>
          </cell>
          <cell r="AB28">
            <v>38.459799414932235</v>
          </cell>
          <cell r="AF28">
            <v>0.2634132875907535</v>
          </cell>
          <cell r="AG28">
            <v>0</v>
          </cell>
        </row>
        <row r="29">
          <cell r="A29" t="str">
            <v>TLMCCONV35</v>
          </cell>
          <cell r="D29">
            <v>2035</v>
          </cell>
          <cell r="P29">
            <v>3162.0687572809761</v>
          </cell>
          <cell r="Q29">
            <v>3235.013828472976</v>
          </cell>
          <cell r="R29">
            <v>3298.2275741102394</v>
          </cell>
          <cell r="S29">
            <v>3346.7555254311587</v>
          </cell>
          <cell r="T29">
            <v>3453.8076000516553</v>
          </cell>
          <cell r="U29">
            <v>3455.3578236266408</v>
          </cell>
          <cell r="V29">
            <v>3456.7459790639782</v>
          </cell>
          <cell r="W29">
            <v>3455.1755638660616</v>
          </cell>
          <cell r="X29">
            <v>3455.1755638660616</v>
          </cell>
          <cell r="Y29">
            <v>3455.1755638660616</v>
          </cell>
          <cell r="Z29">
            <v>3455.1755638660616</v>
          </cell>
          <cell r="AB29">
            <v>38.459799414932235</v>
          </cell>
          <cell r="AF29">
            <v>0.26316580858247046</v>
          </cell>
          <cell r="AG29">
            <v>0</v>
          </cell>
        </row>
        <row r="30">
          <cell r="A30" t="str">
            <v>TLMCCONV40</v>
          </cell>
          <cell r="D30">
            <v>2040</v>
          </cell>
          <cell r="P30">
            <v>3162.0687572809761</v>
          </cell>
          <cell r="Q30">
            <v>3235.013828472976</v>
          </cell>
          <cell r="R30">
            <v>3298.2275741102394</v>
          </cell>
          <cell r="S30">
            <v>3346.7555254311587</v>
          </cell>
          <cell r="T30">
            <v>3453.8076000516553</v>
          </cell>
          <cell r="U30">
            <v>3455.3578236266408</v>
          </cell>
          <cell r="V30">
            <v>3456.7459790639782</v>
          </cell>
          <cell r="W30">
            <v>3455.1755638660616</v>
          </cell>
          <cell r="X30">
            <v>3455.1755638660616</v>
          </cell>
          <cell r="Y30">
            <v>3455.1755638660616</v>
          </cell>
          <cell r="Z30">
            <v>3455.1755638660616</v>
          </cell>
          <cell r="AB30">
            <v>38.459799414932235</v>
          </cell>
          <cell r="AF30">
            <v>0.26299744635193539</v>
          </cell>
          <cell r="AG30">
            <v>0</v>
          </cell>
        </row>
        <row r="31">
          <cell r="A31" t="str">
            <v>TLMCCONV45</v>
          </cell>
          <cell r="D31">
            <v>2045</v>
          </cell>
          <cell r="P31">
            <v>3162.0687572809761</v>
          </cell>
          <cell r="Q31">
            <v>3235.013828472976</v>
          </cell>
          <cell r="R31">
            <v>3298.2275741102394</v>
          </cell>
          <cell r="S31">
            <v>3346.7555254311587</v>
          </cell>
          <cell r="T31">
            <v>3453.8076000516553</v>
          </cell>
          <cell r="U31">
            <v>3455.3578236266408</v>
          </cell>
          <cell r="V31">
            <v>3456.7459790639782</v>
          </cell>
          <cell r="W31">
            <v>3455.1755638660616</v>
          </cell>
          <cell r="X31">
            <v>3455.1755638660616</v>
          </cell>
          <cell r="Y31">
            <v>3455.1755638660616</v>
          </cell>
          <cell r="Z31">
            <v>3455.1755638660616</v>
          </cell>
          <cell r="AB31">
            <v>38.459799414932235</v>
          </cell>
          <cell r="AF31">
            <v>0.26299744635193539</v>
          </cell>
          <cell r="AG31">
            <v>0</v>
          </cell>
        </row>
        <row r="32">
          <cell r="A32" t="str">
            <v>TLMCCONV50</v>
          </cell>
          <cell r="D32">
            <v>2050</v>
          </cell>
          <cell r="P32">
            <v>3162.0687572809761</v>
          </cell>
          <cell r="Q32">
            <v>3235.013828472976</v>
          </cell>
          <cell r="R32">
            <v>3298.2275741102394</v>
          </cell>
          <cell r="S32">
            <v>3346.7555254311587</v>
          </cell>
          <cell r="T32">
            <v>3453.8076000516553</v>
          </cell>
          <cell r="U32">
            <v>3455.3578236266408</v>
          </cell>
          <cell r="V32">
            <v>3456.7459790639782</v>
          </cell>
          <cell r="W32">
            <v>3455.1755638660616</v>
          </cell>
          <cell r="X32">
            <v>3455.1755638660616</v>
          </cell>
          <cell r="Y32">
            <v>3455.1755638660616</v>
          </cell>
          <cell r="Z32">
            <v>3455.1755638660616</v>
          </cell>
          <cell r="AB32">
            <v>38.459799414932235</v>
          </cell>
          <cell r="AF32">
            <v>0.26299744635193539</v>
          </cell>
          <cell r="AG32">
            <v>0</v>
          </cell>
        </row>
        <row r="33">
          <cell r="A33" t="str">
            <v>TLMCHEV10</v>
          </cell>
          <cell r="D33">
            <v>2010</v>
          </cell>
          <cell r="P33">
            <v>4153.7873082352135</v>
          </cell>
          <cell r="Q33">
            <v>3863.3702480324455</v>
          </cell>
          <cell r="R33">
            <v>3756.625922659061</v>
          </cell>
          <cell r="S33">
            <v>3756.625922659061</v>
          </cell>
          <cell r="T33">
            <v>3756.625922659061</v>
          </cell>
          <cell r="U33">
            <v>3756.625922659061</v>
          </cell>
          <cell r="V33">
            <v>3756.625922659061</v>
          </cell>
          <cell r="W33">
            <v>3756.625922659061</v>
          </cell>
          <cell r="X33">
            <v>3756.625922659061</v>
          </cell>
          <cell r="Y33">
            <v>3756.625922659061</v>
          </cell>
          <cell r="Z33">
            <v>3756.625922659061</v>
          </cell>
          <cell r="AB33">
            <v>40.382789385678855</v>
          </cell>
          <cell r="AF33">
            <v>0.22042106471412662</v>
          </cell>
          <cell r="AG33">
            <v>0</v>
          </cell>
        </row>
        <row r="34">
          <cell r="A34" t="str">
            <v>TLMCHEV15</v>
          </cell>
          <cell r="D34">
            <v>2015</v>
          </cell>
          <cell r="P34">
            <v>4153.7873082352135</v>
          </cell>
          <cell r="Q34">
            <v>3863.3702480324455</v>
          </cell>
          <cell r="R34">
            <v>3756.625922659061</v>
          </cell>
          <cell r="S34">
            <v>3756.625922659061</v>
          </cell>
          <cell r="T34">
            <v>3756.625922659061</v>
          </cell>
          <cell r="U34">
            <v>3756.625922659061</v>
          </cell>
          <cell r="V34">
            <v>3756.625922659061</v>
          </cell>
          <cell r="W34">
            <v>3756.625922659061</v>
          </cell>
          <cell r="X34">
            <v>3756.625922659061</v>
          </cell>
          <cell r="Y34">
            <v>3756.625922659061</v>
          </cell>
          <cell r="Z34">
            <v>3756.625922659061</v>
          </cell>
          <cell r="AB34">
            <v>40.382789385678855</v>
          </cell>
          <cell r="AF34">
            <v>0.22176918599377834</v>
          </cell>
          <cell r="AG34">
            <v>0</v>
          </cell>
        </row>
        <row r="35">
          <cell r="A35" t="str">
            <v>TLMCHEV20</v>
          </cell>
          <cell r="D35">
            <v>2020</v>
          </cell>
          <cell r="P35">
            <v>4153.7873082352135</v>
          </cell>
          <cell r="Q35">
            <v>3863.3702480324455</v>
          </cell>
          <cell r="R35">
            <v>3756.625922659061</v>
          </cell>
          <cell r="S35">
            <v>3756.625922659061</v>
          </cell>
          <cell r="T35">
            <v>3756.625922659061</v>
          </cell>
          <cell r="U35">
            <v>3756.625922659061</v>
          </cell>
          <cell r="V35">
            <v>3756.625922659061</v>
          </cell>
          <cell r="W35">
            <v>3756.625922659061</v>
          </cell>
          <cell r="X35">
            <v>3756.625922659061</v>
          </cell>
          <cell r="Y35">
            <v>3756.625922659061</v>
          </cell>
          <cell r="Z35">
            <v>3756.625922659061</v>
          </cell>
          <cell r="AB35">
            <v>40.382789385678855</v>
          </cell>
          <cell r="AF35">
            <v>0.22311730727343004</v>
          </cell>
          <cell r="AG35">
            <v>0</v>
          </cell>
        </row>
        <row r="36">
          <cell r="A36" t="str">
            <v>TLMCHEV25</v>
          </cell>
          <cell r="D36">
            <v>2025</v>
          </cell>
          <cell r="P36">
            <v>4153.7873082352135</v>
          </cell>
          <cell r="Q36">
            <v>3863.3702480324455</v>
          </cell>
          <cell r="R36">
            <v>3756.625922659061</v>
          </cell>
          <cell r="S36">
            <v>3756.625922659061</v>
          </cell>
          <cell r="T36">
            <v>3756.625922659061</v>
          </cell>
          <cell r="U36">
            <v>3756.625922659061</v>
          </cell>
          <cell r="V36">
            <v>3756.625922659061</v>
          </cell>
          <cell r="W36">
            <v>3756.625922659061</v>
          </cell>
          <cell r="X36">
            <v>3756.625922659061</v>
          </cell>
          <cell r="Y36">
            <v>3756.625922659061</v>
          </cell>
          <cell r="Z36">
            <v>3756.625922659061</v>
          </cell>
          <cell r="AB36">
            <v>40.382789385678855</v>
          </cell>
          <cell r="AF36">
            <v>0.22446542855308177</v>
          </cell>
          <cell r="AG36">
            <v>0</v>
          </cell>
        </row>
        <row r="37">
          <cell r="A37" t="str">
            <v>TLMCHEV30</v>
          </cell>
          <cell r="D37">
            <v>2030</v>
          </cell>
          <cell r="P37">
            <v>4153.7873082352135</v>
          </cell>
          <cell r="Q37">
            <v>3863.3702480324455</v>
          </cell>
          <cell r="R37">
            <v>3756.625922659061</v>
          </cell>
          <cell r="S37">
            <v>3756.625922659061</v>
          </cell>
          <cell r="T37">
            <v>3756.625922659061</v>
          </cell>
          <cell r="U37">
            <v>3756.625922659061</v>
          </cell>
          <cell r="V37">
            <v>3756.625922659061</v>
          </cell>
          <cell r="W37">
            <v>3756.625922659061</v>
          </cell>
          <cell r="X37">
            <v>3756.625922659061</v>
          </cell>
          <cell r="Y37">
            <v>3756.625922659061</v>
          </cell>
          <cell r="Z37">
            <v>3756.625922659061</v>
          </cell>
          <cell r="AB37">
            <v>40.382789385678855</v>
          </cell>
          <cell r="AF37">
            <v>0.2258135498327335</v>
          </cell>
          <cell r="AG37">
            <v>0</v>
          </cell>
        </row>
        <row r="38">
          <cell r="A38" t="str">
            <v>TLMCHEV35</v>
          </cell>
          <cell r="D38">
            <v>2035</v>
          </cell>
          <cell r="P38">
            <v>4153.7873082352135</v>
          </cell>
          <cell r="Q38">
            <v>3863.3702480324455</v>
          </cell>
          <cell r="R38">
            <v>3756.625922659061</v>
          </cell>
          <cell r="S38">
            <v>3756.625922659061</v>
          </cell>
          <cell r="T38">
            <v>3756.625922659061</v>
          </cell>
          <cell r="U38">
            <v>3756.625922659061</v>
          </cell>
          <cell r="V38">
            <v>3756.625922659061</v>
          </cell>
          <cell r="W38">
            <v>3756.625922659061</v>
          </cell>
          <cell r="X38">
            <v>3756.625922659061</v>
          </cell>
          <cell r="Y38">
            <v>3756.625922659061</v>
          </cell>
          <cell r="Z38">
            <v>3756.625922659061</v>
          </cell>
          <cell r="AB38">
            <v>40.382789385678855</v>
          </cell>
          <cell r="AF38">
            <v>0.2258135498327335</v>
          </cell>
          <cell r="AG38">
            <v>0</v>
          </cell>
        </row>
        <row r="39">
          <cell r="A39" t="str">
            <v>TLMCHEV40</v>
          </cell>
          <cell r="D39">
            <v>2040</v>
          </cell>
          <cell r="P39">
            <v>4153.7873082352135</v>
          </cell>
          <cell r="Q39">
            <v>3863.3702480324455</v>
          </cell>
          <cell r="R39">
            <v>3756.625922659061</v>
          </cell>
          <cell r="S39">
            <v>3756.625922659061</v>
          </cell>
          <cell r="T39">
            <v>3756.625922659061</v>
          </cell>
          <cell r="U39">
            <v>3756.625922659061</v>
          </cell>
          <cell r="V39">
            <v>3756.625922659061</v>
          </cell>
          <cell r="W39">
            <v>3756.625922659061</v>
          </cell>
          <cell r="X39">
            <v>3756.625922659061</v>
          </cell>
          <cell r="Y39">
            <v>3756.625922659061</v>
          </cell>
          <cell r="Z39">
            <v>3756.625922659061</v>
          </cell>
          <cell r="AB39">
            <v>40.382789385678855</v>
          </cell>
          <cell r="AF39">
            <v>0.2258135498327335</v>
          </cell>
          <cell r="AG39">
            <v>0</v>
          </cell>
        </row>
        <row r="40">
          <cell r="A40" t="str">
            <v>TLMCHEV45</v>
          </cell>
          <cell r="D40">
            <v>2045</v>
          </cell>
          <cell r="P40">
            <v>4153.7873082352135</v>
          </cell>
          <cell r="Q40">
            <v>3863.3702480324455</v>
          </cell>
          <cell r="R40">
            <v>3756.625922659061</v>
          </cell>
          <cell r="S40">
            <v>3756.625922659061</v>
          </cell>
          <cell r="T40">
            <v>3756.625922659061</v>
          </cell>
          <cell r="U40">
            <v>3756.625922659061</v>
          </cell>
          <cell r="V40">
            <v>3756.625922659061</v>
          </cell>
          <cell r="W40">
            <v>3756.625922659061</v>
          </cell>
          <cell r="X40">
            <v>3756.625922659061</v>
          </cell>
          <cell r="Y40">
            <v>3756.625922659061</v>
          </cell>
          <cell r="Z40">
            <v>3756.625922659061</v>
          </cell>
          <cell r="AB40">
            <v>40.382789385678855</v>
          </cell>
          <cell r="AF40">
            <v>0.2258135498327335</v>
          </cell>
          <cell r="AG40">
            <v>0</v>
          </cell>
        </row>
        <row r="41">
          <cell r="A41" t="str">
            <v>TLMCHEV50</v>
          </cell>
          <cell r="D41">
            <v>2050</v>
          </cell>
          <cell r="P41">
            <v>4153.7873082352135</v>
          </cell>
          <cell r="Q41">
            <v>3863.3702480324455</v>
          </cell>
          <cell r="R41">
            <v>3756.625922659061</v>
          </cell>
          <cell r="S41">
            <v>3756.625922659061</v>
          </cell>
          <cell r="T41">
            <v>3756.625922659061</v>
          </cell>
          <cell r="U41">
            <v>3756.625922659061</v>
          </cell>
          <cell r="V41">
            <v>3756.625922659061</v>
          </cell>
          <cell r="W41">
            <v>3756.625922659061</v>
          </cell>
          <cell r="X41">
            <v>3756.625922659061</v>
          </cell>
          <cell r="Y41">
            <v>3756.625922659061</v>
          </cell>
          <cell r="Z41">
            <v>3756.625922659061</v>
          </cell>
          <cell r="AB41">
            <v>40.382789385678855</v>
          </cell>
          <cell r="AF41">
            <v>0.2258135498327335</v>
          </cell>
          <cell r="AG41">
            <v>0</v>
          </cell>
        </row>
        <row r="42">
          <cell r="A42" t="str">
            <v>TLCCONV00</v>
          </cell>
          <cell r="D42">
            <v>2060</v>
          </cell>
          <cell r="P42">
            <v>1482.3700349811006</v>
          </cell>
          <cell r="Q42">
            <v>1628.3755174073378</v>
          </cell>
          <cell r="R42">
            <v>1523.4184383851539</v>
          </cell>
          <cell r="S42">
            <v>1593.4861914365122</v>
          </cell>
          <cell r="T42">
            <v>1707.7886912530043</v>
          </cell>
          <cell r="U42">
            <v>1710.1988042749547</v>
          </cell>
          <cell r="V42">
            <v>1711.4174431346789</v>
          </cell>
          <cell r="W42">
            <v>1712.508536738851</v>
          </cell>
          <cell r="X42">
            <v>1712.508536738851</v>
          </cell>
          <cell r="Y42">
            <v>1712.508536738851</v>
          </cell>
          <cell r="Z42">
            <v>1712.508536738851</v>
          </cell>
          <cell r="AB42">
            <v>38.459799414932235</v>
          </cell>
          <cell r="AF42">
            <v>0.33830220656203658</v>
          </cell>
          <cell r="AG42">
            <v>0</v>
          </cell>
        </row>
        <row r="43">
          <cell r="A43" t="str">
            <v>TLCCONV05</v>
          </cell>
          <cell r="D43">
            <v>2005</v>
          </cell>
          <cell r="P43">
            <v>1482.3700349811006</v>
          </cell>
          <cell r="Q43">
            <v>1628.3755174073378</v>
          </cell>
          <cell r="R43">
            <v>1523.4184383851539</v>
          </cell>
          <cell r="S43">
            <v>1593.4861914365122</v>
          </cell>
          <cell r="T43">
            <v>1707.7886912530043</v>
          </cell>
          <cell r="U43">
            <v>1710.1988042749547</v>
          </cell>
          <cell r="V43">
            <v>1711.4174431346789</v>
          </cell>
          <cell r="W43">
            <v>1712.508536738851</v>
          </cell>
          <cell r="X43">
            <v>1712.508536738851</v>
          </cell>
          <cell r="Y43">
            <v>1712.508536738851</v>
          </cell>
          <cell r="Z43">
            <v>1712.508536738851</v>
          </cell>
          <cell r="AB43">
            <v>38.459799414932235</v>
          </cell>
          <cell r="AF43">
            <v>0.19829060980382252</v>
          </cell>
          <cell r="AG43">
            <v>0</v>
          </cell>
        </row>
        <row r="44">
          <cell r="A44" t="str">
            <v>TLCCONV10</v>
          </cell>
          <cell r="D44">
            <v>2010</v>
          </cell>
          <cell r="P44">
            <v>1482.3700349811006</v>
          </cell>
          <cell r="Q44">
            <v>1628.3755174073378</v>
          </cell>
          <cell r="R44">
            <v>1523.4184383851539</v>
          </cell>
          <cell r="S44">
            <v>1593.4861914365122</v>
          </cell>
          <cell r="T44">
            <v>1707.7886912530043</v>
          </cell>
          <cell r="U44">
            <v>1710.1988042749547</v>
          </cell>
          <cell r="V44">
            <v>1711.4174431346789</v>
          </cell>
          <cell r="W44">
            <v>1712.508536738851</v>
          </cell>
          <cell r="X44">
            <v>1712.508536738851</v>
          </cell>
          <cell r="Y44">
            <v>1712.508536738851</v>
          </cell>
          <cell r="Z44">
            <v>1712.508536738851</v>
          </cell>
          <cell r="AB44">
            <v>38.459799414932235</v>
          </cell>
          <cell r="AF44">
            <v>0.20245058276676323</v>
          </cell>
          <cell r="AG44">
            <v>0</v>
          </cell>
        </row>
        <row r="45">
          <cell r="A45" t="str">
            <v>TLCCONV15</v>
          </cell>
          <cell r="D45">
            <v>2015</v>
          </cell>
          <cell r="P45">
            <v>1482.3700349811006</v>
          </cell>
          <cell r="Q45">
            <v>1628.3755174073378</v>
          </cell>
          <cell r="R45">
            <v>1523.4184383851539</v>
          </cell>
          <cell r="S45">
            <v>1593.4861914365122</v>
          </cell>
          <cell r="T45">
            <v>1707.7886912530043</v>
          </cell>
          <cell r="U45">
            <v>1710.1988042749547</v>
          </cell>
          <cell r="V45">
            <v>1711.4174431346789</v>
          </cell>
          <cell r="W45">
            <v>1712.508536738851</v>
          </cell>
          <cell r="X45">
            <v>1712.508536738851</v>
          </cell>
          <cell r="Y45">
            <v>1712.508536738851</v>
          </cell>
          <cell r="Z45">
            <v>1712.508536738851</v>
          </cell>
          <cell r="AB45">
            <v>38.459799414932235</v>
          </cell>
          <cell r="AF45">
            <v>0.22752049679471878</v>
          </cell>
          <cell r="AG45">
            <v>0</v>
          </cell>
        </row>
        <row r="46">
          <cell r="A46" t="str">
            <v>TLCCONV20</v>
          </cell>
          <cell r="D46">
            <v>2020</v>
          </cell>
          <cell r="P46">
            <v>1482.3700349811006</v>
          </cell>
          <cell r="Q46">
            <v>1628.3755174073378</v>
          </cell>
          <cell r="R46">
            <v>1523.4184383851539</v>
          </cell>
          <cell r="S46">
            <v>1593.4861914365122</v>
          </cell>
          <cell r="T46">
            <v>1707.7886912530043</v>
          </cell>
          <cell r="U46">
            <v>1710.1988042749547</v>
          </cell>
          <cell r="V46">
            <v>1711.4174431346789</v>
          </cell>
          <cell r="W46">
            <v>1712.508536738851</v>
          </cell>
          <cell r="X46">
            <v>1712.508536738851</v>
          </cell>
          <cell r="Y46">
            <v>1712.508536738851</v>
          </cell>
          <cell r="Z46">
            <v>1712.508536738851</v>
          </cell>
          <cell r="AB46">
            <v>38.459799414932235</v>
          </cell>
          <cell r="AF46">
            <v>0.27306099934214251</v>
          </cell>
          <cell r="AG46">
            <v>0</v>
          </cell>
        </row>
        <row r="47">
          <cell r="A47" t="str">
            <v>TLCCONV25</v>
          </cell>
          <cell r="D47">
            <v>2025</v>
          </cell>
          <cell r="P47">
            <v>1482.3700349811006</v>
          </cell>
          <cell r="Q47">
            <v>1628.3755174073378</v>
          </cell>
          <cell r="R47">
            <v>1523.4184383851539</v>
          </cell>
          <cell r="S47">
            <v>1593.4861914365122</v>
          </cell>
          <cell r="T47">
            <v>1707.7886912530043</v>
          </cell>
          <cell r="U47">
            <v>1710.1988042749547</v>
          </cell>
          <cell r="V47">
            <v>1711.4174431346789</v>
          </cell>
          <cell r="W47">
            <v>1712.508536738851</v>
          </cell>
          <cell r="X47">
            <v>1712.508536738851</v>
          </cell>
          <cell r="Y47">
            <v>1712.508536738851</v>
          </cell>
          <cell r="Z47">
            <v>1712.508536738851</v>
          </cell>
          <cell r="AB47">
            <v>38.459799414932235</v>
          </cell>
          <cell r="AF47">
            <v>0.33749688020217411</v>
          </cell>
          <cell r="AG47">
            <v>0</v>
          </cell>
        </row>
        <row r="48">
          <cell r="A48" t="str">
            <v>TLCCONV30</v>
          </cell>
          <cell r="D48">
            <v>2030</v>
          </cell>
          <cell r="P48">
            <v>1482.3700349811006</v>
          </cell>
          <cell r="Q48">
            <v>1628.3755174073378</v>
          </cell>
          <cell r="R48">
            <v>1523.4184383851539</v>
          </cell>
          <cell r="S48">
            <v>1593.4861914365122</v>
          </cell>
          <cell r="T48">
            <v>1707.7886912530043</v>
          </cell>
          <cell r="U48">
            <v>1710.1988042749547</v>
          </cell>
          <cell r="V48">
            <v>1711.4174431346789</v>
          </cell>
          <cell r="W48">
            <v>1712.508536738851</v>
          </cell>
          <cell r="X48">
            <v>1712.508536738851</v>
          </cell>
          <cell r="Y48">
            <v>1712.508536738851</v>
          </cell>
          <cell r="Z48">
            <v>1712.508536738851</v>
          </cell>
          <cell r="AB48">
            <v>38.459799414932235</v>
          </cell>
          <cell r="AF48">
            <v>0.3396215046488435</v>
          </cell>
          <cell r="AG48">
            <v>0</v>
          </cell>
        </row>
        <row r="49">
          <cell r="A49" t="str">
            <v>TLCCONV35</v>
          </cell>
          <cell r="D49">
            <v>2035</v>
          </cell>
          <cell r="P49">
            <v>1482.3700349811006</v>
          </cell>
          <cell r="Q49">
            <v>1628.3755174073378</v>
          </cell>
          <cell r="R49">
            <v>1523.4184383851539</v>
          </cell>
          <cell r="S49">
            <v>1593.4861914365122</v>
          </cell>
          <cell r="T49">
            <v>1707.7886912530043</v>
          </cell>
          <cell r="U49">
            <v>1710.1988042749547</v>
          </cell>
          <cell r="V49">
            <v>1711.4174431346789</v>
          </cell>
          <cell r="W49">
            <v>1712.508536738851</v>
          </cell>
          <cell r="X49">
            <v>1712.508536738851</v>
          </cell>
          <cell r="Y49">
            <v>1712.508536738851</v>
          </cell>
          <cell r="Z49">
            <v>1712.508536738851</v>
          </cell>
          <cell r="AB49">
            <v>38.459799414932235</v>
          </cell>
          <cell r="AF49">
            <v>0.33896120705410993</v>
          </cell>
          <cell r="AG49">
            <v>0</v>
          </cell>
        </row>
        <row r="50">
          <cell r="A50" t="str">
            <v>TLCCONV40</v>
          </cell>
          <cell r="D50">
            <v>2040</v>
          </cell>
          <cell r="P50">
            <v>1482.3700349811006</v>
          </cell>
          <cell r="Q50">
            <v>1628.3755174073378</v>
          </cell>
          <cell r="R50">
            <v>1523.4184383851539</v>
          </cell>
          <cell r="S50">
            <v>1593.4861914365122</v>
          </cell>
          <cell r="T50">
            <v>1707.7886912530043</v>
          </cell>
          <cell r="U50">
            <v>1710.1988042749547</v>
          </cell>
          <cell r="V50">
            <v>1711.4174431346789</v>
          </cell>
          <cell r="W50">
            <v>1712.508536738851</v>
          </cell>
          <cell r="X50">
            <v>1712.508536738851</v>
          </cell>
          <cell r="Y50">
            <v>1712.508536738851</v>
          </cell>
          <cell r="Z50">
            <v>1712.508536738851</v>
          </cell>
          <cell r="AB50">
            <v>38.459799414932235</v>
          </cell>
          <cell r="AF50">
            <v>0.33830220656203658</v>
          </cell>
          <cell r="AG50">
            <v>0</v>
          </cell>
        </row>
        <row r="51">
          <cell r="A51" t="str">
            <v>TLCCONV45</v>
          </cell>
          <cell r="D51">
            <v>2045</v>
          </cell>
          <cell r="P51">
            <v>1482.3700349811006</v>
          </cell>
          <cell r="Q51">
            <v>1628.3755174073378</v>
          </cell>
          <cell r="R51">
            <v>1523.4184383851539</v>
          </cell>
          <cell r="S51">
            <v>1593.4861914365122</v>
          </cell>
          <cell r="T51">
            <v>1707.7886912530043</v>
          </cell>
          <cell r="U51">
            <v>1710.1988042749547</v>
          </cell>
          <cell r="V51">
            <v>1711.4174431346789</v>
          </cell>
          <cell r="W51">
            <v>1712.508536738851</v>
          </cell>
          <cell r="X51">
            <v>1712.508536738851</v>
          </cell>
          <cell r="Y51">
            <v>1712.508536738851</v>
          </cell>
          <cell r="Z51">
            <v>1712.508536738851</v>
          </cell>
          <cell r="AB51">
            <v>38.459799414932235</v>
          </cell>
          <cell r="AF51">
            <v>0.33830220656203658</v>
          </cell>
          <cell r="AG51">
            <v>0</v>
          </cell>
        </row>
        <row r="52">
          <cell r="A52" t="str">
            <v>TLCCONV50</v>
          </cell>
          <cell r="D52">
            <v>2050</v>
          </cell>
          <cell r="P52">
            <v>1482.3700349811006</v>
          </cell>
          <cell r="Q52">
            <v>1628.3755174073378</v>
          </cell>
          <cell r="R52">
            <v>1523.4184383851539</v>
          </cell>
          <cell r="S52">
            <v>1593.4861914365122</v>
          </cell>
          <cell r="T52">
            <v>1707.7886912530043</v>
          </cell>
          <cell r="U52">
            <v>1710.1988042749547</v>
          </cell>
          <cell r="V52">
            <v>1711.4174431346789</v>
          </cell>
          <cell r="W52">
            <v>1712.508536738851</v>
          </cell>
          <cell r="X52">
            <v>1712.508536738851</v>
          </cell>
          <cell r="Y52">
            <v>1712.508536738851</v>
          </cell>
          <cell r="Z52">
            <v>1712.508536738851</v>
          </cell>
          <cell r="AB52">
            <v>38.459799414932235</v>
          </cell>
          <cell r="AF52">
            <v>0.33830220656203658</v>
          </cell>
          <cell r="AG52">
            <v>0</v>
          </cell>
        </row>
        <row r="53">
          <cell r="A53" t="str">
            <v>TLCDSL00</v>
          </cell>
          <cell r="D53">
            <v>2060</v>
          </cell>
          <cell r="P53">
            <v>1521.8251523775582</v>
          </cell>
          <cell r="Q53">
            <v>1857.9484389435377</v>
          </cell>
          <cell r="R53">
            <v>1741.4188439602917</v>
          </cell>
          <cell r="S53">
            <v>1764.1735088345447</v>
          </cell>
          <cell r="T53">
            <v>1805.4775260046874</v>
          </cell>
          <cell r="U53">
            <v>1806.8756661368859</v>
          </cell>
          <cell r="V53">
            <v>1808.3644212772667</v>
          </cell>
          <cell r="W53">
            <v>1809.9199283169603</v>
          </cell>
          <cell r="X53">
            <v>1809.9199283169603</v>
          </cell>
          <cell r="Y53">
            <v>1809.9199283169603</v>
          </cell>
          <cell r="Z53">
            <v>1809.9199283169603</v>
          </cell>
          <cell r="AB53">
            <v>38.459799414932235</v>
          </cell>
          <cell r="AF53">
            <v>0.36038400609567439</v>
          </cell>
          <cell r="AG53">
            <v>0</v>
          </cell>
        </row>
        <row r="54">
          <cell r="A54" t="str">
            <v>TLCDSL05</v>
          </cell>
          <cell r="D54">
            <v>2005</v>
          </cell>
          <cell r="P54">
            <v>1521.8251523775582</v>
          </cell>
          <cell r="Q54">
            <v>1857.9484389435377</v>
          </cell>
          <cell r="R54">
            <v>1741.4188439602917</v>
          </cell>
          <cell r="S54">
            <v>1764.1735088345447</v>
          </cell>
          <cell r="T54">
            <v>1805.4775260046874</v>
          </cell>
          <cell r="U54">
            <v>1806.8756661368859</v>
          </cell>
          <cell r="V54">
            <v>1808.3644212772667</v>
          </cell>
          <cell r="W54">
            <v>1809.9199283169603</v>
          </cell>
          <cell r="X54">
            <v>1809.9199283169603</v>
          </cell>
          <cell r="Y54">
            <v>1809.9199283169603</v>
          </cell>
          <cell r="Z54">
            <v>1809.9199283169603</v>
          </cell>
          <cell r="AB54">
            <v>38.459799414932235</v>
          </cell>
          <cell r="AF54">
            <v>0.27476922371064716</v>
          </cell>
          <cell r="AG54">
            <v>0</v>
          </cell>
        </row>
        <row r="55">
          <cell r="A55" t="str">
            <v>TLCDSL10</v>
          </cell>
          <cell r="D55">
            <v>2010</v>
          </cell>
          <cell r="P55">
            <v>1521.8251523775582</v>
          </cell>
          <cell r="Q55">
            <v>1857.9484389435377</v>
          </cell>
          <cell r="R55">
            <v>1741.4188439602917</v>
          </cell>
          <cell r="S55">
            <v>1764.1735088345447</v>
          </cell>
          <cell r="T55">
            <v>1805.4775260046874</v>
          </cell>
          <cell r="U55">
            <v>1806.8756661368859</v>
          </cell>
          <cell r="V55">
            <v>1808.3644212772667</v>
          </cell>
          <cell r="W55">
            <v>1809.9199283169603</v>
          </cell>
          <cell r="X55">
            <v>1809.9199283169603</v>
          </cell>
          <cell r="Y55">
            <v>1809.9199283169603</v>
          </cell>
          <cell r="Z55">
            <v>1809.9199283169603</v>
          </cell>
          <cell r="AB55">
            <v>38.459799414932235</v>
          </cell>
          <cell r="AF55">
            <v>0.24935288171071668</v>
          </cell>
          <cell r="AG55">
            <v>0</v>
          </cell>
        </row>
        <row r="56">
          <cell r="A56" t="str">
            <v>TLCDSL15</v>
          </cell>
          <cell r="D56">
            <v>2015</v>
          </cell>
          <cell r="P56">
            <v>1521.8251523775582</v>
          </cell>
          <cell r="Q56">
            <v>1857.9484389435377</v>
          </cell>
          <cell r="R56">
            <v>1741.4188439602917</v>
          </cell>
          <cell r="S56">
            <v>1764.1735088345447</v>
          </cell>
          <cell r="T56">
            <v>1805.4775260046874</v>
          </cell>
          <cell r="U56">
            <v>1806.8756661368859</v>
          </cell>
          <cell r="V56">
            <v>1808.3644212772667</v>
          </cell>
          <cell r="W56">
            <v>1809.9199283169603</v>
          </cell>
          <cell r="X56">
            <v>1809.9199283169603</v>
          </cell>
          <cell r="Y56">
            <v>1809.9199283169603</v>
          </cell>
          <cell r="Z56">
            <v>1809.9199283169603</v>
          </cell>
          <cell r="AB56">
            <v>38.459799414932235</v>
          </cell>
          <cell r="AF56">
            <v>0.28180590525773486</v>
          </cell>
          <cell r="AG56">
            <v>0</v>
          </cell>
        </row>
        <row r="57">
          <cell r="A57" t="str">
            <v>TLCDSL20</v>
          </cell>
          <cell r="D57">
            <v>2020</v>
          </cell>
          <cell r="P57">
            <v>1521.8251523775582</v>
          </cell>
          <cell r="Q57">
            <v>1857.9484389435377</v>
          </cell>
          <cell r="R57">
            <v>1741.4188439602917</v>
          </cell>
          <cell r="S57">
            <v>1764.1735088345447</v>
          </cell>
          <cell r="T57">
            <v>1805.4775260046874</v>
          </cell>
          <cell r="U57">
            <v>1806.8756661368859</v>
          </cell>
          <cell r="V57">
            <v>1808.3644212772667</v>
          </cell>
          <cell r="W57">
            <v>1809.9199283169603</v>
          </cell>
          <cell r="X57">
            <v>1809.9199283169603</v>
          </cell>
          <cell r="Y57">
            <v>1809.9199283169603</v>
          </cell>
          <cell r="Z57">
            <v>1809.9199283169603</v>
          </cell>
          <cell r="AB57">
            <v>38.459799414932235</v>
          </cell>
          <cell r="AF57">
            <v>0.31506533661837682</v>
          </cell>
          <cell r="AG57">
            <v>0</v>
          </cell>
        </row>
        <row r="58">
          <cell r="A58" t="str">
            <v>TLCDSL25</v>
          </cell>
          <cell r="D58">
            <v>2025</v>
          </cell>
          <cell r="P58">
            <v>1521.8251523775582</v>
          </cell>
          <cell r="Q58">
            <v>1857.9484389435377</v>
          </cell>
          <cell r="R58">
            <v>1741.4188439602917</v>
          </cell>
          <cell r="S58">
            <v>1764.1735088345447</v>
          </cell>
          <cell r="T58">
            <v>1805.4775260046874</v>
          </cell>
          <cell r="U58">
            <v>1806.8756661368859</v>
          </cell>
          <cell r="V58">
            <v>1808.3644212772667</v>
          </cell>
          <cell r="W58">
            <v>1809.9199283169603</v>
          </cell>
          <cell r="X58">
            <v>1809.9199283169603</v>
          </cell>
          <cell r="Y58">
            <v>1809.9199283169603</v>
          </cell>
          <cell r="Z58">
            <v>1809.9199283169603</v>
          </cell>
          <cell r="AB58">
            <v>38.459799414932235</v>
          </cell>
          <cell r="AF58">
            <v>0.36032477694152965</v>
          </cell>
          <cell r="AG58">
            <v>0</v>
          </cell>
        </row>
        <row r="59">
          <cell r="A59" t="str">
            <v>TLCDSL30</v>
          </cell>
          <cell r="D59">
            <v>2030</v>
          </cell>
          <cell r="P59">
            <v>1521.8251523775582</v>
          </cell>
          <cell r="Q59">
            <v>1857.9484389435377</v>
          </cell>
          <cell r="R59">
            <v>1741.4188439602917</v>
          </cell>
          <cell r="S59">
            <v>1764.1735088345447</v>
          </cell>
          <cell r="T59">
            <v>1805.4775260046874</v>
          </cell>
          <cell r="U59">
            <v>1806.8756661368859</v>
          </cell>
          <cell r="V59">
            <v>1808.3644212772667</v>
          </cell>
          <cell r="W59">
            <v>1809.9199283169603</v>
          </cell>
          <cell r="X59">
            <v>1809.9199283169603</v>
          </cell>
          <cell r="Y59">
            <v>1809.9199283169603</v>
          </cell>
          <cell r="Z59">
            <v>1809.9199283169603</v>
          </cell>
          <cell r="AB59">
            <v>38.459799414932235</v>
          </cell>
          <cell r="AF59">
            <v>0.36196466019455709</v>
          </cell>
          <cell r="AG59">
            <v>0</v>
          </cell>
        </row>
        <row r="60">
          <cell r="A60" t="str">
            <v>TLCDSL35</v>
          </cell>
          <cell r="D60">
            <v>2035</v>
          </cell>
          <cell r="P60">
            <v>1521.8251523775582</v>
          </cell>
          <cell r="Q60">
            <v>1857.9484389435377</v>
          </cell>
          <cell r="R60">
            <v>1741.4188439602917</v>
          </cell>
          <cell r="S60">
            <v>1764.1735088345447</v>
          </cell>
          <cell r="T60">
            <v>1805.4775260046874</v>
          </cell>
          <cell r="U60">
            <v>1806.8756661368859</v>
          </cell>
          <cell r="V60">
            <v>1808.3644212772667</v>
          </cell>
          <cell r="W60">
            <v>1809.9199283169603</v>
          </cell>
          <cell r="X60">
            <v>1809.9199283169603</v>
          </cell>
          <cell r="Y60">
            <v>1809.9199283169603</v>
          </cell>
          <cell r="Z60">
            <v>1809.9199283169603</v>
          </cell>
          <cell r="AB60">
            <v>38.459799414932235</v>
          </cell>
          <cell r="AF60">
            <v>0.36118459694690291</v>
          </cell>
          <cell r="AG60">
            <v>0</v>
          </cell>
        </row>
        <row r="61">
          <cell r="A61" t="str">
            <v>TLCDSL40</v>
          </cell>
          <cell r="D61">
            <v>2040</v>
          </cell>
          <cell r="P61">
            <v>1521.8251523775582</v>
          </cell>
          <cell r="Q61">
            <v>1857.9484389435377</v>
          </cell>
          <cell r="R61">
            <v>1741.4188439602917</v>
          </cell>
          <cell r="S61">
            <v>1764.1735088345447</v>
          </cell>
          <cell r="T61">
            <v>1805.4775260046874</v>
          </cell>
          <cell r="U61">
            <v>1806.8756661368859</v>
          </cell>
          <cell r="V61">
            <v>1808.3644212772667</v>
          </cell>
          <cell r="W61">
            <v>1809.9199283169603</v>
          </cell>
          <cell r="X61">
            <v>1809.9199283169603</v>
          </cell>
          <cell r="Y61">
            <v>1809.9199283169603</v>
          </cell>
          <cell r="Z61">
            <v>1809.9199283169603</v>
          </cell>
          <cell r="AB61">
            <v>38.459799414932235</v>
          </cell>
          <cell r="AF61">
            <v>0.36038400609567439</v>
          </cell>
          <cell r="AG61">
            <v>0</v>
          </cell>
        </row>
        <row r="62">
          <cell r="A62" t="str">
            <v>TLCDSL45</v>
          </cell>
          <cell r="D62">
            <v>2045</v>
          </cell>
          <cell r="P62">
            <v>1521.8251523775582</v>
          </cell>
          <cell r="Q62">
            <v>1857.9484389435377</v>
          </cell>
          <cell r="R62">
            <v>1741.4188439602917</v>
          </cell>
          <cell r="S62">
            <v>1764.1735088345447</v>
          </cell>
          <cell r="T62">
            <v>1805.4775260046874</v>
          </cell>
          <cell r="U62">
            <v>1806.8756661368859</v>
          </cell>
          <cell r="V62">
            <v>1808.3644212772667</v>
          </cell>
          <cell r="W62">
            <v>1809.9199283169603</v>
          </cell>
          <cell r="X62">
            <v>1809.9199283169603</v>
          </cell>
          <cell r="Y62">
            <v>1809.9199283169603</v>
          </cell>
          <cell r="Z62">
            <v>1809.9199283169603</v>
          </cell>
          <cell r="AB62">
            <v>38.459799414932235</v>
          </cell>
          <cell r="AF62">
            <v>0.36038400609567439</v>
          </cell>
          <cell r="AG62">
            <v>0</v>
          </cell>
        </row>
        <row r="63">
          <cell r="A63" t="str">
            <v>TLCDSL50</v>
          </cell>
          <cell r="D63">
            <v>2050</v>
          </cell>
          <cell r="P63">
            <v>1521.8251523775582</v>
          </cell>
          <cell r="Q63">
            <v>1857.9484389435377</v>
          </cell>
          <cell r="R63">
            <v>1741.4188439602917</v>
          </cell>
          <cell r="S63">
            <v>1764.1735088345447</v>
          </cell>
          <cell r="T63">
            <v>1805.4775260046874</v>
          </cell>
          <cell r="U63">
            <v>1806.8756661368859</v>
          </cell>
          <cell r="V63">
            <v>1808.3644212772667</v>
          </cell>
          <cell r="W63">
            <v>1809.9199283169603</v>
          </cell>
          <cell r="X63">
            <v>1809.9199283169603</v>
          </cell>
          <cell r="Y63">
            <v>1809.9199283169603</v>
          </cell>
          <cell r="Z63">
            <v>1809.9199283169603</v>
          </cell>
          <cell r="AB63">
            <v>38.459799414932235</v>
          </cell>
          <cell r="AF63">
            <v>0.36038400609567439</v>
          </cell>
          <cell r="AG63">
            <v>0</v>
          </cell>
        </row>
        <row r="64">
          <cell r="A64" t="str">
            <v>TLCCNG00</v>
          </cell>
          <cell r="D64">
            <v>2060</v>
          </cell>
          <cell r="P64">
            <v>1969.1301367638939</v>
          </cell>
          <cell r="Q64">
            <v>2241.863948184252</v>
          </cell>
          <cell r="R64">
            <v>2054.9371777099482</v>
          </cell>
          <cell r="S64">
            <v>2127.7556297082119</v>
          </cell>
          <cell r="T64">
            <v>2254.2695738706093</v>
          </cell>
          <cell r="U64">
            <v>2256.9429038904559</v>
          </cell>
          <cell r="V64">
            <v>2258.4190326760763</v>
          </cell>
          <cell r="W64">
            <v>2259.739787184445</v>
          </cell>
          <cell r="X64">
            <v>2259.739787184445</v>
          </cell>
          <cell r="Y64">
            <v>2259.739787184445</v>
          </cell>
          <cell r="Z64">
            <v>2259.739787184445</v>
          </cell>
          <cell r="AB64">
            <v>34.613819473439015</v>
          </cell>
          <cell r="AF64">
            <v>0.37391011614607006</v>
          </cell>
          <cell r="AG64">
            <v>0</v>
          </cell>
        </row>
        <row r="65">
          <cell r="A65" t="str">
            <v>TLCCNG05</v>
          </cell>
          <cell r="D65">
            <v>2005</v>
          </cell>
          <cell r="P65">
            <v>1969.1301367638939</v>
          </cell>
          <cell r="Q65">
            <v>2241.863948184252</v>
          </cell>
          <cell r="R65">
            <v>2054.9371777099482</v>
          </cell>
          <cell r="S65">
            <v>2127.7556297082119</v>
          </cell>
          <cell r="T65">
            <v>2254.2695738706093</v>
          </cell>
          <cell r="U65">
            <v>2256.9429038904559</v>
          </cell>
          <cell r="V65">
            <v>2258.4190326760763</v>
          </cell>
          <cell r="W65">
            <v>2259.739787184445</v>
          </cell>
          <cell r="X65">
            <v>2259.739787184445</v>
          </cell>
          <cell r="Y65">
            <v>2259.739787184445</v>
          </cell>
          <cell r="Z65">
            <v>2259.739787184445</v>
          </cell>
          <cell r="AB65">
            <v>34.613819473439015</v>
          </cell>
          <cell r="AF65">
            <v>0.21981770096381142</v>
          </cell>
          <cell r="AG65">
            <v>0</v>
          </cell>
        </row>
        <row r="66">
          <cell r="A66" t="str">
            <v>TLCCNG10</v>
          </cell>
          <cell r="D66">
            <v>2010</v>
          </cell>
          <cell r="P66">
            <v>1969.1301367638939</v>
          </cell>
          <cell r="Q66">
            <v>2241.863948184252</v>
          </cell>
          <cell r="R66">
            <v>2054.9371777099482</v>
          </cell>
          <cell r="S66">
            <v>2127.7556297082119</v>
          </cell>
          <cell r="T66">
            <v>2254.2695738706093</v>
          </cell>
          <cell r="U66">
            <v>2256.9429038904559</v>
          </cell>
          <cell r="V66">
            <v>2258.4190326760763</v>
          </cell>
          <cell r="W66">
            <v>2259.739787184445</v>
          </cell>
          <cell r="X66">
            <v>2259.739787184445</v>
          </cell>
          <cell r="Y66">
            <v>2259.739787184445</v>
          </cell>
          <cell r="Z66">
            <v>2259.739787184445</v>
          </cell>
          <cell r="AB66">
            <v>34.613819473439015</v>
          </cell>
          <cell r="AF66">
            <v>0.21689650505755151</v>
          </cell>
          <cell r="AG66">
            <v>0</v>
          </cell>
        </row>
        <row r="67">
          <cell r="A67" t="str">
            <v>TLCCNG15</v>
          </cell>
          <cell r="D67">
            <v>2015</v>
          </cell>
          <cell r="P67">
            <v>1969.1301367638939</v>
          </cell>
          <cell r="Q67">
            <v>2241.863948184252</v>
          </cell>
          <cell r="R67">
            <v>2054.9371777099482</v>
          </cell>
          <cell r="S67">
            <v>2127.7556297082119</v>
          </cell>
          <cell r="T67">
            <v>2254.2695738706093</v>
          </cell>
          <cell r="U67">
            <v>2256.9429038904559</v>
          </cell>
          <cell r="V67">
            <v>2258.4190326760763</v>
          </cell>
          <cell r="W67">
            <v>2259.739787184445</v>
          </cell>
          <cell r="X67">
            <v>2259.739787184445</v>
          </cell>
          <cell r="Y67">
            <v>2259.739787184445</v>
          </cell>
          <cell r="Z67">
            <v>2259.739787184445</v>
          </cell>
          <cell r="AB67">
            <v>34.613819473439015</v>
          </cell>
          <cell r="AF67">
            <v>0.24601142327753603</v>
          </cell>
          <cell r="AG67">
            <v>0</v>
          </cell>
        </row>
        <row r="68">
          <cell r="A68" t="str">
            <v>TLCCNG20</v>
          </cell>
          <cell r="D68">
            <v>2020</v>
          </cell>
          <cell r="P68">
            <v>1969.1301367638939</v>
          </cell>
          <cell r="Q68">
            <v>2241.863948184252</v>
          </cell>
          <cell r="R68">
            <v>2054.9371777099482</v>
          </cell>
          <cell r="S68">
            <v>2127.7556297082119</v>
          </cell>
          <cell r="T68">
            <v>2254.2695738706093</v>
          </cell>
          <cell r="U68">
            <v>2256.9429038904559</v>
          </cell>
          <cell r="V68">
            <v>2258.4190326760763</v>
          </cell>
          <cell r="W68">
            <v>2259.739787184445</v>
          </cell>
          <cell r="X68">
            <v>2259.739787184445</v>
          </cell>
          <cell r="Y68">
            <v>2259.739787184445</v>
          </cell>
          <cell r="Z68">
            <v>2259.739787184445</v>
          </cell>
          <cell r="AB68">
            <v>34.613819473439015</v>
          </cell>
          <cell r="AF68">
            <v>0.29680865500844705</v>
          </cell>
          <cell r="AG68">
            <v>0</v>
          </cell>
        </row>
        <row r="69">
          <cell r="A69" t="str">
            <v>TLCCNG25</v>
          </cell>
          <cell r="D69">
            <v>2025</v>
          </cell>
          <cell r="P69">
            <v>1969.1301367638939</v>
          </cell>
          <cell r="Q69">
            <v>2241.863948184252</v>
          </cell>
          <cell r="R69">
            <v>2054.9371777099482</v>
          </cell>
          <cell r="S69">
            <v>2127.7556297082119</v>
          </cell>
          <cell r="T69">
            <v>2254.2695738706093</v>
          </cell>
          <cell r="U69">
            <v>2256.9429038904559</v>
          </cell>
          <cell r="V69">
            <v>2258.4190326760763</v>
          </cell>
          <cell r="W69">
            <v>2259.739787184445</v>
          </cell>
          <cell r="X69">
            <v>2259.739787184445</v>
          </cell>
          <cell r="Y69">
            <v>2259.739787184445</v>
          </cell>
          <cell r="Z69">
            <v>2259.739787184445</v>
          </cell>
          <cell r="AB69">
            <v>34.613819473439015</v>
          </cell>
          <cell r="AF69">
            <v>0.373532868123929</v>
          </cell>
          <cell r="AG69">
            <v>0</v>
          </cell>
        </row>
        <row r="70">
          <cell r="A70" t="str">
            <v>TLCCNG30</v>
          </cell>
          <cell r="D70">
            <v>2030</v>
          </cell>
          <cell r="P70">
            <v>1969.1301367638939</v>
          </cell>
          <cell r="Q70">
            <v>2241.863948184252</v>
          </cell>
          <cell r="R70">
            <v>2054.9371777099482</v>
          </cell>
          <cell r="S70">
            <v>2127.7556297082119</v>
          </cell>
          <cell r="T70">
            <v>2254.2695738706093</v>
          </cell>
          <cell r="U70">
            <v>2256.9429038904559</v>
          </cell>
          <cell r="V70">
            <v>2258.4190326760763</v>
          </cell>
          <cell r="W70">
            <v>2259.739787184445</v>
          </cell>
          <cell r="X70">
            <v>2259.739787184445</v>
          </cell>
          <cell r="Y70">
            <v>2259.739787184445</v>
          </cell>
          <cell r="Z70">
            <v>2259.739787184445</v>
          </cell>
          <cell r="AB70">
            <v>34.613819473439015</v>
          </cell>
          <cell r="AF70">
            <v>0.37553334575508418</v>
          </cell>
          <cell r="AG70">
            <v>0</v>
          </cell>
        </row>
        <row r="71">
          <cell r="A71" t="str">
            <v>TLCCNG35</v>
          </cell>
          <cell r="D71">
            <v>2035</v>
          </cell>
          <cell r="P71">
            <v>1969.1301367638939</v>
          </cell>
          <cell r="Q71">
            <v>2241.863948184252</v>
          </cell>
          <cell r="R71">
            <v>2054.9371777099482</v>
          </cell>
          <cell r="S71">
            <v>2127.7556297082119</v>
          </cell>
          <cell r="T71">
            <v>2254.2695738706093</v>
          </cell>
          <cell r="U71">
            <v>2256.9429038904559</v>
          </cell>
          <cell r="V71">
            <v>2258.4190326760763</v>
          </cell>
          <cell r="W71">
            <v>2259.739787184445</v>
          </cell>
          <cell r="X71">
            <v>2259.739787184445</v>
          </cell>
          <cell r="Y71">
            <v>2259.739787184445</v>
          </cell>
          <cell r="Z71">
            <v>2259.739787184445</v>
          </cell>
          <cell r="AB71">
            <v>34.613819473439015</v>
          </cell>
          <cell r="AF71">
            <v>0.37477577975657034</v>
          </cell>
          <cell r="AG71">
            <v>0</v>
          </cell>
        </row>
        <row r="72">
          <cell r="A72" t="str">
            <v>TLCCNG40</v>
          </cell>
          <cell r="D72">
            <v>2040</v>
          </cell>
          <cell r="P72">
            <v>1969.1301367638939</v>
          </cell>
          <cell r="Q72">
            <v>2241.863948184252</v>
          </cell>
          <cell r="R72">
            <v>2054.9371777099482</v>
          </cell>
          <cell r="S72">
            <v>2127.7556297082119</v>
          </cell>
          <cell r="T72">
            <v>2254.2695738706093</v>
          </cell>
          <cell r="U72">
            <v>2256.9429038904559</v>
          </cell>
          <cell r="V72">
            <v>2258.4190326760763</v>
          </cell>
          <cell r="W72">
            <v>2259.739787184445</v>
          </cell>
          <cell r="X72">
            <v>2259.739787184445</v>
          </cell>
          <cell r="Y72">
            <v>2259.739787184445</v>
          </cell>
          <cell r="Z72">
            <v>2259.739787184445</v>
          </cell>
          <cell r="AB72">
            <v>34.613819473439015</v>
          </cell>
          <cell r="AF72">
            <v>0.37391011614607006</v>
          </cell>
          <cell r="AG72">
            <v>0</v>
          </cell>
        </row>
        <row r="73">
          <cell r="A73" t="str">
            <v>TLCCNG45</v>
          </cell>
          <cell r="D73">
            <v>2045</v>
          </cell>
          <cell r="P73">
            <v>1969.1301367638939</v>
          </cell>
          <cell r="Q73">
            <v>2241.863948184252</v>
          </cell>
          <cell r="R73">
            <v>2054.9371777099482</v>
          </cell>
          <cell r="S73">
            <v>2127.7556297082119</v>
          </cell>
          <cell r="T73">
            <v>2254.2695738706093</v>
          </cell>
          <cell r="U73">
            <v>2256.9429038904559</v>
          </cell>
          <cell r="V73">
            <v>2258.4190326760763</v>
          </cell>
          <cell r="W73">
            <v>2259.739787184445</v>
          </cell>
          <cell r="X73">
            <v>2259.739787184445</v>
          </cell>
          <cell r="Y73">
            <v>2259.739787184445</v>
          </cell>
          <cell r="Z73">
            <v>2259.739787184445</v>
          </cell>
          <cell r="AB73">
            <v>34.613819473439015</v>
          </cell>
          <cell r="AF73">
            <v>0.37391011614607006</v>
          </cell>
          <cell r="AG73">
            <v>0</v>
          </cell>
        </row>
        <row r="74">
          <cell r="A74" t="str">
            <v>TLCCNG50</v>
          </cell>
          <cell r="D74">
            <v>2050</v>
          </cell>
          <cell r="P74">
            <v>1969.1301367638939</v>
          </cell>
          <cell r="Q74">
            <v>2241.863948184252</v>
          </cell>
          <cell r="R74">
            <v>2054.9371777099482</v>
          </cell>
          <cell r="S74">
            <v>2127.7556297082119</v>
          </cell>
          <cell r="T74">
            <v>2254.2695738706093</v>
          </cell>
          <cell r="U74">
            <v>2256.9429038904559</v>
          </cell>
          <cell r="V74">
            <v>2258.4190326760763</v>
          </cell>
          <cell r="W74">
            <v>2259.739787184445</v>
          </cell>
          <cell r="X74">
            <v>2259.739787184445</v>
          </cell>
          <cell r="Y74">
            <v>2259.739787184445</v>
          </cell>
          <cell r="Z74">
            <v>2259.739787184445</v>
          </cell>
          <cell r="AB74">
            <v>34.613819473439015</v>
          </cell>
          <cell r="AF74">
            <v>0.37391011614607006</v>
          </cell>
          <cell r="AG74">
            <v>0</v>
          </cell>
        </row>
        <row r="75">
          <cell r="A75" t="str">
            <v>TLCCNGX00</v>
          </cell>
          <cell r="D75">
            <v>2060</v>
          </cell>
          <cell r="P75">
            <v>1866.3145891922511</v>
          </cell>
          <cell r="Q75">
            <v>2136.5414808198907</v>
          </cell>
          <cell r="R75">
            <v>1952.1949859049068</v>
          </cell>
          <cell r="S75">
            <v>2024.4549975865336</v>
          </cell>
          <cell r="T75">
            <v>2148.4967058383886</v>
          </cell>
          <cell r="U75">
            <v>2151.1606724366311</v>
          </cell>
          <cell r="V75">
            <v>2152.639800443234</v>
          </cell>
          <cell r="W75">
            <v>2153.9909129200864</v>
          </cell>
          <cell r="X75">
            <v>2153.9909129200864</v>
          </cell>
          <cell r="Y75">
            <v>2153.9909129200864</v>
          </cell>
          <cell r="Z75">
            <v>2153.9909129200864</v>
          </cell>
          <cell r="AB75">
            <v>34.613819473439015</v>
          </cell>
          <cell r="AF75">
            <v>0.345666798583461</v>
          </cell>
          <cell r="AG75">
            <v>0</v>
          </cell>
        </row>
        <row r="76">
          <cell r="A76" t="str">
            <v>TLCCNGX05</v>
          </cell>
          <cell r="D76">
            <v>2005</v>
          </cell>
          <cell r="P76">
            <v>1866.3145891922511</v>
          </cell>
          <cell r="Q76">
            <v>2136.5414808198907</v>
          </cell>
          <cell r="R76">
            <v>1952.1949859049068</v>
          </cell>
          <cell r="S76">
            <v>2024.4549975865336</v>
          </cell>
          <cell r="T76">
            <v>2148.4967058383886</v>
          </cell>
          <cell r="U76">
            <v>2151.1606724366311</v>
          </cell>
          <cell r="V76">
            <v>2152.639800443234</v>
          </cell>
          <cell r="W76">
            <v>2153.9909129200864</v>
          </cell>
          <cell r="X76">
            <v>2153.9909129200864</v>
          </cell>
          <cell r="Y76">
            <v>2153.9909129200864</v>
          </cell>
          <cell r="Z76">
            <v>2153.9909129200864</v>
          </cell>
          <cell r="AB76">
            <v>34.613819473439015</v>
          </cell>
          <cell r="AF76">
            <v>0.20353586056510159</v>
          </cell>
          <cell r="AG76">
            <v>0</v>
          </cell>
        </row>
        <row r="77">
          <cell r="A77" t="str">
            <v>TLCCNGX10</v>
          </cell>
          <cell r="D77">
            <v>2010</v>
          </cell>
          <cell r="P77">
            <v>1866.3145891922511</v>
          </cell>
          <cell r="Q77">
            <v>2136.5414808198907</v>
          </cell>
          <cell r="R77">
            <v>1952.1949859049068</v>
          </cell>
          <cell r="S77">
            <v>2024.4549975865336</v>
          </cell>
          <cell r="T77">
            <v>2148.4967058383886</v>
          </cell>
          <cell r="U77">
            <v>2151.1606724366311</v>
          </cell>
          <cell r="V77">
            <v>2152.639800443234</v>
          </cell>
          <cell r="W77">
            <v>2153.9909129200864</v>
          </cell>
          <cell r="X77">
            <v>2153.9909129200864</v>
          </cell>
          <cell r="Y77">
            <v>2153.9909129200864</v>
          </cell>
          <cell r="Z77">
            <v>2153.9909129200864</v>
          </cell>
          <cell r="AB77">
            <v>34.613819473439015</v>
          </cell>
          <cell r="AF77">
            <v>0.20115151726543429</v>
          </cell>
          <cell r="AG77">
            <v>0</v>
          </cell>
        </row>
        <row r="78">
          <cell r="A78" t="str">
            <v>TLCCNGX15</v>
          </cell>
          <cell r="D78">
            <v>2015</v>
          </cell>
          <cell r="P78">
            <v>1866.3145891922511</v>
          </cell>
          <cell r="Q78">
            <v>2136.5414808198907</v>
          </cell>
          <cell r="R78">
            <v>1952.1949859049068</v>
          </cell>
          <cell r="S78">
            <v>2024.4549975865336</v>
          </cell>
          <cell r="T78">
            <v>2148.4967058383886</v>
          </cell>
          <cell r="U78">
            <v>2151.1606724366311</v>
          </cell>
          <cell r="V78">
            <v>2152.639800443234</v>
          </cell>
          <cell r="W78">
            <v>2153.9909129200864</v>
          </cell>
          <cell r="X78">
            <v>2153.9909129200864</v>
          </cell>
          <cell r="Y78">
            <v>2153.9909129200864</v>
          </cell>
          <cell r="Z78">
            <v>2153.9909129200864</v>
          </cell>
          <cell r="AB78">
            <v>34.613819473439015</v>
          </cell>
          <cell r="AF78">
            <v>0.22868572146725108</v>
          </cell>
          <cell r="AG78">
            <v>0</v>
          </cell>
        </row>
        <row r="79">
          <cell r="A79" t="str">
            <v>TLCCNGX20</v>
          </cell>
          <cell r="D79">
            <v>2020</v>
          </cell>
          <cell r="P79">
            <v>1866.3145891922511</v>
          </cell>
          <cell r="Q79">
            <v>2136.5414808198907</v>
          </cell>
          <cell r="R79">
            <v>1952.1949859049068</v>
          </cell>
          <cell r="S79">
            <v>2024.4549975865336</v>
          </cell>
          <cell r="T79">
            <v>2148.4967058383886</v>
          </cell>
          <cell r="U79">
            <v>2151.1606724366311</v>
          </cell>
          <cell r="V79">
            <v>2152.639800443234</v>
          </cell>
          <cell r="W79">
            <v>2153.9909129200864</v>
          </cell>
          <cell r="X79">
            <v>2153.9909129200864</v>
          </cell>
          <cell r="Y79">
            <v>2153.9909129200864</v>
          </cell>
          <cell r="Z79">
            <v>2153.9909129200864</v>
          </cell>
          <cell r="AB79">
            <v>34.613819473439015</v>
          </cell>
          <cell r="AF79">
            <v>0.27517081812389876</v>
          </cell>
          <cell r="AG79">
            <v>0</v>
          </cell>
        </row>
        <row r="80">
          <cell r="A80" t="str">
            <v>TLCCNGX25</v>
          </cell>
          <cell r="D80">
            <v>2025</v>
          </cell>
          <cell r="P80">
            <v>1866.3145891922511</v>
          </cell>
          <cell r="Q80">
            <v>2136.5414808198907</v>
          </cell>
          <cell r="R80">
            <v>1952.1949859049068</v>
          </cell>
          <cell r="S80">
            <v>2024.4549975865336</v>
          </cell>
          <cell r="T80">
            <v>2148.4967058383886</v>
          </cell>
          <cell r="U80">
            <v>2151.1606724366311</v>
          </cell>
          <cell r="V80">
            <v>2152.639800443234</v>
          </cell>
          <cell r="W80">
            <v>2153.9909129200864</v>
          </cell>
          <cell r="X80">
            <v>2153.9909129200864</v>
          </cell>
          <cell r="Y80">
            <v>2153.9909129200864</v>
          </cell>
          <cell r="Z80">
            <v>2153.9909129200864</v>
          </cell>
          <cell r="AB80">
            <v>34.613819473439015</v>
          </cell>
          <cell r="AF80">
            <v>0.34541164145742415</v>
          </cell>
          <cell r="AG80">
            <v>0</v>
          </cell>
        </row>
        <row r="81">
          <cell r="A81" t="str">
            <v>TLCCNGX30</v>
          </cell>
          <cell r="D81">
            <v>2030</v>
          </cell>
          <cell r="P81">
            <v>1866.3145891922511</v>
          </cell>
          <cell r="Q81">
            <v>2136.5414808198907</v>
          </cell>
          <cell r="R81">
            <v>1952.1949859049068</v>
          </cell>
          <cell r="S81">
            <v>2024.4549975865336</v>
          </cell>
          <cell r="T81">
            <v>2148.4967058383886</v>
          </cell>
          <cell r="U81">
            <v>2151.1606724366311</v>
          </cell>
          <cell r="V81">
            <v>2152.639800443234</v>
          </cell>
          <cell r="W81">
            <v>2153.9909129200864</v>
          </cell>
          <cell r="X81">
            <v>2153.9909129200864</v>
          </cell>
          <cell r="Y81">
            <v>2153.9909129200864</v>
          </cell>
          <cell r="Z81">
            <v>2153.9909129200864</v>
          </cell>
          <cell r="AB81">
            <v>34.613819473439015</v>
          </cell>
          <cell r="AF81">
            <v>0.34727052591504537</v>
          </cell>
          <cell r="AG81">
            <v>0</v>
          </cell>
        </row>
        <row r="82">
          <cell r="A82" t="str">
            <v>TLCCNGX35</v>
          </cell>
          <cell r="D82">
            <v>2035</v>
          </cell>
          <cell r="P82">
            <v>1866.3145891922511</v>
          </cell>
          <cell r="Q82">
            <v>2136.5414808198907</v>
          </cell>
          <cell r="R82">
            <v>1952.1949859049068</v>
          </cell>
          <cell r="S82">
            <v>2024.4549975865336</v>
          </cell>
          <cell r="T82">
            <v>2148.4967058383886</v>
          </cell>
          <cell r="U82">
            <v>2151.1606724366311</v>
          </cell>
          <cell r="V82">
            <v>2152.639800443234</v>
          </cell>
          <cell r="W82">
            <v>2153.9909129200864</v>
          </cell>
          <cell r="X82">
            <v>2153.9909129200864</v>
          </cell>
          <cell r="Y82">
            <v>2153.9909129200864</v>
          </cell>
          <cell r="Z82">
            <v>2153.9909129200864</v>
          </cell>
          <cell r="AB82">
            <v>34.613819473439015</v>
          </cell>
          <cell r="AF82">
            <v>0.34649134928478498</v>
          </cell>
          <cell r="AG82">
            <v>0</v>
          </cell>
        </row>
        <row r="83">
          <cell r="A83" t="str">
            <v>TLCCNGX40</v>
          </cell>
          <cell r="D83">
            <v>2040</v>
          </cell>
          <cell r="P83">
            <v>1866.3145891922511</v>
          </cell>
          <cell r="Q83">
            <v>2136.5414808198907</v>
          </cell>
          <cell r="R83">
            <v>1952.1949859049068</v>
          </cell>
          <cell r="S83">
            <v>2024.4549975865336</v>
          </cell>
          <cell r="T83">
            <v>2148.4967058383886</v>
          </cell>
          <cell r="U83">
            <v>2151.1606724366311</v>
          </cell>
          <cell r="V83">
            <v>2152.639800443234</v>
          </cell>
          <cell r="W83">
            <v>2153.9909129200864</v>
          </cell>
          <cell r="X83">
            <v>2153.9909129200864</v>
          </cell>
          <cell r="Y83">
            <v>2153.9909129200864</v>
          </cell>
          <cell r="Z83">
            <v>2153.9909129200864</v>
          </cell>
          <cell r="AB83">
            <v>34.613819473439015</v>
          </cell>
          <cell r="AF83">
            <v>0.345666798583461</v>
          </cell>
          <cell r="AG83">
            <v>0</v>
          </cell>
        </row>
        <row r="84">
          <cell r="A84" t="str">
            <v>TLCCNGX45</v>
          </cell>
          <cell r="D84">
            <v>2045</v>
          </cell>
          <cell r="P84">
            <v>1866.3145891922511</v>
          </cell>
          <cell r="Q84">
            <v>2136.5414808198907</v>
          </cell>
          <cell r="R84">
            <v>1952.1949859049068</v>
          </cell>
          <cell r="S84">
            <v>2024.4549975865336</v>
          </cell>
          <cell r="T84">
            <v>2148.4967058383886</v>
          </cell>
          <cell r="U84">
            <v>2151.1606724366311</v>
          </cell>
          <cell r="V84">
            <v>2152.639800443234</v>
          </cell>
          <cell r="W84">
            <v>2153.9909129200864</v>
          </cell>
          <cell r="X84">
            <v>2153.9909129200864</v>
          </cell>
          <cell r="Y84">
            <v>2153.9909129200864</v>
          </cell>
          <cell r="Z84">
            <v>2153.9909129200864</v>
          </cell>
          <cell r="AB84">
            <v>34.613819473439015</v>
          </cell>
          <cell r="AF84">
            <v>0.345666798583461</v>
          </cell>
          <cell r="AG84">
            <v>0</v>
          </cell>
        </row>
        <row r="85">
          <cell r="A85" t="str">
            <v>TLCCNGX50</v>
          </cell>
          <cell r="D85">
            <v>2050</v>
          </cell>
          <cell r="P85">
            <v>1866.3145891922511</v>
          </cell>
          <cell r="Q85">
            <v>2136.5414808198907</v>
          </cell>
          <cell r="R85">
            <v>1952.1949859049068</v>
          </cell>
          <cell r="S85">
            <v>2024.4549975865336</v>
          </cell>
          <cell r="T85">
            <v>2148.4967058383886</v>
          </cell>
          <cell r="U85">
            <v>2151.1606724366311</v>
          </cell>
          <cell r="V85">
            <v>2152.639800443234</v>
          </cell>
          <cell r="W85">
            <v>2153.9909129200864</v>
          </cell>
          <cell r="X85">
            <v>2153.9909129200864</v>
          </cell>
          <cell r="Y85">
            <v>2153.9909129200864</v>
          </cell>
          <cell r="Z85">
            <v>2153.9909129200864</v>
          </cell>
          <cell r="AB85">
            <v>34.613819473439015</v>
          </cell>
          <cell r="AF85">
            <v>0.345666798583461</v>
          </cell>
          <cell r="AG85">
            <v>0</v>
          </cell>
        </row>
        <row r="86">
          <cell r="A86" t="str">
            <v>TLCDHEV10</v>
          </cell>
          <cell r="D86">
            <v>2010</v>
          </cell>
          <cell r="P86">
            <v>0</v>
          </cell>
          <cell r="Q86">
            <v>0</v>
          </cell>
          <cell r="R86">
            <v>0</v>
          </cell>
          <cell r="S86">
            <v>2109.1092534034101</v>
          </cell>
          <cell r="T86">
            <v>2092.8662040782779</v>
          </cell>
          <cell r="U86">
            <v>2116.088130035047</v>
          </cell>
          <cell r="V86">
            <v>2106.8767332444409</v>
          </cell>
          <cell r="W86">
            <v>2105.0678530658256</v>
          </cell>
          <cell r="X86">
            <v>2105.0678530658256</v>
          </cell>
          <cell r="Y86">
            <v>2105.0678530658256</v>
          </cell>
          <cell r="Z86">
            <v>2105.0678530658256</v>
          </cell>
          <cell r="AB86">
            <v>40.382789385678855</v>
          </cell>
          <cell r="AF86">
            <v>0</v>
          </cell>
          <cell r="AG86">
            <v>0</v>
          </cell>
        </row>
        <row r="87">
          <cell r="A87" t="str">
            <v>TLCDHEV15</v>
          </cell>
          <cell r="D87">
            <v>2015</v>
          </cell>
          <cell r="P87">
            <v>0</v>
          </cell>
          <cell r="Q87">
            <v>0</v>
          </cell>
          <cell r="R87">
            <v>0</v>
          </cell>
          <cell r="S87">
            <v>2109.1092534034101</v>
          </cell>
          <cell r="T87">
            <v>2092.8662040782779</v>
          </cell>
          <cell r="U87">
            <v>2116.088130035047</v>
          </cell>
          <cell r="V87">
            <v>2106.8767332444409</v>
          </cell>
          <cell r="W87">
            <v>2105.0678530658256</v>
          </cell>
          <cell r="X87">
            <v>2105.0678530658256</v>
          </cell>
          <cell r="Y87">
            <v>2105.0678530658256</v>
          </cell>
          <cell r="Z87">
            <v>2105.0678530658256</v>
          </cell>
          <cell r="AB87">
            <v>40.382789385678855</v>
          </cell>
          <cell r="AF87">
            <v>0</v>
          </cell>
          <cell r="AG87">
            <v>0</v>
          </cell>
        </row>
        <row r="88">
          <cell r="A88" t="str">
            <v>TLCDHEV20</v>
          </cell>
          <cell r="D88">
            <v>2020</v>
          </cell>
          <cell r="P88">
            <v>0</v>
          </cell>
          <cell r="Q88">
            <v>0</v>
          </cell>
          <cell r="R88">
            <v>0</v>
          </cell>
          <cell r="S88">
            <v>2109.1092534034101</v>
          </cell>
          <cell r="T88">
            <v>2092.8662040782779</v>
          </cell>
          <cell r="U88">
            <v>2116.088130035047</v>
          </cell>
          <cell r="V88">
            <v>2106.8767332444409</v>
          </cell>
          <cell r="W88">
            <v>2105.0678530658256</v>
          </cell>
          <cell r="X88">
            <v>2105.0678530658256</v>
          </cell>
          <cell r="Y88">
            <v>2105.0678530658256</v>
          </cell>
          <cell r="Z88">
            <v>2105.0678530658256</v>
          </cell>
          <cell r="AB88">
            <v>40.382789385678855</v>
          </cell>
          <cell r="AF88">
            <v>0.38713192675658553</v>
          </cell>
          <cell r="AG88">
            <v>0</v>
          </cell>
        </row>
        <row r="89">
          <cell r="A89" t="str">
            <v>TLCDHEV25</v>
          </cell>
          <cell r="D89">
            <v>2025</v>
          </cell>
          <cell r="P89">
            <v>0</v>
          </cell>
          <cell r="Q89">
            <v>0</v>
          </cell>
          <cell r="R89">
            <v>0</v>
          </cell>
          <cell r="S89">
            <v>2109.1092534034101</v>
          </cell>
          <cell r="T89">
            <v>2092.8662040782779</v>
          </cell>
          <cell r="U89">
            <v>2116.088130035047</v>
          </cell>
          <cell r="V89">
            <v>2106.8767332444409</v>
          </cell>
          <cell r="W89">
            <v>2105.0678530658256</v>
          </cell>
          <cell r="X89">
            <v>2105.0678530658256</v>
          </cell>
          <cell r="Y89">
            <v>2105.0678530658256</v>
          </cell>
          <cell r="Z89">
            <v>2105.0678530658256</v>
          </cell>
          <cell r="AB89">
            <v>40.382789385678855</v>
          </cell>
          <cell r="AF89">
            <v>0.42518731438103774</v>
          </cell>
          <cell r="AG89">
            <v>0</v>
          </cell>
        </row>
        <row r="90">
          <cell r="A90" t="str">
            <v>TLCDHEV30</v>
          </cell>
          <cell r="D90">
            <v>2030</v>
          </cell>
          <cell r="P90">
            <v>0</v>
          </cell>
          <cell r="Q90">
            <v>0</v>
          </cell>
          <cell r="R90">
            <v>0</v>
          </cell>
          <cell r="S90">
            <v>2109.1092534034101</v>
          </cell>
          <cell r="T90">
            <v>2092.8662040782779</v>
          </cell>
          <cell r="U90">
            <v>2116.088130035047</v>
          </cell>
          <cell r="V90">
            <v>2106.8767332444409</v>
          </cell>
          <cell r="W90">
            <v>2105.0678530658256</v>
          </cell>
          <cell r="X90">
            <v>2105.0678530658256</v>
          </cell>
          <cell r="Y90">
            <v>2105.0678530658256</v>
          </cell>
          <cell r="Z90">
            <v>2105.0678530658256</v>
          </cell>
          <cell r="AB90">
            <v>40.382789385678855</v>
          </cell>
          <cell r="AF90">
            <v>0.42720093065965042</v>
          </cell>
          <cell r="AG90">
            <v>0</v>
          </cell>
        </row>
        <row r="91">
          <cell r="A91" t="str">
            <v>TLCDHEV35</v>
          </cell>
          <cell r="D91">
            <v>2035</v>
          </cell>
          <cell r="P91">
            <v>0</v>
          </cell>
          <cell r="Q91">
            <v>0</v>
          </cell>
          <cell r="R91">
            <v>0</v>
          </cell>
          <cell r="S91">
            <v>2109.1092534034101</v>
          </cell>
          <cell r="T91">
            <v>2092.8662040782779</v>
          </cell>
          <cell r="U91">
            <v>2116.088130035047</v>
          </cell>
          <cell r="V91">
            <v>2106.8767332444409</v>
          </cell>
          <cell r="W91">
            <v>2105.0678530658256</v>
          </cell>
          <cell r="X91">
            <v>2105.0678530658256</v>
          </cell>
          <cell r="Y91">
            <v>2105.0678530658256</v>
          </cell>
          <cell r="Z91">
            <v>2105.0678530658256</v>
          </cell>
          <cell r="AB91">
            <v>40.382789385678855</v>
          </cell>
          <cell r="AF91">
            <v>0.42628541590039593</v>
          </cell>
          <cell r="AG91">
            <v>0</v>
          </cell>
        </row>
        <row r="92">
          <cell r="A92" t="str">
            <v>TLCDHEV40</v>
          </cell>
          <cell r="D92">
            <v>2040</v>
          </cell>
          <cell r="P92">
            <v>0</v>
          </cell>
          <cell r="Q92">
            <v>0</v>
          </cell>
          <cell r="R92">
            <v>0</v>
          </cell>
          <cell r="S92">
            <v>2109.1092534034101</v>
          </cell>
          <cell r="T92">
            <v>2092.8662040782779</v>
          </cell>
          <cell r="U92">
            <v>2116.088130035047</v>
          </cell>
          <cell r="V92">
            <v>2106.8767332444409</v>
          </cell>
          <cell r="W92">
            <v>2105.0678530658256</v>
          </cell>
          <cell r="X92">
            <v>2105.0678530658256</v>
          </cell>
          <cell r="Y92">
            <v>2105.0678530658256</v>
          </cell>
          <cell r="Z92">
            <v>2105.0678530658256</v>
          </cell>
          <cell r="AB92">
            <v>40.382789385678855</v>
          </cell>
          <cell r="AF92">
            <v>0.42570817770061131</v>
          </cell>
          <cell r="AG92">
            <v>0</v>
          </cell>
        </row>
        <row r="93">
          <cell r="A93" t="str">
            <v>TLCDHEV45</v>
          </cell>
          <cell r="D93">
            <v>2045</v>
          </cell>
          <cell r="P93">
            <v>0</v>
          </cell>
          <cell r="Q93">
            <v>0</v>
          </cell>
          <cell r="R93">
            <v>0</v>
          </cell>
          <cell r="S93">
            <v>2109.1092534034101</v>
          </cell>
          <cell r="T93">
            <v>2092.8662040782779</v>
          </cell>
          <cell r="U93">
            <v>2116.088130035047</v>
          </cell>
          <cell r="V93">
            <v>2106.8767332444409</v>
          </cell>
          <cell r="W93">
            <v>2105.0678530658256</v>
          </cell>
          <cell r="X93">
            <v>2105.0678530658256</v>
          </cell>
          <cell r="Y93">
            <v>2105.0678530658256</v>
          </cell>
          <cell r="Z93">
            <v>2105.0678530658256</v>
          </cell>
          <cell r="AB93">
            <v>40.382789385678855</v>
          </cell>
          <cell r="AF93">
            <v>0.42570817770061131</v>
          </cell>
          <cell r="AG93">
            <v>0</v>
          </cell>
        </row>
        <row r="94">
          <cell r="A94" t="str">
            <v>TLCDHEV50</v>
          </cell>
          <cell r="D94">
            <v>2050</v>
          </cell>
          <cell r="P94">
            <v>0</v>
          </cell>
          <cell r="Q94">
            <v>0</v>
          </cell>
          <cell r="R94">
            <v>0</v>
          </cell>
          <cell r="S94">
            <v>2109.1092534034101</v>
          </cell>
          <cell r="T94">
            <v>2092.8662040782779</v>
          </cell>
          <cell r="U94">
            <v>2116.088130035047</v>
          </cell>
          <cell r="V94">
            <v>2106.8767332444409</v>
          </cell>
          <cell r="W94">
            <v>2105.0678530658256</v>
          </cell>
          <cell r="X94">
            <v>2105.0678530658256</v>
          </cell>
          <cell r="Y94">
            <v>2105.0678530658256</v>
          </cell>
          <cell r="Z94">
            <v>2105.0678530658256</v>
          </cell>
          <cell r="AB94">
            <v>40.382789385678855</v>
          </cell>
          <cell r="AF94">
            <v>0.42570817770061131</v>
          </cell>
          <cell r="AG94">
            <v>0</v>
          </cell>
        </row>
        <row r="95">
          <cell r="A95" t="str">
            <v>TLCETHX05</v>
          </cell>
          <cell r="D95">
            <v>2005</v>
          </cell>
          <cell r="P95">
            <v>0</v>
          </cell>
          <cell r="Q95">
            <v>1692.682511212942</v>
          </cell>
          <cell r="R95">
            <v>1530.8510049586539</v>
          </cell>
          <cell r="S95">
            <v>1600.7385737508985</v>
          </cell>
          <cell r="T95">
            <v>1715.2710330198151</v>
          </cell>
          <cell r="U95">
            <v>1717.4588452079749</v>
          </cell>
          <cell r="V95">
            <v>1718.4494405538956</v>
          </cell>
          <cell r="W95">
            <v>1719.2993536846245</v>
          </cell>
          <cell r="X95">
            <v>1719.2993536846245</v>
          </cell>
          <cell r="Y95">
            <v>1719.2993536846245</v>
          </cell>
          <cell r="Z95">
            <v>1719.2993536846245</v>
          </cell>
          <cell r="AB95">
            <v>38.459799414932235</v>
          </cell>
          <cell r="AF95">
            <v>0</v>
          </cell>
          <cell r="AG95">
            <v>0</v>
          </cell>
        </row>
        <row r="96">
          <cell r="A96" t="str">
            <v>TLCETHX10</v>
          </cell>
          <cell r="D96">
            <v>2010</v>
          </cell>
          <cell r="P96">
            <v>0</v>
          </cell>
          <cell r="Q96">
            <v>1692.682511212942</v>
          </cell>
          <cell r="R96">
            <v>1530.8510049586539</v>
          </cell>
          <cell r="S96">
            <v>1600.7385737508985</v>
          </cell>
          <cell r="T96">
            <v>1715.2710330198151</v>
          </cell>
          <cell r="U96">
            <v>1717.4588452079749</v>
          </cell>
          <cell r="V96">
            <v>1718.4494405538956</v>
          </cell>
          <cell r="W96">
            <v>1719.2993536846245</v>
          </cell>
          <cell r="X96">
            <v>1719.2993536846245</v>
          </cell>
          <cell r="Y96">
            <v>1719.2993536846245</v>
          </cell>
          <cell r="Z96">
            <v>1719.2993536846245</v>
          </cell>
          <cell r="AB96">
            <v>38.459799414932235</v>
          </cell>
          <cell r="AF96">
            <v>0.20313513777467743</v>
          </cell>
          <cell r="AG96">
            <v>0</v>
          </cell>
        </row>
        <row r="97">
          <cell r="A97" t="str">
            <v>TLCETHX15</v>
          </cell>
          <cell r="D97">
            <v>2015</v>
          </cell>
          <cell r="P97">
            <v>0</v>
          </cell>
          <cell r="Q97">
            <v>1692.682511212942</v>
          </cell>
          <cell r="R97">
            <v>1530.8510049586539</v>
          </cell>
          <cell r="S97">
            <v>1600.7385737508985</v>
          </cell>
          <cell r="T97">
            <v>1715.2710330198151</v>
          </cell>
          <cell r="U97">
            <v>1717.4588452079749</v>
          </cell>
          <cell r="V97">
            <v>1718.4494405538956</v>
          </cell>
          <cell r="W97">
            <v>1719.2993536846245</v>
          </cell>
          <cell r="X97">
            <v>1719.2993536846245</v>
          </cell>
          <cell r="Y97">
            <v>1719.2993536846245</v>
          </cell>
          <cell r="Z97">
            <v>1719.2993536846245</v>
          </cell>
          <cell r="AB97">
            <v>38.459799414932235</v>
          </cell>
          <cell r="AF97">
            <v>0.2296714740200895</v>
          </cell>
          <cell r="AG97">
            <v>0</v>
          </cell>
        </row>
        <row r="98">
          <cell r="A98" t="str">
            <v>TLCETHX20</v>
          </cell>
          <cell r="D98">
            <v>2020</v>
          </cell>
          <cell r="P98">
            <v>0</v>
          </cell>
          <cell r="Q98">
            <v>1692.682511212942</v>
          </cell>
          <cell r="R98">
            <v>1530.8510049586539</v>
          </cell>
          <cell r="S98">
            <v>1600.7385737508985</v>
          </cell>
          <cell r="T98">
            <v>1715.2710330198151</v>
          </cell>
          <cell r="U98">
            <v>1717.4588452079749</v>
          </cell>
          <cell r="V98">
            <v>1718.4494405538956</v>
          </cell>
          <cell r="W98">
            <v>1719.2993536846245</v>
          </cell>
          <cell r="X98">
            <v>1719.2993536846245</v>
          </cell>
          <cell r="Y98">
            <v>1719.2993536846245</v>
          </cell>
          <cell r="Z98">
            <v>1719.2993536846245</v>
          </cell>
          <cell r="AB98">
            <v>38.459799414932235</v>
          </cell>
          <cell r="AF98">
            <v>0.27582879737848659</v>
          </cell>
          <cell r="AG98">
            <v>0</v>
          </cell>
        </row>
        <row r="99">
          <cell r="A99" t="str">
            <v>TLCETHX25</v>
          </cell>
          <cell r="D99">
            <v>2025</v>
          </cell>
          <cell r="P99">
            <v>0</v>
          </cell>
          <cell r="Q99">
            <v>1692.682511212942</v>
          </cell>
          <cell r="R99">
            <v>1530.8510049586539</v>
          </cell>
          <cell r="S99">
            <v>1600.7385737508985</v>
          </cell>
          <cell r="T99">
            <v>1715.2710330198151</v>
          </cell>
          <cell r="U99">
            <v>1717.4588452079749</v>
          </cell>
          <cell r="V99">
            <v>1718.4494405538956</v>
          </cell>
          <cell r="W99">
            <v>1719.2993536846245</v>
          </cell>
          <cell r="X99">
            <v>1719.2993536846245</v>
          </cell>
          <cell r="Y99">
            <v>1719.2993536846245</v>
          </cell>
          <cell r="Z99">
            <v>1719.2993536846245</v>
          </cell>
          <cell r="AB99">
            <v>38.459799414932235</v>
          </cell>
          <cell r="AF99">
            <v>0.34107793495862232</v>
          </cell>
          <cell r="AG99">
            <v>0</v>
          </cell>
        </row>
        <row r="100">
          <cell r="A100" t="str">
            <v>TLCETHX30</v>
          </cell>
          <cell r="D100">
            <v>2030</v>
          </cell>
          <cell r="P100">
            <v>0</v>
          </cell>
          <cell r="Q100">
            <v>1692.682511212942</v>
          </cell>
          <cell r="R100">
            <v>1530.8510049586539</v>
          </cell>
          <cell r="S100">
            <v>1600.7385737508985</v>
          </cell>
          <cell r="T100">
            <v>1715.2710330198151</v>
          </cell>
          <cell r="U100">
            <v>1717.4588452079749</v>
          </cell>
          <cell r="V100">
            <v>1718.4494405538956</v>
          </cell>
          <cell r="W100">
            <v>1719.2993536846245</v>
          </cell>
          <cell r="X100">
            <v>1719.2993536846245</v>
          </cell>
          <cell r="Y100">
            <v>1719.2993536846245</v>
          </cell>
          <cell r="Z100">
            <v>1719.2993536846245</v>
          </cell>
          <cell r="AB100">
            <v>38.459799414932235</v>
          </cell>
          <cell r="AF100">
            <v>0.34331260327801921</v>
          </cell>
          <cell r="AG100">
            <v>0</v>
          </cell>
        </row>
        <row r="101">
          <cell r="A101" t="str">
            <v>TLCETHX35</v>
          </cell>
          <cell r="D101">
            <v>2035</v>
          </cell>
          <cell r="P101">
            <v>0</v>
          </cell>
          <cell r="Q101">
            <v>1692.682511212942</v>
          </cell>
          <cell r="R101">
            <v>1530.8510049586539</v>
          </cell>
          <cell r="S101">
            <v>1600.7385737508985</v>
          </cell>
          <cell r="T101">
            <v>1715.2710330198151</v>
          </cell>
          <cell r="U101">
            <v>1717.4588452079749</v>
          </cell>
          <cell r="V101">
            <v>1718.4494405538956</v>
          </cell>
          <cell r="W101">
            <v>1719.2993536846245</v>
          </cell>
          <cell r="X101">
            <v>1719.2993536846245</v>
          </cell>
          <cell r="Y101">
            <v>1719.2993536846245</v>
          </cell>
          <cell r="Z101">
            <v>1719.2993536846245</v>
          </cell>
          <cell r="AB101">
            <v>38.459799414932235</v>
          </cell>
          <cell r="AF101">
            <v>0.34275300349117693</v>
          </cell>
          <cell r="AG101">
            <v>0</v>
          </cell>
        </row>
        <row r="102">
          <cell r="A102" t="str">
            <v>TLCETHX40</v>
          </cell>
          <cell r="D102">
            <v>2040</v>
          </cell>
          <cell r="P102">
            <v>0</v>
          </cell>
          <cell r="Q102">
            <v>1692.682511212942</v>
          </cell>
          <cell r="R102">
            <v>1530.8510049586539</v>
          </cell>
          <cell r="S102">
            <v>1600.7385737508985</v>
          </cell>
          <cell r="T102">
            <v>1715.2710330198151</v>
          </cell>
          <cell r="U102">
            <v>1717.4588452079749</v>
          </cell>
          <cell r="V102">
            <v>1718.4494405538956</v>
          </cell>
          <cell r="W102">
            <v>1719.2993536846245</v>
          </cell>
          <cell r="X102">
            <v>1719.2993536846245</v>
          </cell>
          <cell r="Y102">
            <v>1719.2993536846245</v>
          </cell>
          <cell r="Z102">
            <v>1719.2993536846245</v>
          </cell>
          <cell r="AB102">
            <v>38.459799414932235</v>
          </cell>
          <cell r="AF102">
            <v>0.34218900837264249</v>
          </cell>
          <cell r="AG102">
            <v>0</v>
          </cell>
        </row>
        <row r="103">
          <cell r="A103" t="str">
            <v>TLCETHX45</v>
          </cell>
          <cell r="D103">
            <v>2045</v>
          </cell>
          <cell r="P103">
            <v>0</v>
          </cell>
          <cell r="Q103">
            <v>1692.682511212942</v>
          </cell>
          <cell r="R103">
            <v>1530.8510049586539</v>
          </cell>
          <cell r="S103">
            <v>1600.7385737508985</v>
          </cell>
          <cell r="T103">
            <v>1715.2710330198151</v>
          </cell>
          <cell r="U103">
            <v>1717.4588452079749</v>
          </cell>
          <cell r="V103">
            <v>1718.4494405538956</v>
          </cell>
          <cell r="W103">
            <v>1719.2993536846245</v>
          </cell>
          <cell r="X103">
            <v>1719.2993536846245</v>
          </cell>
          <cell r="Y103">
            <v>1719.2993536846245</v>
          </cell>
          <cell r="Z103">
            <v>1719.2993536846245</v>
          </cell>
          <cell r="AB103">
            <v>38.459799414932235</v>
          </cell>
          <cell r="AF103">
            <v>0.34218900837264249</v>
          </cell>
          <cell r="AG103">
            <v>0</v>
          </cell>
        </row>
        <row r="104">
          <cell r="A104" t="str">
            <v>TLCETHX50</v>
          </cell>
          <cell r="D104">
            <v>2050</v>
          </cell>
          <cell r="P104">
            <v>0</v>
          </cell>
          <cell r="Q104">
            <v>1692.682511212942</v>
          </cell>
          <cell r="R104">
            <v>1530.8510049586539</v>
          </cell>
          <cell r="S104">
            <v>1600.7385737508985</v>
          </cell>
          <cell r="T104">
            <v>1715.2710330198151</v>
          </cell>
          <cell r="U104">
            <v>1717.4588452079749</v>
          </cell>
          <cell r="V104">
            <v>1718.4494405538956</v>
          </cell>
          <cell r="W104">
            <v>1719.2993536846245</v>
          </cell>
          <cell r="X104">
            <v>1719.2993536846245</v>
          </cell>
          <cell r="Y104">
            <v>1719.2993536846245</v>
          </cell>
          <cell r="Z104">
            <v>1719.2993536846245</v>
          </cell>
          <cell r="AB104">
            <v>38.459799414932235</v>
          </cell>
          <cell r="AF104">
            <v>0.34218900837264249</v>
          </cell>
          <cell r="AG104">
            <v>0</v>
          </cell>
        </row>
        <row r="105">
          <cell r="A105" t="str">
            <v>TLCFCH05</v>
          </cell>
          <cell r="D105">
            <v>2005</v>
          </cell>
          <cell r="P105">
            <v>6563.7509748940229</v>
          </cell>
          <cell r="Q105">
            <v>5612.1829038437982</v>
          </cell>
          <cell r="R105">
            <v>4961.3574352162559</v>
          </cell>
          <cell r="S105">
            <v>4300.7450990232164</v>
          </cell>
          <cell r="T105">
            <v>3802.1475719471509</v>
          </cell>
          <cell r="U105">
            <v>3456.1983578165286</v>
          </cell>
          <cell r="V105">
            <v>3185.2429256292321</v>
          </cell>
          <cell r="W105">
            <v>2971.1164493240376</v>
          </cell>
          <cell r="X105">
            <v>2971.1164493240376</v>
          </cell>
          <cell r="Y105">
            <v>2971.1164493240376</v>
          </cell>
          <cell r="Z105">
            <v>2971.1164493240376</v>
          </cell>
          <cell r="AB105">
            <v>40.382789385678855</v>
          </cell>
          <cell r="AF105">
            <v>0.37735224954753682</v>
          </cell>
          <cell r="AG105">
            <v>0</v>
          </cell>
        </row>
        <row r="106">
          <cell r="A106" t="str">
            <v>TLCFCH10</v>
          </cell>
          <cell r="D106">
            <v>2010</v>
          </cell>
          <cell r="P106">
            <v>6563.7509748940229</v>
          </cell>
          <cell r="Q106">
            <v>5612.1829038437982</v>
          </cell>
          <cell r="R106">
            <v>4961.3574352162559</v>
          </cell>
          <cell r="S106">
            <v>4300.7450990232164</v>
          </cell>
          <cell r="T106">
            <v>3802.1475719471509</v>
          </cell>
          <cell r="U106">
            <v>3456.1983578165286</v>
          </cell>
          <cell r="V106">
            <v>3185.2429256292321</v>
          </cell>
          <cell r="W106">
            <v>2971.1164493240376</v>
          </cell>
          <cell r="X106">
            <v>2971.1164493240376</v>
          </cell>
          <cell r="Y106">
            <v>2971.1164493240376</v>
          </cell>
          <cell r="Z106">
            <v>2971.1164493240376</v>
          </cell>
          <cell r="AB106">
            <v>40.382789385678855</v>
          </cell>
          <cell r="AF106">
            <v>0.36752768747820025</v>
          </cell>
          <cell r="AG106">
            <v>0</v>
          </cell>
        </row>
        <row r="107">
          <cell r="A107" t="str">
            <v>TLCFCH15</v>
          </cell>
          <cell r="D107">
            <v>2015</v>
          </cell>
          <cell r="P107">
            <v>6563.7509748940229</v>
          </cell>
          <cell r="Q107">
            <v>5612.1829038437982</v>
          </cell>
          <cell r="R107">
            <v>4961.3574352162559</v>
          </cell>
          <cell r="S107">
            <v>4300.7450990232164</v>
          </cell>
          <cell r="T107">
            <v>3802.1475719471509</v>
          </cell>
          <cell r="U107">
            <v>3456.1983578165286</v>
          </cell>
          <cell r="V107">
            <v>3185.2429256292321</v>
          </cell>
          <cell r="W107">
            <v>2971.1164493240376</v>
          </cell>
          <cell r="X107">
            <v>2971.1164493240376</v>
          </cell>
          <cell r="Y107">
            <v>2971.1164493240376</v>
          </cell>
          <cell r="Z107">
            <v>2971.1164493240376</v>
          </cell>
          <cell r="AB107">
            <v>40.382789385678855</v>
          </cell>
          <cell r="AF107">
            <v>0.37192871027057528</v>
          </cell>
          <cell r="AG107">
            <v>0</v>
          </cell>
        </row>
        <row r="108">
          <cell r="A108" t="str">
            <v>TLCFCH20</v>
          </cell>
          <cell r="D108">
            <v>2020</v>
          </cell>
          <cell r="P108">
            <v>6563.7509748940229</v>
          </cell>
          <cell r="Q108">
            <v>5612.1829038437982</v>
          </cell>
          <cell r="R108">
            <v>4961.3574352162559</v>
          </cell>
          <cell r="S108">
            <v>4300.7450990232164</v>
          </cell>
          <cell r="T108">
            <v>3802.1475719471509</v>
          </cell>
          <cell r="U108">
            <v>3456.1983578165286</v>
          </cell>
          <cell r="V108">
            <v>3185.2429256292321</v>
          </cell>
          <cell r="W108">
            <v>2971.1164493240376</v>
          </cell>
          <cell r="X108">
            <v>2971.1164493240376</v>
          </cell>
          <cell r="Y108">
            <v>2971.1164493240376</v>
          </cell>
          <cell r="Z108">
            <v>2971.1164493240376</v>
          </cell>
          <cell r="AB108">
            <v>40.382789385678855</v>
          </cell>
          <cell r="AF108">
            <v>0.37430405008802159</v>
          </cell>
          <cell r="AG108">
            <v>0</v>
          </cell>
        </row>
        <row r="109">
          <cell r="A109" t="str">
            <v>TLCFCH25</v>
          </cell>
          <cell r="D109">
            <v>2025</v>
          </cell>
          <cell r="P109">
            <v>6563.7509748940229</v>
          </cell>
          <cell r="Q109">
            <v>5612.1829038437982</v>
          </cell>
          <cell r="R109">
            <v>4961.3574352162559</v>
          </cell>
          <cell r="S109">
            <v>4300.7450990232164</v>
          </cell>
          <cell r="T109">
            <v>3802.1475719471509</v>
          </cell>
          <cell r="U109">
            <v>3456.1983578165286</v>
          </cell>
          <cell r="V109">
            <v>3185.2429256292321</v>
          </cell>
          <cell r="W109">
            <v>2971.1164493240376</v>
          </cell>
          <cell r="X109">
            <v>2971.1164493240376</v>
          </cell>
          <cell r="Y109">
            <v>2971.1164493240376</v>
          </cell>
          <cell r="Z109">
            <v>2971.1164493240376</v>
          </cell>
          <cell r="AB109">
            <v>40.382789385678855</v>
          </cell>
          <cell r="AF109">
            <v>0.38483140589122072</v>
          </cell>
          <cell r="AG109">
            <v>0</v>
          </cell>
        </row>
        <row r="110">
          <cell r="A110" t="str">
            <v>TLCFCH30</v>
          </cell>
          <cell r="D110">
            <v>2030</v>
          </cell>
          <cell r="P110">
            <v>6563.7509748940229</v>
          </cell>
          <cell r="Q110">
            <v>5612.1829038437982</v>
          </cell>
          <cell r="R110">
            <v>4961.3574352162559</v>
          </cell>
          <cell r="S110">
            <v>4300.7450990232164</v>
          </cell>
          <cell r="T110">
            <v>3802.1475719471509</v>
          </cell>
          <cell r="U110">
            <v>3456.1983578165286</v>
          </cell>
          <cell r="V110">
            <v>3185.2429256292321</v>
          </cell>
          <cell r="W110">
            <v>2971.1164493240376</v>
          </cell>
          <cell r="X110">
            <v>2971.1164493240376</v>
          </cell>
          <cell r="Y110">
            <v>2971.1164493240376</v>
          </cell>
          <cell r="Z110">
            <v>2971.1164493240376</v>
          </cell>
          <cell r="AB110">
            <v>40.382789385678855</v>
          </cell>
          <cell r="AF110">
            <v>0.38717013619446256</v>
          </cell>
          <cell r="AG110">
            <v>0</v>
          </cell>
        </row>
        <row r="111">
          <cell r="A111" t="str">
            <v>TLCFCH35</v>
          </cell>
          <cell r="D111">
            <v>2035</v>
          </cell>
          <cell r="P111">
            <v>6563.7509748940229</v>
          </cell>
          <cell r="Q111">
            <v>5612.1829038437982</v>
          </cell>
          <cell r="R111">
            <v>4961.3574352162559</v>
          </cell>
          <cell r="S111">
            <v>4300.7450990232164</v>
          </cell>
          <cell r="T111">
            <v>3802.1475719471509</v>
          </cell>
          <cell r="U111">
            <v>3456.1983578165286</v>
          </cell>
          <cell r="V111">
            <v>3185.2429256292321</v>
          </cell>
          <cell r="W111">
            <v>2971.1164493240376</v>
          </cell>
          <cell r="X111">
            <v>2971.1164493240376</v>
          </cell>
          <cell r="Y111">
            <v>2971.1164493240376</v>
          </cell>
          <cell r="Z111">
            <v>2971.1164493240376</v>
          </cell>
          <cell r="AB111">
            <v>40.382789385678855</v>
          </cell>
          <cell r="AF111">
            <v>0.38717428283345179</v>
          </cell>
          <cell r="AG111">
            <v>0</v>
          </cell>
        </row>
        <row r="112">
          <cell r="A112" t="str">
            <v>TLCFCH40</v>
          </cell>
          <cell r="D112">
            <v>2040</v>
          </cell>
          <cell r="P112">
            <v>6563.7509748940229</v>
          </cell>
          <cell r="Q112">
            <v>5612.1829038437982</v>
          </cell>
          <cell r="R112">
            <v>4961.3574352162559</v>
          </cell>
          <cell r="S112">
            <v>4300.7450990232164</v>
          </cell>
          <cell r="T112">
            <v>3802.1475719471509</v>
          </cell>
          <cell r="U112">
            <v>3456.1983578165286</v>
          </cell>
          <cell r="V112">
            <v>3185.2429256292321</v>
          </cell>
          <cell r="W112">
            <v>2971.1164493240376</v>
          </cell>
          <cell r="X112">
            <v>2971.1164493240376</v>
          </cell>
          <cell r="Y112">
            <v>2971.1164493240376</v>
          </cell>
          <cell r="Z112">
            <v>2971.1164493240376</v>
          </cell>
          <cell r="AB112">
            <v>40.382789385678855</v>
          </cell>
          <cell r="AF112">
            <v>0.38718109650334709</v>
          </cell>
          <cell r="AG112">
            <v>0</v>
          </cell>
        </row>
        <row r="113">
          <cell r="A113" t="str">
            <v>TLCFCH45</v>
          </cell>
          <cell r="D113">
            <v>2045</v>
          </cell>
          <cell r="P113">
            <v>6563.7509748940229</v>
          </cell>
          <cell r="Q113">
            <v>5612.1829038437982</v>
          </cell>
          <cell r="R113">
            <v>4961.3574352162559</v>
          </cell>
          <cell r="S113">
            <v>4300.7450990232164</v>
          </cell>
          <cell r="T113">
            <v>3802.1475719471509</v>
          </cell>
          <cell r="U113">
            <v>3456.1983578165286</v>
          </cell>
          <cell r="V113">
            <v>3185.2429256292321</v>
          </cell>
          <cell r="W113">
            <v>2971.1164493240376</v>
          </cell>
          <cell r="X113">
            <v>2971.1164493240376</v>
          </cell>
          <cell r="Y113">
            <v>2971.1164493240376</v>
          </cell>
          <cell r="Z113">
            <v>2971.1164493240376</v>
          </cell>
          <cell r="AB113">
            <v>40.382789385678855</v>
          </cell>
          <cell r="AF113">
            <v>0.38718109650334709</v>
          </cell>
          <cell r="AG113">
            <v>0</v>
          </cell>
        </row>
        <row r="114">
          <cell r="A114" t="str">
            <v>TLCFCH50</v>
          </cell>
          <cell r="D114">
            <v>2050</v>
          </cell>
          <cell r="P114">
            <v>6563.7509748940229</v>
          </cell>
          <cell r="Q114">
            <v>5612.1829038437982</v>
          </cell>
          <cell r="R114">
            <v>4961.3574352162559</v>
          </cell>
          <cell r="S114">
            <v>4300.7450990232164</v>
          </cell>
          <cell r="T114">
            <v>3802.1475719471509</v>
          </cell>
          <cell r="U114">
            <v>3456.1983578165286</v>
          </cell>
          <cell r="V114">
            <v>3185.2429256292321</v>
          </cell>
          <cell r="W114">
            <v>2971.1164493240376</v>
          </cell>
          <cell r="X114">
            <v>2971.1164493240376</v>
          </cell>
          <cell r="Y114">
            <v>2971.1164493240376</v>
          </cell>
          <cell r="Z114">
            <v>2971.1164493240376</v>
          </cell>
          <cell r="AB114">
            <v>40.382789385678855</v>
          </cell>
          <cell r="AF114">
            <v>0.38718109650334709</v>
          </cell>
          <cell r="AG114">
            <v>0</v>
          </cell>
        </row>
        <row r="115">
          <cell r="A115" t="str">
            <v>TLCHEV05</v>
          </cell>
          <cell r="D115">
            <v>2005</v>
          </cell>
          <cell r="P115">
            <v>1712.6569242081346</v>
          </cell>
          <cell r="Q115">
            <v>2211.7718146515776</v>
          </cell>
          <cell r="R115">
            <v>1866.8154348919384</v>
          </cell>
          <cell r="S115">
            <v>1907.4793082322331</v>
          </cell>
          <cell r="T115">
            <v>1942.4851741376738</v>
          </cell>
          <cell r="U115">
            <v>1906.9120441831139</v>
          </cell>
          <cell r="V115">
            <v>1897.3030032324291</v>
          </cell>
          <cell r="W115">
            <v>1895.0877096911609</v>
          </cell>
          <cell r="X115">
            <v>1895.0877096911609</v>
          </cell>
          <cell r="Y115">
            <v>1895.0877096911609</v>
          </cell>
          <cell r="Z115">
            <v>1895.0877096911609</v>
          </cell>
          <cell r="AB115">
            <v>40.382789385678855</v>
          </cell>
          <cell r="AF115">
            <v>0.29507420297904025</v>
          </cell>
          <cell r="AG115">
            <v>0</v>
          </cell>
        </row>
        <row r="116">
          <cell r="A116" t="str">
            <v>TLCHEV10</v>
          </cell>
          <cell r="D116">
            <v>2010</v>
          </cell>
          <cell r="P116">
            <v>1712.6569242081346</v>
          </cell>
          <cell r="Q116">
            <v>2211.7718146515776</v>
          </cell>
          <cell r="R116">
            <v>1866.8154348919384</v>
          </cell>
          <cell r="S116">
            <v>1907.4793082322331</v>
          </cell>
          <cell r="T116">
            <v>1942.4851741376738</v>
          </cell>
          <cell r="U116">
            <v>1906.9120441831139</v>
          </cell>
          <cell r="V116">
            <v>1897.3030032324291</v>
          </cell>
          <cell r="W116">
            <v>1895.0877096911609</v>
          </cell>
          <cell r="X116">
            <v>1895.0877096911609</v>
          </cell>
          <cell r="Y116">
            <v>1895.0877096911609</v>
          </cell>
          <cell r="Z116">
            <v>1895.0877096911609</v>
          </cell>
          <cell r="AB116">
            <v>40.382789385678855</v>
          </cell>
          <cell r="AF116">
            <v>0.34893124520404611</v>
          </cell>
          <cell r="AG116">
            <v>0</v>
          </cell>
        </row>
        <row r="117">
          <cell r="A117" t="str">
            <v>TLCHEV15</v>
          </cell>
          <cell r="D117">
            <v>2015</v>
          </cell>
          <cell r="P117">
            <v>1712.6569242081346</v>
          </cell>
          <cell r="Q117">
            <v>2211.7718146515776</v>
          </cell>
          <cell r="R117">
            <v>1866.8154348919384</v>
          </cell>
          <cell r="S117">
            <v>1907.4793082322331</v>
          </cell>
          <cell r="T117">
            <v>1942.4851741376738</v>
          </cell>
          <cell r="U117">
            <v>1906.9120441831139</v>
          </cell>
          <cell r="V117">
            <v>1897.3030032324291</v>
          </cell>
          <cell r="W117">
            <v>1895.0877096911609</v>
          </cell>
          <cell r="X117">
            <v>1895.0877096911609</v>
          </cell>
          <cell r="Y117">
            <v>1895.0877096911609</v>
          </cell>
          <cell r="Z117">
            <v>1895.0877096911609</v>
          </cell>
          <cell r="AB117">
            <v>40.382789385678855</v>
          </cell>
          <cell r="AF117">
            <v>0.32336281147843998</v>
          </cell>
          <cell r="AG117">
            <v>0</v>
          </cell>
        </row>
        <row r="118">
          <cell r="A118" t="str">
            <v>TLCHEV20</v>
          </cell>
          <cell r="D118">
            <v>2020</v>
          </cell>
          <cell r="P118">
            <v>1712.6569242081346</v>
          </cell>
          <cell r="Q118">
            <v>2211.7718146515776</v>
          </cell>
          <cell r="R118">
            <v>1866.8154348919384</v>
          </cell>
          <cell r="S118">
            <v>1907.4793082322331</v>
          </cell>
          <cell r="T118">
            <v>1942.4851741376738</v>
          </cell>
          <cell r="U118">
            <v>1906.9120441831139</v>
          </cell>
          <cell r="V118">
            <v>1897.3030032324291</v>
          </cell>
          <cell r="W118">
            <v>1895.0877096911609</v>
          </cell>
          <cell r="X118">
            <v>1895.0877096911609</v>
          </cell>
          <cell r="Y118">
            <v>1895.0877096911609</v>
          </cell>
          <cell r="Z118">
            <v>1895.0877096911609</v>
          </cell>
          <cell r="AB118">
            <v>40.382789385678855</v>
          </cell>
          <cell r="AF118">
            <v>0.3804673478777823</v>
          </cell>
          <cell r="AG118">
            <v>0</v>
          </cell>
        </row>
        <row r="119">
          <cell r="A119" t="str">
            <v>TLCHEV25</v>
          </cell>
          <cell r="D119">
            <v>2025</v>
          </cell>
          <cell r="P119">
            <v>1712.6569242081346</v>
          </cell>
          <cell r="Q119">
            <v>2211.7718146515776</v>
          </cell>
          <cell r="R119">
            <v>1866.8154348919384</v>
          </cell>
          <cell r="S119">
            <v>1907.4793082322331</v>
          </cell>
          <cell r="T119">
            <v>1942.4851741376738</v>
          </cell>
          <cell r="U119">
            <v>1906.9120441831139</v>
          </cell>
          <cell r="V119">
            <v>1897.3030032324291</v>
          </cell>
          <cell r="W119">
            <v>1895.0877096911609</v>
          </cell>
          <cell r="X119">
            <v>1895.0877096911609</v>
          </cell>
          <cell r="Y119">
            <v>1895.0877096911609</v>
          </cell>
          <cell r="Z119">
            <v>1895.0877096911609</v>
          </cell>
          <cell r="AB119">
            <v>40.382789385678855</v>
          </cell>
          <cell r="AF119">
            <v>0.45054669040069634</v>
          </cell>
          <cell r="AG119">
            <v>0</v>
          </cell>
        </row>
        <row r="120">
          <cell r="A120" t="str">
            <v>TLCHEV30</v>
          </cell>
          <cell r="D120">
            <v>2030</v>
          </cell>
          <cell r="P120">
            <v>1712.6569242081346</v>
          </cell>
          <cell r="Q120">
            <v>2211.7718146515776</v>
          </cell>
          <cell r="R120">
            <v>1866.8154348919384</v>
          </cell>
          <cell r="S120">
            <v>1907.4793082322331</v>
          </cell>
          <cell r="T120">
            <v>1942.4851741376738</v>
          </cell>
          <cell r="U120">
            <v>1906.9120441831139</v>
          </cell>
          <cell r="V120">
            <v>1897.3030032324291</v>
          </cell>
          <cell r="W120">
            <v>1895.0877096911609</v>
          </cell>
          <cell r="X120">
            <v>1895.0877096911609</v>
          </cell>
          <cell r="Y120">
            <v>1895.0877096911609</v>
          </cell>
          <cell r="Z120">
            <v>1895.0877096911609</v>
          </cell>
          <cell r="AB120">
            <v>40.382789385678855</v>
          </cell>
          <cell r="AF120">
            <v>0.45305658598133114</v>
          </cell>
          <cell r="AG120">
            <v>0</v>
          </cell>
        </row>
        <row r="121">
          <cell r="A121" t="str">
            <v>TLCHEV35</v>
          </cell>
          <cell r="D121">
            <v>2035</v>
          </cell>
          <cell r="P121">
            <v>1712.6569242081346</v>
          </cell>
          <cell r="Q121">
            <v>2211.7718146515776</v>
          </cell>
          <cell r="R121">
            <v>1866.8154348919384</v>
          </cell>
          <cell r="S121">
            <v>1907.4793082322331</v>
          </cell>
          <cell r="T121">
            <v>1942.4851741376738</v>
          </cell>
          <cell r="U121">
            <v>1906.9120441831139</v>
          </cell>
          <cell r="V121">
            <v>1897.3030032324291</v>
          </cell>
          <cell r="W121">
            <v>1895.0877096911609</v>
          </cell>
          <cell r="X121">
            <v>1895.0877096911609</v>
          </cell>
          <cell r="Y121">
            <v>1895.0877096911609</v>
          </cell>
          <cell r="Z121">
            <v>1895.0877096911609</v>
          </cell>
          <cell r="AB121">
            <v>40.382789385678855</v>
          </cell>
          <cell r="AF121">
            <v>0.4522770392471312</v>
          </cell>
          <cell r="AG121">
            <v>0</v>
          </cell>
        </row>
        <row r="122">
          <cell r="A122" t="str">
            <v>TLCHEV40</v>
          </cell>
          <cell r="D122">
            <v>2040</v>
          </cell>
          <cell r="P122">
            <v>1712.6569242081346</v>
          </cell>
          <cell r="Q122">
            <v>2211.7718146515776</v>
          </cell>
          <cell r="R122">
            <v>1866.8154348919384</v>
          </cell>
          <cell r="S122">
            <v>1907.4793082322331</v>
          </cell>
          <cell r="T122">
            <v>1942.4851741376738</v>
          </cell>
          <cell r="U122">
            <v>1906.9120441831139</v>
          </cell>
          <cell r="V122">
            <v>1897.3030032324291</v>
          </cell>
          <cell r="W122">
            <v>1895.0877096911609</v>
          </cell>
          <cell r="X122">
            <v>1895.0877096911609</v>
          </cell>
          <cell r="Y122">
            <v>1895.0877096911609</v>
          </cell>
          <cell r="Z122">
            <v>1895.0877096911609</v>
          </cell>
          <cell r="AB122">
            <v>40.382789385678855</v>
          </cell>
          <cell r="AF122">
            <v>0.45157398384922337</v>
          </cell>
          <cell r="AG122">
            <v>0</v>
          </cell>
        </row>
        <row r="123">
          <cell r="A123" t="str">
            <v>TLCHEV45</v>
          </cell>
          <cell r="D123">
            <v>2045</v>
          </cell>
          <cell r="P123">
            <v>1712.6569242081346</v>
          </cell>
          <cell r="Q123">
            <v>2211.7718146515776</v>
          </cell>
          <cell r="R123">
            <v>1866.8154348919384</v>
          </cell>
          <cell r="S123">
            <v>1907.4793082322331</v>
          </cell>
          <cell r="T123">
            <v>1942.4851741376738</v>
          </cell>
          <cell r="U123">
            <v>1906.9120441831139</v>
          </cell>
          <cell r="V123">
            <v>1897.3030032324291</v>
          </cell>
          <cell r="W123">
            <v>1895.0877096911609</v>
          </cell>
          <cell r="X123">
            <v>1895.0877096911609</v>
          </cell>
          <cell r="Y123">
            <v>1895.0877096911609</v>
          </cell>
          <cell r="Z123">
            <v>1895.0877096911609</v>
          </cell>
          <cell r="AB123">
            <v>40.382789385678855</v>
          </cell>
          <cell r="AF123">
            <v>0.45157398384922337</v>
          </cell>
          <cell r="AG123">
            <v>0</v>
          </cell>
        </row>
        <row r="124">
          <cell r="A124" t="str">
            <v>TLCHEV50</v>
          </cell>
          <cell r="D124">
            <v>2050</v>
          </cell>
          <cell r="P124">
            <v>1712.6569242081346</v>
          </cell>
          <cell r="Q124">
            <v>2211.7718146515776</v>
          </cell>
          <cell r="R124">
            <v>1866.8154348919384</v>
          </cell>
          <cell r="S124">
            <v>1907.4793082322331</v>
          </cell>
          <cell r="T124">
            <v>1942.4851741376738</v>
          </cell>
          <cell r="U124">
            <v>1906.9120441831139</v>
          </cell>
          <cell r="V124">
            <v>1897.3030032324291</v>
          </cell>
          <cell r="W124">
            <v>1895.0877096911609</v>
          </cell>
          <cell r="X124">
            <v>1895.0877096911609</v>
          </cell>
          <cell r="Y124">
            <v>1895.0877096911609</v>
          </cell>
          <cell r="Z124">
            <v>1895.0877096911609</v>
          </cell>
          <cell r="AB124">
            <v>40.382789385678855</v>
          </cell>
          <cell r="AF124">
            <v>0.45157398384922337</v>
          </cell>
          <cell r="AG124">
            <v>0</v>
          </cell>
        </row>
        <row r="125">
          <cell r="A125" t="str">
            <v>TLCLPGX00</v>
          </cell>
          <cell r="D125">
            <v>2060</v>
          </cell>
          <cell r="P125">
            <v>1820.1160531738476</v>
          </cell>
          <cell r="Q125">
            <v>2091.4032805208794</v>
          </cell>
          <cell r="R125">
            <v>1905.4913362170896</v>
          </cell>
          <cell r="S125">
            <v>1977.6379627152226</v>
          </cell>
          <cell r="T125">
            <v>2101.5194686755622</v>
          </cell>
          <cell r="U125">
            <v>2104.1121123358002</v>
          </cell>
          <cell r="V125">
            <v>2105.4856092424266</v>
          </cell>
          <cell r="W125">
            <v>2106.7087061895286</v>
          </cell>
          <cell r="X125">
            <v>2106.7087061895286</v>
          </cell>
          <cell r="Y125">
            <v>2106.7087061895286</v>
          </cell>
          <cell r="Z125">
            <v>2106.7087061895286</v>
          </cell>
          <cell r="AB125">
            <v>34.613819473439015</v>
          </cell>
          <cell r="AF125">
            <v>0.34590875764316598</v>
          </cell>
          <cell r="AG125">
            <v>0</v>
          </cell>
        </row>
        <row r="126">
          <cell r="A126" t="str">
            <v>TLCLPGX05</v>
          </cell>
          <cell r="D126">
            <v>2005</v>
          </cell>
          <cell r="P126">
            <v>1820.1160531738476</v>
          </cell>
          <cell r="Q126">
            <v>2091.4032805208794</v>
          </cell>
          <cell r="R126">
            <v>1905.4913362170896</v>
          </cell>
          <cell r="S126">
            <v>1977.6379627152226</v>
          </cell>
          <cell r="T126">
            <v>2101.5194686755622</v>
          </cell>
          <cell r="U126">
            <v>2104.1121123358002</v>
          </cell>
          <cell r="V126">
            <v>2105.4856092424266</v>
          </cell>
          <cell r="W126">
            <v>2106.7087061895286</v>
          </cell>
          <cell r="X126">
            <v>2106.7087061895286</v>
          </cell>
          <cell r="Y126">
            <v>2106.7087061895286</v>
          </cell>
          <cell r="Z126">
            <v>2106.7087061895286</v>
          </cell>
          <cell r="AB126">
            <v>34.613819473439015</v>
          </cell>
          <cell r="AF126">
            <v>0.2035375527074206</v>
          </cell>
          <cell r="AG126">
            <v>0</v>
          </cell>
        </row>
        <row r="127">
          <cell r="A127" t="str">
            <v>TLCLPGX10</v>
          </cell>
          <cell r="D127">
            <v>2010</v>
          </cell>
          <cell r="P127">
            <v>1820.1160531738476</v>
          </cell>
          <cell r="Q127">
            <v>2091.4032805208794</v>
          </cell>
          <cell r="R127">
            <v>1905.4913362170896</v>
          </cell>
          <cell r="S127">
            <v>1977.6379627152226</v>
          </cell>
          <cell r="T127">
            <v>2101.5194686755622</v>
          </cell>
          <cell r="U127">
            <v>2104.1121123358002</v>
          </cell>
          <cell r="V127">
            <v>2105.4856092424266</v>
          </cell>
          <cell r="W127">
            <v>2106.7087061895286</v>
          </cell>
          <cell r="X127">
            <v>2106.7087061895286</v>
          </cell>
          <cell r="Y127">
            <v>2106.7087061895286</v>
          </cell>
          <cell r="Z127">
            <v>2106.7087061895286</v>
          </cell>
          <cell r="AB127">
            <v>34.613819473439015</v>
          </cell>
          <cell r="AF127">
            <v>0.20121350540634814</v>
          </cell>
          <cell r="AG127">
            <v>0</v>
          </cell>
        </row>
        <row r="128">
          <cell r="A128" t="str">
            <v>TLCLPGX15</v>
          </cell>
          <cell r="D128">
            <v>2015</v>
          </cell>
          <cell r="P128">
            <v>1820.1160531738476</v>
          </cell>
          <cell r="Q128">
            <v>2091.4032805208794</v>
          </cell>
          <cell r="R128">
            <v>1905.4913362170896</v>
          </cell>
          <cell r="S128">
            <v>1977.6379627152226</v>
          </cell>
          <cell r="T128">
            <v>2101.5194686755622</v>
          </cell>
          <cell r="U128">
            <v>2104.1121123358002</v>
          </cell>
          <cell r="V128">
            <v>2105.4856092424266</v>
          </cell>
          <cell r="W128">
            <v>2106.7087061895286</v>
          </cell>
          <cell r="X128">
            <v>2106.7087061895286</v>
          </cell>
          <cell r="Y128">
            <v>2106.7087061895286</v>
          </cell>
          <cell r="Z128">
            <v>2106.7087061895286</v>
          </cell>
          <cell r="AB128">
            <v>34.613819473439015</v>
          </cell>
          <cell r="AF128">
            <v>0.22867549323534681</v>
          </cell>
          <cell r="AG128">
            <v>0</v>
          </cell>
        </row>
        <row r="129">
          <cell r="A129" t="str">
            <v>TLCLPGX20</v>
          </cell>
          <cell r="D129">
            <v>2020</v>
          </cell>
          <cell r="P129">
            <v>1820.1160531738476</v>
          </cell>
          <cell r="Q129">
            <v>2091.4032805208794</v>
          </cell>
          <cell r="R129">
            <v>1905.4913362170896</v>
          </cell>
          <cell r="S129">
            <v>1977.6379627152226</v>
          </cell>
          <cell r="T129">
            <v>2101.5194686755622</v>
          </cell>
          <cell r="U129">
            <v>2104.1121123358002</v>
          </cell>
          <cell r="V129">
            <v>2105.4856092424266</v>
          </cell>
          <cell r="W129">
            <v>2106.7087061895286</v>
          </cell>
          <cell r="X129">
            <v>2106.7087061895286</v>
          </cell>
          <cell r="Y129">
            <v>2106.7087061895286</v>
          </cell>
          <cell r="Z129">
            <v>2106.7087061895286</v>
          </cell>
          <cell r="AB129">
            <v>34.613819473439015</v>
          </cell>
          <cell r="AF129">
            <v>0.27518067558247528</v>
          </cell>
          <cell r="AG129">
            <v>0</v>
          </cell>
        </row>
        <row r="130">
          <cell r="A130" t="str">
            <v>TLCLPGX25</v>
          </cell>
          <cell r="D130">
            <v>2025</v>
          </cell>
          <cell r="P130">
            <v>1820.1160531738476</v>
          </cell>
          <cell r="Q130">
            <v>2091.4032805208794</v>
          </cell>
          <cell r="R130">
            <v>1905.4913362170896</v>
          </cell>
          <cell r="S130">
            <v>1977.6379627152226</v>
          </cell>
          <cell r="T130">
            <v>2101.5194686755622</v>
          </cell>
          <cell r="U130">
            <v>2104.1121123358002</v>
          </cell>
          <cell r="V130">
            <v>2105.4856092424266</v>
          </cell>
          <cell r="W130">
            <v>2106.7087061895286</v>
          </cell>
          <cell r="X130">
            <v>2106.7087061895286</v>
          </cell>
          <cell r="Y130">
            <v>2106.7087061895286</v>
          </cell>
          <cell r="Z130">
            <v>2106.7087061895286</v>
          </cell>
          <cell r="AB130">
            <v>34.613819473439015</v>
          </cell>
          <cell r="AF130">
            <v>0.34545317805043907</v>
          </cell>
          <cell r="AG130">
            <v>0</v>
          </cell>
        </row>
        <row r="131">
          <cell r="A131" t="str">
            <v>TLCLPGX30</v>
          </cell>
          <cell r="D131">
            <v>2030</v>
          </cell>
          <cell r="P131">
            <v>1820.1160531738476</v>
          </cell>
          <cell r="Q131">
            <v>2091.4032805208794</v>
          </cell>
          <cell r="R131">
            <v>1905.4913362170896</v>
          </cell>
          <cell r="S131">
            <v>1977.6379627152226</v>
          </cell>
          <cell r="T131">
            <v>2101.5194686755622</v>
          </cell>
          <cell r="U131">
            <v>2104.1121123358002</v>
          </cell>
          <cell r="V131">
            <v>2105.4856092424266</v>
          </cell>
          <cell r="W131">
            <v>2106.7087061895286</v>
          </cell>
          <cell r="X131">
            <v>2106.7087061895286</v>
          </cell>
          <cell r="Y131">
            <v>2106.7087061895286</v>
          </cell>
          <cell r="Z131">
            <v>2106.7087061895286</v>
          </cell>
          <cell r="AB131">
            <v>34.613819473439015</v>
          </cell>
          <cell r="AF131">
            <v>0.34740967729995004</v>
          </cell>
          <cell r="AG131">
            <v>0</v>
          </cell>
        </row>
        <row r="132">
          <cell r="A132" t="str">
            <v>TLCLPGX35</v>
          </cell>
          <cell r="D132">
            <v>2035</v>
          </cell>
          <cell r="P132">
            <v>1820.1160531738476</v>
          </cell>
          <cell r="Q132">
            <v>2091.4032805208794</v>
          </cell>
          <cell r="R132">
            <v>1905.4913362170896</v>
          </cell>
          <cell r="S132">
            <v>1977.6379627152226</v>
          </cell>
          <cell r="T132">
            <v>2101.5194686755622</v>
          </cell>
          <cell r="U132">
            <v>2104.1121123358002</v>
          </cell>
          <cell r="V132">
            <v>2105.4856092424266</v>
          </cell>
          <cell r="W132">
            <v>2106.7087061895286</v>
          </cell>
          <cell r="X132">
            <v>2106.7087061895286</v>
          </cell>
          <cell r="Y132">
            <v>2106.7087061895286</v>
          </cell>
          <cell r="Z132">
            <v>2106.7087061895286</v>
          </cell>
          <cell r="AB132">
            <v>34.613819473439015</v>
          </cell>
          <cell r="AF132">
            <v>0.34667754491299807</v>
          </cell>
          <cell r="AG132">
            <v>0</v>
          </cell>
        </row>
        <row r="133">
          <cell r="A133" t="str">
            <v>TLCLPGX40</v>
          </cell>
          <cell r="D133">
            <v>2040</v>
          </cell>
          <cell r="P133">
            <v>1820.1160531738476</v>
          </cell>
          <cell r="Q133">
            <v>2091.4032805208794</v>
          </cell>
          <cell r="R133">
            <v>1905.4913362170896</v>
          </cell>
          <cell r="S133">
            <v>1977.6379627152226</v>
          </cell>
          <cell r="T133">
            <v>2101.5194686755622</v>
          </cell>
          <cell r="U133">
            <v>2104.1121123358002</v>
          </cell>
          <cell r="V133">
            <v>2105.4856092424266</v>
          </cell>
          <cell r="W133">
            <v>2106.7087061895286</v>
          </cell>
          <cell r="X133">
            <v>2106.7087061895286</v>
          </cell>
          <cell r="Y133">
            <v>2106.7087061895286</v>
          </cell>
          <cell r="Z133">
            <v>2106.7087061895286</v>
          </cell>
          <cell r="AB133">
            <v>34.613819473439015</v>
          </cell>
          <cell r="AF133">
            <v>0.34590875764316598</v>
          </cell>
          <cell r="AG133">
            <v>0</v>
          </cell>
        </row>
        <row r="134">
          <cell r="A134" t="str">
            <v>TLCLPGX45</v>
          </cell>
          <cell r="D134">
            <v>2045</v>
          </cell>
          <cell r="P134">
            <v>1820.1160531738476</v>
          </cell>
          <cell r="Q134">
            <v>2091.4032805208794</v>
          </cell>
          <cell r="R134">
            <v>1905.4913362170896</v>
          </cell>
          <cell r="S134">
            <v>1977.6379627152226</v>
          </cell>
          <cell r="T134">
            <v>2101.5194686755622</v>
          </cell>
          <cell r="U134">
            <v>2104.1121123358002</v>
          </cell>
          <cell r="V134">
            <v>2105.4856092424266</v>
          </cell>
          <cell r="W134">
            <v>2106.7087061895286</v>
          </cell>
          <cell r="X134">
            <v>2106.7087061895286</v>
          </cell>
          <cell r="Y134">
            <v>2106.7087061895286</v>
          </cell>
          <cell r="Z134">
            <v>2106.7087061895286</v>
          </cell>
          <cell r="AB134">
            <v>34.613819473439015</v>
          </cell>
          <cell r="AF134">
            <v>0.34590875764316598</v>
          </cell>
          <cell r="AG134">
            <v>0</v>
          </cell>
        </row>
        <row r="135">
          <cell r="A135" t="str">
            <v>TLCLPGX50</v>
          </cell>
          <cell r="D135">
            <v>2050</v>
          </cell>
          <cell r="P135">
            <v>1820.1160531738476</v>
          </cell>
          <cell r="Q135">
            <v>2091.4032805208794</v>
          </cell>
          <cell r="R135">
            <v>1905.4913362170896</v>
          </cell>
          <cell r="S135">
            <v>1977.6379627152226</v>
          </cell>
          <cell r="T135">
            <v>2101.5194686755622</v>
          </cell>
          <cell r="U135">
            <v>2104.1121123358002</v>
          </cell>
          <cell r="V135">
            <v>2105.4856092424266</v>
          </cell>
          <cell r="W135">
            <v>2106.7087061895286</v>
          </cell>
          <cell r="X135">
            <v>2106.7087061895286</v>
          </cell>
          <cell r="Y135">
            <v>2106.7087061895286</v>
          </cell>
          <cell r="Z135">
            <v>2106.7087061895286</v>
          </cell>
          <cell r="AB135">
            <v>34.613819473439015</v>
          </cell>
          <cell r="AF135">
            <v>0.34590875764316598</v>
          </cell>
          <cell r="AG135">
            <v>0</v>
          </cell>
        </row>
        <row r="136">
          <cell r="A136" t="str">
            <v>TLCPHVG10</v>
          </cell>
          <cell r="D136">
            <v>2010</v>
          </cell>
          <cell r="P136">
            <v>0</v>
          </cell>
          <cell r="Q136">
            <v>2033.8670167601272</v>
          </cell>
          <cell r="R136">
            <v>1917.7062700167091</v>
          </cell>
          <cell r="S136">
            <v>1987.7740230680672</v>
          </cell>
          <cell r="T136">
            <v>2102.0765228845598</v>
          </cell>
          <cell r="U136">
            <v>2104.4866359065104</v>
          </cell>
          <cell r="V136">
            <v>2105.7052747662347</v>
          </cell>
          <cell r="W136">
            <v>2106.796368370407</v>
          </cell>
          <cell r="X136">
            <v>2106.796368370407</v>
          </cell>
          <cell r="Y136">
            <v>2106.796368370407</v>
          </cell>
          <cell r="Z136">
            <v>2106.796368370407</v>
          </cell>
          <cell r="AB136">
            <v>40.382789385678855</v>
          </cell>
          <cell r="AF136">
            <v>0.51277850864926389</v>
          </cell>
          <cell r="AG136">
            <v>0.26521554647620627</v>
          </cell>
        </row>
        <row r="137">
          <cell r="A137" t="str">
            <v>TLCPHVG15</v>
          </cell>
          <cell r="D137">
            <v>2015</v>
          </cell>
          <cell r="P137">
            <v>0</v>
          </cell>
          <cell r="Q137">
            <v>2033.8670167601272</v>
          </cell>
          <cell r="R137">
            <v>1917.7062700167091</v>
          </cell>
          <cell r="S137">
            <v>1987.7740230680672</v>
          </cell>
          <cell r="T137">
            <v>2102.0765228845598</v>
          </cell>
          <cell r="U137">
            <v>2104.4866359065104</v>
          </cell>
          <cell r="V137">
            <v>2105.7052747662347</v>
          </cell>
          <cell r="W137">
            <v>2106.796368370407</v>
          </cell>
          <cell r="X137">
            <v>2106.796368370407</v>
          </cell>
          <cell r="Y137">
            <v>2106.796368370407</v>
          </cell>
          <cell r="Z137">
            <v>2106.796368370407</v>
          </cell>
          <cell r="AB137">
            <v>40.382789385678855</v>
          </cell>
          <cell r="AF137">
            <v>0.47520393344420614</v>
          </cell>
          <cell r="AG137">
            <v>0.26521554647620627</v>
          </cell>
        </row>
        <row r="138">
          <cell r="A138" t="str">
            <v>TLCPHVG20</v>
          </cell>
          <cell r="D138">
            <v>2020</v>
          </cell>
          <cell r="P138">
            <v>0</v>
          </cell>
          <cell r="Q138">
            <v>2033.8670167601272</v>
          </cell>
          <cell r="R138">
            <v>1917.7062700167091</v>
          </cell>
          <cell r="S138">
            <v>1987.7740230680672</v>
          </cell>
          <cell r="T138">
            <v>2102.0765228845598</v>
          </cell>
          <cell r="U138">
            <v>2104.4866359065104</v>
          </cell>
          <cell r="V138">
            <v>2105.7052747662347</v>
          </cell>
          <cell r="W138">
            <v>2106.796368370407</v>
          </cell>
          <cell r="X138">
            <v>2106.796368370407</v>
          </cell>
          <cell r="Y138">
            <v>2106.796368370407</v>
          </cell>
          <cell r="Z138">
            <v>2106.796368370407</v>
          </cell>
          <cell r="AB138">
            <v>40.382789385678855</v>
          </cell>
          <cell r="AF138">
            <v>0.55912298458804688</v>
          </cell>
          <cell r="AG138">
            <v>0.26521554647620627</v>
          </cell>
        </row>
        <row r="139">
          <cell r="A139" t="str">
            <v>TLCPHVG25</v>
          </cell>
          <cell r="D139">
            <v>2025</v>
          </cell>
          <cell r="P139">
            <v>0</v>
          </cell>
          <cell r="Q139">
            <v>2033.8670167601272</v>
          </cell>
          <cell r="R139">
            <v>1917.7062700167091</v>
          </cell>
          <cell r="S139">
            <v>1987.7740230680672</v>
          </cell>
          <cell r="T139">
            <v>2102.0765228845598</v>
          </cell>
          <cell r="U139">
            <v>2104.4866359065104</v>
          </cell>
          <cell r="V139">
            <v>2105.7052747662347</v>
          </cell>
          <cell r="W139">
            <v>2106.796368370407</v>
          </cell>
          <cell r="X139">
            <v>2106.796368370407</v>
          </cell>
          <cell r="Y139">
            <v>2106.796368370407</v>
          </cell>
          <cell r="Z139">
            <v>2106.796368370407</v>
          </cell>
          <cell r="AB139">
            <v>40.382789385678855</v>
          </cell>
          <cell r="AF139">
            <v>0.66210940738605906</v>
          </cell>
          <cell r="AG139">
            <v>0.26521554647620627</v>
          </cell>
        </row>
        <row r="140">
          <cell r="A140" t="str">
            <v>TLCPHVG30</v>
          </cell>
          <cell r="D140">
            <v>2030</v>
          </cell>
          <cell r="P140">
            <v>0</v>
          </cell>
          <cell r="Q140">
            <v>2033.8670167601272</v>
          </cell>
          <cell r="R140">
            <v>1917.7062700167091</v>
          </cell>
          <cell r="S140">
            <v>1987.7740230680672</v>
          </cell>
          <cell r="T140">
            <v>2102.0765228845598</v>
          </cell>
          <cell r="U140">
            <v>2104.4866359065104</v>
          </cell>
          <cell r="V140">
            <v>2105.7052747662347</v>
          </cell>
          <cell r="W140">
            <v>2106.796368370407</v>
          </cell>
          <cell r="X140">
            <v>2106.796368370407</v>
          </cell>
          <cell r="Y140">
            <v>2106.796368370407</v>
          </cell>
          <cell r="Z140">
            <v>2106.796368370407</v>
          </cell>
          <cell r="AB140">
            <v>40.382789385678855</v>
          </cell>
          <cell r="AF140">
            <v>0.66579787189129613</v>
          </cell>
          <cell r="AG140">
            <v>0.26521554647620627</v>
          </cell>
        </row>
        <row r="141">
          <cell r="A141" t="str">
            <v>TLCPHVG35</v>
          </cell>
          <cell r="D141">
            <v>2035</v>
          </cell>
          <cell r="P141">
            <v>0</v>
          </cell>
          <cell r="Q141">
            <v>2033.8670167601272</v>
          </cell>
          <cell r="R141">
            <v>1917.7062700167091</v>
          </cell>
          <cell r="S141">
            <v>1987.7740230680672</v>
          </cell>
          <cell r="T141">
            <v>2102.0765228845598</v>
          </cell>
          <cell r="U141">
            <v>2104.4866359065104</v>
          </cell>
          <cell r="V141">
            <v>2105.7052747662347</v>
          </cell>
          <cell r="W141">
            <v>2106.796368370407</v>
          </cell>
          <cell r="X141">
            <v>2106.796368370407</v>
          </cell>
          <cell r="Y141">
            <v>2106.796368370407</v>
          </cell>
          <cell r="Z141">
            <v>2106.796368370407</v>
          </cell>
          <cell r="AB141">
            <v>40.382789385678855</v>
          </cell>
          <cell r="AF141">
            <v>0.66465227424912543</v>
          </cell>
          <cell r="AG141">
            <v>0.26521554647620627</v>
          </cell>
        </row>
        <row r="142">
          <cell r="A142" t="str">
            <v>TLCPHVG40</v>
          </cell>
          <cell r="D142">
            <v>2040</v>
          </cell>
          <cell r="P142">
            <v>0</v>
          </cell>
          <cell r="Q142">
            <v>2033.8670167601272</v>
          </cell>
          <cell r="R142">
            <v>1917.7062700167091</v>
          </cell>
          <cell r="S142">
            <v>1987.7740230680672</v>
          </cell>
          <cell r="T142">
            <v>2102.0765228845598</v>
          </cell>
          <cell r="U142">
            <v>2104.4866359065104</v>
          </cell>
          <cell r="V142">
            <v>2105.7052747662347</v>
          </cell>
          <cell r="W142">
            <v>2106.796368370407</v>
          </cell>
          <cell r="X142">
            <v>2106.796368370407</v>
          </cell>
          <cell r="Y142">
            <v>2106.796368370407</v>
          </cell>
          <cell r="Z142">
            <v>2106.796368370407</v>
          </cell>
          <cell r="AB142">
            <v>40.382789385678855</v>
          </cell>
          <cell r="AF142">
            <v>0.66361908589642815</v>
          </cell>
          <cell r="AG142">
            <v>0.26521554647620627</v>
          </cell>
        </row>
        <row r="143">
          <cell r="A143" t="str">
            <v>TLCPHVG45</v>
          </cell>
          <cell r="D143">
            <v>2045</v>
          </cell>
          <cell r="P143">
            <v>0</v>
          </cell>
          <cell r="Q143">
            <v>2033.8670167601272</v>
          </cell>
          <cell r="R143">
            <v>1917.7062700167091</v>
          </cell>
          <cell r="S143">
            <v>1987.7740230680672</v>
          </cell>
          <cell r="T143">
            <v>2102.0765228845598</v>
          </cell>
          <cell r="U143">
            <v>2104.4866359065104</v>
          </cell>
          <cell r="V143">
            <v>2105.7052747662347</v>
          </cell>
          <cell r="W143">
            <v>2106.796368370407</v>
          </cell>
          <cell r="X143">
            <v>2106.796368370407</v>
          </cell>
          <cell r="Y143">
            <v>2106.796368370407</v>
          </cell>
          <cell r="Z143">
            <v>2106.796368370407</v>
          </cell>
          <cell r="AB143">
            <v>40.382789385678855</v>
          </cell>
          <cell r="AF143">
            <v>0.66361908589642815</v>
          </cell>
          <cell r="AG143">
            <v>0.26521554647620627</v>
          </cell>
        </row>
        <row r="144">
          <cell r="A144" t="str">
            <v>TLCPHVG50</v>
          </cell>
          <cell r="D144">
            <v>2050</v>
          </cell>
          <cell r="P144">
            <v>0</v>
          </cell>
          <cell r="Q144">
            <v>2033.8670167601272</v>
          </cell>
          <cell r="R144">
            <v>1917.7062700167091</v>
          </cell>
          <cell r="S144">
            <v>1987.7740230680672</v>
          </cell>
          <cell r="T144">
            <v>2102.0765228845598</v>
          </cell>
          <cell r="U144">
            <v>2104.4866359065104</v>
          </cell>
          <cell r="V144">
            <v>2105.7052747662347</v>
          </cell>
          <cell r="W144">
            <v>2106.796368370407</v>
          </cell>
          <cell r="X144">
            <v>2106.796368370407</v>
          </cell>
          <cell r="Y144">
            <v>2106.796368370407</v>
          </cell>
          <cell r="Z144">
            <v>2106.796368370407</v>
          </cell>
          <cell r="AB144">
            <v>40.382789385678855</v>
          </cell>
          <cell r="AF144">
            <v>0.66361908589642815</v>
          </cell>
          <cell r="AG144">
            <v>0.26521554647620627</v>
          </cell>
        </row>
        <row r="145">
          <cell r="A145" t="str">
            <v>TLFCONV00</v>
          </cell>
          <cell r="D145">
            <v>2060</v>
          </cell>
          <cell r="P145">
            <v>2075.2220471169817</v>
          </cell>
          <cell r="Q145">
            <v>1979.9979692781128</v>
          </cell>
          <cell r="R145">
            <v>1906.6862822245548</v>
          </cell>
          <cell r="S145">
            <v>1969.5392571863722</v>
          </cell>
          <cell r="T145">
            <v>2081.6908811595667</v>
          </cell>
          <cell r="U145">
            <v>2085.0915774543032</v>
          </cell>
          <cell r="V145">
            <v>2086.3055597004022</v>
          </cell>
          <cell r="W145">
            <v>2087.1131980487125</v>
          </cell>
          <cell r="X145">
            <v>2087.1131980487125</v>
          </cell>
          <cell r="Y145">
            <v>2087.1131980487125</v>
          </cell>
          <cell r="Z145">
            <v>2087.1131980487125</v>
          </cell>
          <cell r="AB145">
            <v>43.267274341798768</v>
          </cell>
          <cell r="AF145">
            <v>0.33697292145409624</v>
          </cell>
          <cell r="AG145">
            <v>0</v>
          </cell>
        </row>
        <row r="146">
          <cell r="A146" t="str">
            <v>TLFCONV05</v>
          </cell>
          <cell r="D146">
            <v>2005</v>
          </cell>
          <cell r="P146">
            <v>2075.2220471169817</v>
          </cell>
          <cell r="Q146">
            <v>1979.9979692781128</v>
          </cell>
          <cell r="R146">
            <v>1906.6862822245548</v>
          </cell>
          <cell r="S146">
            <v>1969.5392571863722</v>
          </cell>
          <cell r="T146">
            <v>2081.6908811595667</v>
          </cell>
          <cell r="U146">
            <v>2085.0915774543032</v>
          </cell>
          <cell r="V146">
            <v>2086.3055597004022</v>
          </cell>
          <cell r="W146">
            <v>2087.1131980487125</v>
          </cell>
          <cell r="X146">
            <v>2087.1131980487125</v>
          </cell>
          <cell r="Y146">
            <v>2087.1131980487125</v>
          </cell>
          <cell r="Z146">
            <v>2087.1131980487125</v>
          </cell>
          <cell r="AB146">
            <v>43.267274341798768</v>
          </cell>
          <cell r="AF146">
            <v>0.17692318572361931</v>
          </cell>
          <cell r="AG146">
            <v>0</v>
          </cell>
        </row>
        <row r="147">
          <cell r="A147" t="str">
            <v>TLFCONV10</v>
          </cell>
          <cell r="D147">
            <v>2010</v>
          </cell>
          <cell r="P147">
            <v>2075.2220471169817</v>
          </cell>
          <cell r="Q147">
            <v>1979.9979692781128</v>
          </cell>
          <cell r="R147">
            <v>1906.6862822245548</v>
          </cell>
          <cell r="S147">
            <v>1969.5392571863722</v>
          </cell>
          <cell r="T147">
            <v>2081.6908811595667</v>
          </cell>
          <cell r="U147">
            <v>2085.0915774543032</v>
          </cell>
          <cell r="V147">
            <v>2086.3055597004022</v>
          </cell>
          <cell r="W147">
            <v>2087.1131980487125</v>
          </cell>
          <cell r="X147">
            <v>2087.1131980487125</v>
          </cell>
          <cell r="Y147">
            <v>2087.1131980487125</v>
          </cell>
          <cell r="Z147">
            <v>2087.1131980487125</v>
          </cell>
          <cell r="AB147">
            <v>43.267274341798768</v>
          </cell>
          <cell r="AF147">
            <v>0.19283856045812206</v>
          </cell>
          <cell r="AG147">
            <v>0</v>
          </cell>
        </row>
        <row r="148">
          <cell r="A148" t="str">
            <v>TLFCONV15</v>
          </cell>
          <cell r="D148">
            <v>2015</v>
          </cell>
          <cell r="P148">
            <v>2075.2220471169817</v>
          </cell>
          <cell r="Q148">
            <v>1979.9979692781128</v>
          </cell>
          <cell r="R148">
            <v>1906.6862822245548</v>
          </cell>
          <cell r="S148">
            <v>1969.5392571863722</v>
          </cell>
          <cell r="T148">
            <v>2081.6908811595667</v>
          </cell>
          <cell r="U148">
            <v>2085.0915774543032</v>
          </cell>
          <cell r="V148">
            <v>2086.3055597004022</v>
          </cell>
          <cell r="W148">
            <v>2087.1131980487125</v>
          </cell>
          <cell r="X148">
            <v>2087.1131980487125</v>
          </cell>
          <cell r="Y148">
            <v>2087.1131980487125</v>
          </cell>
          <cell r="Z148">
            <v>2087.1131980487125</v>
          </cell>
          <cell r="AB148">
            <v>43.267274341798768</v>
          </cell>
          <cell r="AF148">
            <v>0.22410264035463998</v>
          </cell>
          <cell r="AG148">
            <v>0</v>
          </cell>
        </row>
        <row r="149">
          <cell r="A149" t="str">
            <v>TLFCONV20</v>
          </cell>
          <cell r="D149">
            <v>2020</v>
          </cell>
          <cell r="P149">
            <v>2075.2220471169817</v>
          </cell>
          <cell r="Q149">
            <v>1979.9979692781128</v>
          </cell>
          <cell r="R149">
            <v>1906.6862822245548</v>
          </cell>
          <cell r="S149">
            <v>1969.5392571863722</v>
          </cell>
          <cell r="T149">
            <v>2081.6908811595667</v>
          </cell>
          <cell r="U149">
            <v>2085.0915774543032</v>
          </cell>
          <cell r="V149">
            <v>2086.3055597004022</v>
          </cell>
          <cell r="W149">
            <v>2087.1131980487125</v>
          </cell>
          <cell r="X149">
            <v>2087.1131980487125</v>
          </cell>
          <cell r="Y149">
            <v>2087.1131980487125</v>
          </cell>
          <cell r="Z149">
            <v>2087.1131980487125</v>
          </cell>
          <cell r="AB149">
            <v>43.267274341798768</v>
          </cell>
          <cell r="AF149">
            <v>0.267135662459834</v>
          </cell>
          <cell r="AG149">
            <v>0</v>
          </cell>
        </row>
        <row r="150">
          <cell r="A150" t="str">
            <v>TLFCONV25</v>
          </cell>
          <cell r="D150">
            <v>2025</v>
          </cell>
          <cell r="P150">
            <v>2075.2220471169817</v>
          </cell>
          <cell r="Q150">
            <v>1979.9979692781128</v>
          </cell>
          <cell r="R150">
            <v>1906.6862822245548</v>
          </cell>
          <cell r="S150">
            <v>1969.5392571863722</v>
          </cell>
          <cell r="T150">
            <v>2081.6908811595667</v>
          </cell>
          <cell r="U150">
            <v>2085.0915774543032</v>
          </cell>
          <cell r="V150">
            <v>2086.3055597004022</v>
          </cell>
          <cell r="W150">
            <v>2087.1131980487125</v>
          </cell>
          <cell r="X150">
            <v>2087.1131980487125</v>
          </cell>
          <cell r="Y150">
            <v>2087.1131980487125</v>
          </cell>
          <cell r="Z150">
            <v>2087.1131980487125</v>
          </cell>
          <cell r="AB150">
            <v>43.267274341798768</v>
          </cell>
          <cell r="AF150">
            <v>0.33534081271780142</v>
          </cell>
          <cell r="AG150">
            <v>0</v>
          </cell>
        </row>
        <row r="151">
          <cell r="A151" t="str">
            <v>TLFCONV30</v>
          </cell>
          <cell r="D151">
            <v>2030</v>
          </cell>
          <cell r="P151">
            <v>2075.2220471169817</v>
          </cell>
          <cell r="Q151">
            <v>1979.9979692781128</v>
          </cell>
          <cell r="R151">
            <v>1906.6862822245548</v>
          </cell>
          <cell r="S151">
            <v>1969.5392571863722</v>
          </cell>
          <cell r="T151">
            <v>2081.6908811595667</v>
          </cell>
          <cell r="U151">
            <v>2085.0915774543032</v>
          </cell>
          <cell r="V151">
            <v>2086.3055597004022</v>
          </cell>
          <cell r="W151">
            <v>2087.1131980487125</v>
          </cell>
          <cell r="X151">
            <v>2087.1131980487125</v>
          </cell>
          <cell r="Y151">
            <v>2087.1131980487125</v>
          </cell>
          <cell r="Z151">
            <v>2087.1131980487125</v>
          </cell>
          <cell r="AB151">
            <v>43.267274341798768</v>
          </cell>
          <cell r="AF151">
            <v>0.3376465764689453</v>
          </cell>
          <cell r="AG151">
            <v>0</v>
          </cell>
        </row>
        <row r="152">
          <cell r="A152" t="str">
            <v>TLFCONV35</v>
          </cell>
          <cell r="D152">
            <v>2035</v>
          </cell>
          <cell r="P152">
            <v>2075.2220471169817</v>
          </cell>
          <cell r="Q152">
            <v>1979.9979692781128</v>
          </cell>
          <cell r="R152">
            <v>1906.6862822245548</v>
          </cell>
          <cell r="S152">
            <v>1969.5392571863722</v>
          </cell>
          <cell r="T152">
            <v>2081.6908811595667</v>
          </cell>
          <cell r="U152">
            <v>2085.0915774543032</v>
          </cell>
          <cell r="V152">
            <v>2086.3055597004022</v>
          </cell>
          <cell r="W152">
            <v>2087.1131980487125</v>
          </cell>
          <cell r="X152">
            <v>2087.1131980487125</v>
          </cell>
          <cell r="Y152">
            <v>2087.1131980487125</v>
          </cell>
          <cell r="Z152">
            <v>2087.1131980487125</v>
          </cell>
          <cell r="AB152">
            <v>43.267274341798768</v>
          </cell>
          <cell r="AF152">
            <v>0.33731602952860407</v>
          </cell>
          <cell r="AG152">
            <v>0</v>
          </cell>
        </row>
        <row r="153">
          <cell r="A153" t="str">
            <v>TLFCONV40</v>
          </cell>
          <cell r="D153">
            <v>2040</v>
          </cell>
          <cell r="P153">
            <v>2075.2220471169817</v>
          </cell>
          <cell r="Q153">
            <v>1979.9979692781128</v>
          </cell>
          <cell r="R153">
            <v>1906.6862822245548</v>
          </cell>
          <cell r="S153">
            <v>1969.5392571863722</v>
          </cell>
          <cell r="T153">
            <v>2081.6908811595667</v>
          </cell>
          <cell r="U153">
            <v>2085.0915774543032</v>
          </cell>
          <cell r="V153">
            <v>2086.3055597004022</v>
          </cell>
          <cell r="W153">
            <v>2087.1131980487125</v>
          </cell>
          <cell r="X153">
            <v>2087.1131980487125</v>
          </cell>
          <cell r="Y153">
            <v>2087.1131980487125</v>
          </cell>
          <cell r="Z153">
            <v>2087.1131980487125</v>
          </cell>
          <cell r="AB153">
            <v>43.267274341798768</v>
          </cell>
          <cell r="AF153">
            <v>0.33697292145409624</v>
          </cell>
          <cell r="AG153">
            <v>0</v>
          </cell>
        </row>
        <row r="154">
          <cell r="A154" t="str">
            <v>TLFCONV45</v>
          </cell>
          <cell r="D154">
            <v>2045</v>
          </cell>
          <cell r="P154">
            <v>2075.2220471169817</v>
          </cell>
          <cell r="Q154">
            <v>1979.9979692781128</v>
          </cell>
          <cell r="R154">
            <v>1906.6862822245548</v>
          </cell>
          <cell r="S154">
            <v>1969.5392571863722</v>
          </cell>
          <cell r="T154">
            <v>2081.6908811595667</v>
          </cell>
          <cell r="U154">
            <v>2085.0915774543032</v>
          </cell>
          <cell r="V154">
            <v>2086.3055597004022</v>
          </cell>
          <cell r="W154">
            <v>2087.1131980487125</v>
          </cell>
          <cell r="X154">
            <v>2087.1131980487125</v>
          </cell>
          <cell r="Y154">
            <v>2087.1131980487125</v>
          </cell>
          <cell r="Z154">
            <v>2087.1131980487125</v>
          </cell>
          <cell r="AB154">
            <v>43.267274341798768</v>
          </cell>
          <cell r="AF154">
            <v>0.33697292145409624</v>
          </cell>
          <cell r="AG154">
            <v>0</v>
          </cell>
        </row>
        <row r="155">
          <cell r="A155" t="str">
            <v>TLFCONV50</v>
          </cell>
          <cell r="D155">
            <v>2050</v>
          </cell>
          <cell r="P155">
            <v>2075.2220471169817</v>
          </cell>
          <cell r="Q155">
            <v>1979.9979692781128</v>
          </cell>
          <cell r="R155">
            <v>1906.6862822245548</v>
          </cell>
          <cell r="S155">
            <v>1969.5392571863722</v>
          </cell>
          <cell r="T155">
            <v>2081.6908811595667</v>
          </cell>
          <cell r="U155">
            <v>2085.0915774543032</v>
          </cell>
          <cell r="V155">
            <v>2086.3055597004022</v>
          </cell>
          <cell r="W155">
            <v>2087.1131980487125</v>
          </cell>
          <cell r="X155">
            <v>2087.1131980487125</v>
          </cell>
          <cell r="Y155">
            <v>2087.1131980487125</v>
          </cell>
          <cell r="Z155">
            <v>2087.1131980487125</v>
          </cell>
          <cell r="AB155">
            <v>43.267274341798768</v>
          </cell>
          <cell r="AF155">
            <v>0.33697292145409624</v>
          </cell>
          <cell r="AG155">
            <v>0</v>
          </cell>
        </row>
        <row r="156">
          <cell r="A156" t="str">
            <v>TLFCNG00</v>
          </cell>
          <cell r="D156">
            <v>2060</v>
          </cell>
          <cell r="P156">
            <v>3004.0819741917626</v>
          </cell>
          <cell r="Q156">
            <v>2753.4302182397191</v>
          </cell>
          <cell r="R156">
            <v>2816.6965867113113</v>
          </cell>
          <cell r="S156">
            <v>2911.9522840330806</v>
          </cell>
          <cell r="T156">
            <v>3012.1391395608389</v>
          </cell>
          <cell r="U156">
            <v>3015.7425206922562</v>
          </cell>
          <cell r="V156">
            <v>3016.5788644360496</v>
          </cell>
          <cell r="W156">
            <v>3017.3986758885717</v>
          </cell>
          <cell r="X156">
            <v>3017.3986758885717</v>
          </cell>
          <cell r="Y156">
            <v>3017.3986758885717</v>
          </cell>
          <cell r="Z156">
            <v>3017.3986758885717</v>
          </cell>
          <cell r="AB156">
            <v>38.940546907618888</v>
          </cell>
          <cell r="AF156">
            <v>0.36176912606081202</v>
          </cell>
          <cell r="AG156">
            <v>0</v>
          </cell>
        </row>
        <row r="157">
          <cell r="A157" t="str">
            <v>TLFCNG05</v>
          </cell>
          <cell r="D157">
            <v>2005</v>
          </cell>
          <cell r="P157">
            <v>3004.0819741917626</v>
          </cell>
          <cell r="Q157">
            <v>2753.4302182397191</v>
          </cell>
          <cell r="R157">
            <v>2816.6965867113113</v>
          </cell>
          <cell r="S157">
            <v>2911.9522840330806</v>
          </cell>
          <cell r="T157">
            <v>3012.1391395608389</v>
          </cell>
          <cell r="U157">
            <v>3015.7425206922562</v>
          </cell>
          <cell r="V157">
            <v>3016.5788644360496</v>
          </cell>
          <cell r="W157">
            <v>3017.3986758885717</v>
          </cell>
          <cell r="X157">
            <v>3017.3986758885717</v>
          </cell>
          <cell r="Y157">
            <v>3017.3986758885717</v>
          </cell>
          <cell r="Z157">
            <v>3017.3986758885717</v>
          </cell>
          <cell r="AB157">
            <v>38.940546907618888</v>
          </cell>
          <cell r="AF157">
            <v>0.18007373151181014</v>
          </cell>
          <cell r="AG157">
            <v>0</v>
          </cell>
        </row>
        <row r="158">
          <cell r="A158" t="str">
            <v>TLFCNG10</v>
          </cell>
          <cell r="D158">
            <v>2010</v>
          </cell>
          <cell r="P158">
            <v>3004.0819741917626</v>
          </cell>
          <cell r="Q158">
            <v>2753.4302182397191</v>
          </cell>
          <cell r="R158">
            <v>2816.6965867113113</v>
          </cell>
          <cell r="S158">
            <v>2911.9522840330806</v>
          </cell>
          <cell r="T158">
            <v>3012.1391395608389</v>
          </cell>
          <cell r="U158">
            <v>3015.7425206922562</v>
          </cell>
          <cell r="V158">
            <v>3016.5788644360496</v>
          </cell>
          <cell r="W158">
            <v>3017.3986758885717</v>
          </cell>
          <cell r="X158">
            <v>3017.3986758885717</v>
          </cell>
          <cell r="Y158">
            <v>3017.3986758885717</v>
          </cell>
          <cell r="Z158">
            <v>3017.3986758885717</v>
          </cell>
          <cell r="AB158">
            <v>38.940546907618888</v>
          </cell>
          <cell r="AF158">
            <v>0.19984976630624351</v>
          </cell>
          <cell r="AG158">
            <v>0</v>
          </cell>
        </row>
        <row r="159">
          <cell r="A159" t="str">
            <v>TLFCNG15</v>
          </cell>
          <cell r="D159">
            <v>2015</v>
          </cell>
          <cell r="P159">
            <v>3004.0819741917626</v>
          </cell>
          <cell r="Q159">
            <v>2753.4302182397191</v>
          </cell>
          <cell r="R159">
            <v>2816.6965867113113</v>
          </cell>
          <cell r="S159">
            <v>2911.9522840330806</v>
          </cell>
          <cell r="T159">
            <v>3012.1391395608389</v>
          </cell>
          <cell r="U159">
            <v>3015.7425206922562</v>
          </cell>
          <cell r="V159">
            <v>3016.5788644360496</v>
          </cell>
          <cell r="W159">
            <v>3017.3986758885717</v>
          </cell>
          <cell r="X159">
            <v>3017.3986758885717</v>
          </cell>
          <cell r="Y159">
            <v>3017.3986758885717</v>
          </cell>
          <cell r="Z159">
            <v>3017.3986758885717</v>
          </cell>
          <cell r="AB159">
            <v>38.940546907618888</v>
          </cell>
          <cell r="AF159">
            <v>0.21615189017357944</v>
          </cell>
          <cell r="AG159">
            <v>0</v>
          </cell>
        </row>
        <row r="160">
          <cell r="A160" t="str">
            <v>TLFCNG20</v>
          </cell>
          <cell r="D160">
            <v>2020</v>
          </cell>
          <cell r="P160">
            <v>3004.0819741917626</v>
          </cell>
          <cell r="Q160">
            <v>2753.4302182397191</v>
          </cell>
          <cell r="R160">
            <v>2816.6965867113113</v>
          </cell>
          <cell r="S160">
            <v>2911.9522840330806</v>
          </cell>
          <cell r="T160">
            <v>3012.1391395608389</v>
          </cell>
          <cell r="U160">
            <v>3015.7425206922562</v>
          </cell>
          <cell r="V160">
            <v>3016.5788644360496</v>
          </cell>
          <cell r="W160">
            <v>3017.3986758885717</v>
          </cell>
          <cell r="X160">
            <v>3017.3986758885717</v>
          </cell>
          <cell r="Y160">
            <v>3017.3986758885717</v>
          </cell>
          <cell r="Z160">
            <v>3017.3986758885717</v>
          </cell>
          <cell r="AB160">
            <v>38.940546907618888</v>
          </cell>
          <cell r="AF160">
            <v>0.27726065581389431</v>
          </cell>
          <cell r="AG160">
            <v>0</v>
          </cell>
        </row>
        <row r="161">
          <cell r="A161" t="str">
            <v>TLFCNG25</v>
          </cell>
          <cell r="D161">
            <v>2025</v>
          </cell>
          <cell r="P161">
            <v>3004.0819741917626</v>
          </cell>
          <cell r="Q161">
            <v>2753.4302182397191</v>
          </cell>
          <cell r="R161">
            <v>2816.6965867113113</v>
          </cell>
          <cell r="S161">
            <v>2911.9522840330806</v>
          </cell>
          <cell r="T161">
            <v>3012.1391395608389</v>
          </cell>
          <cell r="U161">
            <v>3015.7425206922562</v>
          </cell>
          <cell r="V161">
            <v>3016.5788644360496</v>
          </cell>
          <cell r="W161">
            <v>3017.3986758885717</v>
          </cell>
          <cell r="X161">
            <v>3017.3986758885717</v>
          </cell>
          <cell r="Y161">
            <v>3017.3986758885717</v>
          </cell>
          <cell r="Z161">
            <v>3017.3986758885717</v>
          </cell>
          <cell r="AB161">
            <v>38.940546907618888</v>
          </cell>
          <cell r="AF161">
            <v>0.35589625397831404</v>
          </cell>
          <cell r="AG161">
            <v>0</v>
          </cell>
        </row>
        <row r="162">
          <cell r="A162" t="str">
            <v>TLFCNG30</v>
          </cell>
          <cell r="D162">
            <v>2030</v>
          </cell>
          <cell r="P162">
            <v>3004.0819741917626</v>
          </cell>
          <cell r="Q162">
            <v>2753.4302182397191</v>
          </cell>
          <cell r="R162">
            <v>2816.6965867113113</v>
          </cell>
          <cell r="S162">
            <v>2911.9522840330806</v>
          </cell>
          <cell r="T162">
            <v>3012.1391395608389</v>
          </cell>
          <cell r="U162">
            <v>3015.7425206922562</v>
          </cell>
          <cell r="V162">
            <v>3016.5788644360496</v>
          </cell>
          <cell r="W162">
            <v>3017.3986758885717</v>
          </cell>
          <cell r="X162">
            <v>3017.3986758885717</v>
          </cell>
          <cell r="Y162">
            <v>3017.3986758885717</v>
          </cell>
          <cell r="Z162">
            <v>3017.3986758885717</v>
          </cell>
          <cell r="AB162">
            <v>38.940546907618888</v>
          </cell>
          <cell r="AF162">
            <v>0.36114019507747841</v>
          </cell>
          <cell r="AG162">
            <v>0</v>
          </cell>
        </row>
        <row r="163">
          <cell r="A163" t="str">
            <v>TLFCNG35</v>
          </cell>
          <cell r="D163">
            <v>2035</v>
          </cell>
          <cell r="P163">
            <v>3004.0819741917626</v>
          </cell>
          <cell r="Q163">
            <v>2753.4302182397191</v>
          </cell>
          <cell r="R163">
            <v>2816.6965867113113</v>
          </cell>
          <cell r="S163">
            <v>2911.9522840330806</v>
          </cell>
          <cell r="T163">
            <v>3012.1391395608389</v>
          </cell>
          <cell r="U163">
            <v>3015.7425206922562</v>
          </cell>
          <cell r="V163">
            <v>3016.5788644360496</v>
          </cell>
          <cell r="W163">
            <v>3017.3986758885717</v>
          </cell>
          <cell r="X163">
            <v>3017.3986758885717</v>
          </cell>
          <cell r="Y163">
            <v>3017.3986758885717</v>
          </cell>
          <cell r="Z163">
            <v>3017.3986758885717</v>
          </cell>
          <cell r="AB163">
            <v>38.940546907618888</v>
          </cell>
          <cell r="AF163">
            <v>0.3613474170946756</v>
          </cell>
          <cell r="AG163">
            <v>0</v>
          </cell>
        </row>
        <row r="164">
          <cell r="A164" t="str">
            <v>TLFCNG40</v>
          </cell>
          <cell r="D164">
            <v>2040</v>
          </cell>
          <cell r="P164">
            <v>3004.0819741917626</v>
          </cell>
          <cell r="Q164">
            <v>2753.4302182397191</v>
          </cell>
          <cell r="R164">
            <v>2816.6965867113113</v>
          </cell>
          <cell r="S164">
            <v>2911.9522840330806</v>
          </cell>
          <cell r="T164">
            <v>3012.1391395608389</v>
          </cell>
          <cell r="U164">
            <v>3015.7425206922562</v>
          </cell>
          <cell r="V164">
            <v>3016.5788644360496</v>
          </cell>
          <cell r="W164">
            <v>3017.3986758885717</v>
          </cell>
          <cell r="X164">
            <v>3017.3986758885717</v>
          </cell>
          <cell r="Y164">
            <v>3017.3986758885717</v>
          </cell>
          <cell r="Z164">
            <v>3017.3986758885717</v>
          </cell>
          <cell r="AB164">
            <v>38.940546907618888</v>
          </cell>
          <cell r="AF164">
            <v>0.36176912606081202</v>
          </cell>
          <cell r="AG164">
            <v>0</v>
          </cell>
        </row>
        <row r="165">
          <cell r="A165" t="str">
            <v>TLFCNG45</v>
          </cell>
          <cell r="D165">
            <v>2045</v>
          </cell>
          <cell r="P165">
            <v>3004.0819741917626</v>
          </cell>
          <cell r="Q165">
            <v>2753.4302182397191</v>
          </cell>
          <cell r="R165">
            <v>2816.6965867113113</v>
          </cell>
          <cell r="S165">
            <v>2911.9522840330806</v>
          </cell>
          <cell r="T165">
            <v>3012.1391395608389</v>
          </cell>
          <cell r="U165">
            <v>3015.7425206922562</v>
          </cell>
          <cell r="V165">
            <v>3016.5788644360496</v>
          </cell>
          <cell r="W165">
            <v>3017.3986758885717</v>
          </cell>
          <cell r="X165">
            <v>3017.3986758885717</v>
          </cell>
          <cell r="Y165">
            <v>3017.3986758885717</v>
          </cell>
          <cell r="Z165">
            <v>3017.3986758885717</v>
          </cell>
          <cell r="AB165">
            <v>38.940546907618888</v>
          </cell>
          <cell r="AF165">
            <v>0.36176912606081202</v>
          </cell>
          <cell r="AG165">
            <v>0</v>
          </cell>
        </row>
        <row r="166">
          <cell r="A166" t="str">
            <v>TLFCNG50</v>
          </cell>
          <cell r="D166">
            <v>2050</v>
          </cell>
          <cell r="P166">
            <v>3004.0819741917626</v>
          </cell>
          <cell r="Q166">
            <v>2753.4302182397191</v>
          </cell>
          <cell r="R166">
            <v>2816.6965867113113</v>
          </cell>
          <cell r="S166">
            <v>2911.9522840330806</v>
          </cell>
          <cell r="T166">
            <v>3012.1391395608389</v>
          </cell>
          <cell r="U166">
            <v>3015.7425206922562</v>
          </cell>
          <cell r="V166">
            <v>3016.5788644360496</v>
          </cell>
          <cell r="W166">
            <v>3017.3986758885717</v>
          </cell>
          <cell r="X166">
            <v>3017.3986758885717</v>
          </cell>
          <cell r="Y166">
            <v>3017.3986758885717</v>
          </cell>
          <cell r="Z166">
            <v>3017.3986758885717</v>
          </cell>
          <cell r="AB166">
            <v>38.940546907618888</v>
          </cell>
          <cell r="AF166">
            <v>0.36176912606081202</v>
          </cell>
          <cell r="AG166">
            <v>0</v>
          </cell>
        </row>
        <row r="167">
          <cell r="A167" t="str">
            <v>TLFCNGX00</v>
          </cell>
          <cell r="D167">
            <v>2060</v>
          </cell>
          <cell r="P167">
            <v>2917.9966800211459</v>
          </cell>
          <cell r="Q167">
            <v>2655.6307842585261</v>
          </cell>
          <cell r="R167">
            <v>2714.3780897338788</v>
          </cell>
          <cell r="S167">
            <v>2810.3794226526456</v>
          </cell>
          <cell r="T167">
            <v>2910.2026409241821</v>
          </cell>
          <cell r="U167">
            <v>2913.8599348815569</v>
          </cell>
          <cell r="V167">
            <v>2914.6635798014645</v>
          </cell>
          <cell r="W167">
            <v>2915.4532527406973</v>
          </cell>
          <cell r="X167">
            <v>2915.4532527406973</v>
          </cell>
          <cell r="Y167">
            <v>2915.4532527406973</v>
          </cell>
          <cell r="Z167">
            <v>2915.4532527406973</v>
          </cell>
          <cell r="AB167">
            <v>38.940546907618888</v>
          </cell>
          <cell r="AF167">
            <v>0.33669893254861172</v>
          </cell>
          <cell r="AG167">
            <v>0</v>
          </cell>
        </row>
        <row r="168">
          <cell r="A168" t="str">
            <v>TLFCNGX05</v>
          </cell>
          <cell r="D168">
            <v>2005</v>
          </cell>
          <cell r="P168">
            <v>2917.9966800211459</v>
          </cell>
          <cell r="Q168">
            <v>2655.6307842585261</v>
          </cell>
          <cell r="R168">
            <v>2714.3780897338788</v>
          </cell>
          <cell r="S168">
            <v>2810.3794226526456</v>
          </cell>
          <cell r="T168">
            <v>2910.2026409241821</v>
          </cell>
          <cell r="U168">
            <v>2913.8599348815569</v>
          </cell>
          <cell r="V168">
            <v>2914.6635798014645</v>
          </cell>
          <cell r="W168">
            <v>2915.4532527406973</v>
          </cell>
          <cell r="X168">
            <v>2915.4532527406973</v>
          </cell>
          <cell r="Y168">
            <v>2915.4532527406973</v>
          </cell>
          <cell r="Z168">
            <v>2915.4532527406973</v>
          </cell>
          <cell r="AB168">
            <v>38.940546907618888</v>
          </cell>
          <cell r="AF168">
            <v>0.16674106015559309</v>
          </cell>
          <cell r="AG168">
            <v>0</v>
          </cell>
        </row>
        <row r="169">
          <cell r="A169" t="str">
            <v>TLFCNGX10</v>
          </cell>
          <cell r="D169">
            <v>2010</v>
          </cell>
          <cell r="P169">
            <v>2917.9966800211459</v>
          </cell>
          <cell r="Q169">
            <v>2655.6307842585261</v>
          </cell>
          <cell r="R169">
            <v>2714.3780897338788</v>
          </cell>
          <cell r="S169">
            <v>2810.3794226526456</v>
          </cell>
          <cell r="T169">
            <v>2910.2026409241821</v>
          </cell>
          <cell r="U169">
            <v>2913.8599348815569</v>
          </cell>
          <cell r="V169">
            <v>2914.6635798014645</v>
          </cell>
          <cell r="W169">
            <v>2915.4532527406973</v>
          </cell>
          <cell r="X169">
            <v>2915.4532527406973</v>
          </cell>
          <cell r="Y169">
            <v>2915.4532527406973</v>
          </cell>
          <cell r="Z169">
            <v>2915.4532527406973</v>
          </cell>
          <cell r="AB169">
            <v>38.940546907618888</v>
          </cell>
          <cell r="AF169">
            <v>0.18522056505057555</v>
          </cell>
          <cell r="AG169">
            <v>0</v>
          </cell>
        </row>
        <row r="170">
          <cell r="A170" t="str">
            <v>TLFCNGX15</v>
          </cell>
          <cell r="D170">
            <v>2015</v>
          </cell>
          <cell r="P170">
            <v>2917.9966800211459</v>
          </cell>
          <cell r="Q170">
            <v>2655.6307842585261</v>
          </cell>
          <cell r="R170">
            <v>2714.3780897338788</v>
          </cell>
          <cell r="S170">
            <v>2810.3794226526456</v>
          </cell>
          <cell r="T170">
            <v>2910.2026409241821</v>
          </cell>
          <cell r="U170">
            <v>2913.8599348815569</v>
          </cell>
          <cell r="V170">
            <v>2914.6635798014645</v>
          </cell>
          <cell r="W170">
            <v>2915.4532527406973</v>
          </cell>
          <cell r="X170">
            <v>2915.4532527406973</v>
          </cell>
          <cell r="Y170">
            <v>2915.4532527406973</v>
          </cell>
          <cell r="Z170">
            <v>2915.4532527406973</v>
          </cell>
          <cell r="AB170">
            <v>38.940546907618888</v>
          </cell>
          <cell r="AF170">
            <v>0.20098364678169883</v>
          </cell>
          <cell r="AG170">
            <v>0</v>
          </cell>
        </row>
        <row r="171">
          <cell r="A171" t="str">
            <v>TLFCNGX20</v>
          </cell>
          <cell r="D171">
            <v>2020</v>
          </cell>
          <cell r="P171">
            <v>2917.9966800211459</v>
          </cell>
          <cell r="Q171">
            <v>2655.6307842585261</v>
          </cell>
          <cell r="R171">
            <v>2714.3780897338788</v>
          </cell>
          <cell r="S171">
            <v>2810.3794226526456</v>
          </cell>
          <cell r="T171">
            <v>2910.2026409241821</v>
          </cell>
          <cell r="U171">
            <v>2913.8599348815569</v>
          </cell>
          <cell r="V171">
            <v>2914.6635798014645</v>
          </cell>
          <cell r="W171">
            <v>2915.4532527406973</v>
          </cell>
          <cell r="X171">
            <v>2915.4532527406973</v>
          </cell>
          <cell r="Y171">
            <v>2915.4532527406973</v>
          </cell>
          <cell r="Z171">
            <v>2915.4532527406973</v>
          </cell>
          <cell r="AB171">
            <v>38.940546907618888</v>
          </cell>
          <cell r="AF171">
            <v>0.25771636493125677</v>
          </cell>
          <cell r="AG171">
            <v>0</v>
          </cell>
        </row>
        <row r="172">
          <cell r="A172" t="str">
            <v>TLFCNGX25</v>
          </cell>
          <cell r="D172">
            <v>2025</v>
          </cell>
          <cell r="P172">
            <v>2917.9966800211459</v>
          </cell>
          <cell r="Q172">
            <v>2655.6307842585261</v>
          </cell>
          <cell r="R172">
            <v>2714.3780897338788</v>
          </cell>
          <cell r="S172">
            <v>2810.3794226526456</v>
          </cell>
          <cell r="T172">
            <v>2910.2026409241821</v>
          </cell>
          <cell r="U172">
            <v>2913.8599348815569</v>
          </cell>
          <cell r="V172">
            <v>2914.6635798014645</v>
          </cell>
          <cell r="W172">
            <v>2915.4532527406973</v>
          </cell>
          <cell r="X172">
            <v>2915.4532527406973</v>
          </cell>
          <cell r="Y172">
            <v>2915.4532527406973</v>
          </cell>
          <cell r="Z172">
            <v>2915.4532527406973</v>
          </cell>
          <cell r="AB172">
            <v>38.940546907618888</v>
          </cell>
          <cell r="AF172">
            <v>0.33062538447545542</v>
          </cell>
          <cell r="AG172">
            <v>0</v>
          </cell>
        </row>
        <row r="173">
          <cell r="A173" t="str">
            <v>TLFCNGX30</v>
          </cell>
          <cell r="D173">
            <v>2030</v>
          </cell>
          <cell r="P173">
            <v>2917.9966800211459</v>
          </cell>
          <cell r="Q173">
            <v>2655.6307842585261</v>
          </cell>
          <cell r="R173">
            <v>2714.3780897338788</v>
          </cell>
          <cell r="S173">
            <v>2810.3794226526456</v>
          </cell>
          <cell r="T173">
            <v>2910.2026409241821</v>
          </cell>
          <cell r="U173">
            <v>2913.8599348815569</v>
          </cell>
          <cell r="V173">
            <v>2914.6635798014645</v>
          </cell>
          <cell r="W173">
            <v>2915.4532527406973</v>
          </cell>
          <cell r="X173">
            <v>2915.4532527406973</v>
          </cell>
          <cell r="Y173">
            <v>2915.4532527406973</v>
          </cell>
          <cell r="Z173">
            <v>2915.4532527406973</v>
          </cell>
          <cell r="AB173">
            <v>38.940546907618888</v>
          </cell>
          <cell r="AF173">
            <v>0.3357198305852202</v>
          </cell>
          <cell r="AG173">
            <v>0</v>
          </cell>
        </row>
        <row r="174">
          <cell r="A174" t="str">
            <v>TLFCNGX35</v>
          </cell>
          <cell r="D174">
            <v>2035</v>
          </cell>
          <cell r="P174">
            <v>2917.9966800211459</v>
          </cell>
          <cell r="Q174">
            <v>2655.6307842585261</v>
          </cell>
          <cell r="R174">
            <v>2714.3780897338788</v>
          </cell>
          <cell r="S174">
            <v>2810.3794226526456</v>
          </cell>
          <cell r="T174">
            <v>2910.2026409241821</v>
          </cell>
          <cell r="U174">
            <v>2913.8599348815569</v>
          </cell>
          <cell r="V174">
            <v>2914.6635798014645</v>
          </cell>
          <cell r="W174">
            <v>2915.4532527406973</v>
          </cell>
          <cell r="X174">
            <v>2915.4532527406973</v>
          </cell>
          <cell r="Y174">
            <v>2915.4532527406973</v>
          </cell>
          <cell r="Z174">
            <v>2915.4532527406973</v>
          </cell>
          <cell r="AB174">
            <v>38.940546907618888</v>
          </cell>
          <cell r="AF174">
            <v>0.33630222536243015</v>
          </cell>
          <cell r="AG174">
            <v>0</v>
          </cell>
        </row>
        <row r="175">
          <cell r="A175" t="str">
            <v>TLFCNGX40</v>
          </cell>
          <cell r="D175">
            <v>2040</v>
          </cell>
          <cell r="P175">
            <v>2917.9966800211459</v>
          </cell>
          <cell r="Q175">
            <v>2655.6307842585261</v>
          </cell>
          <cell r="R175">
            <v>2714.3780897338788</v>
          </cell>
          <cell r="S175">
            <v>2810.3794226526456</v>
          </cell>
          <cell r="T175">
            <v>2910.2026409241821</v>
          </cell>
          <cell r="U175">
            <v>2913.8599348815569</v>
          </cell>
          <cell r="V175">
            <v>2914.6635798014645</v>
          </cell>
          <cell r="W175">
            <v>2915.4532527406973</v>
          </cell>
          <cell r="X175">
            <v>2915.4532527406973</v>
          </cell>
          <cell r="Y175">
            <v>2915.4532527406973</v>
          </cell>
          <cell r="Z175">
            <v>2915.4532527406973</v>
          </cell>
          <cell r="AB175">
            <v>38.940546907618888</v>
          </cell>
          <cell r="AF175">
            <v>0.33669893254861172</v>
          </cell>
          <cell r="AG175">
            <v>0</v>
          </cell>
        </row>
        <row r="176">
          <cell r="A176" t="str">
            <v>TLFCNGX45</v>
          </cell>
          <cell r="D176">
            <v>2045</v>
          </cell>
          <cell r="P176">
            <v>2917.9966800211459</v>
          </cell>
          <cell r="Q176">
            <v>2655.6307842585261</v>
          </cell>
          <cell r="R176">
            <v>2714.3780897338788</v>
          </cell>
          <cell r="S176">
            <v>2810.3794226526456</v>
          </cell>
          <cell r="T176">
            <v>2910.2026409241821</v>
          </cell>
          <cell r="U176">
            <v>2913.8599348815569</v>
          </cell>
          <cell r="V176">
            <v>2914.6635798014645</v>
          </cell>
          <cell r="W176">
            <v>2915.4532527406973</v>
          </cell>
          <cell r="X176">
            <v>2915.4532527406973</v>
          </cell>
          <cell r="Y176">
            <v>2915.4532527406973</v>
          </cell>
          <cell r="Z176">
            <v>2915.4532527406973</v>
          </cell>
          <cell r="AB176">
            <v>38.940546907618888</v>
          </cell>
          <cell r="AF176">
            <v>0.33669893254861172</v>
          </cell>
          <cell r="AG176">
            <v>0</v>
          </cell>
        </row>
        <row r="177">
          <cell r="A177" t="str">
            <v>TLFCNGX50</v>
          </cell>
          <cell r="D177">
            <v>2050</v>
          </cell>
          <cell r="P177">
            <v>2917.9966800211459</v>
          </cell>
          <cell r="Q177">
            <v>2655.6307842585261</v>
          </cell>
          <cell r="R177">
            <v>2714.3780897338788</v>
          </cell>
          <cell r="S177">
            <v>2810.3794226526456</v>
          </cell>
          <cell r="T177">
            <v>2910.2026409241821</v>
          </cell>
          <cell r="U177">
            <v>2913.8599348815569</v>
          </cell>
          <cell r="V177">
            <v>2914.6635798014645</v>
          </cell>
          <cell r="W177">
            <v>2915.4532527406973</v>
          </cell>
          <cell r="X177">
            <v>2915.4532527406973</v>
          </cell>
          <cell r="Y177">
            <v>2915.4532527406973</v>
          </cell>
          <cell r="Z177">
            <v>2915.4532527406973</v>
          </cell>
          <cell r="AB177">
            <v>38.940546907618888</v>
          </cell>
          <cell r="AF177">
            <v>0.33669893254861172</v>
          </cell>
          <cell r="AG177">
            <v>0</v>
          </cell>
        </row>
        <row r="178">
          <cell r="A178" t="str">
            <v>TLFDHEV15</v>
          </cell>
          <cell r="D178">
            <v>2015</v>
          </cell>
          <cell r="P178">
            <v>0</v>
          </cell>
          <cell r="Q178">
            <v>0</v>
          </cell>
          <cell r="R178">
            <v>0</v>
          </cell>
          <cell r="S178">
            <v>2571.8243532794572</v>
          </cell>
          <cell r="T178">
            <v>2571.8243532794572</v>
          </cell>
          <cell r="U178">
            <v>2515.8003495072112</v>
          </cell>
          <cell r="V178">
            <v>2500.0860723629335</v>
          </cell>
          <cell r="W178">
            <v>2492.6744666551117</v>
          </cell>
          <cell r="X178">
            <v>2492.6744666551117</v>
          </cell>
          <cell r="Y178">
            <v>2492.6744666551117</v>
          </cell>
          <cell r="Z178">
            <v>2492.6744666551117</v>
          </cell>
          <cell r="AB178">
            <v>45.478712808157368</v>
          </cell>
          <cell r="AF178">
            <v>0</v>
          </cell>
          <cell r="AG178">
            <v>0</v>
          </cell>
        </row>
        <row r="179">
          <cell r="A179" t="str">
            <v>TLFDHEV20</v>
          </cell>
          <cell r="D179">
            <v>2020</v>
          </cell>
          <cell r="P179">
            <v>0</v>
          </cell>
          <cell r="Q179">
            <v>0</v>
          </cell>
          <cell r="R179">
            <v>0</v>
          </cell>
          <cell r="S179">
            <v>2571.8243532794572</v>
          </cell>
          <cell r="T179">
            <v>2571.8243532794572</v>
          </cell>
          <cell r="U179">
            <v>2515.8003495072112</v>
          </cell>
          <cell r="V179">
            <v>2500.0860723629335</v>
          </cell>
          <cell r="W179">
            <v>2492.6744666551117</v>
          </cell>
          <cell r="X179">
            <v>2492.6744666551117</v>
          </cell>
          <cell r="Y179">
            <v>2492.6744666551117</v>
          </cell>
          <cell r="Z179">
            <v>2492.6744666551117</v>
          </cell>
          <cell r="AB179">
            <v>45.478712808157368</v>
          </cell>
          <cell r="AF179">
            <v>0</v>
          </cell>
          <cell r="AG179">
            <v>0</v>
          </cell>
        </row>
        <row r="180">
          <cell r="A180" t="str">
            <v>TLFDHEV25</v>
          </cell>
          <cell r="D180">
            <v>2025</v>
          </cell>
          <cell r="P180">
            <v>0</v>
          </cell>
          <cell r="Q180">
            <v>0</v>
          </cell>
          <cell r="R180">
            <v>0</v>
          </cell>
          <cell r="S180">
            <v>2571.8243532794572</v>
          </cell>
          <cell r="T180">
            <v>2571.8243532794572</v>
          </cell>
          <cell r="U180">
            <v>2515.8003495072112</v>
          </cell>
          <cell r="V180">
            <v>2500.0860723629335</v>
          </cell>
          <cell r="W180">
            <v>2492.6744666551117</v>
          </cell>
          <cell r="X180">
            <v>2492.6744666551117</v>
          </cell>
          <cell r="Y180">
            <v>2492.6744666551117</v>
          </cell>
          <cell r="Z180">
            <v>2492.6744666551117</v>
          </cell>
          <cell r="AB180">
            <v>45.478712808157368</v>
          </cell>
          <cell r="AF180">
            <v>0.47600712046630111</v>
          </cell>
          <cell r="AG180">
            <v>0</v>
          </cell>
        </row>
        <row r="181">
          <cell r="A181" t="str">
            <v>TLFDHEV30</v>
          </cell>
          <cell r="D181">
            <v>2030</v>
          </cell>
          <cell r="P181">
            <v>0</v>
          </cell>
          <cell r="Q181">
            <v>0</v>
          </cell>
          <cell r="R181">
            <v>0</v>
          </cell>
          <cell r="S181">
            <v>2571.8243532794572</v>
          </cell>
          <cell r="T181">
            <v>2571.8243532794572</v>
          </cell>
          <cell r="U181">
            <v>2515.8003495072112</v>
          </cell>
          <cell r="V181">
            <v>2500.0860723629335</v>
          </cell>
          <cell r="W181">
            <v>2492.6744666551117</v>
          </cell>
          <cell r="X181">
            <v>2492.6744666551117</v>
          </cell>
          <cell r="Y181">
            <v>2492.6744666551117</v>
          </cell>
          <cell r="Z181">
            <v>2492.6744666551117</v>
          </cell>
          <cell r="AB181">
            <v>45.478712808157368</v>
          </cell>
          <cell r="AF181">
            <v>0.47823707660376585</v>
          </cell>
          <cell r="AG181">
            <v>0</v>
          </cell>
        </row>
        <row r="182">
          <cell r="A182" t="str">
            <v>TLFDHEV35</v>
          </cell>
          <cell r="D182">
            <v>2035</v>
          </cell>
          <cell r="P182">
            <v>0</v>
          </cell>
          <cell r="Q182">
            <v>0</v>
          </cell>
          <cell r="R182">
            <v>0</v>
          </cell>
          <cell r="S182">
            <v>2571.8243532794572</v>
          </cell>
          <cell r="T182">
            <v>2571.8243532794572</v>
          </cell>
          <cell r="U182">
            <v>2515.8003495072112</v>
          </cell>
          <cell r="V182">
            <v>2500.0860723629335</v>
          </cell>
          <cell r="W182">
            <v>2492.6744666551117</v>
          </cell>
          <cell r="X182">
            <v>2492.6744666551117</v>
          </cell>
          <cell r="Y182">
            <v>2492.6744666551117</v>
          </cell>
          <cell r="Z182">
            <v>2492.6744666551117</v>
          </cell>
          <cell r="AB182">
            <v>45.478712808157368</v>
          </cell>
          <cell r="AF182">
            <v>0.47734462245316051</v>
          </cell>
          <cell r="AG182">
            <v>0</v>
          </cell>
        </row>
        <row r="183">
          <cell r="A183" t="str">
            <v>TLFDHEV40</v>
          </cell>
          <cell r="D183">
            <v>2040</v>
          </cell>
          <cell r="P183">
            <v>0</v>
          </cell>
          <cell r="Q183">
            <v>0</v>
          </cell>
          <cell r="R183">
            <v>0</v>
          </cell>
          <cell r="S183">
            <v>2571.8243532794572</v>
          </cell>
          <cell r="T183">
            <v>2571.8243532794572</v>
          </cell>
          <cell r="U183">
            <v>2515.8003495072112</v>
          </cell>
          <cell r="V183">
            <v>2500.0860723629335</v>
          </cell>
          <cell r="W183">
            <v>2492.6744666551117</v>
          </cell>
          <cell r="X183">
            <v>2492.6744666551117</v>
          </cell>
          <cell r="Y183">
            <v>2492.6744666551117</v>
          </cell>
          <cell r="Z183">
            <v>2492.6744666551117</v>
          </cell>
          <cell r="AB183">
            <v>45.478712808157368</v>
          </cell>
          <cell r="AF183">
            <v>0.47654844601075608</v>
          </cell>
          <cell r="AG183">
            <v>0</v>
          </cell>
        </row>
        <row r="184">
          <cell r="A184" t="str">
            <v>TLFDHEV45</v>
          </cell>
          <cell r="D184">
            <v>2045</v>
          </cell>
          <cell r="P184">
            <v>0</v>
          </cell>
          <cell r="Q184">
            <v>0</v>
          </cell>
          <cell r="R184">
            <v>0</v>
          </cell>
          <cell r="S184">
            <v>2571.8243532794572</v>
          </cell>
          <cell r="T184">
            <v>2571.8243532794572</v>
          </cell>
          <cell r="U184">
            <v>2515.8003495072112</v>
          </cell>
          <cell r="V184">
            <v>2500.0860723629335</v>
          </cell>
          <cell r="W184">
            <v>2492.6744666551117</v>
          </cell>
          <cell r="X184">
            <v>2492.6744666551117</v>
          </cell>
          <cell r="Y184">
            <v>2492.6744666551117</v>
          </cell>
          <cell r="Z184">
            <v>2492.6744666551117</v>
          </cell>
          <cell r="AB184">
            <v>45.478712808157368</v>
          </cell>
          <cell r="AF184">
            <v>0.47654844601075608</v>
          </cell>
          <cell r="AG184">
            <v>0</v>
          </cell>
        </row>
        <row r="185">
          <cell r="A185" t="str">
            <v>TLFDHEV50</v>
          </cell>
          <cell r="D185">
            <v>2050</v>
          </cell>
          <cell r="P185">
            <v>0</v>
          </cell>
          <cell r="Q185">
            <v>0</v>
          </cell>
          <cell r="R185">
            <v>0</v>
          </cell>
          <cell r="S185">
            <v>2571.8243532794572</v>
          </cell>
          <cell r="T185">
            <v>2571.8243532794572</v>
          </cell>
          <cell r="U185">
            <v>2515.8003495072112</v>
          </cell>
          <cell r="V185">
            <v>2500.0860723629335</v>
          </cell>
          <cell r="W185">
            <v>2492.6744666551117</v>
          </cell>
          <cell r="X185">
            <v>2492.6744666551117</v>
          </cell>
          <cell r="Y185">
            <v>2492.6744666551117</v>
          </cell>
          <cell r="Z185">
            <v>2492.6744666551117</v>
          </cell>
          <cell r="AB185">
            <v>45.478712808157368</v>
          </cell>
          <cell r="AF185">
            <v>0.47654844601075608</v>
          </cell>
          <cell r="AG185">
            <v>0</v>
          </cell>
        </row>
        <row r="186">
          <cell r="A186" t="str">
            <v>TLFDSL00</v>
          </cell>
          <cell r="D186">
            <v>2060</v>
          </cell>
          <cell r="P186">
            <v>2102.6420113363356</v>
          </cell>
          <cell r="Q186">
            <v>2138.5945335758661</v>
          </cell>
          <cell r="R186">
            <v>2066.6717360859834</v>
          </cell>
          <cell r="S186">
            <v>2083.1222338188531</v>
          </cell>
          <cell r="T186">
            <v>2139.4348742319939</v>
          </cell>
          <cell r="U186">
            <v>2141.0637751622726</v>
          </cell>
          <cell r="V186">
            <v>2142.2095965317358</v>
          </cell>
          <cell r="W186">
            <v>2142.4986900111026</v>
          </cell>
          <cell r="X186">
            <v>2142.4986900111026</v>
          </cell>
          <cell r="Y186">
            <v>2142.4986900111026</v>
          </cell>
          <cell r="Z186">
            <v>2142.4986900111026</v>
          </cell>
          <cell r="AB186">
            <v>43.267274341798768</v>
          </cell>
          <cell r="AF186">
            <v>0.34790556919500659</v>
          </cell>
          <cell r="AG186">
            <v>0</v>
          </cell>
        </row>
        <row r="187">
          <cell r="A187" t="str">
            <v>TLFDSL05</v>
          </cell>
          <cell r="D187">
            <v>2005</v>
          </cell>
          <cell r="P187">
            <v>2102.6420113363356</v>
          </cell>
          <cell r="Q187">
            <v>2138.5945335758661</v>
          </cell>
          <cell r="R187">
            <v>2066.6717360859834</v>
          </cell>
          <cell r="S187">
            <v>2083.1222338188531</v>
          </cell>
          <cell r="T187">
            <v>2139.4348742319939</v>
          </cell>
          <cell r="U187">
            <v>2141.0637751622726</v>
          </cell>
          <cell r="V187">
            <v>2142.2095965317358</v>
          </cell>
          <cell r="W187">
            <v>2142.4986900111026</v>
          </cell>
          <cell r="X187">
            <v>2142.4986900111026</v>
          </cell>
          <cell r="Y187">
            <v>2142.4986900111026</v>
          </cell>
          <cell r="Z187">
            <v>2142.4986900111026</v>
          </cell>
          <cell r="AB187">
            <v>43.267274341798768</v>
          </cell>
          <cell r="AF187">
            <v>0.24500627347116966</v>
          </cell>
          <cell r="AG187">
            <v>0</v>
          </cell>
        </row>
        <row r="188">
          <cell r="A188" t="str">
            <v>TLFDSL10</v>
          </cell>
          <cell r="D188">
            <v>2010</v>
          </cell>
          <cell r="P188">
            <v>2102.6420113363356</v>
          </cell>
          <cell r="Q188">
            <v>2138.5945335758661</v>
          </cell>
          <cell r="R188">
            <v>2066.6717360859834</v>
          </cell>
          <cell r="S188">
            <v>2083.1222338188531</v>
          </cell>
          <cell r="T188">
            <v>2139.4348742319939</v>
          </cell>
          <cell r="U188">
            <v>2141.0637751622726</v>
          </cell>
          <cell r="V188">
            <v>2142.2095965317358</v>
          </cell>
          <cell r="W188">
            <v>2142.4986900111026</v>
          </cell>
          <cell r="X188">
            <v>2142.4986900111026</v>
          </cell>
          <cell r="Y188">
            <v>2142.4986900111026</v>
          </cell>
          <cell r="Z188">
            <v>2142.4986900111026</v>
          </cell>
          <cell r="AB188">
            <v>43.267274341798768</v>
          </cell>
          <cell r="AF188">
            <v>0.23831354176227401</v>
          </cell>
          <cell r="AG188">
            <v>0</v>
          </cell>
        </row>
        <row r="189">
          <cell r="A189" t="str">
            <v>TLFDSL15</v>
          </cell>
          <cell r="D189">
            <v>2015</v>
          </cell>
          <cell r="P189">
            <v>2102.6420113363356</v>
          </cell>
          <cell r="Q189">
            <v>2138.5945335758661</v>
          </cell>
          <cell r="R189">
            <v>2066.6717360859834</v>
          </cell>
          <cell r="S189">
            <v>2083.1222338188531</v>
          </cell>
          <cell r="T189">
            <v>2139.4348742319939</v>
          </cell>
          <cell r="U189">
            <v>2141.0637751622726</v>
          </cell>
          <cell r="V189">
            <v>2142.2095965317358</v>
          </cell>
          <cell r="W189">
            <v>2142.4986900111026</v>
          </cell>
          <cell r="X189">
            <v>2142.4986900111026</v>
          </cell>
          <cell r="Y189">
            <v>2142.4986900111026</v>
          </cell>
          <cell r="Z189">
            <v>2142.4986900111026</v>
          </cell>
          <cell r="AB189">
            <v>43.267274341798768</v>
          </cell>
          <cell r="AF189">
            <v>0.27678406837126013</v>
          </cell>
          <cell r="AG189">
            <v>0</v>
          </cell>
        </row>
        <row r="190">
          <cell r="A190" t="str">
            <v>TLFDSL20</v>
          </cell>
          <cell r="D190">
            <v>2020</v>
          </cell>
          <cell r="P190">
            <v>2102.6420113363356</v>
          </cell>
          <cell r="Q190">
            <v>2138.5945335758661</v>
          </cell>
          <cell r="R190">
            <v>2066.6717360859834</v>
          </cell>
          <cell r="S190">
            <v>2083.1222338188531</v>
          </cell>
          <cell r="T190">
            <v>2139.4348742319939</v>
          </cell>
          <cell r="U190">
            <v>2141.0637751622726</v>
          </cell>
          <cell r="V190">
            <v>2142.2095965317358</v>
          </cell>
          <cell r="W190">
            <v>2142.4986900111026</v>
          </cell>
          <cell r="X190">
            <v>2142.4986900111026</v>
          </cell>
          <cell r="Y190">
            <v>2142.4986900111026</v>
          </cell>
          <cell r="Z190">
            <v>2142.4986900111026</v>
          </cell>
          <cell r="AB190">
            <v>43.267274341798768</v>
          </cell>
          <cell r="AF190">
            <v>0.30076774137301893</v>
          </cell>
          <cell r="AG190">
            <v>0</v>
          </cell>
        </row>
        <row r="191">
          <cell r="A191" t="str">
            <v>TLFDSL25</v>
          </cell>
          <cell r="D191">
            <v>2025</v>
          </cell>
          <cell r="P191">
            <v>2102.6420113363356</v>
          </cell>
          <cell r="Q191">
            <v>2138.5945335758661</v>
          </cell>
          <cell r="R191">
            <v>2066.6717360859834</v>
          </cell>
          <cell r="S191">
            <v>2083.1222338188531</v>
          </cell>
          <cell r="T191">
            <v>2139.4348742319939</v>
          </cell>
          <cell r="U191">
            <v>2141.0637751622726</v>
          </cell>
          <cell r="V191">
            <v>2142.2095965317358</v>
          </cell>
          <cell r="W191">
            <v>2142.4986900111026</v>
          </cell>
          <cell r="X191">
            <v>2142.4986900111026</v>
          </cell>
          <cell r="Y191">
            <v>2142.4986900111026</v>
          </cell>
          <cell r="Z191">
            <v>2142.4986900111026</v>
          </cell>
          <cell r="AB191">
            <v>43.267274341798768</v>
          </cell>
          <cell r="AF191">
            <v>0.34655056724918104</v>
          </cell>
          <cell r="AG191">
            <v>0</v>
          </cell>
        </row>
        <row r="192">
          <cell r="A192" t="str">
            <v>TLFDSL30</v>
          </cell>
          <cell r="D192">
            <v>2030</v>
          </cell>
          <cell r="P192">
            <v>2102.6420113363356</v>
          </cell>
          <cell r="Q192">
            <v>2138.5945335758661</v>
          </cell>
          <cell r="R192">
            <v>2066.6717360859834</v>
          </cell>
          <cell r="S192">
            <v>2083.1222338188531</v>
          </cell>
          <cell r="T192">
            <v>2139.4348742319939</v>
          </cell>
          <cell r="U192">
            <v>2141.0637751622726</v>
          </cell>
          <cell r="V192">
            <v>2142.2095965317358</v>
          </cell>
          <cell r="W192">
            <v>2142.4986900111026</v>
          </cell>
          <cell r="X192">
            <v>2142.4986900111026</v>
          </cell>
          <cell r="Y192">
            <v>2142.4986900111026</v>
          </cell>
          <cell r="Z192">
            <v>2142.4986900111026</v>
          </cell>
          <cell r="AB192">
            <v>43.267274341798768</v>
          </cell>
          <cell r="AF192">
            <v>0.34853882299569955</v>
          </cell>
          <cell r="AG192">
            <v>0</v>
          </cell>
        </row>
        <row r="193">
          <cell r="A193" t="str">
            <v>TLFDSL35</v>
          </cell>
          <cell r="D193">
            <v>2035</v>
          </cell>
          <cell r="P193">
            <v>2102.6420113363356</v>
          </cell>
          <cell r="Q193">
            <v>2138.5945335758661</v>
          </cell>
          <cell r="R193">
            <v>2066.6717360859834</v>
          </cell>
          <cell r="S193">
            <v>2083.1222338188531</v>
          </cell>
          <cell r="T193">
            <v>2139.4348742319939</v>
          </cell>
          <cell r="U193">
            <v>2141.0637751622726</v>
          </cell>
          <cell r="V193">
            <v>2142.2095965317358</v>
          </cell>
          <cell r="W193">
            <v>2142.4986900111026</v>
          </cell>
          <cell r="X193">
            <v>2142.4986900111026</v>
          </cell>
          <cell r="Y193">
            <v>2142.4986900111026</v>
          </cell>
          <cell r="Z193">
            <v>2142.4986900111026</v>
          </cell>
          <cell r="AB193">
            <v>43.267274341798768</v>
          </cell>
          <cell r="AF193">
            <v>0.34823802138056104</v>
          </cell>
          <cell r="AG193">
            <v>0</v>
          </cell>
        </row>
        <row r="194">
          <cell r="A194" t="str">
            <v>TLFDSL40</v>
          </cell>
          <cell r="D194">
            <v>2040</v>
          </cell>
          <cell r="P194">
            <v>2102.6420113363356</v>
          </cell>
          <cell r="Q194">
            <v>2138.5945335758661</v>
          </cell>
          <cell r="R194">
            <v>2066.6717360859834</v>
          </cell>
          <cell r="S194">
            <v>2083.1222338188531</v>
          </cell>
          <cell r="T194">
            <v>2139.4348742319939</v>
          </cell>
          <cell r="U194">
            <v>2141.0637751622726</v>
          </cell>
          <cell r="V194">
            <v>2142.2095965317358</v>
          </cell>
          <cell r="W194">
            <v>2142.4986900111026</v>
          </cell>
          <cell r="X194">
            <v>2142.4986900111026</v>
          </cell>
          <cell r="Y194">
            <v>2142.4986900111026</v>
          </cell>
          <cell r="Z194">
            <v>2142.4986900111026</v>
          </cell>
          <cell r="AB194">
            <v>43.267274341798768</v>
          </cell>
          <cell r="AF194">
            <v>0.34790556919500659</v>
          </cell>
          <cell r="AG194">
            <v>0</v>
          </cell>
        </row>
        <row r="195">
          <cell r="A195" t="str">
            <v>TLFDSL45</v>
          </cell>
          <cell r="D195">
            <v>2045</v>
          </cell>
          <cell r="P195">
            <v>2102.6420113363356</v>
          </cell>
          <cell r="Q195">
            <v>2138.5945335758661</v>
          </cell>
          <cell r="R195">
            <v>2066.6717360859834</v>
          </cell>
          <cell r="S195">
            <v>2083.1222338188531</v>
          </cell>
          <cell r="T195">
            <v>2139.4348742319939</v>
          </cell>
          <cell r="U195">
            <v>2141.0637751622726</v>
          </cell>
          <cell r="V195">
            <v>2142.2095965317358</v>
          </cell>
          <cell r="W195">
            <v>2142.4986900111026</v>
          </cell>
          <cell r="X195">
            <v>2142.4986900111026</v>
          </cell>
          <cell r="Y195">
            <v>2142.4986900111026</v>
          </cell>
          <cell r="Z195">
            <v>2142.4986900111026</v>
          </cell>
          <cell r="AB195">
            <v>43.267274341798768</v>
          </cell>
          <cell r="AF195">
            <v>0.34790556919500659</v>
          </cell>
          <cell r="AG195">
            <v>0</v>
          </cell>
        </row>
        <row r="196">
          <cell r="A196" t="str">
            <v>TLFDSL50</v>
          </cell>
          <cell r="D196">
            <v>2050</v>
          </cell>
          <cell r="P196">
            <v>2102.6420113363356</v>
          </cell>
          <cell r="Q196">
            <v>2138.5945335758661</v>
          </cell>
          <cell r="R196">
            <v>2066.6717360859834</v>
          </cell>
          <cell r="S196">
            <v>2083.1222338188531</v>
          </cell>
          <cell r="T196">
            <v>2139.4348742319939</v>
          </cell>
          <cell r="U196">
            <v>2141.0637751622726</v>
          </cell>
          <cell r="V196">
            <v>2142.2095965317358</v>
          </cell>
          <cell r="W196">
            <v>2142.4986900111026</v>
          </cell>
          <cell r="X196">
            <v>2142.4986900111026</v>
          </cell>
          <cell r="Y196">
            <v>2142.4986900111026</v>
          </cell>
          <cell r="Z196">
            <v>2142.4986900111026</v>
          </cell>
          <cell r="AB196">
            <v>43.267274341798768</v>
          </cell>
          <cell r="AF196">
            <v>0.34790556919500659</v>
          </cell>
          <cell r="AG196">
            <v>0</v>
          </cell>
        </row>
        <row r="197">
          <cell r="A197" t="str">
            <v>TLFETH10</v>
          </cell>
          <cell r="D197">
            <v>2010</v>
          </cell>
          <cell r="P197">
            <v>0</v>
          </cell>
          <cell r="Q197">
            <v>0</v>
          </cell>
          <cell r="R197">
            <v>2911.4389051829148</v>
          </cell>
          <cell r="S197">
            <v>2735.8747500965083</v>
          </cell>
          <cell r="T197">
            <v>2626.1471531675038</v>
          </cell>
          <cell r="U197">
            <v>2538.365075624301</v>
          </cell>
          <cell r="V197">
            <v>2487.1588637240984</v>
          </cell>
          <cell r="W197">
            <v>2487.1588637240984</v>
          </cell>
          <cell r="X197">
            <v>2487.1588637240984</v>
          </cell>
          <cell r="Y197">
            <v>2487.1588637240984</v>
          </cell>
          <cell r="Z197">
            <v>2487.1588637240984</v>
          </cell>
          <cell r="AB197">
            <v>43.267274341798768</v>
          </cell>
          <cell r="AF197">
            <v>0</v>
          </cell>
          <cell r="AG197">
            <v>0</v>
          </cell>
        </row>
        <row r="198">
          <cell r="A198" t="str">
            <v>TLFETH15</v>
          </cell>
          <cell r="D198">
            <v>2015</v>
          </cell>
          <cell r="P198">
            <v>0</v>
          </cell>
          <cell r="Q198">
            <v>0</v>
          </cell>
          <cell r="R198">
            <v>2911.4389051829148</v>
          </cell>
          <cell r="S198">
            <v>2735.8747500965083</v>
          </cell>
          <cell r="T198">
            <v>2626.1471531675038</v>
          </cell>
          <cell r="U198">
            <v>2538.365075624301</v>
          </cell>
          <cell r="V198">
            <v>2487.1588637240984</v>
          </cell>
          <cell r="W198">
            <v>2487.1588637240984</v>
          </cell>
          <cell r="X198">
            <v>2487.1588637240984</v>
          </cell>
          <cell r="Y198">
            <v>2487.1588637240984</v>
          </cell>
          <cell r="Z198">
            <v>2487.1588637240984</v>
          </cell>
          <cell r="AB198">
            <v>43.267274341798768</v>
          </cell>
          <cell r="AF198">
            <v>0</v>
          </cell>
          <cell r="AG198">
            <v>0</v>
          </cell>
        </row>
        <row r="199">
          <cell r="A199" t="str">
            <v>TLFETH20</v>
          </cell>
          <cell r="D199">
            <v>2020</v>
          </cell>
          <cell r="P199">
            <v>0</v>
          </cell>
          <cell r="Q199">
            <v>0</v>
          </cell>
          <cell r="R199">
            <v>2911.4389051829148</v>
          </cell>
          <cell r="S199">
            <v>2735.8747500965083</v>
          </cell>
          <cell r="T199">
            <v>2626.1471531675038</v>
          </cell>
          <cell r="U199">
            <v>2538.365075624301</v>
          </cell>
          <cell r="V199">
            <v>2487.1588637240984</v>
          </cell>
          <cell r="W199">
            <v>2487.1588637240984</v>
          </cell>
          <cell r="X199">
            <v>2487.1588637240984</v>
          </cell>
          <cell r="Y199">
            <v>2487.1588637240984</v>
          </cell>
          <cell r="Z199">
            <v>2487.1588637240984</v>
          </cell>
          <cell r="AB199">
            <v>43.267274341798768</v>
          </cell>
          <cell r="AF199">
            <v>0</v>
          </cell>
          <cell r="AG199">
            <v>0</v>
          </cell>
        </row>
        <row r="200">
          <cell r="A200" t="str">
            <v>TLFETH25</v>
          </cell>
          <cell r="D200">
            <v>2025</v>
          </cell>
          <cell r="P200">
            <v>0</v>
          </cell>
          <cell r="Q200">
            <v>0</v>
          </cell>
          <cell r="R200">
            <v>2911.4389051829148</v>
          </cell>
          <cell r="S200">
            <v>2735.8747500965083</v>
          </cell>
          <cell r="T200">
            <v>2626.1471531675038</v>
          </cell>
          <cell r="U200">
            <v>2538.365075624301</v>
          </cell>
          <cell r="V200">
            <v>2487.1588637240984</v>
          </cell>
          <cell r="W200">
            <v>2487.1588637240984</v>
          </cell>
          <cell r="X200">
            <v>2487.1588637240984</v>
          </cell>
          <cell r="Y200">
            <v>2487.1588637240984</v>
          </cell>
          <cell r="Z200">
            <v>2487.1588637240984</v>
          </cell>
          <cell r="AB200">
            <v>43.267274341798768</v>
          </cell>
          <cell r="AF200">
            <v>0</v>
          </cell>
          <cell r="AG200">
            <v>0</v>
          </cell>
        </row>
        <row r="201">
          <cell r="A201" t="str">
            <v>TLFETH30</v>
          </cell>
          <cell r="D201">
            <v>2030</v>
          </cell>
          <cell r="P201">
            <v>0</v>
          </cell>
          <cell r="Q201">
            <v>0</v>
          </cell>
          <cell r="R201">
            <v>2911.4389051829148</v>
          </cell>
          <cell r="S201">
            <v>2735.8747500965083</v>
          </cell>
          <cell r="T201">
            <v>2626.1471531675038</v>
          </cell>
          <cell r="U201">
            <v>2538.365075624301</v>
          </cell>
          <cell r="V201">
            <v>2487.1588637240984</v>
          </cell>
          <cell r="W201">
            <v>2487.1588637240984</v>
          </cell>
          <cell r="X201">
            <v>2487.1588637240984</v>
          </cell>
          <cell r="Y201">
            <v>2487.1588637240984</v>
          </cell>
          <cell r="Z201">
            <v>2487.1588637240984</v>
          </cell>
          <cell r="AB201">
            <v>43.267274341798768</v>
          </cell>
          <cell r="AF201">
            <v>0</v>
          </cell>
          <cell r="AG201">
            <v>0</v>
          </cell>
        </row>
        <row r="202">
          <cell r="A202" t="str">
            <v>TLFETH35</v>
          </cell>
          <cell r="D202">
            <v>2035</v>
          </cell>
          <cell r="P202">
            <v>0</v>
          </cell>
          <cell r="Q202">
            <v>0</v>
          </cell>
          <cell r="R202">
            <v>2911.4389051829148</v>
          </cell>
          <cell r="S202">
            <v>2735.8747500965083</v>
          </cell>
          <cell r="T202">
            <v>2626.1471531675038</v>
          </cell>
          <cell r="U202">
            <v>2538.365075624301</v>
          </cell>
          <cell r="V202">
            <v>2487.1588637240984</v>
          </cell>
          <cell r="W202">
            <v>2487.1588637240984</v>
          </cell>
          <cell r="X202">
            <v>2487.1588637240984</v>
          </cell>
          <cell r="Y202">
            <v>2487.1588637240984</v>
          </cell>
          <cell r="Z202">
            <v>2487.1588637240984</v>
          </cell>
          <cell r="AB202">
            <v>43.267274341798768</v>
          </cell>
          <cell r="AF202">
            <v>0</v>
          </cell>
          <cell r="AG202">
            <v>0</v>
          </cell>
        </row>
        <row r="203">
          <cell r="A203" t="str">
            <v>TLFETH40</v>
          </cell>
          <cell r="D203">
            <v>2040</v>
          </cell>
          <cell r="P203">
            <v>0</v>
          </cell>
          <cell r="Q203">
            <v>0</v>
          </cell>
          <cell r="R203">
            <v>2911.4389051829148</v>
          </cell>
          <cell r="S203">
            <v>2735.8747500965083</v>
          </cell>
          <cell r="T203">
            <v>2626.1471531675038</v>
          </cell>
          <cell r="U203">
            <v>2538.365075624301</v>
          </cell>
          <cell r="V203">
            <v>2487.1588637240984</v>
          </cell>
          <cell r="W203">
            <v>2487.1588637240984</v>
          </cell>
          <cell r="X203">
            <v>2487.1588637240984</v>
          </cell>
          <cell r="Y203">
            <v>2487.1588637240984</v>
          </cell>
          <cell r="Z203">
            <v>2487.1588637240984</v>
          </cell>
          <cell r="AB203">
            <v>43.267274341798768</v>
          </cell>
          <cell r="AF203">
            <v>0</v>
          </cell>
          <cell r="AG203">
            <v>0</v>
          </cell>
        </row>
        <row r="204">
          <cell r="A204" t="str">
            <v>TLFETH45</v>
          </cell>
          <cell r="D204">
            <v>2045</v>
          </cell>
          <cell r="P204">
            <v>0</v>
          </cell>
          <cell r="Q204">
            <v>0</v>
          </cell>
          <cell r="R204">
            <v>2911.4389051829148</v>
          </cell>
          <cell r="S204">
            <v>2735.8747500965083</v>
          </cell>
          <cell r="T204">
            <v>2626.1471531675038</v>
          </cell>
          <cell r="U204">
            <v>2538.365075624301</v>
          </cell>
          <cell r="V204">
            <v>2487.1588637240984</v>
          </cell>
          <cell r="W204">
            <v>2487.1588637240984</v>
          </cell>
          <cell r="X204">
            <v>2487.1588637240984</v>
          </cell>
          <cell r="Y204">
            <v>2487.1588637240984</v>
          </cell>
          <cell r="Z204">
            <v>2487.1588637240984</v>
          </cell>
          <cell r="AB204">
            <v>43.267274341798768</v>
          </cell>
          <cell r="AF204">
            <v>0</v>
          </cell>
          <cell r="AG204">
            <v>0</v>
          </cell>
        </row>
        <row r="205">
          <cell r="A205" t="str">
            <v>TLFETH50</v>
          </cell>
          <cell r="D205">
            <v>2050</v>
          </cell>
          <cell r="P205">
            <v>0</v>
          </cell>
          <cell r="Q205">
            <v>0</v>
          </cell>
          <cell r="R205">
            <v>2911.4389051829148</v>
          </cell>
          <cell r="S205">
            <v>2735.8747500965083</v>
          </cell>
          <cell r="T205">
            <v>2626.1471531675038</v>
          </cell>
          <cell r="U205">
            <v>2538.365075624301</v>
          </cell>
          <cell r="V205">
            <v>2487.1588637240984</v>
          </cell>
          <cell r="W205">
            <v>2487.1588637240984</v>
          </cell>
          <cell r="X205">
            <v>2487.1588637240984</v>
          </cell>
          <cell r="Y205">
            <v>2487.1588637240984</v>
          </cell>
          <cell r="Z205">
            <v>2487.1588637240984</v>
          </cell>
          <cell r="AB205">
            <v>43.267274341798768</v>
          </cell>
          <cell r="AF205">
            <v>0</v>
          </cell>
          <cell r="AG205">
            <v>0</v>
          </cell>
        </row>
        <row r="206">
          <cell r="A206" t="str">
            <v>TLFETHX10</v>
          </cell>
          <cell r="D206">
            <v>2010</v>
          </cell>
          <cell r="P206">
            <v>2159.9525849792785</v>
          </cell>
          <cell r="Q206">
            <v>1987.5210026612813</v>
          </cell>
          <cell r="R206">
            <v>1914.158780402835</v>
          </cell>
          <cell r="S206">
            <v>1977.002813708347</v>
          </cell>
          <cell r="T206">
            <v>2089.3177096562054</v>
          </cell>
          <cell r="U206">
            <v>2092.6677979605261</v>
          </cell>
          <cell r="V206">
            <v>2093.8281165524795</v>
          </cell>
          <cell r="W206">
            <v>2094.5746091240612</v>
          </cell>
          <cell r="X206">
            <v>2094.5746091240612</v>
          </cell>
          <cell r="Y206">
            <v>2094.5746091240612</v>
          </cell>
          <cell r="Z206">
            <v>2094.5746091240612</v>
          </cell>
          <cell r="AB206">
            <v>43.267274341798768</v>
          </cell>
          <cell r="AF206">
            <v>0.194721608764968</v>
          </cell>
          <cell r="AG206">
            <v>0</v>
          </cell>
        </row>
        <row r="207">
          <cell r="A207" t="str">
            <v>TLFETHX15</v>
          </cell>
          <cell r="D207">
            <v>2015</v>
          </cell>
          <cell r="P207">
            <v>2159.9525849792785</v>
          </cell>
          <cell r="Q207">
            <v>1987.5210026612813</v>
          </cell>
          <cell r="R207">
            <v>1914.158780402835</v>
          </cell>
          <cell r="S207">
            <v>1977.002813708347</v>
          </cell>
          <cell r="T207">
            <v>2089.3177096562054</v>
          </cell>
          <cell r="U207">
            <v>2092.6677979605261</v>
          </cell>
          <cell r="V207">
            <v>2093.8281165524795</v>
          </cell>
          <cell r="W207">
            <v>2094.5746091240612</v>
          </cell>
          <cell r="X207">
            <v>2094.5746091240612</v>
          </cell>
          <cell r="Y207">
            <v>2094.5746091240612</v>
          </cell>
          <cell r="Z207">
            <v>2094.5746091240612</v>
          </cell>
          <cell r="AB207">
            <v>43.267274341798768</v>
          </cell>
          <cell r="AF207">
            <v>0.22622534404505368</v>
          </cell>
          <cell r="AG207">
            <v>0</v>
          </cell>
        </row>
        <row r="208">
          <cell r="A208" t="str">
            <v>TLFETHX20</v>
          </cell>
          <cell r="D208">
            <v>2020</v>
          </cell>
          <cell r="P208">
            <v>2159.9525849792785</v>
          </cell>
          <cell r="Q208">
            <v>1987.5210026612813</v>
          </cell>
          <cell r="R208">
            <v>1914.158780402835</v>
          </cell>
          <cell r="S208">
            <v>1977.002813708347</v>
          </cell>
          <cell r="T208">
            <v>2089.3177096562054</v>
          </cell>
          <cell r="U208">
            <v>2092.6677979605261</v>
          </cell>
          <cell r="V208">
            <v>2093.8281165524795</v>
          </cell>
          <cell r="W208">
            <v>2094.5746091240612</v>
          </cell>
          <cell r="X208">
            <v>2094.5746091240612</v>
          </cell>
          <cell r="Y208">
            <v>2094.5746091240612</v>
          </cell>
          <cell r="Z208">
            <v>2094.5746091240612</v>
          </cell>
          <cell r="AB208">
            <v>43.267274341798768</v>
          </cell>
          <cell r="AF208">
            <v>0.26974034745398562</v>
          </cell>
          <cell r="AG208">
            <v>0</v>
          </cell>
        </row>
        <row r="209">
          <cell r="A209" t="str">
            <v>TLFETHX25</v>
          </cell>
          <cell r="D209">
            <v>2025</v>
          </cell>
          <cell r="P209">
            <v>2159.9525849792785</v>
          </cell>
          <cell r="Q209">
            <v>1987.5210026612813</v>
          </cell>
          <cell r="R209">
            <v>1914.158780402835</v>
          </cell>
          <cell r="S209">
            <v>1977.002813708347</v>
          </cell>
          <cell r="T209">
            <v>2089.3177096562054</v>
          </cell>
          <cell r="U209">
            <v>2092.6677979605261</v>
          </cell>
          <cell r="V209">
            <v>2093.8281165524795</v>
          </cell>
          <cell r="W209">
            <v>2094.5746091240612</v>
          </cell>
          <cell r="X209">
            <v>2094.5746091240612</v>
          </cell>
          <cell r="Y209">
            <v>2094.5746091240612</v>
          </cell>
          <cell r="Z209">
            <v>2094.5746091240612</v>
          </cell>
          <cell r="AB209">
            <v>43.267274341798768</v>
          </cell>
          <cell r="AF209">
            <v>0.33869870169256533</v>
          </cell>
          <cell r="AG209">
            <v>0</v>
          </cell>
        </row>
        <row r="210">
          <cell r="A210" t="str">
            <v>TLFETHX30</v>
          </cell>
          <cell r="D210">
            <v>2030</v>
          </cell>
          <cell r="P210">
            <v>2159.9525849792785</v>
          </cell>
          <cell r="Q210">
            <v>1987.5210026612813</v>
          </cell>
          <cell r="R210">
            <v>1914.158780402835</v>
          </cell>
          <cell r="S210">
            <v>1977.002813708347</v>
          </cell>
          <cell r="T210">
            <v>2089.3177096562054</v>
          </cell>
          <cell r="U210">
            <v>2092.6677979605261</v>
          </cell>
          <cell r="V210">
            <v>2093.8281165524795</v>
          </cell>
          <cell r="W210">
            <v>2094.5746091240612</v>
          </cell>
          <cell r="X210">
            <v>2094.5746091240612</v>
          </cell>
          <cell r="Y210">
            <v>2094.5746091240612</v>
          </cell>
          <cell r="Z210">
            <v>2094.5746091240612</v>
          </cell>
          <cell r="AB210">
            <v>43.267274341798768</v>
          </cell>
          <cell r="AF210">
            <v>0.34103140487106159</v>
          </cell>
          <cell r="AG210">
            <v>0</v>
          </cell>
        </row>
        <row r="211">
          <cell r="A211" t="str">
            <v>TLFETHX35</v>
          </cell>
          <cell r="D211">
            <v>2035</v>
          </cell>
          <cell r="P211">
            <v>2159.9525849792785</v>
          </cell>
          <cell r="Q211">
            <v>1987.5210026612813</v>
          </cell>
          <cell r="R211">
            <v>1914.158780402835</v>
          </cell>
          <cell r="S211">
            <v>1977.002813708347</v>
          </cell>
          <cell r="T211">
            <v>2089.3177096562054</v>
          </cell>
          <cell r="U211">
            <v>2092.6677979605261</v>
          </cell>
          <cell r="V211">
            <v>2093.8281165524795</v>
          </cell>
          <cell r="W211">
            <v>2094.5746091240612</v>
          </cell>
          <cell r="X211">
            <v>2094.5746091240612</v>
          </cell>
          <cell r="Y211">
            <v>2094.5746091240612</v>
          </cell>
          <cell r="Z211">
            <v>2094.5746091240612</v>
          </cell>
          <cell r="AB211">
            <v>43.267274341798768</v>
          </cell>
          <cell r="AF211">
            <v>0.34071166161648064</v>
          </cell>
          <cell r="AG211">
            <v>0</v>
          </cell>
        </row>
        <row r="212">
          <cell r="A212" t="str">
            <v>TLFETHX40</v>
          </cell>
          <cell r="D212">
            <v>2040</v>
          </cell>
          <cell r="P212">
            <v>2159.9525849792785</v>
          </cell>
          <cell r="Q212">
            <v>1987.5210026612813</v>
          </cell>
          <cell r="R212">
            <v>1914.158780402835</v>
          </cell>
          <cell r="S212">
            <v>1977.002813708347</v>
          </cell>
          <cell r="T212">
            <v>2089.3177096562054</v>
          </cell>
          <cell r="U212">
            <v>2092.6677979605261</v>
          </cell>
          <cell r="V212">
            <v>2093.8281165524795</v>
          </cell>
          <cell r="W212">
            <v>2094.5746091240612</v>
          </cell>
          <cell r="X212">
            <v>2094.5746091240612</v>
          </cell>
          <cell r="Y212">
            <v>2094.5746091240612</v>
          </cell>
          <cell r="Z212">
            <v>2094.5746091240612</v>
          </cell>
          <cell r="AB212">
            <v>43.267274341798768</v>
          </cell>
          <cell r="AF212">
            <v>0.34040283303614943</v>
          </cell>
          <cell r="AG212">
            <v>0</v>
          </cell>
        </row>
        <row r="213">
          <cell r="A213" t="str">
            <v>TLFETHX45</v>
          </cell>
          <cell r="D213">
            <v>2045</v>
          </cell>
          <cell r="P213">
            <v>2159.9525849792785</v>
          </cell>
          <cell r="Q213">
            <v>1987.5210026612813</v>
          </cell>
          <cell r="R213">
            <v>1914.158780402835</v>
          </cell>
          <cell r="S213">
            <v>1977.002813708347</v>
          </cell>
          <cell r="T213">
            <v>2089.3177096562054</v>
          </cell>
          <cell r="U213">
            <v>2092.6677979605261</v>
          </cell>
          <cell r="V213">
            <v>2093.8281165524795</v>
          </cell>
          <cell r="W213">
            <v>2094.5746091240612</v>
          </cell>
          <cell r="X213">
            <v>2094.5746091240612</v>
          </cell>
          <cell r="Y213">
            <v>2094.5746091240612</v>
          </cell>
          <cell r="Z213">
            <v>2094.5746091240612</v>
          </cell>
          <cell r="AB213">
            <v>43.267274341798768</v>
          </cell>
          <cell r="AF213">
            <v>0.34040283303614943</v>
          </cell>
          <cell r="AG213">
            <v>0</v>
          </cell>
        </row>
        <row r="214">
          <cell r="A214" t="str">
            <v>TLFETHX50</v>
          </cell>
          <cell r="D214">
            <v>2050</v>
          </cell>
          <cell r="P214">
            <v>2159.9525849792785</v>
          </cell>
          <cell r="Q214">
            <v>1987.5210026612813</v>
          </cell>
          <cell r="R214">
            <v>1914.158780402835</v>
          </cell>
          <cell r="S214">
            <v>1977.002813708347</v>
          </cell>
          <cell r="T214">
            <v>2089.3177096562054</v>
          </cell>
          <cell r="U214">
            <v>2092.6677979605261</v>
          </cell>
          <cell r="V214">
            <v>2093.8281165524795</v>
          </cell>
          <cell r="W214">
            <v>2094.5746091240612</v>
          </cell>
          <cell r="X214">
            <v>2094.5746091240612</v>
          </cell>
          <cell r="Y214">
            <v>2094.5746091240612</v>
          </cell>
          <cell r="Z214">
            <v>2094.5746091240612</v>
          </cell>
          <cell r="AB214">
            <v>43.267274341798768</v>
          </cell>
          <cell r="AF214">
            <v>0.34040283303614943</v>
          </cell>
          <cell r="AG214">
            <v>0</v>
          </cell>
        </row>
        <row r="215">
          <cell r="A215" t="str">
            <v>TLFFCG10</v>
          </cell>
          <cell r="D215">
            <v>2010</v>
          </cell>
          <cell r="P215">
            <v>0</v>
          </cell>
          <cell r="Q215">
            <v>0</v>
          </cell>
          <cell r="R215">
            <v>0</v>
          </cell>
          <cell r="S215">
            <v>0</v>
          </cell>
          <cell r="T215">
            <v>0</v>
          </cell>
          <cell r="U215">
            <v>0</v>
          </cell>
          <cell r="V215">
            <v>0</v>
          </cell>
          <cell r="W215">
            <v>0</v>
          </cell>
          <cell r="X215">
            <v>0</v>
          </cell>
          <cell r="Y215">
            <v>0</v>
          </cell>
          <cell r="Z215">
            <v>0</v>
          </cell>
          <cell r="AB215">
            <v>45.430638058888704</v>
          </cell>
          <cell r="AF215">
            <v>0</v>
          </cell>
          <cell r="AG215">
            <v>0</v>
          </cell>
        </row>
        <row r="216">
          <cell r="A216" t="str">
            <v>TLFFCG15</v>
          </cell>
          <cell r="D216">
            <v>2015</v>
          </cell>
          <cell r="P216">
            <v>0</v>
          </cell>
          <cell r="Q216">
            <v>0</v>
          </cell>
          <cell r="R216">
            <v>0</v>
          </cell>
          <cell r="S216">
            <v>0</v>
          </cell>
          <cell r="T216">
            <v>0</v>
          </cell>
          <cell r="U216">
            <v>0</v>
          </cell>
          <cell r="V216">
            <v>0</v>
          </cell>
          <cell r="W216">
            <v>0</v>
          </cell>
          <cell r="X216">
            <v>0</v>
          </cell>
          <cell r="Y216">
            <v>0</v>
          </cell>
          <cell r="Z216">
            <v>0</v>
          </cell>
          <cell r="AB216">
            <v>45.430638058888704</v>
          </cell>
          <cell r="AF216">
            <v>0</v>
          </cell>
          <cell r="AG216">
            <v>0</v>
          </cell>
        </row>
        <row r="217">
          <cell r="A217" t="str">
            <v>TLFFCG20</v>
          </cell>
          <cell r="D217">
            <v>2020</v>
          </cell>
          <cell r="P217">
            <v>0</v>
          </cell>
          <cell r="Q217">
            <v>0</v>
          </cell>
          <cell r="R217">
            <v>0</v>
          </cell>
          <cell r="S217">
            <v>0</v>
          </cell>
          <cell r="T217">
            <v>0</v>
          </cell>
          <cell r="U217">
            <v>0</v>
          </cell>
          <cell r="V217">
            <v>0</v>
          </cell>
          <cell r="W217">
            <v>0</v>
          </cell>
          <cell r="X217">
            <v>0</v>
          </cell>
          <cell r="Y217">
            <v>0</v>
          </cell>
          <cell r="Z217">
            <v>0</v>
          </cell>
          <cell r="AB217">
            <v>45.430638058888704</v>
          </cell>
          <cell r="AF217">
            <v>0</v>
          </cell>
          <cell r="AG217">
            <v>0</v>
          </cell>
        </row>
        <row r="218">
          <cell r="A218" t="str">
            <v>TLFFCG25</v>
          </cell>
          <cell r="D218">
            <v>2025</v>
          </cell>
          <cell r="P218">
            <v>0</v>
          </cell>
          <cell r="Q218">
            <v>0</v>
          </cell>
          <cell r="R218">
            <v>0</v>
          </cell>
          <cell r="S218">
            <v>0</v>
          </cell>
          <cell r="T218">
            <v>0</v>
          </cell>
          <cell r="U218">
            <v>0</v>
          </cell>
          <cell r="V218">
            <v>0</v>
          </cell>
          <cell r="W218">
            <v>0</v>
          </cell>
          <cell r="X218">
            <v>0</v>
          </cell>
          <cell r="Y218">
            <v>0</v>
          </cell>
          <cell r="Z218">
            <v>0</v>
          </cell>
          <cell r="AB218">
            <v>45.430638058888704</v>
          </cell>
          <cell r="AF218">
            <v>0</v>
          </cell>
          <cell r="AG218">
            <v>0</v>
          </cell>
        </row>
        <row r="219">
          <cell r="A219" t="str">
            <v>TLFFCG30</v>
          </cell>
          <cell r="D219">
            <v>2030</v>
          </cell>
          <cell r="P219">
            <v>0</v>
          </cell>
          <cell r="Q219">
            <v>0</v>
          </cell>
          <cell r="R219">
            <v>0</v>
          </cell>
          <cell r="S219">
            <v>0</v>
          </cell>
          <cell r="T219">
            <v>0</v>
          </cell>
          <cell r="U219">
            <v>0</v>
          </cell>
          <cell r="V219">
            <v>0</v>
          </cell>
          <cell r="W219">
            <v>0</v>
          </cell>
          <cell r="X219">
            <v>0</v>
          </cell>
          <cell r="Y219">
            <v>0</v>
          </cell>
          <cell r="Z219">
            <v>0</v>
          </cell>
          <cell r="AB219">
            <v>45.430638058888704</v>
          </cell>
          <cell r="AF219">
            <v>0</v>
          </cell>
          <cell r="AG219">
            <v>0</v>
          </cell>
        </row>
        <row r="220">
          <cell r="A220" t="str">
            <v>TLFFCG35</v>
          </cell>
          <cell r="D220">
            <v>2035</v>
          </cell>
          <cell r="P220">
            <v>0</v>
          </cell>
          <cell r="Q220">
            <v>0</v>
          </cell>
          <cell r="R220">
            <v>0</v>
          </cell>
          <cell r="S220">
            <v>0</v>
          </cell>
          <cell r="T220">
            <v>0</v>
          </cell>
          <cell r="U220">
            <v>0</v>
          </cell>
          <cell r="V220">
            <v>0</v>
          </cell>
          <cell r="W220">
            <v>0</v>
          </cell>
          <cell r="X220">
            <v>0</v>
          </cell>
          <cell r="Y220">
            <v>0</v>
          </cell>
          <cell r="Z220">
            <v>0</v>
          </cell>
          <cell r="AB220">
            <v>45.430638058888704</v>
          </cell>
          <cell r="AF220">
            <v>0</v>
          </cell>
          <cell r="AG220">
            <v>0</v>
          </cell>
        </row>
        <row r="221">
          <cell r="A221" t="str">
            <v>TLFFCG40</v>
          </cell>
          <cell r="D221">
            <v>2040</v>
          </cell>
          <cell r="P221">
            <v>0</v>
          </cell>
          <cell r="Q221">
            <v>0</v>
          </cell>
          <cell r="R221">
            <v>0</v>
          </cell>
          <cell r="S221">
            <v>0</v>
          </cell>
          <cell r="T221">
            <v>0</v>
          </cell>
          <cell r="U221">
            <v>0</v>
          </cell>
          <cell r="V221">
            <v>0</v>
          </cell>
          <cell r="W221">
            <v>0</v>
          </cell>
          <cell r="X221">
            <v>0</v>
          </cell>
          <cell r="Y221">
            <v>0</v>
          </cell>
          <cell r="Z221">
            <v>0</v>
          </cell>
          <cell r="AB221">
            <v>45.430638058888704</v>
          </cell>
          <cell r="AF221">
            <v>0</v>
          </cell>
          <cell r="AG221">
            <v>0</v>
          </cell>
        </row>
        <row r="222">
          <cell r="A222" t="str">
            <v>TLFFCG45</v>
          </cell>
          <cell r="D222">
            <v>2045</v>
          </cell>
          <cell r="P222">
            <v>0</v>
          </cell>
          <cell r="Q222">
            <v>0</v>
          </cell>
          <cell r="R222">
            <v>0</v>
          </cell>
          <cell r="S222">
            <v>0</v>
          </cell>
          <cell r="T222">
            <v>0</v>
          </cell>
          <cell r="U222">
            <v>0</v>
          </cell>
          <cell r="V222">
            <v>0</v>
          </cell>
          <cell r="W222">
            <v>0</v>
          </cell>
          <cell r="X222">
            <v>0</v>
          </cell>
          <cell r="Y222">
            <v>0</v>
          </cell>
          <cell r="Z222">
            <v>0</v>
          </cell>
          <cell r="AB222">
            <v>45.430638058888704</v>
          </cell>
          <cell r="AF222">
            <v>0</v>
          </cell>
          <cell r="AG222">
            <v>0</v>
          </cell>
        </row>
        <row r="223">
          <cell r="A223" t="str">
            <v>TLFFCG50</v>
          </cell>
          <cell r="D223">
            <v>2050</v>
          </cell>
          <cell r="P223">
            <v>0</v>
          </cell>
          <cell r="Q223">
            <v>0</v>
          </cell>
          <cell r="R223">
            <v>0</v>
          </cell>
          <cell r="S223">
            <v>0</v>
          </cell>
          <cell r="T223">
            <v>0</v>
          </cell>
          <cell r="U223">
            <v>0</v>
          </cell>
          <cell r="V223">
            <v>0</v>
          </cell>
          <cell r="W223">
            <v>0</v>
          </cell>
          <cell r="X223">
            <v>0</v>
          </cell>
          <cell r="Y223">
            <v>0</v>
          </cell>
          <cell r="Z223">
            <v>0</v>
          </cell>
          <cell r="AB223">
            <v>45.430638058888704</v>
          </cell>
          <cell r="AF223">
            <v>0</v>
          </cell>
          <cell r="AG223">
            <v>0</v>
          </cell>
        </row>
        <row r="224">
          <cell r="A224" t="str">
            <v>TLFFCH15</v>
          </cell>
          <cell r="D224">
            <v>2015</v>
          </cell>
          <cell r="P224">
            <v>0</v>
          </cell>
          <cell r="Q224">
            <v>0</v>
          </cell>
          <cell r="R224">
            <v>0</v>
          </cell>
          <cell r="S224">
            <v>4938.6114332054367</v>
          </cell>
          <cell r="T224">
            <v>4372.2674993855517</v>
          </cell>
          <cell r="U224">
            <v>3987.3063816999593</v>
          </cell>
          <cell r="V224">
            <v>3684.2809755405769</v>
          </cell>
          <cell r="W224">
            <v>3444.3881199985412</v>
          </cell>
          <cell r="X224">
            <v>3444.3881199985412</v>
          </cell>
          <cell r="Y224">
            <v>3444.3881199985412</v>
          </cell>
          <cell r="Z224">
            <v>3444.3881199985412</v>
          </cell>
          <cell r="AB224">
            <v>45.430638058888704</v>
          </cell>
          <cell r="AF224">
            <v>0</v>
          </cell>
          <cell r="AG224">
            <v>0</v>
          </cell>
        </row>
        <row r="225">
          <cell r="A225" t="str">
            <v>TLFFCH20</v>
          </cell>
          <cell r="D225">
            <v>2020</v>
          </cell>
          <cell r="P225">
            <v>0</v>
          </cell>
          <cell r="Q225">
            <v>0</v>
          </cell>
          <cell r="R225">
            <v>0</v>
          </cell>
          <cell r="S225">
            <v>4938.6114332054367</v>
          </cell>
          <cell r="T225">
            <v>4372.2674993855517</v>
          </cell>
          <cell r="U225">
            <v>3987.3063816999593</v>
          </cell>
          <cell r="V225">
            <v>3684.2809755405769</v>
          </cell>
          <cell r="W225">
            <v>3444.3881199985412</v>
          </cell>
          <cell r="X225">
            <v>3444.3881199985412</v>
          </cell>
          <cell r="Y225">
            <v>3444.3881199985412</v>
          </cell>
          <cell r="Z225">
            <v>3444.3881199985412</v>
          </cell>
          <cell r="AB225">
            <v>45.430638058888704</v>
          </cell>
          <cell r="AF225">
            <v>0.33345304481082244</v>
          </cell>
          <cell r="AG225">
            <v>0</v>
          </cell>
        </row>
        <row r="226">
          <cell r="A226" t="str">
            <v>TLFFCH25</v>
          </cell>
          <cell r="D226">
            <v>2025</v>
          </cell>
          <cell r="P226">
            <v>0</v>
          </cell>
          <cell r="Q226">
            <v>0</v>
          </cell>
          <cell r="R226">
            <v>0</v>
          </cell>
          <cell r="S226">
            <v>4938.6114332054367</v>
          </cell>
          <cell r="T226">
            <v>4372.2674993855517</v>
          </cell>
          <cell r="U226">
            <v>3987.3063816999593</v>
          </cell>
          <cell r="V226">
            <v>3684.2809755405769</v>
          </cell>
          <cell r="W226">
            <v>3444.3881199985412</v>
          </cell>
          <cell r="X226">
            <v>3444.3881199985412</v>
          </cell>
          <cell r="Y226">
            <v>3444.3881199985412</v>
          </cell>
          <cell r="Z226">
            <v>3444.3881199985412</v>
          </cell>
          <cell r="AB226">
            <v>45.430638058888704</v>
          </cell>
          <cell r="AF226">
            <v>0.34418572089197763</v>
          </cell>
          <cell r="AG226">
            <v>0</v>
          </cell>
        </row>
        <row r="227">
          <cell r="A227" t="str">
            <v>TLFFCH30</v>
          </cell>
          <cell r="D227">
            <v>2030</v>
          </cell>
          <cell r="P227">
            <v>0</v>
          </cell>
          <cell r="Q227">
            <v>0</v>
          </cell>
          <cell r="R227">
            <v>0</v>
          </cell>
          <cell r="S227">
            <v>4938.6114332054367</v>
          </cell>
          <cell r="T227">
            <v>4372.2674993855517</v>
          </cell>
          <cell r="U227">
            <v>3987.3063816999593</v>
          </cell>
          <cell r="V227">
            <v>3684.2809755405769</v>
          </cell>
          <cell r="W227">
            <v>3444.3881199985412</v>
          </cell>
          <cell r="X227">
            <v>3444.3881199985412</v>
          </cell>
          <cell r="Y227">
            <v>3444.3881199985412</v>
          </cell>
          <cell r="Z227">
            <v>3444.3881199985412</v>
          </cell>
          <cell r="AB227">
            <v>45.430638058888704</v>
          </cell>
          <cell r="AF227">
            <v>0.34619345100057358</v>
          </cell>
          <cell r="AG227">
            <v>0</v>
          </cell>
        </row>
        <row r="228">
          <cell r="A228" t="str">
            <v>TLFFCH35</v>
          </cell>
          <cell r="D228">
            <v>2035</v>
          </cell>
          <cell r="P228">
            <v>0</v>
          </cell>
          <cell r="Q228">
            <v>0</v>
          </cell>
          <cell r="R228">
            <v>0</v>
          </cell>
          <cell r="S228">
            <v>4938.6114332054367</v>
          </cell>
          <cell r="T228">
            <v>4372.2674993855517</v>
          </cell>
          <cell r="U228">
            <v>3987.3063816999593</v>
          </cell>
          <cell r="V228">
            <v>3684.2809755405769</v>
          </cell>
          <cell r="W228">
            <v>3444.3881199985412</v>
          </cell>
          <cell r="X228">
            <v>3444.3881199985412</v>
          </cell>
          <cell r="Y228">
            <v>3444.3881199985412</v>
          </cell>
          <cell r="Z228">
            <v>3444.3881199985412</v>
          </cell>
          <cell r="AB228">
            <v>45.430638058888704</v>
          </cell>
          <cell r="AF228">
            <v>0.34619487281847322</v>
          </cell>
          <cell r="AG228">
            <v>0</v>
          </cell>
        </row>
        <row r="229">
          <cell r="A229" t="str">
            <v>TLFFCH40</v>
          </cell>
          <cell r="D229">
            <v>2040</v>
          </cell>
          <cell r="P229">
            <v>0</v>
          </cell>
          <cell r="Q229">
            <v>0</v>
          </cell>
          <cell r="R229">
            <v>0</v>
          </cell>
          <cell r="S229">
            <v>4938.6114332054367</v>
          </cell>
          <cell r="T229">
            <v>4372.2674993855517</v>
          </cell>
          <cell r="U229">
            <v>3987.3063816999593</v>
          </cell>
          <cell r="V229">
            <v>3684.2809755405769</v>
          </cell>
          <cell r="W229">
            <v>3444.3881199985412</v>
          </cell>
          <cell r="X229">
            <v>3444.3881199985412</v>
          </cell>
          <cell r="Y229">
            <v>3444.3881199985412</v>
          </cell>
          <cell r="Z229">
            <v>3444.3881199985412</v>
          </cell>
          <cell r="AB229">
            <v>45.430638058888704</v>
          </cell>
          <cell r="AF229">
            <v>0.3462107398640521</v>
          </cell>
          <cell r="AG229">
            <v>0</v>
          </cell>
        </row>
        <row r="230">
          <cell r="A230" t="str">
            <v>TLFFCH45</v>
          </cell>
          <cell r="D230">
            <v>2045</v>
          </cell>
          <cell r="P230">
            <v>0</v>
          </cell>
          <cell r="Q230">
            <v>0</v>
          </cell>
          <cell r="R230">
            <v>0</v>
          </cell>
          <cell r="S230">
            <v>4938.6114332054367</v>
          </cell>
          <cell r="T230">
            <v>4372.2674993855517</v>
          </cell>
          <cell r="U230">
            <v>3987.3063816999593</v>
          </cell>
          <cell r="V230">
            <v>3684.2809755405769</v>
          </cell>
          <cell r="W230">
            <v>3444.3881199985412</v>
          </cell>
          <cell r="X230">
            <v>3444.3881199985412</v>
          </cell>
          <cell r="Y230">
            <v>3444.3881199985412</v>
          </cell>
          <cell r="Z230">
            <v>3444.3881199985412</v>
          </cell>
          <cell r="AB230">
            <v>45.430638058888704</v>
          </cell>
          <cell r="AF230">
            <v>0.3462107398640521</v>
          </cell>
          <cell r="AG230">
            <v>0</v>
          </cell>
        </row>
        <row r="231">
          <cell r="A231" t="str">
            <v>TLFFCH50</v>
          </cell>
          <cell r="D231">
            <v>2050</v>
          </cell>
          <cell r="P231">
            <v>0</v>
          </cell>
          <cell r="Q231">
            <v>0</v>
          </cell>
          <cell r="R231">
            <v>0</v>
          </cell>
          <cell r="S231">
            <v>4938.6114332054367</v>
          </cell>
          <cell r="T231">
            <v>4372.2674993855517</v>
          </cell>
          <cell r="U231">
            <v>3987.3063816999593</v>
          </cell>
          <cell r="V231">
            <v>3684.2809755405769</v>
          </cell>
          <cell r="W231">
            <v>3444.3881199985412</v>
          </cell>
          <cell r="X231">
            <v>3444.3881199985412</v>
          </cell>
          <cell r="Y231">
            <v>3444.3881199985412</v>
          </cell>
          <cell r="Z231">
            <v>3444.3881199985412</v>
          </cell>
          <cell r="AB231">
            <v>45.430638058888704</v>
          </cell>
          <cell r="AF231">
            <v>0.3462107398640521</v>
          </cell>
          <cell r="AG231">
            <v>0</v>
          </cell>
        </row>
        <row r="232">
          <cell r="A232" t="str">
            <v>TLFHEV05</v>
          </cell>
          <cell r="D232">
            <v>2005</v>
          </cell>
          <cell r="P232">
            <v>2198.4084915809412</v>
          </cell>
          <cell r="Q232">
            <v>2526.1303528712679</v>
          </cell>
          <cell r="R232">
            <v>2300.920921808492</v>
          </cell>
          <cell r="S232">
            <v>2329.5990419060904</v>
          </cell>
          <cell r="T232">
            <v>2361.2468039974983</v>
          </cell>
          <cell r="U232">
            <v>2321.1840941070568</v>
          </cell>
          <cell r="V232">
            <v>2309.9821731886677</v>
          </cell>
          <cell r="W232">
            <v>2306.9574467084813</v>
          </cell>
          <cell r="X232">
            <v>2306.9574467084813</v>
          </cell>
          <cell r="Y232">
            <v>2306.9574467084813</v>
          </cell>
          <cell r="Z232">
            <v>2306.9574467084813</v>
          </cell>
          <cell r="AB232">
            <v>45.430638058888704</v>
          </cell>
          <cell r="AF232">
            <v>0.26312401778021532</v>
          </cell>
          <cell r="AG232">
            <v>0</v>
          </cell>
        </row>
        <row r="233">
          <cell r="A233" t="str">
            <v>TLFHEV10</v>
          </cell>
          <cell r="D233">
            <v>2010</v>
          </cell>
          <cell r="P233">
            <v>2198.4084915809412</v>
          </cell>
          <cell r="Q233">
            <v>2526.1303528712679</v>
          </cell>
          <cell r="R233">
            <v>2300.920921808492</v>
          </cell>
          <cell r="S233">
            <v>2329.5990419060904</v>
          </cell>
          <cell r="T233">
            <v>2361.2468039974983</v>
          </cell>
          <cell r="U233">
            <v>2321.1840941070568</v>
          </cell>
          <cell r="V233">
            <v>2309.9821731886677</v>
          </cell>
          <cell r="W233">
            <v>2306.9574467084813</v>
          </cell>
          <cell r="X233">
            <v>2306.9574467084813</v>
          </cell>
          <cell r="Y233">
            <v>2306.9574467084813</v>
          </cell>
          <cell r="Z233">
            <v>2306.9574467084813</v>
          </cell>
          <cell r="AB233">
            <v>45.430638058888704</v>
          </cell>
          <cell r="AF233">
            <v>0.33529406547246948</v>
          </cell>
          <cell r="AG233">
            <v>0</v>
          </cell>
        </row>
        <row r="234">
          <cell r="A234" t="str">
            <v>TLFHEV15</v>
          </cell>
          <cell r="D234">
            <v>2015</v>
          </cell>
          <cell r="P234">
            <v>2198.4084915809412</v>
          </cell>
          <cell r="Q234">
            <v>2526.1303528712679</v>
          </cell>
          <cell r="R234">
            <v>2300.920921808492</v>
          </cell>
          <cell r="S234">
            <v>2329.5990419060904</v>
          </cell>
          <cell r="T234">
            <v>2361.2468039974983</v>
          </cell>
          <cell r="U234">
            <v>2321.1840941070568</v>
          </cell>
          <cell r="V234">
            <v>2309.9821731886677</v>
          </cell>
          <cell r="W234">
            <v>2306.9574467084813</v>
          </cell>
          <cell r="X234">
            <v>2306.9574467084813</v>
          </cell>
          <cell r="Y234">
            <v>2306.9574467084813</v>
          </cell>
          <cell r="Z234">
            <v>2306.9574467084813</v>
          </cell>
          <cell r="AB234">
            <v>45.430638058888704</v>
          </cell>
          <cell r="AF234">
            <v>0.31867099392888615</v>
          </cell>
          <cell r="AG234">
            <v>0</v>
          </cell>
        </row>
        <row r="235">
          <cell r="A235" t="str">
            <v>TLFHEV20</v>
          </cell>
          <cell r="D235">
            <v>2020</v>
          </cell>
          <cell r="P235">
            <v>2198.4084915809412</v>
          </cell>
          <cell r="Q235">
            <v>2526.1303528712679</v>
          </cell>
          <cell r="R235">
            <v>2300.920921808492</v>
          </cell>
          <cell r="S235">
            <v>2329.5990419060904</v>
          </cell>
          <cell r="T235">
            <v>2361.2468039974983</v>
          </cell>
          <cell r="U235">
            <v>2321.1840941070568</v>
          </cell>
          <cell r="V235">
            <v>2309.9821731886677</v>
          </cell>
          <cell r="W235">
            <v>2306.9574467084813</v>
          </cell>
          <cell r="X235">
            <v>2306.9574467084813</v>
          </cell>
          <cell r="Y235">
            <v>2306.9574467084813</v>
          </cell>
          <cell r="Z235">
            <v>2306.9574467084813</v>
          </cell>
          <cell r="AB235">
            <v>45.430638058888704</v>
          </cell>
          <cell r="AF235">
            <v>0.37155339531077136</v>
          </cell>
          <cell r="AG235">
            <v>0</v>
          </cell>
        </row>
        <row r="236">
          <cell r="A236" t="str">
            <v>TLFHEV25</v>
          </cell>
          <cell r="D236">
            <v>2025</v>
          </cell>
          <cell r="P236">
            <v>2198.4084915809412</v>
          </cell>
          <cell r="Q236">
            <v>2526.1303528712679</v>
          </cell>
          <cell r="R236">
            <v>2300.920921808492</v>
          </cell>
          <cell r="S236">
            <v>2329.5990419060904</v>
          </cell>
          <cell r="T236">
            <v>2361.2468039974983</v>
          </cell>
          <cell r="U236">
            <v>2321.1840941070568</v>
          </cell>
          <cell r="V236">
            <v>2309.9821731886677</v>
          </cell>
          <cell r="W236">
            <v>2306.9574467084813</v>
          </cell>
          <cell r="X236">
            <v>2306.9574467084813</v>
          </cell>
          <cell r="Y236">
            <v>2306.9574467084813</v>
          </cell>
          <cell r="Z236">
            <v>2306.9574467084813</v>
          </cell>
          <cell r="AB236">
            <v>45.430638058888704</v>
          </cell>
          <cell r="AF236">
            <v>0.44944697629675967</v>
          </cell>
          <cell r="AG236">
            <v>0</v>
          </cell>
        </row>
        <row r="237">
          <cell r="A237" t="str">
            <v>TLFHEV30</v>
          </cell>
          <cell r="D237">
            <v>2030</v>
          </cell>
          <cell r="P237">
            <v>2198.4084915809412</v>
          </cell>
          <cell r="Q237">
            <v>2526.1303528712679</v>
          </cell>
          <cell r="R237">
            <v>2300.920921808492</v>
          </cell>
          <cell r="S237">
            <v>2329.5990419060904</v>
          </cell>
          <cell r="T237">
            <v>2361.2468039974983</v>
          </cell>
          <cell r="U237">
            <v>2321.1840941070568</v>
          </cell>
          <cell r="V237">
            <v>2309.9821731886677</v>
          </cell>
          <cell r="W237">
            <v>2306.9574467084813</v>
          </cell>
          <cell r="X237">
            <v>2306.9574467084813</v>
          </cell>
          <cell r="Y237">
            <v>2306.9574467084813</v>
          </cell>
          <cell r="Z237">
            <v>2306.9574467084813</v>
          </cell>
          <cell r="AB237">
            <v>45.430638058888704</v>
          </cell>
          <cell r="AF237">
            <v>0.45190035708088333</v>
          </cell>
          <cell r="AG237">
            <v>0</v>
          </cell>
        </row>
        <row r="238">
          <cell r="A238" t="str">
            <v>TLFHEV35</v>
          </cell>
          <cell r="D238">
            <v>2035</v>
          </cell>
          <cell r="P238">
            <v>2198.4084915809412</v>
          </cell>
          <cell r="Q238">
            <v>2526.1303528712679</v>
          </cell>
          <cell r="R238">
            <v>2300.920921808492</v>
          </cell>
          <cell r="S238">
            <v>2329.5990419060904</v>
          </cell>
          <cell r="T238">
            <v>2361.2468039974983</v>
          </cell>
          <cell r="U238">
            <v>2321.1840941070568</v>
          </cell>
          <cell r="V238">
            <v>2309.9821731886677</v>
          </cell>
          <cell r="W238">
            <v>2306.9574467084813</v>
          </cell>
          <cell r="X238">
            <v>2306.9574467084813</v>
          </cell>
          <cell r="Y238">
            <v>2306.9574467084813</v>
          </cell>
          <cell r="Z238">
            <v>2306.9574467084813</v>
          </cell>
          <cell r="AB238">
            <v>45.430638058888704</v>
          </cell>
          <cell r="AF238">
            <v>0.45112205737956518</v>
          </cell>
          <cell r="AG238">
            <v>0</v>
          </cell>
        </row>
        <row r="239">
          <cell r="A239" t="str">
            <v>TLFHEV40</v>
          </cell>
          <cell r="D239">
            <v>2040</v>
          </cell>
          <cell r="P239">
            <v>2198.4084915809412</v>
          </cell>
          <cell r="Q239">
            <v>2526.1303528712679</v>
          </cell>
          <cell r="R239">
            <v>2300.920921808492</v>
          </cell>
          <cell r="S239">
            <v>2329.5990419060904</v>
          </cell>
          <cell r="T239">
            <v>2361.2468039974983</v>
          </cell>
          <cell r="U239">
            <v>2321.1840941070568</v>
          </cell>
          <cell r="V239">
            <v>2309.9821731886677</v>
          </cell>
          <cell r="W239">
            <v>2306.9574467084813</v>
          </cell>
          <cell r="X239">
            <v>2306.9574467084813</v>
          </cell>
          <cell r="Y239">
            <v>2306.9574467084813</v>
          </cell>
          <cell r="Z239">
            <v>2306.9574467084813</v>
          </cell>
          <cell r="AB239">
            <v>45.430638058888704</v>
          </cell>
          <cell r="AF239">
            <v>0.45050132847311297</v>
          </cell>
          <cell r="AG239">
            <v>0</v>
          </cell>
        </row>
        <row r="240">
          <cell r="A240" t="str">
            <v>TLFHEV45</v>
          </cell>
          <cell r="D240">
            <v>2045</v>
          </cell>
          <cell r="P240">
            <v>2198.4084915809412</v>
          </cell>
          <cell r="Q240">
            <v>2526.1303528712679</v>
          </cell>
          <cell r="R240">
            <v>2300.920921808492</v>
          </cell>
          <cell r="S240">
            <v>2329.5990419060904</v>
          </cell>
          <cell r="T240">
            <v>2361.2468039974983</v>
          </cell>
          <cell r="U240">
            <v>2321.1840941070568</v>
          </cell>
          <cell r="V240">
            <v>2309.9821731886677</v>
          </cell>
          <cell r="W240">
            <v>2306.9574467084813</v>
          </cell>
          <cell r="X240">
            <v>2306.9574467084813</v>
          </cell>
          <cell r="Y240">
            <v>2306.9574467084813</v>
          </cell>
          <cell r="Z240">
            <v>2306.9574467084813</v>
          </cell>
          <cell r="AB240">
            <v>45.430638058888704</v>
          </cell>
          <cell r="AF240">
            <v>0.45050132847311297</v>
          </cell>
          <cell r="AG240">
            <v>0</v>
          </cell>
        </row>
        <row r="241">
          <cell r="A241" t="str">
            <v>TLFHEV50</v>
          </cell>
          <cell r="D241">
            <v>2050</v>
          </cell>
          <cell r="P241">
            <v>2198.4084915809412</v>
          </cell>
          <cell r="Q241">
            <v>2526.1303528712679</v>
          </cell>
          <cell r="R241">
            <v>2300.920921808492</v>
          </cell>
          <cell r="S241">
            <v>2329.5990419060904</v>
          </cell>
          <cell r="T241">
            <v>2361.2468039974983</v>
          </cell>
          <cell r="U241">
            <v>2321.1840941070568</v>
          </cell>
          <cell r="V241">
            <v>2309.9821731886677</v>
          </cell>
          <cell r="W241">
            <v>2306.9574467084813</v>
          </cell>
          <cell r="X241">
            <v>2306.9574467084813</v>
          </cell>
          <cell r="Y241">
            <v>2306.9574467084813</v>
          </cell>
          <cell r="Z241">
            <v>2306.9574467084813</v>
          </cell>
          <cell r="AB241">
            <v>45.430638058888704</v>
          </cell>
          <cell r="AF241">
            <v>0.45050132847311297</v>
          </cell>
          <cell r="AG241">
            <v>0</v>
          </cell>
        </row>
        <row r="242">
          <cell r="A242" t="str">
            <v>TLFLPGX00</v>
          </cell>
          <cell r="D242">
            <v>2060</v>
          </cell>
          <cell r="P242">
            <v>2503.257939968255</v>
          </cell>
          <cell r="Q242">
            <v>2393.7648053523876</v>
          </cell>
          <cell r="R242">
            <v>2321.2473842135896</v>
          </cell>
          <cell r="S242">
            <v>2384.2826915397804</v>
          </cell>
          <cell r="T242">
            <v>2496.6798405184304</v>
          </cell>
          <cell r="U242">
            <v>2500.125591801956</v>
          </cell>
          <cell r="V242">
            <v>2501.4029285659408</v>
          </cell>
          <cell r="W242">
            <v>2502.2914478830521</v>
          </cell>
          <cell r="X242">
            <v>2502.2914478830521</v>
          </cell>
          <cell r="Y242">
            <v>2502.2914478830521</v>
          </cell>
          <cell r="Z242">
            <v>2502.2914478830521</v>
          </cell>
          <cell r="AB242">
            <v>38.940546907618888</v>
          </cell>
          <cell r="AF242">
            <v>0.33672271122068209</v>
          </cell>
          <cell r="AG242">
            <v>0</v>
          </cell>
        </row>
        <row r="243">
          <cell r="A243" t="str">
            <v>TLFLPGX05</v>
          </cell>
          <cell r="D243">
            <v>2005</v>
          </cell>
          <cell r="P243">
            <v>2503.257939968255</v>
          </cell>
          <cell r="Q243">
            <v>2393.7648053523876</v>
          </cell>
          <cell r="R243">
            <v>2321.2473842135896</v>
          </cell>
          <cell r="S243">
            <v>2384.2826915397804</v>
          </cell>
          <cell r="T243">
            <v>2496.6798405184304</v>
          </cell>
          <cell r="U243">
            <v>2500.125591801956</v>
          </cell>
          <cell r="V243">
            <v>2501.4029285659408</v>
          </cell>
          <cell r="W243">
            <v>2502.2914478830521</v>
          </cell>
          <cell r="X243">
            <v>2502.2914478830521</v>
          </cell>
          <cell r="Y243">
            <v>2502.2914478830521</v>
          </cell>
          <cell r="Z243">
            <v>2502.2914478830521</v>
          </cell>
          <cell r="AB243">
            <v>38.940546907618888</v>
          </cell>
          <cell r="AF243">
            <v>0.17692129431938275</v>
          </cell>
          <cell r="AG243">
            <v>0</v>
          </cell>
        </row>
        <row r="244">
          <cell r="A244" t="str">
            <v>TLFLPGX10</v>
          </cell>
          <cell r="D244">
            <v>2010</v>
          </cell>
          <cell r="P244">
            <v>2503.257939968255</v>
          </cell>
          <cell r="Q244">
            <v>2393.7648053523876</v>
          </cell>
          <cell r="R244">
            <v>2321.2473842135896</v>
          </cell>
          <cell r="S244">
            <v>2384.2826915397804</v>
          </cell>
          <cell r="T244">
            <v>2496.6798405184304</v>
          </cell>
          <cell r="U244">
            <v>2500.125591801956</v>
          </cell>
          <cell r="V244">
            <v>2501.4029285659408</v>
          </cell>
          <cell r="W244">
            <v>2502.2914478830521</v>
          </cell>
          <cell r="X244">
            <v>2502.2914478830521</v>
          </cell>
          <cell r="Y244">
            <v>2502.2914478830521</v>
          </cell>
          <cell r="Z244">
            <v>2502.2914478830521</v>
          </cell>
          <cell r="AB244">
            <v>38.940546907618888</v>
          </cell>
          <cell r="AF244">
            <v>0.19283856045812206</v>
          </cell>
          <cell r="AG244">
            <v>0</v>
          </cell>
        </row>
        <row r="245">
          <cell r="A245" t="str">
            <v>TLFLPGX15</v>
          </cell>
          <cell r="D245">
            <v>2015</v>
          </cell>
          <cell r="P245">
            <v>2503.257939968255</v>
          </cell>
          <cell r="Q245">
            <v>2393.7648053523876</v>
          </cell>
          <cell r="R245">
            <v>2321.2473842135896</v>
          </cell>
          <cell r="S245">
            <v>2384.2826915397804</v>
          </cell>
          <cell r="T245">
            <v>2496.6798405184304</v>
          </cell>
          <cell r="U245">
            <v>2500.125591801956</v>
          </cell>
          <cell r="V245">
            <v>2501.4029285659408</v>
          </cell>
          <cell r="W245">
            <v>2502.2914478830521</v>
          </cell>
          <cell r="X245">
            <v>2502.2914478830521</v>
          </cell>
          <cell r="Y245">
            <v>2502.2914478830521</v>
          </cell>
          <cell r="Z245">
            <v>2502.2914478830521</v>
          </cell>
          <cell r="AB245">
            <v>38.940546907618888</v>
          </cell>
          <cell r="AF245">
            <v>0.22411295917386478</v>
          </cell>
          <cell r="AG245">
            <v>0</v>
          </cell>
        </row>
        <row r="246">
          <cell r="A246" t="str">
            <v>TLFLPGX20</v>
          </cell>
          <cell r="D246">
            <v>2020</v>
          </cell>
          <cell r="P246">
            <v>2503.257939968255</v>
          </cell>
          <cell r="Q246">
            <v>2393.7648053523876</v>
          </cell>
          <cell r="R246">
            <v>2321.2473842135896</v>
          </cell>
          <cell r="S246">
            <v>2384.2826915397804</v>
          </cell>
          <cell r="T246">
            <v>2496.6798405184304</v>
          </cell>
          <cell r="U246">
            <v>2500.125591801956</v>
          </cell>
          <cell r="V246">
            <v>2501.4029285659408</v>
          </cell>
          <cell r="W246">
            <v>2502.2914478830521</v>
          </cell>
          <cell r="X246">
            <v>2502.2914478830521</v>
          </cell>
          <cell r="Y246">
            <v>2502.2914478830521</v>
          </cell>
          <cell r="Z246">
            <v>2502.2914478830521</v>
          </cell>
          <cell r="AB246">
            <v>38.940546907618888</v>
          </cell>
          <cell r="AF246">
            <v>0.26708827997968165</v>
          </cell>
          <cell r="AG246">
            <v>0</v>
          </cell>
        </row>
        <row r="247">
          <cell r="A247" t="str">
            <v>TLFLPGX25</v>
          </cell>
          <cell r="D247">
            <v>2025</v>
          </cell>
          <cell r="P247">
            <v>2503.257939968255</v>
          </cell>
          <cell r="Q247">
            <v>2393.7648053523876</v>
          </cell>
          <cell r="R247">
            <v>2321.2473842135896</v>
          </cell>
          <cell r="S247">
            <v>2384.2826915397804</v>
          </cell>
          <cell r="T247">
            <v>2496.6798405184304</v>
          </cell>
          <cell r="U247">
            <v>2500.125591801956</v>
          </cell>
          <cell r="V247">
            <v>2501.4029285659408</v>
          </cell>
          <cell r="W247">
            <v>2502.2914478830521</v>
          </cell>
          <cell r="X247">
            <v>2502.2914478830521</v>
          </cell>
          <cell r="Y247">
            <v>2502.2914478830521</v>
          </cell>
          <cell r="Z247">
            <v>2502.2914478830521</v>
          </cell>
          <cell r="AB247">
            <v>38.940546907618888</v>
          </cell>
          <cell r="AF247">
            <v>0.33517320266139267</v>
          </cell>
          <cell r="AG247">
            <v>0</v>
          </cell>
        </row>
        <row r="248">
          <cell r="A248" t="str">
            <v>TLFLPGX30</v>
          </cell>
          <cell r="D248">
            <v>2030</v>
          </cell>
          <cell r="P248">
            <v>2503.257939968255</v>
          </cell>
          <cell r="Q248">
            <v>2393.7648053523876</v>
          </cell>
          <cell r="R248">
            <v>2321.2473842135896</v>
          </cell>
          <cell r="S248">
            <v>2384.2826915397804</v>
          </cell>
          <cell r="T248">
            <v>2496.6798405184304</v>
          </cell>
          <cell r="U248">
            <v>2500.125591801956</v>
          </cell>
          <cell r="V248">
            <v>2501.4029285659408</v>
          </cell>
          <cell r="W248">
            <v>2502.2914478830521</v>
          </cell>
          <cell r="X248">
            <v>2502.2914478830521</v>
          </cell>
          <cell r="Y248">
            <v>2502.2914478830521</v>
          </cell>
          <cell r="Z248">
            <v>2502.2914478830521</v>
          </cell>
          <cell r="AB248">
            <v>38.940546907618888</v>
          </cell>
          <cell r="AF248">
            <v>0.33745959797640968</v>
          </cell>
          <cell r="AG248">
            <v>0</v>
          </cell>
        </row>
        <row r="249">
          <cell r="A249" t="str">
            <v>TLFLPGX35</v>
          </cell>
          <cell r="D249">
            <v>2035</v>
          </cell>
          <cell r="P249">
            <v>2503.257939968255</v>
          </cell>
          <cell r="Q249">
            <v>2393.7648053523876</v>
          </cell>
          <cell r="R249">
            <v>2321.2473842135896</v>
          </cell>
          <cell r="S249">
            <v>2384.2826915397804</v>
          </cell>
          <cell r="T249">
            <v>2496.6798405184304</v>
          </cell>
          <cell r="U249">
            <v>2500.125591801956</v>
          </cell>
          <cell r="V249">
            <v>2501.4029285659408</v>
          </cell>
          <cell r="W249">
            <v>2502.2914478830521</v>
          </cell>
          <cell r="X249">
            <v>2502.2914478830521</v>
          </cell>
          <cell r="Y249">
            <v>2502.2914478830521</v>
          </cell>
          <cell r="Z249">
            <v>2502.2914478830521</v>
          </cell>
          <cell r="AB249">
            <v>38.940546907618888</v>
          </cell>
          <cell r="AF249">
            <v>0.33710189157553111</v>
          </cell>
          <cell r="AG249">
            <v>0</v>
          </cell>
        </row>
        <row r="250">
          <cell r="A250" t="str">
            <v>TLFLPGX40</v>
          </cell>
          <cell r="D250">
            <v>2040</v>
          </cell>
          <cell r="P250">
            <v>2503.257939968255</v>
          </cell>
          <cell r="Q250">
            <v>2393.7648053523876</v>
          </cell>
          <cell r="R250">
            <v>2321.2473842135896</v>
          </cell>
          <cell r="S250">
            <v>2384.2826915397804</v>
          </cell>
          <cell r="T250">
            <v>2496.6798405184304</v>
          </cell>
          <cell r="U250">
            <v>2500.125591801956</v>
          </cell>
          <cell r="V250">
            <v>2501.4029285659408</v>
          </cell>
          <cell r="W250">
            <v>2502.2914478830521</v>
          </cell>
          <cell r="X250">
            <v>2502.2914478830521</v>
          </cell>
          <cell r="Y250">
            <v>2502.2914478830521</v>
          </cell>
          <cell r="Z250">
            <v>2502.2914478830521</v>
          </cell>
          <cell r="AB250">
            <v>38.940546907618888</v>
          </cell>
          <cell r="AF250">
            <v>0.33672271122068209</v>
          </cell>
          <cell r="AG250">
            <v>0</v>
          </cell>
        </row>
        <row r="251">
          <cell r="A251" t="str">
            <v>TLFLPGX45</v>
          </cell>
          <cell r="D251">
            <v>2045</v>
          </cell>
          <cell r="P251">
            <v>2503.257939968255</v>
          </cell>
          <cell r="Q251">
            <v>2393.7648053523876</v>
          </cell>
          <cell r="R251">
            <v>2321.2473842135896</v>
          </cell>
          <cell r="S251">
            <v>2384.2826915397804</v>
          </cell>
          <cell r="T251">
            <v>2496.6798405184304</v>
          </cell>
          <cell r="U251">
            <v>2500.125591801956</v>
          </cell>
          <cell r="V251">
            <v>2501.4029285659408</v>
          </cell>
          <cell r="W251">
            <v>2502.2914478830521</v>
          </cell>
          <cell r="X251">
            <v>2502.2914478830521</v>
          </cell>
          <cell r="Y251">
            <v>2502.2914478830521</v>
          </cell>
          <cell r="Z251">
            <v>2502.2914478830521</v>
          </cell>
          <cell r="AB251">
            <v>38.940546907618888</v>
          </cell>
          <cell r="AF251">
            <v>0.33672271122068209</v>
          </cell>
          <cell r="AG251">
            <v>0</v>
          </cell>
        </row>
        <row r="252">
          <cell r="A252" t="str">
            <v>TLFLPGX50</v>
          </cell>
          <cell r="D252">
            <v>2050</v>
          </cell>
          <cell r="P252">
            <v>2503.257939968255</v>
          </cell>
          <cell r="Q252">
            <v>2393.7648053523876</v>
          </cell>
          <cell r="R252">
            <v>2321.2473842135896</v>
          </cell>
          <cell r="S252">
            <v>2384.2826915397804</v>
          </cell>
          <cell r="T252">
            <v>2496.6798405184304</v>
          </cell>
          <cell r="U252">
            <v>2500.125591801956</v>
          </cell>
          <cell r="V252">
            <v>2501.4029285659408</v>
          </cell>
          <cell r="W252">
            <v>2502.2914478830521</v>
          </cell>
          <cell r="X252">
            <v>2502.2914478830521</v>
          </cell>
          <cell r="Y252">
            <v>2502.2914478830521</v>
          </cell>
          <cell r="Z252">
            <v>2502.2914478830521</v>
          </cell>
          <cell r="AB252">
            <v>38.940546907618888</v>
          </cell>
          <cell r="AF252">
            <v>0.33672271122068209</v>
          </cell>
          <cell r="AG252">
            <v>0</v>
          </cell>
        </row>
        <row r="253">
          <cell r="A253" t="str">
            <v>TLFPHVG10</v>
          </cell>
          <cell r="D253">
            <v>2010</v>
          </cell>
          <cell r="P253">
            <v>0</v>
          </cell>
          <cell r="Q253">
            <v>2385.4894686309021</v>
          </cell>
          <cell r="R253">
            <v>2300.9741138561108</v>
          </cell>
          <cell r="S253">
            <v>2363.8270888179277</v>
          </cell>
          <cell r="T253">
            <v>2475.9787127911222</v>
          </cell>
          <cell r="U253">
            <v>2479.3794090858587</v>
          </cell>
          <cell r="V253">
            <v>2480.5933913319573</v>
          </cell>
          <cell r="W253">
            <v>2481.401029680268</v>
          </cell>
          <cell r="X253">
            <v>2481.401029680268</v>
          </cell>
          <cell r="Y253">
            <v>2481.401029680268</v>
          </cell>
          <cell r="Z253">
            <v>2481.401029680268</v>
          </cell>
          <cell r="AB253">
            <v>45.478712808157368</v>
          </cell>
          <cell r="AF253">
            <v>0.49273773333591925</v>
          </cell>
          <cell r="AG253">
            <v>0.26521554647620627</v>
          </cell>
        </row>
        <row r="254">
          <cell r="A254" t="str">
            <v>TLFPHVG15</v>
          </cell>
          <cell r="D254">
            <v>2015</v>
          </cell>
          <cell r="P254">
            <v>0</v>
          </cell>
          <cell r="Q254">
            <v>2385.4894686309021</v>
          </cell>
          <cell r="R254">
            <v>2300.9741138561108</v>
          </cell>
          <cell r="S254">
            <v>2363.8270888179277</v>
          </cell>
          <cell r="T254">
            <v>2475.9787127911222</v>
          </cell>
          <cell r="U254">
            <v>2479.3794090858587</v>
          </cell>
          <cell r="V254">
            <v>2480.5933913319573</v>
          </cell>
          <cell r="W254">
            <v>2481.401029680268</v>
          </cell>
          <cell r="X254">
            <v>2481.401029680268</v>
          </cell>
          <cell r="Y254">
            <v>2481.401029680268</v>
          </cell>
          <cell r="Z254">
            <v>2481.401029680268</v>
          </cell>
          <cell r="AB254">
            <v>45.478712808157368</v>
          </cell>
          <cell r="AF254">
            <v>0.46830898425584155</v>
          </cell>
          <cell r="AG254">
            <v>0.26521554647620627</v>
          </cell>
        </row>
        <row r="255">
          <cell r="A255" t="str">
            <v>TLFPHVG20</v>
          </cell>
          <cell r="D255">
            <v>2020</v>
          </cell>
          <cell r="P255">
            <v>0</v>
          </cell>
          <cell r="Q255">
            <v>2385.4894686309021</v>
          </cell>
          <cell r="R255">
            <v>2300.9741138561108</v>
          </cell>
          <cell r="S255">
            <v>2363.8270888179277</v>
          </cell>
          <cell r="T255">
            <v>2475.9787127911222</v>
          </cell>
          <cell r="U255">
            <v>2479.3794090858587</v>
          </cell>
          <cell r="V255">
            <v>2480.5933913319573</v>
          </cell>
          <cell r="W255">
            <v>2481.401029680268</v>
          </cell>
          <cell r="X255">
            <v>2481.401029680268</v>
          </cell>
          <cell r="Y255">
            <v>2481.401029680268</v>
          </cell>
          <cell r="Z255">
            <v>2481.401029680268</v>
          </cell>
          <cell r="AB255">
            <v>45.478712808157368</v>
          </cell>
          <cell r="AF255">
            <v>0.5460233170566704</v>
          </cell>
          <cell r="AG255">
            <v>0.26521554647620627</v>
          </cell>
        </row>
        <row r="256">
          <cell r="A256" t="str">
            <v>TLFPHVG25</v>
          </cell>
          <cell r="D256">
            <v>2025</v>
          </cell>
          <cell r="P256">
            <v>0</v>
          </cell>
          <cell r="Q256">
            <v>2385.4894686309021</v>
          </cell>
          <cell r="R256">
            <v>2300.9741138561108</v>
          </cell>
          <cell r="S256">
            <v>2363.8270888179277</v>
          </cell>
          <cell r="T256">
            <v>2475.9787127911222</v>
          </cell>
          <cell r="U256">
            <v>2479.3794090858587</v>
          </cell>
          <cell r="V256">
            <v>2480.5933913319573</v>
          </cell>
          <cell r="W256">
            <v>2481.401029680268</v>
          </cell>
          <cell r="X256">
            <v>2481.401029680268</v>
          </cell>
          <cell r="Y256">
            <v>2481.401029680268</v>
          </cell>
          <cell r="Z256">
            <v>2481.401029680268</v>
          </cell>
          <cell r="AB256">
            <v>45.478712808157368</v>
          </cell>
          <cell r="AF256">
            <v>0.66049330173227194</v>
          </cell>
          <cell r="AG256">
            <v>0.26521554647620627</v>
          </cell>
        </row>
        <row r="257">
          <cell r="A257" t="str">
            <v>TLFPHVG30</v>
          </cell>
          <cell r="D257">
            <v>2030</v>
          </cell>
          <cell r="P257">
            <v>0</v>
          </cell>
          <cell r="Q257">
            <v>2385.4894686309021</v>
          </cell>
          <cell r="R257">
            <v>2300.9741138561108</v>
          </cell>
          <cell r="S257">
            <v>2363.8270888179277</v>
          </cell>
          <cell r="T257">
            <v>2475.9787127911222</v>
          </cell>
          <cell r="U257">
            <v>2479.3794090858587</v>
          </cell>
          <cell r="V257">
            <v>2480.5933913319573</v>
          </cell>
          <cell r="W257">
            <v>2481.401029680268</v>
          </cell>
          <cell r="X257">
            <v>2481.401029680268</v>
          </cell>
          <cell r="Y257">
            <v>2481.401029680268</v>
          </cell>
          <cell r="Z257">
            <v>2481.401029680268</v>
          </cell>
          <cell r="AB257">
            <v>45.478712808157368</v>
          </cell>
          <cell r="AF257">
            <v>0.66409871384976826</v>
          </cell>
          <cell r="AG257">
            <v>0.26521554647620627</v>
          </cell>
        </row>
        <row r="258">
          <cell r="A258" t="str">
            <v>TLFPHVG35</v>
          </cell>
          <cell r="D258">
            <v>2035</v>
          </cell>
          <cell r="P258">
            <v>0</v>
          </cell>
          <cell r="Q258">
            <v>2385.4894686309021</v>
          </cell>
          <cell r="R258">
            <v>2300.9741138561108</v>
          </cell>
          <cell r="S258">
            <v>2363.8270888179277</v>
          </cell>
          <cell r="T258">
            <v>2475.9787127911222</v>
          </cell>
          <cell r="U258">
            <v>2479.3794090858587</v>
          </cell>
          <cell r="V258">
            <v>2480.5933913319573</v>
          </cell>
          <cell r="W258">
            <v>2481.401029680268</v>
          </cell>
          <cell r="X258">
            <v>2481.401029680268</v>
          </cell>
          <cell r="Y258">
            <v>2481.401029680268</v>
          </cell>
          <cell r="Z258">
            <v>2481.401029680268</v>
          </cell>
          <cell r="AB258">
            <v>45.478712808157368</v>
          </cell>
          <cell r="AF258">
            <v>0.66295494880834671</v>
          </cell>
          <cell r="AG258">
            <v>0.26521554647620627</v>
          </cell>
        </row>
        <row r="259">
          <cell r="A259" t="str">
            <v>TLFPHVG40</v>
          </cell>
          <cell r="D259">
            <v>2040</v>
          </cell>
          <cell r="P259">
            <v>0</v>
          </cell>
          <cell r="Q259">
            <v>2385.4894686309021</v>
          </cell>
          <cell r="R259">
            <v>2300.9741138561108</v>
          </cell>
          <cell r="S259">
            <v>2363.8270888179277</v>
          </cell>
          <cell r="T259">
            <v>2475.9787127911222</v>
          </cell>
          <cell r="U259">
            <v>2479.3794090858587</v>
          </cell>
          <cell r="V259">
            <v>2480.5933913319573</v>
          </cell>
          <cell r="W259">
            <v>2481.401029680268</v>
          </cell>
          <cell r="X259">
            <v>2481.401029680268</v>
          </cell>
          <cell r="Y259">
            <v>2481.401029680268</v>
          </cell>
          <cell r="Z259">
            <v>2481.401029680268</v>
          </cell>
          <cell r="AB259">
            <v>45.478712808157368</v>
          </cell>
          <cell r="AF259">
            <v>0.66204274490771886</v>
          </cell>
          <cell r="AG259">
            <v>0.26521554647620627</v>
          </cell>
        </row>
        <row r="260">
          <cell r="A260" t="str">
            <v>TLFPHVG45</v>
          </cell>
          <cell r="D260">
            <v>2045</v>
          </cell>
          <cell r="P260">
            <v>0</v>
          </cell>
          <cell r="Q260">
            <v>2385.4894686309021</v>
          </cell>
          <cell r="R260">
            <v>2300.9741138561108</v>
          </cell>
          <cell r="S260">
            <v>2363.8270888179277</v>
          </cell>
          <cell r="T260">
            <v>2475.9787127911222</v>
          </cell>
          <cell r="U260">
            <v>2479.3794090858587</v>
          </cell>
          <cell r="V260">
            <v>2480.5933913319573</v>
          </cell>
          <cell r="W260">
            <v>2481.401029680268</v>
          </cell>
          <cell r="X260">
            <v>2481.401029680268</v>
          </cell>
          <cell r="Y260">
            <v>2481.401029680268</v>
          </cell>
          <cell r="Z260">
            <v>2481.401029680268</v>
          </cell>
          <cell r="AB260">
            <v>45.478712808157368</v>
          </cell>
          <cell r="AF260">
            <v>0.66204274490771886</v>
          </cell>
          <cell r="AG260">
            <v>0.26521554647620627</v>
          </cell>
        </row>
        <row r="261">
          <cell r="A261" t="str">
            <v>TLFPHVG50</v>
          </cell>
          <cell r="D261">
            <v>2050</v>
          </cell>
          <cell r="P261">
            <v>0</v>
          </cell>
          <cell r="Q261">
            <v>2385.4894686309021</v>
          </cell>
          <cell r="R261">
            <v>2300.9741138561108</v>
          </cell>
          <cell r="S261">
            <v>2363.8270888179277</v>
          </cell>
          <cell r="T261">
            <v>2475.9787127911222</v>
          </cell>
          <cell r="U261">
            <v>2479.3794090858587</v>
          </cell>
          <cell r="V261">
            <v>2480.5933913319573</v>
          </cell>
          <cell r="W261">
            <v>2481.401029680268</v>
          </cell>
          <cell r="X261">
            <v>2481.401029680268</v>
          </cell>
          <cell r="Y261">
            <v>2481.401029680268</v>
          </cell>
          <cell r="Z261">
            <v>2481.401029680268</v>
          </cell>
          <cell r="AB261">
            <v>45.478712808157368</v>
          </cell>
          <cell r="AF261">
            <v>0.66204274490771886</v>
          </cell>
          <cell r="AG261">
            <v>0.26521554647620627</v>
          </cell>
        </row>
        <row r="262">
          <cell r="A262" t="str">
            <v>TLMCONV00</v>
          </cell>
          <cell r="D262">
            <v>2060</v>
          </cell>
          <cell r="P262">
            <v>2013.4502682233262</v>
          </cell>
          <cell r="Q262">
            <v>1912.875216770449</v>
          </cell>
          <cell r="R262">
            <v>2017.8023765589585</v>
          </cell>
          <cell r="S262">
            <v>2079.7668889755482</v>
          </cell>
          <cell r="T262">
            <v>2159.4441985288622</v>
          </cell>
          <cell r="U262">
            <v>2162.8549762871025</v>
          </cell>
          <cell r="V262">
            <v>2164.5257278565996</v>
          </cell>
          <cell r="W262">
            <v>2166.0150723186894</v>
          </cell>
          <cell r="X262">
            <v>2166.0150723186894</v>
          </cell>
          <cell r="Y262">
            <v>2166.0150723186894</v>
          </cell>
          <cell r="Z262">
            <v>2166.0150723186894</v>
          </cell>
          <cell r="AB262">
            <v>43.267274341798768</v>
          </cell>
          <cell r="AF262">
            <v>0.25924877501448718</v>
          </cell>
          <cell r="AG262">
            <v>0</v>
          </cell>
        </row>
        <row r="263">
          <cell r="A263" t="str">
            <v>TLMCONV05</v>
          </cell>
          <cell r="D263">
            <v>2005</v>
          </cell>
          <cell r="P263">
            <v>2013.4502682233262</v>
          </cell>
          <cell r="Q263">
            <v>1912.875216770449</v>
          </cell>
          <cell r="R263">
            <v>2017.8023765589585</v>
          </cell>
          <cell r="S263">
            <v>2079.7668889755482</v>
          </cell>
          <cell r="T263">
            <v>2159.4441985288622</v>
          </cell>
          <cell r="U263">
            <v>2162.8549762871025</v>
          </cell>
          <cell r="V263">
            <v>2164.5257278565996</v>
          </cell>
          <cell r="W263">
            <v>2166.0150723186894</v>
          </cell>
          <cell r="X263">
            <v>2166.0150723186894</v>
          </cell>
          <cell r="Y263">
            <v>2166.0150723186894</v>
          </cell>
          <cell r="Z263">
            <v>2166.0150723186894</v>
          </cell>
          <cell r="AB263">
            <v>43.267274341798768</v>
          </cell>
          <cell r="AF263">
            <v>0.14576551280933331</v>
          </cell>
          <cell r="AG263">
            <v>0</v>
          </cell>
        </row>
        <row r="264">
          <cell r="A264" t="str">
            <v>TLMCONV10</v>
          </cell>
          <cell r="D264">
            <v>2010</v>
          </cell>
          <cell r="P264">
            <v>2013.4502682233262</v>
          </cell>
          <cell r="Q264">
            <v>1912.875216770449</v>
          </cell>
          <cell r="R264">
            <v>2017.8023765589585</v>
          </cell>
          <cell r="S264">
            <v>2079.7668889755482</v>
          </cell>
          <cell r="T264">
            <v>2159.4441985288622</v>
          </cell>
          <cell r="U264">
            <v>2162.8549762871025</v>
          </cell>
          <cell r="V264">
            <v>2164.5257278565996</v>
          </cell>
          <cell r="W264">
            <v>2166.0150723186894</v>
          </cell>
          <cell r="X264">
            <v>2166.0150723186894</v>
          </cell>
          <cell r="Y264">
            <v>2166.0150723186894</v>
          </cell>
          <cell r="Z264">
            <v>2166.0150723186894</v>
          </cell>
          <cell r="AB264">
            <v>43.267274341798768</v>
          </cell>
          <cell r="AF264">
            <v>0.16865309024145619</v>
          </cell>
          <cell r="AG264">
            <v>0</v>
          </cell>
        </row>
        <row r="265">
          <cell r="A265" t="str">
            <v>TLMCONV15</v>
          </cell>
          <cell r="D265">
            <v>2015</v>
          </cell>
          <cell r="P265">
            <v>2013.4502682233262</v>
          </cell>
          <cell r="Q265">
            <v>1912.875216770449</v>
          </cell>
          <cell r="R265">
            <v>2017.8023765589585</v>
          </cell>
          <cell r="S265">
            <v>2079.7668889755482</v>
          </cell>
          <cell r="T265">
            <v>2159.4441985288622</v>
          </cell>
          <cell r="U265">
            <v>2162.8549762871025</v>
          </cell>
          <cell r="V265">
            <v>2164.5257278565996</v>
          </cell>
          <cell r="W265">
            <v>2166.0150723186894</v>
          </cell>
          <cell r="X265">
            <v>2166.0150723186894</v>
          </cell>
          <cell r="Y265">
            <v>2166.0150723186894</v>
          </cell>
          <cell r="Z265">
            <v>2166.0150723186894</v>
          </cell>
          <cell r="AB265">
            <v>43.267274341798768</v>
          </cell>
          <cell r="AF265">
            <v>0.17576411502064687</v>
          </cell>
          <cell r="AG265">
            <v>0</v>
          </cell>
        </row>
        <row r="266">
          <cell r="A266" t="str">
            <v>TLMCONV20</v>
          </cell>
          <cell r="D266">
            <v>2020</v>
          </cell>
          <cell r="P266">
            <v>2013.4502682233262</v>
          </cell>
          <cell r="Q266">
            <v>1912.875216770449</v>
          </cell>
          <cell r="R266">
            <v>2017.8023765589585</v>
          </cell>
          <cell r="S266">
            <v>2079.7668889755482</v>
          </cell>
          <cell r="T266">
            <v>2159.4441985288622</v>
          </cell>
          <cell r="U266">
            <v>2162.8549762871025</v>
          </cell>
          <cell r="V266">
            <v>2164.5257278565996</v>
          </cell>
          <cell r="W266">
            <v>2166.0150723186894</v>
          </cell>
          <cell r="X266">
            <v>2166.0150723186894</v>
          </cell>
          <cell r="Y266">
            <v>2166.0150723186894</v>
          </cell>
          <cell r="Z266">
            <v>2166.0150723186894</v>
          </cell>
          <cell r="AB266">
            <v>43.267274341798768</v>
          </cell>
          <cell r="AF266">
            <v>0.2077857107796317</v>
          </cell>
          <cell r="AG266">
            <v>0</v>
          </cell>
        </row>
        <row r="267">
          <cell r="A267" t="str">
            <v>TLMCONV25</v>
          </cell>
          <cell r="D267">
            <v>2025</v>
          </cell>
          <cell r="P267">
            <v>2013.4502682233262</v>
          </cell>
          <cell r="Q267">
            <v>1912.875216770449</v>
          </cell>
          <cell r="R267">
            <v>2017.8023765589585</v>
          </cell>
          <cell r="S267">
            <v>2079.7668889755482</v>
          </cell>
          <cell r="T267">
            <v>2159.4441985288622</v>
          </cell>
          <cell r="U267">
            <v>2162.8549762871025</v>
          </cell>
          <cell r="V267">
            <v>2164.5257278565996</v>
          </cell>
          <cell r="W267">
            <v>2166.0150723186894</v>
          </cell>
          <cell r="X267">
            <v>2166.0150723186894</v>
          </cell>
          <cell r="Y267">
            <v>2166.0150723186894</v>
          </cell>
          <cell r="Z267">
            <v>2166.0150723186894</v>
          </cell>
          <cell r="AB267">
            <v>43.267274341798768</v>
          </cell>
          <cell r="AF267">
            <v>0.25407115198563929</v>
          </cell>
          <cell r="AG267">
            <v>0</v>
          </cell>
        </row>
        <row r="268">
          <cell r="A268" t="str">
            <v>TLMCONV30</v>
          </cell>
          <cell r="D268">
            <v>2030</v>
          </cell>
          <cell r="P268">
            <v>2013.4502682233262</v>
          </cell>
          <cell r="Q268">
            <v>1912.875216770449</v>
          </cell>
          <cell r="R268">
            <v>2017.8023765589585</v>
          </cell>
          <cell r="S268">
            <v>2079.7668889755482</v>
          </cell>
          <cell r="T268">
            <v>2159.4441985288622</v>
          </cell>
          <cell r="U268">
            <v>2162.8549762871025</v>
          </cell>
          <cell r="V268">
            <v>2164.5257278565996</v>
          </cell>
          <cell r="W268">
            <v>2166.0150723186894</v>
          </cell>
          <cell r="X268">
            <v>2166.0150723186894</v>
          </cell>
          <cell r="Y268">
            <v>2166.0150723186894</v>
          </cell>
          <cell r="Z268">
            <v>2166.0150723186894</v>
          </cell>
          <cell r="AB268">
            <v>43.267274341798768</v>
          </cell>
          <cell r="AF268">
            <v>0.25787226147721226</v>
          </cell>
          <cell r="AG268">
            <v>0</v>
          </cell>
        </row>
        <row r="269">
          <cell r="A269" t="str">
            <v>TLMCONV35</v>
          </cell>
          <cell r="D269">
            <v>2035</v>
          </cell>
          <cell r="P269">
            <v>2013.4502682233262</v>
          </cell>
          <cell r="Q269">
            <v>1912.875216770449</v>
          </cell>
          <cell r="R269">
            <v>2017.8023765589585</v>
          </cell>
          <cell r="S269">
            <v>2079.7668889755482</v>
          </cell>
          <cell r="T269">
            <v>2159.4441985288622</v>
          </cell>
          <cell r="U269">
            <v>2162.8549762871025</v>
          </cell>
          <cell r="V269">
            <v>2164.5257278565996</v>
          </cell>
          <cell r="W269">
            <v>2166.0150723186894</v>
          </cell>
          <cell r="X269">
            <v>2166.0150723186894</v>
          </cell>
          <cell r="Y269">
            <v>2166.0150723186894</v>
          </cell>
          <cell r="Z269">
            <v>2166.0150723186894</v>
          </cell>
          <cell r="AB269">
            <v>43.267274341798768</v>
          </cell>
          <cell r="AF269">
            <v>0.2596587717519469</v>
          </cell>
          <cell r="AG269">
            <v>0</v>
          </cell>
        </row>
        <row r="270">
          <cell r="A270" t="str">
            <v>TLMCONV40</v>
          </cell>
          <cell r="D270">
            <v>2040</v>
          </cell>
          <cell r="P270">
            <v>2013.4502682233262</v>
          </cell>
          <cell r="Q270">
            <v>1912.875216770449</v>
          </cell>
          <cell r="R270">
            <v>2017.8023765589585</v>
          </cell>
          <cell r="S270">
            <v>2079.7668889755482</v>
          </cell>
          <cell r="T270">
            <v>2159.4441985288622</v>
          </cell>
          <cell r="U270">
            <v>2162.8549762871025</v>
          </cell>
          <cell r="V270">
            <v>2164.5257278565996</v>
          </cell>
          <cell r="W270">
            <v>2166.0150723186894</v>
          </cell>
          <cell r="X270">
            <v>2166.0150723186894</v>
          </cell>
          <cell r="Y270">
            <v>2166.0150723186894</v>
          </cell>
          <cell r="Z270">
            <v>2166.0150723186894</v>
          </cell>
          <cell r="AB270">
            <v>43.267274341798768</v>
          </cell>
          <cell r="AF270">
            <v>0.25924877501448718</v>
          </cell>
          <cell r="AG270">
            <v>0</v>
          </cell>
        </row>
        <row r="271">
          <cell r="A271" t="str">
            <v>TLMCONV45</v>
          </cell>
          <cell r="D271">
            <v>2045</v>
          </cell>
          <cell r="P271">
            <v>2013.4502682233262</v>
          </cell>
          <cell r="Q271">
            <v>1912.875216770449</v>
          </cell>
          <cell r="R271">
            <v>2017.8023765589585</v>
          </cell>
          <cell r="S271">
            <v>2079.7668889755482</v>
          </cell>
          <cell r="T271">
            <v>2159.4441985288622</v>
          </cell>
          <cell r="U271">
            <v>2162.8549762871025</v>
          </cell>
          <cell r="V271">
            <v>2164.5257278565996</v>
          </cell>
          <cell r="W271">
            <v>2166.0150723186894</v>
          </cell>
          <cell r="X271">
            <v>2166.0150723186894</v>
          </cell>
          <cell r="Y271">
            <v>2166.0150723186894</v>
          </cell>
          <cell r="Z271">
            <v>2166.0150723186894</v>
          </cell>
          <cell r="AB271">
            <v>43.267274341798768</v>
          </cell>
          <cell r="AF271">
            <v>0.25924877501448718</v>
          </cell>
          <cell r="AG271">
            <v>0</v>
          </cell>
        </row>
        <row r="272">
          <cell r="A272" t="str">
            <v>TLMCONV50</v>
          </cell>
          <cell r="D272">
            <v>2050</v>
          </cell>
          <cell r="P272">
            <v>2013.4502682233262</v>
          </cell>
          <cell r="Q272">
            <v>1912.875216770449</v>
          </cell>
          <cell r="R272">
            <v>2017.8023765589585</v>
          </cell>
          <cell r="S272">
            <v>2079.7668889755482</v>
          </cell>
          <cell r="T272">
            <v>2159.4441985288622</v>
          </cell>
          <cell r="U272">
            <v>2162.8549762871025</v>
          </cell>
          <cell r="V272">
            <v>2164.5257278565996</v>
          </cell>
          <cell r="W272">
            <v>2166.0150723186894</v>
          </cell>
          <cell r="X272">
            <v>2166.0150723186894</v>
          </cell>
          <cell r="Y272">
            <v>2166.0150723186894</v>
          </cell>
          <cell r="Z272">
            <v>2166.0150723186894</v>
          </cell>
          <cell r="AB272">
            <v>43.267274341798768</v>
          </cell>
          <cell r="AF272">
            <v>0.25924877501448718</v>
          </cell>
          <cell r="AG272">
            <v>0</v>
          </cell>
        </row>
        <row r="273">
          <cell r="A273" t="str">
            <v>TLMCNG00</v>
          </cell>
          <cell r="D273">
            <v>2060</v>
          </cell>
          <cell r="P273">
            <v>2606.7543850107281</v>
          </cell>
          <cell r="Q273">
            <v>2535.2622501278288</v>
          </cell>
          <cell r="R273">
            <v>2661.0083422291609</v>
          </cell>
          <cell r="S273">
            <v>2721.6496644306321</v>
          </cell>
          <cell r="T273">
            <v>2796.5719602206809</v>
          </cell>
          <cell r="U273">
            <v>2800.1438129559137</v>
          </cell>
          <cell r="V273">
            <v>2801.8655852551929</v>
          </cell>
          <cell r="W273">
            <v>2803.6481466431705</v>
          </cell>
          <cell r="X273">
            <v>2803.6481466431705</v>
          </cell>
          <cell r="Y273">
            <v>2803.6481466431705</v>
          </cell>
          <cell r="Z273">
            <v>2803.6481466431705</v>
          </cell>
          <cell r="AB273">
            <v>38.940546907618888</v>
          </cell>
          <cell r="AF273">
            <v>0.27490116981544116</v>
          </cell>
          <cell r="AG273">
            <v>0</v>
          </cell>
        </row>
        <row r="274">
          <cell r="A274" t="str">
            <v>TLMCNG05</v>
          </cell>
          <cell r="D274">
            <v>2005</v>
          </cell>
          <cell r="P274">
            <v>2606.7543850107281</v>
          </cell>
          <cell r="Q274">
            <v>2535.2622501278288</v>
          </cell>
          <cell r="R274">
            <v>2661.0083422291609</v>
          </cell>
          <cell r="S274">
            <v>2721.6496644306321</v>
          </cell>
          <cell r="T274">
            <v>2796.5719602206809</v>
          </cell>
          <cell r="U274">
            <v>2800.1438129559137</v>
          </cell>
          <cell r="V274">
            <v>2801.8655852551929</v>
          </cell>
          <cell r="W274">
            <v>2803.6481466431705</v>
          </cell>
          <cell r="X274">
            <v>2803.6481466431705</v>
          </cell>
          <cell r="Y274">
            <v>2803.6481466431705</v>
          </cell>
          <cell r="Z274">
            <v>2803.6481466431705</v>
          </cell>
          <cell r="AB274">
            <v>38.940546907618888</v>
          </cell>
          <cell r="AF274">
            <v>0.15198398758404824</v>
          </cell>
          <cell r="AG274">
            <v>0</v>
          </cell>
        </row>
        <row r="275">
          <cell r="A275" t="str">
            <v>TLMCNG10</v>
          </cell>
          <cell r="D275">
            <v>2010</v>
          </cell>
          <cell r="P275">
            <v>2606.7543850107281</v>
          </cell>
          <cell r="Q275">
            <v>2535.2622501278288</v>
          </cell>
          <cell r="R275">
            <v>2661.0083422291609</v>
          </cell>
          <cell r="S275">
            <v>2721.6496644306321</v>
          </cell>
          <cell r="T275">
            <v>2796.5719602206809</v>
          </cell>
          <cell r="U275">
            <v>2800.1438129559137</v>
          </cell>
          <cell r="V275">
            <v>2801.8655852551929</v>
          </cell>
          <cell r="W275">
            <v>2803.6481466431705</v>
          </cell>
          <cell r="X275">
            <v>2803.6481466431705</v>
          </cell>
          <cell r="Y275">
            <v>2803.6481466431705</v>
          </cell>
          <cell r="Z275">
            <v>2803.6481466431705</v>
          </cell>
          <cell r="AB275">
            <v>38.940546907618888</v>
          </cell>
          <cell r="AF275">
            <v>0.18161264039065228</v>
          </cell>
          <cell r="AG275">
            <v>0</v>
          </cell>
        </row>
        <row r="276">
          <cell r="A276" t="str">
            <v>TLMCNG15</v>
          </cell>
          <cell r="D276">
            <v>2015</v>
          </cell>
          <cell r="P276">
            <v>2606.7543850107281</v>
          </cell>
          <cell r="Q276">
            <v>2535.2622501278288</v>
          </cell>
          <cell r="R276">
            <v>2661.0083422291609</v>
          </cell>
          <cell r="S276">
            <v>2721.6496644306321</v>
          </cell>
          <cell r="T276">
            <v>2796.5719602206809</v>
          </cell>
          <cell r="U276">
            <v>2800.1438129559137</v>
          </cell>
          <cell r="V276">
            <v>2801.8655852551929</v>
          </cell>
          <cell r="W276">
            <v>2803.6481466431705</v>
          </cell>
          <cell r="X276">
            <v>2803.6481466431705</v>
          </cell>
          <cell r="Y276">
            <v>2803.6481466431705</v>
          </cell>
          <cell r="Z276">
            <v>2803.6481466431705</v>
          </cell>
          <cell r="AB276">
            <v>38.940546907618888</v>
          </cell>
          <cell r="AF276">
            <v>0.18900442768426323</v>
          </cell>
          <cell r="AG276">
            <v>0</v>
          </cell>
        </row>
        <row r="277">
          <cell r="A277" t="str">
            <v>TLMCNG20</v>
          </cell>
          <cell r="D277">
            <v>2020</v>
          </cell>
          <cell r="P277">
            <v>2606.7543850107281</v>
          </cell>
          <cell r="Q277">
            <v>2535.2622501278288</v>
          </cell>
          <cell r="R277">
            <v>2661.0083422291609</v>
          </cell>
          <cell r="S277">
            <v>2721.6496644306321</v>
          </cell>
          <cell r="T277">
            <v>2796.5719602206809</v>
          </cell>
          <cell r="U277">
            <v>2800.1438129559137</v>
          </cell>
          <cell r="V277">
            <v>2801.8655852551929</v>
          </cell>
          <cell r="W277">
            <v>2803.6481466431705</v>
          </cell>
          <cell r="X277">
            <v>2803.6481466431705</v>
          </cell>
          <cell r="Y277">
            <v>2803.6481466431705</v>
          </cell>
          <cell r="Z277">
            <v>2803.6481466431705</v>
          </cell>
          <cell r="AB277">
            <v>38.940546907618888</v>
          </cell>
          <cell r="AF277">
            <v>0.22224359723100959</v>
          </cell>
          <cell r="AG277">
            <v>0</v>
          </cell>
        </row>
        <row r="278">
          <cell r="A278" t="str">
            <v>TLMCNG25</v>
          </cell>
          <cell r="D278">
            <v>2025</v>
          </cell>
          <cell r="P278">
            <v>2606.7543850107281</v>
          </cell>
          <cell r="Q278">
            <v>2535.2622501278288</v>
          </cell>
          <cell r="R278">
            <v>2661.0083422291609</v>
          </cell>
          <cell r="S278">
            <v>2721.6496644306321</v>
          </cell>
          <cell r="T278">
            <v>2796.5719602206809</v>
          </cell>
          <cell r="U278">
            <v>2800.1438129559137</v>
          </cell>
          <cell r="V278">
            <v>2801.8655852551929</v>
          </cell>
          <cell r="W278">
            <v>2803.6481466431705</v>
          </cell>
          <cell r="X278">
            <v>2803.6481466431705</v>
          </cell>
          <cell r="Y278">
            <v>2803.6481466431705</v>
          </cell>
          <cell r="Z278">
            <v>2803.6481466431705</v>
          </cell>
          <cell r="AB278">
            <v>38.940546907618888</v>
          </cell>
          <cell r="AF278">
            <v>0.26876901137116516</v>
          </cell>
          <cell r="AG278">
            <v>0</v>
          </cell>
        </row>
        <row r="279">
          <cell r="A279" t="str">
            <v>TLMCNG30</v>
          </cell>
          <cell r="D279">
            <v>2030</v>
          </cell>
          <cell r="P279">
            <v>2606.7543850107281</v>
          </cell>
          <cell r="Q279">
            <v>2535.2622501278288</v>
          </cell>
          <cell r="R279">
            <v>2661.0083422291609</v>
          </cell>
          <cell r="S279">
            <v>2721.6496644306321</v>
          </cell>
          <cell r="T279">
            <v>2796.5719602206809</v>
          </cell>
          <cell r="U279">
            <v>2800.1438129559137</v>
          </cell>
          <cell r="V279">
            <v>2801.8655852551929</v>
          </cell>
          <cell r="W279">
            <v>2803.6481466431705</v>
          </cell>
          <cell r="X279">
            <v>2803.6481466431705</v>
          </cell>
          <cell r="Y279">
            <v>2803.6481466431705</v>
          </cell>
          <cell r="Z279">
            <v>2803.6481466431705</v>
          </cell>
          <cell r="AB279">
            <v>38.940546907618888</v>
          </cell>
          <cell r="AF279">
            <v>0.27268115905961393</v>
          </cell>
          <cell r="AG279">
            <v>0</v>
          </cell>
        </row>
        <row r="280">
          <cell r="A280" t="str">
            <v>TLMCNG35</v>
          </cell>
          <cell r="D280">
            <v>2035</v>
          </cell>
          <cell r="P280">
            <v>2606.7543850107281</v>
          </cell>
          <cell r="Q280">
            <v>2535.2622501278288</v>
          </cell>
          <cell r="R280">
            <v>2661.0083422291609</v>
          </cell>
          <cell r="S280">
            <v>2721.6496644306321</v>
          </cell>
          <cell r="T280">
            <v>2796.5719602206809</v>
          </cell>
          <cell r="U280">
            <v>2800.1438129559137</v>
          </cell>
          <cell r="V280">
            <v>2801.8655852551929</v>
          </cell>
          <cell r="W280">
            <v>2803.6481466431705</v>
          </cell>
          <cell r="X280">
            <v>2803.6481466431705</v>
          </cell>
          <cell r="Y280">
            <v>2803.6481466431705</v>
          </cell>
          <cell r="Z280">
            <v>2803.6481466431705</v>
          </cell>
          <cell r="AB280">
            <v>38.940546907618888</v>
          </cell>
          <cell r="AF280">
            <v>0.27491720419932969</v>
          </cell>
          <cell r="AG280">
            <v>0</v>
          </cell>
        </row>
        <row r="281">
          <cell r="A281" t="str">
            <v>TLMCNG40</v>
          </cell>
          <cell r="D281">
            <v>2040</v>
          </cell>
          <cell r="P281">
            <v>2606.7543850107281</v>
          </cell>
          <cell r="Q281">
            <v>2535.2622501278288</v>
          </cell>
          <cell r="R281">
            <v>2661.0083422291609</v>
          </cell>
          <cell r="S281">
            <v>2721.6496644306321</v>
          </cell>
          <cell r="T281">
            <v>2796.5719602206809</v>
          </cell>
          <cell r="U281">
            <v>2800.1438129559137</v>
          </cell>
          <cell r="V281">
            <v>2801.8655852551929</v>
          </cell>
          <cell r="W281">
            <v>2803.6481466431705</v>
          </cell>
          <cell r="X281">
            <v>2803.6481466431705</v>
          </cell>
          <cell r="Y281">
            <v>2803.6481466431705</v>
          </cell>
          <cell r="Z281">
            <v>2803.6481466431705</v>
          </cell>
          <cell r="AB281">
            <v>38.940546907618888</v>
          </cell>
          <cell r="AF281">
            <v>0.27490116981544116</v>
          </cell>
          <cell r="AG281">
            <v>0</v>
          </cell>
        </row>
        <row r="282">
          <cell r="A282" t="str">
            <v>TLMCNG45</v>
          </cell>
          <cell r="D282">
            <v>2045</v>
          </cell>
          <cell r="P282">
            <v>2606.7543850107281</v>
          </cell>
          <cell r="Q282">
            <v>2535.2622501278288</v>
          </cell>
          <cell r="R282">
            <v>2661.0083422291609</v>
          </cell>
          <cell r="S282">
            <v>2721.6496644306321</v>
          </cell>
          <cell r="T282">
            <v>2796.5719602206809</v>
          </cell>
          <cell r="U282">
            <v>2800.1438129559137</v>
          </cell>
          <cell r="V282">
            <v>2801.8655852551929</v>
          </cell>
          <cell r="W282">
            <v>2803.6481466431705</v>
          </cell>
          <cell r="X282">
            <v>2803.6481466431705</v>
          </cell>
          <cell r="Y282">
            <v>2803.6481466431705</v>
          </cell>
          <cell r="Z282">
            <v>2803.6481466431705</v>
          </cell>
          <cell r="AB282">
            <v>38.940546907618888</v>
          </cell>
          <cell r="AF282">
            <v>0.27490116981544116</v>
          </cell>
          <cell r="AG282">
            <v>0</v>
          </cell>
        </row>
        <row r="283">
          <cell r="A283" t="str">
            <v>TLMCNG50</v>
          </cell>
          <cell r="D283">
            <v>2050</v>
          </cell>
          <cell r="P283">
            <v>2606.7543850107281</v>
          </cell>
          <cell r="Q283">
            <v>2535.2622501278288</v>
          </cell>
          <cell r="R283">
            <v>2661.0083422291609</v>
          </cell>
          <cell r="S283">
            <v>2721.6496644306321</v>
          </cell>
          <cell r="T283">
            <v>2796.5719602206809</v>
          </cell>
          <cell r="U283">
            <v>2800.1438129559137</v>
          </cell>
          <cell r="V283">
            <v>2801.8655852551929</v>
          </cell>
          <cell r="W283">
            <v>2803.6481466431705</v>
          </cell>
          <cell r="X283">
            <v>2803.6481466431705</v>
          </cell>
          <cell r="Y283">
            <v>2803.6481466431705</v>
          </cell>
          <cell r="Z283">
            <v>2803.6481466431705</v>
          </cell>
          <cell r="AB283">
            <v>38.940546907618888</v>
          </cell>
          <cell r="AF283">
            <v>0.27490116981544116</v>
          </cell>
          <cell r="AG283">
            <v>0</v>
          </cell>
        </row>
        <row r="284">
          <cell r="A284" t="str">
            <v>TLMCNGX00</v>
          </cell>
          <cell r="D284">
            <v>2060</v>
          </cell>
          <cell r="P284">
            <v>2520.7038031499455</v>
          </cell>
          <cell r="Q284">
            <v>2467.5549496793105</v>
          </cell>
          <cell r="R284">
            <v>2592.6663372752132</v>
          </cell>
          <cell r="S284">
            <v>2656.5822967277018</v>
          </cell>
          <cell r="T284">
            <v>2733.2383617009605</v>
          </cell>
          <cell r="U284">
            <v>2736.8258689066893</v>
          </cell>
          <cell r="V284">
            <v>2738.5074077537602</v>
          </cell>
          <cell r="W284">
            <v>2740.1465917484165</v>
          </cell>
          <cell r="X284">
            <v>2740.1465917484165</v>
          </cell>
          <cell r="Y284">
            <v>2740.1465917484165</v>
          </cell>
          <cell r="Z284">
            <v>2740.1465917484165</v>
          </cell>
          <cell r="AB284">
            <v>38.940546907618888</v>
          </cell>
          <cell r="AF284">
            <v>0.25714738799441933</v>
          </cell>
          <cell r="AG284">
            <v>0</v>
          </cell>
        </row>
        <row r="285">
          <cell r="A285" t="str">
            <v>TLMCNGX05</v>
          </cell>
          <cell r="D285">
            <v>2005</v>
          </cell>
          <cell r="P285">
            <v>2520.7038031499455</v>
          </cell>
          <cell r="Q285">
            <v>2467.5549496793105</v>
          </cell>
          <cell r="R285">
            <v>2592.6663372752132</v>
          </cell>
          <cell r="S285">
            <v>2656.5822967277018</v>
          </cell>
          <cell r="T285">
            <v>2733.2383617009605</v>
          </cell>
          <cell r="U285">
            <v>2736.8258689066893</v>
          </cell>
          <cell r="V285">
            <v>2738.5074077537602</v>
          </cell>
          <cell r="W285">
            <v>2740.1465917484165</v>
          </cell>
          <cell r="X285">
            <v>2740.1465917484165</v>
          </cell>
          <cell r="Y285">
            <v>2740.1465917484165</v>
          </cell>
          <cell r="Z285">
            <v>2740.1465917484165</v>
          </cell>
          <cell r="AB285">
            <v>38.940546907618888</v>
          </cell>
          <cell r="AF285">
            <v>0.14074140845089031</v>
          </cell>
          <cell r="AG285">
            <v>0</v>
          </cell>
        </row>
        <row r="286">
          <cell r="A286" t="str">
            <v>TLMCNGX10</v>
          </cell>
          <cell r="D286">
            <v>2010</v>
          </cell>
          <cell r="P286">
            <v>2520.7038031499455</v>
          </cell>
          <cell r="Q286">
            <v>2467.5549496793105</v>
          </cell>
          <cell r="R286">
            <v>2592.6663372752132</v>
          </cell>
          <cell r="S286">
            <v>2656.5822967277018</v>
          </cell>
          <cell r="T286">
            <v>2733.2383617009605</v>
          </cell>
          <cell r="U286">
            <v>2736.8258689066893</v>
          </cell>
          <cell r="V286">
            <v>2738.5074077537602</v>
          </cell>
          <cell r="W286">
            <v>2740.1465917484165</v>
          </cell>
          <cell r="X286">
            <v>2740.1465917484165</v>
          </cell>
          <cell r="Y286">
            <v>2740.1465917484165</v>
          </cell>
          <cell r="Z286">
            <v>2740.1465917484165</v>
          </cell>
          <cell r="AB286">
            <v>38.940546907618888</v>
          </cell>
          <cell r="AF286">
            <v>0.16824004064239248</v>
          </cell>
          <cell r="AG286">
            <v>0</v>
          </cell>
        </row>
        <row r="287">
          <cell r="A287" t="str">
            <v>TLMCNGX15</v>
          </cell>
          <cell r="D287">
            <v>2015</v>
          </cell>
          <cell r="P287">
            <v>2520.7038031499455</v>
          </cell>
          <cell r="Q287">
            <v>2467.5549496793105</v>
          </cell>
          <cell r="R287">
            <v>2592.6663372752132</v>
          </cell>
          <cell r="S287">
            <v>2656.5822967277018</v>
          </cell>
          <cell r="T287">
            <v>2733.2383617009605</v>
          </cell>
          <cell r="U287">
            <v>2736.8258689066893</v>
          </cell>
          <cell r="V287">
            <v>2738.5074077537602</v>
          </cell>
          <cell r="W287">
            <v>2740.1465917484165</v>
          </cell>
          <cell r="X287">
            <v>2740.1465917484165</v>
          </cell>
          <cell r="Y287">
            <v>2740.1465917484165</v>
          </cell>
          <cell r="Z287">
            <v>2740.1465917484165</v>
          </cell>
          <cell r="AB287">
            <v>38.940546907618888</v>
          </cell>
          <cell r="AF287">
            <v>0.17571613899346389</v>
          </cell>
          <cell r="AG287">
            <v>0</v>
          </cell>
        </row>
        <row r="288">
          <cell r="A288" t="str">
            <v>TLMCNGX20</v>
          </cell>
          <cell r="D288">
            <v>2020</v>
          </cell>
          <cell r="P288">
            <v>2520.7038031499455</v>
          </cell>
          <cell r="Q288">
            <v>2467.5549496793105</v>
          </cell>
          <cell r="R288">
            <v>2592.6663372752132</v>
          </cell>
          <cell r="S288">
            <v>2656.5822967277018</v>
          </cell>
          <cell r="T288">
            <v>2733.2383617009605</v>
          </cell>
          <cell r="U288">
            <v>2736.8258689066893</v>
          </cell>
          <cell r="V288">
            <v>2738.5074077537602</v>
          </cell>
          <cell r="W288">
            <v>2740.1465917484165</v>
          </cell>
          <cell r="X288">
            <v>2740.1465917484165</v>
          </cell>
          <cell r="Y288">
            <v>2740.1465917484165</v>
          </cell>
          <cell r="Z288">
            <v>2740.1465917484165</v>
          </cell>
          <cell r="AB288">
            <v>38.940546907618888</v>
          </cell>
          <cell r="AF288">
            <v>0.20781194489382934</v>
          </cell>
          <cell r="AG288">
            <v>0</v>
          </cell>
        </row>
        <row r="289">
          <cell r="A289" t="str">
            <v>TLMCNGX25</v>
          </cell>
          <cell r="D289">
            <v>2025</v>
          </cell>
          <cell r="P289">
            <v>2520.7038031499455</v>
          </cell>
          <cell r="Q289">
            <v>2467.5549496793105</v>
          </cell>
          <cell r="R289">
            <v>2592.6663372752132</v>
          </cell>
          <cell r="S289">
            <v>2656.5822967277018</v>
          </cell>
          <cell r="T289">
            <v>2733.2383617009605</v>
          </cell>
          <cell r="U289">
            <v>2736.8258689066893</v>
          </cell>
          <cell r="V289">
            <v>2738.5074077537602</v>
          </cell>
          <cell r="W289">
            <v>2740.1465917484165</v>
          </cell>
          <cell r="X289">
            <v>2740.1465917484165</v>
          </cell>
          <cell r="Y289">
            <v>2740.1465917484165</v>
          </cell>
          <cell r="Z289">
            <v>2740.1465917484165</v>
          </cell>
          <cell r="AB289">
            <v>38.940546907618888</v>
          </cell>
          <cell r="AF289">
            <v>0.2514217311108719</v>
          </cell>
          <cell r="AG289">
            <v>0</v>
          </cell>
        </row>
        <row r="290">
          <cell r="A290" t="str">
            <v>TLMCNGX30</v>
          </cell>
          <cell r="D290">
            <v>2030</v>
          </cell>
          <cell r="P290">
            <v>2520.7038031499455</v>
          </cell>
          <cell r="Q290">
            <v>2467.5549496793105</v>
          </cell>
          <cell r="R290">
            <v>2592.6663372752132</v>
          </cell>
          <cell r="S290">
            <v>2656.5822967277018</v>
          </cell>
          <cell r="T290">
            <v>2733.2383617009605</v>
          </cell>
          <cell r="U290">
            <v>2736.8258689066893</v>
          </cell>
          <cell r="V290">
            <v>2738.5074077537602</v>
          </cell>
          <cell r="W290">
            <v>2740.1465917484165</v>
          </cell>
          <cell r="X290">
            <v>2740.1465917484165</v>
          </cell>
          <cell r="Y290">
            <v>2740.1465917484165</v>
          </cell>
          <cell r="Z290">
            <v>2740.1465917484165</v>
          </cell>
          <cell r="AB290">
            <v>38.940546907618888</v>
          </cell>
          <cell r="AF290">
            <v>0.25532792480848032</v>
          </cell>
          <cell r="AG290">
            <v>0</v>
          </cell>
        </row>
        <row r="291">
          <cell r="A291" t="str">
            <v>TLMCNGX35</v>
          </cell>
          <cell r="D291">
            <v>2035</v>
          </cell>
          <cell r="P291">
            <v>2520.7038031499455</v>
          </cell>
          <cell r="Q291">
            <v>2467.5549496793105</v>
          </cell>
          <cell r="R291">
            <v>2592.6663372752132</v>
          </cell>
          <cell r="S291">
            <v>2656.5822967277018</v>
          </cell>
          <cell r="T291">
            <v>2733.2383617009605</v>
          </cell>
          <cell r="U291">
            <v>2736.8258689066893</v>
          </cell>
          <cell r="V291">
            <v>2738.5074077537602</v>
          </cell>
          <cell r="W291">
            <v>2740.1465917484165</v>
          </cell>
          <cell r="X291">
            <v>2740.1465917484165</v>
          </cell>
          <cell r="Y291">
            <v>2740.1465917484165</v>
          </cell>
          <cell r="Z291">
            <v>2740.1465917484165</v>
          </cell>
          <cell r="AB291">
            <v>38.940546907618888</v>
          </cell>
          <cell r="AF291">
            <v>0.25750229042383349</v>
          </cell>
          <cell r="AG291">
            <v>0</v>
          </cell>
        </row>
        <row r="292">
          <cell r="A292" t="str">
            <v>TLMCNGX40</v>
          </cell>
          <cell r="D292">
            <v>2040</v>
          </cell>
          <cell r="P292">
            <v>2520.7038031499455</v>
          </cell>
          <cell r="Q292">
            <v>2467.5549496793105</v>
          </cell>
          <cell r="R292">
            <v>2592.6663372752132</v>
          </cell>
          <cell r="S292">
            <v>2656.5822967277018</v>
          </cell>
          <cell r="T292">
            <v>2733.2383617009605</v>
          </cell>
          <cell r="U292">
            <v>2736.8258689066893</v>
          </cell>
          <cell r="V292">
            <v>2738.5074077537602</v>
          </cell>
          <cell r="W292">
            <v>2740.1465917484165</v>
          </cell>
          <cell r="X292">
            <v>2740.1465917484165</v>
          </cell>
          <cell r="Y292">
            <v>2740.1465917484165</v>
          </cell>
          <cell r="Z292">
            <v>2740.1465917484165</v>
          </cell>
          <cell r="AB292">
            <v>38.940546907618888</v>
          </cell>
          <cell r="AF292">
            <v>0.25714738799441933</v>
          </cell>
          <cell r="AG292">
            <v>0</v>
          </cell>
        </row>
        <row r="293">
          <cell r="A293" t="str">
            <v>TLMCNGX45</v>
          </cell>
          <cell r="D293">
            <v>2045</v>
          </cell>
          <cell r="P293">
            <v>2520.7038031499455</v>
          </cell>
          <cell r="Q293">
            <v>2467.5549496793105</v>
          </cell>
          <cell r="R293">
            <v>2592.6663372752132</v>
          </cell>
          <cell r="S293">
            <v>2656.5822967277018</v>
          </cell>
          <cell r="T293">
            <v>2733.2383617009605</v>
          </cell>
          <cell r="U293">
            <v>2736.8258689066893</v>
          </cell>
          <cell r="V293">
            <v>2738.5074077537602</v>
          </cell>
          <cell r="W293">
            <v>2740.1465917484165</v>
          </cell>
          <cell r="X293">
            <v>2740.1465917484165</v>
          </cell>
          <cell r="Y293">
            <v>2740.1465917484165</v>
          </cell>
          <cell r="Z293">
            <v>2740.1465917484165</v>
          </cell>
          <cell r="AB293">
            <v>38.940546907618888</v>
          </cell>
          <cell r="AF293">
            <v>0.25714738799441933</v>
          </cell>
          <cell r="AG293">
            <v>0</v>
          </cell>
        </row>
        <row r="294">
          <cell r="A294" t="str">
            <v>TLMCNGX50</v>
          </cell>
          <cell r="D294">
            <v>2050</v>
          </cell>
          <cell r="P294">
            <v>2520.7038031499455</v>
          </cell>
          <cell r="Q294">
            <v>2467.5549496793105</v>
          </cell>
          <cell r="R294">
            <v>2592.6663372752132</v>
          </cell>
          <cell r="S294">
            <v>2656.5822967277018</v>
          </cell>
          <cell r="T294">
            <v>2733.2383617009605</v>
          </cell>
          <cell r="U294">
            <v>2736.8258689066893</v>
          </cell>
          <cell r="V294">
            <v>2738.5074077537602</v>
          </cell>
          <cell r="W294">
            <v>2740.1465917484165</v>
          </cell>
          <cell r="X294">
            <v>2740.1465917484165</v>
          </cell>
          <cell r="Y294">
            <v>2740.1465917484165</v>
          </cell>
          <cell r="Z294">
            <v>2740.1465917484165</v>
          </cell>
          <cell r="AB294">
            <v>38.940546907618888</v>
          </cell>
          <cell r="AF294">
            <v>0.25714738799441933</v>
          </cell>
          <cell r="AG294">
            <v>0</v>
          </cell>
        </row>
        <row r="295">
          <cell r="A295" t="str">
            <v>TLMDHEV15</v>
          </cell>
          <cell r="D295">
            <v>2015</v>
          </cell>
          <cell r="P295">
            <v>0</v>
          </cell>
          <cell r="Q295">
            <v>0</v>
          </cell>
          <cell r="R295">
            <v>0</v>
          </cell>
          <cell r="S295">
            <v>0</v>
          </cell>
          <cell r="T295">
            <v>2678.251814631361</v>
          </cell>
          <cell r="U295">
            <v>2638.4121381935711</v>
          </cell>
          <cell r="V295">
            <v>2628.8342357128327</v>
          </cell>
          <cell r="W295">
            <v>2627.0176587698074</v>
          </cell>
          <cell r="X295">
            <v>2627.0176587698074</v>
          </cell>
          <cell r="Y295">
            <v>2627.0176587698074</v>
          </cell>
          <cell r="Z295">
            <v>2627.0176587698074</v>
          </cell>
          <cell r="AB295">
            <v>45.430638058888704</v>
          </cell>
          <cell r="AF295">
            <v>0</v>
          </cell>
          <cell r="AG295">
            <v>0</v>
          </cell>
        </row>
        <row r="296">
          <cell r="A296" t="str">
            <v>TLMDHEV20</v>
          </cell>
          <cell r="D296">
            <v>2020</v>
          </cell>
          <cell r="P296">
            <v>0</v>
          </cell>
          <cell r="Q296">
            <v>0</v>
          </cell>
          <cell r="R296">
            <v>0</v>
          </cell>
          <cell r="S296">
            <v>0</v>
          </cell>
          <cell r="T296">
            <v>2678.251814631361</v>
          </cell>
          <cell r="U296">
            <v>2638.4121381935711</v>
          </cell>
          <cell r="V296">
            <v>2628.8342357128327</v>
          </cell>
          <cell r="W296">
            <v>2627.0176587698074</v>
          </cell>
          <cell r="X296">
            <v>2627.0176587698074</v>
          </cell>
          <cell r="Y296">
            <v>2627.0176587698074</v>
          </cell>
          <cell r="Z296">
            <v>2627.0176587698074</v>
          </cell>
          <cell r="AB296">
            <v>45.430638058888704</v>
          </cell>
          <cell r="AF296">
            <v>0</v>
          </cell>
          <cell r="AG296">
            <v>0</v>
          </cell>
        </row>
        <row r="297">
          <cell r="A297" t="str">
            <v>TLMDHEV25</v>
          </cell>
          <cell r="D297">
            <v>2025</v>
          </cell>
          <cell r="P297">
            <v>0</v>
          </cell>
          <cell r="Q297">
            <v>0</v>
          </cell>
          <cell r="R297">
            <v>0</v>
          </cell>
          <cell r="S297">
            <v>0</v>
          </cell>
          <cell r="T297">
            <v>2678.251814631361</v>
          </cell>
          <cell r="U297">
            <v>2638.4121381935711</v>
          </cell>
          <cell r="V297">
            <v>2628.8342357128327</v>
          </cell>
          <cell r="W297">
            <v>2627.0176587698074</v>
          </cell>
          <cell r="X297">
            <v>2627.0176587698074</v>
          </cell>
          <cell r="Y297">
            <v>2627.0176587698074</v>
          </cell>
          <cell r="Z297">
            <v>2627.0176587698074</v>
          </cell>
          <cell r="AB297">
            <v>45.430638058888704</v>
          </cell>
          <cell r="AF297">
            <v>0.37132510902415805</v>
          </cell>
          <cell r="AG297">
            <v>0</v>
          </cell>
        </row>
        <row r="298">
          <cell r="A298" t="str">
            <v>TLMDHEV30</v>
          </cell>
          <cell r="D298">
            <v>2030</v>
          </cell>
          <cell r="P298">
            <v>0</v>
          </cell>
          <cell r="Q298">
            <v>0</v>
          </cell>
          <cell r="R298">
            <v>0</v>
          </cell>
          <cell r="S298">
            <v>0</v>
          </cell>
          <cell r="T298">
            <v>2678.251814631361</v>
          </cell>
          <cell r="U298">
            <v>2638.4121381935711</v>
          </cell>
          <cell r="V298">
            <v>2628.8342357128327</v>
          </cell>
          <cell r="W298">
            <v>2627.0176587698074</v>
          </cell>
          <cell r="X298">
            <v>2627.0176587698074</v>
          </cell>
          <cell r="Y298">
            <v>2627.0176587698074</v>
          </cell>
          <cell r="Z298">
            <v>2627.0176587698074</v>
          </cell>
          <cell r="AB298">
            <v>45.430638058888704</v>
          </cell>
          <cell r="AF298">
            <v>0.37387335342475858</v>
          </cell>
          <cell r="AG298">
            <v>0</v>
          </cell>
        </row>
        <row r="299">
          <cell r="A299" t="str">
            <v>TLMDHEV35</v>
          </cell>
          <cell r="D299">
            <v>2035</v>
          </cell>
          <cell r="P299">
            <v>0</v>
          </cell>
          <cell r="Q299">
            <v>0</v>
          </cell>
          <cell r="R299">
            <v>0</v>
          </cell>
          <cell r="S299">
            <v>0</v>
          </cell>
          <cell r="T299">
            <v>2678.251814631361</v>
          </cell>
          <cell r="U299">
            <v>2638.4121381935711</v>
          </cell>
          <cell r="V299">
            <v>2628.8342357128327</v>
          </cell>
          <cell r="W299">
            <v>2627.0176587698074</v>
          </cell>
          <cell r="X299">
            <v>2627.0176587698074</v>
          </cell>
          <cell r="Y299">
            <v>2627.0176587698074</v>
          </cell>
          <cell r="Z299">
            <v>2627.0176587698074</v>
          </cell>
          <cell r="AB299">
            <v>45.430638058888704</v>
          </cell>
          <cell r="AF299">
            <v>0.37558377261160747</v>
          </cell>
          <cell r="AG299">
            <v>0</v>
          </cell>
        </row>
        <row r="300">
          <cell r="A300" t="str">
            <v>TLMDHEV40</v>
          </cell>
          <cell r="D300">
            <v>2040</v>
          </cell>
          <cell r="P300">
            <v>0</v>
          </cell>
          <cell r="Q300">
            <v>0</v>
          </cell>
          <cell r="R300">
            <v>0</v>
          </cell>
          <cell r="S300">
            <v>0</v>
          </cell>
          <cell r="T300">
            <v>2678.251814631361</v>
          </cell>
          <cell r="U300">
            <v>2638.4121381935711</v>
          </cell>
          <cell r="V300">
            <v>2628.8342357128327</v>
          </cell>
          <cell r="W300">
            <v>2627.0176587698074</v>
          </cell>
          <cell r="X300">
            <v>2627.0176587698074</v>
          </cell>
          <cell r="Y300">
            <v>2627.0176587698074</v>
          </cell>
          <cell r="Z300">
            <v>2627.0176587698074</v>
          </cell>
          <cell r="AB300">
            <v>45.430638058888704</v>
          </cell>
          <cell r="AF300">
            <v>0.37371856876662479</v>
          </cell>
          <cell r="AG300">
            <v>0</v>
          </cell>
        </row>
        <row r="301">
          <cell r="A301" t="str">
            <v>TLMDHEV45</v>
          </cell>
          <cell r="D301">
            <v>2045</v>
          </cell>
          <cell r="P301">
            <v>0</v>
          </cell>
          <cell r="Q301">
            <v>0</v>
          </cell>
          <cell r="R301">
            <v>0</v>
          </cell>
          <cell r="S301">
            <v>0</v>
          </cell>
          <cell r="T301">
            <v>2678.251814631361</v>
          </cell>
          <cell r="U301">
            <v>2638.4121381935711</v>
          </cell>
          <cell r="V301">
            <v>2628.8342357128327</v>
          </cell>
          <cell r="W301">
            <v>2627.0176587698074</v>
          </cell>
          <cell r="X301">
            <v>2627.0176587698074</v>
          </cell>
          <cell r="Y301">
            <v>2627.0176587698074</v>
          </cell>
          <cell r="Z301">
            <v>2627.0176587698074</v>
          </cell>
          <cell r="AB301">
            <v>45.430638058888704</v>
          </cell>
          <cell r="AF301">
            <v>0.37371856876662479</v>
          </cell>
          <cell r="AG301">
            <v>0</v>
          </cell>
        </row>
        <row r="302">
          <cell r="A302" t="str">
            <v>TLMDHEV50</v>
          </cell>
          <cell r="D302">
            <v>2050</v>
          </cell>
          <cell r="P302">
            <v>0</v>
          </cell>
          <cell r="Q302">
            <v>0</v>
          </cell>
          <cell r="R302">
            <v>0</v>
          </cell>
          <cell r="S302">
            <v>0</v>
          </cell>
          <cell r="T302">
            <v>2678.251814631361</v>
          </cell>
          <cell r="U302">
            <v>2638.4121381935711</v>
          </cell>
          <cell r="V302">
            <v>2628.8342357128327</v>
          </cell>
          <cell r="W302">
            <v>2627.0176587698074</v>
          </cell>
          <cell r="X302">
            <v>2627.0176587698074</v>
          </cell>
          <cell r="Y302">
            <v>2627.0176587698074</v>
          </cell>
          <cell r="Z302">
            <v>2627.0176587698074</v>
          </cell>
          <cell r="AB302">
            <v>45.430638058888704</v>
          </cell>
          <cell r="AF302">
            <v>0.37371856876662479</v>
          </cell>
          <cell r="AG302">
            <v>0</v>
          </cell>
        </row>
        <row r="303">
          <cell r="A303" t="str">
            <v>TLMDSL00</v>
          </cell>
          <cell r="D303">
            <v>2060</v>
          </cell>
          <cell r="P303">
            <v>2186.497232446342</v>
          </cell>
          <cell r="Q303">
            <v>2311.5959860783864</v>
          </cell>
          <cell r="R303">
            <v>2426.3730236931583</v>
          </cell>
          <cell r="S303">
            <v>2451.1949510824902</v>
          </cell>
          <cell r="T303">
            <v>2501.0424245454392</v>
          </cell>
          <cell r="U303">
            <v>2503.2962690572049</v>
          </cell>
          <cell r="V303">
            <v>2505.1323621989332</v>
          </cell>
          <cell r="W303">
            <v>2506.583013640538</v>
          </cell>
          <cell r="X303">
            <v>2506.583013640538</v>
          </cell>
          <cell r="Y303">
            <v>2506.583013640538</v>
          </cell>
          <cell r="Z303">
            <v>2506.583013640538</v>
          </cell>
          <cell r="AB303">
            <v>43.267274341798768</v>
          </cell>
          <cell r="AF303">
            <v>0.27070181880484673</v>
          </cell>
          <cell r="AG303">
            <v>0</v>
          </cell>
        </row>
        <row r="304">
          <cell r="A304" t="str">
            <v>TLMDSL05</v>
          </cell>
          <cell r="D304">
            <v>2005</v>
          </cell>
          <cell r="P304">
            <v>2186.497232446342</v>
          </cell>
          <cell r="Q304">
            <v>2311.5959860783864</v>
          </cell>
          <cell r="R304">
            <v>2426.3730236931583</v>
          </cell>
          <cell r="S304">
            <v>2451.1949510824902</v>
          </cell>
          <cell r="T304">
            <v>2501.0424245454392</v>
          </cell>
          <cell r="U304">
            <v>2503.2962690572049</v>
          </cell>
          <cell r="V304">
            <v>2505.1323621989332</v>
          </cell>
          <cell r="W304">
            <v>2506.583013640538</v>
          </cell>
          <cell r="X304">
            <v>2506.583013640538</v>
          </cell>
          <cell r="Y304">
            <v>2506.583013640538</v>
          </cell>
          <cell r="Z304">
            <v>2506.583013640538</v>
          </cell>
          <cell r="AB304">
            <v>43.267274341798768</v>
          </cell>
          <cell r="AF304">
            <v>0.18990277556836971</v>
          </cell>
          <cell r="AG304">
            <v>0</v>
          </cell>
        </row>
        <row r="305">
          <cell r="A305" t="str">
            <v>TLMDSL10</v>
          </cell>
          <cell r="D305">
            <v>2010</v>
          </cell>
          <cell r="P305">
            <v>2186.497232446342</v>
          </cell>
          <cell r="Q305">
            <v>2311.5959860783864</v>
          </cell>
          <cell r="R305">
            <v>2426.3730236931583</v>
          </cell>
          <cell r="S305">
            <v>2451.1949510824902</v>
          </cell>
          <cell r="T305">
            <v>2501.0424245454392</v>
          </cell>
          <cell r="U305">
            <v>2503.2962690572049</v>
          </cell>
          <cell r="V305">
            <v>2505.1323621989332</v>
          </cell>
          <cell r="W305">
            <v>2506.583013640538</v>
          </cell>
          <cell r="X305">
            <v>2506.583013640538</v>
          </cell>
          <cell r="Y305">
            <v>2506.583013640538</v>
          </cell>
          <cell r="Z305">
            <v>2506.583013640538</v>
          </cell>
          <cell r="AB305">
            <v>43.267274341798768</v>
          </cell>
          <cell r="AF305">
            <v>0.20860161467159608</v>
          </cell>
          <cell r="AG305">
            <v>0</v>
          </cell>
        </row>
        <row r="306">
          <cell r="A306" t="str">
            <v>TLMDSL15</v>
          </cell>
          <cell r="D306">
            <v>2015</v>
          </cell>
          <cell r="P306">
            <v>2186.497232446342</v>
          </cell>
          <cell r="Q306">
            <v>2311.5959860783864</v>
          </cell>
          <cell r="R306">
            <v>2426.3730236931583</v>
          </cell>
          <cell r="S306">
            <v>2451.1949510824902</v>
          </cell>
          <cell r="T306">
            <v>2501.0424245454392</v>
          </cell>
          <cell r="U306">
            <v>2503.2962690572049</v>
          </cell>
          <cell r="V306">
            <v>2505.1323621989332</v>
          </cell>
          <cell r="W306">
            <v>2506.583013640538</v>
          </cell>
          <cell r="X306">
            <v>2506.583013640538</v>
          </cell>
          <cell r="Y306">
            <v>2506.583013640538</v>
          </cell>
          <cell r="Z306">
            <v>2506.583013640538</v>
          </cell>
          <cell r="AB306">
            <v>43.267274341798768</v>
          </cell>
          <cell r="AF306">
            <v>0.21564686009948636</v>
          </cell>
          <cell r="AG306">
            <v>0</v>
          </cell>
        </row>
        <row r="307">
          <cell r="A307" t="str">
            <v>TLMDSL20</v>
          </cell>
          <cell r="D307">
            <v>2020</v>
          </cell>
          <cell r="P307">
            <v>2186.497232446342</v>
          </cell>
          <cell r="Q307">
            <v>2311.5959860783864</v>
          </cell>
          <cell r="R307">
            <v>2426.3730236931583</v>
          </cell>
          <cell r="S307">
            <v>2451.1949510824902</v>
          </cell>
          <cell r="T307">
            <v>2501.0424245454392</v>
          </cell>
          <cell r="U307">
            <v>2503.2962690572049</v>
          </cell>
          <cell r="V307">
            <v>2505.1323621989332</v>
          </cell>
          <cell r="W307">
            <v>2506.583013640538</v>
          </cell>
          <cell r="X307">
            <v>2506.583013640538</v>
          </cell>
          <cell r="Y307">
            <v>2506.583013640538</v>
          </cell>
          <cell r="Z307">
            <v>2506.583013640538</v>
          </cell>
          <cell r="AB307">
            <v>43.267274341798768</v>
          </cell>
          <cell r="AF307">
            <v>0.23349255799929924</v>
          </cell>
          <cell r="AG307">
            <v>0</v>
          </cell>
        </row>
        <row r="308">
          <cell r="A308" t="str">
            <v>TLMDSL25</v>
          </cell>
          <cell r="D308">
            <v>2025</v>
          </cell>
          <cell r="P308">
            <v>2186.497232446342</v>
          </cell>
          <cell r="Q308">
            <v>2311.5959860783864</v>
          </cell>
          <cell r="R308">
            <v>2426.3730236931583</v>
          </cell>
          <cell r="S308">
            <v>2451.1949510824902</v>
          </cell>
          <cell r="T308">
            <v>2501.0424245454392</v>
          </cell>
          <cell r="U308">
            <v>2503.2962690572049</v>
          </cell>
          <cell r="V308">
            <v>2505.1323621989332</v>
          </cell>
          <cell r="W308">
            <v>2506.583013640538</v>
          </cell>
          <cell r="X308">
            <v>2506.583013640538</v>
          </cell>
          <cell r="Y308">
            <v>2506.583013640538</v>
          </cell>
          <cell r="Z308">
            <v>2506.583013640538</v>
          </cell>
          <cell r="AB308">
            <v>43.267274341798768</v>
          </cell>
          <cell r="AF308">
            <v>0.26553348578064917</v>
          </cell>
          <cell r="AG308">
            <v>0</v>
          </cell>
        </row>
        <row r="309">
          <cell r="A309" t="str">
            <v>TLMDSL30</v>
          </cell>
          <cell r="D309">
            <v>2030</v>
          </cell>
          <cell r="P309">
            <v>2186.497232446342</v>
          </cell>
          <cell r="Q309">
            <v>2311.5959860783864</v>
          </cell>
          <cell r="R309">
            <v>2426.3730236931583</v>
          </cell>
          <cell r="S309">
            <v>2451.1949510824902</v>
          </cell>
          <cell r="T309">
            <v>2501.0424245454392</v>
          </cell>
          <cell r="U309">
            <v>2503.2962690572049</v>
          </cell>
          <cell r="V309">
            <v>2505.1323621989332</v>
          </cell>
          <cell r="W309">
            <v>2506.583013640538</v>
          </cell>
          <cell r="X309">
            <v>2506.583013640538</v>
          </cell>
          <cell r="Y309">
            <v>2506.583013640538</v>
          </cell>
          <cell r="Z309">
            <v>2506.583013640538</v>
          </cell>
          <cell r="AB309">
            <v>43.267274341798768</v>
          </cell>
          <cell r="AF309">
            <v>0.26907833895372402</v>
          </cell>
          <cell r="AG309">
            <v>0</v>
          </cell>
        </row>
        <row r="310">
          <cell r="A310" t="str">
            <v>TLMDSL35</v>
          </cell>
          <cell r="D310">
            <v>2035</v>
          </cell>
          <cell r="P310">
            <v>2186.497232446342</v>
          </cell>
          <cell r="Q310">
            <v>2311.5959860783864</v>
          </cell>
          <cell r="R310">
            <v>2426.3730236931583</v>
          </cell>
          <cell r="S310">
            <v>2451.1949510824902</v>
          </cell>
          <cell r="T310">
            <v>2501.0424245454392</v>
          </cell>
          <cell r="U310">
            <v>2503.2962690572049</v>
          </cell>
          <cell r="V310">
            <v>2505.1323621989332</v>
          </cell>
          <cell r="W310">
            <v>2506.583013640538</v>
          </cell>
          <cell r="X310">
            <v>2506.583013640538</v>
          </cell>
          <cell r="Y310">
            <v>2506.583013640538</v>
          </cell>
          <cell r="Z310">
            <v>2506.583013640538</v>
          </cell>
          <cell r="AB310">
            <v>43.267274341798768</v>
          </cell>
          <cell r="AF310">
            <v>0.27109825992271108</v>
          </cell>
          <cell r="AG310">
            <v>0</v>
          </cell>
        </row>
        <row r="311">
          <cell r="A311" t="str">
            <v>TLMDSL40</v>
          </cell>
          <cell r="D311">
            <v>2040</v>
          </cell>
          <cell r="P311">
            <v>2186.497232446342</v>
          </cell>
          <cell r="Q311">
            <v>2311.5959860783864</v>
          </cell>
          <cell r="R311">
            <v>2426.3730236931583</v>
          </cell>
          <cell r="S311">
            <v>2451.1949510824902</v>
          </cell>
          <cell r="T311">
            <v>2501.0424245454392</v>
          </cell>
          <cell r="U311">
            <v>2503.2962690572049</v>
          </cell>
          <cell r="V311">
            <v>2505.1323621989332</v>
          </cell>
          <cell r="W311">
            <v>2506.583013640538</v>
          </cell>
          <cell r="X311">
            <v>2506.583013640538</v>
          </cell>
          <cell r="Y311">
            <v>2506.583013640538</v>
          </cell>
          <cell r="Z311">
            <v>2506.583013640538</v>
          </cell>
          <cell r="AB311">
            <v>43.267274341798768</v>
          </cell>
          <cell r="AF311">
            <v>0.27070181880484673</v>
          </cell>
          <cell r="AG311">
            <v>0</v>
          </cell>
        </row>
        <row r="312">
          <cell r="A312" t="str">
            <v>TLMDSL45</v>
          </cell>
          <cell r="D312">
            <v>2045</v>
          </cell>
          <cell r="P312">
            <v>2186.497232446342</v>
          </cell>
          <cell r="Q312">
            <v>2311.5959860783864</v>
          </cell>
          <cell r="R312">
            <v>2426.3730236931583</v>
          </cell>
          <cell r="S312">
            <v>2451.1949510824902</v>
          </cell>
          <cell r="T312">
            <v>2501.0424245454392</v>
          </cell>
          <cell r="U312">
            <v>2503.2962690572049</v>
          </cell>
          <cell r="V312">
            <v>2505.1323621989332</v>
          </cell>
          <cell r="W312">
            <v>2506.583013640538</v>
          </cell>
          <cell r="X312">
            <v>2506.583013640538</v>
          </cell>
          <cell r="Y312">
            <v>2506.583013640538</v>
          </cell>
          <cell r="Z312">
            <v>2506.583013640538</v>
          </cell>
          <cell r="AB312">
            <v>43.267274341798768</v>
          </cell>
          <cell r="AF312">
            <v>0.27070181880484673</v>
          </cell>
          <cell r="AG312">
            <v>0</v>
          </cell>
        </row>
        <row r="313">
          <cell r="A313" t="str">
            <v>TLMDSL50</v>
          </cell>
          <cell r="D313">
            <v>2050</v>
          </cell>
          <cell r="P313">
            <v>2186.497232446342</v>
          </cell>
          <cell r="Q313">
            <v>2311.5959860783864</v>
          </cell>
          <cell r="R313">
            <v>2426.3730236931583</v>
          </cell>
          <cell r="S313">
            <v>2451.1949510824902</v>
          </cell>
          <cell r="T313">
            <v>2501.0424245454392</v>
          </cell>
          <cell r="U313">
            <v>2503.2962690572049</v>
          </cell>
          <cell r="V313">
            <v>2505.1323621989332</v>
          </cell>
          <cell r="W313">
            <v>2506.583013640538</v>
          </cell>
          <cell r="X313">
            <v>2506.583013640538</v>
          </cell>
          <cell r="Y313">
            <v>2506.583013640538</v>
          </cell>
          <cell r="Z313">
            <v>2506.583013640538</v>
          </cell>
          <cell r="AB313">
            <v>43.267274341798768</v>
          </cell>
          <cell r="AF313">
            <v>0.27070181880484673</v>
          </cell>
          <cell r="AG313">
            <v>0</v>
          </cell>
        </row>
        <row r="314">
          <cell r="A314" t="str">
            <v>TLMETHX05</v>
          </cell>
          <cell r="D314">
            <v>2005</v>
          </cell>
          <cell r="P314">
            <v>2174.0436257997872</v>
          </cell>
          <cell r="Q314">
            <v>1920.3982501536177</v>
          </cell>
          <cell r="R314">
            <v>2025.2609339047219</v>
          </cell>
          <cell r="S314">
            <v>2086.8399931628805</v>
          </cell>
          <cell r="T314">
            <v>2166.5037183062068</v>
          </cell>
          <cell r="U314">
            <v>2169.9990526739866</v>
          </cell>
          <cell r="V314">
            <v>2171.668654018918</v>
          </cell>
          <cell r="W314">
            <v>2173.1196850558599</v>
          </cell>
          <cell r="X314">
            <v>2173.1196850558599</v>
          </cell>
          <cell r="Y314">
            <v>2173.1196850558599</v>
          </cell>
          <cell r="Z314">
            <v>2173.1196850558599</v>
          </cell>
          <cell r="AB314">
            <v>43.267274341798768</v>
          </cell>
          <cell r="AF314">
            <v>0.14722124865085032</v>
          </cell>
          <cell r="AG314">
            <v>0</v>
          </cell>
        </row>
        <row r="315">
          <cell r="A315" t="str">
            <v>TLMETHX10</v>
          </cell>
          <cell r="D315">
            <v>2010</v>
          </cell>
          <cell r="P315">
            <v>2174.0436257997872</v>
          </cell>
          <cell r="Q315">
            <v>1920.3982501536177</v>
          </cell>
          <cell r="R315">
            <v>2025.2609339047219</v>
          </cell>
          <cell r="S315">
            <v>2086.8399931628805</v>
          </cell>
          <cell r="T315">
            <v>2166.5037183062068</v>
          </cell>
          <cell r="U315">
            <v>2169.9990526739866</v>
          </cell>
          <cell r="V315">
            <v>2171.668654018918</v>
          </cell>
          <cell r="W315">
            <v>2173.1196850558599</v>
          </cell>
          <cell r="X315">
            <v>2173.1196850558599</v>
          </cell>
          <cell r="Y315">
            <v>2173.1196850558599</v>
          </cell>
          <cell r="Z315">
            <v>2173.1196850558599</v>
          </cell>
          <cell r="AB315">
            <v>43.267274341798768</v>
          </cell>
          <cell r="AF315">
            <v>0.1703087730253047</v>
          </cell>
          <cell r="AG315">
            <v>0</v>
          </cell>
        </row>
        <row r="316">
          <cell r="A316" t="str">
            <v>TLMETHX15</v>
          </cell>
          <cell r="D316">
            <v>2015</v>
          </cell>
          <cell r="P316">
            <v>2174.0436257997872</v>
          </cell>
          <cell r="Q316">
            <v>1920.3982501536177</v>
          </cell>
          <cell r="R316">
            <v>2025.2609339047219</v>
          </cell>
          <cell r="S316">
            <v>2086.8399931628805</v>
          </cell>
          <cell r="T316">
            <v>2166.5037183062068</v>
          </cell>
          <cell r="U316">
            <v>2169.9990526739866</v>
          </cell>
          <cell r="V316">
            <v>2171.668654018918</v>
          </cell>
          <cell r="W316">
            <v>2173.1196850558599</v>
          </cell>
          <cell r="X316">
            <v>2173.1196850558599</v>
          </cell>
          <cell r="Y316">
            <v>2173.1196850558599</v>
          </cell>
          <cell r="Z316">
            <v>2173.1196850558599</v>
          </cell>
          <cell r="AB316">
            <v>43.267274341798768</v>
          </cell>
          <cell r="AF316">
            <v>0.17740667987394323</v>
          </cell>
          <cell r="AG316">
            <v>0</v>
          </cell>
        </row>
        <row r="317">
          <cell r="A317" t="str">
            <v>TLMETHX20</v>
          </cell>
          <cell r="D317">
            <v>2020</v>
          </cell>
          <cell r="P317">
            <v>2174.0436257997872</v>
          </cell>
          <cell r="Q317">
            <v>1920.3982501536177</v>
          </cell>
          <cell r="R317">
            <v>2025.2609339047219</v>
          </cell>
          <cell r="S317">
            <v>2086.8399931628805</v>
          </cell>
          <cell r="T317">
            <v>2166.5037183062068</v>
          </cell>
          <cell r="U317">
            <v>2169.9990526739866</v>
          </cell>
          <cell r="V317">
            <v>2171.668654018918</v>
          </cell>
          <cell r="W317">
            <v>2173.1196850558599</v>
          </cell>
          <cell r="X317">
            <v>2173.1196850558599</v>
          </cell>
          <cell r="Y317">
            <v>2173.1196850558599</v>
          </cell>
          <cell r="Z317">
            <v>2173.1196850558599</v>
          </cell>
          <cell r="AB317">
            <v>43.267274341798768</v>
          </cell>
          <cell r="AF317">
            <v>0.20955054154346553</v>
          </cell>
          <cell r="AG317">
            <v>0</v>
          </cell>
        </row>
        <row r="318">
          <cell r="A318" t="str">
            <v>TLMETHX25</v>
          </cell>
          <cell r="D318">
            <v>2025</v>
          </cell>
          <cell r="P318">
            <v>2174.0436257997872</v>
          </cell>
          <cell r="Q318">
            <v>1920.3982501536177</v>
          </cell>
          <cell r="R318">
            <v>2025.2609339047219</v>
          </cell>
          <cell r="S318">
            <v>2086.8399931628805</v>
          </cell>
          <cell r="T318">
            <v>2166.5037183062068</v>
          </cell>
          <cell r="U318">
            <v>2169.9990526739866</v>
          </cell>
          <cell r="V318">
            <v>2171.668654018918</v>
          </cell>
          <cell r="W318">
            <v>2173.1196850558599</v>
          </cell>
          <cell r="X318">
            <v>2173.1196850558599</v>
          </cell>
          <cell r="Y318">
            <v>2173.1196850558599</v>
          </cell>
          <cell r="Z318">
            <v>2173.1196850558599</v>
          </cell>
          <cell r="AB318">
            <v>43.267274341798768</v>
          </cell>
          <cell r="AF318">
            <v>0.25618664036943845</v>
          </cell>
          <cell r="AG318">
            <v>0</v>
          </cell>
        </row>
        <row r="319">
          <cell r="A319" t="str">
            <v>TLMETHX30</v>
          </cell>
          <cell r="D319">
            <v>2030</v>
          </cell>
          <cell r="P319">
            <v>2174.0436257997872</v>
          </cell>
          <cell r="Q319">
            <v>1920.3982501536177</v>
          </cell>
          <cell r="R319">
            <v>2025.2609339047219</v>
          </cell>
          <cell r="S319">
            <v>2086.8399931628805</v>
          </cell>
          <cell r="T319">
            <v>2166.5037183062068</v>
          </cell>
          <cell r="U319">
            <v>2169.9990526739866</v>
          </cell>
          <cell r="V319">
            <v>2171.668654018918</v>
          </cell>
          <cell r="W319">
            <v>2173.1196850558599</v>
          </cell>
          <cell r="X319">
            <v>2173.1196850558599</v>
          </cell>
          <cell r="Y319">
            <v>2173.1196850558599</v>
          </cell>
          <cell r="Z319">
            <v>2173.1196850558599</v>
          </cell>
          <cell r="AB319">
            <v>43.267274341798768</v>
          </cell>
          <cell r="AF319">
            <v>0.25996627257707838</v>
          </cell>
          <cell r="AG319">
            <v>0</v>
          </cell>
        </row>
        <row r="320">
          <cell r="A320" t="str">
            <v>TLMETHX35</v>
          </cell>
          <cell r="D320">
            <v>2035</v>
          </cell>
          <cell r="P320">
            <v>2174.0436257997872</v>
          </cell>
          <cell r="Q320">
            <v>1920.3982501536177</v>
          </cell>
          <cell r="R320">
            <v>2025.2609339047219</v>
          </cell>
          <cell r="S320">
            <v>2086.8399931628805</v>
          </cell>
          <cell r="T320">
            <v>2166.5037183062068</v>
          </cell>
          <cell r="U320">
            <v>2169.9990526739866</v>
          </cell>
          <cell r="V320">
            <v>2171.668654018918</v>
          </cell>
          <cell r="W320">
            <v>2173.1196850558599</v>
          </cell>
          <cell r="X320">
            <v>2173.1196850558599</v>
          </cell>
          <cell r="Y320">
            <v>2173.1196850558599</v>
          </cell>
          <cell r="Z320">
            <v>2173.1196850558599</v>
          </cell>
          <cell r="AB320">
            <v>43.267274341798768</v>
          </cell>
          <cell r="AF320">
            <v>0.2617657485461749</v>
          </cell>
          <cell r="AG320">
            <v>0</v>
          </cell>
        </row>
        <row r="321">
          <cell r="A321" t="str">
            <v>TLMETHX40</v>
          </cell>
          <cell r="D321">
            <v>2040</v>
          </cell>
          <cell r="P321">
            <v>2174.0436257997872</v>
          </cell>
          <cell r="Q321">
            <v>1920.3982501536177</v>
          </cell>
          <cell r="R321">
            <v>2025.2609339047219</v>
          </cell>
          <cell r="S321">
            <v>2086.8399931628805</v>
          </cell>
          <cell r="T321">
            <v>2166.5037183062068</v>
          </cell>
          <cell r="U321">
            <v>2169.9990526739866</v>
          </cell>
          <cell r="V321">
            <v>2171.668654018918</v>
          </cell>
          <cell r="W321">
            <v>2173.1196850558599</v>
          </cell>
          <cell r="X321">
            <v>2173.1196850558599</v>
          </cell>
          <cell r="Y321">
            <v>2173.1196850558599</v>
          </cell>
          <cell r="Z321">
            <v>2173.1196850558599</v>
          </cell>
          <cell r="AB321">
            <v>43.267274341798768</v>
          </cell>
          <cell r="AF321">
            <v>0.26140647147170593</v>
          </cell>
          <cell r="AG321">
            <v>0</v>
          </cell>
        </row>
        <row r="322">
          <cell r="A322" t="str">
            <v>TLMETHX45</v>
          </cell>
          <cell r="D322">
            <v>2045</v>
          </cell>
          <cell r="P322">
            <v>2174.0436257997872</v>
          </cell>
          <cell r="Q322">
            <v>1920.3982501536177</v>
          </cell>
          <cell r="R322">
            <v>2025.2609339047219</v>
          </cell>
          <cell r="S322">
            <v>2086.8399931628805</v>
          </cell>
          <cell r="T322">
            <v>2166.5037183062068</v>
          </cell>
          <cell r="U322">
            <v>2169.9990526739866</v>
          </cell>
          <cell r="V322">
            <v>2171.668654018918</v>
          </cell>
          <cell r="W322">
            <v>2173.1196850558599</v>
          </cell>
          <cell r="X322">
            <v>2173.1196850558599</v>
          </cell>
          <cell r="Y322">
            <v>2173.1196850558599</v>
          </cell>
          <cell r="Z322">
            <v>2173.1196850558599</v>
          </cell>
          <cell r="AB322">
            <v>43.267274341798768</v>
          </cell>
          <cell r="AF322">
            <v>0.26140647147170593</v>
          </cell>
          <cell r="AG322">
            <v>0</v>
          </cell>
        </row>
        <row r="323">
          <cell r="A323" t="str">
            <v>TLMETHX50</v>
          </cell>
          <cell r="D323">
            <v>2050</v>
          </cell>
          <cell r="P323">
            <v>2174.0436257997872</v>
          </cell>
          <cell r="Q323">
            <v>1920.3982501536177</v>
          </cell>
          <cell r="R323">
            <v>2025.2609339047219</v>
          </cell>
          <cell r="S323">
            <v>2086.8399931628805</v>
          </cell>
          <cell r="T323">
            <v>2166.5037183062068</v>
          </cell>
          <cell r="U323">
            <v>2169.9990526739866</v>
          </cell>
          <cell r="V323">
            <v>2171.668654018918</v>
          </cell>
          <cell r="W323">
            <v>2173.1196850558599</v>
          </cell>
          <cell r="X323">
            <v>2173.1196850558599</v>
          </cell>
          <cell r="Y323">
            <v>2173.1196850558599</v>
          </cell>
          <cell r="Z323">
            <v>2173.1196850558599</v>
          </cell>
          <cell r="AB323">
            <v>43.267274341798768</v>
          </cell>
          <cell r="AF323">
            <v>0.26140647147170593</v>
          </cell>
          <cell r="AG323">
            <v>0</v>
          </cell>
        </row>
        <row r="324">
          <cell r="A324" t="str">
            <v>TLMFCG15</v>
          </cell>
          <cell r="D324">
            <v>2015</v>
          </cell>
          <cell r="P324">
            <v>0</v>
          </cell>
          <cell r="Q324">
            <v>0</v>
          </cell>
          <cell r="R324">
            <v>0</v>
          </cell>
          <cell r="S324">
            <v>0</v>
          </cell>
          <cell r="T324">
            <v>0</v>
          </cell>
          <cell r="U324">
            <v>0</v>
          </cell>
          <cell r="V324">
            <v>0</v>
          </cell>
          <cell r="W324">
            <v>0</v>
          </cell>
          <cell r="X324">
            <v>0</v>
          </cell>
          <cell r="Y324">
            <v>0</v>
          </cell>
          <cell r="Z324">
            <v>0</v>
          </cell>
          <cell r="AB324">
            <v>47.594001775978647</v>
          </cell>
          <cell r="AF324">
            <v>0</v>
          </cell>
          <cell r="AG324">
            <v>0</v>
          </cell>
        </row>
        <row r="325">
          <cell r="A325" t="str">
            <v>TLMFCG20</v>
          </cell>
          <cell r="D325">
            <v>2020</v>
          </cell>
          <cell r="P325">
            <v>0</v>
          </cell>
          <cell r="Q325">
            <v>0</v>
          </cell>
          <cell r="R325">
            <v>0</v>
          </cell>
          <cell r="S325">
            <v>0</v>
          </cell>
          <cell r="T325">
            <v>0</v>
          </cell>
          <cell r="U325">
            <v>0</v>
          </cell>
          <cell r="V325">
            <v>0</v>
          </cell>
          <cell r="W325">
            <v>0</v>
          </cell>
          <cell r="X325">
            <v>0</v>
          </cell>
          <cell r="Y325">
            <v>0</v>
          </cell>
          <cell r="Z325">
            <v>0</v>
          </cell>
          <cell r="AB325">
            <v>47.594001775978647</v>
          </cell>
          <cell r="AF325">
            <v>0</v>
          </cell>
          <cell r="AG325">
            <v>0</v>
          </cell>
        </row>
        <row r="326">
          <cell r="A326" t="str">
            <v>TLMFCG25</v>
          </cell>
          <cell r="D326">
            <v>2025</v>
          </cell>
          <cell r="P326">
            <v>0</v>
          </cell>
          <cell r="Q326">
            <v>0</v>
          </cell>
          <cell r="R326">
            <v>0</v>
          </cell>
          <cell r="S326">
            <v>0</v>
          </cell>
          <cell r="T326">
            <v>0</v>
          </cell>
          <cell r="U326">
            <v>0</v>
          </cell>
          <cell r="V326">
            <v>0</v>
          </cell>
          <cell r="W326">
            <v>0</v>
          </cell>
          <cell r="X326">
            <v>0</v>
          </cell>
          <cell r="Y326">
            <v>0</v>
          </cell>
          <cell r="Z326">
            <v>0</v>
          </cell>
          <cell r="AB326">
            <v>47.594001775978647</v>
          </cell>
          <cell r="AF326">
            <v>0</v>
          </cell>
          <cell r="AG326">
            <v>0</v>
          </cell>
        </row>
        <row r="327">
          <cell r="A327" t="str">
            <v>TLMFCG30</v>
          </cell>
          <cell r="D327">
            <v>2030</v>
          </cell>
          <cell r="P327">
            <v>0</v>
          </cell>
          <cell r="Q327">
            <v>0</v>
          </cell>
          <cell r="R327">
            <v>0</v>
          </cell>
          <cell r="S327">
            <v>0</v>
          </cell>
          <cell r="T327">
            <v>0</v>
          </cell>
          <cell r="U327">
            <v>0</v>
          </cell>
          <cell r="V327">
            <v>0</v>
          </cell>
          <cell r="W327">
            <v>0</v>
          </cell>
          <cell r="X327">
            <v>0</v>
          </cell>
          <cell r="Y327">
            <v>0</v>
          </cell>
          <cell r="Z327">
            <v>0</v>
          </cell>
          <cell r="AB327">
            <v>47.594001775978647</v>
          </cell>
          <cell r="AF327">
            <v>0</v>
          </cell>
          <cell r="AG327">
            <v>0</v>
          </cell>
        </row>
        <row r="328">
          <cell r="A328" t="str">
            <v>TLMFCG35</v>
          </cell>
          <cell r="D328">
            <v>2035</v>
          </cell>
          <cell r="P328">
            <v>0</v>
          </cell>
          <cell r="Q328">
            <v>0</v>
          </cell>
          <cell r="R328">
            <v>0</v>
          </cell>
          <cell r="S328">
            <v>0</v>
          </cell>
          <cell r="T328">
            <v>0</v>
          </cell>
          <cell r="U328">
            <v>0</v>
          </cell>
          <cell r="V328">
            <v>0</v>
          </cell>
          <cell r="W328">
            <v>0</v>
          </cell>
          <cell r="X328">
            <v>0</v>
          </cell>
          <cell r="Y328">
            <v>0</v>
          </cell>
          <cell r="Z328">
            <v>0</v>
          </cell>
          <cell r="AB328">
            <v>47.594001775978647</v>
          </cell>
          <cell r="AF328">
            <v>0</v>
          </cell>
          <cell r="AG328">
            <v>0</v>
          </cell>
        </row>
        <row r="329">
          <cell r="A329" t="str">
            <v>TLMFCG40</v>
          </cell>
          <cell r="D329">
            <v>2040</v>
          </cell>
          <cell r="P329">
            <v>0</v>
          </cell>
          <cell r="Q329">
            <v>0</v>
          </cell>
          <cell r="R329">
            <v>0</v>
          </cell>
          <cell r="S329">
            <v>0</v>
          </cell>
          <cell r="T329">
            <v>0</v>
          </cell>
          <cell r="U329">
            <v>0</v>
          </cell>
          <cell r="V329">
            <v>0</v>
          </cell>
          <cell r="W329">
            <v>0</v>
          </cell>
          <cell r="X329">
            <v>0</v>
          </cell>
          <cell r="Y329">
            <v>0</v>
          </cell>
          <cell r="Z329">
            <v>0</v>
          </cell>
          <cell r="AB329">
            <v>47.594001775978647</v>
          </cell>
          <cell r="AF329">
            <v>0</v>
          </cell>
          <cell r="AG329">
            <v>0</v>
          </cell>
        </row>
        <row r="330">
          <cell r="A330" t="str">
            <v>TLMFCG45</v>
          </cell>
          <cell r="D330">
            <v>2045</v>
          </cell>
          <cell r="P330">
            <v>0</v>
          </cell>
          <cell r="Q330">
            <v>0</v>
          </cell>
          <cell r="R330">
            <v>0</v>
          </cell>
          <cell r="S330">
            <v>0</v>
          </cell>
          <cell r="T330">
            <v>0</v>
          </cell>
          <cell r="U330">
            <v>0</v>
          </cell>
          <cell r="V330">
            <v>0</v>
          </cell>
          <cell r="W330">
            <v>0</v>
          </cell>
          <cell r="X330">
            <v>0</v>
          </cell>
          <cell r="Y330">
            <v>0</v>
          </cell>
          <cell r="Z330">
            <v>0</v>
          </cell>
          <cell r="AB330">
            <v>47.594001775978647</v>
          </cell>
          <cell r="AF330">
            <v>0</v>
          </cell>
          <cell r="AG330">
            <v>0</v>
          </cell>
        </row>
        <row r="331">
          <cell r="A331" t="str">
            <v>TLMFCG50</v>
          </cell>
          <cell r="D331">
            <v>2050</v>
          </cell>
          <cell r="P331">
            <v>0</v>
          </cell>
          <cell r="Q331">
            <v>0</v>
          </cell>
          <cell r="R331">
            <v>0</v>
          </cell>
          <cell r="S331">
            <v>0</v>
          </cell>
          <cell r="T331">
            <v>0</v>
          </cell>
          <cell r="U331">
            <v>0</v>
          </cell>
          <cell r="V331">
            <v>0</v>
          </cell>
          <cell r="W331">
            <v>0</v>
          </cell>
          <cell r="X331">
            <v>0</v>
          </cell>
          <cell r="Y331">
            <v>0</v>
          </cell>
          <cell r="Z331">
            <v>0</v>
          </cell>
          <cell r="AB331">
            <v>47.594001775978647</v>
          </cell>
          <cell r="AF331">
            <v>0</v>
          </cell>
          <cell r="AG331">
            <v>0</v>
          </cell>
        </row>
        <row r="332">
          <cell r="A332" t="str">
            <v>TLMFCH15</v>
          </cell>
          <cell r="D332">
            <v>2015</v>
          </cell>
          <cell r="P332">
            <v>0</v>
          </cell>
          <cell r="Q332">
            <v>0</v>
          </cell>
          <cell r="R332">
            <v>6531.647275651314</v>
          </cell>
          <cell r="S332">
            <v>5471.2530193927787</v>
          </cell>
          <cell r="T332">
            <v>4606.6533952664504</v>
          </cell>
          <cell r="U332">
            <v>4155.9762589661541</v>
          </cell>
          <cell r="V332">
            <v>3802.8201096503612</v>
          </cell>
          <cell r="W332">
            <v>3523.6096805119491</v>
          </cell>
          <cell r="X332">
            <v>3523.6096805119491</v>
          </cell>
          <cell r="Y332">
            <v>3523.6096805119491</v>
          </cell>
          <cell r="Z332">
            <v>3523.6096805119491</v>
          </cell>
          <cell r="AB332">
            <v>47.594001775978647</v>
          </cell>
          <cell r="AF332">
            <v>0.25445024287957418</v>
          </cell>
          <cell r="AG332">
            <v>0</v>
          </cell>
        </row>
        <row r="333">
          <cell r="A333" t="str">
            <v>TLMFCH20</v>
          </cell>
          <cell r="D333">
            <v>2020</v>
          </cell>
          <cell r="P333">
            <v>0</v>
          </cell>
          <cell r="Q333">
            <v>0</v>
          </cell>
          <cell r="R333">
            <v>6531.647275651314</v>
          </cell>
          <cell r="S333">
            <v>5471.2530193927787</v>
          </cell>
          <cell r="T333">
            <v>4606.6533952664504</v>
          </cell>
          <cell r="U333">
            <v>4155.9762589661541</v>
          </cell>
          <cell r="V333">
            <v>3802.8201096503612</v>
          </cell>
          <cell r="W333">
            <v>3523.6096805119491</v>
          </cell>
          <cell r="X333">
            <v>3523.6096805119491</v>
          </cell>
          <cell r="Y333">
            <v>3523.6096805119491</v>
          </cell>
          <cell r="Z333">
            <v>3523.6096805119491</v>
          </cell>
          <cell r="AB333">
            <v>47.594001775978647</v>
          </cell>
          <cell r="AF333">
            <v>0.27123956733513299</v>
          </cell>
          <cell r="AG333">
            <v>0</v>
          </cell>
        </row>
        <row r="334">
          <cell r="A334" t="str">
            <v>TLMFCH25</v>
          </cell>
          <cell r="D334">
            <v>2025</v>
          </cell>
          <cell r="P334">
            <v>0</v>
          </cell>
          <cell r="Q334">
            <v>0</v>
          </cell>
          <cell r="R334">
            <v>6531.647275651314</v>
          </cell>
          <cell r="S334">
            <v>5471.2530193927787</v>
          </cell>
          <cell r="T334">
            <v>4606.6533952664504</v>
          </cell>
          <cell r="U334">
            <v>4155.9762589661541</v>
          </cell>
          <cell r="V334">
            <v>3802.8201096503612</v>
          </cell>
          <cell r="W334">
            <v>3523.6096805119491</v>
          </cell>
          <cell r="X334">
            <v>3523.6096805119491</v>
          </cell>
          <cell r="Y334">
            <v>3523.6096805119491</v>
          </cell>
          <cell r="Z334">
            <v>3523.6096805119491</v>
          </cell>
          <cell r="AB334">
            <v>47.594001775978647</v>
          </cell>
          <cell r="AF334">
            <v>0.29783224914757134</v>
          </cell>
          <cell r="AG334">
            <v>0</v>
          </cell>
        </row>
        <row r="335">
          <cell r="A335" t="str">
            <v>TLMFCH30</v>
          </cell>
          <cell r="D335">
            <v>2030</v>
          </cell>
          <cell r="P335">
            <v>0</v>
          </cell>
          <cell r="Q335">
            <v>0</v>
          </cell>
          <cell r="R335">
            <v>6531.647275651314</v>
          </cell>
          <cell r="S335">
            <v>5471.2530193927787</v>
          </cell>
          <cell r="T335">
            <v>4606.6533952664504</v>
          </cell>
          <cell r="U335">
            <v>4155.9762589661541</v>
          </cell>
          <cell r="V335">
            <v>3802.8201096503612</v>
          </cell>
          <cell r="W335">
            <v>3523.6096805119491</v>
          </cell>
          <cell r="X335">
            <v>3523.6096805119491</v>
          </cell>
          <cell r="Y335">
            <v>3523.6096805119491</v>
          </cell>
          <cell r="Z335">
            <v>3523.6096805119491</v>
          </cell>
          <cell r="AB335">
            <v>47.594001775978647</v>
          </cell>
          <cell r="AF335">
            <v>0.29786110849140901</v>
          </cell>
          <cell r="AG335">
            <v>0</v>
          </cell>
        </row>
        <row r="336">
          <cell r="A336" t="str">
            <v>TLMFCH35</v>
          </cell>
          <cell r="D336">
            <v>2035</v>
          </cell>
          <cell r="P336">
            <v>0</v>
          </cell>
          <cell r="Q336">
            <v>0</v>
          </cell>
          <cell r="R336">
            <v>6531.647275651314</v>
          </cell>
          <cell r="S336">
            <v>5471.2530193927787</v>
          </cell>
          <cell r="T336">
            <v>4606.6533952664504</v>
          </cell>
          <cell r="U336">
            <v>4155.9762589661541</v>
          </cell>
          <cell r="V336">
            <v>3802.8201096503612</v>
          </cell>
          <cell r="W336">
            <v>3523.6096805119491</v>
          </cell>
          <cell r="X336">
            <v>3523.6096805119491</v>
          </cell>
          <cell r="Y336">
            <v>3523.6096805119491</v>
          </cell>
          <cell r="Z336">
            <v>3523.6096805119491</v>
          </cell>
          <cell r="AB336">
            <v>47.594001775978647</v>
          </cell>
          <cell r="AF336">
            <v>0.29786147146197361</v>
          </cell>
          <cell r="AG336">
            <v>0</v>
          </cell>
        </row>
        <row r="337">
          <cell r="A337" t="str">
            <v>TLMFCH40</v>
          </cell>
          <cell r="D337">
            <v>2040</v>
          </cell>
          <cell r="P337">
            <v>0</v>
          </cell>
          <cell r="Q337">
            <v>0</v>
          </cell>
          <cell r="R337">
            <v>6531.647275651314</v>
          </cell>
          <cell r="S337">
            <v>5471.2530193927787</v>
          </cell>
          <cell r="T337">
            <v>4606.6533952664504</v>
          </cell>
          <cell r="U337">
            <v>4155.9762589661541</v>
          </cell>
          <cell r="V337">
            <v>3802.8201096503612</v>
          </cell>
          <cell r="W337">
            <v>3523.6096805119491</v>
          </cell>
          <cell r="X337">
            <v>3523.6096805119491</v>
          </cell>
          <cell r="Y337">
            <v>3523.6096805119491</v>
          </cell>
          <cell r="Z337">
            <v>3523.6096805119491</v>
          </cell>
          <cell r="AB337">
            <v>47.594001775978647</v>
          </cell>
          <cell r="AF337">
            <v>0.29786878181650273</v>
          </cell>
          <cell r="AG337">
            <v>0</v>
          </cell>
        </row>
        <row r="338">
          <cell r="A338" t="str">
            <v>TLMFCH45</v>
          </cell>
          <cell r="D338">
            <v>2045</v>
          </cell>
          <cell r="P338">
            <v>0</v>
          </cell>
          <cell r="Q338">
            <v>0</v>
          </cell>
          <cell r="R338">
            <v>6531.647275651314</v>
          </cell>
          <cell r="S338">
            <v>5471.2530193927787</v>
          </cell>
          <cell r="T338">
            <v>4606.6533952664504</v>
          </cell>
          <cell r="U338">
            <v>4155.9762589661541</v>
          </cell>
          <cell r="V338">
            <v>3802.8201096503612</v>
          </cell>
          <cell r="W338">
            <v>3523.6096805119491</v>
          </cell>
          <cell r="X338">
            <v>3523.6096805119491</v>
          </cell>
          <cell r="Y338">
            <v>3523.6096805119491</v>
          </cell>
          <cell r="Z338">
            <v>3523.6096805119491</v>
          </cell>
          <cell r="AB338">
            <v>47.594001775978647</v>
          </cell>
          <cell r="AF338">
            <v>0.29786878181650273</v>
          </cell>
          <cell r="AG338">
            <v>0</v>
          </cell>
        </row>
        <row r="339">
          <cell r="A339" t="str">
            <v>TLMFCH50</v>
          </cell>
          <cell r="D339">
            <v>2050</v>
          </cell>
          <cell r="P339">
            <v>0</v>
          </cell>
          <cell r="Q339">
            <v>0</v>
          </cell>
          <cell r="R339">
            <v>6531.647275651314</v>
          </cell>
          <cell r="S339">
            <v>5471.2530193927787</v>
          </cell>
          <cell r="T339">
            <v>4606.6533952664504</v>
          </cell>
          <cell r="U339">
            <v>4155.9762589661541</v>
          </cell>
          <cell r="V339">
            <v>3802.8201096503612</v>
          </cell>
          <cell r="W339">
            <v>3523.6096805119491</v>
          </cell>
          <cell r="X339">
            <v>3523.6096805119491</v>
          </cell>
          <cell r="Y339">
            <v>3523.6096805119491</v>
          </cell>
          <cell r="Z339">
            <v>3523.6096805119491</v>
          </cell>
          <cell r="AB339">
            <v>47.594001775978647</v>
          </cell>
          <cell r="AF339">
            <v>0.29786878181650273</v>
          </cell>
          <cell r="AG339">
            <v>0</v>
          </cell>
        </row>
        <row r="340">
          <cell r="A340" t="str">
            <v>TLMELC10</v>
          </cell>
          <cell r="D340">
            <v>2010</v>
          </cell>
          <cell r="P340">
            <v>6176.5566031994676</v>
          </cell>
          <cell r="Q340">
            <v>0</v>
          </cell>
          <cell r="R340">
            <v>5338.0454723625189</v>
          </cell>
          <cell r="S340">
            <v>5222.8305446145559</v>
          </cell>
          <cell r="T340">
            <v>5015.1904526352073</v>
          </cell>
          <cell r="U340">
            <v>4852.8621523524953</v>
          </cell>
          <cell r="V340">
            <v>4810.2448315260453</v>
          </cell>
          <cell r="W340">
            <v>4800.6666364383827</v>
          </cell>
          <cell r="X340">
            <v>4800.6666364383827</v>
          </cell>
          <cell r="Y340">
            <v>4800.6666364383827</v>
          </cell>
          <cell r="Z340">
            <v>4800.6666364383827</v>
          </cell>
          <cell r="AB340">
            <v>25.96036460507926</v>
          </cell>
          <cell r="AF340">
            <v>0</v>
          </cell>
          <cell r="AG340">
            <v>0</v>
          </cell>
        </row>
        <row r="341">
          <cell r="A341" t="str">
            <v>TLMELC15</v>
          </cell>
          <cell r="D341">
            <v>2015</v>
          </cell>
          <cell r="P341">
            <v>6176.5566031994676</v>
          </cell>
          <cell r="Q341">
            <v>0</v>
          </cell>
          <cell r="R341">
            <v>5338.0454723625189</v>
          </cell>
          <cell r="S341">
            <v>5222.8305446145559</v>
          </cell>
          <cell r="T341">
            <v>5015.1904526352073</v>
          </cell>
          <cell r="U341">
            <v>4852.8621523524953</v>
          </cell>
          <cell r="V341">
            <v>4810.2448315260453</v>
          </cell>
          <cell r="W341">
            <v>4800.6666364383827</v>
          </cell>
          <cell r="X341">
            <v>4800.6666364383827</v>
          </cell>
          <cell r="Y341">
            <v>4800.6666364383827</v>
          </cell>
          <cell r="Z341">
            <v>4800.6666364383827</v>
          </cell>
          <cell r="AB341">
            <v>25.96036460507926</v>
          </cell>
          <cell r="AF341">
            <v>0.8422755821744895</v>
          </cell>
          <cell r="AG341">
            <v>0</v>
          </cell>
        </row>
        <row r="342">
          <cell r="A342" t="str">
            <v>TLMELC20</v>
          </cell>
          <cell r="D342">
            <v>2020</v>
          </cell>
          <cell r="P342">
            <v>6176.5566031994676</v>
          </cell>
          <cell r="Q342">
            <v>0</v>
          </cell>
          <cell r="R342">
            <v>5338.0454723625189</v>
          </cell>
          <cell r="S342">
            <v>5222.8305446145559</v>
          </cell>
          <cell r="T342">
            <v>5015.1904526352073</v>
          </cell>
          <cell r="U342">
            <v>4852.8621523524953</v>
          </cell>
          <cell r="V342">
            <v>4810.2448315260453</v>
          </cell>
          <cell r="W342">
            <v>4800.6666364383827</v>
          </cell>
          <cell r="X342">
            <v>4800.6666364383827</v>
          </cell>
          <cell r="Y342">
            <v>4800.6666364383827</v>
          </cell>
          <cell r="Z342">
            <v>4800.6666364383827</v>
          </cell>
          <cell r="AB342">
            <v>25.96036460507926</v>
          </cell>
          <cell r="AF342">
            <v>0.86187844498087707</v>
          </cell>
          <cell r="AG342">
            <v>0</v>
          </cell>
        </row>
        <row r="343">
          <cell r="A343" t="str">
            <v>TLMELC25</v>
          </cell>
          <cell r="D343">
            <v>2025</v>
          </cell>
          <cell r="P343">
            <v>6176.5566031994676</v>
          </cell>
          <cell r="Q343">
            <v>0</v>
          </cell>
          <cell r="R343">
            <v>5338.0454723625189</v>
          </cell>
          <cell r="S343">
            <v>5222.8305446145559</v>
          </cell>
          <cell r="T343">
            <v>5015.1904526352073</v>
          </cell>
          <cell r="U343">
            <v>4852.8621523524953</v>
          </cell>
          <cell r="V343">
            <v>4810.2448315260453</v>
          </cell>
          <cell r="W343">
            <v>4800.6666364383827</v>
          </cell>
          <cell r="X343">
            <v>4800.6666364383827</v>
          </cell>
          <cell r="Y343">
            <v>4800.6666364383827</v>
          </cell>
          <cell r="Z343">
            <v>4800.6666364383827</v>
          </cell>
          <cell r="AB343">
            <v>25.96036460507926</v>
          </cell>
          <cell r="AF343">
            <v>0.87844062059744332</v>
          </cell>
          <cell r="AG343">
            <v>0</v>
          </cell>
        </row>
        <row r="344">
          <cell r="A344" t="str">
            <v>TLMELC30</v>
          </cell>
          <cell r="D344">
            <v>2030</v>
          </cell>
          <cell r="P344">
            <v>6176.5566031994676</v>
          </cell>
          <cell r="Q344">
            <v>0</v>
          </cell>
          <cell r="R344">
            <v>5338.0454723625189</v>
          </cell>
          <cell r="S344">
            <v>5222.8305446145559</v>
          </cell>
          <cell r="T344">
            <v>5015.1904526352073</v>
          </cell>
          <cell r="U344">
            <v>4852.8621523524953</v>
          </cell>
          <cell r="V344">
            <v>4810.2448315260453</v>
          </cell>
          <cell r="W344">
            <v>4800.6666364383827</v>
          </cell>
          <cell r="X344">
            <v>4800.6666364383827</v>
          </cell>
          <cell r="Y344">
            <v>4800.6666364383827</v>
          </cell>
          <cell r="Z344">
            <v>4800.6666364383827</v>
          </cell>
          <cell r="AB344">
            <v>25.96036460507926</v>
          </cell>
          <cell r="AF344">
            <v>0.88438032908272579</v>
          </cell>
          <cell r="AG344">
            <v>0</v>
          </cell>
        </row>
        <row r="345">
          <cell r="A345" t="str">
            <v>TLMELC35</v>
          </cell>
          <cell r="D345">
            <v>2035</v>
          </cell>
          <cell r="P345">
            <v>6176.5566031994676</v>
          </cell>
          <cell r="Q345">
            <v>0</v>
          </cell>
          <cell r="R345">
            <v>5338.0454723625189</v>
          </cell>
          <cell r="S345">
            <v>5222.8305446145559</v>
          </cell>
          <cell r="T345">
            <v>5015.1904526352073</v>
          </cell>
          <cell r="U345">
            <v>4852.8621523524953</v>
          </cell>
          <cell r="V345">
            <v>4810.2448315260453</v>
          </cell>
          <cell r="W345">
            <v>4800.6666364383827</v>
          </cell>
          <cell r="X345">
            <v>4800.6666364383827</v>
          </cell>
          <cell r="Y345">
            <v>4800.6666364383827</v>
          </cell>
          <cell r="Z345">
            <v>4800.6666364383827</v>
          </cell>
          <cell r="AB345">
            <v>25.96036460507926</v>
          </cell>
          <cell r="AF345">
            <v>0.88438032908272579</v>
          </cell>
          <cell r="AG345">
            <v>0</v>
          </cell>
        </row>
        <row r="346">
          <cell r="A346" t="str">
            <v>TLMELC40</v>
          </cell>
          <cell r="D346">
            <v>2040</v>
          </cell>
          <cell r="P346">
            <v>6176.5566031994676</v>
          </cell>
          <cell r="Q346">
            <v>0</v>
          </cell>
          <cell r="R346">
            <v>5338.0454723625189</v>
          </cell>
          <cell r="S346">
            <v>5222.8305446145559</v>
          </cell>
          <cell r="T346">
            <v>5015.1904526352073</v>
          </cell>
          <cell r="U346">
            <v>4852.8621523524953</v>
          </cell>
          <cell r="V346">
            <v>4810.2448315260453</v>
          </cell>
          <cell r="W346">
            <v>4800.6666364383827</v>
          </cell>
          <cell r="X346">
            <v>4800.6666364383827</v>
          </cell>
          <cell r="Y346">
            <v>4800.6666364383827</v>
          </cell>
          <cell r="Z346">
            <v>4800.6666364383827</v>
          </cell>
          <cell r="AB346">
            <v>25.96036460507926</v>
          </cell>
          <cell r="AF346">
            <v>0.88438032908272579</v>
          </cell>
          <cell r="AG346">
            <v>0</v>
          </cell>
        </row>
        <row r="347">
          <cell r="A347" t="str">
            <v>TLMELC45</v>
          </cell>
          <cell r="D347">
            <v>2045</v>
          </cell>
          <cell r="P347">
            <v>6176.5566031994676</v>
          </cell>
          <cell r="Q347">
            <v>0</v>
          </cell>
          <cell r="R347">
            <v>5338.0454723625189</v>
          </cell>
          <cell r="S347">
            <v>5222.8305446145559</v>
          </cell>
          <cell r="T347">
            <v>5015.1904526352073</v>
          </cell>
          <cell r="U347">
            <v>4852.8621523524953</v>
          </cell>
          <cell r="V347">
            <v>4810.2448315260453</v>
          </cell>
          <cell r="W347">
            <v>4800.6666364383827</v>
          </cell>
          <cell r="X347">
            <v>4800.6666364383827</v>
          </cell>
          <cell r="Y347">
            <v>4800.6666364383827</v>
          </cell>
          <cell r="Z347">
            <v>4800.6666364383827</v>
          </cell>
          <cell r="AB347">
            <v>25.96036460507926</v>
          </cell>
          <cell r="AF347">
            <v>0.88438032908272579</v>
          </cell>
          <cell r="AG347">
            <v>0</v>
          </cell>
        </row>
        <row r="348">
          <cell r="A348" t="str">
            <v>TLMELC50</v>
          </cell>
          <cell r="D348">
            <v>2050</v>
          </cell>
          <cell r="P348">
            <v>6176.5566031994676</v>
          </cell>
          <cell r="Q348">
            <v>0</v>
          </cell>
          <cell r="R348">
            <v>5338.0454723625189</v>
          </cell>
          <cell r="S348">
            <v>5222.8305446145559</v>
          </cell>
          <cell r="T348">
            <v>5015.1904526352073</v>
          </cell>
          <cell r="U348">
            <v>4852.8621523524953</v>
          </cell>
          <cell r="V348">
            <v>4810.2448315260453</v>
          </cell>
          <cell r="W348">
            <v>4800.6666364383827</v>
          </cell>
          <cell r="X348">
            <v>4800.6666364383827</v>
          </cell>
          <cell r="Y348">
            <v>4800.6666364383827</v>
          </cell>
          <cell r="Z348">
            <v>4800.6666364383827</v>
          </cell>
          <cell r="AB348">
            <v>25.96036460507926</v>
          </cell>
          <cell r="AF348">
            <v>0.88438032908272579</v>
          </cell>
          <cell r="AG348">
            <v>0</v>
          </cell>
        </row>
        <row r="349">
          <cell r="A349" t="str">
            <v>TLMHEV10</v>
          </cell>
          <cell r="D349">
            <v>2010</v>
          </cell>
          <cell r="P349">
            <v>0</v>
          </cell>
          <cell r="Q349">
            <v>0</v>
          </cell>
          <cell r="R349">
            <v>0</v>
          </cell>
          <cell r="S349">
            <v>2478.0515897316563</v>
          </cell>
          <cell r="T349">
            <v>2479.5393159306082</v>
          </cell>
          <cell r="U349">
            <v>2433.2533517644838</v>
          </cell>
          <cell r="V349">
            <v>2422.7485870030705</v>
          </cell>
          <cell r="W349">
            <v>2420.9725007711409</v>
          </cell>
          <cell r="X349">
            <v>2420.9725007711409</v>
          </cell>
          <cell r="Y349">
            <v>2420.9725007711409</v>
          </cell>
          <cell r="Z349">
            <v>2420.9725007711409</v>
          </cell>
          <cell r="AB349">
            <v>45.478712808157368</v>
          </cell>
          <cell r="AF349">
            <v>0.28037884138851404</v>
          </cell>
          <cell r="AG349">
            <v>0</v>
          </cell>
        </row>
        <row r="350">
          <cell r="A350" t="str">
            <v>TLMHEV15</v>
          </cell>
          <cell r="D350">
            <v>2015</v>
          </cell>
          <cell r="P350">
            <v>0</v>
          </cell>
          <cell r="Q350">
            <v>0</v>
          </cell>
          <cell r="R350">
            <v>0</v>
          </cell>
          <cell r="S350">
            <v>2478.0515897316563</v>
          </cell>
          <cell r="T350">
            <v>2479.5393159306082</v>
          </cell>
          <cell r="U350">
            <v>2433.2533517644838</v>
          </cell>
          <cell r="V350">
            <v>2422.7485870030705</v>
          </cell>
          <cell r="W350">
            <v>2420.9725007711409</v>
          </cell>
          <cell r="X350">
            <v>2420.9725007711409</v>
          </cell>
          <cell r="Y350">
            <v>2420.9725007711409</v>
          </cell>
          <cell r="Z350">
            <v>2420.9725007711409</v>
          </cell>
          <cell r="AB350">
            <v>45.478712808157368</v>
          </cell>
          <cell r="AF350" t="e">
            <v>#DIV/0!</v>
          </cell>
          <cell r="AG350">
            <v>0</v>
          </cell>
        </row>
        <row r="351">
          <cell r="A351" t="str">
            <v>TLMHEV20</v>
          </cell>
          <cell r="D351">
            <v>2020</v>
          </cell>
          <cell r="P351">
            <v>0</v>
          </cell>
          <cell r="Q351">
            <v>0</v>
          </cell>
          <cell r="R351">
            <v>0</v>
          </cell>
          <cell r="S351">
            <v>2478.0515897316563</v>
          </cell>
          <cell r="T351">
            <v>2479.5393159306082</v>
          </cell>
          <cell r="U351">
            <v>2433.2533517644838</v>
          </cell>
          <cell r="V351">
            <v>2422.7485870030705</v>
          </cell>
          <cell r="W351">
            <v>2420.9725007711409</v>
          </cell>
          <cell r="X351">
            <v>2420.9725007711409</v>
          </cell>
          <cell r="Y351">
            <v>2420.9725007711409</v>
          </cell>
          <cell r="Z351">
            <v>2420.9725007711409</v>
          </cell>
          <cell r="AB351">
            <v>45.478712808157368</v>
          </cell>
          <cell r="AF351">
            <v>0.27117518957761599</v>
          </cell>
          <cell r="AG351">
            <v>0</v>
          </cell>
        </row>
        <row r="352">
          <cell r="A352" t="str">
            <v>TLMHEV25</v>
          </cell>
          <cell r="D352">
            <v>2025</v>
          </cell>
          <cell r="P352">
            <v>0</v>
          </cell>
          <cell r="Q352">
            <v>0</v>
          </cell>
          <cell r="R352">
            <v>0</v>
          </cell>
          <cell r="S352">
            <v>2478.0515897316563</v>
          </cell>
          <cell r="T352">
            <v>2479.5393159306082</v>
          </cell>
          <cell r="U352">
            <v>2433.2533517644838</v>
          </cell>
          <cell r="V352">
            <v>2422.7485870030705</v>
          </cell>
          <cell r="W352">
            <v>2420.9725007711409</v>
          </cell>
          <cell r="X352">
            <v>2420.9725007711409</v>
          </cell>
          <cell r="Y352">
            <v>2420.9725007711409</v>
          </cell>
          <cell r="Z352">
            <v>2420.9725007711409</v>
          </cell>
          <cell r="AB352">
            <v>45.478712808157368</v>
          </cell>
          <cell r="AF352">
            <v>0.32486394489434472</v>
          </cell>
          <cell r="AG352">
            <v>0</v>
          </cell>
        </row>
        <row r="353">
          <cell r="A353" t="str">
            <v>TLMHEV30</v>
          </cell>
          <cell r="D353">
            <v>2030</v>
          </cell>
          <cell r="P353">
            <v>0</v>
          </cell>
          <cell r="Q353">
            <v>0</v>
          </cell>
          <cell r="R353">
            <v>0</v>
          </cell>
          <cell r="S353">
            <v>2478.0515897316563</v>
          </cell>
          <cell r="T353">
            <v>2479.5393159306082</v>
          </cell>
          <cell r="U353">
            <v>2433.2533517644838</v>
          </cell>
          <cell r="V353">
            <v>2422.7485870030705</v>
          </cell>
          <cell r="W353">
            <v>2420.9725007711409</v>
          </cell>
          <cell r="X353">
            <v>2420.9725007711409</v>
          </cell>
          <cell r="Y353">
            <v>2420.9725007711409</v>
          </cell>
          <cell r="Z353">
            <v>2420.9725007711409</v>
          </cell>
          <cell r="AB353">
            <v>45.478712808157368</v>
          </cell>
          <cell r="AF353">
            <v>0.32856179379066525</v>
          </cell>
          <cell r="AG353">
            <v>0</v>
          </cell>
        </row>
        <row r="354">
          <cell r="A354" t="str">
            <v>TLMHEV35</v>
          </cell>
          <cell r="D354">
            <v>2035</v>
          </cell>
          <cell r="P354">
            <v>0</v>
          </cell>
          <cell r="Q354">
            <v>0</v>
          </cell>
          <cell r="R354">
            <v>0</v>
          </cell>
          <cell r="S354">
            <v>2478.0515897316563</v>
          </cell>
          <cell r="T354">
            <v>2479.5393159306082</v>
          </cell>
          <cell r="U354">
            <v>2433.2533517644838</v>
          </cell>
          <cell r="V354">
            <v>2422.7485870030705</v>
          </cell>
          <cell r="W354">
            <v>2420.9725007711409</v>
          </cell>
          <cell r="X354">
            <v>2420.9725007711409</v>
          </cell>
          <cell r="Y354">
            <v>2420.9725007711409</v>
          </cell>
          <cell r="Z354">
            <v>2420.9725007711409</v>
          </cell>
          <cell r="AB354">
            <v>45.478712808157368</v>
          </cell>
          <cell r="AF354">
            <v>0.33112274178095707</v>
          </cell>
          <cell r="AG354">
            <v>0</v>
          </cell>
        </row>
        <row r="355">
          <cell r="A355" t="str">
            <v>TLMHEV40</v>
          </cell>
          <cell r="D355">
            <v>2040</v>
          </cell>
          <cell r="P355">
            <v>0</v>
          </cell>
          <cell r="Q355">
            <v>0</v>
          </cell>
          <cell r="R355">
            <v>0</v>
          </cell>
          <cell r="S355">
            <v>2478.0515897316563</v>
          </cell>
          <cell r="T355">
            <v>2479.5393159306082</v>
          </cell>
          <cell r="U355">
            <v>2433.2533517644838</v>
          </cell>
          <cell r="V355">
            <v>2422.7485870030705</v>
          </cell>
          <cell r="W355">
            <v>2420.9725007711409</v>
          </cell>
          <cell r="X355">
            <v>2420.9725007711409</v>
          </cell>
          <cell r="Y355">
            <v>2420.9725007711409</v>
          </cell>
          <cell r="Z355">
            <v>2420.9725007711409</v>
          </cell>
          <cell r="AB355">
            <v>45.478712808157368</v>
          </cell>
          <cell r="AF355">
            <v>0.33217268754134038</v>
          </cell>
          <cell r="AG355">
            <v>0</v>
          </cell>
        </row>
        <row r="356">
          <cell r="A356" t="str">
            <v>TLMHEV45</v>
          </cell>
          <cell r="D356">
            <v>2045</v>
          </cell>
          <cell r="P356">
            <v>0</v>
          </cell>
          <cell r="Q356">
            <v>0</v>
          </cell>
          <cell r="R356">
            <v>0</v>
          </cell>
          <cell r="S356">
            <v>2478.0515897316563</v>
          </cell>
          <cell r="T356">
            <v>2479.5393159306082</v>
          </cell>
          <cell r="U356">
            <v>2433.2533517644838</v>
          </cell>
          <cell r="V356">
            <v>2422.7485870030705</v>
          </cell>
          <cell r="W356">
            <v>2420.9725007711409</v>
          </cell>
          <cell r="X356">
            <v>2420.9725007711409</v>
          </cell>
          <cell r="Y356">
            <v>2420.9725007711409</v>
          </cell>
          <cell r="Z356">
            <v>2420.9725007711409</v>
          </cell>
          <cell r="AB356">
            <v>45.478712808157368</v>
          </cell>
          <cell r="AF356">
            <v>0.33217268754134038</v>
          </cell>
          <cell r="AG356">
            <v>0</v>
          </cell>
        </row>
        <row r="357">
          <cell r="A357" t="str">
            <v>TLMHEV50</v>
          </cell>
          <cell r="D357">
            <v>2050</v>
          </cell>
          <cell r="P357">
            <v>0</v>
          </cell>
          <cell r="Q357">
            <v>0</v>
          </cell>
          <cell r="R357">
            <v>0</v>
          </cell>
          <cell r="S357">
            <v>2478.0515897316563</v>
          </cell>
          <cell r="T357">
            <v>2479.5393159306082</v>
          </cell>
          <cell r="U357">
            <v>2433.2533517644838</v>
          </cell>
          <cell r="V357">
            <v>2422.7485870030705</v>
          </cell>
          <cell r="W357">
            <v>2420.9725007711409</v>
          </cell>
          <cell r="X357">
            <v>2420.9725007711409</v>
          </cell>
          <cell r="Y357">
            <v>2420.9725007711409</v>
          </cell>
          <cell r="Z357">
            <v>2420.9725007711409</v>
          </cell>
          <cell r="AB357">
            <v>45.478712808157368</v>
          </cell>
          <cell r="AF357">
            <v>0.33217268754134038</v>
          </cell>
          <cell r="AG357">
            <v>0</v>
          </cell>
        </row>
        <row r="358">
          <cell r="A358" t="str">
            <v>TLMLPG00</v>
          </cell>
          <cell r="D358">
            <v>2060</v>
          </cell>
          <cell r="P358">
            <v>2544.4078367349048</v>
          </cell>
          <cell r="Q358">
            <v>2550.3083168941657</v>
          </cell>
          <cell r="R358">
            <v>2672.4966021724345</v>
          </cell>
          <cell r="S358">
            <v>2734.7494570141353</v>
          </cell>
          <cell r="T358">
            <v>2810.2296079069715</v>
          </cell>
          <cell r="U358">
            <v>2813.9423508766622</v>
          </cell>
          <cell r="V358">
            <v>2815.5240376105276</v>
          </cell>
          <cell r="W358">
            <v>2796.6723975477375</v>
          </cell>
          <cell r="X358">
            <v>2796.6723975477375</v>
          </cell>
          <cell r="Y358">
            <v>2796.6723975477375</v>
          </cell>
          <cell r="Z358">
            <v>2796.6723975477375</v>
          </cell>
          <cell r="AB358">
            <v>38.940546907618888</v>
          </cell>
          <cell r="AF358">
            <v>0.26643325121265982</v>
          </cell>
          <cell r="AG358">
            <v>0</v>
          </cell>
        </row>
        <row r="359">
          <cell r="A359" t="str">
            <v>TLMLPG05</v>
          </cell>
          <cell r="D359">
            <v>2005</v>
          </cell>
          <cell r="P359">
            <v>2544.4078367349048</v>
          </cell>
          <cell r="Q359">
            <v>2550.3083168941657</v>
          </cell>
          <cell r="R359">
            <v>2672.4966021724345</v>
          </cell>
          <cell r="S359">
            <v>2734.7494570141353</v>
          </cell>
          <cell r="T359">
            <v>2810.2296079069715</v>
          </cell>
          <cell r="U359">
            <v>2813.9423508766622</v>
          </cell>
          <cell r="V359">
            <v>2815.5240376105276</v>
          </cell>
          <cell r="W359">
            <v>2796.6723975477375</v>
          </cell>
          <cell r="X359">
            <v>2796.6723975477375</v>
          </cell>
          <cell r="Y359">
            <v>2796.6723975477375</v>
          </cell>
          <cell r="Z359">
            <v>2796.6723975477375</v>
          </cell>
          <cell r="AB359">
            <v>38.940546907618888</v>
          </cell>
          <cell r="AF359">
            <v>0.14636636785781751</v>
          </cell>
          <cell r="AG359">
            <v>0</v>
          </cell>
        </row>
        <row r="360">
          <cell r="A360" t="str">
            <v>TLMLPG10</v>
          </cell>
          <cell r="D360">
            <v>2010</v>
          </cell>
          <cell r="P360">
            <v>2544.4078367349048</v>
          </cell>
          <cell r="Q360">
            <v>2550.3083168941657</v>
          </cell>
          <cell r="R360">
            <v>2672.4966021724345</v>
          </cell>
          <cell r="S360">
            <v>2734.7494570141353</v>
          </cell>
          <cell r="T360">
            <v>2810.2296079069715</v>
          </cell>
          <cell r="U360">
            <v>2813.9423508766622</v>
          </cell>
          <cell r="V360">
            <v>2815.5240376105276</v>
          </cell>
          <cell r="W360">
            <v>2796.6723975477375</v>
          </cell>
          <cell r="X360">
            <v>2796.6723975477375</v>
          </cell>
          <cell r="Y360">
            <v>2796.6723975477375</v>
          </cell>
          <cell r="Z360">
            <v>2796.6723975477375</v>
          </cell>
          <cell r="AB360">
            <v>38.940546907618888</v>
          </cell>
          <cell r="AF360">
            <v>0.17499001956294266</v>
          </cell>
          <cell r="AG360">
            <v>0</v>
          </cell>
        </row>
        <row r="361">
          <cell r="A361" t="str">
            <v>TLMLPG15</v>
          </cell>
          <cell r="D361">
            <v>2015</v>
          </cell>
          <cell r="P361">
            <v>2544.4078367349048</v>
          </cell>
          <cell r="Q361">
            <v>2550.3083168941657</v>
          </cell>
          <cell r="R361">
            <v>2672.4966021724345</v>
          </cell>
          <cell r="S361">
            <v>2734.7494570141353</v>
          </cell>
          <cell r="T361">
            <v>2810.2296079069715</v>
          </cell>
          <cell r="U361">
            <v>2813.9423508766622</v>
          </cell>
          <cell r="V361">
            <v>2815.5240376105276</v>
          </cell>
          <cell r="W361">
            <v>2796.6723975477375</v>
          </cell>
          <cell r="X361">
            <v>2796.6723975477375</v>
          </cell>
          <cell r="Y361">
            <v>2796.6723975477375</v>
          </cell>
          <cell r="Z361">
            <v>2796.6723975477375</v>
          </cell>
          <cell r="AB361">
            <v>38.940546907618888</v>
          </cell>
          <cell r="AF361">
            <v>0.18241116926485801</v>
          </cell>
          <cell r="AG361">
            <v>0</v>
          </cell>
        </row>
        <row r="362">
          <cell r="A362" t="str">
            <v>TLMLPG20</v>
          </cell>
          <cell r="D362">
            <v>2020</v>
          </cell>
          <cell r="P362">
            <v>2544.4078367349048</v>
          </cell>
          <cell r="Q362">
            <v>2550.3083168941657</v>
          </cell>
          <cell r="R362">
            <v>2672.4966021724345</v>
          </cell>
          <cell r="S362">
            <v>2734.7494570141353</v>
          </cell>
          <cell r="T362">
            <v>2810.2296079069715</v>
          </cell>
          <cell r="U362">
            <v>2813.9423508766622</v>
          </cell>
          <cell r="V362">
            <v>2815.5240376105276</v>
          </cell>
          <cell r="W362">
            <v>2796.6723975477375</v>
          </cell>
          <cell r="X362">
            <v>2796.6723975477375</v>
          </cell>
          <cell r="Y362">
            <v>2796.6723975477375</v>
          </cell>
          <cell r="Z362">
            <v>2796.6723975477375</v>
          </cell>
          <cell r="AB362">
            <v>38.940546907618888</v>
          </cell>
          <cell r="AF362">
            <v>0.21527751073062287</v>
          </cell>
          <cell r="AG362">
            <v>0</v>
          </cell>
        </row>
        <row r="363">
          <cell r="A363" t="str">
            <v>TLMLPG25</v>
          </cell>
          <cell r="D363">
            <v>2025</v>
          </cell>
          <cell r="P363">
            <v>2544.4078367349048</v>
          </cell>
          <cell r="Q363">
            <v>2550.3083168941657</v>
          </cell>
          <cell r="R363">
            <v>2672.4966021724345</v>
          </cell>
          <cell r="S363">
            <v>2734.7494570141353</v>
          </cell>
          <cell r="T363">
            <v>2810.2296079069715</v>
          </cell>
          <cell r="U363">
            <v>2813.9423508766622</v>
          </cell>
          <cell r="V363">
            <v>2815.5240376105276</v>
          </cell>
          <cell r="W363">
            <v>2796.6723975477375</v>
          </cell>
          <cell r="X363">
            <v>2796.6723975477375</v>
          </cell>
          <cell r="Y363">
            <v>2796.6723975477375</v>
          </cell>
          <cell r="Z363">
            <v>2796.6723975477375</v>
          </cell>
          <cell r="AB363">
            <v>38.940546907618888</v>
          </cell>
          <cell r="AF363">
            <v>0.26056136176691291</v>
          </cell>
          <cell r="AG363">
            <v>0</v>
          </cell>
        </row>
        <row r="364">
          <cell r="A364" t="str">
            <v>TLMLPG30</v>
          </cell>
          <cell r="D364">
            <v>2030</v>
          </cell>
          <cell r="P364">
            <v>2544.4078367349048</v>
          </cell>
          <cell r="Q364">
            <v>2550.3083168941657</v>
          </cell>
          <cell r="R364">
            <v>2672.4966021724345</v>
          </cell>
          <cell r="S364">
            <v>2734.7494570141353</v>
          </cell>
          <cell r="T364">
            <v>2810.2296079069715</v>
          </cell>
          <cell r="U364">
            <v>2813.9423508766622</v>
          </cell>
          <cell r="V364">
            <v>2815.5240376105276</v>
          </cell>
          <cell r="W364">
            <v>2796.6723975477375</v>
          </cell>
          <cell r="X364">
            <v>2796.6723975477375</v>
          </cell>
          <cell r="Y364">
            <v>2796.6723975477375</v>
          </cell>
          <cell r="Z364">
            <v>2796.6723975477375</v>
          </cell>
          <cell r="AB364">
            <v>38.940546907618888</v>
          </cell>
          <cell r="AF364">
            <v>0.26443213081099776</v>
          </cell>
          <cell r="AG364">
            <v>0</v>
          </cell>
        </row>
        <row r="365">
          <cell r="A365" t="str">
            <v>TLMLPG35</v>
          </cell>
          <cell r="D365">
            <v>2035</v>
          </cell>
          <cell r="P365">
            <v>2544.4078367349048</v>
          </cell>
          <cell r="Q365">
            <v>2550.3083168941657</v>
          </cell>
          <cell r="R365">
            <v>2672.4966021724345</v>
          </cell>
          <cell r="S365">
            <v>2734.7494570141353</v>
          </cell>
          <cell r="T365">
            <v>2810.2296079069715</v>
          </cell>
          <cell r="U365">
            <v>2813.9423508766622</v>
          </cell>
          <cell r="V365">
            <v>2815.5240376105276</v>
          </cell>
          <cell r="W365">
            <v>2796.6723975477375</v>
          </cell>
          <cell r="X365">
            <v>2796.6723975477375</v>
          </cell>
          <cell r="Y365">
            <v>2796.6723975477375</v>
          </cell>
          <cell r="Z365">
            <v>2796.6723975477375</v>
          </cell>
          <cell r="AB365">
            <v>38.940546907618888</v>
          </cell>
          <cell r="AF365">
            <v>0.26658934765914988</v>
          </cell>
          <cell r="AG365">
            <v>0</v>
          </cell>
        </row>
        <row r="366">
          <cell r="A366" t="str">
            <v>TLMLPG40</v>
          </cell>
          <cell r="D366">
            <v>2040</v>
          </cell>
          <cell r="P366">
            <v>2544.4078367349048</v>
          </cell>
          <cell r="Q366">
            <v>2550.3083168941657</v>
          </cell>
          <cell r="R366">
            <v>2672.4966021724345</v>
          </cell>
          <cell r="S366">
            <v>2734.7494570141353</v>
          </cell>
          <cell r="T366">
            <v>2810.2296079069715</v>
          </cell>
          <cell r="U366">
            <v>2813.9423508766622</v>
          </cell>
          <cell r="V366">
            <v>2815.5240376105276</v>
          </cell>
          <cell r="W366">
            <v>2796.6723975477375</v>
          </cell>
          <cell r="X366">
            <v>2796.6723975477375</v>
          </cell>
          <cell r="Y366">
            <v>2796.6723975477375</v>
          </cell>
          <cell r="Z366">
            <v>2796.6723975477375</v>
          </cell>
          <cell r="AB366">
            <v>38.940546907618888</v>
          </cell>
          <cell r="AF366">
            <v>0.26643325121265982</v>
          </cell>
          <cell r="AG366">
            <v>0</v>
          </cell>
        </row>
        <row r="367">
          <cell r="A367" t="str">
            <v>TLMLPG45</v>
          </cell>
          <cell r="D367">
            <v>2045</v>
          </cell>
          <cell r="P367">
            <v>2544.4078367349048</v>
          </cell>
          <cell r="Q367">
            <v>2550.3083168941657</v>
          </cell>
          <cell r="R367">
            <v>2672.4966021724345</v>
          </cell>
          <cell r="S367">
            <v>2734.7494570141353</v>
          </cell>
          <cell r="T367">
            <v>2810.2296079069715</v>
          </cell>
          <cell r="U367">
            <v>2813.9423508766622</v>
          </cell>
          <cell r="V367">
            <v>2815.5240376105276</v>
          </cell>
          <cell r="W367">
            <v>2796.6723975477375</v>
          </cell>
          <cell r="X367">
            <v>2796.6723975477375</v>
          </cell>
          <cell r="Y367">
            <v>2796.6723975477375</v>
          </cell>
          <cell r="Z367">
            <v>2796.6723975477375</v>
          </cell>
          <cell r="AB367">
            <v>38.940546907618888</v>
          </cell>
          <cell r="AF367">
            <v>0.26643325121265982</v>
          </cell>
          <cell r="AG367">
            <v>0</v>
          </cell>
        </row>
        <row r="368">
          <cell r="A368" t="str">
            <v>TLMLPG50</v>
          </cell>
          <cell r="D368">
            <v>2050</v>
          </cell>
          <cell r="P368">
            <v>2544.4078367349048</v>
          </cell>
          <cell r="Q368">
            <v>2550.3083168941657</v>
          </cell>
          <cell r="R368">
            <v>2672.4966021724345</v>
          </cell>
          <cell r="S368">
            <v>2734.7494570141353</v>
          </cell>
          <cell r="T368">
            <v>2810.2296079069715</v>
          </cell>
          <cell r="U368">
            <v>2813.9423508766622</v>
          </cell>
          <cell r="V368">
            <v>2815.5240376105276</v>
          </cell>
          <cell r="W368">
            <v>2796.6723975477375</v>
          </cell>
          <cell r="X368">
            <v>2796.6723975477375</v>
          </cell>
          <cell r="Y368">
            <v>2796.6723975477375</v>
          </cell>
          <cell r="Z368">
            <v>2796.6723975477375</v>
          </cell>
          <cell r="AB368">
            <v>38.940546907618888</v>
          </cell>
          <cell r="AF368">
            <v>0.26643325121265982</v>
          </cell>
          <cell r="AG368">
            <v>0</v>
          </cell>
        </row>
        <row r="369">
          <cell r="A369" t="str">
            <v>TLMLPGX00</v>
          </cell>
          <cell r="D369">
            <v>2060</v>
          </cell>
          <cell r="P369">
            <v>2446.2196714794145</v>
          </cell>
          <cell r="Q369">
            <v>2362.2324823149497</v>
          </cell>
          <cell r="R369">
            <v>2488.7862702900179</v>
          </cell>
          <cell r="S369">
            <v>2552.6508772271441</v>
          </cell>
          <cell r="T369">
            <v>2628.799122881815</v>
          </cell>
          <cell r="U369">
            <v>2632.4496137281808</v>
          </cell>
          <cell r="V369">
            <v>2634.0084039701542</v>
          </cell>
          <cell r="W369">
            <v>2635.6344938049106</v>
          </cell>
          <cell r="X369">
            <v>2635.6344938049106</v>
          </cell>
          <cell r="Y369">
            <v>2635.6344938049106</v>
          </cell>
          <cell r="Z369">
            <v>2635.6344938049106</v>
          </cell>
          <cell r="AB369">
            <v>38.940546907618888</v>
          </cell>
          <cell r="AF369">
            <v>0.25774518141059433</v>
          </cell>
          <cell r="AG369">
            <v>0</v>
          </cell>
        </row>
        <row r="370">
          <cell r="A370" t="str">
            <v>TLMLPGX05</v>
          </cell>
          <cell r="D370">
            <v>2005</v>
          </cell>
          <cell r="P370">
            <v>2446.2196714794145</v>
          </cell>
          <cell r="Q370">
            <v>2362.2324823149497</v>
          </cell>
          <cell r="R370">
            <v>2488.7862702900179</v>
          </cell>
          <cell r="S370">
            <v>2552.6508772271441</v>
          </cell>
          <cell r="T370">
            <v>2628.799122881815</v>
          </cell>
          <cell r="U370">
            <v>2632.4496137281808</v>
          </cell>
          <cell r="V370">
            <v>2634.0084039701542</v>
          </cell>
          <cell r="W370">
            <v>2635.6344938049106</v>
          </cell>
          <cell r="X370">
            <v>2635.6344938049106</v>
          </cell>
          <cell r="Y370">
            <v>2635.6344938049106</v>
          </cell>
          <cell r="Z370">
            <v>2635.6344938049106</v>
          </cell>
          <cell r="AB370">
            <v>38.940546907618888</v>
          </cell>
          <cell r="AF370">
            <v>0.1407446021410671</v>
          </cell>
          <cell r="AG370">
            <v>0</v>
          </cell>
        </row>
        <row r="371">
          <cell r="A371" t="str">
            <v>TLMLPGX10</v>
          </cell>
          <cell r="D371">
            <v>2010</v>
          </cell>
          <cell r="P371">
            <v>2446.2196714794145</v>
          </cell>
          <cell r="Q371">
            <v>2362.2324823149497</v>
          </cell>
          <cell r="R371">
            <v>2488.7862702900179</v>
          </cell>
          <cell r="S371">
            <v>2552.6508772271441</v>
          </cell>
          <cell r="T371">
            <v>2628.799122881815</v>
          </cell>
          <cell r="U371">
            <v>2632.4496137281808</v>
          </cell>
          <cell r="V371">
            <v>2634.0084039701542</v>
          </cell>
          <cell r="W371">
            <v>2635.6344938049106</v>
          </cell>
          <cell r="X371">
            <v>2635.6344938049106</v>
          </cell>
          <cell r="Y371">
            <v>2635.6344938049106</v>
          </cell>
          <cell r="Z371">
            <v>2635.6344938049106</v>
          </cell>
          <cell r="AB371">
            <v>38.940546907618888</v>
          </cell>
          <cell r="AF371">
            <v>0.16836739873523307</v>
          </cell>
          <cell r="AG371">
            <v>0</v>
          </cell>
        </row>
        <row r="372">
          <cell r="A372" t="str">
            <v>TLMLPGX15</v>
          </cell>
          <cell r="D372">
            <v>2015</v>
          </cell>
          <cell r="P372">
            <v>2446.2196714794145</v>
          </cell>
          <cell r="Q372">
            <v>2362.2324823149497</v>
          </cell>
          <cell r="R372">
            <v>2488.7862702900179</v>
          </cell>
          <cell r="S372">
            <v>2552.6508772271441</v>
          </cell>
          <cell r="T372">
            <v>2628.799122881815</v>
          </cell>
          <cell r="U372">
            <v>2632.4496137281808</v>
          </cell>
          <cell r="V372">
            <v>2634.0084039701542</v>
          </cell>
          <cell r="W372">
            <v>2635.6344938049106</v>
          </cell>
          <cell r="X372">
            <v>2635.6344938049106</v>
          </cell>
          <cell r="Y372">
            <v>2635.6344938049106</v>
          </cell>
          <cell r="Z372">
            <v>2635.6344938049106</v>
          </cell>
          <cell r="AB372">
            <v>38.940546907618888</v>
          </cell>
          <cell r="AF372">
            <v>0.17579678850575517</v>
          </cell>
          <cell r="AG372">
            <v>0</v>
          </cell>
        </row>
        <row r="373">
          <cell r="A373" t="str">
            <v>TLMLPGX20</v>
          </cell>
          <cell r="D373">
            <v>2020</v>
          </cell>
          <cell r="P373">
            <v>2446.2196714794145</v>
          </cell>
          <cell r="Q373">
            <v>2362.2324823149497</v>
          </cell>
          <cell r="R373">
            <v>2488.7862702900179</v>
          </cell>
          <cell r="S373">
            <v>2552.6508772271441</v>
          </cell>
          <cell r="T373">
            <v>2628.799122881815</v>
          </cell>
          <cell r="U373">
            <v>2632.4496137281808</v>
          </cell>
          <cell r="V373">
            <v>2634.0084039701542</v>
          </cell>
          <cell r="W373">
            <v>2635.6344938049106</v>
          </cell>
          <cell r="X373">
            <v>2635.6344938049106</v>
          </cell>
          <cell r="Y373">
            <v>2635.6344938049106</v>
          </cell>
          <cell r="Z373">
            <v>2635.6344938049106</v>
          </cell>
          <cell r="AB373">
            <v>38.940546907618888</v>
          </cell>
          <cell r="AF373">
            <v>0.20813786062131301</v>
          </cell>
          <cell r="AG373">
            <v>0</v>
          </cell>
        </row>
        <row r="374">
          <cell r="A374" t="str">
            <v>TLMLPGX25</v>
          </cell>
          <cell r="D374">
            <v>2025</v>
          </cell>
          <cell r="P374">
            <v>2446.2196714794145</v>
          </cell>
          <cell r="Q374">
            <v>2362.2324823149497</v>
          </cell>
          <cell r="R374">
            <v>2488.7862702900179</v>
          </cell>
          <cell r="S374">
            <v>2552.6508772271441</v>
          </cell>
          <cell r="T374">
            <v>2628.799122881815</v>
          </cell>
          <cell r="U374">
            <v>2632.4496137281808</v>
          </cell>
          <cell r="V374">
            <v>2634.0084039701542</v>
          </cell>
          <cell r="W374">
            <v>2635.6344938049106</v>
          </cell>
          <cell r="X374">
            <v>2635.6344938049106</v>
          </cell>
          <cell r="Y374">
            <v>2635.6344938049106</v>
          </cell>
          <cell r="Z374">
            <v>2635.6344938049106</v>
          </cell>
          <cell r="AB374">
            <v>38.940546907618888</v>
          </cell>
          <cell r="AF374">
            <v>0.2520767783576835</v>
          </cell>
          <cell r="AG374">
            <v>0</v>
          </cell>
        </row>
        <row r="375">
          <cell r="A375" t="str">
            <v>TLMLPGX30</v>
          </cell>
          <cell r="D375">
            <v>2030</v>
          </cell>
          <cell r="P375">
            <v>2446.2196714794145</v>
          </cell>
          <cell r="Q375">
            <v>2362.2324823149497</v>
          </cell>
          <cell r="R375">
            <v>2488.7862702900179</v>
          </cell>
          <cell r="S375">
            <v>2552.6508772271441</v>
          </cell>
          <cell r="T375">
            <v>2628.799122881815</v>
          </cell>
          <cell r="U375">
            <v>2632.4496137281808</v>
          </cell>
          <cell r="V375">
            <v>2634.0084039701542</v>
          </cell>
          <cell r="W375">
            <v>2635.6344938049106</v>
          </cell>
          <cell r="X375">
            <v>2635.6344938049106</v>
          </cell>
          <cell r="Y375">
            <v>2635.6344938049106</v>
          </cell>
          <cell r="Z375">
            <v>2635.6344938049106</v>
          </cell>
          <cell r="AB375">
            <v>38.940546907618888</v>
          </cell>
          <cell r="AF375">
            <v>0.25596397659574477</v>
          </cell>
          <cell r="AG375">
            <v>0</v>
          </cell>
        </row>
        <row r="376">
          <cell r="A376" t="str">
            <v>TLMLPGX35</v>
          </cell>
          <cell r="D376">
            <v>2035</v>
          </cell>
          <cell r="P376">
            <v>2446.2196714794145</v>
          </cell>
          <cell r="Q376">
            <v>2362.2324823149497</v>
          </cell>
          <cell r="R376">
            <v>2488.7862702900179</v>
          </cell>
          <cell r="S376">
            <v>2552.6508772271441</v>
          </cell>
          <cell r="T376">
            <v>2628.799122881815</v>
          </cell>
          <cell r="U376">
            <v>2632.4496137281808</v>
          </cell>
          <cell r="V376">
            <v>2634.0084039701542</v>
          </cell>
          <cell r="W376">
            <v>2635.6344938049106</v>
          </cell>
          <cell r="X376">
            <v>2635.6344938049106</v>
          </cell>
          <cell r="Y376">
            <v>2635.6344938049106</v>
          </cell>
          <cell r="Z376">
            <v>2635.6344938049106</v>
          </cell>
          <cell r="AB376">
            <v>38.940546907618888</v>
          </cell>
          <cell r="AF376">
            <v>0.25808359096698574</v>
          </cell>
          <cell r="AG376">
            <v>0</v>
          </cell>
        </row>
        <row r="377">
          <cell r="A377" t="str">
            <v>TLMLPGX40</v>
          </cell>
          <cell r="D377">
            <v>2040</v>
          </cell>
          <cell r="P377">
            <v>2446.2196714794145</v>
          </cell>
          <cell r="Q377">
            <v>2362.2324823149497</v>
          </cell>
          <cell r="R377">
            <v>2488.7862702900179</v>
          </cell>
          <cell r="S377">
            <v>2552.6508772271441</v>
          </cell>
          <cell r="T377">
            <v>2628.799122881815</v>
          </cell>
          <cell r="U377">
            <v>2632.4496137281808</v>
          </cell>
          <cell r="V377">
            <v>2634.0084039701542</v>
          </cell>
          <cell r="W377">
            <v>2635.6344938049106</v>
          </cell>
          <cell r="X377">
            <v>2635.6344938049106</v>
          </cell>
          <cell r="Y377">
            <v>2635.6344938049106</v>
          </cell>
          <cell r="Z377">
            <v>2635.6344938049106</v>
          </cell>
          <cell r="AB377">
            <v>38.940546907618888</v>
          </cell>
          <cell r="AF377">
            <v>0.25774518141059433</v>
          </cell>
          <cell r="AG377">
            <v>0</v>
          </cell>
        </row>
        <row r="378">
          <cell r="A378" t="str">
            <v>TLMLPGX45</v>
          </cell>
          <cell r="D378">
            <v>2045</v>
          </cell>
          <cell r="P378">
            <v>2446.2196714794145</v>
          </cell>
          <cell r="Q378">
            <v>2362.2324823149497</v>
          </cell>
          <cell r="R378">
            <v>2488.7862702900179</v>
          </cell>
          <cell r="S378">
            <v>2552.6508772271441</v>
          </cell>
          <cell r="T378">
            <v>2628.799122881815</v>
          </cell>
          <cell r="U378">
            <v>2632.4496137281808</v>
          </cell>
          <cell r="V378">
            <v>2634.0084039701542</v>
          </cell>
          <cell r="W378">
            <v>2635.6344938049106</v>
          </cell>
          <cell r="X378">
            <v>2635.6344938049106</v>
          </cell>
          <cell r="Y378">
            <v>2635.6344938049106</v>
          </cell>
          <cell r="Z378">
            <v>2635.6344938049106</v>
          </cell>
          <cell r="AB378">
            <v>38.940546907618888</v>
          </cell>
          <cell r="AF378">
            <v>0.25774518141059433</v>
          </cell>
          <cell r="AG378">
            <v>0</v>
          </cell>
        </row>
        <row r="379">
          <cell r="A379" t="str">
            <v>TLMLPGX50</v>
          </cell>
          <cell r="D379">
            <v>2050</v>
          </cell>
          <cell r="P379">
            <v>2446.2196714794145</v>
          </cell>
          <cell r="Q379">
            <v>2362.2324823149497</v>
          </cell>
          <cell r="R379">
            <v>2488.7862702900179</v>
          </cell>
          <cell r="S379">
            <v>2552.6508772271441</v>
          </cell>
          <cell r="T379">
            <v>2628.799122881815</v>
          </cell>
          <cell r="U379">
            <v>2632.4496137281808</v>
          </cell>
          <cell r="V379">
            <v>2634.0084039701542</v>
          </cell>
          <cell r="W379">
            <v>2635.6344938049106</v>
          </cell>
          <cell r="X379">
            <v>2635.6344938049106</v>
          </cell>
          <cell r="Y379">
            <v>2635.6344938049106</v>
          </cell>
          <cell r="Z379">
            <v>2635.6344938049106</v>
          </cell>
          <cell r="AB379">
            <v>38.940546907618888</v>
          </cell>
          <cell r="AF379">
            <v>0.25774518141059433</v>
          </cell>
          <cell r="AG379">
            <v>0</v>
          </cell>
        </row>
        <row r="380">
          <cell r="A380" t="str">
            <v>TLMPHVG10</v>
          </cell>
          <cell r="D380">
            <v>2010</v>
          </cell>
          <cell r="P380">
            <v>0</v>
          </cell>
          <cell r="Q380">
            <v>2465.0658670950265</v>
          </cell>
          <cell r="R380">
            <v>2554.7360841982195</v>
          </cell>
          <cell r="S380">
            <v>2616.7005966148095</v>
          </cell>
          <cell r="T380">
            <v>2696.3779061681234</v>
          </cell>
          <cell r="U380">
            <v>2699.7886839263633</v>
          </cell>
          <cell r="V380">
            <v>2701.4594354958604</v>
          </cell>
          <cell r="W380">
            <v>2702.9487799579506</v>
          </cell>
          <cell r="X380">
            <v>2702.9487799579506</v>
          </cell>
          <cell r="Y380">
            <v>2702.9487799579506</v>
          </cell>
          <cell r="Z380">
            <v>2702.9487799579506</v>
          </cell>
          <cell r="AB380">
            <v>45.478712808157368</v>
          </cell>
          <cell r="AF380">
            <v>0.419549036501558</v>
          </cell>
          <cell r="AG380">
            <v>0.25181758647722052</v>
          </cell>
        </row>
        <row r="381">
          <cell r="A381" t="str">
            <v>TLMPHVG15</v>
          </cell>
          <cell r="D381">
            <v>2015</v>
          </cell>
          <cell r="P381">
            <v>0</v>
          </cell>
          <cell r="Q381">
            <v>2465.0658670950265</v>
          </cell>
          <cell r="R381">
            <v>2554.7360841982195</v>
          </cell>
          <cell r="S381">
            <v>2616.7005966148095</v>
          </cell>
          <cell r="T381">
            <v>2696.3779061681234</v>
          </cell>
          <cell r="U381">
            <v>2699.7886839263633</v>
          </cell>
          <cell r="V381">
            <v>2701.4594354958604</v>
          </cell>
          <cell r="W381">
            <v>2702.9487799579506</v>
          </cell>
          <cell r="X381">
            <v>2702.9487799579506</v>
          </cell>
          <cell r="Y381">
            <v>2702.9487799579506</v>
          </cell>
          <cell r="Z381">
            <v>2702.9487799579506</v>
          </cell>
          <cell r="AB381">
            <v>45.478712808157368</v>
          </cell>
          <cell r="AF381" t="e">
            <v>#DIV/0!</v>
          </cell>
          <cell r="AG381">
            <v>0.25181758647722052</v>
          </cell>
        </row>
        <row r="382">
          <cell r="A382" t="str">
            <v>TLMPHVG20</v>
          </cell>
          <cell r="D382">
            <v>2020</v>
          </cell>
          <cell r="P382">
            <v>0</v>
          </cell>
          <cell r="Q382">
            <v>2465.0658670950265</v>
          </cell>
          <cell r="R382">
            <v>2554.7360841982195</v>
          </cell>
          <cell r="S382">
            <v>2616.7005966148095</v>
          </cell>
          <cell r="T382">
            <v>2696.3779061681234</v>
          </cell>
          <cell r="U382">
            <v>2699.7886839263633</v>
          </cell>
          <cell r="V382">
            <v>2701.4594354958604</v>
          </cell>
          <cell r="W382">
            <v>2702.9487799579506</v>
          </cell>
          <cell r="X382">
            <v>2702.9487799579506</v>
          </cell>
          <cell r="Y382">
            <v>2702.9487799579506</v>
          </cell>
          <cell r="Z382">
            <v>2702.9487799579506</v>
          </cell>
          <cell r="AB382">
            <v>45.478712808157368</v>
          </cell>
          <cell r="AF382">
            <v>0.40577701565135599</v>
          </cell>
          <cell r="AG382">
            <v>0.25181758647722052</v>
          </cell>
        </row>
        <row r="383">
          <cell r="A383" t="str">
            <v>TLMPHVG25</v>
          </cell>
          <cell r="D383">
            <v>2025</v>
          </cell>
          <cell r="P383">
            <v>0</v>
          </cell>
          <cell r="Q383">
            <v>2465.0658670950265</v>
          </cell>
          <cell r="R383">
            <v>2554.7360841982195</v>
          </cell>
          <cell r="S383">
            <v>2616.7005966148095</v>
          </cell>
          <cell r="T383">
            <v>2696.3779061681234</v>
          </cell>
          <cell r="U383">
            <v>2699.7886839263633</v>
          </cell>
          <cell r="V383">
            <v>2701.4594354958604</v>
          </cell>
          <cell r="W383">
            <v>2702.9487799579506</v>
          </cell>
          <cell r="X383">
            <v>2702.9487799579506</v>
          </cell>
          <cell r="Y383">
            <v>2702.9487799579506</v>
          </cell>
          <cell r="Z383">
            <v>2702.9487799579506</v>
          </cell>
          <cell r="AB383">
            <v>45.478712808157368</v>
          </cell>
          <cell r="AF383">
            <v>0.48611498071516418</v>
          </cell>
          <cell r="AG383">
            <v>0.25181758647722052</v>
          </cell>
        </row>
        <row r="384">
          <cell r="A384" t="str">
            <v>TLMPHVG30</v>
          </cell>
          <cell r="D384">
            <v>2030</v>
          </cell>
          <cell r="P384">
            <v>0</v>
          </cell>
          <cell r="Q384">
            <v>2465.0658670950265</v>
          </cell>
          <cell r="R384">
            <v>2554.7360841982195</v>
          </cell>
          <cell r="S384">
            <v>2616.7005966148095</v>
          </cell>
          <cell r="T384">
            <v>2696.3779061681234</v>
          </cell>
          <cell r="U384">
            <v>2699.7886839263633</v>
          </cell>
          <cell r="V384">
            <v>2701.4594354958604</v>
          </cell>
          <cell r="W384">
            <v>2702.9487799579506</v>
          </cell>
          <cell r="X384">
            <v>2702.9487799579506</v>
          </cell>
          <cell r="Y384">
            <v>2702.9487799579506</v>
          </cell>
          <cell r="Z384">
            <v>2702.9487799579506</v>
          </cell>
          <cell r="AB384">
            <v>45.478712808157368</v>
          </cell>
          <cell r="AF384">
            <v>0.49164831173934748</v>
          </cell>
          <cell r="AG384">
            <v>0.25181758647722052</v>
          </cell>
        </row>
        <row r="385">
          <cell r="A385" t="str">
            <v>TLMPHVG35</v>
          </cell>
          <cell r="D385">
            <v>2035</v>
          </cell>
          <cell r="P385">
            <v>0</v>
          </cell>
          <cell r="Q385">
            <v>2465.0658670950265</v>
          </cell>
          <cell r="R385">
            <v>2554.7360841982195</v>
          </cell>
          <cell r="S385">
            <v>2616.7005966148095</v>
          </cell>
          <cell r="T385">
            <v>2696.3779061681234</v>
          </cell>
          <cell r="U385">
            <v>2699.7886839263633</v>
          </cell>
          <cell r="V385">
            <v>2701.4594354958604</v>
          </cell>
          <cell r="W385">
            <v>2702.9487799579506</v>
          </cell>
          <cell r="X385">
            <v>2702.9487799579506</v>
          </cell>
          <cell r="Y385">
            <v>2702.9487799579506</v>
          </cell>
          <cell r="Z385">
            <v>2702.9487799579506</v>
          </cell>
          <cell r="AB385">
            <v>45.478712808157368</v>
          </cell>
          <cell r="AF385">
            <v>0.49548042423591304</v>
          </cell>
          <cell r="AG385">
            <v>0.25181758647722052</v>
          </cell>
        </row>
        <row r="386">
          <cell r="A386" t="str">
            <v>TLMPHVG40</v>
          </cell>
          <cell r="D386">
            <v>2040</v>
          </cell>
          <cell r="P386">
            <v>0</v>
          </cell>
          <cell r="Q386">
            <v>2465.0658670950265</v>
          </cell>
          <cell r="R386">
            <v>2554.7360841982195</v>
          </cell>
          <cell r="S386">
            <v>2616.7005966148095</v>
          </cell>
          <cell r="T386">
            <v>2696.3779061681234</v>
          </cell>
          <cell r="U386">
            <v>2699.7886839263633</v>
          </cell>
          <cell r="V386">
            <v>2701.4594354958604</v>
          </cell>
          <cell r="W386">
            <v>2702.9487799579506</v>
          </cell>
          <cell r="X386">
            <v>2702.9487799579506</v>
          </cell>
          <cell r="Y386">
            <v>2702.9487799579506</v>
          </cell>
          <cell r="Z386">
            <v>2702.9487799579506</v>
          </cell>
          <cell r="AB386">
            <v>45.478712808157368</v>
          </cell>
          <cell r="AF386">
            <v>0.49705152614205628</v>
          </cell>
          <cell r="AG386">
            <v>0.25181758647722052</v>
          </cell>
        </row>
        <row r="387">
          <cell r="A387" t="str">
            <v>TLMPHVG45</v>
          </cell>
          <cell r="D387">
            <v>2045</v>
          </cell>
          <cell r="P387">
            <v>0</v>
          </cell>
          <cell r="Q387">
            <v>2465.0658670950265</v>
          </cell>
          <cell r="R387">
            <v>2554.7360841982195</v>
          </cell>
          <cell r="S387">
            <v>2616.7005966148095</v>
          </cell>
          <cell r="T387">
            <v>2696.3779061681234</v>
          </cell>
          <cell r="U387">
            <v>2699.7886839263633</v>
          </cell>
          <cell r="V387">
            <v>2701.4594354958604</v>
          </cell>
          <cell r="W387">
            <v>2702.9487799579506</v>
          </cell>
          <cell r="X387">
            <v>2702.9487799579506</v>
          </cell>
          <cell r="Y387">
            <v>2702.9487799579506</v>
          </cell>
          <cell r="Z387">
            <v>2702.9487799579506</v>
          </cell>
          <cell r="AB387">
            <v>45.478712808157368</v>
          </cell>
          <cell r="AF387">
            <v>0.49705152614205628</v>
          </cell>
          <cell r="AG387">
            <v>0.25181758647722052</v>
          </cell>
        </row>
        <row r="388">
          <cell r="A388" t="str">
            <v>TLMPHVG50</v>
          </cell>
          <cell r="D388">
            <v>2050</v>
          </cell>
          <cell r="P388">
            <v>0</v>
          </cell>
          <cell r="Q388">
            <v>2465.0658670950265</v>
          </cell>
          <cell r="R388">
            <v>2554.7360841982195</v>
          </cell>
          <cell r="S388">
            <v>2616.7005966148095</v>
          </cell>
          <cell r="T388">
            <v>2696.3779061681234</v>
          </cell>
          <cell r="U388">
            <v>2699.7886839263633</v>
          </cell>
          <cell r="V388">
            <v>2701.4594354958604</v>
          </cell>
          <cell r="W388">
            <v>2702.9487799579506</v>
          </cell>
          <cell r="X388">
            <v>2702.9487799579506</v>
          </cell>
          <cell r="Y388">
            <v>2702.9487799579506</v>
          </cell>
          <cell r="Z388">
            <v>2702.9487799579506</v>
          </cell>
          <cell r="AB388">
            <v>45.478712808157368</v>
          </cell>
          <cell r="AF388">
            <v>0.49705152614205628</v>
          </cell>
          <cell r="AG388">
            <v>0.25181758647722052</v>
          </cell>
        </row>
        <row r="389">
          <cell r="A389" t="str">
            <v>TLPCONV00</v>
          </cell>
          <cell r="D389">
            <v>2060</v>
          </cell>
          <cell r="P389">
            <v>1613.1188329534791</v>
          </cell>
          <cell r="Q389">
            <v>1680.7685955958052</v>
          </cell>
          <cell r="R389">
            <v>2189.8943589707305</v>
          </cell>
          <cell r="S389">
            <v>2258.1845463815125</v>
          </cell>
          <cell r="T389">
            <v>2342.03606875385</v>
          </cell>
          <cell r="U389">
            <v>2343.9347445667918</v>
          </cell>
          <cell r="V389">
            <v>2345.484739420901</v>
          </cell>
          <cell r="W389">
            <v>2347.9660096446769</v>
          </cell>
          <cell r="X389">
            <v>2347.9660096446769</v>
          </cell>
          <cell r="Y389">
            <v>2347.9660096446769</v>
          </cell>
          <cell r="Z389">
            <v>2347.9660096446769</v>
          </cell>
          <cell r="AB389">
            <v>48.0747492686653</v>
          </cell>
          <cell r="AF389">
            <v>0.23814919355391811</v>
          </cell>
          <cell r="AG389">
            <v>0</v>
          </cell>
        </row>
        <row r="390">
          <cell r="A390" t="str">
            <v>TLPCONV05</v>
          </cell>
          <cell r="D390">
            <v>2005</v>
          </cell>
          <cell r="P390">
            <v>1613.1188329534791</v>
          </cell>
          <cell r="Q390">
            <v>1680.7685955958052</v>
          </cell>
          <cell r="R390">
            <v>2189.8943589707305</v>
          </cell>
          <cell r="S390">
            <v>2258.1845463815125</v>
          </cell>
          <cell r="T390">
            <v>2342.03606875385</v>
          </cell>
          <cell r="U390">
            <v>2343.9347445667918</v>
          </cell>
          <cell r="V390">
            <v>2345.484739420901</v>
          </cell>
          <cell r="W390">
            <v>2347.9660096446769</v>
          </cell>
          <cell r="X390">
            <v>2347.9660096446769</v>
          </cell>
          <cell r="Y390">
            <v>2347.9660096446769</v>
          </cell>
          <cell r="Z390">
            <v>2347.9660096446769</v>
          </cell>
          <cell r="AB390">
            <v>48.0747492686653</v>
          </cell>
          <cell r="AF390">
            <v>0.12313696848912223</v>
          </cell>
          <cell r="AG390">
            <v>0</v>
          </cell>
        </row>
        <row r="391">
          <cell r="A391" t="str">
            <v>TLPCONV10</v>
          </cell>
          <cell r="D391">
            <v>2010</v>
          </cell>
          <cell r="P391">
            <v>1613.1188329534791</v>
          </cell>
          <cell r="Q391">
            <v>1680.7685955958052</v>
          </cell>
          <cell r="R391">
            <v>2189.8943589707305</v>
          </cell>
          <cell r="S391">
            <v>2258.1845463815125</v>
          </cell>
          <cell r="T391">
            <v>2342.03606875385</v>
          </cell>
          <cell r="U391">
            <v>2343.9347445667918</v>
          </cell>
          <cell r="V391">
            <v>2345.484739420901</v>
          </cell>
          <cell r="W391">
            <v>2347.9660096446769</v>
          </cell>
          <cell r="X391">
            <v>2347.9660096446769</v>
          </cell>
          <cell r="Y391">
            <v>2347.9660096446769</v>
          </cell>
          <cell r="Z391">
            <v>2347.9660096446769</v>
          </cell>
          <cell r="AB391">
            <v>48.0747492686653</v>
          </cell>
          <cell r="AF391">
            <v>0.14253618808208454</v>
          </cell>
          <cell r="AG391">
            <v>0</v>
          </cell>
        </row>
        <row r="392">
          <cell r="A392" t="str">
            <v>TLPCONV15</v>
          </cell>
          <cell r="D392">
            <v>2015</v>
          </cell>
          <cell r="P392">
            <v>1613.1188329534791</v>
          </cell>
          <cell r="Q392">
            <v>1680.7685955958052</v>
          </cell>
          <cell r="R392">
            <v>2189.8943589707305</v>
          </cell>
          <cell r="S392">
            <v>2258.1845463815125</v>
          </cell>
          <cell r="T392">
            <v>2342.03606875385</v>
          </cell>
          <cell r="U392">
            <v>2343.9347445667918</v>
          </cell>
          <cell r="V392">
            <v>2345.484739420901</v>
          </cell>
          <cell r="W392">
            <v>2347.9660096446769</v>
          </cell>
          <cell r="X392">
            <v>2347.9660096446769</v>
          </cell>
          <cell r="Y392">
            <v>2347.9660096446769</v>
          </cell>
          <cell r="Z392">
            <v>2347.9660096446769</v>
          </cell>
          <cell r="AB392">
            <v>48.0747492686653</v>
          </cell>
          <cell r="AF392">
            <v>0.17285990976647495</v>
          </cell>
          <cell r="AG392">
            <v>0</v>
          </cell>
        </row>
        <row r="393">
          <cell r="A393" t="str">
            <v>TLPCONV20</v>
          </cell>
          <cell r="D393">
            <v>2020</v>
          </cell>
          <cell r="P393">
            <v>1613.1188329534791</v>
          </cell>
          <cell r="Q393">
            <v>1680.7685955958052</v>
          </cell>
          <cell r="R393">
            <v>2189.8943589707305</v>
          </cell>
          <cell r="S393">
            <v>2258.1845463815125</v>
          </cell>
          <cell r="T393">
            <v>2342.03606875385</v>
          </cell>
          <cell r="U393">
            <v>2343.9347445667918</v>
          </cell>
          <cell r="V393">
            <v>2345.484739420901</v>
          </cell>
          <cell r="W393">
            <v>2347.9660096446769</v>
          </cell>
          <cell r="X393">
            <v>2347.9660096446769</v>
          </cell>
          <cell r="Y393">
            <v>2347.9660096446769</v>
          </cell>
          <cell r="Z393">
            <v>2347.9660096446769</v>
          </cell>
          <cell r="AB393">
            <v>48.0747492686653</v>
          </cell>
          <cell r="AF393">
            <v>0.19788865411545389</v>
          </cell>
          <cell r="AG393">
            <v>0</v>
          </cell>
        </row>
        <row r="394">
          <cell r="A394" t="str">
            <v>TLPCONV25</v>
          </cell>
          <cell r="D394">
            <v>2025</v>
          </cell>
          <cell r="P394">
            <v>1613.1188329534791</v>
          </cell>
          <cell r="Q394">
            <v>1680.7685955958052</v>
          </cell>
          <cell r="R394">
            <v>2189.8943589707305</v>
          </cell>
          <cell r="S394">
            <v>2258.1845463815125</v>
          </cell>
          <cell r="T394">
            <v>2342.03606875385</v>
          </cell>
          <cell r="U394">
            <v>2343.9347445667918</v>
          </cell>
          <cell r="V394">
            <v>2345.484739420901</v>
          </cell>
          <cell r="W394">
            <v>2347.9660096446769</v>
          </cell>
          <cell r="X394">
            <v>2347.9660096446769</v>
          </cell>
          <cell r="Y394">
            <v>2347.9660096446769</v>
          </cell>
          <cell r="Z394">
            <v>2347.9660096446769</v>
          </cell>
          <cell r="AB394">
            <v>48.0747492686653</v>
          </cell>
          <cell r="AF394">
            <v>0.23459457831767544</v>
          </cell>
          <cell r="AG394">
            <v>0</v>
          </cell>
        </row>
        <row r="395">
          <cell r="A395" t="str">
            <v>TLPCONV30</v>
          </cell>
          <cell r="D395">
            <v>2030</v>
          </cell>
          <cell r="P395">
            <v>1613.1188329534791</v>
          </cell>
          <cell r="Q395">
            <v>1680.7685955958052</v>
          </cell>
          <cell r="R395">
            <v>2189.8943589707305</v>
          </cell>
          <cell r="S395">
            <v>2258.1845463815125</v>
          </cell>
          <cell r="T395">
            <v>2342.03606875385</v>
          </cell>
          <cell r="U395">
            <v>2343.9347445667918</v>
          </cell>
          <cell r="V395">
            <v>2345.484739420901</v>
          </cell>
          <cell r="W395">
            <v>2347.9660096446769</v>
          </cell>
          <cell r="X395">
            <v>2347.9660096446769</v>
          </cell>
          <cell r="Y395">
            <v>2347.9660096446769</v>
          </cell>
          <cell r="Z395">
            <v>2347.9660096446769</v>
          </cell>
          <cell r="AB395">
            <v>48.0747492686653</v>
          </cell>
          <cell r="AF395">
            <v>0.23728519040550514</v>
          </cell>
          <cell r="AG395">
            <v>0</v>
          </cell>
        </row>
        <row r="396">
          <cell r="A396" t="str">
            <v>TLPCONV35</v>
          </cell>
          <cell r="D396">
            <v>2035</v>
          </cell>
          <cell r="P396">
            <v>1613.1188329534791</v>
          </cell>
          <cell r="Q396">
            <v>1680.7685955958052</v>
          </cell>
          <cell r="R396">
            <v>2189.8943589707305</v>
          </cell>
          <cell r="S396">
            <v>2258.1845463815125</v>
          </cell>
          <cell r="T396">
            <v>2342.03606875385</v>
          </cell>
          <cell r="U396">
            <v>2343.9347445667918</v>
          </cell>
          <cell r="V396">
            <v>2345.484739420901</v>
          </cell>
          <cell r="W396">
            <v>2347.9660096446769</v>
          </cell>
          <cell r="X396">
            <v>2347.9660096446769</v>
          </cell>
          <cell r="Y396">
            <v>2347.9660096446769</v>
          </cell>
          <cell r="Z396">
            <v>2347.9660096446769</v>
          </cell>
          <cell r="AB396">
            <v>48.0747492686653</v>
          </cell>
          <cell r="AF396">
            <v>0.23844544767714393</v>
          </cell>
          <cell r="AG396">
            <v>0</v>
          </cell>
        </row>
        <row r="397">
          <cell r="A397" t="str">
            <v>TLPCONV40</v>
          </cell>
          <cell r="D397">
            <v>2040</v>
          </cell>
          <cell r="P397">
            <v>1613.1188329534791</v>
          </cell>
          <cell r="Q397">
            <v>1680.7685955958052</v>
          </cell>
          <cell r="R397">
            <v>2189.8943589707305</v>
          </cell>
          <cell r="S397">
            <v>2258.1845463815125</v>
          </cell>
          <cell r="T397">
            <v>2342.03606875385</v>
          </cell>
          <cell r="U397">
            <v>2343.9347445667918</v>
          </cell>
          <cell r="V397">
            <v>2345.484739420901</v>
          </cell>
          <cell r="W397">
            <v>2347.9660096446769</v>
          </cell>
          <cell r="X397">
            <v>2347.9660096446769</v>
          </cell>
          <cell r="Y397">
            <v>2347.9660096446769</v>
          </cell>
          <cell r="Z397">
            <v>2347.9660096446769</v>
          </cell>
          <cell r="AB397">
            <v>48.0747492686653</v>
          </cell>
          <cell r="AF397">
            <v>0.23814919355391811</v>
          </cell>
          <cell r="AG397">
            <v>0</v>
          </cell>
        </row>
        <row r="398">
          <cell r="A398" t="str">
            <v>TLPCONV45</v>
          </cell>
          <cell r="D398">
            <v>2045</v>
          </cell>
          <cell r="P398">
            <v>1613.1188329534791</v>
          </cell>
          <cell r="Q398">
            <v>1680.7685955958052</v>
          </cell>
          <cell r="R398">
            <v>2189.8943589707305</v>
          </cell>
          <cell r="S398">
            <v>2258.1845463815125</v>
          </cell>
          <cell r="T398">
            <v>2342.03606875385</v>
          </cell>
          <cell r="U398">
            <v>2343.9347445667918</v>
          </cell>
          <cell r="V398">
            <v>2345.484739420901</v>
          </cell>
          <cell r="W398">
            <v>2347.9660096446769</v>
          </cell>
          <cell r="X398">
            <v>2347.9660096446769</v>
          </cell>
          <cell r="Y398">
            <v>2347.9660096446769</v>
          </cell>
          <cell r="Z398">
            <v>2347.9660096446769</v>
          </cell>
          <cell r="AB398">
            <v>48.0747492686653</v>
          </cell>
          <cell r="AF398">
            <v>0.23814919355391811</v>
          </cell>
          <cell r="AG398">
            <v>0</v>
          </cell>
        </row>
        <row r="399">
          <cell r="A399" t="str">
            <v>TLPCONV50</v>
          </cell>
          <cell r="D399">
            <v>2050</v>
          </cell>
          <cell r="P399">
            <v>1613.1188329534791</v>
          </cell>
          <cell r="Q399">
            <v>1680.7685955958052</v>
          </cell>
          <cell r="R399">
            <v>2189.8943589707305</v>
          </cell>
          <cell r="S399">
            <v>2258.1845463815125</v>
          </cell>
          <cell r="T399">
            <v>2342.03606875385</v>
          </cell>
          <cell r="U399">
            <v>2343.9347445667918</v>
          </cell>
          <cell r="V399">
            <v>2345.484739420901</v>
          </cell>
          <cell r="W399">
            <v>2347.9660096446769</v>
          </cell>
          <cell r="X399">
            <v>2347.9660096446769</v>
          </cell>
          <cell r="Y399">
            <v>2347.9660096446769</v>
          </cell>
          <cell r="Z399">
            <v>2347.9660096446769</v>
          </cell>
          <cell r="AB399">
            <v>48.0747492686653</v>
          </cell>
          <cell r="AF399">
            <v>0.23814919355391811</v>
          </cell>
          <cell r="AG399">
            <v>0</v>
          </cell>
        </row>
        <row r="400">
          <cell r="A400" t="str">
            <v>TLPCNG00</v>
          </cell>
          <cell r="D400">
            <v>2060</v>
          </cell>
          <cell r="P400">
            <v>2289.2452067215149</v>
          </cell>
          <cell r="Q400">
            <v>2399.8476492307927</v>
          </cell>
          <cell r="R400">
            <v>2933.5269241412616</v>
          </cell>
          <cell r="S400">
            <v>2989.9112544922741</v>
          </cell>
          <cell r="T400">
            <v>3071.8941553860486</v>
          </cell>
          <cell r="U400">
            <v>3074.3151850846898</v>
          </cell>
          <cell r="V400">
            <v>3076.2088639524909</v>
          </cell>
          <cell r="W400">
            <v>3078.006494597113</v>
          </cell>
          <cell r="X400">
            <v>3078.006494597113</v>
          </cell>
          <cell r="Y400">
            <v>3078.006494597113</v>
          </cell>
          <cell r="Z400">
            <v>3078.006494597113</v>
          </cell>
          <cell r="AB400">
            <v>48.0747492686653</v>
          </cell>
          <cell r="AF400">
            <v>0.25352271299313023</v>
          </cell>
          <cell r="AG400">
            <v>0</v>
          </cell>
        </row>
        <row r="401">
          <cell r="A401" t="str">
            <v>TLPCNG05</v>
          </cell>
          <cell r="D401">
            <v>2005</v>
          </cell>
          <cell r="P401">
            <v>2289.2452067215149</v>
          </cell>
          <cell r="Q401">
            <v>2399.8476492307927</v>
          </cell>
          <cell r="R401">
            <v>2933.5269241412616</v>
          </cell>
          <cell r="S401">
            <v>2989.9112544922741</v>
          </cell>
          <cell r="T401">
            <v>3071.8941553860486</v>
          </cell>
          <cell r="U401">
            <v>3074.3151850846898</v>
          </cell>
          <cell r="V401">
            <v>3076.2088639524909</v>
          </cell>
          <cell r="W401">
            <v>3078.006494597113</v>
          </cell>
          <cell r="X401">
            <v>3078.006494597113</v>
          </cell>
          <cell r="Y401">
            <v>3078.006494597113</v>
          </cell>
          <cell r="Z401">
            <v>3078.006494597113</v>
          </cell>
          <cell r="AB401">
            <v>48.0747492686653</v>
          </cell>
          <cell r="AF401">
            <v>0.12704703917607454</v>
          </cell>
          <cell r="AG401">
            <v>0</v>
          </cell>
        </row>
        <row r="402">
          <cell r="A402" t="str">
            <v>TLPCNG10</v>
          </cell>
          <cell r="D402">
            <v>2010</v>
          </cell>
          <cell r="P402">
            <v>2289.2452067215149</v>
          </cell>
          <cell r="Q402">
            <v>2399.8476492307927</v>
          </cell>
          <cell r="R402">
            <v>2933.5269241412616</v>
          </cell>
          <cell r="S402">
            <v>2989.9112544922741</v>
          </cell>
          <cell r="T402">
            <v>3071.8941553860486</v>
          </cell>
          <cell r="U402">
            <v>3074.3151850846898</v>
          </cell>
          <cell r="V402">
            <v>3076.2088639524909</v>
          </cell>
          <cell r="W402">
            <v>3078.006494597113</v>
          </cell>
          <cell r="X402">
            <v>3078.006494597113</v>
          </cell>
          <cell r="Y402">
            <v>3078.006494597113</v>
          </cell>
          <cell r="Z402">
            <v>3078.006494597113</v>
          </cell>
          <cell r="AB402">
            <v>48.0747492686653</v>
          </cell>
          <cell r="AF402">
            <v>0.15161980952669815</v>
          </cell>
          <cell r="AG402">
            <v>0</v>
          </cell>
        </row>
        <row r="403">
          <cell r="A403" t="str">
            <v>TLPCNG15</v>
          </cell>
          <cell r="D403">
            <v>2015</v>
          </cell>
          <cell r="P403">
            <v>2289.2452067215149</v>
          </cell>
          <cell r="Q403">
            <v>2399.8476492307927</v>
          </cell>
          <cell r="R403">
            <v>2933.5269241412616</v>
          </cell>
          <cell r="S403">
            <v>2989.9112544922741</v>
          </cell>
          <cell r="T403">
            <v>3071.8941553860486</v>
          </cell>
          <cell r="U403">
            <v>3074.3151850846898</v>
          </cell>
          <cell r="V403">
            <v>3076.2088639524909</v>
          </cell>
          <cell r="W403">
            <v>3078.006494597113</v>
          </cell>
          <cell r="X403">
            <v>3078.006494597113</v>
          </cell>
          <cell r="Y403">
            <v>3078.006494597113</v>
          </cell>
          <cell r="Z403">
            <v>3078.006494597113</v>
          </cell>
          <cell r="AB403">
            <v>48.0747492686653</v>
          </cell>
          <cell r="AF403">
            <v>0.1887139366103032</v>
          </cell>
          <cell r="AG403">
            <v>0</v>
          </cell>
        </row>
        <row r="404">
          <cell r="A404" t="str">
            <v>TLPCNG20</v>
          </cell>
          <cell r="D404">
            <v>2020</v>
          </cell>
          <cell r="P404">
            <v>2289.2452067215149</v>
          </cell>
          <cell r="Q404">
            <v>2399.8476492307927</v>
          </cell>
          <cell r="R404">
            <v>2933.5269241412616</v>
          </cell>
          <cell r="S404">
            <v>2989.9112544922741</v>
          </cell>
          <cell r="T404">
            <v>3071.8941553860486</v>
          </cell>
          <cell r="U404">
            <v>3074.3151850846898</v>
          </cell>
          <cell r="V404">
            <v>3076.2088639524909</v>
          </cell>
          <cell r="W404">
            <v>3078.006494597113</v>
          </cell>
          <cell r="X404">
            <v>3078.006494597113</v>
          </cell>
          <cell r="Y404">
            <v>3078.006494597113</v>
          </cell>
          <cell r="Z404">
            <v>3078.006494597113</v>
          </cell>
          <cell r="AB404">
            <v>48.0747492686653</v>
          </cell>
          <cell r="AF404">
            <v>0.21255366499161374</v>
          </cell>
          <cell r="AG404">
            <v>0</v>
          </cell>
        </row>
        <row r="405">
          <cell r="A405" t="str">
            <v>TLPCNG25</v>
          </cell>
          <cell r="D405">
            <v>2025</v>
          </cell>
          <cell r="P405">
            <v>2289.2452067215149</v>
          </cell>
          <cell r="Q405">
            <v>2399.8476492307927</v>
          </cell>
          <cell r="R405">
            <v>2933.5269241412616</v>
          </cell>
          <cell r="S405">
            <v>2989.9112544922741</v>
          </cell>
          <cell r="T405">
            <v>3071.8941553860486</v>
          </cell>
          <cell r="U405">
            <v>3074.3151850846898</v>
          </cell>
          <cell r="V405">
            <v>3076.2088639524909</v>
          </cell>
          <cell r="W405">
            <v>3078.006494597113</v>
          </cell>
          <cell r="X405">
            <v>3078.006494597113</v>
          </cell>
          <cell r="Y405">
            <v>3078.006494597113</v>
          </cell>
          <cell r="Z405">
            <v>3078.006494597113</v>
          </cell>
          <cell r="AB405">
            <v>48.0747492686653</v>
          </cell>
          <cell r="AF405">
            <v>0.24902818221774015</v>
          </cell>
          <cell r="AG405">
            <v>0</v>
          </cell>
        </row>
        <row r="406">
          <cell r="A406" t="str">
            <v>TLPCNG30</v>
          </cell>
          <cell r="D406">
            <v>2030</v>
          </cell>
          <cell r="P406">
            <v>2289.2452067215149</v>
          </cell>
          <cell r="Q406">
            <v>2399.8476492307927</v>
          </cell>
          <cell r="R406">
            <v>2933.5269241412616</v>
          </cell>
          <cell r="S406">
            <v>2989.9112544922741</v>
          </cell>
          <cell r="T406">
            <v>3071.8941553860486</v>
          </cell>
          <cell r="U406">
            <v>3074.3151850846898</v>
          </cell>
          <cell r="V406">
            <v>3076.2088639524909</v>
          </cell>
          <cell r="W406">
            <v>3078.006494597113</v>
          </cell>
          <cell r="X406">
            <v>3078.006494597113</v>
          </cell>
          <cell r="Y406">
            <v>3078.006494597113</v>
          </cell>
          <cell r="Z406">
            <v>3078.006494597113</v>
          </cell>
          <cell r="AB406">
            <v>48.0747492686653</v>
          </cell>
          <cell r="AF406">
            <v>0.25194665022632357</v>
          </cell>
          <cell r="AG406">
            <v>0</v>
          </cell>
        </row>
        <row r="407">
          <cell r="A407" t="str">
            <v>TLPCNG35</v>
          </cell>
          <cell r="D407">
            <v>2035</v>
          </cell>
          <cell r="P407">
            <v>2289.2452067215149</v>
          </cell>
          <cell r="Q407">
            <v>2399.8476492307927</v>
          </cell>
          <cell r="R407">
            <v>2933.5269241412616</v>
          </cell>
          <cell r="S407">
            <v>2989.9112544922741</v>
          </cell>
          <cell r="T407">
            <v>3071.8941553860486</v>
          </cell>
          <cell r="U407">
            <v>3074.3151850846898</v>
          </cell>
          <cell r="V407">
            <v>3076.2088639524909</v>
          </cell>
          <cell r="W407">
            <v>3078.006494597113</v>
          </cell>
          <cell r="X407">
            <v>3078.006494597113</v>
          </cell>
          <cell r="Y407">
            <v>3078.006494597113</v>
          </cell>
          <cell r="Z407">
            <v>3078.006494597113</v>
          </cell>
          <cell r="AB407">
            <v>48.0747492686653</v>
          </cell>
          <cell r="AF407">
            <v>0.25377775394194818</v>
          </cell>
          <cell r="AG407">
            <v>0</v>
          </cell>
        </row>
        <row r="408">
          <cell r="A408" t="str">
            <v>TLPCNG40</v>
          </cell>
          <cell r="D408">
            <v>2040</v>
          </cell>
          <cell r="P408">
            <v>2289.2452067215149</v>
          </cell>
          <cell r="Q408">
            <v>2399.8476492307927</v>
          </cell>
          <cell r="R408">
            <v>2933.5269241412616</v>
          </cell>
          <cell r="S408">
            <v>2989.9112544922741</v>
          </cell>
          <cell r="T408">
            <v>3071.8941553860486</v>
          </cell>
          <cell r="U408">
            <v>3074.3151850846898</v>
          </cell>
          <cell r="V408">
            <v>3076.2088639524909</v>
          </cell>
          <cell r="W408">
            <v>3078.006494597113</v>
          </cell>
          <cell r="X408">
            <v>3078.006494597113</v>
          </cell>
          <cell r="Y408">
            <v>3078.006494597113</v>
          </cell>
          <cell r="Z408">
            <v>3078.006494597113</v>
          </cell>
          <cell r="AB408">
            <v>48.0747492686653</v>
          </cell>
          <cell r="AF408">
            <v>0.25352271299313023</v>
          </cell>
          <cell r="AG408">
            <v>0</v>
          </cell>
        </row>
        <row r="409">
          <cell r="A409" t="str">
            <v>TLPCNG45</v>
          </cell>
          <cell r="D409">
            <v>2045</v>
          </cell>
          <cell r="P409">
            <v>2289.2452067215149</v>
          </cell>
          <cell r="Q409">
            <v>2399.8476492307927</v>
          </cell>
          <cell r="R409">
            <v>2933.5269241412616</v>
          </cell>
          <cell r="S409">
            <v>2989.9112544922741</v>
          </cell>
          <cell r="T409">
            <v>3071.8941553860486</v>
          </cell>
          <cell r="U409">
            <v>3074.3151850846898</v>
          </cell>
          <cell r="V409">
            <v>3076.2088639524909</v>
          </cell>
          <cell r="W409">
            <v>3078.006494597113</v>
          </cell>
          <cell r="X409">
            <v>3078.006494597113</v>
          </cell>
          <cell r="Y409">
            <v>3078.006494597113</v>
          </cell>
          <cell r="Z409">
            <v>3078.006494597113</v>
          </cell>
          <cell r="AB409">
            <v>48.0747492686653</v>
          </cell>
          <cell r="AF409">
            <v>0.25352271299313023</v>
          </cell>
          <cell r="AG409">
            <v>0</v>
          </cell>
        </row>
        <row r="410">
          <cell r="A410" t="str">
            <v>TLPCNG50</v>
          </cell>
          <cell r="D410">
            <v>2050</v>
          </cell>
          <cell r="P410">
            <v>2289.2452067215149</v>
          </cell>
          <cell r="Q410">
            <v>2399.8476492307927</v>
          </cell>
          <cell r="R410">
            <v>2933.5269241412616</v>
          </cell>
          <cell r="S410">
            <v>2989.9112544922741</v>
          </cell>
          <cell r="T410">
            <v>3071.8941553860486</v>
          </cell>
          <cell r="U410">
            <v>3074.3151850846898</v>
          </cell>
          <cell r="V410">
            <v>3076.2088639524909</v>
          </cell>
          <cell r="W410">
            <v>3078.006494597113</v>
          </cell>
          <cell r="X410">
            <v>3078.006494597113</v>
          </cell>
          <cell r="Y410">
            <v>3078.006494597113</v>
          </cell>
          <cell r="Z410">
            <v>3078.006494597113</v>
          </cell>
          <cell r="AB410">
            <v>48.0747492686653</v>
          </cell>
          <cell r="AF410">
            <v>0.25352271299313023</v>
          </cell>
          <cell r="AG410">
            <v>0</v>
          </cell>
        </row>
        <row r="411">
          <cell r="A411" t="str">
            <v>TLPCNGX00</v>
          </cell>
          <cell r="D411">
            <v>2060</v>
          </cell>
          <cell r="P411">
            <v>2203.1909222143418</v>
          </cell>
          <cell r="Q411">
            <v>2332.1403487822754</v>
          </cell>
          <cell r="R411">
            <v>2864.8729270533781</v>
          </cell>
          <cell r="S411">
            <v>2925.2337855170986</v>
          </cell>
          <cell r="T411">
            <v>3009.6946281564547</v>
          </cell>
          <cell r="U411">
            <v>3012.1111955994875</v>
          </cell>
          <cell r="V411">
            <v>3014.0391826292616</v>
          </cell>
          <cell r="W411">
            <v>3015.8602949796273</v>
          </cell>
          <cell r="X411">
            <v>3015.8602949796273</v>
          </cell>
          <cell r="Y411">
            <v>3015.8602949796273</v>
          </cell>
          <cell r="Z411">
            <v>3015.8602949796273</v>
          </cell>
          <cell r="AB411">
            <v>48.0747492686653</v>
          </cell>
          <cell r="AF411">
            <v>0.23746087069968611</v>
          </cell>
          <cell r="AG411">
            <v>0</v>
          </cell>
        </row>
        <row r="412">
          <cell r="A412" t="str">
            <v>TLPCNGX05</v>
          </cell>
          <cell r="D412">
            <v>2005</v>
          </cell>
          <cell r="P412">
            <v>2203.1909222143418</v>
          </cell>
          <cell r="Q412">
            <v>2332.1403487822754</v>
          </cell>
          <cell r="R412">
            <v>2864.8729270533781</v>
          </cell>
          <cell r="S412">
            <v>2925.2337855170986</v>
          </cell>
          <cell r="T412">
            <v>3009.6946281564547</v>
          </cell>
          <cell r="U412">
            <v>3012.1111955994875</v>
          </cell>
          <cell r="V412">
            <v>3014.0391826292616</v>
          </cell>
          <cell r="W412">
            <v>3015.8602949796273</v>
          </cell>
          <cell r="X412">
            <v>3015.8602949796273</v>
          </cell>
          <cell r="Y412">
            <v>3015.8602949796273</v>
          </cell>
          <cell r="Z412">
            <v>3015.8602949796273</v>
          </cell>
          <cell r="AB412">
            <v>48.0747492686653</v>
          </cell>
          <cell r="AF412">
            <v>0.11764066930644268</v>
          </cell>
          <cell r="AG412">
            <v>0</v>
          </cell>
        </row>
        <row r="413">
          <cell r="A413" t="str">
            <v>TLPCNGX10</v>
          </cell>
          <cell r="D413">
            <v>2010</v>
          </cell>
          <cell r="P413">
            <v>2203.1909222143418</v>
          </cell>
          <cell r="Q413">
            <v>2332.1403487822754</v>
          </cell>
          <cell r="R413">
            <v>2864.8729270533781</v>
          </cell>
          <cell r="S413">
            <v>2925.2337855170986</v>
          </cell>
          <cell r="T413">
            <v>3009.6946281564547</v>
          </cell>
          <cell r="U413">
            <v>3012.1111955994875</v>
          </cell>
          <cell r="V413">
            <v>3014.0391826292616</v>
          </cell>
          <cell r="W413">
            <v>3015.8602949796273</v>
          </cell>
          <cell r="X413">
            <v>3015.8602949796273</v>
          </cell>
          <cell r="Y413">
            <v>3015.8602949796273</v>
          </cell>
          <cell r="Z413">
            <v>3015.8602949796273</v>
          </cell>
          <cell r="AB413">
            <v>48.0747492686653</v>
          </cell>
          <cell r="AF413">
            <v>0.140412297356728</v>
          </cell>
          <cell r="AG413">
            <v>0</v>
          </cell>
        </row>
        <row r="414">
          <cell r="A414" t="str">
            <v>TLPCNGX15</v>
          </cell>
          <cell r="D414">
            <v>2015</v>
          </cell>
          <cell r="P414">
            <v>2203.1909222143418</v>
          </cell>
          <cell r="Q414">
            <v>2332.1403487822754</v>
          </cell>
          <cell r="R414">
            <v>2864.8729270533781</v>
          </cell>
          <cell r="S414">
            <v>2925.2337855170986</v>
          </cell>
          <cell r="T414">
            <v>3009.6946281564547</v>
          </cell>
          <cell r="U414">
            <v>3012.1111955994875</v>
          </cell>
          <cell r="V414">
            <v>3014.0391826292616</v>
          </cell>
          <cell r="W414">
            <v>3015.8602949796273</v>
          </cell>
          <cell r="X414">
            <v>3015.8602949796273</v>
          </cell>
          <cell r="Y414">
            <v>3015.8602949796273</v>
          </cell>
          <cell r="Z414">
            <v>3015.8602949796273</v>
          </cell>
          <cell r="AB414">
            <v>48.0747492686653</v>
          </cell>
          <cell r="AF414">
            <v>0.17526811869446932</v>
          </cell>
          <cell r="AG414">
            <v>0</v>
          </cell>
        </row>
        <row r="415">
          <cell r="A415" t="str">
            <v>TLPCNGX20</v>
          </cell>
          <cell r="D415">
            <v>2020</v>
          </cell>
          <cell r="P415">
            <v>2203.1909222143418</v>
          </cell>
          <cell r="Q415">
            <v>2332.1403487822754</v>
          </cell>
          <cell r="R415">
            <v>2864.8729270533781</v>
          </cell>
          <cell r="S415">
            <v>2925.2337855170986</v>
          </cell>
          <cell r="T415">
            <v>3009.6946281564547</v>
          </cell>
          <cell r="U415">
            <v>3012.1111955994875</v>
          </cell>
          <cell r="V415">
            <v>3014.0391826292616</v>
          </cell>
          <cell r="W415">
            <v>3015.8602949796273</v>
          </cell>
          <cell r="X415">
            <v>3015.8602949796273</v>
          </cell>
          <cell r="Y415">
            <v>3015.8602949796273</v>
          </cell>
          <cell r="Z415">
            <v>3015.8602949796273</v>
          </cell>
          <cell r="AB415">
            <v>48.0747492686653</v>
          </cell>
          <cell r="AF415">
            <v>0.19845429628655925</v>
          </cell>
          <cell r="AG415">
            <v>0</v>
          </cell>
        </row>
        <row r="416">
          <cell r="A416" t="str">
            <v>TLPCNGX25</v>
          </cell>
          <cell r="D416">
            <v>2025</v>
          </cell>
          <cell r="P416">
            <v>2203.1909222143418</v>
          </cell>
          <cell r="Q416">
            <v>2332.1403487822754</v>
          </cell>
          <cell r="R416">
            <v>2864.8729270533781</v>
          </cell>
          <cell r="S416">
            <v>2925.2337855170986</v>
          </cell>
          <cell r="T416">
            <v>3009.6946281564547</v>
          </cell>
          <cell r="U416">
            <v>3012.1111955994875</v>
          </cell>
          <cell r="V416">
            <v>3014.0391826292616</v>
          </cell>
          <cell r="W416">
            <v>3015.8602949796273</v>
          </cell>
          <cell r="X416">
            <v>3015.8602949796273</v>
          </cell>
          <cell r="Y416">
            <v>3015.8602949796273</v>
          </cell>
          <cell r="Z416">
            <v>3015.8602949796273</v>
          </cell>
          <cell r="AB416">
            <v>48.0747492686653</v>
          </cell>
          <cell r="AF416">
            <v>0.23317172395271538</v>
          </cell>
          <cell r="AG416">
            <v>0</v>
          </cell>
        </row>
        <row r="417">
          <cell r="A417" t="str">
            <v>TLPCNGX30</v>
          </cell>
          <cell r="D417">
            <v>2030</v>
          </cell>
          <cell r="P417">
            <v>2203.1909222143418</v>
          </cell>
          <cell r="Q417">
            <v>2332.1403487822754</v>
          </cell>
          <cell r="R417">
            <v>2864.8729270533781</v>
          </cell>
          <cell r="S417">
            <v>2925.2337855170986</v>
          </cell>
          <cell r="T417">
            <v>3009.6946281564547</v>
          </cell>
          <cell r="U417">
            <v>3012.1111955994875</v>
          </cell>
          <cell r="V417">
            <v>3014.0391826292616</v>
          </cell>
          <cell r="W417">
            <v>3015.8602949796273</v>
          </cell>
          <cell r="X417">
            <v>3015.8602949796273</v>
          </cell>
          <cell r="Y417">
            <v>3015.8602949796273</v>
          </cell>
          <cell r="Z417">
            <v>3015.8602949796273</v>
          </cell>
          <cell r="AB417">
            <v>48.0747492686653</v>
          </cell>
          <cell r="AF417">
            <v>0.23610561502634175</v>
          </cell>
          <cell r="AG417">
            <v>0</v>
          </cell>
        </row>
        <row r="418">
          <cell r="A418" t="str">
            <v>TLPCNGX35</v>
          </cell>
          <cell r="D418">
            <v>2035</v>
          </cell>
          <cell r="P418">
            <v>2203.1909222143418</v>
          </cell>
          <cell r="Q418">
            <v>2332.1403487822754</v>
          </cell>
          <cell r="R418">
            <v>2864.8729270533781</v>
          </cell>
          <cell r="S418">
            <v>2925.2337855170986</v>
          </cell>
          <cell r="T418">
            <v>3009.6946281564547</v>
          </cell>
          <cell r="U418">
            <v>3012.1111955994875</v>
          </cell>
          <cell r="V418">
            <v>3014.0391826292616</v>
          </cell>
          <cell r="W418">
            <v>3015.8602949796273</v>
          </cell>
          <cell r="X418">
            <v>3015.8602949796273</v>
          </cell>
          <cell r="Y418">
            <v>3015.8602949796273</v>
          </cell>
          <cell r="Z418">
            <v>3015.8602949796273</v>
          </cell>
          <cell r="AB418">
            <v>48.0747492686653</v>
          </cell>
          <cell r="AF418">
            <v>0.23778693925688121</v>
          </cell>
          <cell r="AG418">
            <v>0</v>
          </cell>
        </row>
        <row r="419">
          <cell r="A419" t="str">
            <v>TLPCNGX40</v>
          </cell>
          <cell r="D419">
            <v>2040</v>
          </cell>
          <cell r="P419">
            <v>2203.1909222143418</v>
          </cell>
          <cell r="Q419">
            <v>2332.1403487822754</v>
          </cell>
          <cell r="R419">
            <v>2864.8729270533781</v>
          </cell>
          <cell r="S419">
            <v>2925.2337855170986</v>
          </cell>
          <cell r="T419">
            <v>3009.6946281564547</v>
          </cell>
          <cell r="U419">
            <v>3012.1111955994875</v>
          </cell>
          <cell r="V419">
            <v>3014.0391826292616</v>
          </cell>
          <cell r="W419">
            <v>3015.8602949796273</v>
          </cell>
          <cell r="X419">
            <v>3015.8602949796273</v>
          </cell>
          <cell r="Y419">
            <v>3015.8602949796273</v>
          </cell>
          <cell r="Z419">
            <v>3015.8602949796273</v>
          </cell>
          <cell r="AB419">
            <v>48.0747492686653</v>
          </cell>
          <cell r="AF419">
            <v>0.23746087069968611</v>
          </cell>
          <cell r="AG419">
            <v>0</v>
          </cell>
        </row>
        <row r="420">
          <cell r="A420" t="str">
            <v>TLPCNGX45</v>
          </cell>
          <cell r="D420">
            <v>2045</v>
          </cell>
          <cell r="P420">
            <v>2203.1909222143418</v>
          </cell>
          <cell r="Q420">
            <v>2332.1403487822754</v>
          </cell>
          <cell r="R420">
            <v>2864.8729270533781</v>
          </cell>
          <cell r="S420">
            <v>2925.2337855170986</v>
          </cell>
          <cell r="T420">
            <v>3009.6946281564547</v>
          </cell>
          <cell r="U420">
            <v>3012.1111955994875</v>
          </cell>
          <cell r="V420">
            <v>3014.0391826292616</v>
          </cell>
          <cell r="W420">
            <v>3015.8602949796273</v>
          </cell>
          <cell r="X420">
            <v>3015.8602949796273</v>
          </cell>
          <cell r="Y420">
            <v>3015.8602949796273</v>
          </cell>
          <cell r="Z420">
            <v>3015.8602949796273</v>
          </cell>
          <cell r="AB420">
            <v>48.0747492686653</v>
          </cell>
          <cell r="AF420">
            <v>0.23746087069968611</v>
          </cell>
          <cell r="AG420">
            <v>0</v>
          </cell>
        </row>
        <row r="421">
          <cell r="A421" t="str">
            <v>TLPCNGX50</v>
          </cell>
          <cell r="D421">
            <v>2050</v>
          </cell>
          <cell r="P421">
            <v>2203.1909222143418</v>
          </cell>
          <cell r="Q421">
            <v>2332.1403487822754</v>
          </cell>
          <cell r="R421">
            <v>2864.8729270533781</v>
          </cell>
          <cell r="S421">
            <v>2925.2337855170986</v>
          </cell>
          <cell r="T421">
            <v>3009.6946281564547</v>
          </cell>
          <cell r="U421">
            <v>3012.1111955994875</v>
          </cell>
          <cell r="V421">
            <v>3014.0391826292616</v>
          </cell>
          <cell r="W421">
            <v>3015.8602949796273</v>
          </cell>
          <cell r="X421">
            <v>3015.8602949796273</v>
          </cell>
          <cell r="Y421">
            <v>3015.8602949796273</v>
          </cell>
          <cell r="Z421">
            <v>3015.8602949796273</v>
          </cell>
          <cell r="AB421">
            <v>48.0747492686653</v>
          </cell>
          <cell r="AF421">
            <v>0.23746087069968611</v>
          </cell>
          <cell r="AG421">
            <v>0</v>
          </cell>
        </row>
        <row r="422">
          <cell r="A422" t="str">
            <v>TLPDSL00</v>
          </cell>
          <cell r="D422">
            <v>2060</v>
          </cell>
          <cell r="P422">
            <v>1844.245428261964</v>
          </cell>
          <cell r="Q422">
            <v>2087.0123982869113</v>
          </cell>
          <cell r="R422">
            <v>2598.3142105969532</v>
          </cell>
          <cell r="S422">
            <v>2630.0394229689928</v>
          </cell>
          <cell r="T422">
            <v>2675.2378718433165</v>
          </cell>
          <cell r="U422">
            <v>2677.0649844823015</v>
          </cell>
          <cell r="V422">
            <v>2678.8684569036091</v>
          </cell>
          <cell r="W422">
            <v>2681.4870423522889</v>
          </cell>
          <cell r="X422">
            <v>2681.4870423522889</v>
          </cell>
          <cell r="Y422">
            <v>2681.4870423522889</v>
          </cell>
          <cell r="Z422">
            <v>2681.4870423522889</v>
          </cell>
          <cell r="AB422">
            <v>48.0747492686653</v>
          </cell>
          <cell r="AF422">
            <v>0.26010334069549362</v>
          </cell>
          <cell r="AG422">
            <v>0</v>
          </cell>
        </row>
        <row r="423">
          <cell r="A423" t="str">
            <v>TLPDSL05</v>
          </cell>
          <cell r="D423">
            <v>2005</v>
          </cell>
          <cell r="P423">
            <v>1844.245428261964</v>
          </cell>
          <cell r="Q423">
            <v>2087.0123982869113</v>
          </cell>
          <cell r="R423">
            <v>2598.3142105969532</v>
          </cell>
          <cell r="S423">
            <v>2630.0394229689928</v>
          </cell>
          <cell r="T423">
            <v>2675.2378718433165</v>
          </cell>
          <cell r="U423">
            <v>2677.0649844823015</v>
          </cell>
          <cell r="V423">
            <v>2678.8684569036091</v>
          </cell>
          <cell r="W423">
            <v>2681.4870423522889</v>
          </cell>
          <cell r="X423">
            <v>2681.4870423522889</v>
          </cell>
          <cell r="Y423">
            <v>2681.4870423522889</v>
          </cell>
          <cell r="Z423">
            <v>2681.4870423522889</v>
          </cell>
          <cell r="AB423">
            <v>48.0747492686653</v>
          </cell>
          <cell r="AF423">
            <v>0.15879125109425193</v>
          </cell>
          <cell r="AG423">
            <v>0</v>
          </cell>
        </row>
        <row r="424">
          <cell r="A424" t="str">
            <v>TLPDSL10</v>
          </cell>
          <cell r="D424">
            <v>2010</v>
          </cell>
          <cell r="P424">
            <v>1844.245428261964</v>
          </cell>
          <cell r="Q424">
            <v>2087.0123982869113</v>
          </cell>
          <cell r="R424">
            <v>2598.3142105969532</v>
          </cell>
          <cell r="S424">
            <v>2630.0394229689928</v>
          </cell>
          <cell r="T424">
            <v>2675.2378718433165</v>
          </cell>
          <cell r="U424">
            <v>2677.0649844823015</v>
          </cell>
          <cell r="V424">
            <v>2678.8684569036091</v>
          </cell>
          <cell r="W424">
            <v>2681.4870423522889</v>
          </cell>
          <cell r="X424">
            <v>2681.4870423522889</v>
          </cell>
          <cell r="Y424">
            <v>2681.4870423522889</v>
          </cell>
          <cell r="Z424">
            <v>2681.4870423522889</v>
          </cell>
          <cell r="AB424">
            <v>48.0747492686653</v>
          </cell>
          <cell r="AF424">
            <v>0.17771496161257144</v>
          </cell>
          <cell r="AG424">
            <v>0</v>
          </cell>
        </row>
        <row r="425">
          <cell r="A425" t="str">
            <v>TLPDSL15</v>
          </cell>
          <cell r="D425">
            <v>2015</v>
          </cell>
          <cell r="P425">
            <v>1844.245428261964</v>
          </cell>
          <cell r="Q425">
            <v>2087.0123982869113</v>
          </cell>
          <cell r="R425">
            <v>2598.3142105969532</v>
          </cell>
          <cell r="S425">
            <v>2630.0394229689928</v>
          </cell>
          <cell r="T425">
            <v>2675.2378718433165</v>
          </cell>
          <cell r="U425">
            <v>2677.0649844823015</v>
          </cell>
          <cell r="V425">
            <v>2678.8684569036091</v>
          </cell>
          <cell r="W425">
            <v>2681.4870423522889</v>
          </cell>
          <cell r="X425">
            <v>2681.4870423522889</v>
          </cell>
          <cell r="Y425">
            <v>2681.4870423522889</v>
          </cell>
          <cell r="Z425">
            <v>2681.4870423522889</v>
          </cell>
          <cell r="AB425">
            <v>48.0747492686653</v>
          </cell>
          <cell r="AF425">
            <v>0.21270439550017659</v>
          </cell>
          <cell r="AG425">
            <v>0</v>
          </cell>
        </row>
        <row r="426">
          <cell r="A426" t="str">
            <v>TLPDSL20</v>
          </cell>
          <cell r="D426">
            <v>2020</v>
          </cell>
          <cell r="P426">
            <v>1844.245428261964</v>
          </cell>
          <cell r="Q426">
            <v>2087.0123982869113</v>
          </cell>
          <cell r="R426">
            <v>2598.3142105969532</v>
          </cell>
          <cell r="S426">
            <v>2630.0394229689928</v>
          </cell>
          <cell r="T426">
            <v>2675.2378718433165</v>
          </cell>
          <cell r="U426">
            <v>2677.0649844823015</v>
          </cell>
          <cell r="V426">
            <v>2678.8684569036091</v>
          </cell>
          <cell r="W426">
            <v>2681.4870423522889</v>
          </cell>
          <cell r="X426">
            <v>2681.4870423522889</v>
          </cell>
          <cell r="Y426">
            <v>2681.4870423522889</v>
          </cell>
          <cell r="Z426">
            <v>2681.4870423522889</v>
          </cell>
          <cell r="AB426">
            <v>48.0747492686653</v>
          </cell>
          <cell r="AF426">
            <v>0.22853453601271514</v>
          </cell>
          <cell r="AG426">
            <v>0</v>
          </cell>
        </row>
        <row r="427">
          <cell r="A427" t="str">
            <v>TLPDSL25</v>
          </cell>
          <cell r="D427">
            <v>2025</v>
          </cell>
          <cell r="P427">
            <v>1844.245428261964</v>
          </cell>
          <cell r="Q427">
            <v>2087.0123982869113</v>
          </cell>
          <cell r="R427">
            <v>2598.3142105969532</v>
          </cell>
          <cell r="S427">
            <v>2630.0394229689928</v>
          </cell>
          <cell r="T427">
            <v>2675.2378718433165</v>
          </cell>
          <cell r="U427">
            <v>2677.0649844823015</v>
          </cell>
          <cell r="V427">
            <v>2678.8684569036091</v>
          </cell>
          <cell r="W427">
            <v>2681.4870423522889</v>
          </cell>
          <cell r="X427">
            <v>2681.4870423522889</v>
          </cell>
          <cell r="Y427">
            <v>2681.4870423522889</v>
          </cell>
          <cell r="Z427">
            <v>2681.4870423522889</v>
          </cell>
          <cell r="AB427">
            <v>48.0747492686653</v>
          </cell>
          <cell r="AF427">
            <v>0.25588104347116625</v>
          </cell>
          <cell r="AG427">
            <v>0</v>
          </cell>
        </row>
        <row r="428">
          <cell r="A428" t="str">
            <v>TLPDSL30</v>
          </cell>
          <cell r="D428">
            <v>2030</v>
          </cell>
          <cell r="P428">
            <v>1844.245428261964</v>
          </cell>
          <cell r="Q428">
            <v>2087.0123982869113</v>
          </cell>
          <cell r="R428">
            <v>2598.3142105969532</v>
          </cell>
          <cell r="S428">
            <v>2630.0394229689928</v>
          </cell>
          <cell r="T428">
            <v>2675.2378718433165</v>
          </cell>
          <cell r="U428">
            <v>2677.0649844823015</v>
          </cell>
          <cell r="V428">
            <v>2678.8684569036091</v>
          </cell>
          <cell r="W428">
            <v>2681.4870423522889</v>
          </cell>
          <cell r="X428">
            <v>2681.4870423522889</v>
          </cell>
          <cell r="Y428">
            <v>2681.4870423522889</v>
          </cell>
          <cell r="Z428">
            <v>2681.4870423522889</v>
          </cell>
          <cell r="AB428">
            <v>48.0747492686653</v>
          </cell>
          <cell r="AF428">
            <v>0.25875479704101184</v>
          </cell>
          <cell r="AG428">
            <v>0</v>
          </cell>
        </row>
        <row r="429">
          <cell r="A429" t="str">
            <v>TLPDSL35</v>
          </cell>
          <cell r="D429">
            <v>2035</v>
          </cell>
          <cell r="P429">
            <v>1844.245428261964</v>
          </cell>
          <cell r="Q429">
            <v>2087.0123982869113</v>
          </cell>
          <cell r="R429">
            <v>2598.3142105969532</v>
          </cell>
          <cell r="S429">
            <v>2630.0394229689928</v>
          </cell>
          <cell r="T429">
            <v>2675.2378718433165</v>
          </cell>
          <cell r="U429">
            <v>2677.0649844823015</v>
          </cell>
          <cell r="V429">
            <v>2678.8684569036091</v>
          </cell>
          <cell r="W429">
            <v>2681.4870423522889</v>
          </cell>
          <cell r="X429">
            <v>2681.4870423522889</v>
          </cell>
          <cell r="Y429">
            <v>2681.4870423522889</v>
          </cell>
          <cell r="Z429">
            <v>2681.4870423522889</v>
          </cell>
          <cell r="AB429">
            <v>48.0747492686653</v>
          </cell>
          <cell r="AF429">
            <v>0.26029151155331587</v>
          </cell>
          <cell r="AG429">
            <v>0</v>
          </cell>
        </row>
        <row r="430">
          <cell r="A430" t="str">
            <v>TLPDSL40</v>
          </cell>
          <cell r="D430">
            <v>2040</v>
          </cell>
          <cell r="P430">
            <v>1844.245428261964</v>
          </cell>
          <cell r="Q430">
            <v>2087.0123982869113</v>
          </cell>
          <cell r="R430">
            <v>2598.3142105969532</v>
          </cell>
          <cell r="S430">
            <v>2630.0394229689928</v>
          </cell>
          <cell r="T430">
            <v>2675.2378718433165</v>
          </cell>
          <cell r="U430">
            <v>2677.0649844823015</v>
          </cell>
          <cell r="V430">
            <v>2678.8684569036091</v>
          </cell>
          <cell r="W430">
            <v>2681.4870423522889</v>
          </cell>
          <cell r="X430">
            <v>2681.4870423522889</v>
          </cell>
          <cell r="Y430">
            <v>2681.4870423522889</v>
          </cell>
          <cell r="Z430">
            <v>2681.4870423522889</v>
          </cell>
          <cell r="AB430">
            <v>48.0747492686653</v>
          </cell>
          <cell r="AF430">
            <v>0.26010334069549362</v>
          </cell>
          <cell r="AG430">
            <v>0</v>
          </cell>
        </row>
        <row r="431">
          <cell r="A431" t="str">
            <v>TLPDSL45</v>
          </cell>
          <cell r="D431">
            <v>2045</v>
          </cell>
          <cell r="P431">
            <v>1844.245428261964</v>
          </cell>
          <cell r="Q431">
            <v>2087.0123982869113</v>
          </cell>
          <cell r="R431">
            <v>2598.3142105969532</v>
          </cell>
          <cell r="S431">
            <v>2630.0394229689928</v>
          </cell>
          <cell r="T431">
            <v>2675.2378718433165</v>
          </cell>
          <cell r="U431">
            <v>2677.0649844823015</v>
          </cell>
          <cell r="V431">
            <v>2678.8684569036091</v>
          </cell>
          <cell r="W431">
            <v>2681.4870423522889</v>
          </cell>
          <cell r="X431">
            <v>2681.4870423522889</v>
          </cell>
          <cell r="Y431">
            <v>2681.4870423522889</v>
          </cell>
          <cell r="Z431">
            <v>2681.4870423522889</v>
          </cell>
          <cell r="AB431">
            <v>48.0747492686653</v>
          </cell>
          <cell r="AF431">
            <v>0.26010334069549362</v>
          </cell>
          <cell r="AG431">
            <v>0</v>
          </cell>
        </row>
        <row r="432">
          <cell r="A432" t="str">
            <v>TLPDSL50</v>
          </cell>
          <cell r="D432">
            <v>2050</v>
          </cell>
          <cell r="P432">
            <v>1844.245428261964</v>
          </cell>
          <cell r="Q432">
            <v>2087.0123982869113</v>
          </cell>
          <cell r="R432">
            <v>2598.3142105969532</v>
          </cell>
          <cell r="S432">
            <v>2630.0394229689928</v>
          </cell>
          <cell r="T432">
            <v>2675.2378718433165</v>
          </cell>
          <cell r="U432">
            <v>2677.0649844823015</v>
          </cell>
          <cell r="V432">
            <v>2678.8684569036091</v>
          </cell>
          <cell r="W432">
            <v>2681.4870423522889</v>
          </cell>
          <cell r="X432">
            <v>2681.4870423522889</v>
          </cell>
          <cell r="Y432">
            <v>2681.4870423522889</v>
          </cell>
          <cell r="Z432">
            <v>2681.4870423522889</v>
          </cell>
          <cell r="AB432">
            <v>48.0747492686653</v>
          </cell>
          <cell r="AF432">
            <v>0.26010334069549362</v>
          </cell>
          <cell r="AG432">
            <v>0</v>
          </cell>
        </row>
        <row r="433">
          <cell r="A433" t="str">
            <v>TLPETHX05</v>
          </cell>
          <cell r="D433">
            <v>2005</v>
          </cell>
          <cell r="P433">
            <v>1759.5380587534821</v>
          </cell>
          <cell r="Q433">
            <v>1688.2916289789739</v>
          </cell>
          <cell r="R433">
            <v>2197.3180776345271</v>
          </cell>
          <cell r="S433">
            <v>2265.0602941561556</v>
          </cell>
          <cell r="T433">
            <v>2348.7541726557906</v>
          </cell>
          <cell r="U433">
            <v>2350.6935129266226</v>
          </cell>
          <cell r="V433">
            <v>2352.2166614530602</v>
          </cell>
          <cell r="W433">
            <v>2354.6325038832779</v>
          </cell>
          <cell r="X433">
            <v>2354.6325038832779</v>
          </cell>
          <cell r="Y433">
            <v>2354.6325038832779</v>
          </cell>
          <cell r="Z433">
            <v>2354.6325038832779</v>
          </cell>
          <cell r="AB433">
            <v>48.0747492686653</v>
          </cell>
          <cell r="AF433">
            <v>0.12436740402113564</v>
          </cell>
          <cell r="AG433">
            <v>0</v>
          </cell>
        </row>
        <row r="434">
          <cell r="A434" t="str">
            <v>TLPETHX10</v>
          </cell>
          <cell r="D434">
            <v>2010</v>
          </cell>
          <cell r="P434">
            <v>1759.5380587534821</v>
          </cell>
          <cell r="Q434">
            <v>1688.2916289789739</v>
          </cell>
          <cell r="R434">
            <v>2197.3180776345271</v>
          </cell>
          <cell r="S434">
            <v>2265.0602941561556</v>
          </cell>
          <cell r="T434">
            <v>2348.7541726557906</v>
          </cell>
          <cell r="U434">
            <v>2350.6935129266226</v>
          </cell>
          <cell r="V434">
            <v>2352.2166614530602</v>
          </cell>
          <cell r="W434">
            <v>2354.6325038832779</v>
          </cell>
          <cell r="X434">
            <v>2354.6325038832779</v>
          </cell>
          <cell r="Y434">
            <v>2354.6325038832779</v>
          </cell>
          <cell r="Z434">
            <v>2354.6325038832779</v>
          </cell>
          <cell r="AB434">
            <v>48.0747492686653</v>
          </cell>
          <cell r="AF434">
            <v>0.14395952422561314</v>
          </cell>
          <cell r="AG434">
            <v>0</v>
          </cell>
        </row>
        <row r="435">
          <cell r="A435" t="str">
            <v>TLPETHX15</v>
          </cell>
          <cell r="D435">
            <v>2015</v>
          </cell>
          <cell r="P435">
            <v>1759.5380587534821</v>
          </cell>
          <cell r="Q435">
            <v>1688.2916289789739</v>
          </cell>
          <cell r="R435">
            <v>2197.3180776345271</v>
          </cell>
          <cell r="S435">
            <v>2265.0602941561556</v>
          </cell>
          <cell r="T435">
            <v>2348.7541726557906</v>
          </cell>
          <cell r="U435">
            <v>2350.6935129266226</v>
          </cell>
          <cell r="V435">
            <v>2352.2166614530602</v>
          </cell>
          <cell r="W435">
            <v>2354.6325038832779</v>
          </cell>
          <cell r="X435">
            <v>2354.6325038832779</v>
          </cell>
          <cell r="Y435">
            <v>2354.6325038832779</v>
          </cell>
          <cell r="Z435">
            <v>2354.6325038832779</v>
          </cell>
          <cell r="AB435">
            <v>48.0747492686653</v>
          </cell>
          <cell r="AF435">
            <v>0.17449632663652215</v>
          </cell>
          <cell r="AG435">
            <v>0</v>
          </cell>
        </row>
        <row r="436">
          <cell r="A436" t="str">
            <v>TLPETHX20</v>
          </cell>
          <cell r="D436">
            <v>2020</v>
          </cell>
          <cell r="P436">
            <v>1759.5380587534821</v>
          </cell>
          <cell r="Q436">
            <v>1688.2916289789739</v>
          </cell>
          <cell r="R436">
            <v>2197.3180776345271</v>
          </cell>
          <cell r="S436">
            <v>2265.0602941561556</v>
          </cell>
          <cell r="T436">
            <v>2348.7541726557906</v>
          </cell>
          <cell r="U436">
            <v>2350.6935129266226</v>
          </cell>
          <cell r="V436">
            <v>2352.2166614530602</v>
          </cell>
          <cell r="W436">
            <v>2354.6325038832779</v>
          </cell>
          <cell r="X436">
            <v>2354.6325038832779</v>
          </cell>
          <cell r="Y436">
            <v>2354.6325038832779</v>
          </cell>
          <cell r="Z436">
            <v>2354.6325038832779</v>
          </cell>
          <cell r="AB436">
            <v>48.0747492686653</v>
          </cell>
          <cell r="AF436">
            <v>0.19961665725169439</v>
          </cell>
          <cell r="AG436">
            <v>0</v>
          </cell>
        </row>
        <row r="437">
          <cell r="A437" t="str">
            <v>TLPETHX25</v>
          </cell>
          <cell r="D437">
            <v>2025</v>
          </cell>
          <cell r="P437">
            <v>1759.5380587534821</v>
          </cell>
          <cell r="Q437">
            <v>1688.2916289789739</v>
          </cell>
          <cell r="R437">
            <v>2197.3180776345271</v>
          </cell>
          <cell r="S437">
            <v>2265.0602941561556</v>
          </cell>
          <cell r="T437">
            <v>2348.7541726557906</v>
          </cell>
          <cell r="U437">
            <v>2350.6935129266226</v>
          </cell>
          <cell r="V437">
            <v>2352.2166614530602</v>
          </cell>
          <cell r="W437">
            <v>2354.6325038832779</v>
          </cell>
          <cell r="X437">
            <v>2354.6325038832779</v>
          </cell>
          <cell r="Y437">
            <v>2354.6325038832779</v>
          </cell>
          <cell r="Z437">
            <v>2354.6325038832779</v>
          </cell>
          <cell r="AB437">
            <v>48.0747492686653</v>
          </cell>
          <cell r="AF437">
            <v>0.23656465820913386</v>
          </cell>
          <cell r="AG437">
            <v>0</v>
          </cell>
        </row>
        <row r="438">
          <cell r="A438" t="str">
            <v>TLPETHX30</v>
          </cell>
          <cell r="D438">
            <v>2030</v>
          </cell>
          <cell r="P438">
            <v>1759.5380587534821</v>
          </cell>
          <cell r="Q438">
            <v>1688.2916289789739</v>
          </cell>
          <cell r="R438">
            <v>2197.3180776345271</v>
          </cell>
          <cell r="S438">
            <v>2265.0602941561556</v>
          </cell>
          <cell r="T438">
            <v>2348.7541726557906</v>
          </cell>
          <cell r="U438">
            <v>2350.6935129266226</v>
          </cell>
          <cell r="V438">
            <v>2352.2166614530602</v>
          </cell>
          <cell r="W438">
            <v>2354.6325038832779</v>
          </cell>
          <cell r="X438">
            <v>2354.6325038832779</v>
          </cell>
          <cell r="Y438">
            <v>2354.6325038832779</v>
          </cell>
          <cell r="Z438">
            <v>2354.6325038832779</v>
          </cell>
          <cell r="AB438">
            <v>48.0747492686653</v>
          </cell>
          <cell r="AF438">
            <v>0.23924842682442354</v>
          </cell>
          <cell r="AG438">
            <v>0</v>
          </cell>
        </row>
        <row r="439">
          <cell r="A439" t="str">
            <v>TLPETHX35</v>
          </cell>
          <cell r="D439">
            <v>2035</v>
          </cell>
          <cell r="P439">
            <v>1759.5380587534821</v>
          </cell>
          <cell r="Q439">
            <v>1688.2916289789739</v>
          </cell>
          <cell r="R439">
            <v>2197.3180776345271</v>
          </cell>
          <cell r="S439">
            <v>2265.0602941561556</v>
          </cell>
          <cell r="T439">
            <v>2348.7541726557906</v>
          </cell>
          <cell r="U439">
            <v>2350.6935129266226</v>
          </cell>
          <cell r="V439">
            <v>2352.2166614530602</v>
          </cell>
          <cell r="W439">
            <v>2354.6325038832779</v>
          </cell>
          <cell r="X439">
            <v>2354.6325038832779</v>
          </cell>
          <cell r="Y439">
            <v>2354.6325038832779</v>
          </cell>
          <cell r="Z439">
            <v>2354.6325038832779</v>
          </cell>
          <cell r="AB439">
            <v>48.0747492686653</v>
          </cell>
          <cell r="AF439">
            <v>0.2404291489940909</v>
          </cell>
          <cell r="AG439">
            <v>0</v>
          </cell>
        </row>
        <row r="440">
          <cell r="A440" t="str">
            <v>TLPETHX40</v>
          </cell>
          <cell r="D440">
            <v>2040</v>
          </cell>
          <cell r="P440">
            <v>1759.5380587534821</v>
          </cell>
          <cell r="Q440">
            <v>1688.2916289789739</v>
          </cell>
          <cell r="R440">
            <v>2197.3180776345271</v>
          </cell>
          <cell r="S440">
            <v>2265.0602941561556</v>
          </cell>
          <cell r="T440">
            <v>2348.7541726557906</v>
          </cell>
          <cell r="U440">
            <v>2350.6935129266226</v>
          </cell>
          <cell r="V440">
            <v>2352.2166614530602</v>
          </cell>
          <cell r="W440">
            <v>2354.6325038832779</v>
          </cell>
          <cell r="X440">
            <v>2354.6325038832779</v>
          </cell>
          <cell r="Y440">
            <v>2354.6325038832779</v>
          </cell>
          <cell r="Z440">
            <v>2354.6325038832779</v>
          </cell>
          <cell r="AB440">
            <v>48.0747492686653</v>
          </cell>
          <cell r="AF440">
            <v>0.24016063523425182</v>
          </cell>
          <cell r="AG440">
            <v>0</v>
          </cell>
        </row>
        <row r="441">
          <cell r="A441" t="str">
            <v>TLPETHX45</v>
          </cell>
          <cell r="D441">
            <v>2045</v>
          </cell>
          <cell r="P441">
            <v>1759.5380587534821</v>
          </cell>
          <cell r="Q441">
            <v>1688.2916289789739</v>
          </cell>
          <cell r="R441">
            <v>2197.3180776345271</v>
          </cell>
          <cell r="S441">
            <v>2265.0602941561556</v>
          </cell>
          <cell r="T441">
            <v>2348.7541726557906</v>
          </cell>
          <cell r="U441">
            <v>2350.6935129266226</v>
          </cell>
          <cell r="V441">
            <v>2352.2166614530602</v>
          </cell>
          <cell r="W441">
            <v>2354.6325038832779</v>
          </cell>
          <cell r="X441">
            <v>2354.6325038832779</v>
          </cell>
          <cell r="Y441">
            <v>2354.6325038832779</v>
          </cell>
          <cell r="Z441">
            <v>2354.6325038832779</v>
          </cell>
          <cell r="AB441">
            <v>48.0747492686653</v>
          </cell>
          <cell r="AF441">
            <v>0.24016063523425182</v>
          </cell>
          <cell r="AG441">
            <v>0</v>
          </cell>
        </row>
        <row r="442">
          <cell r="A442" t="str">
            <v>TLPETHX50</v>
          </cell>
          <cell r="D442">
            <v>2050</v>
          </cell>
          <cell r="P442">
            <v>1759.5380587534821</v>
          </cell>
          <cell r="Q442">
            <v>1688.2916289789739</v>
          </cell>
          <cell r="R442">
            <v>2197.3180776345271</v>
          </cell>
          <cell r="S442">
            <v>2265.0602941561556</v>
          </cell>
          <cell r="T442">
            <v>2348.7541726557906</v>
          </cell>
          <cell r="U442">
            <v>2350.6935129266226</v>
          </cell>
          <cell r="V442">
            <v>2352.2166614530602</v>
          </cell>
          <cell r="W442">
            <v>2354.6325038832779</v>
          </cell>
          <cell r="X442">
            <v>2354.6325038832779</v>
          </cell>
          <cell r="Y442">
            <v>2354.6325038832779</v>
          </cell>
          <cell r="Z442">
            <v>2354.6325038832779</v>
          </cell>
          <cell r="AB442">
            <v>48.0747492686653</v>
          </cell>
          <cell r="AF442">
            <v>0.24016063523425182</v>
          </cell>
          <cell r="AG442">
            <v>0</v>
          </cell>
        </row>
        <row r="443">
          <cell r="A443" t="str">
            <v>TLPHEV10</v>
          </cell>
          <cell r="D443">
            <v>2010</v>
          </cell>
          <cell r="P443">
            <v>0</v>
          </cell>
          <cell r="Q443">
            <v>0</v>
          </cell>
          <cell r="R443">
            <v>2834.3410769044203</v>
          </cell>
          <cell r="S443">
            <v>2706.4066254783438</v>
          </cell>
          <cell r="T443">
            <v>2711.0306518742973</v>
          </cell>
          <cell r="U443">
            <v>2659.8886942226295</v>
          </cell>
          <cell r="V443">
            <v>2646.6903987741193</v>
          </cell>
          <cell r="W443">
            <v>2644.6886790692897</v>
          </cell>
          <cell r="X443">
            <v>2644.6886790692897</v>
          </cell>
          <cell r="Y443">
            <v>2644.6886790692897</v>
          </cell>
          <cell r="Z443">
            <v>2644.6886790692897</v>
          </cell>
          <cell r="AB443">
            <v>48.0747492686653</v>
          </cell>
          <cell r="AF443">
            <v>0</v>
          </cell>
          <cell r="AG443">
            <v>0</v>
          </cell>
        </row>
        <row r="444">
          <cell r="A444" t="str">
            <v>TLPHEV15</v>
          </cell>
          <cell r="D444">
            <v>2015</v>
          </cell>
          <cell r="P444">
            <v>0</v>
          </cell>
          <cell r="Q444">
            <v>0</v>
          </cell>
          <cell r="R444">
            <v>2834.3410769044203</v>
          </cell>
          <cell r="S444">
            <v>2706.4066254783438</v>
          </cell>
          <cell r="T444">
            <v>2711.0306518742973</v>
          </cell>
          <cell r="U444">
            <v>2659.8886942226295</v>
          </cell>
          <cell r="V444">
            <v>2646.6903987741193</v>
          </cell>
          <cell r="W444">
            <v>2644.6886790692897</v>
          </cell>
          <cell r="X444">
            <v>2644.6886790692897</v>
          </cell>
          <cell r="Y444">
            <v>2644.6886790692897</v>
          </cell>
          <cell r="Z444">
            <v>2644.6886790692897</v>
          </cell>
          <cell r="AB444">
            <v>48.0747492686653</v>
          </cell>
          <cell r="AF444">
            <v>0.24902201171814203</v>
          </cell>
          <cell r="AG444">
            <v>0</v>
          </cell>
        </row>
        <row r="445">
          <cell r="A445" t="str">
            <v>TLPHEV20</v>
          </cell>
          <cell r="D445">
            <v>2020</v>
          </cell>
          <cell r="P445">
            <v>0</v>
          </cell>
          <cell r="Q445">
            <v>0</v>
          </cell>
          <cell r="R445">
            <v>2834.3410769044203</v>
          </cell>
          <cell r="S445">
            <v>2706.4066254783438</v>
          </cell>
          <cell r="T445">
            <v>2711.0306518742973</v>
          </cell>
          <cell r="U445">
            <v>2659.8886942226295</v>
          </cell>
          <cell r="V445">
            <v>2646.6903987741193</v>
          </cell>
          <cell r="W445">
            <v>2644.6886790692897</v>
          </cell>
          <cell r="X445">
            <v>2644.6886790692897</v>
          </cell>
          <cell r="Y445">
            <v>2644.6886790692897</v>
          </cell>
          <cell r="Z445">
            <v>2644.6886790692897</v>
          </cell>
          <cell r="AB445">
            <v>48.0747492686653</v>
          </cell>
          <cell r="AF445">
            <v>0.26697372202664643</v>
          </cell>
          <cell r="AG445">
            <v>0</v>
          </cell>
        </row>
        <row r="446">
          <cell r="A446" t="str">
            <v>TLPHEV25</v>
          </cell>
          <cell r="D446">
            <v>2025</v>
          </cell>
          <cell r="P446">
            <v>0</v>
          </cell>
          <cell r="Q446">
            <v>0</v>
          </cell>
          <cell r="R446">
            <v>2834.3410769044203</v>
          </cell>
          <cell r="S446">
            <v>2706.4066254783438</v>
          </cell>
          <cell r="T446">
            <v>2711.0306518742973</v>
          </cell>
          <cell r="U446">
            <v>2659.8886942226295</v>
          </cell>
          <cell r="V446">
            <v>2646.6903987741193</v>
          </cell>
          <cell r="W446">
            <v>2644.6886790692897</v>
          </cell>
          <cell r="X446">
            <v>2644.6886790692897</v>
          </cell>
          <cell r="Y446">
            <v>2644.6886790692897</v>
          </cell>
          <cell r="Z446">
            <v>2644.6886790692897</v>
          </cell>
          <cell r="AB446">
            <v>48.0747492686653</v>
          </cell>
          <cell r="AF446">
            <v>0.30964565014077611</v>
          </cell>
          <cell r="AG446">
            <v>0</v>
          </cell>
        </row>
        <row r="447">
          <cell r="A447" t="str">
            <v>TLPHEV30</v>
          </cell>
          <cell r="D447">
            <v>2030</v>
          </cell>
          <cell r="P447">
            <v>0</v>
          </cell>
          <cell r="Q447">
            <v>0</v>
          </cell>
          <cell r="R447">
            <v>2834.3410769044203</v>
          </cell>
          <cell r="S447">
            <v>2706.4066254783438</v>
          </cell>
          <cell r="T447">
            <v>2711.0306518742973</v>
          </cell>
          <cell r="U447">
            <v>2659.8886942226295</v>
          </cell>
          <cell r="V447">
            <v>2646.6903987741193</v>
          </cell>
          <cell r="W447">
            <v>2644.6886790692897</v>
          </cell>
          <cell r="X447">
            <v>2644.6886790692897</v>
          </cell>
          <cell r="Y447">
            <v>2644.6886790692897</v>
          </cell>
          <cell r="Z447">
            <v>2644.6886790692897</v>
          </cell>
          <cell r="AB447">
            <v>48.0747492686653</v>
          </cell>
          <cell r="AF447">
            <v>0.31254764820015207</v>
          </cell>
          <cell r="AG447">
            <v>0</v>
          </cell>
        </row>
        <row r="448">
          <cell r="A448" t="str">
            <v>TLPHEV35</v>
          </cell>
          <cell r="D448">
            <v>2035</v>
          </cell>
          <cell r="P448">
            <v>0</v>
          </cell>
          <cell r="Q448">
            <v>0</v>
          </cell>
          <cell r="R448">
            <v>2834.3410769044203</v>
          </cell>
          <cell r="S448">
            <v>2706.4066254783438</v>
          </cell>
          <cell r="T448">
            <v>2711.0306518742973</v>
          </cell>
          <cell r="U448">
            <v>2659.8886942226295</v>
          </cell>
          <cell r="V448">
            <v>2646.6903987741193</v>
          </cell>
          <cell r="W448">
            <v>2644.6886790692897</v>
          </cell>
          <cell r="X448">
            <v>2644.6886790692897</v>
          </cell>
          <cell r="Y448">
            <v>2644.6886790692897</v>
          </cell>
          <cell r="Z448">
            <v>2644.6886790692897</v>
          </cell>
          <cell r="AB448">
            <v>48.0747492686653</v>
          </cell>
          <cell r="AF448">
            <v>0.31427102485156777</v>
          </cell>
          <cell r="AG448">
            <v>0</v>
          </cell>
        </row>
        <row r="449">
          <cell r="A449" t="str">
            <v>TLPHEV40</v>
          </cell>
          <cell r="D449">
            <v>2040</v>
          </cell>
          <cell r="P449">
            <v>0</v>
          </cell>
          <cell r="Q449">
            <v>0</v>
          </cell>
          <cell r="R449">
            <v>2834.3410769044203</v>
          </cell>
          <cell r="S449">
            <v>2706.4066254783438</v>
          </cell>
          <cell r="T449">
            <v>2711.0306518742973</v>
          </cell>
          <cell r="U449">
            <v>2659.8886942226295</v>
          </cell>
          <cell r="V449">
            <v>2646.6903987741193</v>
          </cell>
          <cell r="W449">
            <v>2644.6886790692897</v>
          </cell>
          <cell r="X449">
            <v>2644.6886790692897</v>
          </cell>
          <cell r="Y449">
            <v>2644.6886790692897</v>
          </cell>
          <cell r="Z449">
            <v>2644.6886790692897</v>
          </cell>
          <cell r="AB449">
            <v>48.0747492686653</v>
          </cell>
          <cell r="AF449">
            <v>0.31435830661499636</v>
          </cell>
          <cell r="AG449">
            <v>0</v>
          </cell>
        </row>
        <row r="450">
          <cell r="A450" t="str">
            <v>TLPHEV45</v>
          </cell>
          <cell r="D450">
            <v>2045</v>
          </cell>
          <cell r="P450">
            <v>0</v>
          </cell>
          <cell r="Q450">
            <v>0</v>
          </cell>
          <cell r="R450">
            <v>2834.3410769044203</v>
          </cell>
          <cell r="S450">
            <v>2706.4066254783438</v>
          </cell>
          <cell r="T450">
            <v>2711.0306518742973</v>
          </cell>
          <cell r="U450">
            <v>2659.8886942226295</v>
          </cell>
          <cell r="V450">
            <v>2646.6903987741193</v>
          </cell>
          <cell r="W450">
            <v>2644.6886790692897</v>
          </cell>
          <cell r="X450">
            <v>2644.6886790692897</v>
          </cell>
          <cell r="Y450">
            <v>2644.6886790692897</v>
          </cell>
          <cell r="Z450">
            <v>2644.6886790692897</v>
          </cell>
          <cell r="AB450">
            <v>48.0747492686653</v>
          </cell>
          <cell r="AF450">
            <v>0.31435830661499636</v>
          </cell>
          <cell r="AG450">
            <v>0</v>
          </cell>
        </row>
        <row r="451">
          <cell r="A451" t="str">
            <v>TLPHEV50</v>
          </cell>
          <cell r="D451">
            <v>2050</v>
          </cell>
          <cell r="P451">
            <v>0</v>
          </cell>
          <cell r="Q451">
            <v>0</v>
          </cell>
          <cell r="R451">
            <v>2834.3410769044203</v>
          </cell>
          <cell r="S451">
            <v>2706.4066254783438</v>
          </cell>
          <cell r="T451">
            <v>2711.0306518742973</v>
          </cell>
          <cell r="U451">
            <v>2659.8886942226295</v>
          </cell>
          <cell r="V451">
            <v>2646.6903987741193</v>
          </cell>
          <cell r="W451">
            <v>2644.6886790692897</v>
          </cell>
          <cell r="X451">
            <v>2644.6886790692897</v>
          </cell>
          <cell r="Y451">
            <v>2644.6886790692897</v>
          </cell>
          <cell r="Z451">
            <v>2644.6886790692897</v>
          </cell>
          <cell r="AB451">
            <v>48.0747492686653</v>
          </cell>
          <cell r="AF451">
            <v>0.31435830661499636</v>
          </cell>
          <cell r="AG451">
            <v>0</v>
          </cell>
        </row>
        <row r="452">
          <cell r="A452" t="str">
            <v>TLPLPG00</v>
          </cell>
          <cell r="D452">
            <v>2060</v>
          </cell>
          <cell r="P452">
            <v>2226.8991212764818</v>
          </cell>
          <cell r="Q452">
            <v>2407.3706826139619</v>
          </cell>
          <cell r="R452">
            <v>2944.7925102145</v>
          </cell>
          <cell r="S452">
            <v>3003.1123622236087</v>
          </cell>
          <cell r="T452">
            <v>3086.0141220140672</v>
          </cell>
          <cell r="U452">
            <v>3088.5024513054914</v>
          </cell>
          <cell r="V452">
            <v>3090.1974500711194</v>
          </cell>
          <cell r="W452">
            <v>3091.8666994273344</v>
          </cell>
          <cell r="X452">
            <v>3091.8666994273344</v>
          </cell>
          <cell r="Y452">
            <v>3091.8666994273344</v>
          </cell>
          <cell r="Z452">
            <v>3091.8666994273344</v>
          </cell>
          <cell r="AB452">
            <v>48.0747492686653</v>
          </cell>
          <cell r="AF452">
            <v>0.24599337895925152</v>
          </cell>
          <cell r="AG452">
            <v>0</v>
          </cell>
        </row>
        <row r="453">
          <cell r="A453" t="str">
            <v>TLPLPG05</v>
          </cell>
          <cell r="D453">
            <v>2005</v>
          </cell>
          <cell r="P453">
            <v>2226.8991212764818</v>
          </cell>
          <cell r="Q453">
            <v>2407.3706826139619</v>
          </cell>
          <cell r="R453">
            <v>2944.7925102145</v>
          </cell>
          <cell r="S453">
            <v>3003.1123622236087</v>
          </cell>
          <cell r="T453">
            <v>3086.0141220140672</v>
          </cell>
          <cell r="U453">
            <v>3088.5024513054914</v>
          </cell>
          <cell r="V453">
            <v>3090.1974500711194</v>
          </cell>
          <cell r="W453">
            <v>3091.8666994273344</v>
          </cell>
          <cell r="X453">
            <v>3091.8666994273344</v>
          </cell>
          <cell r="Y453">
            <v>3091.8666994273344</v>
          </cell>
          <cell r="Z453">
            <v>3091.8666994273344</v>
          </cell>
          <cell r="AB453">
            <v>48.0747492686653</v>
          </cell>
          <cell r="AF453">
            <v>0.12234680985634905</v>
          </cell>
          <cell r="AG453">
            <v>0</v>
          </cell>
        </row>
        <row r="454">
          <cell r="A454" t="str">
            <v>TLPLPG10</v>
          </cell>
          <cell r="D454">
            <v>2010</v>
          </cell>
          <cell r="P454">
            <v>2226.8991212764818</v>
          </cell>
          <cell r="Q454">
            <v>2407.3706826139619</v>
          </cell>
          <cell r="R454">
            <v>2944.7925102145</v>
          </cell>
          <cell r="S454">
            <v>3003.1123622236087</v>
          </cell>
          <cell r="T454">
            <v>3086.0141220140672</v>
          </cell>
          <cell r="U454">
            <v>3088.5024513054914</v>
          </cell>
          <cell r="V454">
            <v>3090.1974500711194</v>
          </cell>
          <cell r="W454">
            <v>3091.8666994273344</v>
          </cell>
          <cell r="X454">
            <v>3091.8666994273344</v>
          </cell>
          <cell r="Y454">
            <v>3091.8666994273344</v>
          </cell>
          <cell r="Z454">
            <v>3091.8666994273344</v>
          </cell>
          <cell r="AB454">
            <v>48.0747492686653</v>
          </cell>
          <cell r="AF454">
            <v>0.14614341153455362</v>
          </cell>
          <cell r="AG454">
            <v>0</v>
          </cell>
        </row>
        <row r="455">
          <cell r="A455" t="str">
            <v>TLPLPG15</v>
          </cell>
          <cell r="D455">
            <v>2015</v>
          </cell>
          <cell r="P455">
            <v>2226.8991212764818</v>
          </cell>
          <cell r="Q455">
            <v>2407.3706826139619</v>
          </cell>
          <cell r="R455">
            <v>2944.7925102145</v>
          </cell>
          <cell r="S455">
            <v>3003.1123622236087</v>
          </cell>
          <cell r="T455">
            <v>3086.0141220140672</v>
          </cell>
          <cell r="U455">
            <v>3088.5024513054914</v>
          </cell>
          <cell r="V455">
            <v>3090.1974500711194</v>
          </cell>
          <cell r="W455">
            <v>3091.8666994273344</v>
          </cell>
          <cell r="X455">
            <v>3091.8666994273344</v>
          </cell>
          <cell r="Y455">
            <v>3091.8666994273344</v>
          </cell>
          <cell r="Z455">
            <v>3091.8666994273344</v>
          </cell>
          <cell r="AB455">
            <v>48.0747492686653</v>
          </cell>
          <cell r="AF455">
            <v>0.18203185865695096</v>
          </cell>
          <cell r="AG455">
            <v>0</v>
          </cell>
        </row>
        <row r="456">
          <cell r="A456" t="str">
            <v>TLPLPG20</v>
          </cell>
          <cell r="D456">
            <v>2020</v>
          </cell>
          <cell r="P456">
            <v>2226.8991212764818</v>
          </cell>
          <cell r="Q456">
            <v>2407.3706826139619</v>
          </cell>
          <cell r="R456">
            <v>2944.7925102145</v>
          </cell>
          <cell r="S456">
            <v>3003.1123622236087</v>
          </cell>
          <cell r="T456">
            <v>3086.0141220140672</v>
          </cell>
          <cell r="U456">
            <v>3088.5024513054914</v>
          </cell>
          <cell r="V456">
            <v>3090.1974500711194</v>
          </cell>
          <cell r="W456">
            <v>3091.8666994273344</v>
          </cell>
          <cell r="X456">
            <v>3091.8666994273344</v>
          </cell>
          <cell r="Y456">
            <v>3091.8666994273344</v>
          </cell>
          <cell r="Z456">
            <v>3091.8666994273344</v>
          </cell>
          <cell r="AB456">
            <v>48.0747492686653</v>
          </cell>
          <cell r="AF456">
            <v>0.20578211161013635</v>
          </cell>
          <cell r="AG456">
            <v>0</v>
          </cell>
        </row>
        <row r="457">
          <cell r="A457" t="str">
            <v>TLPLPG25</v>
          </cell>
          <cell r="D457">
            <v>2025</v>
          </cell>
          <cell r="P457">
            <v>2226.8991212764818</v>
          </cell>
          <cell r="Q457">
            <v>2407.3706826139619</v>
          </cell>
          <cell r="R457">
            <v>2944.7925102145</v>
          </cell>
          <cell r="S457">
            <v>3003.1123622236087</v>
          </cell>
          <cell r="T457">
            <v>3086.0141220140672</v>
          </cell>
          <cell r="U457">
            <v>3088.5024513054914</v>
          </cell>
          <cell r="V457">
            <v>3090.1974500711194</v>
          </cell>
          <cell r="W457">
            <v>3091.8666994273344</v>
          </cell>
          <cell r="X457">
            <v>3091.8666994273344</v>
          </cell>
          <cell r="Y457">
            <v>3091.8666994273344</v>
          </cell>
          <cell r="Z457">
            <v>3091.8666994273344</v>
          </cell>
          <cell r="AB457">
            <v>48.0747492686653</v>
          </cell>
          <cell r="AF457">
            <v>0.24161153462440671</v>
          </cell>
          <cell r="AG457">
            <v>0</v>
          </cell>
        </row>
        <row r="458">
          <cell r="A458" t="str">
            <v>TLPLPG30</v>
          </cell>
          <cell r="D458">
            <v>2030</v>
          </cell>
          <cell r="P458">
            <v>2226.8991212764818</v>
          </cell>
          <cell r="Q458">
            <v>2407.3706826139619</v>
          </cell>
          <cell r="R458">
            <v>2944.7925102145</v>
          </cell>
          <cell r="S458">
            <v>3003.1123622236087</v>
          </cell>
          <cell r="T458">
            <v>3086.0141220140672</v>
          </cell>
          <cell r="U458">
            <v>3088.5024513054914</v>
          </cell>
          <cell r="V458">
            <v>3090.1974500711194</v>
          </cell>
          <cell r="W458">
            <v>3091.8666994273344</v>
          </cell>
          <cell r="X458">
            <v>3091.8666994273344</v>
          </cell>
          <cell r="Y458">
            <v>3091.8666994273344</v>
          </cell>
          <cell r="Z458">
            <v>3091.8666994273344</v>
          </cell>
          <cell r="AB458">
            <v>48.0747492686653</v>
          </cell>
          <cell r="AF458">
            <v>0.24452069912430818</v>
          </cell>
          <cell r="AG458">
            <v>0</v>
          </cell>
        </row>
        <row r="459">
          <cell r="A459" t="str">
            <v>TLPLPG35</v>
          </cell>
          <cell r="D459">
            <v>2035</v>
          </cell>
          <cell r="P459">
            <v>2226.8991212764818</v>
          </cell>
          <cell r="Q459">
            <v>2407.3706826139619</v>
          </cell>
          <cell r="R459">
            <v>2944.7925102145</v>
          </cell>
          <cell r="S459">
            <v>3003.1123622236087</v>
          </cell>
          <cell r="T459">
            <v>3086.0141220140672</v>
          </cell>
          <cell r="U459">
            <v>3088.5024513054914</v>
          </cell>
          <cell r="V459">
            <v>3090.1974500711194</v>
          </cell>
          <cell r="W459">
            <v>3091.8666994273344</v>
          </cell>
          <cell r="X459">
            <v>3091.8666994273344</v>
          </cell>
          <cell r="Y459">
            <v>3091.8666994273344</v>
          </cell>
          <cell r="Z459">
            <v>3091.8666994273344</v>
          </cell>
          <cell r="AB459">
            <v>48.0747492686653</v>
          </cell>
          <cell r="AF459">
            <v>0.24624010979251149</v>
          </cell>
          <cell r="AG459">
            <v>0</v>
          </cell>
        </row>
        <row r="460">
          <cell r="A460" t="str">
            <v>TLPLPG40</v>
          </cell>
          <cell r="D460">
            <v>2040</v>
          </cell>
          <cell r="P460">
            <v>2226.8991212764818</v>
          </cell>
          <cell r="Q460">
            <v>2407.3706826139619</v>
          </cell>
          <cell r="R460">
            <v>2944.7925102145</v>
          </cell>
          <cell r="S460">
            <v>3003.1123622236087</v>
          </cell>
          <cell r="T460">
            <v>3086.0141220140672</v>
          </cell>
          <cell r="U460">
            <v>3088.5024513054914</v>
          </cell>
          <cell r="V460">
            <v>3090.1974500711194</v>
          </cell>
          <cell r="W460">
            <v>3091.8666994273344</v>
          </cell>
          <cell r="X460">
            <v>3091.8666994273344</v>
          </cell>
          <cell r="Y460">
            <v>3091.8666994273344</v>
          </cell>
          <cell r="Z460">
            <v>3091.8666994273344</v>
          </cell>
          <cell r="AB460">
            <v>48.0747492686653</v>
          </cell>
          <cell r="AF460">
            <v>0.24599337895925152</v>
          </cell>
          <cell r="AG460">
            <v>0</v>
          </cell>
        </row>
        <row r="461">
          <cell r="A461" t="str">
            <v>TLPLPG45</v>
          </cell>
          <cell r="D461">
            <v>2045</v>
          </cell>
          <cell r="P461">
            <v>2226.8991212764818</v>
          </cell>
          <cell r="Q461">
            <v>2407.3706826139619</v>
          </cell>
          <cell r="R461">
            <v>2944.7925102145</v>
          </cell>
          <cell r="S461">
            <v>3003.1123622236087</v>
          </cell>
          <cell r="T461">
            <v>3086.0141220140672</v>
          </cell>
          <cell r="U461">
            <v>3088.5024513054914</v>
          </cell>
          <cell r="V461">
            <v>3090.1974500711194</v>
          </cell>
          <cell r="W461">
            <v>3091.8666994273344</v>
          </cell>
          <cell r="X461">
            <v>3091.8666994273344</v>
          </cell>
          <cell r="Y461">
            <v>3091.8666994273344</v>
          </cell>
          <cell r="Z461">
            <v>3091.8666994273344</v>
          </cell>
          <cell r="AB461">
            <v>48.0747492686653</v>
          </cell>
          <cell r="AF461">
            <v>0.24599337895925152</v>
          </cell>
          <cell r="AG461">
            <v>0</v>
          </cell>
        </row>
        <row r="462">
          <cell r="A462" t="str">
            <v>TLPLPG50</v>
          </cell>
          <cell r="D462">
            <v>2050</v>
          </cell>
          <cell r="P462">
            <v>2226.8991212764818</v>
          </cell>
          <cell r="Q462">
            <v>2407.3706826139619</v>
          </cell>
          <cell r="R462">
            <v>2944.7925102145</v>
          </cell>
          <cell r="S462">
            <v>3003.1123622236087</v>
          </cell>
          <cell r="T462">
            <v>3086.0141220140672</v>
          </cell>
          <cell r="U462">
            <v>3088.5024513054914</v>
          </cell>
          <cell r="V462">
            <v>3090.1974500711194</v>
          </cell>
          <cell r="W462">
            <v>3091.8666994273344</v>
          </cell>
          <cell r="X462">
            <v>3091.8666994273344</v>
          </cell>
          <cell r="Y462">
            <v>3091.8666994273344</v>
          </cell>
          <cell r="Z462">
            <v>3091.8666994273344</v>
          </cell>
          <cell r="AB462">
            <v>48.0747492686653</v>
          </cell>
          <cell r="AF462">
            <v>0.24599337895925152</v>
          </cell>
          <cell r="AG462">
            <v>0</v>
          </cell>
        </row>
        <row r="463">
          <cell r="A463" t="str">
            <v>TLPLPGX00</v>
          </cell>
          <cell r="D463">
            <v>2060</v>
          </cell>
          <cell r="P463">
            <v>2128.7094132516681</v>
          </cell>
          <cell r="Q463">
            <v>2226.8178814179146</v>
          </cell>
          <cell r="R463">
            <v>2760.9976149307163</v>
          </cell>
          <cell r="S463">
            <v>2821.3017808026902</v>
          </cell>
          <cell r="T463">
            <v>2905.3304430136086</v>
          </cell>
          <cell r="U463">
            <v>2907.7880485778937</v>
          </cell>
          <cell r="V463">
            <v>2909.5150878018244</v>
          </cell>
          <cell r="W463">
            <v>2911.2664134005436</v>
          </cell>
          <cell r="X463">
            <v>2911.2664134005436</v>
          </cell>
          <cell r="Y463">
            <v>2911.2664134005436</v>
          </cell>
          <cell r="Z463">
            <v>2911.2664134005436</v>
          </cell>
          <cell r="AB463">
            <v>48.0747492686653</v>
          </cell>
          <cell r="AF463">
            <v>0.23804262973197254</v>
          </cell>
          <cell r="AG463">
            <v>0</v>
          </cell>
        </row>
        <row r="464">
          <cell r="A464" t="str">
            <v>TLPLPGX05</v>
          </cell>
          <cell r="D464">
            <v>2005</v>
          </cell>
          <cell r="P464">
            <v>2128.7094132516681</v>
          </cell>
          <cell r="Q464">
            <v>2226.8178814179146</v>
          </cell>
          <cell r="R464">
            <v>2760.9976149307163</v>
          </cell>
          <cell r="S464">
            <v>2821.3017808026902</v>
          </cell>
          <cell r="T464">
            <v>2905.3304430136086</v>
          </cell>
          <cell r="U464">
            <v>2907.7880485778937</v>
          </cell>
          <cell r="V464">
            <v>2909.5150878018244</v>
          </cell>
          <cell r="W464">
            <v>2911.2664134005436</v>
          </cell>
          <cell r="X464">
            <v>2911.2664134005436</v>
          </cell>
          <cell r="Y464">
            <v>2911.2664134005436</v>
          </cell>
          <cell r="Z464">
            <v>2911.2664134005436</v>
          </cell>
          <cell r="AB464">
            <v>48.0747492686653</v>
          </cell>
          <cell r="AF464">
            <v>0.11764357266114842</v>
          </cell>
          <cell r="AG464">
            <v>0</v>
          </cell>
        </row>
        <row r="465">
          <cell r="A465" t="str">
            <v>TLPLPGX10</v>
          </cell>
          <cell r="D465">
            <v>2010</v>
          </cell>
          <cell r="P465">
            <v>2128.7094132516681</v>
          </cell>
          <cell r="Q465">
            <v>2226.8178814179146</v>
          </cell>
          <cell r="R465">
            <v>2760.9976149307163</v>
          </cell>
          <cell r="S465">
            <v>2821.3017808026902</v>
          </cell>
          <cell r="T465">
            <v>2905.3304430136086</v>
          </cell>
          <cell r="U465">
            <v>2907.7880485778937</v>
          </cell>
          <cell r="V465">
            <v>2909.5150878018244</v>
          </cell>
          <cell r="W465">
            <v>2911.2664134005436</v>
          </cell>
          <cell r="X465">
            <v>2911.2664134005436</v>
          </cell>
          <cell r="Y465">
            <v>2911.2664134005436</v>
          </cell>
          <cell r="Z465">
            <v>2911.2664134005436</v>
          </cell>
          <cell r="AB465">
            <v>48.0747492686653</v>
          </cell>
          <cell r="AF465">
            <v>0.14053965544956859</v>
          </cell>
          <cell r="AG465">
            <v>0</v>
          </cell>
        </row>
        <row r="466">
          <cell r="A466" t="str">
            <v>TLPLPGX15</v>
          </cell>
          <cell r="D466">
            <v>2015</v>
          </cell>
          <cell r="P466">
            <v>2128.7094132516681</v>
          </cell>
          <cell r="Q466">
            <v>2226.8178814179146</v>
          </cell>
          <cell r="R466">
            <v>2760.9976149307163</v>
          </cell>
          <cell r="S466">
            <v>2821.3017808026902</v>
          </cell>
          <cell r="T466">
            <v>2905.3304430136086</v>
          </cell>
          <cell r="U466">
            <v>2907.7880485778937</v>
          </cell>
          <cell r="V466">
            <v>2909.5150878018244</v>
          </cell>
          <cell r="W466">
            <v>2911.2664134005436</v>
          </cell>
          <cell r="X466">
            <v>2911.2664134005436</v>
          </cell>
          <cell r="Y466">
            <v>2911.2664134005436</v>
          </cell>
          <cell r="Z466">
            <v>2911.2664134005436</v>
          </cell>
          <cell r="AB466">
            <v>48.0747492686653</v>
          </cell>
          <cell r="AF466">
            <v>0.17534621467699915</v>
          </cell>
          <cell r="AG466">
            <v>0</v>
          </cell>
        </row>
        <row r="467">
          <cell r="A467" t="str">
            <v>TLPLPGX20</v>
          </cell>
          <cell r="D467">
            <v>2020</v>
          </cell>
          <cell r="P467">
            <v>2128.7094132516681</v>
          </cell>
          <cell r="Q467">
            <v>2226.8178814179146</v>
          </cell>
          <cell r="R467">
            <v>2760.9976149307163</v>
          </cell>
          <cell r="S467">
            <v>2821.3017808026902</v>
          </cell>
          <cell r="T467">
            <v>2905.3304430136086</v>
          </cell>
          <cell r="U467">
            <v>2907.7880485778937</v>
          </cell>
          <cell r="V467">
            <v>2909.5150878018244</v>
          </cell>
          <cell r="W467">
            <v>2911.2664134005436</v>
          </cell>
          <cell r="X467">
            <v>2911.2664134005436</v>
          </cell>
          <cell r="Y467">
            <v>2911.2664134005436</v>
          </cell>
          <cell r="Z467">
            <v>2911.2664134005436</v>
          </cell>
          <cell r="AB467">
            <v>48.0747492686653</v>
          </cell>
          <cell r="AF467">
            <v>0.19877183821943861</v>
          </cell>
          <cell r="AG467">
            <v>0</v>
          </cell>
        </row>
        <row r="468">
          <cell r="A468" t="str">
            <v>TLPLPGX25</v>
          </cell>
          <cell r="D468">
            <v>2025</v>
          </cell>
          <cell r="P468">
            <v>2128.7094132516681</v>
          </cell>
          <cell r="Q468">
            <v>2226.8178814179146</v>
          </cell>
          <cell r="R468">
            <v>2760.9976149307163</v>
          </cell>
          <cell r="S468">
            <v>2821.3017808026902</v>
          </cell>
          <cell r="T468">
            <v>2905.3304430136086</v>
          </cell>
          <cell r="U468">
            <v>2907.7880485778937</v>
          </cell>
          <cell r="V468">
            <v>2909.5150878018244</v>
          </cell>
          <cell r="W468">
            <v>2911.2664134005436</v>
          </cell>
          <cell r="X468">
            <v>2911.2664134005436</v>
          </cell>
          <cell r="Y468">
            <v>2911.2664134005436</v>
          </cell>
          <cell r="Z468">
            <v>2911.2664134005436</v>
          </cell>
          <cell r="AB468">
            <v>48.0747492686653</v>
          </cell>
          <cell r="AF468">
            <v>0.23380357292291601</v>
          </cell>
          <cell r="AG468">
            <v>0</v>
          </cell>
        </row>
        <row r="469">
          <cell r="A469" t="str">
            <v>TLPLPGX30</v>
          </cell>
          <cell r="D469">
            <v>2030</v>
          </cell>
          <cell r="P469">
            <v>2128.7094132516681</v>
          </cell>
          <cell r="Q469">
            <v>2226.8178814179146</v>
          </cell>
          <cell r="R469">
            <v>2760.9976149307163</v>
          </cell>
          <cell r="S469">
            <v>2821.3017808026902</v>
          </cell>
          <cell r="T469">
            <v>2905.3304430136086</v>
          </cell>
          <cell r="U469">
            <v>2907.7880485778937</v>
          </cell>
          <cell r="V469">
            <v>2909.5150878018244</v>
          </cell>
          <cell r="W469">
            <v>2911.2664134005436</v>
          </cell>
          <cell r="X469">
            <v>2911.2664134005436</v>
          </cell>
          <cell r="Y469">
            <v>2911.2664134005436</v>
          </cell>
          <cell r="Z469">
            <v>2911.2664134005436</v>
          </cell>
          <cell r="AB469">
            <v>48.0747492686653</v>
          </cell>
          <cell r="AF469">
            <v>0.23672539044934113</v>
          </cell>
          <cell r="AG469">
            <v>0</v>
          </cell>
        </row>
        <row r="470">
          <cell r="A470" t="str">
            <v>TLPLPGX35</v>
          </cell>
          <cell r="D470">
            <v>2035</v>
          </cell>
          <cell r="P470">
            <v>2128.7094132516681</v>
          </cell>
          <cell r="Q470">
            <v>2226.8178814179146</v>
          </cell>
          <cell r="R470">
            <v>2760.9976149307163</v>
          </cell>
          <cell r="S470">
            <v>2821.3017808026902</v>
          </cell>
          <cell r="T470">
            <v>2905.3304430136086</v>
          </cell>
          <cell r="U470">
            <v>2907.7880485778937</v>
          </cell>
          <cell r="V470">
            <v>2909.5150878018244</v>
          </cell>
          <cell r="W470">
            <v>2911.2664134005436</v>
          </cell>
          <cell r="X470">
            <v>2911.2664134005436</v>
          </cell>
          <cell r="Y470">
            <v>2911.2664134005436</v>
          </cell>
          <cell r="Z470">
            <v>2911.2664134005436</v>
          </cell>
          <cell r="AB470">
            <v>48.0747492686653</v>
          </cell>
          <cell r="AF470">
            <v>0.23835579691436287</v>
          </cell>
          <cell r="AG470">
            <v>0</v>
          </cell>
        </row>
        <row r="471">
          <cell r="A471" t="str">
            <v>TLPLPGX40</v>
          </cell>
          <cell r="D471">
            <v>2040</v>
          </cell>
          <cell r="P471">
            <v>2128.7094132516681</v>
          </cell>
          <cell r="Q471">
            <v>2226.8178814179146</v>
          </cell>
          <cell r="R471">
            <v>2760.9976149307163</v>
          </cell>
          <cell r="S471">
            <v>2821.3017808026902</v>
          </cell>
          <cell r="T471">
            <v>2905.3304430136086</v>
          </cell>
          <cell r="U471">
            <v>2907.7880485778937</v>
          </cell>
          <cell r="V471">
            <v>2909.5150878018244</v>
          </cell>
          <cell r="W471">
            <v>2911.2664134005436</v>
          </cell>
          <cell r="X471">
            <v>2911.2664134005436</v>
          </cell>
          <cell r="Y471">
            <v>2911.2664134005436</v>
          </cell>
          <cell r="Z471">
            <v>2911.2664134005436</v>
          </cell>
          <cell r="AB471">
            <v>48.0747492686653</v>
          </cell>
          <cell r="AF471">
            <v>0.23804262973197254</v>
          </cell>
          <cell r="AG471">
            <v>0</v>
          </cell>
        </row>
        <row r="472">
          <cell r="A472" t="str">
            <v>TLPLPGX45</v>
          </cell>
          <cell r="D472">
            <v>2045</v>
          </cell>
          <cell r="P472">
            <v>2128.7094132516681</v>
          </cell>
          <cell r="Q472">
            <v>2226.8178814179146</v>
          </cell>
          <cell r="R472">
            <v>2760.9976149307163</v>
          </cell>
          <cell r="S472">
            <v>2821.3017808026902</v>
          </cell>
          <cell r="T472">
            <v>2905.3304430136086</v>
          </cell>
          <cell r="U472">
            <v>2907.7880485778937</v>
          </cell>
          <cell r="V472">
            <v>2909.5150878018244</v>
          </cell>
          <cell r="W472">
            <v>2911.2664134005436</v>
          </cell>
          <cell r="X472">
            <v>2911.2664134005436</v>
          </cell>
          <cell r="Y472">
            <v>2911.2664134005436</v>
          </cell>
          <cell r="Z472">
            <v>2911.2664134005436</v>
          </cell>
          <cell r="AB472">
            <v>48.0747492686653</v>
          </cell>
          <cell r="AF472">
            <v>0.23804262973197254</v>
          </cell>
          <cell r="AG472">
            <v>0</v>
          </cell>
        </row>
        <row r="473">
          <cell r="A473" t="str">
            <v>TLPLPGX50</v>
          </cell>
          <cell r="D473">
            <v>2050</v>
          </cell>
          <cell r="P473">
            <v>2128.7094132516681</v>
          </cell>
          <cell r="Q473">
            <v>2226.8178814179146</v>
          </cell>
          <cell r="R473">
            <v>2760.9976149307163</v>
          </cell>
          <cell r="S473">
            <v>2821.3017808026902</v>
          </cell>
          <cell r="T473">
            <v>2905.3304430136086</v>
          </cell>
          <cell r="U473">
            <v>2907.7880485778937</v>
          </cell>
          <cell r="V473">
            <v>2909.5150878018244</v>
          </cell>
          <cell r="W473">
            <v>2911.2664134005436</v>
          </cell>
          <cell r="X473">
            <v>2911.2664134005436</v>
          </cell>
          <cell r="Y473">
            <v>2911.2664134005436</v>
          </cell>
          <cell r="Z473">
            <v>2911.2664134005436</v>
          </cell>
          <cell r="AB473">
            <v>48.0747492686653</v>
          </cell>
          <cell r="AF473">
            <v>0.23804262973197254</v>
          </cell>
          <cell r="AG473">
            <v>0</v>
          </cell>
        </row>
        <row r="474">
          <cell r="A474" t="str">
            <v>TLPPHVG10</v>
          </cell>
          <cell r="D474">
            <v>2010</v>
          </cell>
          <cell r="P474">
            <v>0</v>
          </cell>
          <cell r="Q474">
            <v>2232.9592459203832</v>
          </cell>
          <cell r="R474">
            <v>2726.8280666099918</v>
          </cell>
          <cell r="S474">
            <v>2795.1182540207742</v>
          </cell>
          <cell r="T474">
            <v>2878.9697763931108</v>
          </cell>
          <cell r="U474">
            <v>2880.8684522060535</v>
          </cell>
          <cell r="V474">
            <v>2882.4184470601622</v>
          </cell>
          <cell r="W474">
            <v>2884.8997172839372</v>
          </cell>
          <cell r="X474">
            <v>2884.8997172839372</v>
          </cell>
          <cell r="Y474">
            <v>2884.8997172839372</v>
          </cell>
          <cell r="Z474">
            <v>2884.8997172839372</v>
          </cell>
          <cell r="AB474">
            <v>48.0747492686653</v>
          </cell>
          <cell r="AF474">
            <v>0</v>
          </cell>
          <cell r="AG474">
            <v>0.25181758647722052</v>
          </cell>
        </row>
        <row r="475">
          <cell r="A475" t="str">
            <v>TLPPHVG15</v>
          </cell>
          <cell r="D475">
            <v>2015</v>
          </cell>
          <cell r="P475">
            <v>0</v>
          </cell>
          <cell r="Q475">
            <v>2232.9592459203832</v>
          </cell>
          <cell r="R475">
            <v>2726.8280666099918</v>
          </cell>
          <cell r="S475">
            <v>2795.1182540207742</v>
          </cell>
          <cell r="T475">
            <v>2878.9697763931108</v>
          </cell>
          <cell r="U475">
            <v>2880.8684522060535</v>
          </cell>
          <cell r="V475">
            <v>2882.4184470601622</v>
          </cell>
          <cell r="W475">
            <v>2884.8997172839372</v>
          </cell>
          <cell r="X475">
            <v>2884.8997172839372</v>
          </cell>
          <cell r="Y475">
            <v>2884.8997172839372</v>
          </cell>
          <cell r="Z475">
            <v>2884.8997172839372</v>
          </cell>
          <cell r="AB475">
            <v>48.0747492686653</v>
          </cell>
          <cell r="AF475">
            <v>0.37262777949515474</v>
          </cell>
          <cell r="AG475">
            <v>0.25181758647722052</v>
          </cell>
        </row>
        <row r="476">
          <cell r="A476" t="str">
            <v>TLPPHVG20</v>
          </cell>
          <cell r="D476">
            <v>2020</v>
          </cell>
          <cell r="P476">
            <v>0</v>
          </cell>
          <cell r="Q476">
            <v>2232.9592459203832</v>
          </cell>
          <cell r="R476">
            <v>2726.8280666099918</v>
          </cell>
          <cell r="S476">
            <v>2795.1182540207742</v>
          </cell>
          <cell r="T476">
            <v>2878.9697763931108</v>
          </cell>
          <cell r="U476">
            <v>2880.8684522060535</v>
          </cell>
          <cell r="V476">
            <v>2882.4184470601622</v>
          </cell>
          <cell r="W476">
            <v>2884.8997172839372</v>
          </cell>
          <cell r="X476">
            <v>2884.8997172839372</v>
          </cell>
          <cell r="Y476">
            <v>2884.8997172839372</v>
          </cell>
          <cell r="Z476">
            <v>2884.8997172839372</v>
          </cell>
          <cell r="AB476">
            <v>48.0747492686653</v>
          </cell>
          <cell r="AF476">
            <v>0.39949008738611186</v>
          </cell>
          <cell r="AG476">
            <v>0.25181758647722052</v>
          </cell>
        </row>
        <row r="477">
          <cell r="A477" t="str">
            <v>TLPPHVG25</v>
          </cell>
          <cell r="D477">
            <v>2025</v>
          </cell>
          <cell r="P477">
            <v>0</v>
          </cell>
          <cell r="Q477">
            <v>2232.9592459203832</v>
          </cell>
          <cell r="R477">
            <v>2726.8280666099918</v>
          </cell>
          <cell r="S477">
            <v>2795.1182540207742</v>
          </cell>
          <cell r="T477">
            <v>2878.9697763931108</v>
          </cell>
          <cell r="U477">
            <v>2880.8684522060535</v>
          </cell>
          <cell r="V477">
            <v>2882.4184470601622</v>
          </cell>
          <cell r="W477">
            <v>2884.8997172839372</v>
          </cell>
          <cell r="X477">
            <v>2884.8997172839372</v>
          </cell>
          <cell r="Y477">
            <v>2884.8997172839372</v>
          </cell>
          <cell r="Z477">
            <v>2884.8997172839372</v>
          </cell>
          <cell r="AB477">
            <v>48.0747492686653</v>
          </cell>
          <cell r="AF477">
            <v>0.46334285971831218</v>
          </cell>
          <cell r="AG477">
            <v>0.25181758647722052</v>
          </cell>
        </row>
        <row r="478">
          <cell r="A478" t="str">
            <v>TLPPHVG30</v>
          </cell>
          <cell r="D478">
            <v>2030</v>
          </cell>
          <cell r="P478">
            <v>0</v>
          </cell>
          <cell r="Q478">
            <v>2232.9592459203832</v>
          </cell>
          <cell r="R478">
            <v>2726.8280666099918</v>
          </cell>
          <cell r="S478">
            <v>2795.1182540207742</v>
          </cell>
          <cell r="T478">
            <v>2878.9697763931108</v>
          </cell>
          <cell r="U478">
            <v>2880.8684522060535</v>
          </cell>
          <cell r="V478">
            <v>2882.4184470601622</v>
          </cell>
          <cell r="W478">
            <v>2884.8997172839372</v>
          </cell>
          <cell r="X478">
            <v>2884.8997172839372</v>
          </cell>
          <cell r="Y478">
            <v>2884.8997172839372</v>
          </cell>
          <cell r="Z478">
            <v>2884.8997172839372</v>
          </cell>
          <cell r="AB478">
            <v>48.0747492686653</v>
          </cell>
          <cell r="AF478">
            <v>0.4676853075425168</v>
          </cell>
          <cell r="AG478">
            <v>0.25181758647722052</v>
          </cell>
        </row>
        <row r="479">
          <cell r="A479" t="str">
            <v>TLPPHVG35</v>
          </cell>
          <cell r="D479">
            <v>2035</v>
          </cell>
          <cell r="P479">
            <v>0</v>
          </cell>
          <cell r="Q479">
            <v>2232.9592459203832</v>
          </cell>
          <cell r="R479">
            <v>2726.8280666099918</v>
          </cell>
          <cell r="S479">
            <v>2795.1182540207742</v>
          </cell>
          <cell r="T479">
            <v>2878.9697763931108</v>
          </cell>
          <cell r="U479">
            <v>2880.8684522060535</v>
          </cell>
          <cell r="V479">
            <v>2882.4184470601622</v>
          </cell>
          <cell r="W479">
            <v>2884.8997172839372</v>
          </cell>
          <cell r="X479">
            <v>2884.8997172839372</v>
          </cell>
          <cell r="Y479">
            <v>2884.8997172839372</v>
          </cell>
          <cell r="Z479">
            <v>2884.8997172839372</v>
          </cell>
          <cell r="AB479">
            <v>48.0747492686653</v>
          </cell>
          <cell r="AF479">
            <v>0.47026410774744676</v>
          </cell>
          <cell r="AG479">
            <v>0.25181758647722052</v>
          </cell>
        </row>
        <row r="480">
          <cell r="A480" t="str">
            <v>TLPPHVG40</v>
          </cell>
          <cell r="D480">
            <v>2040</v>
          </cell>
          <cell r="P480">
            <v>0</v>
          </cell>
          <cell r="Q480">
            <v>2232.9592459203832</v>
          </cell>
          <cell r="R480">
            <v>2726.8280666099918</v>
          </cell>
          <cell r="S480">
            <v>2795.1182540207742</v>
          </cell>
          <cell r="T480">
            <v>2878.9697763931108</v>
          </cell>
          <cell r="U480">
            <v>2880.8684522060535</v>
          </cell>
          <cell r="V480">
            <v>2882.4184470601622</v>
          </cell>
          <cell r="W480">
            <v>2884.8997172839372</v>
          </cell>
          <cell r="X480">
            <v>2884.8997172839372</v>
          </cell>
          <cell r="Y480">
            <v>2884.8997172839372</v>
          </cell>
          <cell r="Z480">
            <v>2884.8997172839372</v>
          </cell>
          <cell r="AB480">
            <v>48.0747492686653</v>
          </cell>
          <cell r="AF480">
            <v>0.47039471310828379</v>
          </cell>
          <cell r="AG480">
            <v>0.25181758647722052</v>
          </cell>
        </row>
        <row r="481">
          <cell r="A481" t="str">
            <v>TLPPHVG45</v>
          </cell>
          <cell r="D481">
            <v>2045</v>
          </cell>
          <cell r="P481">
            <v>0</v>
          </cell>
          <cell r="Q481">
            <v>2232.9592459203832</v>
          </cell>
          <cell r="R481">
            <v>2726.8280666099918</v>
          </cell>
          <cell r="S481">
            <v>2795.1182540207742</v>
          </cell>
          <cell r="T481">
            <v>2878.9697763931108</v>
          </cell>
          <cell r="U481">
            <v>2880.8684522060535</v>
          </cell>
          <cell r="V481">
            <v>2882.4184470601622</v>
          </cell>
          <cell r="W481">
            <v>2884.8997172839372</v>
          </cell>
          <cell r="X481">
            <v>2884.8997172839372</v>
          </cell>
          <cell r="Y481">
            <v>2884.8997172839372</v>
          </cell>
          <cell r="Z481">
            <v>2884.8997172839372</v>
          </cell>
          <cell r="AB481">
            <v>48.0747492686653</v>
          </cell>
          <cell r="AF481">
            <v>0.47039471310828379</v>
          </cell>
          <cell r="AG481">
            <v>0.25181758647722052</v>
          </cell>
        </row>
        <row r="482">
          <cell r="A482" t="str">
            <v>TLPPHVG50</v>
          </cell>
          <cell r="D482">
            <v>2050</v>
          </cell>
          <cell r="P482">
            <v>0</v>
          </cell>
          <cell r="Q482">
            <v>2232.9592459203832</v>
          </cell>
          <cell r="R482">
            <v>2726.8280666099918</v>
          </cell>
          <cell r="S482">
            <v>2795.1182540207742</v>
          </cell>
          <cell r="T482">
            <v>2878.9697763931108</v>
          </cell>
          <cell r="U482">
            <v>2880.8684522060535</v>
          </cell>
          <cell r="V482">
            <v>2882.4184470601622</v>
          </cell>
          <cell r="W482">
            <v>2884.8997172839372</v>
          </cell>
          <cell r="X482">
            <v>2884.8997172839372</v>
          </cell>
          <cell r="Y482">
            <v>2884.8997172839372</v>
          </cell>
          <cell r="Z482">
            <v>2884.8997172839372</v>
          </cell>
          <cell r="AB482">
            <v>48.0747492686653</v>
          </cell>
          <cell r="AF482">
            <v>0.47039471310828379</v>
          </cell>
          <cell r="AG482">
            <v>0.25181758647722052</v>
          </cell>
        </row>
        <row r="483">
          <cell r="A483" t="str">
            <v>TLSSCONV00</v>
          </cell>
          <cell r="D483">
            <v>2060</v>
          </cell>
          <cell r="P483">
            <v>1966.0928867919624</v>
          </cell>
          <cell r="Q483">
            <v>1782.9589118109654</v>
          </cell>
          <cell r="R483">
            <v>1917.2042451271416</v>
          </cell>
          <cell r="S483">
            <v>1982.32040503484</v>
          </cell>
          <cell r="T483">
            <v>2057.8579068850045</v>
          </cell>
          <cell r="U483">
            <v>2062.7312752232779</v>
          </cell>
          <cell r="V483">
            <v>2064.7635766218655</v>
          </cell>
          <cell r="W483">
            <v>2066.5870298276318</v>
          </cell>
          <cell r="X483">
            <v>2066.5870298276318</v>
          </cell>
          <cell r="Y483">
            <v>2066.5870298276318</v>
          </cell>
          <cell r="Z483">
            <v>2066.5870298276318</v>
          </cell>
          <cell r="AB483">
            <v>43.267274341798768</v>
          </cell>
          <cell r="AF483">
            <v>0.27706725078685496</v>
          </cell>
          <cell r="AG483">
            <v>0</v>
          </cell>
        </row>
        <row r="484">
          <cell r="A484" t="str">
            <v>TLSSCONV05</v>
          </cell>
          <cell r="D484">
            <v>2005</v>
          </cell>
          <cell r="P484">
            <v>1966.0928867919624</v>
          </cell>
          <cell r="Q484">
            <v>1782.9589118109654</v>
          </cell>
          <cell r="R484">
            <v>1917.2042451271416</v>
          </cell>
          <cell r="S484">
            <v>1982.32040503484</v>
          </cell>
          <cell r="T484">
            <v>2057.8579068850045</v>
          </cell>
          <cell r="U484">
            <v>2062.7312752232779</v>
          </cell>
          <cell r="V484">
            <v>2064.7635766218655</v>
          </cell>
          <cell r="W484">
            <v>2066.5870298276318</v>
          </cell>
          <cell r="X484">
            <v>2066.5870298276318</v>
          </cell>
          <cell r="Y484">
            <v>2066.5870298276318</v>
          </cell>
          <cell r="Z484">
            <v>2066.5870298276318</v>
          </cell>
          <cell r="AB484">
            <v>43.267274341798768</v>
          </cell>
          <cell r="AF484">
            <v>0.15039422668136587</v>
          </cell>
          <cell r="AG484">
            <v>0</v>
          </cell>
        </row>
        <row r="485">
          <cell r="A485" t="str">
            <v>TLSSCONV10</v>
          </cell>
          <cell r="D485">
            <v>2010</v>
          </cell>
          <cell r="P485">
            <v>1966.0928867919624</v>
          </cell>
          <cell r="Q485">
            <v>1782.9589118109654</v>
          </cell>
          <cell r="R485">
            <v>1917.2042451271416</v>
          </cell>
          <cell r="S485">
            <v>1982.32040503484</v>
          </cell>
          <cell r="T485">
            <v>2057.8579068850045</v>
          </cell>
          <cell r="U485">
            <v>2062.7312752232779</v>
          </cell>
          <cell r="V485">
            <v>2064.7635766218655</v>
          </cell>
          <cell r="W485">
            <v>2066.5870298276318</v>
          </cell>
          <cell r="X485">
            <v>2066.5870298276318</v>
          </cell>
          <cell r="Y485">
            <v>2066.5870298276318</v>
          </cell>
          <cell r="Z485">
            <v>2066.5870298276318</v>
          </cell>
          <cell r="AB485">
            <v>43.267274341798768</v>
          </cell>
          <cell r="AF485">
            <v>0.17301596912391384</v>
          </cell>
          <cell r="AG485">
            <v>0</v>
          </cell>
        </row>
        <row r="486">
          <cell r="A486" t="str">
            <v>TLSSCONV15</v>
          </cell>
          <cell r="D486">
            <v>2015</v>
          </cell>
          <cell r="P486">
            <v>1966.0928867919624</v>
          </cell>
          <cell r="Q486">
            <v>1782.9589118109654</v>
          </cell>
          <cell r="R486">
            <v>1917.2042451271416</v>
          </cell>
          <cell r="S486">
            <v>1982.32040503484</v>
          </cell>
          <cell r="T486">
            <v>2057.8579068850045</v>
          </cell>
          <cell r="U486">
            <v>2062.7312752232779</v>
          </cell>
          <cell r="V486">
            <v>2064.7635766218655</v>
          </cell>
          <cell r="W486">
            <v>2066.5870298276318</v>
          </cell>
          <cell r="X486">
            <v>2066.5870298276318</v>
          </cell>
          <cell r="Y486">
            <v>2066.5870298276318</v>
          </cell>
          <cell r="Z486">
            <v>2066.5870298276318</v>
          </cell>
          <cell r="AB486">
            <v>43.267274341798768</v>
          </cell>
          <cell r="AF486">
            <v>0.19649293071357732</v>
          </cell>
          <cell r="AG486">
            <v>0</v>
          </cell>
        </row>
        <row r="487">
          <cell r="A487" t="str">
            <v>TLSSCONV20</v>
          </cell>
          <cell r="D487">
            <v>2020</v>
          </cell>
          <cell r="P487">
            <v>1966.0928867919624</v>
          </cell>
          <cell r="Q487">
            <v>1782.9589118109654</v>
          </cell>
          <cell r="R487">
            <v>1917.2042451271416</v>
          </cell>
          <cell r="S487">
            <v>1982.32040503484</v>
          </cell>
          <cell r="T487">
            <v>2057.8579068850045</v>
          </cell>
          <cell r="U487">
            <v>2062.7312752232779</v>
          </cell>
          <cell r="V487">
            <v>2064.7635766218655</v>
          </cell>
          <cell r="W487">
            <v>2066.5870298276318</v>
          </cell>
          <cell r="X487">
            <v>2066.5870298276318</v>
          </cell>
          <cell r="Y487">
            <v>2066.5870298276318</v>
          </cell>
          <cell r="Z487">
            <v>2066.5870298276318</v>
          </cell>
          <cell r="AB487">
            <v>43.267274341798768</v>
          </cell>
          <cell r="AF487">
            <v>0.23455352742051233</v>
          </cell>
          <cell r="AG487">
            <v>0</v>
          </cell>
        </row>
        <row r="488">
          <cell r="A488" t="str">
            <v>TLSSCONV25</v>
          </cell>
          <cell r="D488">
            <v>2025</v>
          </cell>
          <cell r="P488">
            <v>1966.0928867919624</v>
          </cell>
          <cell r="Q488">
            <v>1782.9589118109654</v>
          </cell>
          <cell r="R488">
            <v>1917.2042451271416</v>
          </cell>
          <cell r="S488">
            <v>1982.32040503484</v>
          </cell>
          <cell r="T488">
            <v>2057.8579068850045</v>
          </cell>
          <cell r="U488">
            <v>2062.7312752232779</v>
          </cell>
          <cell r="V488">
            <v>2064.7635766218655</v>
          </cell>
          <cell r="W488">
            <v>2066.5870298276318</v>
          </cell>
          <cell r="X488">
            <v>2066.5870298276318</v>
          </cell>
          <cell r="Y488">
            <v>2066.5870298276318</v>
          </cell>
          <cell r="Z488">
            <v>2066.5870298276318</v>
          </cell>
          <cell r="AB488">
            <v>43.267274341798768</v>
          </cell>
          <cell r="AF488">
            <v>0.27663546864469757</v>
          </cell>
          <cell r="AG488">
            <v>0</v>
          </cell>
        </row>
        <row r="489">
          <cell r="A489" t="str">
            <v>TLSSCONV30</v>
          </cell>
          <cell r="D489">
            <v>2030</v>
          </cell>
          <cell r="P489">
            <v>1966.0928867919624</v>
          </cell>
          <cell r="Q489">
            <v>1782.9589118109654</v>
          </cell>
          <cell r="R489">
            <v>1917.2042451271416</v>
          </cell>
          <cell r="S489">
            <v>1982.32040503484</v>
          </cell>
          <cell r="T489">
            <v>2057.8579068850045</v>
          </cell>
          <cell r="U489">
            <v>2062.7312752232779</v>
          </cell>
          <cell r="V489">
            <v>2064.7635766218655</v>
          </cell>
          <cell r="W489">
            <v>2066.5870298276318</v>
          </cell>
          <cell r="X489">
            <v>2066.5870298276318</v>
          </cell>
          <cell r="Y489">
            <v>2066.5870298276318</v>
          </cell>
          <cell r="Z489">
            <v>2066.5870298276318</v>
          </cell>
          <cell r="AB489">
            <v>43.267274341798768</v>
          </cell>
          <cell r="AF489">
            <v>0.27812466682428238</v>
          </cell>
          <cell r="AG489">
            <v>0</v>
          </cell>
        </row>
        <row r="490">
          <cell r="A490" t="str">
            <v>TLSSCONV35</v>
          </cell>
          <cell r="D490">
            <v>2035</v>
          </cell>
          <cell r="P490">
            <v>1966.0928867919624</v>
          </cell>
          <cell r="Q490">
            <v>1782.9589118109654</v>
          </cell>
          <cell r="R490">
            <v>1917.2042451271416</v>
          </cell>
          <cell r="S490">
            <v>1982.32040503484</v>
          </cell>
          <cell r="T490">
            <v>2057.8579068850045</v>
          </cell>
          <cell r="U490">
            <v>2062.7312752232779</v>
          </cell>
          <cell r="V490">
            <v>2064.7635766218655</v>
          </cell>
          <cell r="W490">
            <v>2066.5870298276318</v>
          </cell>
          <cell r="X490">
            <v>2066.5870298276318</v>
          </cell>
          <cell r="Y490">
            <v>2066.5870298276318</v>
          </cell>
          <cell r="Z490">
            <v>2066.5870298276318</v>
          </cell>
          <cell r="AB490">
            <v>43.267274341798768</v>
          </cell>
          <cell r="AF490">
            <v>0.2776242386700839</v>
          </cell>
          <cell r="AG490">
            <v>0</v>
          </cell>
        </row>
        <row r="491">
          <cell r="A491" t="str">
            <v>TLSSCONV40</v>
          </cell>
          <cell r="D491">
            <v>2040</v>
          </cell>
          <cell r="P491">
            <v>1966.0928867919624</v>
          </cell>
          <cell r="Q491">
            <v>1782.9589118109654</v>
          </cell>
          <cell r="R491">
            <v>1917.2042451271416</v>
          </cell>
          <cell r="S491">
            <v>1982.32040503484</v>
          </cell>
          <cell r="T491">
            <v>2057.8579068850045</v>
          </cell>
          <cell r="U491">
            <v>2062.7312752232779</v>
          </cell>
          <cell r="V491">
            <v>2064.7635766218655</v>
          </cell>
          <cell r="W491">
            <v>2066.5870298276318</v>
          </cell>
          <cell r="X491">
            <v>2066.5870298276318</v>
          </cell>
          <cell r="Y491">
            <v>2066.5870298276318</v>
          </cell>
          <cell r="Z491">
            <v>2066.5870298276318</v>
          </cell>
          <cell r="AB491">
            <v>43.267274341798768</v>
          </cell>
          <cell r="AF491">
            <v>0.27706725078685496</v>
          </cell>
          <cell r="AG491">
            <v>0</v>
          </cell>
        </row>
        <row r="492">
          <cell r="A492" t="str">
            <v>TLSSCONV45</v>
          </cell>
          <cell r="D492">
            <v>2045</v>
          </cell>
          <cell r="P492">
            <v>1966.0928867919624</v>
          </cell>
          <cell r="Q492">
            <v>1782.9589118109654</v>
          </cell>
          <cell r="R492">
            <v>1917.2042451271416</v>
          </cell>
          <cell r="S492">
            <v>1982.32040503484</v>
          </cell>
          <cell r="T492">
            <v>2057.8579068850045</v>
          </cell>
          <cell r="U492">
            <v>2062.7312752232779</v>
          </cell>
          <cell r="V492">
            <v>2064.7635766218655</v>
          </cell>
          <cell r="W492">
            <v>2066.5870298276318</v>
          </cell>
          <cell r="X492">
            <v>2066.5870298276318</v>
          </cell>
          <cell r="Y492">
            <v>2066.5870298276318</v>
          </cell>
          <cell r="Z492">
            <v>2066.5870298276318</v>
          </cell>
          <cell r="AB492">
            <v>43.267274341798768</v>
          </cell>
          <cell r="AF492">
            <v>0.27706725078685496</v>
          </cell>
          <cell r="AG492">
            <v>0</v>
          </cell>
        </row>
        <row r="493">
          <cell r="A493" t="str">
            <v>TLSSCONV50</v>
          </cell>
          <cell r="D493">
            <v>2050</v>
          </cell>
          <cell r="P493">
            <v>1966.0928867919624</v>
          </cell>
          <cell r="Q493">
            <v>1782.9589118109654</v>
          </cell>
          <cell r="R493">
            <v>1917.2042451271416</v>
          </cell>
          <cell r="S493">
            <v>1982.32040503484</v>
          </cell>
          <cell r="T493">
            <v>2057.8579068850045</v>
          </cell>
          <cell r="U493">
            <v>2062.7312752232779</v>
          </cell>
          <cell r="V493">
            <v>2064.7635766218655</v>
          </cell>
          <cell r="W493">
            <v>2066.5870298276318</v>
          </cell>
          <cell r="X493">
            <v>2066.5870298276318</v>
          </cell>
          <cell r="Y493">
            <v>2066.5870298276318</v>
          </cell>
          <cell r="Z493">
            <v>2066.5870298276318</v>
          </cell>
          <cell r="AB493">
            <v>43.267274341798768</v>
          </cell>
          <cell r="AF493">
            <v>0.27706725078685496</v>
          </cell>
          <cell r="AG493">
            <v>0</v>
          </cell>
        </row>
        <row r="494">
          <cell r="A494" t="str">
            <v>TLSSDHEV20</v>
          </cell>
          <cell r="D494">
            <v>2020</v>
          </cell>
          <cell r="P494">
            <v>0</v>
          </cell>
          <cell r="Q494">
            <v>0</v>
          </cell>
          <cell r="R494">
            <v>0</v>
          </cell>
          <cell r="S494">
            <v>2773.0191509950646</v>
          </cell>
          <cell r="T494">
            <v>2736.3989554029035</v>
          </cell>
          <cell r="U494">
            <v>2697.0693659873723</v>
          </cell>
          <cell r="V494">
            <v>2687.0159772532734</v>
          </cell>
          <cell r="W494">
            <v>2685.0567544342407</v>
          </cell>
          <cell r="X494">
            <v>2685.0567544342407</v>
          </cell>
          <cell r="Y494">
            <v>2685.0567544342407</v>
          </cell>
          <cell r="Z494">
            <v>2685.0567544342407</v>
          </cell>
          <cell r="AB494">
            <v>45.478712808157368</v>
          </cell>
          <cell r="AF494">
            <v>0.3697089157222973</v>
          </cell>
          <cell r="AG494">
            <v>0</v>
          </cell>
        </row>
        <row r="495">
          <cell r="A495" t="str">
            <v>TLSSDHEV25</v>
          </cell>
          <cell r="D495">
            <v>2025</v>
          </cell>
          <cell r="P495">
            <v>0</v>
          </cell>
          <cell r="Q495">
            <v>0</v>
          </cell>
          <cell r="R495">
            <v>0</v>
          </cell>
          <cell r="S495">
            <v>2773.0191509950646</v>
          </cell>
          <cell r="T495">
            <v>2736.3989554029035</v>
          </cell>
          <cell r="U495">
            <v>2697.0693659873723</v>
          </cell>
          <cell r="V495">
            <v>2687.0159772532734</v>
          </cell>
          <cell r="W495">
            <v>2685.0567544342407</v>
          </cell>
          <cell r="X495">
            <v>2685.0567544342407</v>
          </cell>
          <cell r="Y495">
            <v>2685.0567544342407</v>
          </cell>
          <cell r="Z495">
            <v>2685.0567544342407</v>
          </cell>
          <cell r="AB495">
            <v>45.478712808157368</v>
          </cell>
          <cell r="AF495">
            <v>0.39175893813606105</v>
          </cell>
          <cell r="AG495">
            <v>0</v>
          </cell>
        </row>
        <row r="496">
          <cell r="A496" t="str">
            <v>TLSSDHEV30</v>
          </cell>
          <cell r="D496">
            <v>2030</v>
          </cell>
          <cell r="P496">
            <v>0</v>
          </cell>
          <cell r="Q496">
            <v>0</v>
          </cell>
          <cell r="R496">
            <v>0</v>
          </cell>
          <cell r="S496">
            <v>2773.0191509950646</v>
          </cell>
          <cell r="T496">
            <v>2736.3989554029035</v>
          </cell>
          <cell r="U496">
            <v>2697.0693659873723</v>
          </cell>
          <cell r="V496">
            <v>2687.0159772532734</v>
          </cell>
          <cell r="W496">
            <v>2685.0567544342407</v>
          </cell>
          <cell r="X496">
            <v>2685.0567544342407</v>
          </cell>
          <cell r="Y496">
            <v>2685.0567544342407</v>
          </cell>
          <cell r="Z496">
            <v>2685.0567544342407</v>
          </cell>
          <cell r="AB496">
            <v>45.478712808157368</v>
          </cell>
          <cell r="AF496">
            <v>0.39269127579050978</v>
          </cell>
          <cell r="AG496">
            <v>0</v>
          </cell>
        </row>
        <row r="497">
          <cell r="A497" t="str">
            <v>TLSSDHEV35</v>
          </cell>
          <cell r="D497">
            <v>2035</v>
          </cell>
          <cell r="P497">
            <v>0</v>
          </cell>
          <cell r="Q497">
            <v>0</v>
          </cell>
          <cell r="R497">
            <v>0</v>
          </cell>
          <cell r="S497">
            <v>2773.0191509950646</v>
          </cell>
          <cell r="T497">
            <v>2736.3989554029035</v>
          </cell>
          <cell r="U497">
            <v>2697.0693659873723</v>
          </cell>
          <cell r="V497">
            <v>2687.0159772532734</v>
          </cell>
          <cell r="W497">
            <v>2685.0567544342407</v>
          </cell>
          <cell r="X497">
            <v>2685.0567544342407</v>
          </cell>
          <cell r="Y497">
            <v>2685.0567544342407</v>
          </cell>
          <cell r="Z497">
            <v>2685.0567544342407</v>
          </cell>
          <cell r="AB497">
            <v>45.478712808157368</v>
          </cell>
          <cell r="AF497">
            <v>0.3925970244339031</v>
          </cell>
          <cell r="AG497">
            <v>0</v>
          </cell>
        </row>
        <row r="498">
          <cell r="A498" t="str">
            <v>TLSSDHEV40</v>
          </cell>
          <cell r="D498">
            <v>2040</v>
          </cell>
          <cell r="P498">
            <v>0</v>
          </cell>
          <cell r="Q498">
            <v>0</v>
          </cell>
          <cell r="R498">
            <v>0</v>
          </cell>
          <cell r="S498">
            <v>2773.0191509950646</v>
          </cell>
          <cell r="T498">
            <v>2736.3989554029035</v>
          </cell>
          <cell r="U498">
            <v>2697.0693659873723</v>
          </cell>
          <cell r="V498">
            <v>2687.0159772532734</v>
          </cell>
          <cell r="W498">
            <v>2685.0567544342407</v>
          </cell>
          <cell r="X498">
            <v>2685.0567544342407</v>
          </cell>
          <cell r="Y498">
            <v>2685.0567544342407</v>
          </cell>
          <cell r="Z498">
            <v>2685.0567544342407</v>
          </cell>
          <cell r="AB498">
            <v>45.478712808157368</v>
          </cell>
          <cell r="AF498">
            <v>0.39230897226742095</v>
          </cell>
          <cell r="AG498">
            <v>0</v>
          </cell>
        </row>
        <row r="499">
          <cell r="A499" t="str">
            <v>TLSSDHEV45</v>
          </cell>
          <cell r="D499">
            <v>2045</v>
          </cell>
          <cell r="P499">
            <v>0</v>
          </cell>
          <cell r="Q499">
            <v>0</v>
          </cell>
          <cell r="R499">
            <v>0</v>
          </cell>
          <cell r="S499">
            <v>2773.0191509950646</v>
          </cell>
          <cell r="T499">
            <v>2736.3989554029035</v>
          </cell>
          <cell r="U499">
            <v>2697.0693659873723</v>
          </cell>
          <cell r="V499">
            <v>2687.0159772532734</v>
          </cell>
          <cell r="W499">
            <v>2685.0567544342407</v>
          </cell>
          <cell r="X499">
            <v>2685.0567544342407</v>
          </cell>
          <cell r="Y499">
            <v>2685.0567544342407</v>
          </cell>
          <cell r="Z499">
            <v>2685.0567544342407</v>
          </cell>
          <cell r="AB499">
            <v>45.478712808157368</v>
          </cell>
          <cell r="AF499">
            <v>0.39230897226742095</v>
          </cell>
          <cell r="AG499">
            <v>0</v>
          </cell>
        </row>
        <row r="500">
          <cell r="A500" t="str">
            <v>TLSSDHEV50</v>
          </cell>
          <cell r="D500">
            <v>2050</v>
          </cell>
          <cell r="P500">
            <v>0</v>
          </cell>
          <cell r="Q500">
            <v>0</v>
          </cell>
          <cell r="R500">
            <v>0</v>
          </cell>
          <cell r="S500">
            <v>2773.0191509950646</v>
          </cell>
          <cell r="T500">
            <v>2736.3989554029035</v>
          </cell>
          <cell r="U500">
            <v>2697.0693659873723</v>
          </cell>
          <cell r="V500">
            <v>2687.0159772532734</v>
          </cell>
          <cell r="W500">
            <v>2685.0567544342407</v>
          </cell>
          <cell r="X500">
            <v>2685.0567544342407</v>
          </cell>
          <cell r="Y500">
            <v>2685.0567544342407</v>
          </cell>
          <cell r="Z500">
            <v>2685.0567544342407</v>
          </cell>
          <cell r="AB500">
            <v>45.478712808157368</v>
          </cell>
          <cell r="AF500">
            <v>0.39230897226742095</v>
          </cell>
          <cell r="AG500">
            <v>0</v>
          </cell>
        </row>
        <row r="501">
          <cell r="A501" t="str">
            <v>TLSSDSL00</v>
          </cell>
          <cell r="D501">
            <v>2060</v>
          </cell>
          <cell r="P501">
            <v>2157.2953860915518</v>
          </cell>
          <cell r="Q501">
            <v>2136.5414808198907</v>
          </cell>
          <cell r="R501">
            <v>2225.6682710620203</v>
          </cell>
          <cell r="S501">
            <v>2207.8899132006577</v>
          </cell>
          <cell r="T501">
            <v>2250.5052589303627</v>
          </cell>
          <cell r="U501">
            <v>2255.1498086531737</v>
          </cell>
          <cell r="V501">
            <v>2256.7865054889667</v>
          </cell>
          <cell r="W501">
            <v>2254.6627644262717</v>
          </cell>
          <cell r="X501">
            <v>2254.6627644262717</v>
          </cell>
          <cell r="Y501">
            <v>2254.6627644262717</v>
          </cell>
          <cell r="Z501">
            <v>2254.6627644262717</v>
          </cell>
          <cell r="AB501">
            <v>43.267274341798768</v>
          </cell>
          <cell r="AF501">
            <v>0.28973361170288592</v>
          </cell>
          <cell r="AG501">
            <v>0</v>
          </cell>
        </row>
        <row r="502">
          <cell r="A502" t="str">
            <v>TLSSDSL05</v>
          </cell>
          <cell r="D502">
            <v>2005</v>
          </cell>
          <cell r="P502">
            <v>2157.2953860915518</v>
          </cell>
          <cell r="Q502">
            <v>2136.5414808198907</v>
          </cell>
          <cell r="R502">
            <v>2225.6682710620203</v>
          </cell>
          <cell r="S502">
            <v>2207.8899132006577</v>
          </cell>
          <cell r="T502">
            <v>2250.5052589303627</v>
          </cell>
          <cell r="U502">
            <v>2255.1498086531737</v>
          </cell>
          <cell r="V502">
            <v>2256.7865054889667</v>
          </cell>
          <cell r="W502">
            <v>2254.6627644262717</v>
          </cell>
          <cell r="X502">
            <v>2254.6627644262717</v>
          </cell>
          <cell r="Y502">
            <v>2254.6627644262717</v>
          </cell>
          <cell r="Z502">
            <v>2254.6627644262717</v>
          </cell>
          <cell r="AB502">
            <v>43.267274341798768</v>
          </cell>
          <cell r="AF502">
            <v>0.20291232476202986</v>
          </cell>
          <cell r="AG502">
            <v>0</v>
          </cell>
        </row>
        <row r="503">
          <cell r="A503" t="str">
            <v>TLSSDSL10</v>
          </cell>
          <cell r="D503">
            <v>2010</v>
          </cell>
          <cell r="P503">
            <v>2157.2953860915518</v>
          </cell>
          <cell r="Q503">
            <v>2136.5414808198907</v>
          </cell>
          <cell r="R503">
            <v>2225.6682710620203</v>
          </cell>
          <cell r="S503">
            <v>2207.8899132006577</v>
          </cell>
          <cell r="T503">
            <v>2250.5052589303627</v>
          </cell>
          <cell r="U503">
            <v>2255.1498086531737</v>
          </cell>
          <cell r="V503">
            <v>2256.7865054889667</v>
          </cell>
          <cell r="W503">
            <v>2254.6627644262717</v>
          </cell>
          <cell r="X503">
            <v>2254.6627644262717</v>
          </cell>
          <cell r="Y503">
            <v>2254.6627644262717</v>
          </cell>
          <cell r="Z503">
            <v>2254.6627644262717</v>
          </cell>
          <cell r="AB503">
            <v>43.267274341798768</v>
          </cell>
          <cell r="AF503">
            <v>0.21294273122943239</v>
          </cell>
          <cell r="AG503">
            <v>0</v>
          </cell>
        </row>
        <row r="504">
          <cell r="A504" t="str">
            <v>TLSSDSL15</v>
          </cell>
          <cell r="D504">
            <v>2015</v>
          </cell>
          <cell r="P504">
            <v>2157.2953860915518</v>
          </cell>
          <cell r="Q504">
            <v>2136.5414808198907</v>
          </cell>
          <cell r="R504">
            <v>2225.6682710620203</v>
          </cell>
          <cell r="S504">
            <v>2207.8899132006577</v>
          </cell>
          <cell r="T504">
            <v>2250.5052589303627</v>
          </cell>
          <cell r="U504">
            <v>2255.1498086531737</v>
          </cell>
          <cell r="V504">
            <v>2256.7865054889667</v>
          </cell>
          <cell r="W504">
            <v>2254.6627644262717</v>
          </cell>
          <cell r="X504">
            <v>2254.6627644262717</v>
          </cell>
          <cell r="Y504">
            <v>2254.6627644262717</v>
          </cell>
          <cell r="Z504">
            <v>2254.6627644262717</v>
          </cell>
          <cell r="AB504">
            <v>43.267274341798768</v>
          </cell>
          <cell r="AF504">
            <v>0.23934461151508171</v>
          </cell>
          <cell r="AG504">
            <v>0</v>
          </cell>
        </row>
        <row r="505">
          <cell r="A505" t="str">
            <v>TLSSDSL20</v>
          </cell>
          <cell r="D505">
            <v>2020</v>
          </cell>
          <cell r="P505">
            <v>2157.2953860915518</v>
          </cell>
          <cell r="Q505">
            <v>2136.5414808198907</v>
          </cell>
          <cell r="R505">
            <v>2225.6682710620203</v>
          </cell>
          <cell r="S505">
            <v>2207.8899132006577</v>
          </cell>
          <cell r="T505">
            <v>2250.5052589303627</v>
          </cell>
          <cell r="U505">
            <v>2255.1498086531737</v>
          </cell>
          <cell r="V505">
            <v>2256.7865054889667</v>
          </cell>
          <cell r="W505">
            <v>2254.6627644262717</v>
          </cell>
          <cell r="X505">
            <v>2254.6627644262717</v>
          </cell>
          <cell r="Y505">
            <v>2254.6627644262717</v>
          </cell>
          <cell r="Z505">
            <v>2254.6627644262717</v>
          </cell>
          <cell r="AB505">
            <v>43.267274341798768</v>
          </cell>
          <cell r="AF505">
            <v>0.2598807091755358</v>
          </cell>
          <cell r="AG505">
            <v>0</v>
          </cell>
        </row>
        <row r="506">
          <cell r="A506" t="str">
            <v>TLSSDSL25</v>
          </cell>
          <cell r="D506">
            <v>2025</v>
          </cell>
          <cell r="P506">
            <v>2157.2953860915518</v>
          </cell>
          <cell r="Q506">
            <v>2136.5414808198907</v>
          </cell>
          <cell r="R506">
            <v>2225.6682710620203</v>
          </cell>
          <cell r="S506">
            <v>2207.8899132006577</v>
          </cell>
          <cell r="T506">
            <v>2250.5052589303627</v>
          </cell>
          <cell r="U506">
            <v>2255.1498086531737</v>
          </cell>
          <cell r="V506">
            <v>2256.7865054889667</v>
          </cell>
          <cell r="W506">
            <v>2254.6627644262717</v>
          </cell>
          <cell r="X506">
            <v>2254.6627644262717</v>
          </cell>
          <cell r="Y506">
            <v>2254.6627644262717</v>
          </cell>
          <cell r="Z506">
            <v>2254.6627644262717</v>
          </cell>
          <cell r="AB506">
            <v>43.267274341798768</v>
          </cell>
          <cell r="AF506">
            <v>0.28938840122433696</v>
          </cell>
          <cell r="AG506">
            <v>0</v>
          </cell>
        </row>
        <row r="507">
          <cell r="A507" t="str">
            <v>TLSSDSL30</v>
          </cell>
          <cell r="D507">
            <v>2030</v>
          </cell>
          <cell r="P507">
            <v>2157.2953860915518</v>
          </cell>
          <cell r="Q507">
            <v>2136.5414808198907</v>
          </cell>
          <cell r="R507">
            <v>2225.6682710620203</v>
          </cell>
          <cell r="S507">
            <v>2207.8899132006577</v>
          </cell>
          <cell r="T507">
            <v>2250.5052589303627</v>
          </cell>
          <cell r="U507">
            <v>2255.1498086531737</v>
          </cell>
          <cell r="V507">
            <v>2256.7865054889667</v>
          </cell>
          <cell r="W507">
            <v>2254.6627644262717</v>
          </cell>
          <cell r="X507">
            <v>2254.6627644262717</v>
          </cell>
          <cell r="Y507">
            <v>2254.6627644262717</v>
          </cell>
          <cell r="Z507">
            <v>2254.6627644262717</v>
          </cell>
          <cell r="AB507">
            <v>43.267274341798768</v>
          </cell>
          <cell r="AF507">
            <v>0.2905074458428899</v>
          </cell>
          <cell r="AG507">
            <v>0</v>
          </cell>
        </row>
        <row r="508">
          <cell r="A508" t="str">
            <v>TLSSDSL35</v>
          </cell>
          <cell r="D508">
            <v>2035</v>
          </cell>
          <cell r="P508">
            <v>2157.2953860915518</v>
          </cell>
          <cell r="Q508">
            <v>2136.5414808198907</v>
          </cell>
          <cell r="R508">
            <v>2225.6682710620203</v>
          </cell>
          <cell r="S508">
            <v>2207.8899132006577</v>
          </cell>
          <cell r="T508">
            <v>2250.5052589303627</v>
          </cell>
          <cell r="U508">
            <v>2255.1498086531737</v>
          </cell>
          <cell r="V508">
            <v>2256.7865054889667</v>
          </cell>
          <cell r="W508">
            <v>2254.6627644262717</v>
          </cell>
          <cell r="X508">
            <v>2254.6627644262717</v>
          </cell>
          <cell r="Y508">
            <v>2254.6627644262717</v>
          </cell>
          <cell r="Z508">
            <v>2254.6627644262717</v>
          </cell>
          <cell r="AB508">
            <v>43.267274341798768</v>
          </cell>
          <cell r="AF508">
            <v>0.29031177923695428</v>
          </cell>
          <cell r="AG508">
            <v>0</v>
          </cell>
        </row>
        <row r="509">
          <cell r="A509" t="str">
            <v>TLSSDSL40</v>
          </cell>
          <cell r="D509">
            <v>2040</v>
          </cell>
          <cell r="P509">
            <v>2157.2953860915518</v>
          </cell>
          <cell r="Q509">
            <v>2136.5414808198907</v>
          </cell>
          <cell r="R509">
            <v>2225.6682710620203</v>
          </cell>
          <cell r="S509">
            <v>2207.8899132006577</v>
          </cell>
          <cell r="T509">
            <v>2250.5052589303627</v>
          </cell>
          <cell r="U509">
            <v>2255.1498086531737</v>
          </cell>
          <cell r="V509">
            <v>2256.7865054889667</v>
          </cell>
          <cell r="W509">
            <v>2254.6627644262717</v>
          </cell>
          <cell r="X509">
            <v>2254.6627644262717</v>
          </cell>
          <cell r="Y509">
            <v>2254.6627644262717</v>
          </cell>
          <cell r="Z509">
            <v>2254.6627644262717</v>
          </cell>
          <cell r="AB509">
            <v>43.267274341798768</v>
          </cell>
          <cell r="AF509">
            <v>0.28973361170288592</v>
          </cell>
          <cell r="AG509">
            <v>0</v>
          </cell>
        </row>
        <row r="510">
          <cell r="A510" t="str">
            <v>TLSSDSL45</v>
          </cell>
          <cell r="D510">
            <v>2045</v>
          </cell>
          <cell r="P510">
            <v>2157.2953860915518</v>
          </cell>
          <cell r="Q510">
            <v>2136.5414808198907</v>
          </cell>
          <cell r="R510">
            <v>2225.6682710620203</v>
          </cell>
          <cell r="S510">
            <v>2207.8899132006577</v>
          </cell>
          <cell r="T510">
            <v>2250.5052589303627</v>
          </cell>
          <cell r="U510">
            <v>2255.1498086531737</v>
          </cell>
          <cell r="V510">
            <v>2256.7865054889667</v>
          </cell>
          <cell r="W510">
            <v>2254.6627644262717</v>
          </cell>
          <cell r="X510">
            <v>2254.6627644262717</v>
          </cell>
          <cell r="Y510">
            <v>2254.6627644262717</v>
          </cell>
          <cell r="Z510">
            <v>2254.6627644262717</v>
          </cell>
          <cell r="AB510">
            <v>43.267274341798768</v>
          </cell>
          <cell r="AF510">
            <v>0.28973361170288592</v>
          </cell>
          <cell r="AG510">
            <v>0</v>
          </cell>
        </row>
        <row r="511">
          <cell r="A511" t="str">
            <v>TLSSDSL50</v>
          </cell>
          <cell r="D511">
            <v>2050</v>
          </cell>
          <cell r="P511">
            <v>2157.2953860915518</v>
          </cell>
          <cell r="Q511">
            <v>2136.5414808198907</v>
          </cell>
          <cell r="R511">
            <v>2225.6682710620203</v>
          </cell>
          <cell r="S511">
            <v>2207.8899132006577</v>
          </cell>
          <cell r="T511">
            <v>2250.5052589303627</v>
          </cell>
          <cell r="U511">
            <v>2255.1498086531737</v>
          </cell>
          <cell r="V511">
            <v>2256.7865054889667</v>
          </cell>
          <cell r="W511">
            <v>2254.6627644262717</v>
          </cell>
          <cell r="X511">
            <v>2254.6627644262717</v>
          </cell>
          <cell r="Y511">
            <v>2254.6627644262717</v>
          </cell>
          <cell r="Z511">
            <v>2254.6627644262717</v>
          </cell>
          <cell r="AB511">
            <v>43.267274341798768</v>
          </cell>
          <cell r="AF511">
            <v>0.28973361170288592</v>
          </cell>
          <cell r="AG511">
            <v>0</v>
          </cell>
        </row>
        <row r="512">
          <cell r="A512" t="str">
            <v>TLSSELC00</v>
          </cell>
          <cell r="D512">
            <v>2060</v>
          </cell>
          <cell r="P512">
            <v>4757.2128345575557</v>
          </cell>
          <cell r="Q512">
            <v>3407.9341225753892</v>
          </cell>
          <cell r="R512">
            <v>3290.6023237641648</v>
          </cell>
          <cell r="S512">
            <v>3116.5625044542949</v>
          </cell>
          <cell r="T512">
            <v>2868.8273633432373</v>
          </cell>
          <cell r="U512">
            <v>2729.8147143733131</v>
          </cell>
          <cell r="V512">
            <v>2695.0869540695212</v>
          </cell>
          <cell r="W512">
            <v>2689.0346724298429</v>
          </cell>
          <cell r="X512">
            <v>2689.0346724298429</v>
          </cell>
          <cell r="Y512">
            <v>2689.0346724298429</v>
          </cell>
          <cell r="Z512">
            <v>2689.0346724298429</v>
          </cell>
          <cell r="AB512">
            <v>25.96036460507926</v>
          </cell>
          <cell r="AF512">
            <v>0.76878709161438263</v>
          </cell>
          <cell r="AG512">
            <v>0</v>
          </cell>
        </row>
        <row r="513">
          <cell r="A513" t="str">
            <v>TLSSELC05</v>
          </cell>
          <cell r="D513">
            <v>2005</v>
          </cell>
          <cell r="P513">
            <v>4757.2128345575557</v>
          </cell>
          <cell r="Q513">
            <v>3407.9341225753892</v>
          </cell>
          <cell r="R513">
            <v>3290.6023237641648</v>
          </cell>
          <cell r="S513">
            <v>3116.5625044542949</v>
          </cell>
          <cell r="T513">
            <v>2868.8273633432373</v>
          </cell>
          <cell r="U513">
            <v>2729.8147143733131</v>
          </cell>
          <cell r="V513">
            <v>2695.0869540695212</v>
          </cell>
          <cell r="W513">
            <v>2689.0346724298429</v>
          </cell>
          <cell r="X513">
            <v>2689.0346724298429</v>
          </cell>
          <cell r="Y513">
            <v>2689.0346724298429</v>
          </cell>
          <cell r="Z513">
            <v>2689.0346724298429</v>
          </cell>
          <cell r="AB513">
            <v>25.96036460507926</v>
          </cell>
          <cell r="AF513">
            <v>0.42941605561378016</v>
          </cell>
          <cell r="AG513">
            <v>0</v>
          </cell>
        </row>
        <row r="514">
          <cell r="A514" t="str">
            <v>TLSSELC10</v>
          </cell>
          <cell r="D514">
            <v>2010</v>
          </cell>
          <cell r="P514">
            <v>4757.2128345575557</v>
          </cell>
          <cell r="Q514">
            <v>3407.9341225753892</v>
          </cell>
          <cell r="R514">
            <v>3290.6023237641648</v>
          </cell>
          <cell r="S514">
            <v>3116.5625044542949</v>
          </cell>
          <cell r="T514">
            <v>2868.8273633432373</v>
          </cell>
          <cell r="U514">
            <v>2729.8147143733131</v>
          </cell>
          <cell r="V514">
            <v>2695.0869540695212</v>
          </cell>
          <cell r="W514">
            <v>2689.0346724298429</v>
          </cell>
          <cell r="X514">
            <v>2689.0346724298429</v>
          </cell>
          <cell r="Y514">
            <v>2689.0346724298429</v>
          </cell>
          <cell r="Z514">
            <v>2689.0346724298429</v>
          </cell>
          <cell r="AB514">
            <v>25.96036460507926</v>
          </cell>
          <cell r="AF514">
            <v>0.65914180949636814</v>
          </cell>
          <cell r="AG514">
            <v>0</v>
          </cell>
        </row>
        <row r="515">
          <cell r="A515" t="str">
            <v>TLSSELC15</v>
          </cell>
          <cell r="D515">
            <v>2015</v>
          </cell>
          <cell r="P515">
            <v>4757.2128345575557</v>
          </cell>
          <cell r="Q515">
            <v>3407.9341225753892</v>
          </cell>
          <cell r="R515">
            <v>3290.6023237641648</v>
          </cell>
          <cell r="S515">
            <v>3116.5625044542949</v>
          </cell>
          <cell r="T515">
            <v>2868.8273633432373</v>
          </cell>
          <cell r="U515">
            <v>2729.8147143733131</v>
          </cell>
          <cell r="V515">
            <v>2695.0869540695212</v>
          </cell>
          <cell r="W515">
            <v>2689.0346724298429</v>
          </cell>
          <cell r="X515">
            <v>2689.0346724298429</v>
          </cell>
          <cell r="Y515">
            <v>2689.0346724298429</v>
          </cell>
          <cell r="Z515">
            <v>2689.0346724298429</v>
          </cell>
          <cell r="AB515">
            <v>25.96036460507926</v>
          </cell>
          <cell r="AF515">
            <v>0.67095289713992823</v>
          </cell>
          <cell r="AG515">
            <v>0</v>
          </cell>
        </row>
        <row r="516">
          <cell r="A516" t="str">
            <v>TLSSELC20</v>
          </cell>
          <cell r="D516">
            <v>2020</v>
          </cell>
          <cell r="P516">
            <v>4757.2128345575557</v>
          </cell>
          <cell r="Q516">
            <v>3407.9341225753892</v>
          </cell>
          <cell r="R516">
            <v>3290.6023237641648</v>
          </cell>
          <cell r="S516">
            <v>3116.5625044542949</v>
          </cell>
          <cell r="T516">
            <v>2868.8273633432373</v>
          </cell>
          <cell r="U516">
            <v>2729.8147143733131</v>
          </cell>
          <cell r="V516">
            <v>2695.0869540695212</v>
          </cell>
          <cell r="W516">
            <v>2689.0346724298429</v>
          </cell>
          <cell r="X516">
            <v>2689.0346724298429</v>
          </cell>
          <cell r="Y516">
            <v>2689.0346724298429</v>
          </cell>
          <cell r="Z516">
            <v>2689.0346724298429</v>
          </cell>
          <cell r="AB516">
            <v>25.96036460507926</v>
          </cell>
          <cell r="AF516">
            <v>0.71557384930298307</v>
          </cell>
          <cell r="AG516">
            <v>0</v>
          </cell>
        </row>
        <row r="517">
          <cell r="A517" t="str">
            <v>TLSSELC25</v>
          </cell>
          <cell r="D517">
            <v>2025</v>
          </cell>
          <cell r="P517">
            <v>4757.2128345575557</v>
          </cell>
          <cell r="Q517">
            <v>3407.9341225753892</v>
          </cell>
          <cell r="R517">
            <v>3290.6023237641648</v>
          </cell>
          <cell r="S517">
            <v>3116.5625044542949</v>
          </cell>
          <cell r="T517">
            <v>2868.8273633432373</v>
          </cell>
          <cell r="U517">
            <v>2729.8147143733131</v>
          </cell>
          <cell r="V517">
            <v>2695.0869540695212</v>
          </cell>
          <cell r="W517">
            <v>2689.0346724298429</v>
          </cell>
          <cell r="X517">
            <v>2689.0346724298429</v>
          </cell>
          <cell r="Y517">
            <v>2689.0346724298429</v>
          </cell>
          <cell r="Z517">
            <v>2689.0346724298429</v>
          </cell>
          <cell r="AB517">
            <v>25.96036460507926</v>
          </cell>
          <cell r="AF517">
            <v>0.76728373121487403</v>
          </cell>
          <cell r="AG517">
            <v>0</v>
          </cell>
        </row>
        <row r="518">
          <cell r="A518" t="str">
            <v>TLSSELC30</v>
          </cell>
          <cell r="D518">
            <v>2030</v>
          </cell>
          <cell r="P518">
            <v>4757.2128345575557</v>
          </cell>
          <cell r="Q518">
            <v>3407.9341225753892</v>
          </cell>
          <cell r="R518">
            <v>3290.6023237641648</v>
          </cell>
          <cell r="S518">
            <v>3116.5625044542949</v>
          </cell>
          <cell r="T518">
            <v>2868.8273633432373</v>
          </cell>
          <cell r="U518">
            <v>2729.8147143733131</v>
          </cell>
          <cell r="V518">
            <v>2695.0869540695212</v>
          </cell>
          <cell r="W518">
            <v>2689.0346724298429</v>
          </cell>
          <cell r="X518">
            <v>2689.0346724298429</v>
          </cell>
          <cell r="Y518">
            <v>2689.0346724298429</v>
          </cell>
          <cell r="Z518">
            <v>2689.0346724298429</v>
          </cell>
          <cell r="AB518">
            <v>25.96036460507926</v>
          </cell>
          <cell r="AF518">
            <v>0.76830670325609263</v>
          </cell>
          <cell r="AG518">
            <v>0</v>
          </cell>
        </row>
        <row r="519">
          <cell r="A519" t="str">
            <v>TLSSELC35</v>
          </cell>
          <cell r="D519">
            <v>2035</v>
          </cell>
          <cell r="P519">
            <v>4757.2128345575557</v>
          </cell>
          <cell r="Q519">
            <v>3407.9341225753892</v>
          </cell>
          <cell r="R519">
            <v>3290.6023237641648</v>
          </cell>
          <cell r="S519">
            <v>3116.5625044542949</v>
          </cell>
          <cell r="T519">
            <v>2868.8273633432373</v>
          </cell>
          <cell r="U519">
            <v>2729.8147143733131</v>
          </cell>
          <cell r="V519">
            <v>2695.0869540695212</v>
          </cell>
          <cell r="W519">
            <v>2689.0346724298429</v>
          </cell>
          <cell r="X519">
            <v>2689.0346724298429</v>
          </cell>
          <cell r="Y519">
            <v>2689.0346724298429</v>
          </cell>
          <cell r="Z519">
            <v>2689.0346724298429</v>
          </cell>
          <cell r="AB519">
            <v>25.96036460507926</v>
          </cell>
          <cell r="AF519">
            <v>0.76854359567668074</v>
          </cell>
          <cell r="AG519">
            <v>0</v>
          </cell>
        </row>
        <row r="520">
          <cell r="A520" t="str">
            <v>TLSSELC40</v>
          </cell>
          <cell r="D520">
            <v>2040</v>
          </cell>
          <cell r="P520">
            <v>4757.2128345575557</v>
          </cell>
          <cell r="Q520">
            <v>3407.9341225753892</v>
          </cell>
          <cell r="R520">
            <v>3290.6023237641648</v>
          </cell>
          <cell r="S520">
            <v>3116.5625044542949</v>
          </cell>
          <cell r="T520">
            <v>2868.8273633432373</v>
          </cell>
          <cell r="U520">
            <v>2729.8147143733131</v>
          </cell>
          <cell r="V520">
            <v>2695.0869540695212</v>
          </cell>
          <cell r="W520">
            <v>2689.0346724298429</v>
          </cell>
          <cell r="X520">
            <v>2689.0346724298429</v>
          </cell>
          <cell r="Y520">
            <v>2689.0346724298429</v>
          </cell>
          <cell r="Z520">
            <v>2689.0346724298429</v>
          </cell>
          <cell r="AB520">
            <v>25.96036460507926</v>
          </cell>
          <cell r="AF520">
            <v>0.76878709161438263</v>
          </cell>
          <cell r="AG520">
            <v>0</v>
          </cell>
        </row>
        <row r="521">
          <cell r="A521" t="str">
            <v>TLSSELC45</v>
          </cell>
          <cell r="D521">
            <v>2045</v>
          </cell>
          <cell r="P521">
            <v>4757.2128345575557</v>
          </cell>
          <cell r="Q521">
            <v>3407.9341225753892</v>
          </cell>
          <cell r="R521">
            <v>3290.6023237641648</v>
          </cell>
          <cell r="S521">
            <v>3116.5625044542949</v>
          </cell>
          <cell r="T521">
            <v>2868.8273633432373</v>
          </cell>
          <cell r="U521">
            <v>2729.8147143733131</v>
          </cell>
          <cell r="V521">
            <v>2695.0869540695212</v>
          </cell>
          <cell r="W521">
            <v>2689.0346724298429</v>
          </cell>
          <cell r="X521">
            <v>2689.0346724298429</v>
          </cell>
          <cell r="Y521">
            <v>2689.0346724298429</v>
          </cell>
          <cell r="Z521">
            <v>2689.0346724298429</v>
          </cell>
          <cell r="AB521">
            <v>25.96036460507926</v>
          </cell>
          <cell r="AF521">
            <v>0.76878709161438263</v>
          </cell>
          <cell r="AG521">
            <v>0</v>
          </cell>
        </row>
        <row r="522">
          <cell r="A522" t="str">
            <v>TLSSELC50</v>
          </cell>
          <cell r="D522">
            <v>2050</v>
          </cell>
          <cell r="P522">
            <v>4757.2128345575557</v>
          </cell>
          <cell r="Q522">
            <v>3407.9341225753892</v>
          </cell>
          <cell r="R522">
            <v>3290.6023237641648</v>
          </cell>
          <cell r="S522">
            <v>3116.5625044542949</v>
          </cell>
          <cell r="T522">
            <v>2868.8273633432373</v>
          </cell>
          <cell r="U522">
            <v>2729.8147143733131</v>
          </cell>
          <cell r="V522">
            <v>2695.0869540695212</v>
          </cell>
          <cell r="W522">
            <v>2689.0346724298429</v>
          </cell>
          <cell r="X522">
            <v>2689.0346724298429</v>
          </cell>
          <cell r="Y522">
            <v>2689.0346724298429</v>
          </cell>
          <cell r="Z522">
            <v>2689.0346724298429</v>
          </cell>
          <cell r="AB522">
            <v>25.96036460507926</v>
          </cell>
          <cell r="AF522">
            <v>0.76878709161438263</v>
          </cell>
          <cell r="AG522">
            <v>0</v>
          </cell>
        </row>
        <row r="523">
          <cell r="A523" t="str">
            <v>TLSSETHX10</v>
          </cell>
          <cell r="D523">
            <v>2010</v>
          </cell>
          <cell r="P523">
            <v>0</v>
          </cell>
          <cell r="Q523">
            <v>1790.4819451941344</v>
          </cell>
          <cell r="R523">
            <v>1924.6288532457459</v>
          </cell>
          <cell r="S523">
            <v>1989.431192226227</v>
          </cell>
          <cell r="T523">
            <v>2065.6076012974436</v>
          </cell>
          <cell r="U523">
            <v>2070.858066810496</v>
          </cell>
          <cell r="V523">
            <v>2073.0728817786426</v>
          </cell>
          <cell r="W523">
            <v>2074.952588665768</v>
          </cell>
          <cell r="X523">
            <v>2074.952588665768</v>
          </cell>
          <cell r="Y523">
            <v>2074.952588665768</v>
          </cell>
          <cell r="Z523">
            <v>2074.952588665768</v>
          </cell>
          <cell r="AB523">
            <v>43.267274341798768</v>
          </cell>
          <cell r="AF523">
            <v>0.17473530337726154</v>
          </cell>
          <cell r="AG523">
            <v>0</v>
          </cell>
        </row>
        <row r="524">
          <cell r="A524" t="str">
            <v>TLSSETHX15</v>
          </cell>
          <cell r="D524">
            <v>2015</v>
          </cell>
          <cell r="P524">
            <v>0</v>
          </cell>
          <cell r="Q524">
            <v>1790.4819451941344</v>
          </cell>
          <cell r="R524">
            <v>1924.6288532457459</v>
          </cell>
          <cell r="S524">
            <v>1989.431192226227</v>
          </cell>
          <cell r="T524">
            <v>2065.6076012974436</v>
          </cell>
          <cell r="U524">
            <v>2070.858066810496</v>
          </cell>
          <cell r="V524">
            <v>2073.0728817786426</v>
          </cell>
          <cell r="W524">
            <v>2074.952588665768</v>
          </cell>
          <cell r="X524">
            <v>2074.952588665768</v>
          </cell>
          <cell r="Y524">
            <v>2074.952588665768</v>
          </cell>
          <cell r="Z524">
            <v>2074.952588665768</v>
          </cell>
          <cell r="AB524">
            <v>43.267274341798768</v>
          </cell>
          <cell r="AF524">
            <v>0.19826195372684677</v>
          </cell>
          <cell r="AG524">
            <v>0</v>
          </cell>
        </row>
        <row r="525">
          <cell r="A525" t="str">
            <v>TLSSETHX20</v>
          </cell>
          <cell r="D525">
            <v>2020</v>
          </cell>
          <cell r="P525">
            <v>0</v>
          </cell>
          <cell r="Q525">
            <v>1790.4819451941344</v>
          </cell>
          <cell r="R525">
            <v>1924.6288532457459</v>
          </cell>
          <cell r="S525">
            <v>1989.431192226227</v>
          </cell>
          <cell r="T525">
            <v>2065.6076012974436</v>
          </cell>
          <cell r="U525">
            <v>2070.858066810496</v>
          </cell>
          <cell r="V525">
            <v>2073.0728817786426</v>
          </cell>
          <cell r="W525">
            <v>2074.952588665768</v>
          </cell>
          <cell r="X525">
            <v>2074.952588665768</v>
          </cell>
          <cell r="Y525">
            <v>2074.952588665768</v>
          </cell>
          <cell r="Z525">
            <v>2074.952588665768</v>
          </cell>
          <cell r="AB525">
            <v>43.267274341798768</v>
          </cell>
          <cell r="AF525">
            <v>0.23641074591307387</v>
          </cell>
          <cell r="AG525">
            <v>0</v>
          </cell>
        </row>
        <row r="526">
          <cell r="A526" t="str">
            <v>TLSSETHX25</v>
          </cell>
          <cell r="D526">
            <v>2025</v>
          </cell>
          <cell r="P526">
            <v>0</v>
          </cell>
          <cell r="Q526">
            <v>1790.4819451941344</v>
          </cell>
          <cell r="R526">
            <v>1924.6288532457459</v>
          </cell>
          <cell r="S526">
            <v>1989.431192226227</v>
          </cell>
          <cell r="T526">
            <v>2065.6076012974436</v>
          </cell>
          <cell r="U526">
            <v>2070.858066810496</v>
          </cell>
          <cell r="V526">
            <v>2073.0728817786426</v>
          </cell>
          <cell r="W526">
            <v>2074.952588665768</v>
          </cell>
          <cell r="X526">
            <v>2074.952588665768</v>
          </cell>
          <cell r="Y526">
            <v>2074.952588665768</v>
          </cell>
          <cell r="Z526">
            <v>2074.952588665768</v>
          </cell>
          <cell r="AB526">
            <v>43.267274341798768</v>
          </cell>
          <cell r="AF526">
            <v>0.27897042644721803</v>
          </cell>
          <cell r="AG526">
            <v>0</v>
          </cell>
        </row>
        <row r="527">
          <cell r="A527" t="str">
            <v>TLSSETHX30</v>
          </cell>
          <cell r="D527">
            <v>2030</v>
          </cell>
          <cell r="P527">
            <v>0</v>
          </cell>
          <cell r="Q527">
            <v>1790.4819451941344</v>
          </cell>
          <cell r="R527">
            <v>1924.6288532457459</v>
          </cell>
          <cell r="S527">
            <v>1989.431192226227</v>
          </cell>
          <cell r="T527">
            <v>2065.6076012974436</v>
          </cell>
          <cell r="U527">
            <v>2070.858066810496</v>
          </cell>
          <cell r="V527">
            <v>2073.0728817786426</v>
          </cell>
          <cell r="W527">
            <v>2074.952588665768</v>
          </cell>
          <cell r="X527">
            <v>2074.952588665768</v>
          </cell>
          <cell r="Y527">
            <v>2074.952588665768</v>
          </cell>
          <cell r="Z527">
            <v>2074.952588665768</v>
          </cell>
          <cell r="AB527">
            <v>43.267274341798768</v>
          </cell>
          <cell r="AF527">
            <v>0.28032320500565661</v>
          </cell>
          <cell r="AG527">
            <v>0</v>
          </cell>
        </row>
        <row r="528">
          <cell r="A528" t="str">
            <v>TLSSETHX35</v>
          </cell>
          <cell r="D528">
            <v>2035</v>
          </cell>
          <cell r="P528">
            <v>0</v>
          </cell>
          <cell r="Q528">
            <v>1790.4819451941344</v>
          </cell>
          <cell r="R528">
            <v>1924.6288532457459</v>
          </cell>
          <cell r="S528">
            <v>1989.431192226227</v>
          </cell>
          <cell r="T528">
            <v>2065.6076012974436</v>
          </cell>
          <cell r="U528">
            <v>2070.858066810496</v>
          </cell>
          <cell r="V528">
            <v>2073.0728817786426</v>
          </cell>
          <cell r="W528">
            <v>2074.952588665768</v>
          </cell>
          <cell r="X528">
            <v>2074.952588665768</v>
          </cell>
          <cell r="Y528">
            <v>2074.952588665768</v>
          </cell>
          <cell r="Z528">
            <v>2074.952588665768</v>
          </cell>
          <cell r="AB528">
            <v>43.267274341798768</v>
          </cell>
          <cell r="AF528">
            <v>0.27978155103680569</v>
          </cell>
          <cell r="AG528">
            <v>0</v>
          </cell>
        </row>
        <row r="529">
          <cell r="A529" t="str">
            <v>TLSSETHX40</v>
          </cell>
          <cell r="D529">
            <v>2040</v>
          </cell>
          <cell r="P529">
            <v>0</v>
          </cell>
          <cell r="Q529">
            <v>1790.4819451941344</v>
          </cell>
          <cell r="R529">
            <v>1924.6288532457459</v>
          </cell>
          <cell r="S529">
            <v>1989.431192226227</v>
          </cell>
          <cell r="T529">
            <v>2065.6076012974436</v>
          </cell>
          <cell r="U529">
            <v>2070.858066810496</v>
          </cell>
          <cell r="V529">
            <v>2073.0728817786426</v>
          </cell>
          <cell r="W529">
            <v>2074.952588665768</v>
          </cell>
          <cell r="X529">
            <v>2074.952588665768</v>
          </cell>
          <cell r="Y529">
            <v>2074.952588665768</v>
          </cell>
          <cell r="Z529">
            <v>2074.952588665768</v>
          </cell>
          <cell r="AB529">
            <v>43.267274341798768</v>
          </cell>
          <cell r="AF529">
            <v>0.27917979678394328</v>
          </cell>
          <cell r="AG529">
            <v>0</v>
          </cell>
        </row>
        <row r="530">
          <cell r="A530" t="str">
            <v>TLSSETHX45</v>
          </cell>
          <cell r="D530">
            <v>2045</v>
          </cell>
          <cell r="P530">
            <v>0</v>
          </cell>
          <cell r="Q530">
            <v>1790.4819451941344</v>
          </cell>
          <cell r="R530">
            <v>1924.6288532457459</v>
          </cell>
          <cell r="S530">
            <v>1989.431192226227</v>
          </cell>
          <cell r="T530">
            <v>2065.6076012974436</v>
          </cell>
          <cell r="U530">
            <v>2070.858066810496</v>
          </cell>
          <cell r="V530">
            <v>2073.0728817786426</v>
          </cell>
          <cell r="W530">
            <v>2074.952588665768</v>
          </cell>
          <cell r="X530">
            <v>2074.952588665768</v>
          </cell>
          <cell r="Y530">
            <v>2074.952588665768</v>
          </cell>
          <cell r="Z530">
            <v>2074.952588665768</v>
          </cell>
          <cell r="AB530">
            <v>43.267274341798768</v>
          </cell>
          <cell r="AF530">
            <v>0.27917979678394328</v>
          </cell>
          <cell r="AG530">
            <v>0</v>
          </cell>
        </row>
        <row r="531">
          <cell r="A531" t="str">
            <v>TLSSETHX50</v>
          </cell>
          <cell r="D531">
            <v>2050</v>
          </cell>
          <cell r="P531">
            <v>0</v>
          </cell>
          <cell r="Q531">
            <v>1790.4819451941344</v>
          </cell>
          <cell r="R531">
            <v>1924.6288532457459</v>
          </cell>
          <cell r="S531">
            <v>1989.431192226227</v>
          </cell>
          <cell r="T531">
            <v>2065.6076012974436</v>
          </cell>
          <cell r="U531">
            <v>2070.858066810496</v>
          </cell>
          <cell r="V531">
            <v>2073.0728817786426</v>
          </cell>
          <cell r="W531">
            <v>2074.952588665768</v>
          </cell>
          <cell r="X531">
            <v>2074.952588665768</v>
          </cell>
          <cell r="Y531">
            <v>2074.952588665768</v>
          </cell>
          <cell r="Z531">
            <v>2074.952588665768</v>
          </cell>
          <cell r="AB531">
            <v>43.267274341798768</v>
          </cell>
          <cell r="AF531">
            <v>0.27917979678394328</v>
          </cell>
          <cell r="AG531">
            <v>0</v>
          </cell>
        </row>
        <row r="532">
          <cell r="A532" t="str">
            <v>TLSSFCG15</v>
          </cell>
          <cell r="D532">
            <v>2015</v>
          </cell>
          <cell r="P532">
            <v>0</v>
          </cell>
          <cell r="Q532">
            <v>0</v>
          </cell>
          <cell r="R532">
            <v>0</v>
          </cell>
          <cell r="S532">
            <v>0</v>
          </cell>
          <cell r="T532">
            <v>0</v>
          </cell>
          <cell r="U532">
            <v>0</v>
          </cell>
          <cell r="V532">
            <v>0</v>
          </cell>
          <cell r="W532">
            <v>0</v>
          </cell>
          <cell r="X532">
            <v>0</v>
          </cell>
          <cell r="Y532">
            <v>0</v>
          </cell>
          <cell r="Z532">
            <v>0</v>
          </cell>
          <cell r="AB532">
            <v>45.478712808157368</v>
          </cell>
          <cell r="AF532">
            <v>0</v>
          </cell>
          <cell r="AG532">
            <v>0</v>
          </cell>
        </row>
        <row r="533">
          <cell r="A533" t="str">
            <v>TLSSFCG20</v>
          </cell>
          <cell r="D533">
            <v>2020</v>
          </cell>
          <cell r="P533">
            <v>0</v>
          </cell>
          <cell r="Q533">
            <v>0</v>
          </cell>
          <cell r="R533">
            <v>0</v>
          </cell>
          <cell r="S533">
            <v>0</v>
          </cell>
          <cell r="T533">
            <v>0</v>
          </cell>
          <cell r="U533">
            <v>0</v>
          </cell>
          <cell r="V533">
            <v>0</v>
          </cell>
          <cell r="W533">
            <v>0</v>
          </cell>
          <cell r="X533">
            <v>0</v>
          </cell>
          <cell r="Y533">
            <v>0</v>
          </cell>
          <cell r="Z533">
            <v>0</v>
          </cell>
          <cell r="AB533">
            <v>45.478712808157368</v>
          </cell>
          <cell r="AF533">
            <v>0</v>
          </cell>
          <cell r="AG533">
            <v>0</v>
          </cell>
        </row>
        <row r="534">
          <cell r="A534" t="str">
            <v>TLSSFCG25</v>
          </cell>
          <cell r="D534">
            <v>2025</v>
          </cell>
          <cell r="P534">
            <v>0</v>
          </cell>
          <cell r="Q534">
            <v>0</v>
          </cell>
          <cell r="R534">
            <v>0</v>
          </cell>
          <cell r="S534">
            <v>0</v>
          </cell>
          <cell r="T534">
            <v>0</v>
          </cell>
          <cell r="U534">
            <v>0</v>
          </cell>
          <cell r="V534">
            <v>0</v>
          </cell>
          <cell r="W534">
            <v>0</v>
          </cell>
          <cell r="X534">
            <v>0</v>
          </cell>
          <cell r="Y534">
            <v>0</v>
          </cell>
          <cell r="Z534">
            <v>0</v>
          </cell>
          <cell r="AB534">
            <v>45.478712808157368</v>
          </cell>
          <cell r="AF534">
            <v>0</v>
          </cell>
          <cell r="AG534">
            <v>0</v>
          </cell>
        </row>
        <row r="535">
          <cell r="A535" t="str">
            <v>TLSSFCG30</v>
          </cell>
          <cell r="D535">
            <v>2030</v>
          </cell>
          <cell r="P535">
            <v>0</v>
          </cell>
          <cell r="Q535">
            <v>0</v>
          </cell>
          <cell r="R535">
            <v>0</v>
          </cell>
          <cell r="S535">
            <v>0</v>
          </cell>
          <cell r="T535">
            <v>0</v>
          </cell>
          <cell r="U535">
            <v>0</v>
          </cell>
          <cell r="V535">
            <v>0</v>
          </cell>
          <cell r="W535">
            <v>0</v>
          </cell>
          <cell r="X535">
            <v>0</v>
          </cell>
          <cell r="Y535">
            <v>0</v>
          </cell>
          <cell r="Z535">
            <v>0</v>
          </cell>
          <cell r="AB535">
            <v>45.478712808157368</v>
          </cell>
          <cell r="AF535">
            <v>0</v>
          </cell>
          <cell r="AG535">
            <v>0</v>
          </cell>
        </row>
        <row r="536">
          <cell r="A536" t="str">
            <v>TLSSFCG35</v>
          </cell>
          <cell r="D536">
            <v>2035</v>
          </cell>
          <cell r="P536">
            <v>0</v>
          </cell>
          <cell r="Q536">
            <v>0</v>
          </cell>
          <cell r="R536">
            <v>0</v>
          </cell>
          <cell r="S536">
            <v>0</v>
          </cell>
          <cell r="T536">
            <v>0</v>
          </cell>
          <cell r="U536">
            <v>0</v>
          </cell>
          <cell r="V536">
            <v>0</v>
          </cell>
          <cell r="W536">
            <v>0</v>
          </cell>
          <cell r="X536">
            <v>0</v>
          </cell>
          <cell r="Y536">
            <v>0</v>
          </cell>
          <cell r="Z536">
            <v>0</v>
          </cell>
          <cell r="AB536">
            <v>45.478712808157368</v>
          </cell>
          <cell r="AF536">
            <v>0</v>
          </cell>
          <cell r="AG536">
            <v>0</v>
          </cell>
        </row>
        <row r="537">
          <cell r="A537" t="str">
            <v>TLSSFCG40</v>
          </cell>
          <cell r="D537">
            <v>2040</v>
          </cell>
          <cell r="P537">
            <v>0</v>
          </cell>
          <cell r="Q537">
            <v>0</v>
          </cell>
          <cell r="R537">
            <v>0</v>
          </cell>
          <cell r="S537">
            <v>0</v>
          </cell>
          <cell r="T537">
            <v>0</v>
          </cell>
          <cell r="U537">
            <v>0</v>
          </cell>
          <cell r="V537">
            <v>0</v>
          </cell>
          <cell r="W537">
            <v>0</v>
          </cell>
          <cell r="X537">
            <v>0</v>
          </cell>
          <cell r="Y537">
            <v>0</v>
          </cell>
          <cell r="Z537">
            <v>0</v>
          </cell>
          <cell r="AB537">
            <v>45.478712808157368</v>
          </cell>
          <cell r="AF537">
            <v>0</v>
          </cell>
          <cell r="AG537">
            <v>0</v>
          </cell>
        </row>
        <row r="538">
          <cell r="A538" t="str">
            <v>TLSSFCG45</v>
          </cell>
          <cell r="D538">
            <v>2045</v>
          </cell>
          <cell r="P538">
            <v>0</v>
          </cell>
          <cell r="Q538">
            <v>0</v>
          </cell>
          <cell r="R538">
            <v>0</v>
          </cell>
          <cell r="S538">
            <v>0</v>
          </cell>
          <cell r="T538">
            <v>0</v>
          </cell>
          <cell r="U538">
            <v>0</v>
          </cell>
          <cell r="V538">
            <v>0</v>
          </cell>
          <cell r="W538">
            <v>0</v>
          </cell>
          <cell r="X538">
            <v>0</v>
          </cell>
          <cell r="Y538">
            <v>0</v>
          </cell>
          <cell r="Z538">
            <v>0</v>
          </cell>
          <cell r="AB538">
            <v>45.478712808157368</v>
          </cell>
          <cell r="AF538">
            <v>0</v>
          </cell>
          <cell r="AG538">
            <v>0</v>
          </cell>
        </row>
        <row r="539">
          <cell r="A539" t="str">
            <v>TLSSFCG50</v>
          </cell>
          <cell r="D539">
            <v>2050</v>
          </cell>
          <cell r="P539">
            <v>0</v>
          </cell>
          <cell r="Q539">
            <v>0</v>
          </cell>
          <cell r="R539">
            <v>0</v>
          </cell>
          <cell r="S539">
            <v>0</v>
          </cell>
          <cell r="T539">
            <v>0</v>
          </cell>
          <cell r="U539">
            <v>0</v>
          </cell>
          <cell r="V539">
            <v>0</v>
          </cell>
          <cell r="W539">
            <v>0</v>
          </cell>
          <cell r="X539">
            <v>0</v>
          </cell>
          <cell r="Y539">
            <v>0</v>
          </cell>
          <cell r="Z539">
            <v>0</v>
          </cell>
          <cell r="AB539">
            <v>45.478712808157368</v>
          </cell>
          <cell r="AF539">
            <v>0</v>
          </cell>
          <cell r="AG539">
            <v>0</v>
          </cell>
        </row>
        <row r="540">
          <cell r="A540" t="str">
            <v>TLSSFCH05</v>
          </cell>
          <cell r="D540">
            <v>2005</v>
          </cell>
          <cell r="P540">
            <v>7960.8834935507248</v>
          </cell>
          <cell r="Q540">
            <v>0</v>
          </cell>
          <cell r="R540">
            <v>6196.0635620733128</v>
          </cell>
          <cell r="S540">
            <v>5242.9289827853863</v>
          </cell>
          <cell r="T540">
            <v>4515.5249186238379</v>
          </cell>
          <cell r="U540">
            <v>4099.4641325405846</v>
          </cell>
          <cell r="V540">
            <v>3775.0182089612658</v>
          </cell>
          <cell r="W540">
            <v>3518.5956413944132</v>
          </cell>
          <cell r="X540">
            <v>3518.5956413944132</v>
          </cell>
          <cell r="Y540">
            <v>3518.5956413944132</v>
          </cell>
          <cell r="Z540">
            <v>3518.5956413944132</v>
          </cell>
          <cell r="AB540">
            <v>45.478712808157368</v>
          </cell>
          <cell r="AF540">
            <v>0.27244153807968824</v>
          </cell>
          <cell r="AG540">
            <v>0</v>
          </cell>
        </row>
        <row r="541">
          <cell r="A541" t="str">
            <v>TLSSFCH10</v>
          </cell>
          <cell r="D541">
            <v>2010</v>
          </cell>
          <cell r="P541">
            <v>7960.8834935507248</v>
          </cell>
          <cell r="Q541">
            <v>0</v>
          </cell>
          <cell r="R541">
            <v>6196.0635620733128</v>
          </cell>
          <cell r="S541">
            <v>5242.9289827853863</v>
          </cell>
          <cell r="T541">
            <v>4515.5249186238379</v>
          </cell>
          <cell r="U541">
            <v>4099.4641325405846</v>
          </cell>
          <cell r="V541">
            <v>3775.0182089612658</v>
          </cell>
          <cell r="W541">
            <v>3518.5956413944132</v>
          </cell>
          <cell r="X541">
            <v>3518.5956413944132</v>
          </cell>
          <cell r="Y541">
            <v>3518.5956413944132</v>
          </cell>
          <cell r="Z541">
            <v>3518.5956413944132</v>
          </cell>
          <cell r="AB541">
            <v>45.478712808157368</v>
          </cell>
          <cell r="AF541">
            <v>0</v>
          </cell>
          <cell r="AG541">
            <v>0</v>
          </cell>
        </row>
        <row r="542">
          <cell r="A542" t="str">
            <v>TLSSFCH15</v>
          </cell>
          <cell r="D542">
            <v>2015</v>
          </cell>
          <cell r="P542">
            <v>7960.8834935507248</v>
          </cell>
          <cell r="Q542">
            <v>0</v>
          </cell>
          <cell r="R542">
            <v>6196.0635620733128</v>
          </cell>
          <cell r="S542">
            <v>5242.9289827853863</v>
          </cell>
          <cell r="T542">
            <v>4515.5249186238379</v>
          </cell>
          <cell r="U542">
            <v>4099.4641325405846</v>
          </cell>
          <cell r="V542">
            <v>3775.0182089612658</v>
          </cell>
          <cell r="W542">
            <v>3518.5956413944132</v>
          </cell>
          <cell r="X542">
            <v>3518.5956413944132</v>
          </cell>
          <cell r="Y542">
            <v>3518.5956413944132</v>
          </cell>
          <cell r="Z542">
            <v>3518.5956413944132</v>
          </cell>
          <cell r="AB542">
            <v>45.478712808157368</v>
          </cell>
          <cell r="AF542">
            <v>0.28348923167510359</v>
          </cell>
          <cell r="AG542">
            <v>0</v>
          </cell>
        </row>
        <row r="543">
          <cell r="A543" t="str">
            <v>TLSSFCH20</v>
          </cell>
          <cell r="D543">
            <v>2020</v>
          </cell>
          <cell r="P543">
            <v>7960.8834935507248</v>
          </cell>
          <cell r="Q543">
            <v>0</v>
          </cell>
          <cell r="R543">
            <v>6196.0635620733128</v>
          </cell>
          <cell r="S543">
            <v>5242.9289827853863</v>
          </cell>
          <cell r="T543">
            <v>4515.5249186238379</v>
          </cell>
          <cell r="U543">
            <v>4099.4641325405846</v>
          </cell>
          <cell r="V543">
            <v>3775.0182089612658</v>
          </cell>
          <cell r="W543">
            <v>3518.5956413944132</v>
          </cell>
          <cell r="X543">
            <v>3518.5956413944132</v>
          </cell>
          <cell r="Y543">
            <v>3518.5956413944132</v>
          </cell>
          <cell r="Z543">
            <v>3518.5956413944132</v>
          </cell>
          <cell r="AB543">
            <v>45.478712808157368</v>
          </cell>
          <cell r="AF543">
            <v>0.30234237492142979</v>
          </cell>
          <cell r="AG543">
            <v>0</v>
          </cell>
        </row>
        <row r="544">
          <cell r="A544" t="str">
            <v>TLSSFCH25</v>
          </cell>
          <cell r="D544">
            <v>2025</v>
          </cell>
          <cell r="P544">
            <v>7960.8834935507248</v>
          </cell>
          <cell r="Q544">
            <v>0</v>
          </cell>
          <cell r="R544">
            <v>6196.0635620733128</v>
          </cell>
          <cell r="S544">
            <v>5242.9289827853863</v>
          </cell>
          <cell r="T544">
            <v>4515.5249186238379</v>
          </cell>
          <cell r="U544">
            <v>4099.4641325405846</v>
          </cell>
          <cell r="V544">
            <v>3775.0182089612658</v>
          </cell>
          <cell r="W544">
            <v>3518.5956413944132</v>
          </cell>
          <cell r="X544">
            <v>3518.5956413944132</v>
          </cell>
          <cell r="Y544">
            <v>3518.5956413944132</v>
          </cell>
          <cell r="Z544">
            <v>3518.5956413944132</v>
          </cell>
          <cell r="AB544">
            <v>45.478712808157368</v>
          </cell>
          <cell r="AF544">
            <v>0.32419068121984812</v>
          </cell>
          <cell r="AG544">
            <v>0</v>
          </cell>
        </row>
        <row r="545">
          <cell r="A545" t="str">
            <v>TLSSFCH30</v>
          </cell>
          <cell r="D545">
            <v>2030</v>
          </cell>
          <cell r="P545">
            <v>7960.8834935507248</v>
          </cell>
          <cell r="Q545">
            <v>0</v>
          </cell>
          <cell r="R545">
            <v>6196.0635620733128</v>
          </cell>
          <cell r="S545">
            <v>5242.9289827853863</v>
          </cell>
          <cell r="T545">
            <v>4515.5249186238379</v>
          </cell>
          <cell r="U545">
            <v>4099.4641325405846</v>
          </cell>
          <cell r="V545">
            <v>3775.0182089612658</v>
          </cell>
          <cell r="W545">
            <v>3518.5956413944132</v>
          </cell>
          <cell r="X545">
            <v>3518.5956413944132</v>
          </cell>
          <cell r="Y545">
            <v>3518.5956413944132</v>
          </cell>
          <cell r="Z545">
            <v>3518.5956413944132</v>
          </cell>
          <cell r="AB545">
            <v>45.478712808157368</v>
          </cell>
          <cell r="AF545">
            <v>0.32462287727580724</v>
          </cell>
          <cell r="AG545">
            <v>0</v>
          </cell>
        </row>
        <row r="546">
          <cell r="A546" t="str">
            <v>TLSSFCH35</v>
          </cell>
          <cell r="D546">
            <v>2035</v>
          </cell>
          <cell r="P546">
            <v>7960.8834935507248</v>
          </cell>
          <cell r="Q546">
            <v>0</v>
          </cell>
          <cell r="R546">
            <v>6196.0635620733128</v>
          </cell>
          <cell r="S546">
            <v>5242.9289827853863</v>
          </cell>
          <cell r="T546">
            <v>4515.5249186238379</v>
          </cell>
          <cell r="U546">
            <v>4099.4641325405846</v>
          </cell>
          <cell r="V546">
            <v>3775.0182089612658</v>
          </cell>
          <cell r="W546">
            <v>3518.5956413944132</v>
          </cell>
          <cell r="X546">
            <v>3518.5956413944132</v>
          </cell>
          <cell r="Y546">
            <v>3518.5956413944132</v>
          </cell>
          <cell r="Z546">
            <v>3518.5956413944132</v>
          </cell>
          <cell r="AB546">
            <v>45.478712808157368</v>
          </cell>
          <cell r="AF546">
            <v>0.32472298073677991</v>
          </cell>
          <cell r="AG546">
            <v>0</v>
          </cell>
        </row>
        <row r="547">
          <cell r="A547" t="str">
            <v>TLSSFCH40</v>
          </cell>
          <cell r="D547">
            <v>2040</v>
          </cell>
          <cell r="P547">
            <v>7960.8834935507248</v>
          </cell>
          <cell r="Q547">
            <v>0</v>
          </cell>
          <cell r="R547">
            <v>6196.0635620733128</v>
          </cell>
          <cell r="S547">
            <v>5242.9289827853863</v>
          </cell>
          <cell r="T547">
            <v>4515.5249186238379</v>
          </cell>
          <cell r="U547">
            <v>4099.4641325405846</v>
          </cell>
          <cell r="V547">
            <v>3775.0182089612658</v>
          </cell>
          <cell r="W547">
            <v>3518.5956413944132</v>
          </cell>
          <cell r="X547">
            <v>3518.5956413944132</v>
          </cell>
          <cell r="Y547">
            <v>3518.5956413944132</v>
          </cell>
          <cell r="Z547">
            <v>3518.5956413944132</v>
          </cell>
          <cell r="AB547">
            <v>45.478712808157368</v>
          </cell>
          <cell r="AF547">
            <v>0.3248258797078904</v>
          </cell>
          <cell r="AG547">
            <v>0</v>
          </cell>
        </row>
        <row r="548">
          <cell r="A548" t="str">
            <v>TLSSFCH45</v>
          </cell>
          <cell r="D548">
            <v>2045</v>
          </cell>
          <cell r="P548">
            <v>7960.8834935507248</v>
          </cell>
          <cell r="Q548">
            <v>0</v>
          </cell>
          <cell r="R548">
            <v>6196.0635620733128</v>
          </cell>
          <cell r="S548">
            <v>5242.9289827853863</v>
          </cell>
          <cell r="T548">
            <v>4515.5249186238379</v>
          </cell>
          <cell r="U548">
            <v>4099.4641325405846</v>
          </cell>
          <cell r="V548">
            <v>3775.0182089612658</v>
          </cell>
          <cell r="W548">
            <v>3518.5956413944132</v>
          </cell>
          <cell r="X548">
            <v>3518.5956413944132</v>
          </cell>
          <cell r="Y548">
            <v>3518.5956413944132</v>
          </cell>
          <cell r="Z548">
            <v>3518.5956413944132</v>
          </cell>
          <cell r="AB548">
            <v>45.478712808157368</v>
          </cell>
          <cell r="AF548">
            <v>0.3248258797078904</v>
          </cell>
          <cell r="AG548">
            <v>0</v>
          </cell>
        </row>
        <row r="549">
          <cell r="A549" t="str">
            <v>TLSSFCH50</v>
          </cell>
          <cell r="D549">
            <v>2050</v>
          </cell>
          <cell r="P549">
            <v>7960.8834935507248</v>
          </cell>
          <cell r="Q549">
            <v>0</v>
          </cell>
          <cell r="R549">
            <v>6196.0635620733128</v>
          </cell>
          <cell r="S549">
            <v>5242.9289827853863</v>
          </cell>
          <cell r="T549">
            <v>4515.5249186238379</v>
          </cell>
          <cell r="U549">
            <v>4099.4641325405846</v>
          </cell>
          <cell r="V549">
            <v>3775.0182089612658</v>
          </cell>
          <cell r="W549">
            <v>3518.5956413944132</v>
          </cell>
          <cell r="X549">
            <v>3518.5956413944132</v>
          </cell>
          <cell r="Y549">
            <v>3518.5956413944132</v>
          </cell>
          <cell r="Z549">
            <v>3518.5956413944132</v>
          </cell>
          <cell r="AB549">
            <v>45.478712808157368</v>
          </cell>
          <cell r="AF549">
            <v>0.3248258797078904</v>
          </cell>
          <cell r="AG549">
            <v>0</v>
          </cell>
        </row>
        <row r="550">
          <cell r="A550" t="str">
            <v>TLSSHEV10</v>
          </cell>
          <cell r="D550">
            <v>2010</v>
          </cell>
          <cell r="P550">
            <v>0</v>
          </cell>
          <cell r="Q550">
            <v>2347.1864155486128</v>
          </cell>
          <cell r="R550">
            <v>2317.0192021194739</v>
          </cell>
          <cell r="S550">
            <v>2328.1989812119136</v>
          </cell>
          <cell r="T550">
            <v>2344.0918531993798</v>
          </cell>
          <cell r="U550">
            <v>2306.5507504620591</v>
          </cell>
          <cell r="V550">
            <v>2296.9731405882453</v>
          </cell>
          <cell r="W550">
            <v>2295.2993558246903</v>
          </cell>
          <cell r="X550">
            <v>2295.2993558246903</v>
          </cell>
          <cell r="Y550">
            <v>2295.2993558246903</v>
          </cell>
          <cell r="Z550">
            <v>2295.2993558246903</v>
          </cell>
          <cell r="AB550">
            <v>45.478712808157368</v>
          </cell>
          <cell r="AF550">
            <v>0.30578678091020767</v>
          </cell>
          <cell r="AG550">
            <v>0</v>
          </cell>
        </row>
        <row r="551">
          <cell r="A551" t="str">
            <v>TLSSHEV15</v>
          </cell>
          <cell r="D551">
            <v>2015</v>
          </cell>
          <cell r="P551">
            <v>0</v>
          </cell>
          <cell r="Q551">
            <v>2347.1864155486128</v>
          </cell>
          <cell r="R551">
            <v>2317.0192021194739</v>
          </cell>
          <cell r="S551">
            <v>2328.1989812119136</v>
          </cell>
          <cell r="T551">
            <v>2344.0918531993798</v>
          </cell>
          <cell r="U551">
            <v>2306.5507504620591</v>
          </cell>
          <cell r="V551">
            <v>2296.9731405882453</v>
          </cell>
          <cell r="W551">
            <v>2295.2993558246903</v>
          </cell>
          <cell r="X551">
            <v>2295.2993558246903</v>
          </cell>
          <cell r="Y551">
            <v>2295.2993558246903</v>
          </cell>
          <cell r="Z551">
            <v>2295.2993558246903</v>
          </cell>
          <cell r="AB551">
            <v>45.478712808157368</v>
          </cell>
          <cell r="AF551">
            <v>0.27536081790831207</v>
          </cell>
          <cell r="AG551">
            <v>0</v>
          </cell>
        </row>
        <row r="552">
          <cell r="A552" t="str">
            <v>TLSSHEV20</v>
          </cell>
          <cell r="D552">
            <v>2020</v>
          </cell>
          <cell r="P552">
            <v>0</v>
          </cell>
          <cell r="Q552">
            <v>2347.1864155486128</v>
          </cell>
          <cell r="R552">
            <v>2317.0192021194739</v>
          </cell>
          <cell r="S552">
            <v>2328.1989812119136</v>
          </cell>
          <cell r="T552">
            <v>2344.0918531993798</v>
          </cell>
          <cell r="U552">
            <v>2306.5507504620591</v>
          </cell>
          <cell r="V552">
            <v>2296.9731405882453</v>
          </cell>
          <cell r="W552">
            <v>2295.2993558246903</v>
          </cell>
          <cell r="X552">
            <v>2295.2993558246903</v>
          </cell>
          <cell r="Y552">
            <v>2295.2993558246903</v>
          </cell>
          <cell r="Z552">
            <v>2295.2993558246903</v>
          </cell>
          <cell r="AB552">
            <v>45.478712808157368</v>
          </cell>
          <cell r="AF552">
            <v>0.30899815979651513</v>
          </cell>
          <cell r="AG552">
            <v>0</v>
          </cell>
        </row>
        <row r="553">
          <cell r="A553" t="str">
            <v>TLSSHEV25</v>
          </cell>
          <cell r="D553">
            <v>2025</v>
          </cell>
          <cell r="P553">
            <v>0</v>
          </cell>
          <cell r="Q553">
            <v>2347.1864155486128</v>
          </cell>
          <cell r="R553">
            <v>2317.0192021194739</v>
          </cell>
          <cell r="S553">
            <v>2328.1989812119136</v>
          </cell>
          <cell r="T553">
            <v>2344.0918531993798</v>
          </cell>
          <cell r="U553">
            <v>2306.5507504620591</v>
          </cell>
          <cell r="V553">
            <v>2296.9731405882453</v>
          </cell>
          <cell r="W553">
            <v>2295.2993558246903</v>
          </cell>
          <cell r="X553">
            <v>2295.2993558246903</v>
          </cell>
          <cell r="Y553">
            <v>2295.2993558246903</v>
          </cell>
          <cell r="Z553">
            <v>2295.2993558246903</v>
          </cell>
          <cell r="AB553">
            <v>45.478712808157368</v>
          </cell>
          <cell r="AF553">
            <v>0.3653498302786431</v>
          </cell>
          <cell r="AG553">
            <v>0</v>
          </cell>
        </row>
        <row r="554">
          <cell r="A554" t="str">
            <v>TLSSHEV30</v>
          </cell>
          <cell r="D554">
            <v>2030</v>
          </cell>
          <cell r="P554">
            <v>0</v>
          </cell>
          <cell r="Q554">
            <v>2347.1864155486128</v>
          </cell>
          <cell r="R554">
            <v>2317.0192021194739</v>
          </cell>
          <cell r="S554">
            <v>2328.1989812119136</v>
          </cell>
          <cell r="T554">
            <v>2344.0918531993798</v>
          </cell>
          <cell r="U554">
            <v>2306.5507504620591</v>
          </cell>
          <cell r="V554">
            <v>2296.9731405882453</v>
          </cell>
          <cell r="W554">
            <v>2295.2993558246903</v>
          </cell>
          <cell r="X554">
            <v>2295.2993558246903</v>
          </cell>
          <cell r="Y554">
            <v>2295.2993558246903</v>
          </cell>
          <cell r="Z554">
            <v>2295.2993558246903</v>
          </cell>
          <cell r="AB554">
            <v>45.478712808157368</v>
          </cell>
          <cell r="AF554">
            <v>0.36680806133795368</v>
          </cell>
          <cell r="AG554">
            <v>0</v>
          </cell>
        </row>
        <row r="555">
          <cell r="A555" t="str">
            <v>TLSSHEV35</v>
          </cell>
          <cell r="D555">
            <v>2035</v>
          </cell>
          <cell r="P555">
            <v>0</v>
          </cell>
          <cell r="Q555">
            <v>2347.1864155486128</v>
          </cell>
          <cell r="R555">
            <v>2317.0192021194739</v>
          </cell>
          <cell r="S555">
            <v>2328.1989812119136</v>
          </cell>
          <cell r="T555">
            <v>2344.0918531993798</v>
          </cell>
          <cell r="U555">
            <v>2306.5507504620591</v>
          </cell>
          <cell r="V555">
            <v>2296.9731405882453</v>
          </cell>
          <cell r="W555">
            <v>2295.2993558246903</v>
          </cell>
          <cell r="X555">
            <v>2295.2993558246903</v>
          </cell>
          <cell r="Y555">
            <v>2295.2993558246903</v>
          </cell>
          <cell r="Z555">
            <v>2295.2993558246903</v>
          </cell>
          <cell r="AB555">
            <v>45.478712808157368</v>
          </cell>
          <cell r="AF555">
            <v>0.36676967560877155</v>
          </cell>
          <cell r="AG555">
            <v>0</v>
          </cell>
        </row>
        <row r="556">
          <cell r="A556" t="str">
            <v>TLSSHEV40</v>
          </cell>
          <cell r="D556">
            <v>2040</v>
          </cell>
          <cell r="P556">
            <v>0</v>
          </cell>
          <cell r="Q556">
            <v>2347.1864155486128</v>
          </cell>
          <cell r="R556">
            <v>2317.0192021194739</v>
          </cell>
          <cell r="S556">
            <v>2328.1989812119136</v>
          </cell>
          <cell r="T556">
            <v>2344.0918531993798</v>
          </cell>
          <cell r="U556">
            <v>2306.5507504620591</v>
          </cell>
          <cell r="V556">
            <v>2296.9731405882453</v>
          </cell>
          <cell r="W556">
            <v>2295.2993558246903</v>
          </cell>
          <cell r="X556">
            <v>2295.2993558246903</v>
          </cell>
          <cell r="Y556">
            <v>2295.2993558246903</v>
          </cell>
          <cell r="Z556">
            <v>2295.2993558246903</v>
          </cell>
          <cell r="AB556">
            <v>45.478712808157368</v>
          </cell>
          <cell r="AF556">
            <v>0.36638919967431494</v>
          </cell>
          <cell r="AG556">
            <v>0</v>
          </cell>
        </row>
        <row r="557">
          <cell r="A557" t="str">
            <v>TLSSHEV45</v>
          </cell>
          <cell r="D557">
            <v>2045</v>
          </cell>
          <cell r="P557">
            <v>0</v>
          </cell>
          <cell r="Q557">
            <v>2347.1864155486128</v>
          </cell>
          <cell r="R557">
            <v>2317.0192021194739</v>
          </cell>
          <cell r="S557">
            <v>2328.1989812119136</v>
          </cell>
          <cell r="T557">
            <v>2344.0918531993798</v>
          </cell>
          <cell r="U557">
            <v>2306.5507504620591</v>
          </cell>
          <cell r="V557">
            <v>2296.9731405882453</v>
          </cell>
          <cell r="W557">
            <v>2295.2993558246903</v>
          </cell>
          <cell r="X557">
            <v>2295.2993558246903</v>
          </cell>
          <cell r="Y557">
            <v>2295.2993558246903</v>
          </cell>
          <cell r="Z557">
            <v>2295.2993558246903</v>
          </cell>
          <cell r="AB557">
            <v>45.478712808157368</v>
          </cell>
          <cell r="AF557">
            <v>0.36638919967431494</v>
          </cell>
          <cell r="AG557">
            <v>0</v>
          </cell>
        </row>
        <row r="558">
          <cell r="A558" t="str">
            <v>TLSSHEV50</v>
          </cell>
          <cell r="D558">
            <v>2050</v>
          </cell>
          <cell r="P558">
            <v>0</v>
          </cell>
          <cell r="Q558">
            <v>2347.1864155486128</v>
          </cell>
          <cell r="R558">
            <v>2317.0192021194739</v>
          </cell>
          <cell r="S558">
            <v>2328.1989812119136</v>
          </cell>
          <cell r="T558">
            <v>2344.0918531993798</v>
          </cell>
          <cell r="U558">
            <v>2306.5507504620591</v>
          </cell>
          <cell r="V558">
            <v>2296.9731405882453</v>
          </cell>
          <cell r="W558">
            <v>2295.2993558246903</v>
          </cell>
          <cell r="X558">
            <v>2295.2993558246903</v>
          </cell>
          <cell r="Y558">
            <v>2295.2993558246903</v>
          </cell>
          <cell r="Z558">
            <v>2295.2993558246903</v>
          </cell>
          <cell r="AB558">
            <v>45.478712808157368</v>
          </cell>
          <cell r="AF558">
            <v>0.36638919967431494</v>
          </cell>
          <cell r="AG558">
            <v>0</v>
          </cell>
        </row>
        <row r="559">
          <cell r="A559" t="str">
            <v>TLSSPHVG10</v>
          </cell>
          <cell r="D559">
            <v>2010</v>
          </cell>
          <cell r="P559">
            <v>0</v>
          </cell>
          <cell r="Q559">
            <v>2335.149562135543</v>
          </cell>
          <cell r="R559">
            <v>2454.137952766403</v>
          </cell>
          <cell r="S559">
            <v>2519.2541126741007</v>
          </cell>
          <cell r="T559">
            <v>2594.7916145242657</v>
          </cell>
          <cell r="U559">
            <v>2599.6649828625391</v>
          </cell>
          <cell r="V559">
            <v>2601.6972842611267</v>
          </cell>
          <cell r="W559">
            <v>2603.5207374668935</v>
          </cell>
          <cell r="X559">
            <v>2603.5207374668935</v>
          </cell>
          <cell r="Y559">
            <v>2603.5207374668935</v>
          </cell>
          <cell r="Z559">
            <v>2603.5207374668935</v>
          </cell>
          <cell r="AB559">
            <v>45.478712808157368</v>
          </cell>
          <cell r="AF559">
            <v>0.45756858352952118</v>
          </cell>
          <cell r="AG559">
            <v>0.25181758647722052</v>
          </cell>
        </row>
        <row r="560">
          <cell r="A560" t="str">
            <v>TLSSPHVG15</v>
          </cell>
          <cell r="D560">
            <v>2015</v>
          </cell>
          <cell r="P560">
            <v>0</v>
          </cell>
          <cell r="Q560">
            <v>2335.149562135543</v>
          </cell>
          <cell r="R560">
            <v>2454.137952766403</v>
          </cell>
          <cell r="S560">
            <v>2519.2541126741007</v>
          </cell>
          <cell r="T560">
            <v>2594.7916145242657</v>
          </cell>
          <cell r="U560">
            <v>2599.6649828625391</v>
          </cell>
          <cell r="V560">
            <v>2601.6972842611267</v>
          </cell>
          <cell r="W560">
            <v>2603.5207374668935</v>
          </cell>
          <cell r="X560">
            <v>2603.5207374668935</v>
          </cell>
          <cell r="Y560">
            <v>2603.5207374668935</v>
          </cell>
          <cell r="Z560">
            <v>2603.5207374668935</v>
          </cell>
          <cell r="AB560">
            <v>45.478712808157368</v>
          </cell>
          <cell r="AF560">
            <v>0.41204024266449502</v>
          </cell>
          <cell r="AG560">
            <v>0.25181758647722052</v>
          </cell>
        </row>
        <row r="561">
          <cell r="A561" t="str">
            <v>TLSSPHVG20</v>
          </cell>
          <cell r="D561">
            <v>2020</v>
          </cell>
          <cell r="P561">
            <v>0</v>
          </cell>
          <cell r="Q561">
            <v>2335.149562135543</v>
          </cell>
          <cell r="R561">
            <v>2454.137952766403</v>
          </cell>
          <cell r="S561">
            <v>2519.2541126741007</v>
          </cell>
          <cell r="T561">
            <v>2594.7916145242657</v>
          </cell>
          <cell r="U561">
            <v>2599.6649828625391</v>
          </cell>
          <cell r="V561">
            <v>2601.6972842611267</v>
          </cell>
          <cell r="W561">
            <v>2603.5207374668935</v>
          </cell>
          <cell r="X561">
            <v>2603.5207374668935</v>
          </cell>
          <cell r="Y561">
            <v>2603.5207374668935</v>
          </cell>
          <cell r="Z561">
            <v>2603.5207374668935</v>
          </cell>
          <cell r="AB561">
            <v>45.478712808157368</v>
          </cell>
          <cell r="AF561">
            <v>0.46237397794130836</v>
          </cell>
          <cell r="AG561">
            <v>0.25181758647722052</v>
          </cell>
        </row>
        <row r="562">
          <cell r="A562" t="str">
            <v>TLSSPHVG25</v>
          </cell>
          <cell r="D562">
            <v>2025</v>
          </cell>
          <cell r="P562">
            <v>0</v>
          </cell>
          <cell r="Q562">
            <v>2335.149562135543</v>
          </cell>
          <cell r="R562">
            <v>2454.137952766403</v>
          </cell>
          <cell r="S562">
            <v>2519.2541126741007</v>
          </cell>
          <cell r="T562">
            <v>2594.7916145242657</v>
          </cell>
          <cell r="U562">
            <v>2599.6649828625391</v>
          </cell>
          <cell r="V562">
            <v>2601.6972842611267</v>
          </cell>
          <cell r="W562">
            <v>2603.5207374668935</v>
          </cell>
          <cell r="X562">
            <v>2603.5207374668935</v>
          </cell>
          <cell r="Y562">
            <v>2603.5207374668935</v>
          </cell>
          <cell r="Z562">
            <v>2603.5207374668935</v>
          </cell>
          <cell r="AB562">
            <v>45.478712808157368</v>
          </cell>
          <cell r="AF562">
            <v>0.5466966355960261</v>
          </cell>
          <cell r="AG562">
            <v>0.25181758647722052</v>
          </cell>
        </row>
        <row r="563">
          <cell r="A563" t="str">
            <v>TLSSPHVG30</v>
          </cell>
          <cell r="D563">
            <v>2030</v>
          </cell>
          <cell r="P563">
            <v>0</v>
          </cell>
          <cell r="Q563">
            <v>2335.149562135543</v>
          </cell>
          <cell r="R563">
            <v>2454.137952766403</v>
          </cell>
          <cell r="S563">
            <v>2519.2541126741007</v>
          </cell>
          <cell r="T563">
            <v>2594.7916145242657</v>
          </cell>
          <cell r="U563">
            <v>2599.6649828625391</v>
          </cell>
          <cell r="V563">
            <v>2601.6972842611267</v>
          </cell>
          <cell r="W563">
            <v>2603.5207374668935</v>
          </cell>
          <cell r="X563">
            <v>2603.5207374668935</v>
          </cell>
          <cell r="Y563">
            <v>2603.5207374668935</v>
          </cell>
          <cell r="Z563">
            <v>2603.5207374668935</v>
          </cell>
          <cell r="AB563">
            <v>45.478712808157368</v>
          </cell>
          <cell r="AF563">
            <v>0.54887868126288397</v>
          </cell>
          <cell r="AG563">
            <v>0.25181758647722052</v>
          </cell>
        </row>
        <row r="564">
          <cell r="A564" t="str">
            <v>TLSSPHVG35</v>
          </cell>
          <cell r="D564">
            <v>2035</v>
          </cell>
          <cell r="P564">
            <v>0</v>
          </cell>
          <cell r="Q564">
            <v>2335.149562135543</v>
          </cell>
          <cell r="R564">
            <v>2454.137952766403</v>
          </cell>
          <cell r="S564">
            <v>2519.2541126741007</v>
          </cell>
          <cell r="T564">
            <v>2594.7916145242657</v>
          </cell>
          <cell r="U564">
            <v>2599.6649828625391</v>
          </cell>
          <cell r="V564">
            <v>2601.6972842611267</v>
          </cell>
          <cell r="W564">
            <v>2603.5207374668935</v>
          </cell>
          <cell r="X564">
            <v>2603.5207374668935</v>
          </cell>
          <cell r="Y564">
            <v>2603.5207374668935</v>
          </cell>
          <cell r="Z564">
            <v>2603.5207374668935</v>
          </cell>
          <cell r="AB564">
            <v>45.478712808157368</v>
          </cell>
          <cell r="AF564">
            <v>0.5488212422078752</v>
          </cell>
          <cell r="AG564">
            <v>0.25181758647722052</v>
          </cell>
        </row>
        <row r="565">
          <cell r="A565" t="str">
            <v>TLSSPHVG40</v>
          </cell>
          <cell r="D565">
            <v>2040</v>
          </cell>
          <cell r="P565">
            <v>0</v>
          </cell>
          <cell r="Q565">
            <v>2335.149562135543</v>
          </cell>
          <cell r="R565">
            <v>2454.137952766403</v>
          </cell>
          <cell r="S565">
            <v>2519.2541126741007</v>
          </cell>
          <cell r="T565">
            <v>2594.7916145242657</v>
          </cell>
          <cell r="U565">
            <v>2599.6649828625391</v>
          </cell>
          <cell r="V565">
            <v>2601.6972842611267</v>
          </cell>
          <cell r="W565">
            <v>2603.5207374668935</v>
          </cell>
          <cell r="X565">
            <v>2603.5207374668935</v>
          </cell>
          <cell r="Y565">
            <v>2603.5207374668935</v>
          </cell>
          <cell r="Z565">
            <v>2603.5207374668935</v>
          </cell>
          <cell r="AB565">
            <v>45.478712808157368</v>
          </cell>
          <cell r="AF565">
            <v>0.54825191140201712</v>
          </cell>
          <cell r="AG565">
            <v>0.25181758647722052</v>
          </cell>
        </row>
        <row r="566">
          <cell r="A566" t="str">
            <v>TLSSPHVG45</v>
          </cell>
          <cell r="D566">
            <v>2045</v>
          </cell>
          <cell r="P566">
            <v>0</v>
          </cell>
          <cell r="Q566">
            <v>2335.149562135543</v>
          </cell>
          <cell r="R566">
            <v>2454.137952766403</v>
          </cell>
          <cell r="S566">
            <v>2519.2541126741007</v>
          </cell>
          <cell r="T566">
            <v>2594.7916145242657</v>
          </cell>
          <cell r="U566">
            <v>2599.6649828625391</v>
          </cell>
          <cell r="V566">
            <v>2601.6972842611267</v>
          </cell>
          <cell r="W566">
            <v>2603.5207374668935</v>
          </cell>
          <cell r="X566">
            <v>2603.5207374668935</v>
          </cell>
          <cell r="Y566">
            <v>2603.5207374668935</v>
          </cell>
          <cell r="Z566">
            <v>2603.5207374668935</v>
          </cell>
          <cell r="AB566">
            <v>45.478712808157368</v>
          </cell>
          <cell r="AF566">
            <v>0.54825191140201712</v>
          </cell>
          <cell r="AG566">
            <v>0.25181758647722052</v>
          </cell>
        </row>
        <row r="567">
          <cell r="A567" t="str">
            <v>TLSSPHVG50</v>
          </cell>
          <cell r="D567">
            <v>2050</v>
          </cell>
          <cell r="P567">
            <v>0</v>
          </cell>
          <cell r="Q567">
            <v>2335.149562135543</v>
          </cell>
          <cell r="R567">
            <v>2454.137952766403</v>
          </cell>
          <cell r="S567">
            <v>2519.2541126741007</v>
          </cell>
          <cell r="T567">
            <v>2594.7916145242657</v>
          </cell>
          <cell r="U567">
            <v>2599.6649828625391</v>
          </cell>
          <cell r="V567">
            <v>2601.6972842611267</v>
          </cell>
          <cell r="W567">
            <v>2603.5207374668935</v>
          </cell>
          <cell r="X567">
            <v>2603.5207374668935</v>
          </cell>
          <cell r="Y567">
            <v>2603.5207374668935</v>
          </cell>
          <cell r="Z567">
            <v>2603.5207374668935</v>
          </cell>
          <cell r="AB567">
            <v>45.478712808157368</v>
          </cell>
          <cell r="AF567">
            <v>0.54825191140201712</v>
          </cell>
          <cell r="AG567">
            <v>0.25181758647722052</v>
          </cell>
        </row>
        <row r="568">
          <cell r="A568" t="str">
            <v>TLLSCONV00</v>
          </cell>
          <cell r="D568">
            <v>2060</v>
          </cell>
          <cell r="P568">
            <v>2807.1434585384172</v>
          </cell>
          <cell r="Q568">
            <v>2693.2459511743696</v>
          </cell>
          <cell r="R568">
            <v>2747.8297180853851</v>
          </cell>
          <cell r="S568">
            <v>2829.2664681533788</v>
          </cell>
          <cell r="T568">
            <v>2917.1320849737112</v>
          </cell>
          <cell r="U568">
            <v>2924.5286028275009</v>
          </cell>
          <cell r="V568">
            <v>2926.098585284361</v>
          </cell>
          <cell r="W568">
            <v>2927.4829086472182</v>
          </cell>
          <cell r="X568">
            <v>2927.4829086472182</v>
          </cell>
          <cell r="Y568">
            <v>2927.4829086472182</v>
          </cell>
          <cell r="Z568">
            <v>2927.4829086472182</v>
          </cell>
          <cell r="AB568">
            <v>43.267274341798768</v>
          </cell>
          <cell r="AF568">
            <v>0.25477040202126144</v>
          </cell>
          <cell r="AG568">
            <v>0</v>
          </cell>
        </row>
        <row r="569">
          <cell r="A569" t="str">
            <v>TLLSCONV05</v>
          </cell>
          <cell r="D569">
            <v>2005</v>
          </cell>
          <cell r="P569">
            <v>2807.1434585384172</v>
          </cell>
          <cell r="Q569">
            <v>2693.2459511743696</v>
          </cell>
          <cell r="R569">
            <v>2747.8297180853851</v>
          </cell>
          <cell r="S569">
            <v>2829.2664681533788</v>
          </cell>
          <cell r="T569">
            <v>2917.1320849737112</v>
          </cell>
          <cell r="U569">
            <v>2924.5286028275009</v>
          </cell>
          <cell r="V569">
            <v>2926.098585284361</v>
          </cell>
          <cell r="W569">
            <v>2927.4829086472182</v>
          </cell>
          <cell r="X569">
            <v>2927.4829086472182</v>
          </cell>
          <cell r="Y569">
            <v>2927.4829086472182</v>
          </cell>
          <cell r="Z569">
            <v>2927.4829086472182</v>
          </cell>
          <cell r="AB569">
            <v>43.267274341798768</v>
          </cell>
          <cell r="AF569">
            <v>0.12733098726629746</v>
          </cell>
          <cell r="AG569">
            <v>0</v>
          </cell>
        </row>
        <row r="570">
          <cell r="A570" t="str">
            <v>TLLSCONV10</v>
          </cell>
          <cell r="D570">
            <v>2010</v>
          </cell>
          <cell r="P570">
            <v>2807.1434585384172</v>
          </cell>
          <cell r="Q570">
            <v>2693.2459511743696</v>
          </cell>
          <cell r="R570">
            <v>2747.8297180853851</v>
          </cell>
          <cell r="S570">
            <v>2829.2664681533788</v>
          </cell>
          <cell r="T570">
            <v>2917.1320849737112</v>
          </cell>
          <cell r="U570">
            <v>2924.5286028275009</v>
          </cell>
          <cell r="V570">
            <v>2926.098585284361</v>
          </cell>
          <cell r="W570">
            <v>2927.4829086472182</v>
          </cell>
          <cell r="X570">
            <v>2927.4829086472182</v>
          </cell>
          <cell r="Y570">
            <v>2927.4829086472182</v>
          </cell>
          <cell r="Z570">
            <v>2927.4829086472182</v>
          </cell>
          <cell r="AB570">
            <v>43.267274341798768</v>
          </cell>
          <cell r="AF570">
            <v>0.13907503738190202</v>
          </cell>
          <cell r="AG570">
            <v>0</v>
          </cell>
        </row>
        <row r="571">
          <cell r="A571" t="str">
            <v>TLLSCONV15</v>
          </cell>
          <cell r="D571">
            <v>2015</v>
          </cell>
          <cell r="P571">
            <v>2807.1434585384172</v>
          </cell>
          <cell r="Q571">
            <v>2693.2459511743696</v>
          </cell>
          <cell r="R571">
            <v>2747.8297180853851</v>
          </cell>
          <cell r="S571">
            <v>2829.2664681533788</v>
          </cell>
          <cell r="T571">
            <v>2917.1320849737112</v>
          </cell>
          <cell r="U571">
            <v>2924.5286028275009</v>
          </cell>
          <cell r="V571">
            <v>2926.098585284361</v>
          </cell>
          <cell r="W571">
            <v>2927.4829086472182</v>
          </cell>
          <cell r="X571">
            <v>2927.4829086472182</v>
          </cell>
          <cell r="Y571">
            <v>2927.4829086472182</v>
          </cell>
          <cell r="Z571">
            <v>2927.4829086472182</v>
          </cell>
          <cell r="AB571">
            <v>43.267274341798768</v>
          </cell>
          <cell r="AF571">
            <v>0.1672270662114618</v>
          </cell>
          <cell r="AG571">
            <v>0</v>
          </cell>
        </row>
        <row r="572">
          <cell r="A572" t="str">
            <v>TLLSCONV20</v>
          </cell>
          <cell r="D572">
            <v>2020</v>
          </cell>
          <cell r="P572">
            <v>2807.1434585384172</v>
          </cell>
          <cell r="Q572">
            <v>2693.2459511743696</v>
          </cell>
          <cell r="R572">
            <v>2747.8297180853851</v>
          </cell>
          <cell r="S572">
            <v>2829.2664681533788</v>
          </cell>
          <cell r="T572">
            <v>2917.1320849737112</v>
          </cell>
          <cell r="U572">
            <v>2924.5286028275009</v>
          </cell>
          <cell r="V572">
            <v>2926.098585284361</v>
          </cell>
          <cell r="W572">
            <v>2927.4829086472182</v>
          </cell>
          <cell r="X572">
            <v>2927.4829086472182</v>
          </cell>
          <cell r="Y572">
            <v>2927.4829086472182</v>
          </cell>
          <cell r="Z572">
            <v>2927.4829086472182</v>
          </cell>
          <cell r="AB572">
            <v>43.267274341798768</v>
          </cell>
          <cell r="AF572">
            <v>0.20353403113064714</v>
          </cell>
          <cell r="AG572">
            <v>0</v>
          </cell>
        </row>
        <row r="573">
          <cell r="A573" t="str">
            <v>TLLSCONV25</v>
          </cell>
          <cell r="D573">
            <v>2025</v>
          </cell>
          <cell r="P573">
            <v>2807.1434585384172</v>
          </cell>
          <cell r="Q573">
            <v>2693.2459511743696</v>
          </cell>
          <cell r="R573">
            <v>2747.8297180853851</v>
          </cell>
          <cell r="S573">
            <v>2829.2664681533788</v>
          </cell>
          <cell r="T573">
            <v>2917.1320849737112</v>
          </cell>
          <cell r="U573">
            <v>2924.5286028275009</v>
          </cell>
          <cell r="V573">
            <v>2926.098585284361</v>
          </cell>
          <cell r="W573">
            <v>2927.4829086472182</v>
          </cell>
          <cell r="X573">
            <v>2927.4829086472182</v>
          </cell>
          <cell r="Y573">
            <v>2927.4829086472182</v>
          </cell>
          <cell r="Z573">
            <v>2927.4829086472182</v>
          </cell>
          <cell r="AB573">
            <v>43.267274341798768</v>
          </cell>
          <cell r="AF573">
            <v>0.24801949338663357</v>
          </cell>
          <cell r="AG573">
            <v>0</v>
          </cell>
        </row>
        <row r="574">
          <cell r="A574" t="str">
            <v>TLLSCONV30</v>
          </cell>
          <cell r="D574">
            <v>2030</v>
          </cell>
          <cell r="P574">
            <v>2807.1434585384172</v>
          </cell>
          <cell r="Q574">
            <v>2693.2459511743696</v>
          </cell>
          <cell r="R574">
            <v>2747.8297180853851</v>
          </cell>
          <cell r="S574">
            <v>2829.2664681533788</v>
          </cell>
          <cell r="T574">
            <v>2917.1320849737112</v>
          </cell>
          <cell r="U574">
            <v>2924.5286028275009</v>
          </cell>
          <cell r="V574">
            <v>2926.098585284361</v>
          </cell>
          <cell r="W574">
            <v>2927.4829086472182</v>
          </cell>
          <cell r="X574">
            <v>2927.4829086472182</v>
          </cell>
          <cell r="Y574">
            <v>2927.4829086472182</v>
          </cell>
          <cell r="Z574">
            <v>2927.4829086472182</v>
          </cell>
          <cell r="AB574">
            <v>43.267274341798768</v>
          </cell>
          <cell r="AF574">
            <v>0.25333892252935203</v>
          </cell>
          <cell r="AG574">
            <v>0</v>
          </cell>
        </row>
        <row r="575">
          <cell r="A575" t="str">
            <v>TLLSCONV35</v>
          </cell>
          <cell r="D575">
            <v>2035</v>
          </cell>
          <cell r="P575">
            <v>2807.1434585384172</v>
          </cell>
          <cell r="Q575">
            <v>2693.2459511743696</v>
          </cell>
          <cell r="R575">
            <v>2747.8297180853851</v>
          </cell>
          <cell r="S575">
            <v>2829.2664681533788</v>
          </cell>
          <cell r="T575">
            <v>2917.1320849737112</v>
          </cell>
          <cell r="U575">
            <v>2924.5286028275009</v>
          </cell>
          <cell r="V575">
            <v>2926.098585284361</v>
          </cell>
          <cell r="W575">
            <v>2927.4829086472182</v>
          </cell>
          <cell r="X575">
            <v>2927.4829086472182</v>
          </cell>
          <cell r="Y575">
            <v>2927.4829086472182</v>
          </cell>
          <cell r="Z575">
            <v>2927.4829086472182</v>
          </cell>
          <cell r="AB575">
            <v>43.267274341798768</v>
          </cell>
          <cell r="AF575">
            <v>0.25508582980979971</v>
          </cell>
          <cell r="AG575">
            <v>0</v>
          </cell>
        </row>
        <row r="576">
          <cell r="A576" t="str">
            <v>TLLSCONV40</v>
          </cell>
          <cell r="D576">
            <v>2040</v>
          </cell>
          <cell r="P576">
            <v>2807.1434585384172</v>
          </cell>
          <cell r="Q576">
            <v>2693.2459511743696</v>
          </cell>
          <cell r="R576">
            <v>2747.8297180853851</v>
          </cell>
          <cell r="S576">
            <v>2829.2664681533788</v>
          </cell>
          <cell r="T576">
            <v>2917.1320849737112</v>
          </cell>
          <cell r="U576">
            <v>2924.5286028275009</v>
          </cell>
          <cell r="V576">
            <v>2926.098585284361</v>
          </cell>
          <cell r="W576">
            <v>2927.4829086472182</v>
          </cell>
          <cell r="X576">
            <v>2927.4829086472182</v>
          </cell>
          <cell r="Y576">
            <v>2927.4829086472182</v>
          </cell>
          <cell r="Z576">
            <v>2927.4829086472182</v>
          </cell>
          <cell r="AB576">
            <v>43.267274341798768</v>
          </cell>
          <cell r="AF576">
            <v>0.25477040202126144</v>
          </cell>
          <cell r="AG576">
            <v>0</v>
          </cell>
        </row>
        <row r="577">
          <cell r="A577" t="str">
            <v>TLLSCONV45</v>
          </cell>
          <cell r="D577">
            <v>2045</v>
          </cell>
          <cell r="P577">
            <v>2807.1434585384172</v>
          </cell>
          <cell r="Q577">
            <v>2693.2459511743696</v>
          </cell>
          <cell r="R577">
            <v>2747.8297180853851</v>
          </cell>
          <cell r="S577">
            <v>2829.2664681533788</v>
          </cell>
          <cell r="T577">
            <v>2917.1320849737112</v>
          </cell>
          <cell r="U577">
            <v>2924.5286028275009</v>
          </cell>
          <cell r="V577">
            <v>2926.098585284361</v>
          </cell>
          <cell r="W577">
            <v>2927.4829086472182</v>
          </cell>
          <cell r="X577">
            <v>2927.4829086472182</v>
          </cell>
          <cell r="Y577">
            <v>2927.4829086472182</v>
          </cell>
          <cell r="Z577">
            <v>2927.4829086472182</v>
          </cell>
          <cell r="AB577">
            <v>43.267274341798768</v>
          </cell>
          <cell r="AF577">
            <v>0.25477040202126144</v>
          </cell>
          <cell r="AG577">
            <v>0</v>
          </cell>
        </row>
        <row r="578">
          <cell r="A578" t="str">
            <v>TLLSCONV50</v>
          </cell>
          <cell r="D578">
            <v>2050</v>
          </cell>
          <cell r="P578">
            <v>2807.1434585384172</v>
          </cell>
          <cell r="Q578">
            <v>2693.2459511743696</v>
          </cell>
          <cell r="R578">
            <v>2747.8297180853851</v>
          </cell>
          <cell r="S578">
            <v>2829.2664681533788</v>
          </cell>
          <cell r="T578">
            <v>2917.1320849737112</v>
          </cell>
          <cell r="U578">
            <v>2924.5286028275009</v>
          </cell>
          <cell r="V578">
            <v>2926.098585284361</v>
          </cell>
          <cell r="W578">
            <v>2927.4829086472182</v>
          </cell>
          <cell r="X578">
            <v>2927.4829086472182</v>
          </cell>
          <cell r="Y578">
            <v>2927.4829086472182</v>
          </cell>
          <cell r="Z578">
            <v>2927.4829086472182</v>
          </cell>
          <cell r="AB578">
            <v>43.267274341798768</v>
          </cell>
          <cell r="AF578">
            <v>0.25477040202126144</v>
          </cell>
          <cell r="AG578">
            <v>0</v>
          </cell>
        </row>
        <row r="579">
          <cell r="A579" t="str">
            <v>TLLSDHEV20</v>
          </cell>
          <cell r="D579">
            <v>2020</v>
          </cell>
          <cell r="P579">
            <v>0</v>
          </cell>
          <cell r="Q579">
            <v>0</v>
          </cell>
          <cell r="R579">
            <v>0</v>
          </cell>
          <cell r="S579">
            <v>3642.2549123951053</v>
          </cell>
          <cell r="T579">
            <v>3614.7552015079518</v>
          </cell>
          <cell r="U579">
            <v>3568.8090379976011</v>
          </cell>
          <cell r="V579">
            <v>3556.4205728491224</v>
          </cell>
          <cell r="W579">
            <v>3553.7603369891763</v>
          </cell>
          <cell r="X579">
            <v>3553.7603369891763</v>
          </cell>
          <cell r="Y579">
            <v>3553.7603369891763</v>
          </cell>
          <cell r="Z579">
            <v>3553.7603369891763</v>
          </cell>
          <cell r="AB579">
            <v>45.478712808157368</v>
          </cell>
          <cell r="AF579">
            <v>0.2784415783346022</v>
          </cell>
          <cell r="AG579">
            <v>0</v>
          </cell>
        </row>
        <row r="580">
          <cell r="A580" t="str">
            <v>TLLSDHEV25</v>
          </cell>
          <cell r="D580">
            <v>2025</v>
          </cell>
          <cell r="P580">
            <v>0</v>
          </cell>
          <cell r="Q580">
            <v>0</v>
          </cell>
          <cell r="R580">
            <v>0</v>
          </cell>
          <cell r="S580">
            <v>3642.2549123951053</v>
          </cell>
          <cell r="T580">
            <v>3614.7552015079518</v>
          </cell>
          <cell r="U580">
            <v>3568.8090379976011</v>
          </cell>
          <cell r="V580">
            <v>3556.4205728491224</v>
          </cell>
          <cell r="W580">
            <v>3553.7603369891763</v>
          </cell>
          <cell r="X580">
            <v>3553.7603369891763</v>
          </cell>
          <cell r="Y580">
            <v>3553.7603369891763</v>
          </cell>
          <cell r="Z580">
            <v>3553.7603369891763</v>
          </cell>
          <cell r="AB580">
            <v>45.478712808157368</v>
          </cell>
          <cell r="AF580">
            <v>0.30915377228225238</v>
          </cell>
          <cell r="AG580">
            <v>0</v>
          </cell>
        </row>
        <row r="581">
          <cell r="A581" t="str">
            <v>TLLSDHEV30</v>
          </cell>
          <cell r="D581">
            <v>2030</v>
          </cell>
          <cell r="P581">
            <v>0</v>
          </cell>
          <cell r="Q581">
            <v>0</v>
          </cell>
          <cell r="R581">
            <v>0</v>
          </cell>
          <cell r="S581">
            <v>3642.2549123951053</v>
          </cell>
          <cell r="T581">
            <v>3614.7552015079518</v>
          </cell>
          <cell r="U581">
            <v>3568.8090379976011</v>
          </cell>
          <cell r="V581">
            <v>3556.4205728491224</v>
          </cell>
          <cell r="W581">
            <v>3553.7603369891763</v>
          </cell>
          <cell r="X581">
            <v>3553.7603369891763</v>
          </cell>
          <cell r="Y581">
            <v>3553.7603369891763</v>
          </cell>
          <cell r="Z581">
            <v>3553.7603369891763</v>
          </cell>
          <cell r="AB581">
            <v>45.478712808157368</v>
          </cell>
          <cell r="AF581">
            <v>0.31455834667793942</v>
          </cell>
          <cell r="AG581">
            <v>0</v>
          </cell>
        </row>
        <row r="582">
          <cell r="A582" t="str">
            <v>TLLSDHEV35</v>
          </cell>
          <cell r="D582">
            <v>2035</v>
          </cell>
          <cell r="P582">
            <v>0</v>
          </cell>
          <cell r="Q582">
            <v>0</v>
          </cell>
          <cell r="R582">
            <v>0</v>
          </cell>
          <cell r="S582">
            <v>3642.2549123951053</v>
          </cell>
          <cell r="T582">
            <v>3614.7552015079518</v>
          </cell>
          <cell r="U582">
            <v>3568.8090379976011</v>
          </cell>
          <cell r="V582">
            <v>3556.4205728491224</v>
          </cell>
          <cell r="W582">
            <v>3553.7603369891763</v>
          </cell>
          <cell r="X582">
            <v>3553.7603369891763</v>
          </cell>
          <cell r="Y582">
            <v>3553.7603369891763</v>
          </cell>
          <cell r="Z582">
            <v>3553.7603369891763</v>
          </cell>
          <cell r="AB582">
            <v>45.478712808157368</v>
          </cell>
          <cell r="AF582">
            <v>0.31664562482940811</v>
          </cell>
          <cell r="AG582">
            <v>0</v>
          </cell>
        </row>
        <row r="583">
          <cell r="A583" t="str">
            <v>TLLSDHEV40</v>
          </cell>
          <cell r="D583">
            <v>2040</v>
          </cell>
          <cell r="P583">
            <v>0</v>
          </cell>
          <cell r="Q583">
            <v>0</v>
          </cell>
          <cell r="R583">
            <v>0</v>
          </cell>
          <cell r="S583">
            <v>3642.2549123951053</v>
          </cell>
          <cell r="T583">
            <v>3614.7552015079518</v>
          </cell>
          <cell r="U583">
            <v>3568.8090379976011</v>
          </cell>
          <cell r="V583">
            <v>3556.4205728491224</v>
          </cell>
          <cell r="W583">
            <v>3553.7603369891763</v>
          </cell>
          <cell r="X583">
            <v>3553.7603369891763</v>
          </cell>
          <cell r="Y583">
            <v>3553.7603369891763</v>
          </cell>
          <cell r="Z583">
            <v>3553.7603369891763</v>
          </cell>
          <cell r="AB583">
            <v>45.478712808157368</v>
          </cell>
          <cell r="AF583">
            <v>0.31688385450997103</v>
          </cell>
          <cell r="AG583">
            <v>0</v>
          </cell>
        </row>
        <row r="584">
          <cell r="A584" t="str">
            <v>TLLSDHEV45</v>
          </cell>
          <cell r="D584">
            <v>2045</v>
          </cell>
          <cell r="P584">
            <v>0</v>
          </cell>
          <cell r="Q584">
            <v>0</v>
          </cell>
          <cell r="R584">
            <v>0</v>
          </cell>
          <cell r="S584">
            <v>3642.2549123951053</v>
          </cell>
          <cell r="T584">
            <v>3614.7552015079518</v>
          </cell>
          <cell r="U584">
            <v>3568.8090379976011</v>
          </cell>
          <cell r="V584">
            <v>3556.4205728491224</v>
          </cell>
          <cell r="W584">
            <v>3553.7603369891763</v>
          </cell>
          <cell r="X584">
            <v>3553.7603369891763</v>
          </cell>
          <cell r="Y584">
            <v>3553.7603369891763</v>
          </cell>
          <cell r="Z584">
            <v>3553.7603369891763</v>
          </cell>
          <cell r="AB584">
            <v>45.478712808157368</v>
          </cell>
          <cell r="AF584">
            <v>0.31688385450997103</v>
          </cell>
          <cell r="AG584">
            <v>0</v>
          </cell>
        </row>
        <row r="585">
          <cell r="A585" t="str">
            <v>TLLSDHEV50</v>
          </cell>
          <cell r="D585">
            <v>2050</v>
          </cell>
          <cell r="P585">
            <v>0</v>
          </cell>
          <cell r="Q585">
            <v>0</v>
          </cell>
          <cell r="R585">
            <v>0</v>
          </cell>
          <cell r="S585">
            <v>3642.2549123951053</v>
          </cell>
          <cell r="T585">
            <v>3614.7552015079518</v>
          </cell>
          <cell r="U585">
            <v>3568.8090379976011</v>
          </cell>
          <cell r="V585">
            <v>3556.4205728491224</v>
          </cell>
          <cell r="W585">
            <v>3553.7603369891763</v>
          </cell>
          <cell r="X585">
            <v>3553.7603369891763</v>
          </cell>
          <cell r="Y585">
            <v>3553.7603369891763</v>
          </cell>
          <cell r="Z585">
            <v>3553.7603369891763</v>
          </cell>
          <cell r="AB585">
            <v>45.478712808157368</v>
          </cell>
          <cell r="AF585">
            <v>0.31688385450997103</v>
          </cell>
          <cell r="AG585">
            <v>0</v>
          </cell>
        </row>
        <row r="586">
          <cell r="A586" t="str">
            <v>TLLSDSL00</v>
          </cell>
          <cell r="D586">
            <v>2060</v>
          </cell>
          <cell r="P586">
            <v>2945.6992631450175</v>
          </cell>
          <cell r="Q586">
            <v>3061.8745869496329</v>
          </cell>
          <cell r="R586">
            <v>3083.093904901129</v>
          </cell>
          <cell r="S586">
            <v>3069.9500018236604</v>
          </cell>
          <cell r="T586">
            <v>3131.3491759612539</v>
          </cell>
          <cell r="U586">
            <v>3137.8929640834435</v>
          </cell>
          <cell r="V586">
            <v>3140.0873697185607</v>
          </cell>
          <cell r="W586">
            <v>3137.8133749998037</v>
          </cell>
          <cell r="X586">
            <v>3137.8133749998037</v>
          </cell>
          <cell r="Y586">
            <v>3137.8133749998037</v>
          </cell>
          <cell r="Z586">
            <v>3137.8133749998037</v>
          </cell>
          <cell r="AB586">
            <v>43.267274341798768</v>
          </cell>
          <cell r="AF586">
            <v>0.25594983347953476</v>
          </cell>
          <cell r="AG586">
            <v>0</v>
          </cell>
        </row>
        <row r="587">
          <cell r="A587" t="str">
            <v>TLLSDSL05</v>
          </cell>
          <cell r="D587">
            <v>2005</v>
          </cell>
          <cell r="P587">
            <v>2945.6992631450175</v>
          </cell>
          <cell r="Q587">
            <v>3061.8745869496329</v>
          </cell>
          <cell r="R587">
            <v>3083.093904901129</v>
          </cell>
          <cell r="S587">
            <v>3069.9500018236604</v>
          </cell>
          <cell r="T587">
            <v>3131.3491759612539</v>
          </cell>
          <cell r="U587">
            <v>3137.8929640834435</v>
          </cell>
          <cell r="V587">
            <v>3140.0873697185607</v>
          </cell>
          <cell r="W587">
            <v>3137.8133749998037</v>
          </cell>
          <cell r="X587">
            <v>3137.8133749998037</v>
          </cell>
          <cell r="Y587">
            <v>3137.8133749998037</v>
          </cell>
          <cell r="Z587">
            <v>3137.8133749998037</v>
          </cell>
          <cell r="AB587">
            <v>43.267274341798768</v>
          </cell>
          <cell r="AF587">
            <v>0.17184512870755927</v>
          </cell>
          <cell r="AG587">
            <v>0</v>
          </cell>
        </row>
        <row r="588">
          <cell r="A588" t="str">
            <v>TLLSDSL10</v>
          </cell>
          <cell r="D588">
            <v>2010</v>
          </cell>
          <cell r="P588">
            <v>2945.6992631450175</v>
          </cell>
          <cell r="Q588">
            <v>3061.8745869496329</v>
          </cell>
          <cell r="R588">
            <v>3083.093904901129</v>
          </cell>
          <cell r="S588">
            <v>3069.9500018236604</v>
          </cell>
          <cell r="T588">
            <v>3131.3491759612539</v>
          </cell>
          <cell r="U588">
            <v>3137.8929640834435</v>
          </cell>
          <cell r="V588">
            <v>3140.0873697185607</v>
          </cell>
          <cell r="W588">
            <v>3137.8133749998037</v>
          </cell>
          <cell r="X588">
            <v>3137.8133749998037</v>
          </cell>
          <cell r="Y588">
            <v>3137.8133749998037</v>
          </cell>
          <cell r="Z588">
            <v>3137.8133749998037</v>
          </cell>
          <cell r="AB588">
            <v>43.267274341798768</v>
          </cell>
          <cell r="AF588">
            <v>0.17218814152045014</v>
          </cell>
          <cell r="AG588">
            <v>0</v>
          </cell>
        </row>
        <row r="589">
          <cell r="A589" t="str">
            <v>TLLSDSL15</v>
          </cell>
          <cell r="D589">
            <v>2015</v>
          </cell>
          <cell r="P589">
            <v>2945.6992631450175</v>
          </cell>
          <cell r="Q589">
            <v>3061.8745869496329</v>
          </cell>
          <cell r="R589">
            <v>3083.093904901129</v>
          </cell>
          <cell r="S589">
            <v>3069.9500018236604</v>
          </cell>
          <cell r="T589">
            <v>3131.3491759612539</v>
          </cell>
          <cell r="U589">
            <v>3137.8929640834435</v>
          </cell>
          <cell r="V589">
            <v>3140.0873697185607</v>
          </cell>
          <cell r="W589">
            <v>3137.8133749998037</v>
          </cell>
          <cell r="X589">
            <v>3137.8133749998037</v>
          </cell>
          <cell r="Y589">
            <v>3137.8133749998037</v>
          </cell>
          <cell r="Z589">
            <v>3137.8133749998037</v>
          </cell>
          <cell r="AB589">
            <v>43.267274341798768</v>
          </cell>
          <cell r="AF589">
            <v>0.20128766998541125</v>
          </cell>
          <cell r="AG589">
            <v>0</v>
          </cell>
        </row>
        <row r="590">
          <cell r="A590" t="str">
            <v>TLLSDSL20</v>
          </cell>
          <cell r="D590">
            <v>2020</v>
          </cell>
          <cell r="P590">
            <v>2945.6992631450175</v>
          </cell>
          <cell r="Q590">
            <v>3061.8745869496329</v>
          </cell>
          <cell r="R590">
            <v>3083.093904901129</v>
          </cell>
          <cell r="S590">
            <v>3069.9500018236604</v>
          </cell>
          <cell r="T590">
            <v>3131.3491759612539</v>
          </cell>
          <cell r="U590">
            <v>3137.8929640834435</v>
          </cell>
          <cell r="V590">
            <v>3140.0873697185607</v>
          </cell>
          <cell r="W590">
            <v>3137.8133749998037</v>
          </cell>
          <cell r="X590">
            <v>3137.8133749998037</v>
          </cell>
          <cell r="Y590">
            <v>3137.8133749998037</v>
          </cell>
          <cell r="Z590">
            <v>3137.8133749998037</v>
          </cell>
          <cell r="AB590">
            <v>43.267274341798768</v>
          </cell>
          <cell r="AF590">
            <v>0.21793343639872012</v>
          </cell>
          <cell r="AG590">
            <v>0</v>
          </cell>
        </row>
        <row r="591">
          <cell r="A591" t="str">
            <v>TLLSDSL25</v>
          </cell>
          <cell r="D591">
            <v>2025</v>
          </cell>
          <cell r="P591">
            <v>2945.6992631450175</v>
          </cell>
          <cell r="Q591">
            <v>3061.8745869496329</v>
          </cell>
          <cell r="R591">
            <v>3083.093904901129</v>
          </cell>
          <cell r="S591">
            <v>3069.9500018236604</v>
          </cell>
          <cell r="T591">
            <v>3131.3491759612539</v>
          </cell>
          <cell r="U591">
            <v>3137.8929640834435</v>
          </cell>
          <cell r="V591">
            <v>3140.0873697185607</v>
          </cell>
          <cell r="W591">
            <v>3137.8133749998037</v>
          </cell>
          <cell r="X591">
            <v>3137.8133749998037</v>
          </cell>
          <cell r="Y591">
            <v>3137.8133749998037</v>
          </cell>
          <cell r="Z591">
            <v>3137.8133749998037</v>
          </cell>
          <cell r="AB591">
            <v>43.267274341798768</v>
          </cell>
          <cell r="AF591">
            <v>0.24997710826378128</v>
          </cell>
          <cell r="AG591">
            <v>0</v>
          </cell>
        </row>
        <row r="592">
          <cell r="A592" t="str">
            <v>TLLSDSL30</v>
          </cell>
          <cell r="D592">
            <v>2030</v>
          </cell>
          <cell r="P592">
            <v>2945.6992631450175</v>
          </cell>
          <cell r="Q592">
            <v>3061.8745869496329</v>
          </cell>
          <cell r="R592">
            <v>3083.093904901129</v>
          </cell>
          <cell r="S592">
            <v>3069.9500018236604</v>
          </cell>
          <cell r="T592">
            <v>3131.3491759612539</v>
          </cell>
          <cell r="U592">
            <v>3137.8929640834435</v>
          </cell>
          <cell r="V592">
            <v>3140.0873697185607</v>
          </cell>
          <cell r="W592">
            <v>3137.8133749998037</v>
          </cell>
          <cell r="X592">
            <v>3137.8133749998037</v>
          </cell>
          <cell r="Y592">
            <v>3137.8133749998037</v>
          </cell>
          <cell r="Z592">
            <v>3137.8133749998037</v>
          </cell>
          <cell r="AB592">
            <v>43.267274341798768</v>
          </cell>
          <cell r="AF592">
            <v>0.25435358445501288</v>
          </cell>
          <cell r="AG592">
            <v>0</v>
          </cell>
        </row>
        <row r="593">
          <cell r="A593" t="str">
            <v>TLLSDSL35</v>
          </cell>
          <cell r="D593">
            <v>2035</v>
          </cell>
          <cell r="P593">
            <v>2945.6992631450175</v>
          </cell>
          <cell r="Q593">
            <v>3061.8745869496329</v>
          </cell>
          <cell r="R593">
            <v>3083.093904901129</v>
          </cell>
          <cell r="S593">
            <v>3069.9500018236604</v>
          </cell>
          <cell r="T593">
            <v>3131.3491759612539</v>
          </cell>
          <cell r="U593">
            <v>3137.8929640834435</v>
          </cell>
          <cell r="V593">
            <v>3140.0873697185607</v>
          </cell>
          <cell r="W593">
            <v>3137.8133749998037</v>
          </cell>
          <cell r="X593">
            <v>3137.8133749998037</v>
          </cell>
          <cell r="Y593">
            <v>3137.8133749998037</v>
          </cell>
          <cell r="Z593">
            <v>3137.8133749998037</v>
          </cell>
          <cell r="AB593">
            <v>43.267274341798768</v>
          </cell>
          <cell r="AF593">
            <v>0.25618099478594508</v>
          </cell>
          <cell r="AG593">
            <v>0</v>
          </cell>
        </row>
        <row r="594">
          <cell r="A594" t="str">
            <v>TLLSDSL40</v>
          </cell>
          <cell r="D594">
            <v>2040</v>
          </cell>
          <cell r="P594">
            <v>2945.6992631450175</v>
          </cell>
          <cell r="Q594">
            <v>3061.8745869496329</v>
          </cell>
          <cell r="R594">
            <v>3083.093904901129</v>
          </cell>
          <cell r="S594">
            <v>3069.9500018236604</v>
          </cell>
          <cell r="T594">
            <v>3131.3491759612539</v>
          </cell>
          <cell r="U594">
            <v>3137.8929640834435</v>
          </cell>
          <cell r="V594">
            <v>3140.0873697185607</v>
          </cell>
          <cell r="W594">
            <v>3137.8133749998037</v>
          </cell>
          <cell r="X594">
            <v>3137.8133749998037</v>
          </cell>
          <cell r="Y594">
            <v>3137.8133749998037</v>
          </cell>
          <cell r="Z594">
            <v>3137.8133749998037</v>
          </cell>
          <cell r="AB594">
            <v>43.267274341798768</v>
          </cell>
          <cell r="AF594">
            <v>0.25594983347953476</v>
          </cell>
          <cell r="AG594">
            <v>0</v>
          </cell>
        </row>
        <row r="595">
          <cell r="A595" t="str">
            <v>TLLSDSL45</v>
          </cell>
          <cell r="D595">
            <v>2045</v>
          </cell>
          <cell r="P595">
            <v>2945.6992631450175</v>
          </cell>
          <cell r="Q595">
            <v>3061.8745869496329</v>
          </cell>
          <cell r="R595">
            <v>3083.093904901129</v>
          </cell>
          <cell r="S595">
            <v>3069.9500018236604</v>
          </cell>
          <cell r="T595">
            <v>3131.3491759612539</v>
          </cell>
          <cell r="U595">
            <v>3137.8929640834435</v>
          </cell>
          <cell r="V595">
            <v>3140.0873697185607</v>
          </cell>
          <cell r="W595">
            <v>3137.8133749998037</v>
          </cell>
          <cell r="X595">
            <v>3137.8133749998037</v>
          </cell>
          <cell r="Y595">
            <v>3137.8133749998037</v>
          </cell>
          <cell r="Z595">
            <v>3137.8133749998037</v>
          </cell>
          <cell r="AB595">
            <v>43.267274341798768</v>
          </cell>
          <cell r="AF595">
            <v>0.25594983347953476</v>
          </cell>
          <cell r="AG595">
            <v>0</v>
          </cell>
        </row>
        <row r="596">
          <cell r="A596" t="str">
            <v>TLLSDSL50</v>
          </cell>
          <cell r="D596">
            <v>2050</v>
          </cell>
          <cell r="P596">
            <v>2945.6992631450175</v>
          </cell>
          <cell r="Q596">
            <v>3061.8745869496329</v>
          </cell>
          <cell r="R596">
            <v>3083.093904901129</v>
          </cell>
          <cell r="S596">
            <v>3069.9500018236604</v>
          </cell>
          <cell r="T596">
            <v>3131.3491759612539</v>
          </cell>
          <cell r="U596">
            <v>3137.8929640834435</v>
          </cell>
          <cell r="V596">
            <v>3140.0873697185607</v>
          </cell>
          <cell r="W596">
            <v>3137.8133749998037</v>
          </cell>
          <cell r="X596">
            <v>3137.8133749998037</v>
          </cell>
          <cell r="Y596">
            <v>3137.8133749998037</v>
          </cell>
          <cell r="Z596">
            <v>3137.8133749998037</v>
          </cell>
          <cell r="AB596">
            <v>43.267274341798768</v>
          </cell>
          <cell r="AF596">
            <v>0.25594983347953476</v>
          </cell>
          <cell r="AG596">
            <v>0</v>
          </cell>
        </row>
        <row r="597">
          <cell r="A597" t="str">
            <v>TLLSETHX00</v>
          </cell>
          <cell r="D597">
            <v>2060</v>
          </cell>
          <cell r="P597">
            <v>2838.911238836075</v>
          </cell>
          <cell r="Q597">
            <v>2700.7689845575378</v>
          </cell>
          <cell r="R597">
            <v>2755.126091219046</v>
          </cell>
          <cell r="S597">
            <v>2836.1894748505551</v>
          </cell>
          <cell r="T597">
            <v>2924.3140487996397</v>
          </cell>
          <cell r="U597">
            <v>2931.7697464040402</v>
          </cell>
          <cell r="V597">
            <v>2933.3734518090232</v>
          </cell>
          <cell r="W597">
            <v>2934.7394140873271</v>
          </cell>
          <cell r="X597">
            <v>2934.7394140873271</v>
          </cell>
          <cell r="Y597">
            <v>2934.7394140873271</v>
          </cell>
          <cell r="Z597">
            <v>2934.7394140873271</v>
          </cell>
          <cell r="AB597">
            <v>43.267274341798768</v>
          </cell>
          <cell r="AF597">
            <v>0.25701322897942103</v>
          </cell>
          <cell r="AG597">
            <v>0</v>
          </cell>
        </row>
        <row r="598">
          <cell r="A598" t="str">
            <v>TLLSETHX05</v>
          </cell>
          <cell r="D598">
            <v>2005</v>
          </cell>
          <cell r="P598">
            <v>2838.911238836075</v>
          </cell>
          <cell r="Q598">
            <v>2700.7689845575378</v>
          </cell>
          <cell r="R598">
            <v>2755.126091219046</v>
          </cell>
          <cell r="S598">
            <v>2836.1894748505551</v>
          </cell>
          <cell r="T598">
            <v>2924.3140487996397</v>
          </cell>
          <cell r="U598">
            <v>2931.7697464040402</v>
          </cell>
          <cell r="V598">
            <v>2933.3734518090232</v>
          </cell>
          <cell r="W598">
            <v>2934.7394140873271</v>
          </cell>
          <cell r="X598">
            <v>2934.7394140873271</v>
          </cell>
          <cell r="Y598">
            <v>2934.7394140873271</v>
          </cell>
          <cell r="Z598">
            <v>2934.7394140873271</v>
          </cell>
          <cell r="AB598">
            <v>43.267274341798768</v>
          </cell>
          <cell r="AF598">
            <v>0.12860330697887154</v>
          </cell>
          <cell r="AG598">
            <v>0</v>
          </cell>
        </row>
        <row r="599">
          <cell r="A599" t="str">
            <v>TLLSETHX10</v>
          </cell>
          <cell r="D599">
            <v>2010</v>
          </cell>
          <cell r="P599">
            <v>2838.911238836075</v>
          </cell>
          <cell r="Q599">
            <v>2700.7689845575378</v>
          </cell>
          <cell r="R599">
            <v>2755.126091219046</v>
          </cell>
          <cell r="S599">
            <v>2836.1894748505551</v>
          </cell>
          <cell r="T599">
            <v>2924.3140487996397</v>
          </cell>
          <cell r="U599">
            <v>2931.7697464040402</v>
          </cell>
          <cell r="V599">
            <v>2933.3734518090232</v>
          </cell>
          <cell r="W599">
            <v>2934.7394140873271</v>
          </cell>
          <cell r="X599">
            <v>2934.7394140873271</v>
          </cell>
          <cell r="Y599">
            <v>2934.7394140873271</v>
          </cell>
          <cell r="Z599">
            <v>2934.7394140873271</v>
          </cell>
          <cell r="AB599">
            <v>43.267274341798768</v>
          </cell>
          <cell r="AF599">
            <v>0.14047597640314829</v>
          </cell>
          <cell r="AG599">
            <v>0</v>
          </cell>
        </row>
        <row r="600">
          <cell r="A600" t="str">
            <v>TLLSETHX15</v>
          </cell>
          <cell r="D600">
            <v>2015</v>
          </cell>
          <cell r="P600">
            <v>2838.911238836075</v>
          </cell>
          <cell r="Q600">
            <v>2700.7689845575378</v>
          </cell>
          <cell r="R600">
            <v>2755.126091219046</v>
          </cell>
          <cell r="S600">
            <v>2836.1894748505551</v>
          </cell>
          <cell r="T600">
            <v>2924.3140487996397</v>
          </cell>
          <cell r="U600">
            <v>2931.7697464040402</v>
          </cell>
          <cell r="V600">
            <v>2933.3734518090232</v>
          </cell>
          <cell r="W600">
            <v>2934.7394140873271</v>
          </cell>
          <cell r="X600">
            <v>2934.7394140873271</v>
          </cell>
          <cell r="Y600">
            <v>2934.7394140873271</v>
          </cell>
          <cell r="Z600">
            <v>2934.7394140873271</v>
          </cell>
          <cell r="AB600">
            <v>43.267274341798768</v>
          </cell>
          <cell r="AF600">
            <v>0.16876548192602484</v>
          </cell>
          <cell r="AG600">
            <v>0</v>
          </cell>
        </row>
        <row r="601">
          <cell r="A601" t="str">
            <v>TLLSETHX20</v>
          </cell>
          <cell r="D601">
            <v>2020</v>
          </cell>
          <cell r="P601">
            <v>2838.911238836075</v>
          </cell>
          <cell r="Q601">
            <v>2700.7689845575378</v>
          </cell>
          <cell r="R601">
            <v>2755.126091219046</v>
          </cell>
          <cell r="S601">
            <v>2836.1894748505551</v>
          </cell>
          <cell r="T601">
            <v>2924.3140487996397</v>
          </cell>
          <cell r="U601">
            <v>2931.7697464040402</v>
          </cell>
          <cell r="V601">
            <v>2933.3734518090232</v>
          </cell>
          <cell r="W601">
            <v>2934.7394140873271</v>
          </cell>
          <cell r="X601">
            <v>2934.7394140873271</v>
          </cell>
          <cell r="Y601">
            <v>2934.7394140873271</v>
          </cell>
          <cell r="Z601">
            <v>2934.7394140873271</v>
          </cell>
          <cell r="AB601">
            <v>43.267274341798768</v>
          </cell>
          <cell r="AF601">
            <v>0.20530815483553483</v>
          </cell>
          <cell r="AG601">
            <v>0</v>
          </cell>
        </row>
        <row r="602">
          <cell r="A602" t="str">
            <v>TLLSETHX25</v>
          </cell>
          <cell r="D602">
            <v>2025</v>
          </cell>
          <cell r="P602">
            <v>2838.911238836075</v>
          </cell>
          <cell r="Q602">
            <v>2700.7689845575378</v>
          </cell>
          <cell r="R602">
            <v>2755.126091219046</v>
          </cell>
          <cell r="S602">
            <v>2836.1894748505551</v>
          </cell>
          <cell r="T602">
            <v>2924.3140487996397</v>
          </cell>
          <cell r="U602">
            <v>2931.7697464040402</v>
          </cell>
          <cell r="V602">
            <v>2933.3734518090232</v>
          </cell>
          <cell r="W602">
            <v>2934.7394140873271</v>
          </cell>
          <cell r="X602">
            <v>2934.7394140873271</v>
          </cell>
          <cell r="Y602">
            <v>2934.7394140873271</v>
          </cell>
          <cell r="Z602">
            <v>2934.7394140873271</v>
          </cell>
          <cell r="AB602">
            <v>43.267274341798768</v>
          </cell>
          <cell r="AF602">
            <v>0.2502560479587207</v>
          </cell>
          <cell r="AG602">
            <v>0</v>
          </cell>
        </row>
        <row r="603">
          <cell r="A603" t="str">
            <v>TLLSETHX30</v>
          </cell>
          <cell r="D603">
            <v>2030</v>
          </cell>
          <cell r="P603">
            <v>2838.911238836075</v>
          </cell>
          <cell r="Q603">
            <v>2700.7689845575378</v>
          </cell>
          <cell r="R603">
            <v>2755.126091219046</v>
          </cell>
          <cell r="S603">
            <v>2836.1894748505551</v>
          </cell>
          <cell r="T603">
            <v>2924.3140487996397</v>
          </cell>
          <cell r="U603">
            <v>2931.7697464040402</v>
          </cell>
          <cell r="V603">
            <v>2933.3734518090232</v>
          </cell>
          <cell r="W603">
            <v>2934.7394140873271</v>
          </cell>
          <cell r="X603">
            <v>2934.7394140873271</v>
          </cell>
          <cell r="Y603">
            <v>2934.7394140873271</v>
          </cell>
          <cell r="Z603">
            <v>2934.7394140873271</v>
          </cell>
          <cell r="AB603">
            <v>43.267274341798768</v>
          </cell>
          <cell r="AF603">
            <v>0.25555191585426373</v>
          </cell>
          <cell r="AG603">
            <v>0</v>
          </cell>
        </row>
        <row r="604">
          <cell r="A604" t="str">
            <v>TLLSETHX35</v>
          </cell>
          <cell r="D604">
            <v>2035</v>
          </cell>
          <cell r="P604">
            <v>2838.911238836075</v>
          </cell>
          <cell r="Q604">
            <v>2700.7689845575378</v>
          </cell>
          <cell r="R604">
            <v>2755.126091219046</v>
          </cell>
          <cell r="S604">
            <v>2836.1894748505551</v>
          </cell>
          <cell r="T604">
            <v>2924.3140487996397</v>
          </cell>
          <cell r="U604">
            <v>2931.7697464040402</v>
          </cell>
          <cell r="V604">
            <v>2933.3734518090232</v>
          </cell>
          <cell r="W604">
            <v>2934.7394140873271</v>
          </cell>
          <cell r="X604">
            <v>2934.7394140873271</v>
          </cell>
          <cell r="Y604">
            <v>2934.7394140873271</v>
          </cell>
          <cell r="Z604">
            <v>2934.7394140873271</v>
          </cell>
          <cell r="AB604">
            <v>43.267274341798768</v>
          </cell>
          <cell r="AF604">
            <v>0.25732721762151017</v>
          </cell>
          <cell r="AG604">
            <v>0</v>
          </cell>
        </row>
        <row r="605">
          <cell r="A605" t="str">
            <v>TLLSETHX40</v>
          </cell>
          <cell r="D605">
            <v>2040</v>
          </cell>
          <cell r="P605">
            <v>2838.911238836075</v>
          </cell>
          <cell r="Q605">
            <v>2700.7689845575378</v>
          </cell>
          <cell r="R605">
            <v>2755.126091219046</v>
          </cell>
          <cell r="S605">
            <v>2836.1894748505551</v>
          </cell>
          <cell r="T605">
            <v>2924.3140487996397</v>
          </cell>
          <cell r="U605">
            <v>2931.7697464040402</v>
          </cell>
          <cell r="V605">
            <v>2933.3734518090232</v>
          </cell>
          <cell r="W605">
            <v>2934.7394140873271</v>
          </cell>
          <cell r="X605">
            <v>2934.7394140873271</v>
          </cell>
          <cell r="Y605">
            <v>2934.7394140873271</v>
          </cell>
          <cell r="Z605">
            <v>2934.7394140873271</v>
          </cell>
          <cell r="AB605">
            <v>43.267274341798768</v>
          </cell>
          <cell r="AF605">
            <v>0.25701322897942103</v>
          </cell>
          <cell r="AG605">
            <v>0</v>
          </cell>
        </row>
        <row r="606">
          <cell r="A606" t="str">
            <v>TLLSETHX45</v>
          </cell>
          <cell r="D606">
            <v>2045</v>
          </cell>
          <cell r="P606">
            <v>2838.911238836075</v>
          </cell>
          <cell r="Q606">
            <v>2700.7689845575378</v>
          </cell>
          <cell r="R606">
            <v>2755.126091219046</v>
          </cell>
          <cell r="S606">
            <v>2836.1894748505551</v>
          </cell>
          <cell r="T606">
            <v>2924.3140487996397</v>
          </cell>
          <cell r="U606">
            <v>2931.7697464040402</v>
          </cell>
          <cell r="V606">
            <v>2933.3734518090232</v>
          </cell>
          <cell r="W606">
            <v>2934.7394140873271</v>
          </cell>
          <cell r="X606">
            <v>2934.7394140873271</v>
          </cell>
          <cell r="Y606">
            <v>2934.7394140873271</v>
          </cell>
          <cell r="Z606">
            <v>2934.7394140873271</v>
          </cell>
          <cell r="AB606">
            <v>43.267274341798768</v>
          </cell>
          <cell r="AF606">
            <v>0.25701322897942103</v>
          </cell>
          <cell r="AG606">
            <v>0</v>
          </cell>
        </row>
        <row r="607">
          <cell r="A607" t="str">
            <v>TLLSETHX50</v>
          </cell>
          <cell r="D607">
            <v>2050</v>
          </cell>
          <cell r="P607">
            <v>2838.911238836075</v>
          </cell>
          <cell r="Q607">
            <v>2700.7689845575378</v>
          </cell>
          <cell r="R607">
            <v>2755.126091219046</v>
          </cell>
          <cell r="S607">
            <v>2836.1894748505551</v>
          </cell>
          <cell r="T607">
            <v>2924.3140487996397</v>
          </cell>
          <cell r="U607">
            <v>2931.7697464040402</v>
          </cell>
          <cell r="V607">
            <v>2933.3734518090232</v>
          </cell>
          <cell r="W607">
            <v>2934.7394140873271</v>
          </cell>
          <cell r="X607">
            <v>2934.7394140873271</v>
          </cell>
          <cell r="Y607">
            <v>2934.7394140873271</v>
          </cell>
          <cell r="Z607">
            <v>2934.7394140873271</v>
          </cell>
          <cell r="AB607">
            <v>43.267274341798768</v>
          </cell>
          <cell r="AF607">
            <v>0.25701322897942103</v>
          </cell>
          <cell r="AG607">
            <v>0</v>
          </cell>
        </row>
        <row r="608">
          <cell r="A608" t="str">
            <v>TLLSFCH25</v>
          </cell>
          <cell r="D608">
            <v>2025</v>
          </cell>
          <cell r="P608">
            <v>0</v>
          </cell>
          <cell r="Q608">
            <v>0</v>
          </cell>
          <cell r="R608">
            <v>0</v>
          </cell>
          <cell r="S608">
            <v>0</v>
          </cell>
          <cell r="T608">
            <v>6164.6652296672719</v>
          </cell>
          <cell r="U608">
            <v>5604.6486395241755</v>
          </cell>
          <cell r="V608">
            <v>5175.1154990899795</v>
          </cell>
          <cell r="W608">
            <v>4835.8974611982276</v>
          </cell>
          <cell r="X608">
            <v>4835.8974611982276</v>
          </cell>
          <cell r="Y608">
            <v>4835.8974611982276</v>
          </cell>
          <cell r="Z608">
            <v>4835.8974611982276</v>
          </cell>
          <cell r="AB608">
            <v>45.478712808157368</v>
          </cell>
          <cell r="AF608">
            <v>0.24431188916319141</v>
          </cell>
          <cell r="AG608">
            <v>0</v>
          </cell>
        </row>
        <row r="609">
          <cell r="A609" t="str">
            <v>TLLSFCH30</v>
          </cell>
          <cell r="D609">
            <v>2030</v>
          </cell>
          <cell r="P609">
            <v>0</v>
          </cell>
          <cell r="Q609">
            <v>0</v>
          </cell>
          <cell r="R609">
            <v>0</v>
          </cell>
          <cell r="S609">
            <v>0</v>
          </cell>
          <cell r="T609">
            <v>6164.6652296672719</v>
          </cell>
          <cell r="U609">
            <v>5604.6486395241755</v>
          </cell>
          <cell r="V609">
            <v>5175.1154990899795</v>
          </cell>
          <cell r="W609">
            <v>4835.8974611982276</v>
          </cell>
          <cell r="X609">
            <v>4835.8974611982276</v>
          </cell>
          <cell r="Y609">
            <v>4835.8974611982276</v>
          </cell>
          <cell r="Z609">
            <v>4835.8974611982276</v>
          </cell>
          <cell r="AB609">
            <v>45.478712808157368</v>
          </cell>
          <cell r="AF609">
            <v>0.24553176318384623</v>
          </cell>
          <cell r="AG609">
            <v>0</v>
          </cell>
        </row>
        <row r="610">
          <cell r="A610" t="str">
            <v>TLLSFCH35</v>
          </cell>
          <cell r="D610">
            <v>2035</v>
          </cell>
          <cell r="P610">
            <v>0</v>
          </cell>
          <cell r="Q610">
            <v>0</v>
          </cell>
          <cell r="R610">
            <v>0</v>
          </cell>
          <cell r="S610">
            <v>0</v>
          </cell>
          <cell r="T610">
            <v>6164.6652296672719</v>
          </cell>
          <cell r="U610">
            <v>5604.6486395241755</v>
          </cell>
          <cell r="V610">
            <v>5175.1154990899795</v>
          </cell>
          <cell r="W610">
            <v>4835.8974611982276</v>
          </cell>
          <cell r="X610">
            <v>4835.8974611982276</v>
          </cell>
          <cell r="Y610">
            <v>4835.8974611982276</v>
          </cell>
          <cell r="Z610">
            <v>4835.8974611982276</v>
          </cell>
          <cell r="AB610">
            <v>45.478712808157368</v>
          </cell>
          <cell r="AF610">
            <v>0.2456888084481279</v>
          </cell>
          <cell r="AG610">
            <v>0</v>
          </cell>
        </row>
        <row r="611">
          <cell r="A611" t="str">
            <v>TLLSFCH40</v>
          </cell>
          <cell r="D611">
            <v>2040</v>
          </cell>
          <cell r="P611">
            <v>0</v>
          </cell>
          <cell r="Q611">
            <v>0</v>
          </cell>
          <cell r="R611">
            <v>0</v>
          </cell>
          <cell r="S611">
            <v>0</v>
          </cell>
          <cell r="T611">
            <v>6164.6652296672719</v>
          </cell>
          <cell r="U611">
            <v>5604.6486395241755</v>
          </cell>
          <cell r="V611">
            <v>5175.1154990899795</v>
          </cell>
          <cell r="W611">
            <v>4835.8974611982276</v>
          </cell>
          <cell r="X611">
            <v>4835.8974611982276</v>
          </cell>
          <cell r="Y611">
            <v>4835.8974611982276</v>
          </cell>
          <cell r="Z611">
            <v>4835.8974611982276</v>
          </cell>
          <cell r="AB611">
            <v>45.478712808157368</v>
          </cell>
          <cell r="AF611">
            <v>0.24582095520525932</v>
          </cell>
          <cell r="AG611">
            <v>0</v>
          </cell>
        </row>
        <row r="612">
          <cell r="A612" t="str">
            <v>TLLSFCH45</v>
          </cell>
          <cell r="D612">
            <v>2045</v>
          </cell>
          <cell r="P612">
            <v>0</v>
          </cell>
          <cell r="Q612">
            <v>0</v>
          </cell>
          <cell r="R612">
            <v>0</v>
          </cell>
          <cell r="S612">
            <v>0</v>
          </cell>
          <cell r="T612">
            <v>6164.6652296672719</v>
          </cell>
          <cell r="U612">
            <v>5604.6486395241755</v>
          </cell>
          <cell r="V612">
            <v>5175.1154990899795</v>
          </cell>
          <cell r="W612">
            <v>4835.8974611982276</v>
          </cell>
          <cell r="X612">
            <v>4835.8974611982276</v>
          </cell>
          <cell r="Y612">
            <v>4835.8974611982276</v>
          </cell>
          <cell r="Z612">
            <v>4835.8974611982276</v>
          </cell>
          <cell r="AB612">
            <v>45.478712808157368</v>
          </cell>
          <cell r="AF612">
            <v>0.24582095520525932</v>
          </cell>
          <cell r="AG612">
            <v>0</v>
          </cell>
        </row>
        <row r="613">
          <cell r="A613" t="str">
            <v>TLLSFCH50</v>
          </cell>
          <cell r="D613">
            <v>2050</v>
          </cell>
          <cell r="P613">
            <v>0</v>
          </cell>
          <cell r="Q613">
            <v>0</v>
          </cell>
          <cell r="R613">
            <v>0</v>
          </cell>
          <cell r="S613">
            <v>0</v>
          </cell>
          <cell r="T613">
            <v>6164.6652296672719</v>
          </cell>
          <cell r="U613">
            <v>5604.6486395241755</v>
          </cell>
          <cell r="V613">
            <v>5175.1154990899795</v>
          </cell>
          <cell r="W613">
            <v>4835.8974611982276</v>
          </cell>
          <cell r="X613">
            <v>4835.8974611982276</v>
          </cell>
          <cell r="Y613">
            <v>4835.8974611982276</v>
          </cell>
          <cell r="Z613">
            <v>4835.8974611982276</v>
          </cell>
          <cell r="AB613">
            <v>45.478712808157368</v>
          </cell>
          <cell r="AF613">
            <v>0.24582095520525932</v>
          </cell>
          <cell r="AG613">
            <v>0</v>
          </cell>
        </row>
        <row r="614">
          <cell r="A614" t="str">
            <v>TLLSHEV00</v>
          </cell>
          <cell r="D614">
            <v>2060</v>
          </cell>
          <cell r="P614">
            <v>3235.387219349207</v>
          </cell>
          <cell r="Q614">
            <v>3302.6116552110288</v>
          </cell>
          <cell r="R614">
            <v>3232.9801198163295</v>
          </cell>
          <cell r="S614">
            <v>3259.9900798625231</v>
          </cell>
          <cell r="T614">
            <v>3277.5164300096053</v>
          </cell>
          <cell r="U614">
            <v>3232.550353395025</v>
          </cell>
          <cell r="V614">
            <v>3219.8800346259013</v>
          </cell>
          <cell r="W614">
            <v>3217.017241622023</v>
          </cell>
          <cell r="X614">
            <v>3217.017241622023</v>
          </cell>
          <cell r="Y614">
            <v>3217.017241622023</v>
          </cell>
          <cell r="Z614">
            <v>3217.017241622023</v>
          </cell>
          <cell r="AB614">
            <v>45.478712808157368</v>
          </cell>
          <cell r="AF614">
            <v>0.34152681127911316</v>
          </cell>
          <cell r="AG614">
            <v>0</v>
          </cell>
        </row>
        <row r="615">
          <cell r="A615" t="str">
            <v>TLLSHEV05</v>
          </cell>
          <cell r="D615">
            <v>2005</v>
          </cell>
          <cell r="P615">
            <v>3235.387219349207</v>
          </cell>
          <cell r="Q615">
            <v>3302.6116552110288</v>
          </cell>
          <cell r="R615">
            <v>3232.9801198163295</v>
          </cell>
          <cell r="S615">
            <v>3259.9900798625231</v>
          </cell>
          <cell r="T615">
            <v>3277.5164300096053</v>
          </cell>
          <cell r="U615">
            <v>3232.550353395025</v>
          </cell>
          <cell r="V615">
            <v>3219.8800346259013</v>
          </cell>
          <cell r="W615">
            <v>3217.017241622023</v>
          </cell>
          <cell r="X615">
            <v>3217.017241622023</v>
          </cell>
          <cell r="Y615">
            <v>3217.017241622023</v>
          </cell>
          <cell r="Z615">
            <v>3217.017241622023</v>
          </cell>
          <cell r="AB615">
            <v>45.478712808157368</v>
          </cell>
          <cell r="AF615">
            <v>0.18450823800431029</v>
          </cell>
          <cell r="AG615">
            <v>0</v>
          </cell>
        </row>
        <row r="616">
          <cell r="A616" t="str">
            <v>TLLSHEV10</v>
          </cell>
          <cell r="D616">
            <v>2010</v>
          </cell>
          <cell r="P616">
            <v>3235.387219349207</v>
          </cell>
          <cell r="Q616">
            <v>3302.6116552110288</v>
          </cell>
          <cell r="R616">
            <v>3232.9801198163295</v>
          </cell>
          <cell r="S616">
            <v>3259.9900798625231</v>
          </cell>
          <cell r="T616">
            <v>3277.5164300096053</v>
          </cell>
          <cell r="U616">
            <v>3232.550353395025</v>
          </cell>
          <cell r="V616">
            <v>3219.8800346259013</v>
          </cell>
          <cell r="W616">
            <v>3217.017241622023</v>
          </cell>
          <cell r="X616">
            <v>3217.017241622023</v>
          </cell>
          <cell r="Y616">
            <v>3217.017241622023</v>
          </cell>
          <cell r="Z616">
            <v>3217.017241622023</v>
          </cell>
          <cell r="AB616">
            <v>45.478712808157368</v>
          </cell>
          <cell r="AF616">
            <v>0.25032233147813959</v>
          </cell>
          <cell r="AG616">
            <v>0</v>
          </cell>
        </row>
        <row r="617">
          <cell r="A617" t="str">
            <v>TLLSHEV15</v>
          </cell>
          <cell r="D617">
            <v>2015</v>
          </cell>
          <cell r="P617">
            <v>3235.387219349207</v>
          </cell>
          <cell r="Q617">
            <v>3302.6116552110288</v>
          </cell>
          <cell r="R617">
            <v>3232.9801198163295</v>
          </cell>
          <cell r="S617">
            <v>3259.9900798625231</v>
          </cell>
          <cell r="T617">
            <v>3277.5164300096053</v>
          </cell>
          <cell r="U617">
            <v>3232.550353395025</v>
          </cell>
          <cell r="V617">
            <v>3219.8800346259013</v>
          </cell>
          <cell r="W617">
            <v>3217.017241622023</v>
          </cell>
          <cell r="X617">
            <v>3217.017241622023</v>
          </cell>
          <cell r="Y617">
            <v>3217.017241622023</v>
          </cell>
          <cell r="Z617">
            <v>3217.017241622023</v>
          </cell>
          <cell r="AB617">
            <v>45.478712808157368</v>
          </cell>
          <cell r="AF617">
            <v>0.23470852858740393</v>
          </cell>
          <cell r="AG617">
            <v>0</v>
          </cell>
        </row>
        <row r="618">
          <cell r="A618" t="str">
            <v>TLLSHEV20</v>
          </cell>
          <cell r="D618">
            <v>2020</v>
          </cell>
          <cell r="P618">
            <v>3235.387219349207</v>
          </cell>
          <cell r="Q618">
            <v>3302.6116552110288</v>
          </cell>
          <cell r="R618">
            <v>3232.9801198163295</v>
          </cell>
          <cell r="S618">
            <v>3259.9900798625231</v>
          </cell>
          <cell r="T618">
            <v>3277.5164300096053</v>
          </cell>
          <cell r="U618">
            <v>3232.550353395025</v>
          </cell>
          <cell r="V618">
            <v>3219.8800346259013</v>
          </cell>
          <cell r="W618">
            <v>3217.017241622023</v>
          </cell>
          <cell r="X618">
            <v>3217.017241622023</v>
          </cell>
          <cell r="Y618">
            <v>3217.017241622023</v>
          </cell>
          <cell r="Z618">
            <v>3217.017241622023</v>
          </cell>
          <cell r="AB618">
            <v>45.478712808157368</v>
          </cell>
          <cell r="AF618">
            <v>0.2720490617411323</v>
          </cell>
          <cell r="AG618">
            <v>0</v>
          </cell>
        </row>
        <row r="619">
          <cell r="A619" t="str">
            <v>TLLSHEV25</v>
          </cell>
          <cell r="D619">
            <v>2025</v>
          </cell>
          <cell r="P619">
            <v>3235.387219349207</v>
          </cell>
          <cell r="Q619">
            <v>3302.6116552110288</v>
          </cell>
          <cell r="R619">
            <v>3232.9801198163295</v>
          </cell>
          <cell r="S619">
            <v>3259.9900798625231</v>
          </cell>
          <cell r="T619">
            <v>3277.5164300096053</v>
          </cell>
          <cell r="U619">
            <v>3232.550353395025</v>
          </cell>
          <cell r="V619">
            <v>3219.8800346259013</v>
          </cell>
          <cell r="W619">
            <v>3217.017241622023</v>
          </cell>
          <cell r="X619">
            <v>3217.017241622023</v>
          </cell>
          <cell r="Y619">
            <v>3217.017241622023</v>
          </cell>
          <cell r="Z619">
            <v>3217.017241622023</v>
          </cell>
          <cell r="AB619">
            <v>45.478712808157368</v>
          </cell>
          <cell r="AF619">
            <v>0.33222418773585483</v>
          </cell>
          <cell r="AG619">
            <v>0</v>
          </cell>
        </row>
        <row r="620">
          <cell r="A620" t="str">
            <v>TLLSHEV30</v>
          </cell>
          <cell r="D620">
            <v>2030</v>
          </cell>
          <cell r="P620">
            <v>3235.387219349207</v>
          </cell>
          <cell r="Q620">
            <v>3302.6116552110288</v>
          </cell>
          <cell r="R620">
            <v>3232.9801198163295</v>
          </cell>
          <cell r="S620">
            <v>3259.9900798625231</v>
          </cell>
          <cell r="T620">
            <v>3277.5164300096053</v>
          </cell>
          <cell r="U620">
            <v>3232.550353395025</v>
          </cell>
          <cell r="V620">
            <v>3219.8800346259013</v>
          </cell>
          <cell r="W620">
            <v>3217.017241622023</v>
          </cell>
          <cell r="X620">
            <v>3217.017241622023</v>
          </cell>
          <cell r="Y620">
            <v>3217.017241622023</v>
          </cell>
          <cell r="Z620">
            <v>3217.017241622023</v>
          </cell>
          <cell r="AB620">
            <v>45.478712808157368</v>
          </cell>
          <cell r="AF620">
            <v>0.33850359760707299</v>
          </cell>
          <cell r="AG620">
            <v>0</v>
          </cell>
        </row>
        <row r="621">
          <cell r="A621" t="str">
            <v>TLLSHEV35</v>
          </cell>
          <cell r="D621">
            <v>2035</v>
          </cell>
          <cell r="P621">
            <v>3235.387219349207</v>
          </cell>
          <cell r="Q621">
            <v>3302.6116552110288</v>
          </cell>
          <cell r="R621">
            <v>3232.9801198163295</v>
          </cell>
          <cell r="S621">
            <v>3259.9900798625231</v>
          </cell>
          <cell r="T621">
            <v>3277.5164300096053</v>
          </cell>
          <cell r="U621">
            <v>3232.550353395025</v>
          </cell>
          <cell r="V621">
            <v>3219.8800346259013</v>
          </cell>
          <cell r="W621">
            <v>3217.017241622023</v>
          </cell>
          <cell r="X621">
            <v>3217.017241622023</v>
          </cell>
          <cell r="Y621">
            <v>3217.017241622023</v>
          </cell>
          <cell r="Z621">
            <v>3217.017241622023</v>
          </cell>
          <cell r="AB621">
            <v>45.478712808157368</v>
          </cell>
          <cell r="AF621">
            <v>0.34073529346791837</v>
          </cell>
          <cell r="AG621">
            <v>0</v>
          </cell>
        </row>
        <row r="622">
          <cell r="A622" t="str">
            <v>TLLSHEV40</v>
          </cell>
          <cell r="D622">
            <v>2040</v>
          </cell>
          <cell r="P622">
            <v>3235.387219349207</v>
          </cell>
          <cell r="Q622">
            <v>3302.6116552110288</v>
          </cell>
          <cell r="R622">
            <v>3232.9801198163295</v>
          </cell>
          <cell r="S622">
            <v>3259.9900798625231</v>
          </cell>
          <cell r="T622">
            <v>3277.5164300096053</v>
          </cell>
          <cell r="U622">
            <v>3232.550353395025</v>
          </cell>
          <cell r="V622">
            <v>3219.8800346259013</v>
          </cell>
          <cell r="W622">
            <v>3217.017241622023</v>
          </cell>
          <cell r="X622">
            <v>3217.017241622023</v>
          </cell>
          <cell r="Y622">
            <v>3217.017241622023</v>
          </cell>
          <cell r="Z622">
            <v>3217.017241622023</v>
          </cell>
          <cell r="AB622">
            <v>45.478712808157368</v>
          </cell>
          <cell r="AF622">
            <v>0.34152681127911316</v>
          </cell>
          <cell r="AG622">
            <v>0</v>
          </cell>
        </row>
        <row r="623">
          <cell r="A623" t="str">
            <v>TLLSHEV45</v>
          </cell>
          <cell r="D623">
            <v>2045</v>
          </cell>
          <cell r="P623">
            <v>3235.387219349207</v>
          </cell>
          <cell r="Q623">
            <v>3302.6116552110288</v>
          </cell>
          <cell r="R623">
            <v>3232.9801198163295</v>
          </cell>
          <cell r="S623">
            <v>3259.9900798625231</v>
          </cell>
          <cell r="T623">
            <v>3277.5164300096053</v>
          </cell>
          <cell r="U623">
            <v>3232.550353395025</v>
          </cell>
          <cell r="V623">
            <v>3219.8800346259013</v>
          </cell>
          <cell r="W623">
            <v>3217.017241622023</v>
          </cell>
          <cell r="X623">
            <v>3217.017241622023</v>
          </cell>
          <cell r="Y623">
            <v>3217.017241622023</v>
          </cell>
          <cell r="Z623">
            <v>3217.017241622023</v>
          </cell>
          <cell r="AB623">
            <v>45.478712808157368</v>
          </cell>
          <cell r="AF623">
            <v>0.34152681127911316</v>
          </cell>
          <cell r="AG623">
            <v>0</v>
          </cell>
        </row>
        <row r="624">
          <cell r="A624" t="str">
            <v>TLLSHEV50</v>
          </cell>
          <cell r="D624">
            <v>2050</v>
          </cell>
          <cell r="P624">
            <v>3235.387219349207</v>
          </cell>
          <cell r="Q624">
            <v>3302.6116552110288</v>
          </cell>
          <cell r="R624">
            <v>3232.9801198163295</v>
          </cell>
          <cell r="S624">
            <v>3259.9900798625231</v>
          </cell>
          <cell r="T624">
            <v>3277.5164300096053</v>
          </cell>
          <cell r="U624">
            <v>3232.550353395025</v>
          </cell>
          <cell r="V624">
            <v>3219.8800346259013</v>
          </cell>
          <cell r="W624">
            <v>3217.017241622023</v>
          </cell>
          <cell r="X624">
            <v>3217.017241622023</v>
          </cell>
          <cell r="Y624">
            <v>3217.017241622023</v>
          </cell>
          <cell r="Z624">
            <v>3217.017241622023</v>
          </cell>
          <cell r="AB624">
            <v>45.478712808157368</v>
          </cell>
          <cell r="AF624">
            <v>0.34152681127911316</v>
          </cell>
          <cell r="AG624">
            <v>0</v>
          </cell>
        </row>
        <row r="625">
          <cell r="A625" t="str">
            <v>TLLSPHVG10</v>
          </cell>
          <cell r="D625">
            <v>2010</v>
          </cell>
          <cell r="P625">
            <v>0</v>
          </cell>
          <cell r="Q625">
            <v>3245.4366014989469</v>
          </cell>
          <cell r="R625">
            <v>3284.7634257246468</v>
          </cell>
          <cell r="S625">
            <v>3366.2001757926396</v>
          </cell>
          <cell r="T625">
            <v>3454.0657926129725</v>
          </cell>
          <cell r="U625">
            <v>3461.4623104667621</v>
          </cell>
          <cell r="V625">
            <v>3463.0322929236222</v>
          </cell>
          <cell r="W625">
            <v>3464.416616286479</v>
          </cell>
          <cell r="X625">
            <v>3464.416616286479</v>
          </cell>
          <cell r="Y625">
            <v>3464.416616286479</v>
          </cell>
          <cell r="Z625">
            <v>3464.416616286479</v>
          </cell>
          <cell r="AB625">
            <v>45.478712808157368</v>
          </cell>
          <cell r="AF625">
            <v>0.37457353224792744</v>
          </cell>
          <cell r="AG625">
            <v>0.25181758647722052</v>
          </cell>
        </row>
        <row r="626">
          <cell r="A626" t="str">
            <v>TLLSPHVG15</v>
          </cell>
          <cell r="D626">
            <v>2015</v>
          </cell>
          <cell r="P626">
            <v>0</v>
          </cell>
          <cell r="Q626">
            <v>3245.4366014989469</v>
          </cell>
          <cell r="R626">
            <v>3284.7634257246468</v>
          </cell>
          <cell r="S626">
            <v>3366.2001757926396</v>
          </cell>
          <cell r="T626">
            <v>3454.0657926129725</v>
          </cell>
          <cell r="U626">
            <v>3461.4623104667621</v>
          </cell>
          <cell r="V626">
            <v>3463.0322929236222</v>
          </cell>
          <cell r="W626">
            <v>3464.416616286479</v>
          </cell>
          <cell r="X626">
            <v>3464.416616286479</v>
          </cell>
          <cell r="Y626">
            <v>3464.416616286479</v>
          </cell>
          <cell r="Z626">
            <v>3464.416616286479</v>
          </cell>
          <cell r="AB626">
            <v>45.478712808157368</v>
          </cell>
          <cell r="AF626">
            <v>0.35120958678580833</v>
          </cell>
          <cell r="AG626">
            <v>0.25181758647722052</v>
          </cell>
        </row>
        <row r="627">
          <cell r="A627" t="str">
            <v>TLLSPHVG20</v>
          </cell>
          <cell r="D627">
            <v>2020</v>
          </cell>
          <cell r="P627">
            <v>0</v>
          </cell>
          <cell r="Q627">
            <v>3245.4366014989469</v>
          </cell>
          <cell r="R627">
            <v>3284.7634257246468</v>
          </cell>
          <cell r="S627">
            <v>3366.2001757926396</v>
          </cell>
          <cell r="T627">
            <v>3454.0657926129725</v>
          </cell>
          <cell r="U627">
            <v>3461.4623104667621</v>
          </cell>
          <cell r="V627">
            <v>3463.0322929236222</v>
          </cell>
          <cell r="W627">
            <v>3464.416616286479</v>
          </cell>
          <cell r="X627">
            <v>3464.416616286479</v>
          </cell>
          <cell r="Y627">
            <v>3464.416616286479</v>
          </cell>
          <cell r="Z627">
            <v>3464.416616286479</v>
          </cell>
          <cell r="AB627">
            <v>45.478712808157368</v>
          </cell>
          <cell r="AF627">
            <v>0.40708464722017601</v>
          </cell>
          <cell r="AG627">
            <v>0.25181758647722052</v>
          </cell>
        </row>
        <row r="628">
          <cell r="A628" t="str">
            <v>TLLSPHVG25</v>
          </cell>
          <cell r="D628">
            <v>2025</v>
          </cell>
          <cell r="P628">
            <v>0</v>
          </cell>
          <cell r="Q628">
            <v>3245.4366014989469</v>
          </cell>
          <cell r="R628">
            <v>3284.7634257246468</v>
          </cell>
          <cell r="S628">
            <v>3366.2001757926396</v>
          </cell>
          <cell r="T628">
            <v>3454.0657926129725</v>
          </cell>
          <cell r="U628">
            <v>3461.4623104667621</v>
          </cell>
          <cell r="V628">
            <v>3463.0322929236222</v>
          </cell>
          <cell r="W628">
            <v>3464.416616286479</v>
          </cell>
          <cell r="X628">
            <v>3464.416616286479</v>
          </cell>
          <cell r="Y628">
            <v>3464.416616286479</v>
          </cell>
          <cell r="Z628">
            <v>3464.416616286479</v>
          </cell>
          <cell r="AB628">
            <v>45.478712808157368</v>
          </cell>
          <cell r="AF628">
            <v>0.49712858922171371</v>
          </cell>
          <cell r="AG628">
            <v>0.25181758647722052</v>
          </cell>
        </row>
        <row r="629">
          <cell r="A629" t="str">
            <v>TLLSPHVG30</v>
          </cell>
          <cell r="D629">
            <v>2030</v>
          </cell>
          <cell r="P629">
            <v>0</v>
          </cell>
          <cell r="Q629">
            <v>3245.4366014989469</v>
          </cell>
          <cell r="R629">
            <v>3284.7634257246468</v>
          </cell>
          <cell r="S629">
            <v>3366.2001757926396</v>
          </cell>
          <cell r="T629">
            <v>3454.0657926129725</v>
          </cell>
          <cell r="U629">
            <v>3461.4623104667621</v>
          </cell>
          <cell r="V629">
            <v>3463.0322929236222</v>
          </cell>
          <cell r="W629">
            <v>3464.416616286479</v>
          </cell>
          <cell r="X629">
            <v>3464.416616286479</v>
          </cell>
          <cell r="Y629">
            <v>3464.416616286479</v>
          </cell>
          <cell r="Z629">
            <v>3464.416616286479</v>
          </cell>
          <cell r="AB629">
            <v>45.478712808157368</v>
          </cell>
          <cell r="AF629">
            <v>0.50652487728760742</v>
          </cell>
          <cell r="AG629">
            <v>0.25181758647722052</v>
          </cell>
        </row>
        <row r="630">
          <cell r="A630" t="str">
            <v>TLLSPHVG35</v>
          </cell>
          <cell r="D630">
            <v>2035</v>
          </cell>
          <cell r="P630">
            <v>0</v>
          </cell>
          <cell r="Q630">
            <v>3245.4366014989469</v>
          </cell>
          <cell r="R630">
            <v>3284.7634257246468</v>
          </cell>
          <cell r="S630">
            <v>3366.2001757926396</v>
          </cell>
          <cell r="T630">
            <v>3454.0657926129725</v>
          </cell>
          <cell r="U630">
            <v>3461.4623104667621</v>
          </cell>
          <cell r="V630">
            <v>3463.0322929236222</v>
          </cell>
          <cell r="W630">
            <v>3464.416616286479</v>
          </cell>
          <cell r="X630">
            <v>3464.416616286479</v>
          </cell>
          <cell r="Y630">
            <v>3464.416616286479</v>
          </cell>
          <cell r="Z630">
            <v>3464.416616286479</v>
          </cell>
          <cell r="AB630">
            <v>45.478712808157368</v>
          </cell>
          <cell r="AF630">
            <v>0.50986430847843944</v>
          </cell>
          <cell r="AG630">
            <v>0.25181758647722052</v>
          </cell>
        </row>
        <row r="631">
          <cell r="A631" t="str">
            <v>TLLSPHVG40</v>
          </cell>
          <cell r="D631">
            <v>2040</v>
          </cell>
          <cell r="P631">
            <v>0</v>
          </cell>
          <cell r="Q631">
            <v>3245.4366014989469</v>
          </cell>
          <cell r="R631">
            <v>3284.7634257246468</v>
          </cell>
          <cell r="S631">
            <v>3366.2001757926396</v>
          </cell>
          <cell r="T631">
            <v>3454.0657926129725</v>
          </cell>
          <cell r="U631">
            <v>3461.4623104667621</v>
          </cell>
          <cell r="V631">
            <v>3463.0322929236222</v>
          </cell>
          <cell r="W631">
            <v>3464.416616286479</v>
          </cell>
          <cell r="X631">
            <v>3464.416616286479</v>
          </cell>
          <cell r="Y631">
            <v>3464.416616286479</v>
          </cell>
          <cell r="Z631">
            <v>3464.416616286479</v>
          </cell>
          <cell r="AB631">
            <v>45.478712808157368</v>
          </cell>
          <cell r="AF631">
            <v>0.51104870789109147</v>
          </cell>
          <cell r="AG631">
            <v>0.25181758647722052</v>
          </cell>
        </row>
        <row r="632">
          <cell r="A632" t="str">
            <v>TLLSPHVG45</v>
          </cell>
          <cell r="D632">
            <v>2045</v>
          </cell>
          <cell r="P632">
            <v>0</v>
          </cell>
          <cell r="Q632">
            <v>3245.4366014989469</v>
          </cell>
          <cell r="R632">
            <v>3284.7634257246468</v>
          </cell>
          <cell r="S632">
            <v>3366.2001757926396</v>
          </cell>
          <cell r="T632">
            <v>3454.0657926129725</v>
          </cell>
          <cell r="U632">
            <v>3461.4623104667621</v>
          </cell>
          <cell r="V632">
            <v>3463.0322929236222</v>
          </cell>
          <cell r="W632">
            <v>3464.416616286479</v>
          </cell>
          <cell r="X632">
            <v>3464.416616286479</v>
          </cell>
          <cell r="Y632">
            <v>3464.416616286479</v>
          </cell>
          <cell r="Z632">
            <v>3464.416616286479</v>
          </cell>
          <cell r="AB632">
            <v>45.478712808157368</v>
          </cell>
          <cell r="AF632">
            <v>0.51104870789109147</v>
          </cell>
          <cell r="AG632">
            <v>0.25181758647722052</v>
          </cell>
        </row>
        <row r="633">
          <cell r="A633" t="str">
            <v>TLLSPHVG50</v>
          </cell>
          <cell r="D633">
            <v>2050</v>
          </cell>
          <cell r="P633">
            <v>0</v>
          </cell>
          <cell r="Q633">
            <v>3245.4366014989469</v>
          </cell>
          <cell r="R633">
            <v>3284.7634257246468</v>
          </cell>
          <cell r="S633">
            <v>3366.2001757926396</v>
          </cell>
          <cell r="T633">
            <v>3454.0657926129725</v>
          </cell>
          <cell r="U633">
            <v>3461.4623104667621</v>
          </cell>
          <cell r="V633">
            <v>3463.0322929236222</v>
          </cell>
          <cell r="W633">
            <v>3464.416616286479</v>
          </cell>
          <cell r="X633">
            <v>3464.416616286479</v>
          </cell>
          <cell r="Y633">
            <v>3464.416616286479</v>
          </cell>
          <cell r="Z633">
            <v>3464.416616286479</v>
          </cell>
          <cell r="AB633">
            <v>45.478712808157368</v>
          </cell>
          <cell r="AF633">
            <v>0.51104870789109147</v>
          </cell>
          <cell r="AG633">
            <v>0.25181758647722052</v>
          </cell>
        </row>
        <row r="634">
          <cell r="A634" t="str">
            <v>TLMCHE8510</v>
          </cell>
          <cell r="D634">
            <v>2010</v>
          </cell>
          <cell r="P634">
            <v>0</v>
          </cell>
          <cell r="Q634">
            <v>3868.8886187100006</v>
          </cell>
          <cell r="R634">
            <v>3761.9918216040837</v>
          </cell>
          <cell r="S634">
            <v>3761.9918216040837</v>
          </cell>
          <cell r="T634">
            <v>3761.9918216040837</v>
          </cell>
          <cell r="U634">
            <v>3761.9918216040837</v>
          </cell>
          <cell r="V634">
            <v>3761.9918216040837</v>
          </cell>
          <cell r="W634">
            <v>3761.9918216040837</v>
          </cell>
          <cell r="X634">
            <v>3761.9918216040837</v>
          </cell>
          <cell r="Y634">
            <v>3761.9918216040837</v>
          </cell>
          <cell r="Z634">
            <v>3761.9918216040837</v>
          </cell>
          <cell r="AB634">
            <v>40.382789385678855</v>
          </cell>
          <cell r="AF634">
            <v>0.21907297032757711</v>
          </cell>
          <cell r="AG634">
            <v>0</v>
          </cell>
        </row>
        <row r="635">
          <cell r="A635" t="str">
            <v>TLMCHE8515</v>
          </cell>
          <cell r="D635">
            <v>2015</v>
          </cell>
          <cell r="P635">
            <v>0</v>
          </cell>
          <cell r="Q635">
            <v>3868.8886187100006</v>
          </cell>
          <cell r="R635">
            <v>3761.9918216040837</v>
          </cell>
          <cell r="S635">
            <v>3761.9918216040837</v>
          </cell>
          <cell r="T635">
            <v>3761.9918216040837</v>
          </cell>
          <cell r="U635">
            <v>3761.9918216040837</v>
          </cell>
          <cell r="V635">
            <v>3761.9918216040837</v>
          </cell>
          <cell r="W635">
            <v>3761.9918216040837</v>
          </cell>
          <cell r="X635">
            <v>3761.9918216040837</v>
          </cell>
          <cell r="Y635">
            <v>3761.9918216040837</v>
          </cell>
          <cell r="Z635">
            <v>3761.9918216040837</v>
          </cell>
          <cell r="AB635">
            <v>40.382789385678855</v>
          </cell>
          <cell r="AF635">
            <v>0.21907297032757711</v>
          </cell>
          <cell r="AG635">
            <v>0</v>
          </cell>
        </row>
        <row r="636">
          <cell r="A636" t="str">
            <v>TLMCHE8520</v>
          </cell>
          <cell r="D636">
            <v>2020</v>
          </cell>
          <cell r="P636">
            <v>0</v>
          </cell>
          <cell r="Q636">
            <v>3868.8886187100006</v>
          </cell>
          <cell r="R636">
            <v>3761.9918216040837</v>
          </cell>
          <cell r="S636">
            <v>3761.9918216040837</v>
          </cell>
          <cell r="T636">
            <v>3761.9918216040837</v>
          </cell>
          <cell r="U636">
            <v>3761.9918216040837</v>
          </cell>
          <cell r="V636">
            <v>3761.9918216040837</v>
          </cell>
          <cell r="W636">
            <v>3761.9918216040837</v>
          </cell>
          <cell r="X636">
            <v>3761.9918216040837</v>
          </cell>
          <cell r="Y636">
            <v>3761.9918216040837</v>
          </cell>
          <cell r="Z636">
            <v>3761.9918216040837</v>
          </cell>
          <cell r="AB636">
            <v>40.382789385678855</v>
          </cell>
          <cell r="AF636">
            <v>0.21907297032757711</v>
          </cell>
          <cell r="AG636">
            <v>0</v>
          </cell>
        </row>
        <row r="637">
          <cell r="A637" t="str">
            <v>TLMCHE8525</v>
          </cell>
          <cell r="D637">
            <v>2025</v>
          </cell>
          <cell r="P637">
            <v>0</v>
          </cell>
          <cell r="Q637">
            <v>3868.8886187100006</v>
          </cell>
          <cell r="R637">
            <v>3761.9918216040837</v>
          </cell>
          <cell r="S637">
            <v>3761.9918216040837</v>
          </cell>
          <cell r="T637">
            <v>3761.9918216040837</v>
          </cell>
          <cell r="U637">
            <v>3761.9918216040837</v>
          </cell>
          <cell r="V637">
            <v>3761.9918216040837</v>
          </cell>
          <cell r="W637">
            <v>3761.9918216040837</v>
          </cell>
          <cell r="X637">
            <v>3761.9918216040837</v>
          </cell>
          <cell r="Y637">
            <v>3761.9918216040837</v>
          </cell>
          <cell r="Z637">
            <v>3761.9918216040837</v>
          </cell>
          <cell r="AB637">
            <v>40.382789385678855</v>
          </cell>
          <cell r="AF637">
            <v>0.21907297032757711</v>
          </cell>
          <cell r="AG637">
            <v>0</v>
          </cell>
        </row>
        <row r="638">
          <cell r="A638" t="str">
            <v>TLMCHE8530</v>
          </cell>
          <cell r="D638">
            <v>2030</v>
          </cell>
          <cell r="P638">
            <v>0</v>
          </cell>
          <cell r="Q638">
            <v>3868.8886187100006</v>
          </cell>
          <cell r="R638">
            <v>3761.9918216040837</v>
          </cell>
          <cell r="S638">
            <v>3761.9918216040837</v>
          </cell>
          <cell r="T638">
            <v>3761.9918216040837</v>
          </cell>
          <cell r="U638">
            <v>3761.9918216040837</v>
          </cell>
          <cell r="V638">
            <v>3761.9918216040837</v>
          </cell>
          <cell r="W638">
            <v>3761.9918216040837</v>
          </cell>
          <cell r="X638">
            <v>3761.9918216040837</v>
          </cell>
          <cell r="Y638">
            <v>3761.9918216040837</v>
          </cell>
          <cell r="Z638">
            <v>3761.9918216040837</v>
          </cell>
          <cell r="AB638">
            <v>40.382789385678855</v>
          </cell>
          <cell r="AF638">
            <v>0.21907297032757711</v>
          </cell>
          <cell r="AG638">
            <v>0</v>
          </cell>
        </row>
        <row r="639">
          <cell r="A639" t="str">
            <v>TLMCHE8535</v>
          </cell>
          <cell r="D639">
            <v>2035</v>
          </cell>
          <cell r="P639">
            <v>0</v>
          </cell>
          <cell r="Q639">
            <v>3868.8886187100006</v>
          </cell>
          <cell r="R639">
            <v>3761.9918216040837</v>
          </cell>
          <cell r="S639">
            <v>3761.9918216040837</v>
          </cell>
          <cell r="T639">
            <v>3761.9918216040837</v>
          </cell>
          <cell r="U639">
            <v>3761.9918216040837</v>
          </cell>
          <cell r="V639">
            <v>3761.9918216040837</v>
          </cell>
          <cell r="W639">
            <v>3761.9918216040837</v>
          </cell>
          <cell r="X639">
            <v>3761.9918216040837</v>
          </cell>
          <cell r="Y639">
            <v>3761.9918216040837</v>
          </cell>
          <cell r="Z639">
            <v>3761.9918216040837</v>
          </cell>
          <cell r="AB639">
            <v>40.382789385678855</v>
          </cell>
          <cell r="AF639">
            <v>0.21907297032757711</v>
          </cell>
          <cell r="AG639">
            <v>0</v>
          </cell>
        </row>
        <row r="640">
          <cell r="A640" t="str">
            <v>TLMCHE8540</v>
          </cell>
          <cell r="D640">
            <v>2040</v>
          </cell>
          <cell r="P640">
            <v>0</v>
          </cell>
          <cell r="Q640">
            <v>3868.8886187100006</v>
          </cell>
          <cell r="R640">
            <v>3761.9918216040837</v>
          </cell>
          <cell r="S640">
            <v>3761.9918216040837</v>
          </cell>
          <cell r="T640">
            <v>3761.9918216040837</v>
          </cell>
          <cell r="U640">
            <v>3761.9918216040837</v>
          </cell>
          <cell r="V640">
            <v>3761.9918216040837</v>
          </cell>
          <cell r="W640">
            <v>3761.9918216040837</v>
          </cell>
          <cell r="X640">
            <v>3761.9918216040837</v>
          </cell>
          <cell r="Y640">
            <v>3761.9918216040837</v>
          </cell>
          <cell r="Z640">
            <v>3761.9918216040837</v>
          </cell>
          <cell r="AB640">
            <v>40.382789385678855</v>
          </cell>
          <cell r="AF640">
            <v>0.21907297032757711</v>
          </cell>
          <cell r="AG640">
            <v>0</v>
          </cell>
        </row>
        <row r="641">
          <cell r="A641" t="str">
            <v>TLMCHE8545</v>
          </cell>
          <cell r="D641">
            <v>2045</v>
          </cell>
          <cell r="P641">
            <v>0</v>
          </cell>
          <cell r="Q641">
            <v>3868.8886187100006</v>
          </cell>
          <cell r="R641">
            <v>3761.9918216040837</v>
          </cell>
          <cell r="S641">
            <v>3761.9918216040837</v>
          </cell>
          <cell r="T641">
            <v>3761.9918216040837</v>
          </cell>
          <cell r="U641">
            <v>3761.9918216040837</v>
          </cell>
          <cell r="V641">
            <v>3761.9918216040837</v>
          </cell>
          <cell r="W641">
            <v>3761.9918216040837</v>
          </cell>
          <cell r="X641">
            <v>3761.9918216040837</v>
          </cell>
          <cell r="Y641">
            <v>3761.9918216040837</v>
          </cell>
          <cell r="Z641">
            <v>3761.9918216040837</v>
          </cell>
          <cell r="AB641">
            <v>40.382789385678855</v>
          </cell>
          <cell r="AF641">
            <v>0.21907297032757711</v>
          </cell>
          <cell r="AG641">
            <v>0</v>
          </cell>
        </row>
        <row r="642">
          <cell r="A642" t="str">
            <v>TLMCHE8550</v>
          </cell>
          <cell r="D642">
            <v>2050</v>
          </cell>
          <cell r="P642">
            <v>0</v>
          </cell>
          <cell r="Q642">
            <v>3868.8886187100006</v>
          </cell>
          <cell r="R642">
            <v>3761.9918216040837</v>
          </cell>
          <cell r="S642">
            <v>3761.9918216040837</v>
          </cell>
          <cell r="T642">
            <v>3761.9918216040837</v>
          </cell>
          <cell r="U642">
            <v>3761.9918216040837</v>
          </cell>
          <cell r="V642">
            <v>3761.9918216040837</v>
          </cell>
          <cell r="W642">
            <v>3761.9918216040837</v>
          </cell>
          <cell r="X642">
            <v>3761.9918216040837</v>
          </cell>
          <cell r="Y642">
            <v>3761.9918216040837</v>
          </cell>
          <cell r="Z642">
            <v>3761.9918216040837</v>
          </cell>
          <cell r="AB642">
            <v>40.382789385678855</v>
          </cell>
          <cell r="AF642">
            <v>0.21907297032757711</v>
          </cell>
          <cell r="AG642">
            <v>0</v>
          </cell>
        </row>
        <row r="643">
          <cell r="A643" t="str">
            <v>TLCHE8510</v>
          </cell>
          <cell r="D643">
            <v>2010</v>
          </cell>
          <cell r="P643">
            <v>1719.3684832235365</v>
          </cell>
          <cell r="Q643">
            <v>2218.0141269063743</v>
          </cell>
          <cell r="R643">
            <v>1872.8852730198387</v>
          </cell>
          <cell r="S643">
            <v>1913.5491463601334</v>
          </cell>
          <cell r="T643">
            <v>1948.5550122655745</v>
          </cell>
          <cell r="U643">
            <v>1912.9818823110143</v>
          </cell>
          <cell r="V643">
            <v>1903.3728413603292</v>
          </cell>
          <cell r="W643">
            <v>1901.1575478190612</v>
          </cell>
          <cell r="X643">
            <v>1901.1575478190612</v>
          </cell>
          <cell r="Y643">
            <v>1901.1575478190612</v>
          </cell>
          <cell r="Z643">
            <v>1901.1575478190612</v>
          </cell>
          <cell r="AB643">
            <v>40.382789385678855</v>
          </cell>
          <cell r="AF643">
            <v>0.34679718304641444</v>
          </cell>
          <cell r="AG643">
            <v>0</v>
          </cell>
        </row>
        <row r="644">
          <cell r="A644" t="str">
            <v>TLCHE8515</v>
          </cell>
          <cell r="D644">
            <v>2015</v>
          </cell>
          <cell r="P644">
            <v>1719.3684832235365</v>
          </cell>
          <cell r="Q644">
            <v>2218.0141269063743</v>
          </cell>
          <cell r="R644">
            <v>1872.8852730198387</v>
          </cell>
          <cell r="S644">
            <v>1913.5491463601334</v>
          </cell>
          <cell r="T644">
            <v>1948.5550122655745</v>
          </cell>
          <cell r="U644">
            <v>1912.9818823110143</v>
          </cell>
          <cell r="V644">
            <v>1903.3728413603292</v>
          </cell>
          <cell r="W644">
            <v>1901.1575478190612</v>
          </cell>
          <cell r="X644">
            <v>1901.1575478190612</v>
          </cell>
          <cell r="Y644">
            <v>1901.1575478190612</v>
          </cell>
          <cell r="Z644">
            <v>1901.1575478190612</v>
          </cell>
          <cell r="AB644">
            <v>40.382789385678855</v>
          </cell>
          <cell r="AF644">
            <v>0.31943144529576617</v>
          </cell>
          <cell r="AG644">
            <v>0</v>
          </cell>
        </row>
        <row r="645">
          <cell r="A645" t="str">
            <v>TLCHE8520</v>
          </cell>
          <cell r="D645">
            <v>2020</v>
          </cell>
          <cell r="P645">
            <v>1719.3684832235365</v>
          </cell>
          <cell r="Q645">
            <v>2218.0141269063743</v>
          </cell>
          <cell r="R645">
            <v>1872.8852730198387</v>
          </cell>
          <cell r="S645">
            <v>1913.5491463601334</v>
          </cell>
          <cell r="T645">
            <v>1948.5550122655745</v>
          </cell>
          <cell r="U645">
            <v>1912.9818823110143</v>
          </cell>
          <cell r="V645">
            <v>1903.3728413603292</v>
          </cell>
          <cell r="W645">
            <v>1901.1575478190612</v>
          </cell>
          <cell r="X645">
            <v>1901.1575478190612</v>
          </cell>
          <cell r="Y645">
            <v>1901.1575478190612</v>
          </cell>
          <cell r="Z645">
            <v>1901.1575478190612</v>
          </cell>
          <cell r="AB645">
            <v>40.382789385678855</v>
          </cell>
          <cell r="AF645">
            <v>0.37357080466239173</v>
          </cell>
          <cell r="AG645">
            <v>0</v>
          </cell>
        </row>
        <row r="646">
          <cell r="A646" t="str">
            <v>TLCHE8525</v>
          </cell>
          <cell r="D646">
            <v>2025</v>
          </cell>
          <cell r="P646">
            <v>1719.3684832235365</v>
          </cell>
          <cell r="Q646">
            <v>2218.0141269063743</v>
          </cell>
          <cell r="R646">
            <v>1872.8852730198387</v>
          </cell>
          <cell r="S646">
            <v>1913.5491463601334</v>
          </cell>
          <cell r="T646">
            <v>1948.5550122655745</v>
          </cell>
          <cell r="U646">
            <v>1912.9818823110143</v>
          </cell>
          <cell r="V646">
            <v>1903.3728413603292</v>
          </cell>
          <cell r="W646">
            <v>1901.1575478190612</v>
          </cell>
          <cell r="X646">
            <v>1901.1575478190612</v>
          </cell>
          <cell r="Y646">
            <v>1901.1575478190612</v>
          </cell>
          <cell r="Z646">
            <v>1901.1575478190612</v>
          </cell>
          <cell r="AB646">
            <v>40.382789385678855</v>
          </cell>
          <cell r="AF646">
            <v>0.43972295588493504</v>
          </cell>
          <cell r="AG646">
            <v>0</v>
          </cell>
        </row>
        <row r="647">
          <cell r="A647" t="str">
            <v>TLCHE8530</v>
          </cell>
          <cell r="D647">
            <v>2030</v>
          </cell>
          <cell r="P647">
            <v>1719.3684832235365</v>
          </cell>
          <cell r="Q647">
            <v>2218.0141269063743</v>
          </cell>
          <cell r="R647">
            <v>1872.8852730198387</v>
          </cell>
          <cell r="S647">
            <v>1913.5491463601334</v>
          </cell>
          <cell r="T647">
            <v>1948.5550122655745</v>
          </cell>
          <cell r="U647">
            <v>1912.9818823110143</v>
          </cell>
          <cell r="V647">
            <v>1903.3728413603292</v>
          </cell>
          <cell r="W647">
            <v>1901.1575478190612</v>
          </cell>
          <cell r="X647">
            <v>1901.1575478190612</v>
          </cell>
          <cell r="Y647">
            <v>1901.1575478190612</v>
          </cell>
          <cell r="Z647">
            <v>1901.1575478190612</v>
          </cell>
          <cell r="AB647">
            <v>40.382789385678855</v>
          </cell>
          <cell r="AF647">
            <v>0.43953275651935259</v>
          </cell>
          <cell r="AG647">
            <v>0</v>
          </cell>
        </row>
        <row r="648">
          <cell r="A648" t="str">
            <v>TLCHE8535</v>
          </cell>
          <cell r="D648">
            <v>2035</v>
          </cell>
          <cell r="P648">
            <v>1719.3684832235365</v>
          </cell>
          <cell r="Q648">
            <v>2218.0141269063743</v>
          </cell>
          <cell r="R648">
            <v>1872.8852730198387</v>
          </cell>
          <cell r="S648">
            <v>1913.5491463601334</v>
          </cell>
          <cell r="T648">
            <v>1948.5550122655745</v>
          </cell>
          <cell r="U648">
            <v>1912.9818823110143</v>
          </cell>
          <cell r="V648">
            <v>1903.3728413603292</v>
          </cell>
          <cell r="W648">
            <v>1901.1575478190612</v>
          </cell>
          <cell r="X648">
            <v>1901.1575478190612</v>
          </cell>
          <cell r="Y648">
            <v>1901.1575478190612</v>
          </cell>
          <cell r="Z648">
            <v>1901.1575478190612</v>
          </cell>
          <cell r="AB648">
            <v>40.382789385678855</v>
          </cell>
          <cell r="AF648">
            <v>0.4387764794106635</v>
          </cell>
          <cell r="AG648">
            <v>0</v>
          </cell>
        </row>
        <row r="649">
          <cell r="A649" t="str">
            <v>TLCHE8540</v>
          </cell>
          <cell r="D649">
            <v>2040</v>
          </cell>
          <cell r="P649">
            <v>1719.3684832235365</v>
          </cell>
          <cell r="Q649">
            <v>2218.0141269063743</v>
          </cell>
          <cell r="R649">
            <v>1872.8852730198387</v>
          </cell>
          <cell r="S649">
            <v>1913.5491463601334</v>
          </cell>
          <cell r="T649">
            <v>1948.5550122655745</v>
          </cell>
          <cell r="U649">
            <v>1912.9818823110143</v>
          </cell>
          <cell r="V649">
            <v>1903.3728413603292</v>
          </cell>
          <cell r="W649">
            <v>1901.1575478190612</v>
          </cell>
          <cell r="X649">
            <v>1901.1575478190612</v>
          </cell>
          <cell r="Y649">
            <v>1901.1575478190612</v>
          </cell>
          <cell r="Z649">
            <v>1901.1575478190612</v>
          </cell>
          <cell r="AB649">
            <v>40.382789385678855</v>
          </cell>
          <cell r="AF649">
            <v>0.43809441035662045</v>
          </cell>
          <cell r="AG649">
            <v>0</v>
          </cell>
        </row>
        <row r="650">
          <cell r="A650" t="str">
            <v>TLCHE8545</v>
          </cell>
          <cell r="D650">
            <v>2045</v>
          </cell>
          <cell r="P650">
            <v>1719.3684832235365</v>
          </cell>
          <cell r="Q650">
            <v>2218.0141269063743</v>
          </cell>
          <cell r="R650">
            <v>1872.8852730198387</v>
          </cell>
          <cell r="S650">
            <v>1913.5491463601334</v>
          </cell>
          <cell r="T650">
            <v>1948.5550122655745</v>
          </cell>
          <cell r="U650">
            <v>1912.9818823110143</v>
          </cell>
          <cell r="V650">
            <v>1903.3728413603292</v>
          </cell>
          <cell r="W650">
            <v>1901.1575478190612</v>
          </cell>
          <cell r="X650">
            <v>1901.1575478190612</v>
          </cell>
          <cell r="Y650">
            <v>1901.1575478190612</v>
          </cell>
          <cell r="Z650">
            <v>1901.1575478190612</v>
          </cell>
          <cell r="AB650">
            <v>40.382789385678855</v>
          </cell>
          <cell r="AF650">
            <v>0.43809441035662045</v>
          </cell>
          <cell r="AG650">
            <v>0</v>
          </cell>
        </row>
        <row r="651">
          <cell r="A651" t="str">
            <v>TLCHE8550</v>
          </cell>
          <cell r="D651">
            <v>2050</v>
          </cell>
          <cell r="P651">
            <v>1719.3684832235365</v>
          </cell>
          <cell r="Q651">
            <v>2218.0141269063743</v>
          </cell>
          <cell r="R651">
            <v>1872.8852730198387</v>
          </cell>
          <cell r="S651">
            <v>1913.5491463601334</v>
          </cell>
          <cell r="T651">
            <v>1948.5550122655745</v>
          </cell>
          <cell r="U651">
            <v>1912.9818823110143</v>
          </cell>
          <cell r="V651">
            <v>1903.3728413603292</v>
          </cell>
          <cell r="W651">
            <v>1901.1575478190612</v>
          </cell>
          <cell r="X651">
            <v>1901.1575478190612</v>
          </cell>
          <cell r="Y651">
            <v>1901.1575478190612</v>
          </cell>
          <cell r="Z651">
            <v>1901.1575478190612</v>
          </cell>
          <cell r="AB651">
            <v>40.382789385678855</v>
          </cell>
          <cell r="AF651">
            <v>0.43809441035662045</v>
          </cell>
          <cell r="AG651">
            <v>0</v>
          </cell>
        </row>
        <row r="652">
          <cell r="A652" t="str">
            <v>TLFHE8510</v>
          </cell>
          <cell r="D652">
            <v>2010</v>
          </cell>
          <cell r="P652">
            <v>0</v>
          </cell>
          <cell r="Q652">
            <v>2540.0621174576049</v>
          </cell>
          <cell r="R652">
            <v>2314.4677538834326</v>
          </cell>
          <cell r="S652">
            <v>2343.1458739810305</v>
          </cell>
          <cell r="T652">
            <v>2374.7936360724389</v>
          </cell>
          <cell r="U652">
            <v>2334.7309261819973</v>
          </cell>
          <cell r="V652">
            <v>2323.5290052636078</v>
          </cell>
          <cell r="W652">
            <v>2320.5042787834213</v>
          </cell>
          <cell r="X652">
            <v>2320.5042787834213</v>
          </cell>
          <cell r="Y652">
            <v>2320.5042787834213</v>
          </cell>
          <cell r="Z652">
            <v>2320.5042787834213</v>
          </cell>
          <cell r="AB652">
            <v>45.478712808157368</v>
          </cell>
          <cell r="AF652">
            <v>0.33324340825378207</v>
          </cell>
          <cell r="AG652">
            <v>0</v>
          </cell>
        </row>
        <row r="653">
          <cell r="A653" t="str">
            <v>TLFHE8515</v>
          </cell>
          <cell r="D653">
            <v>2015</v>
          </cell>
          <cell r="P653">
            <v>0</v>
          </cell>
          <cell r="Q653">
            <v>2540.0621174576049</v>
          </cell>
          <cell r="R653">
            <v>2314.4677538834326</v>
          </cell>
          <cell r="S653">
            <v>2343.1458739810305</v>
          </cell>
          <cell r="T653">
            <v>2374.7936360724389</v>
          </cell>
          <cell r="U653">
            <v>2334.7309261819973</v>
          </cell>
          <cell r="V653">
            <v>2323.5290052636078</v>
          </cell>
          <cell r="W653">
            <v>2320.5042787834213</v>
          </cell>
          <cell r="X653">
            <v>2320.5042787834213</v>
          </cell>
          <cell r="Y653">
            <v>2320.5042787834213</v>
          </cell>
          <cell r="Z653">
            <v>2320.5042787834213</v>
          </cell>
          <cell r="AB653">
            <v>45.478712808157368</v>
          </cell>
          <cell r="AF653">
            <v>0.3147966697194845</v>
          </cell>
          <cell r="AG653">
            <v>0</v>
          </cell>
        </row>
        <row r="654">
          <cell r="A654" t="str">
            <v>TLFHE8520</v>
          </cell>
          <cell r="D654">
            <v>2020</v>
          </cell>
          <cell r="P654">
            <v>0</v>
          </cell>
          <cell r="Q654">
            <v>2540.0621174576049</v>
          </cell>
          <cell r="R654">
            <v>2314.4677538834326</v>
          </cell>
          <cell r="S654">
            <v>2343.1458739810305</v>
          </cell>
          <cell r="T654">
            <v>2374.7936360724389</v>
          </cell>
          <cell r="U654">
            <v>2334.7309261819973</v>
          </cell>
          <cell r="V654">
            <v>2323.5290052636078</v>
          </cell>
          <cell r="W654">
            <v>2320.5042787834213</v>
          </cell>
          <cell r="X654">
            <v>2320.5042787834213</v>
          </cell>
          <cell r="Y654">
            <v>2320.5042787834213</v>
          </cell>
          <cell r="Z654">
            <v>2320.5042787834213</v>
          </cell>
          <cell r="AB654">
            <v>45.478712808157368</v>
          </cell>
          <cell r="AF654">
            <v>0.36481843089955734</v>
          </cell>
          <cell r="AG654">
            <v>0</v>
          </cell>
        </row>
        <row r="655">
          <cell r="A655" t="str">
            <v>TLFHE8525</v>
          </cell>
          <cell r="D655">
            <v>2025</v>
          </cell>
          <cell r="P655">
            <v>0</v>
          </cell>
          <cell r="Q655">
            <v>2540.0621174576049</v>
          </cell>
          <cell r="R655">
            <v>2314.4677538834326</v>
          </cell>
          <cell r="S655">
            <v>2343.1458739810305</v>
          </cell>
          <cell r="T655">
            <v>2374.7936360724389</v>
          </cell>
          <cell r="U655">
            <v>2334.7309261819973</v>
          </cell>
          <cell r="V655">
            <v>2323.5290052636078</v>
          </cell>
          <cell r="W655">
            <v>2320.5042787834213</v>
          </cell>
          <cell r="X655">
            <v>2320.5042787834213</v>
          </cell>
          <cell r="Y655">
            <v>2320.5042787834213</v>
          </cell>
          <cell r="Z655">
            <v>2320.5042787834213</v>
          </cell>
          <cell r="AB655">
            <v>45.478712808157368</v>
          </cell>
          <cell r="AF655">
            <v>0.43864966082647772</v>
          </cell>
          <cell r="AG655">
            <v>0</v>
          </cell>
        </row>
        <row r="656">
          <cell r="A656" t="str">
            <v>TLFHE8530</v>
          </cell>
          <cell r="D656">
            <v>2030</v>
          </cell>
          <cell r="P656">
            <v>0</v>
          </cell>
          <cell r="Q656">
            <v>2540.0621174576049</v>
          </cell>
          <cell r="R656">
            <v>2314.4677538834326</v>
          </cell>
          <cell r="S656">
            <v>2343.1458739810305</v>
          </cell>
          <cell r="T656">
            <v>2374.7936360724389</v>
          </cell>
          <cell r="U656">
            <v>2334.7309261819973</v>
          </cell>
          <cell r="V656">
            <v>2323.5290052636078</v>
          </cell>
          <cell r="W656">
            <v>2320.5042787834213</v>
          </cell>
          <cell r="X656">
            <v>2320.5042787834213</v>
          </cell>
          <cell r="Y656">
            <v>2320.5042787834213</v>
          </cell>
          <cell r="Z656">
            <v>2320.5042787834213</v>
          </cell>
          <cell r="AB656">
            <v>45.478712808157368</v>
          </cell>
          <cell r="AF656">
            <v>0.43841104128221425</v>
          </cell>
          <cell r="AG656">
            <v>0</v>
          </cell>
        </row>
        <row r="657">
          <cell r="A657" t="str">
            <v>TLFHE8535</v>
          </cell>
          <cell r="D657">
            <v>2035</v>
          </cell>
          <cell r="P657">
            <v>0</v>
          </cell>
          <cell r="Q657">
            <v>2540.0621174576049</v>
          </cell>
          <cell r="R657">
            <v>2314.4677538834326</v>
          </cell>
          <cell r="S657">
            <v>2343.1458739810305</v>
          </cell>
          <cell r="T657">
            <v>2374.7936360724389</v>
          </cell>
          <cell r="U657">
            <v>2334.7309261819973</v>
          </cell>
          <cell r="V657">
            <v>2323.5290052636078</v>
          </cell>
          <cell r="W657">
            <v>2320.5042787834213</v>
          </cell>
          <cell r="X657">
            <v>2320.5042787834213</v>
          </cell>
          <cell r="Y657">
            <v>2320.5042787834213</v>
          </cell>
          <cell r="Z657">
            <v>2320.5042787834213</v>
          </cell>
          <cell r="AB657">
            <v>45.478712808157368</v>
          </cell>
          <cell r="AF657">
            <v>0.43765597398222655</v>
          </cell>
          <cell r="AG657">
            <v>0</v>
          </cell>
        </row>
        <row r="658">
          <cell r="A658" t="str">
            <v>TLFHE8540</v>
          </cell>
          <cell r="D658">
            <v>2040</v>
          </cell>
          <cell r="P658">
            <v>0</v>
          </cell>
          <cell r="Q658">
            <v>2540.0621174576049</v>
          </cell>
          <cell r="R658">
            <v>2314.4677538834326</v>
          </cell>
          <cell r="S658">
            <v>2343.1458739810305</v>
          </cell>
          <cell r="T658">
            <v>2374.7936360724389</v>
          </cell>
          <cell r="U658">
            <v>2334.7309261819973</v>
          </cell>
          <cell r="V658">
            <v>2323.5290052636078</v>
          </cell>
          <cell r="W658">
            <v>2320.5042787834213</v>
          </cell>
          <cell r="X658">
            <v>2320.5042787834213</v>
          </cell>
          <cell r="Y658">
            <v>2320.5042787834213</v>
          </cell>
          <cell r="Z658">
            <v>2320.5042787834213</v>
          </cell>
          <cell r="AB658">
            <v>45.478712808157368</v>
          </cell>
          <cell r="AF658">
            <v>0.43705377395744771</v>
          </cell>
          <cell r="AG658">
            <v>0</v>
          </cell>
        </row>
        <row r="659">
          <cell r="A659" t="str">
            <v>TLFHE8545</v>
          </cell>
          <cell r="D659">
            <v>2045</v>
          </cell>
          <cell r="P659">
            <v>0</v>
          </cell>
          <cell r="Q659">
            <v>2540.0621174576049</v>
          </cell>
          <cell r="R659">
            <v>2314.4677538834326</v>
          </cell>
          <cell r="S659">
            <v>2343.1458739810305</v>
          </cell>
          <cell r="T659">
            <v>2374.7936360724389</v>
          </cell>
          <cell r="U659">
            <v>2334.7309261819973</v>
          </cell>
          <cell r="V659">
            <v>2323.5290052636078</v>
          </cell>
          <cell r="W659">
            <v>2320.5042787834213</v>
          </cell>
          <cell r="X659">
            <v>2320.5042787834213</v>
          </cell>
          <cell r="Y659">
            <v>2320.5042787834213</v>
          </cell>
          <cell r="Z659">
            <v>2320.5042787834213</v>
          </cell>
          <cell r="AB659">
            <v>45.478712808157368</v>
          </cell>
          <cell r="AF659">
            <v>0.43705377395744771</v>
          </cell>
          <cell r="AG659">
            <v>0</v>
          </cell>
        </row>
        <row r="660">
          <cell r="A660" t="str">
            <v>TLFHE8550</v>
          </cell>
          <cell r="D660">
            <v>2050</v>
          </cell>
          <cell r="P660">
            <v>0</v>
          </cell>
          <cell r="Q660">
            <v>2540.0621174576049</v>
          </cell>
          <cell r="R660">
            <v>2314.4677538834326</v>
          </cell>
          <cell r="S660">
            <v>2343.1458739810305</v>
          </cell>
          <cell r="T660">
            <v>2374.7936360724389</v>
          </cell>
          <cell r="U660">
            <v>2334.7309261819973</v>
          </cell>
          <cell r="V660">
            <v>2323.5290052636078</v>
          </cell>
          <cell r="W660">
            <v>2320.5042787834213</v>
          </cell>
          <cell r="X660">
            <v>2320.5042787834213</v>
          </cell>
          <cell r="Y660">
            <v>2320.5042787834213</v>
          </cell>
          <cell r="Z660">
            <v>2320.5042787834213</v>
          </cell>
          <cell r="AB660">
            <v>45.478712808157368</v>
          </cell>
          <cell r="AF660">
            <v>0.43705377395744771</v>
          </cell>
          <cell r="AG660">
            <v>0</v>
          </cell>
        </row>
        <row r="661">
          <cell r="A661" t="str">
            <v>TLPHE8510</v>
          </cell>
          <cell r="D661">
            <v>2010</v>
          </cell>
          <cell r="P661">
            <v>0</v>
          </cell>
          <cell r="Q661">
            <v>28.726936007075818</v>
          </cell>
          <cell r="R661">
            <v>2862.2742920907485</v>
          </cell>
          <cell r="S661">
            <v>2734.3398406646716</v>
          </cell>
          <cell r="T661">
            <v>2738.9638670606255</v>
          </cell>
          <cell r="U661">
            <v>2687.8219094089577</v>
          </cell>
          <cell r="V661">
            <v>2674.6236139604475</v>
          </cell>
          <cell r="W661">
            <v>2672.6218942556179</v>
          </cell>
          <cell r="X661">
            <v>2672.6218942556179</v>
          </cell>
          <cell r="Y661">
            <v>2672.6218942556179</v>
          </cell>
          <cell r="Z661">
            <v>2672.6218942556179</v>
          </cell>
          <cell r="AB661">
            <v>48.0747492686653</v>
          </cell>
          <cell r="AF661">
            <v>0</v>
          </cell>
          <cell r="AG661">
            <v>0</v>
          </cell>
        </row>
        <row r="662">
          <cell r="A662" t="str">
            <v>TLPHE8515</v>
          </cell>
          <cell r="D662">
            <v>2015</v>
          </cell>
          <cell r="P662">
            <v>0</v>
          </cell>
          <cell r="Q662">
            <v>28.726936007075818</v>
          </cell>
          <cell r="R662">
            <v>2862.2742920907485</v>
          </cell>
          <cell r="S662">
            <v>2734.3398406646716</v>
          </cell>
          <cell r="T662">
            <v>2738.9638670606255</v>
          </cell>
          <cell r="U662">
            <v>2687.8219094089577</v>
          </cell>
          <cell r="V662">
            <v>2674.6236139604475</v>
          </cell>
          <cell r="W662">
            <v>2672.6218942556179</v>
          </cell>
          <cell r="X662">
            <v>2672.6218942556179</v>
          </cell>
          <cell r="Y662">
            <v>2672.6218942556179</v>
          </cell>
          <cell r="Z662">
            <v>2672.6218942556179</v>
          </cell>
          <cell r="AB662">
            <v>48.0747492686653</v>
          </cell>
          <cell r="AF662">
            <v>0.23810646759044035</v>
          </cell>
          <cell r="AG662">
            <v>0</v>
          </cell>
        </row>
        <row r="663">
          <cell r="A663" t="str">
            <v>TLPHE8520</v>
          </cell>
          <cell r="D663">
            <v>2020</v>
          </cell>
          <cell r="P663">
            <v>0</v>
          </cell>
          <cell r="Q663">
            <v>28.726936007075818</v>
          </cell>
          <cell r="R663">
            <v>2862.2742920907485</v>
          </cell>
          <cell r="S663">
            <v>2734.3398406646716</v>
          </cell>
          <cell r="T663">
            <v>2738.9638670606255</v>
          </cell>
          <cell r="U663">
            <v>2687.8219094089577</v>
          </cell>
          <cell r="V663">
            <v>2674.6236139604475</v>
          </cell>
          <cell r="W663">
            <v>2672.6218942556179</v>
          </cell>
          <cell r="X663">
            <v>2672.6218942556179</v>
          </cell>
          <cell r="Y663">
            <v>2672.6218942556179</v>
          </cell>
          <cell r="Z663">
            <v>2672.6218942556179</v>
          </cell>
          <cell r="AB663">
            <v>48.0747492686653</v>
          </cell>
          <cell r="AF663">
            <v>0.25527128888183254</v>
          </cell>
          <cell r="AG663">
            <v>0</v>
          </cell>
        </row>
        <row r="664">
          <cell r="A664" t="str">
            <v>TLPHE8525</v>
          </cell>
          <cell r="D664">
            <v>2025</v>
          </cell>
          <cell r="P664">
            <v>0</v>
          </cell>
          <cell r="Q664">
            <v>28.726936007075818</v>
          </cell>
          <cell r="R664">
            <v>2862.2742920907485</v>
          </cell>
          <cell r="S664">
            <v>2734.3398406646716</v>
          </cell>
          <cell r="T664">
            <v>2738.9638670606255</v>
          </cell>
          <cell r="U664">
            <v>2687.8219094089577</v>
          </cell>
          <cell r="V664">
            <v>2674.6236139604475</v>
          </cell>
          <cell r="W664">
            <v>2672.6218942556179</v>
          </cell>
          <cell r="X664">
            <v>2672.6218942556179</v>
          </cell>
          <cell r="Y664">
            <v>2672.6218942556179</v>
          </cell>
          <cell r="Z664">
            <v>2672.6218942556179</v>
          </cell>
          <cell r="AB664">
            <v>48.0747492686653</v>
          </cell>
          <cell r="AF664">
            <v>0.2960727505615689</v>
          </cell>
          <cell r="AG664">
            <v>0</v>
          </cell>
        </row>
        <row r="665">
          <cell r="A665" t="str">
            <v>TLPHE8530</v>
          </cell>
          <cell r="D665">
            <v>2030</v>
          </cell>
          <cell r="P665">
            <v>0</v>
          </cell>
          <cell r="Q665">
            <v>28.726936007075818</v>
          </cell>
          <cell r="R665">
            <v>2862.2742920907485</v>
          </cell>
          <cell r="S665">
            <v>2734.3398406646716</v>
          </cell>
          <cell r="T665">
            <v>2738.9638670606255</v>
          </cell>
          <cell r="U665">
            <v>2687.8219094089577</v>
          </cell>
          <cell r="V665">
            <v>2674.6236139604475</v>
          </cell>
          <cell r="W665">
            <v>2672.6218942556179</v>
          </cell>
          <cell r="X665">
            <v>2672.6218942556179</v>
          </cell>
          <cell r="Y665">
            <v>2672.6218942556179</v>
          </cell>
          <cell r="Z665">
            <v>2672.6218942556179</v>
          </cell>
          <cell r="AB665">
            <v>48.0747492686653</v>
          </cell>
          <cell r="AF665">
            <v>0.29884754344877124</v>
          </cell>
          <cell r="AG665">
            <v>0</v>
          </cell>
        </row>
        <row r="666">
          <cell r="A666" t="str">
            <v>TLPHE8535</v>
          </cell>
          <cell r="D666">
            <v>2035</v>
          </cell>
          <cell r="P666">
            <v>0</v>
          </cell>
          <cell r="Q666">
            <v>28.726936007075818</v>
          </cell>
          <cell r="R666">
            <v>2862.2742920907485</v>
          </cell>
          <cell r="S666">
            <v>2734.3398406646716</v>
          </cell>
          <cell r="T666">
            <v>2738.9638670606255</v>
          </cell>
          <cell r="U666">
            <v>2687.8219094089577</v>
          </cell>
          <cell r="V666">
            <v>2674.6236139604475</v>
          </cell>
          <cell r="W666">
            <v>2672.6218942556179</v>
          </cell>
          <cell r="X666">
            <v>2672.6218942556179</v>
          </cell>
          <cell r="Y666">
            <v>2672.6218942556179</v>
          </cell>
          <cell r="Z666">
            <v>2672.6218942556179</v>
          </cell>
          <cell r="AB666">
            <v>48.0747492686653</v>
          </cell>
          <cell r="AF666">
            <v>0.30049537820829797</v>
          </cell>
          <cell r="AG666">
            <v>0</v>
          </cell>
        </row>
        <row r="667">
          <cell r="A667" t="str">
            <v>TLPHE8540</v>
          </cell>
          <cell r="D667">
            <v>2040</v>
          </cell>
          <cell r="P667">
            <v>0</v>
          </cell>
          <cell r="Q667">
            <v>28.726936007075818</v>
          </cell>
          <cell r="R667">
            <v>2862.2742920907485</v>
          </cell>
          <cell r="S667">
            <v>2734.3398406646716</v>
          </cell>
          <cell r="T667">
            <v>2738.9638670606255</v>
          </cell>
          <cell r="U667">
            <v>2687.8219094089577</v>
          </cell>
          <cell r="V667">
            <v>2674.6236139604475</v>
          </cell>
          <cell r="W667">
            <v>2672.6218942556179</v>
          </cell>
          <cell r="X667">
            <v>2672.6218942556179</v>
          </cell>
          <cell r="Y667">
            <v>2672.6218942556179</v>
          </cell>
          <cell r="Z667">
            <v>2672.6218942556179</v>
          </cell>
          <cell r="AB667">
            <v>48.0747492686653</v>
          </cell>
          <cell r="AF667">
            <v>0.30057883409330849</v>
          </cell>
          <cell r="AG667">
            <v>0</v>
          </cell>
        </row>
        <row r="668">
          <cell r="A668" t="str">
            <v>TLPHE8545</v>
          </cell>
          <cell r="D668">
            <v>2045</v>
          </cell>
          <cell r="P668">
            <v>0</v>
          </cell>
          <cell r="Q668">
            <v>28.726936007075818</v>
          </cell>
          <cell r="R668">
            <v>2862.2742920907485</v>
          </cell>
          <cell r="S668">
            <v>2734.3398406646716</v>
          </cell>
          <cell r="T668">
            <v>2738.9638670606255</v>
          </cell>
          <cell r="U668">
            <v>2687.8219094089577</v>
          </cell>
          <cell r="V668">
            <v>2674.6236139604475</v>
          </cell>
          <cell r="W668">
            <v>2672.6218942556179</v>
          </cell>
          <cell r="X668">
            <v>2672.6218942556179</v>
          </cell>
          <cell r="Y668">
            <v>2672.6218942556179</v>
          </cell>
          <cell r="Z668">
            <v>2672.6218942556179</v>
          </cell>
          <cell r="AB668">
            <v>48.0747492686653</v>
          </cell>
          <cell r="AF668">
            <v>0.30057883409330849</v>
          </cell>
          <cell r="AG668">
            <v>0</v>
          </cell>
        </row>
        <row r="669">
          <cell r="A669" t="str">
            <v>TLPHE8550</v>
          </cell>
          <cell r="D669">
            <v>2050</v>
          </cell>
          <cell r="P669">
            <v>0</v>
          </cell>
          <cell r="Q669">
            <v>28.726936007075818</v>
          </cell>
          <cell r="R669">
            <v>2862.2742920907485</v>
          </cell>
          <cell r="S669">
            <v>2734.3398406646716</v>
          </cell>
          <cell r="T669">
            <v>2738.9638670606255</v>
          </cell>
          <cell r="U669">
            <v>2687.8219094089577</v>
          </cell>
          <cell r="V669">
            <v>2674.6236139604475</v>
          </cell>
          <cell r="W669">
            <v>2672.6218942556179</v>
          </cell>
          <cell r="X669">
            <v>2672.6218942556179</v>
          </cell>
          <cell r="Y669">
            <v>2672.6218942556179</v>
          </cell>
          <cell r="Z669">
            <v>2672.6218942556179</v>
          </cell>
          <cell r="AB669">
            <v>48.0747492686653</v>
          </cell>
          <cell r="AF669">
            <v>0.30057883409330849</v>
          </cell>
          <cell r="AG669">
            <v>0</v>
          </cell>
        </row>
        <row r="670">
          <cell r="A670" t="str">
            <v>TLMHE8510</v>
          </cell>
          <cell r="D670">
            <v>2010</v>
          </cell>
          <cell r="P670">
            <v>0</v>
          </cell>
          <cell r="Q670">
            <v>31.229919745642</v>
          </cell>
          <cell r="R670">
            <v>30.367041869411725</v>
          </cell>
          <cell r="S670">
            <v>2508.4186316010682</v>
          </cell>
          <cell r="T670">
            <v>2509.9063578000205</v>
          </cell>
          <cell r="U670">
            <v>2463.6203936338957</v>
          </cell>
          <cell r="V670">
            <v>2453.1156288724828</v>
          </cell>
          <cell r="W670">
            <v>2451.3395426405527</v>
          </cell>
          <cell r="X670">
            <v>2451.3395426405527</v>
          </cell>
          <cell r="Y670">
            <v>2451.3395426405527</v>
          </cell>
          <cell r="Z670">
            <v>2451.3395426405527</v>
          </cell>
          <cell r="AB670">
            <v>45.478712808157368</v>
          </cell>
          <cell r="AF670">
            <v>0.26808881291057274</v>
          </cell>
          <cell r="AG670">
            <v>0</v>
          </cell>
        </row>
        <row r="671">
          <cell r="A671" t="str">
            <v>TLMHE8515</v>
          </cell>
          <cell r="D671">
            <v>2015</v>
          </cell>
          <cell r="P671">
            <v>0</v>
          </cell>
          <cell r="Q671">
            <v>31.229919745642</v>
          </cell>
          <cell r="R671">
            <v>30.367041869411725</v>
          </cell>
          <cell r="S671">
            <v>2508.4186316010682</v>
          </cell>
          <cell r="T671">
            <v>2509.9063578000205</v>
          </cell>
          <cell r="U671">
            <v>2463.6203936338957</v>
          </cell>
          <cell r="V671">
            <v>2453.1156288724828</v>
          </cell>
          <cell r="W671">
            <v>2451.3395426405527</v>
          </cell>
          <cell r="X671">
            <v>2451.3395426405527</v>
          </cell>
          <cell r="Y671">
            <v>2451.3395426405527</v>
          </cell>
          <cell r="Z671">
            <v>2451.3395426405527</v>
          </cell>
          <cell r="AB671">
            <v>45.478712808157368</v>
          </cell>
          <cell r="AF671" t="e">
            <v>#DIV/0!</v>
          </cell>
          <cell r="AG671">
            <v>0</v>
          </cell>
        </row>
        <row r="672">
          <cell r="A672" t="str">
            <v>TLMHE8520</v>
          </cell>
          <cell r="D672">
            <v>2020</v>
          </cell>
          <cell r="P672">
            <v>0</v>
          </cell>
          <cell r="Q672">
            <v>31.229919745642</v>
          </cell>
          <cell r="R672">
            <v>30.367041869411725</v>
          </cell>
          <cell r="S672">
            <v>2508.4186316010682</v>
          </cell>
          <cell r="T672">
            <v>2509.9063578000205</v>
          </cell>
          <cell r="U672">
            <v>2463.6203936338957</v>
          </cell>
          <cell r="V672">
            <v>2453.1156288724828</v>
          </cell>
          <cell r="W672">
            <v>2451.3395426405527</v>
          </cell>
          <cell r="X672">
            <v>2451.3395426405527</v>
          </cell>
          <cell r="Y672">
            <v>2451.3395426405527</v>
          </cell>
          <cell r="Z672">
            <v>2451.3395426405527</v>
          </cell>
          <cell r="AB672">
            <v>45.478712808157368</v>
          </cell>
          <cell r="AF672">
            <v>0.25928859076753702</v>
          </cell>
          <cell r="AG672">
            <v>0</v>
          </cell>
        </row>
        <row r="673">
          <cell r="A673" t="str">
            <v>TLMHE8525</v>
          </cell>
          <cell r="D673">
            <v>2025</v>
          </cell>
          <cell r="P673">
            <v>0</v>
          </cell>
          <cell r="Q673">
            <v>31.229919745642</v>
          </cell>
          <cell r="R673">
            <v>30.367041869411725</v>
          </cell>
          <cell r="S673">
            <v>2508.4186316010682</v>
          </cell>
          <cell r="T673">
            <v>2509.9063578000205</v>
          </cell>
          <cell r="U673">
            <v>2463.6203936338957</v>
          </cell>
          <cell r="V673">
            <v>2453.1156288724828</v>
          </cell>
          <cell r="W673">
            <v>2451.3395426405527</v>
          </cell>
          <cell r="X673">
            <v>2451.3395426405527</v>
          </cell>
          <cell r="Y673">
            <v>2451.3395426405527</v>
          </cell>
          <cell r="Z673">
            <v>2451.3395426405527</v>
          </cell>
          <cell r="AB673">
            <v>45.478712808157368</v>
          </cell>
          <cell r="AF673">
            <v>0.31062397188341628</v>
          </cell>
          <cell r="AG673">
            <v>0</v>
          </cell>
        </row>
        <row r="674">
          <cell r="A674" t="str">
            <v>TLMHE8530</v>
          </cell>
          <cell r="D674">
            <v>2030</v>
          </cell>
          <cell r="P674">
            <v>0</v>
          </cell>
          <cell r="Q674">
            <v>31.229919745642</v>
          </cell>
          <cell r="R674">
            <v>30.367041869411725</v>
          </cell>
          <cell r="S674">
            <v>2508.4186316010682</v>
          </cell>
          <cell r="T674">
            <v>2509.9063578000205</v>
          </cell>
          <cell r="U674">
            <v>2463.6203936338957</v>
          </cell>
          <cell r="V674">
            <v>2453.1156288724828</v>
          </cell>
          <cell r="W674">
            <v>2451.3395426405527</v>
          </cell>
          <cell r="X674">
            <v>2451.3395426405527</v>
          </cell>
          <cell r="Y674">
            <v>2451.3395426405527</v>
          </cell>
          <cell r="Z674">
            <v>2451.3395426405527</v>
          </cell>
          <cell r="AB674">
            <v>45.478712808157368</v>
          </cell>
          <cell r="AF674">
            <v>0.31415973055917013</v>
          </cell>
          <cell r="AG674">
            <v>0</v>
          </cell>
        </row>
        <row r="675">
          <cell r="A675" t="str">
            <v>TLMHE8535</v>
          </cell>
          <cell r="D675">
            <v>2035</v>
          </cell>
          <cell r="P675">
            <v>0</v>
          </cell>
          <cell r="Q675">
            <v>31.229919745642</v>
          </cell>
          <cell r="R675">
            <v>30.367041869411725</v>
          </cell>
          <cell r="S675">
            <v>2508.4186316010682</v>
          </cell>
          <cell r="T675">
            <v>2509.9063578000205</v>
          </cell>
          <cell r="U675">
            <v>2463.6203936338957</v>
          </cell>
          <cell r="V675">
            <v>2453.1156288724828</v>
          </cell>
          <cell r="W675">
            <v>2451.3395426405527</v>
          </cell>
          <cell r="X675">
            <v>2451.3395426405527</v>
          </cell>
          <cell r="Y675">
            <v>2451.3395426405527</v>
          </cell>
          <cell r="Z675">
            <v>2451.3395426405527</v>
          </cell>
          <cell r="AB675">
            <v>45.478712808157368</v>
          </cell>
          <cell r="AF675">
            <v>0.31660842284722934</v>
          </cell>
          <cell r="AG675">
            <v>0</v>
          </cell>
        </row>
        <row r="676">
          <cell r="A676" t="str">
            <v>TLMHE8540</v>
          </cell>
          <cell r="D676">
            <v>2040</v>
          </cell>
          <cell r="P676">
            <v>0</v>
          </cell>
          <cell r="Q676">
            <v>31.229919745642</v>
          </cell>
          <cell r="R676">
            <v>30.367041869411725</v>
          </cell>
          <cell r="S676">
            <v>2508.4186316010682</v>
          </cell>
          <cell r="T676">
            <v>2509.9063578000205</v>
          </cell>
          <cell r="U676">
            <v>2463.6203936338957</v>
          </cell>
          <cell r="V676">
            <v>2453.1156288724828</v>
          </cell>
          <cell r="W676">
            <v>2451.3395426405527</v>
          </cell>
          <cell r="X676">
            <v>2451.3395426405527</v>
          </cell>
          <cell r="Y676">
            <v>2451.3395426405527</v>
          </cell>
          <cell r="Z676">
            <v>2451.3395426405527</v>
          </cell>
          <cell r="AB676">
            <v>45.478712808157368</v>
          </cell>
          <cell r="AF676">
            <v>0.31761234565084639</v>
          </cell>
          <cell r="AG676">
            <v>0</v>
          </cell>
        </row>
        <row r="677">
          <cell r="A677" t="str">
            <v>TLMHE8545</v>
          </cell>
          <cell r="D677">
            <v>2045</v>
          </cell>
          <cell r="P677">
            <v>0</v>
          </cell>
          <cell r="Q677">
            <v>31.229919745642</v>
          </cell>
          <cell r="R677">
            <v>30.367041869411725</v>
          </cell>
          <cell r="S677">
            <v>2508.4186316010682</v>
          </cell>
          <cell r="T677">
            <v>2509.9063578000205</v>
          </cell>
          <cell r="U677">
            <v>2463.6203936338957</v>
          </cell>
          <cell r="V677">
            <v>2453.1156288724828</v>
          </cell>
          <cell r="W677">
            <v>2451.3395426405527</v>
          </cell>
          <cell r="X677">
            <v>2451.3395426405527</v>
          </cell>
          <cell r="Y677">
            <v>2451.3395426405527</v>
          </cell>
          <cell r="Z677">
            <v>2451.3395426405527</v>
          </cell>
          <cell r="AB677">
            <v>45.478712808157368</v>
          </cell>
          <cell r="AF677">
            <v>0.31761234565084639</v>
          </cell>
          <cell r="AG677">
            <v>0</v>
          </cell>
        </row>
        <row r="678">
          <cell r="A678" t="str">
            <v>TLMHE8550</v>
          </cell>
          <cell r="D678">
            <v>2050</v>
          </cell>
          <cell r="P678">
            <v>0</v>
          </cell>
          <cell r="Q678">
            <v>31.229919745642</v>
          </cell>
          <cell r="R678">
            <v>30.367041869411725</v>
          </cell>
          <cell r="S678">
            <v>2508.4186316010682</v>
          </cell>
          <cell r="T678">
            <v>2509.9063578000205</v>
          </cell>
          <cell r="U678">
            <v>2463.6203936338957</v>
          </cell>
          <cell r="V678">
            <v>2453.1156288724828</v>
          </cell>
          <cell r="W678">
            <v>2451.3395426405527</v>
          </cell>
          <cell r="X678">
            <v>2451.3395426405527</v>
          </cell>
          <cell r="Y678">
            <v>2451.3395426405527</v>
          </cell>
          <cell r="Z678">
            <v>2451.3395426405527</v>
          </cell>
          <cell r="AB678">
            <v>45.478712808157368</v>
          </cell>
          <cell r="AF678">
            <v>0.31761234565084639</v>
          </cell>
          <cell r="AG678">
            <v>0</v>
          </cell>
        </row>
        <row r="679">
          <cell r="A679" t="str">
            <v>TLLSHE8510</v>
          </cell>
          <cell r="D679">
            <v>2010</v>
          </cell>
          <cell r="P679">
            <v>3247.3083841456928</v>
          </cell>
          <cell r="Q679">
            <v>3313.6993373620444</v>
          </cell>
          <cell r="R679">
            <v>3243.7614510159287</v>
          </cell>
          <cell r="S679">
            <v>3270.7714110621214</v>
          </cell>
          <cell r="T679">
            <v>3288.2977612092031</v>
          </cell>
          <cell r="U679">
            <v>3243.3316845946229</v>
          </cell>
          <cell r="V679">
            <v>3230.6613658255001</v>
          </cell>
          <cell r="W679">
            <v>3227.7985728216222</v>
          </cell>
          <cell r="X679">
            <v>3227.7985728216222</v>
          </cell>
          <cell r="Y679">
            <v>3227.7985728216222</v>
          </cell>
          <cell r="Z679">
            <v>3227.7985728216222</v>
          </cell>
          <cell r="AB679">
            <v>45.478712808157368</v>
          </cell>
          <cell r="AF679">
            <v>0.23934978958697742</v>
          </cell>
          <cell r="AG679">
            <v>0</v>
          </cell>
        </row>
        <row r="680">
          <cell r="A680" t="str">
            <v>TLLSHE8515</v>
          </cell>
          <cell r="D680">
            <v>2015</v>
          </cell>
          <cell r="P680">
            <v>3247.3083841456928</v>
          </cell>
          <cell r="Q680">
            <v>3313.6993373620444</v>
          </cell>
          <cell r="R680">
            <v>3243.7614510159287</v>
          </cell>
          <cell r="S680">
            <v>3270.7714110621214</v>
          </cell>
          <cell r="T680">
            <v>3288.2977612092031</v>
          </cell>
          <cell r="U680">
            <v>3243.3316845946229</v>
          </cell>
          <cell r="V680">
            <v>3230.6613658255001</v>
          </cell>
          <cell r="W680">
            <v>3227.7985728216222</v>
          </cell>
          <cell r="X680">
            <v>3227.7985728216222</v>
          </cell>
          <cell r="Y680">
            <v>3227.7985728216222</v>
          </cell>
          <cell r="Z680">
            <v>3227.7985728216222</v>
          </cell>
          <cell r="AB680">
            <v>45.478712808157368</v>
          </cell>
          <cell r="AF680">
            <v>0.22442039669389274</v>
          </cell>
          <cell r="AG680">
            <v>0</v>
          </cell>
        </row>
        <row r="681">
          <cell r="A681" t="str">
            <v>TLLSHE8520</v>
          </cell>
          <cell r="D681">
            <v>2020</v>
          </cell>
          <cell r="P681">
            <v>3247.3083841456928</v>
          </cell>
          <cell r="Q681">
            <v>3313.6993373620444</v>
          </cell>
          <cell r="R681">
            <v>3243.7614510159287</v>
          </cell>
          <cell r="S681">
            <v>3270.7714110621214</v>
          </cell>
          <cell r="T681">
            <v>3288.2977612092031</v>
          </cell>
          <cell r="U681">
            <v>3243.3316845946229</v>
          </cell>
          <cell r="V681">
            <v>3230.6613658255001</v>
          </cell>
          <cell r="W681">
            <v>3227.7985728216222</v>
          </cell>
          <cell r="X681">
            <v>3227.7985728216222</v>
          </cell>
          <cell r="Y681">
            <v>3227.7985728216222</v>
          </cell>
          <cell r="Z681">
            <v>3227.7985728216222</v>
          </cell>
          <cell r="AB681">
            <v>45.478712808157368</v>
          </cell>
          <cell r="AF681">
            <v>0.26012415792300603</v>
          </cell>
          <cell r="AG681">
            <v>0</v>
          </cell>
        </row>
        <row r="682">
          <cell r="A682" t="str">
            <v>TLLSHE8525</v>
          </cell>
          <cell r="D682">
            <v>2025</v>
          </cell>
          <cell r="P682">
            <v>3247.3083841456928</v>
          </cell>
          <cell r="Q682">
            <v>3313.6993373620444</v>
          </cell>
          <cell r="R682">
            <v>3243.7614510159287</v>
          </cell>
          <cell r="S682">
            <v>3270.7714110621214</v>
          </cell>
          <cell r="T682">
            <v>3288.2977612092031</v>
          </cell>
          <cell r="U682">
            <v>3243.3316845946229</v>
          </cell>
          <cell r="V682">
            <v>3230.6613658255001</v>
          </cell>
          <cell r="W682">
            <v>3227.7985728216222</v>
          </cell>
          <cell r="X682">
            <v>3227.7985728216222</v>
          </cell>
          <cell r="Y682">
            <v>3227.7985728216222</v>
          </cell>
          <cell r="Z682">
            <v>3227.7985728216222</v>
          </cell>
          <cell r="AB682">
            <v>45.478712808157368</v>
          </cell>
          <cell r="AF682">
            <v>0.3176615884037719</v>
          </cell>
          <cell r="AG682">
            <v>0</v>
          </cell>
        </row>
        <row r="683">
          <cell r="A683" t="str">
            <v>TLLSHE8530</v>
          </cell>
          <cell r="D683">
            <v>2030</v>
          </cell>
          <cell r="P683">
            <v>3247.3083841456928</v>
          </cell>
          <cell r="Q683">
            <v>3313.6993373620444</v>
          </cell>
          <cell r="R683">
            <v>3243.7614510159287</v>
          </cell>
          <cell r="S683">
            <v>3270.7714110621214</v>
          </cell>
          <cell r="T683">
            <v>3288.2977612092031</v>
          </cell>
          <cell r="U683">
            <v>3243.3316845946229</v>
          </cell>
          <cell r="V683">
            <v>3230.6613658255001</v>
          </cell>
          <cell r="W683">
            <v>3227.7985728216222</v>
          </cell>
          <cell r="X683">
            <v>3227.7985728216222</v>
          </cell>
          <cell r="Y683">
            <v>3227.7985728216222</v>
          </cell>
          <cell r="Z683">
            <v>3227.7985728216222</v>
          </cell>
          <cell r="AB683">
            <v>45.478712808157368</v>
          </cell>
          <cell r="AF683">
            <v>0.32366574880980314</v>
          </cell>
          <cell r="AG683">
            <v>0</v>
          </cell>
        </row>
        <row r="684">
          <cell r="A684" t="str">
            <v>TLLSHE8535</v>
          </cell>
          <cell r="D684">
            <v>2035</v>
          </cell>
          <cell r="P684">
            <v>3247.3083841456928</v>
          </cell>
          <cell r="Q684">
            <v>3313.6993373620444</v>
          </cell>
          <cell r="R684">
            <v>3243.7614510159287</v>
          </cell>
          <cell r="S684">
            <v>3270.7714110621214</v>
          </cell>
          <cell r="T684">
            <v>3288.2977612092031</v>
          </cell>
          <cell r="U684">
            <v>3243.3316845946229</v>
          </cell>
          <cell r="V684">
            <v>3230.6613658255001</v>
          </cell>
          <cell r="W684">
            <v>3227.7985728216222</v>
          </cell>
          <cell r="X684">
            <v>3227.7985728216222</v>
          </cell>
          <cell r="Y684">
            <v>3227.7985728216222</v>
          </cell>
          <cell r="Z684">
            <v>3227.7985728216222</v>
          </cell>
          <cell r="AB684">
            <v>45.478712808157368</v>
          </cell>
          <cell r="AF684">
            <v>0.32579962129158013</v>
          </cell>
          <cell r="AG684">
            <v>0</v>
          </cell>
        </row>
        <row r="685">
          <cell r="A685" t="str">
            <v>TLLSHE8540</v>
          </cell>
          <cell r="D685">
            <v>2040</v>
          </cell>
          <cell r="P685">
            <v>3247.3083841456928</v>
          </cell>
          <cell r="Q685">
            <v>3313.6993373620444</v>
          </cell>
          <cell r="R685">
            <v>3243.7614510159287</v>
          </cell>
          <cell r="S685">
            <v>3270.7714110621214</v>
          </cell>
          <cell r="T685">
            <v>3288.2977612092031</v>
          </cell>
          <cell r="U685">
            <v>3243.3316845946229</v>
          </cell>
          <cell r="V685">
            <v>3230.6613658255001</v>
          </cell>
          <cell r="W685">
            <v>3227.7985728216222</v>
          </cell>
          <cell r="X685">
            <v>3227.7985728216222</v>
          </cell>
          <cell r="Y685">
            <v>3227.7985728216222</v>
          </cell>
          <cell r="Z685">
            <v>3227.7985728216222</v>
          </cell>
          <cell r="AB685">
            <v>45.478712808157368</v>
          </cell>
          <cell r="AF685">
            <v>0.32655644398672334</v>
          </cell>
          <cell r="AG685">
            <v>0</v>
          </cell>
        </row>
        <row r="686">
          <cell r="A686" t="str">
            <v>TLLSHE8545</v>
          </cell>
          <cell r="D686">
            <v>2045</v>
          </cell>
          <cell r="P686">
            <v>3247.3083841456928</v>
          </cell>
          <cell r="Q686">
            <v>3313.6993373620444</v>
          </cell>
          <cell r="R686">
            <v>3243.7614510159287</v>
          </cell>
          <cell r="S686">
            <v>3270.7714110621214</v>
          </cell>
          <cell r="T686">
            <v>3288.2977612092031</v>
          </cell>
          <cell r="U686">
            <v>3243.3316845946229</v>
          </cell>
          <cell r="V686">
            <v>3230.6613658255001</v>
          </cell>
          <cell r="W686">
            <v>3227.7985728216222</v>
          </cell>
          <cell r="X686">
            <v>3227.7985728216222</v>
          </cell>
          <cell r="Y686">
            <v>3227.7985728216222</v>
          </cell>
          <cell r="Z686">
            <v>3227.7985728216222</v>
          </cell>
          <cell r="AB686">
            <v>45.478712808157368</v>
          </cell>
          <cell r="AF686">
            <v>0.32655644398672334</v>
          </cell>
          <cell r="AG686">
            <v>0</v>
          </cell>
        </row>
        <row r="687">
          <cell r="A687" t="str">
            <v>TLLSHE8550</v>
          </cell>
          <cell r="D687">
            <v>2050</v>
          </cell>
          <cell r="P687">
            <v>3247.3083841456928</v>
          </cell>
          <cell r="Q687">
            <v>3313.6993373620444</v>
          </cell>
          <cell r="R687">
            <v>3243.7614510159287</v>
          </cell>
          <cell r="S687">
            <v>3270.7714110621214</v>
          </cell>
          <cell r="T687">
            <v>3288.2977612092031</v>
          </cell>
          <cell r="U687">
            <v>3243.3316845946229</v>
          </cell>
          <cell r="V687">
            <v>3230.6613658255001</v>
          </cell>
          <cell r="W687">
            <v>3227.7985728216222</v>
          </cell>
          <cell r="X687">
            <v>3227.7985728216222</v>
          </cell>
          <cell r="Y687">
            <v>3227.7985728216222</v>
          </cell>
          <cell r="Z687">
            <v>3227.7985728216222</v>
          </cell>
          <cell r="AB687">
            <v>45.478712808157368</v>
          </cell>
          <cell r="AF687">
            <v>0.32655644398672334</v>
          </cell>
          <cell r="AG687">
            <v>0</v>
          </cell>
        </row>
        <row r="688">
          <cell r="A688" t="str">
            <v>TLSSHE8510</v>
          </cell>
          <cell r="D688">
            <v>2010</v>
          </cell>
          <cell r="P688">
            <v>0</v>
          </cell>
          <cell r="Q688">
            <v>2354.9462288844829</v>
          </cell>
          <cell r="R688">
            <v>2324.5646130071236</v>
          </cell>
          <cell r="S688">
            <v>2335.7443920995638</v>
          </cell>
          <cell r="T688">
            <v>2351.6372640870291</v>
          </cell>
          <cell r="U688">
            <v>2314.0961613497088</v>
          </cell>
          <cell r="V688">
            <v>2304.518551475895</v>
          </cell>
          <cell r="W688">
            <v>2302.8447667123401</v>
          </cell>
          <cell r="X688">
            <v>2302.8447667123401</v>
          </cell>
          <cell r="Y688">
            <v>2302.8447667123401</v>
          </cell>
          <cell r="Z688">
            <v>2302.8447667123401</v>
          </cell>
          <cell r="AB688">
            <v>45.478712808157368</v>
          </cell>
          <cell r="AF688">
            <v>0.29238302966081547</v>
          </cell>
          <cell r="AG688">
            <v>0</v>
          </cell>
        </row>
        <row r="689">
          <cell r="A689" t="str">
            <v>TLSSHE8515</v>
          </cell>
          <cell r="D689">
            <v>2015</v>
          </cell>
          <cell r="P689">
            <v>0</v>
          </cell>
          <cell r="Q689">
            <v>2354.9462288844829</v>
          </cell>
          <cell r="R689">
            <v>2324.5646130071236</v>
          </cell>
          <cell r="S689">
            <v>2335.7443920995638</v>
          </cell>
          <cell r="T689">
            <v>2351.6372640870291</v>
          </cell>
          <cell r="U689">
            <v>2314.0961613497088</v>
          </cell>
          <cell r="V689">
            <v>2304.518551475895</v>
          </cell>
          <cell r="W689">
            <v>2302.8447667123401</v>
          </cell>
          <cell r="X689">
            <v>2302.8447667123401</v>
          </cell>
          <cell r="Y689">
            <v>2302.8447667123401</v>
          </cell>
          <cell r="Z689">
            <v>2302.8447667123401</v>
          </cell>
          <cell r="AB689">
            <v>45.478712808157368</v>
          </cell>
          <cell r="AF689">
            <v>0.26329074772383271</v>
          </cell>
          <cell r="AG689">
            <v>0</v>
          </cell>
        </row>
        <row r="690">
          <cell r="A690" t="str">
            <v>TLSSHE8520</v>
          </cell>
          <cell r="D690">
            <v>2020</v>
          </cell>
          <cell r="P690">
            <v>0</v>
          </cell>
          <cell r="Q690">
            <v>2354.9462288844829</v>
          </cell>
          <cell r="R690">
            <v>2324.5646130071236</v>
          </cell>
          <cell r="S690">
            <v>2335.7443920995638</v>
          </cell>
          <cell r="T690">
            <v>2351.6372640870291</v>
          </cell>
          <cell r="U690">
            <v>2314.0961613497088</v>
          </cell>
          <cell r="V690">
            <v>2304.518551475895</v>
          </cell>
          <cell r="W690">
            <v>2302.8447667123401</v>
          </cell>
          <cell r="X690">
            <v>2302.8447667123401</v>
          </cell>
          <cell r="Y690">
            <v>2302.8447667123401</v>
          </cell>
          <cell r="Z690">
            <v>2302.8447667123401</v>
          </cell>
          <cell r="AB690">
            <v>45.478712808157368</v>
          </cell>
          <cell r="AF690">
            <v>0.29545364208353841</v>
          </cell>
          <cell r="AG690">
            <v>0</v>
          </cell>
        </row>
        <row r="691">
          <cell r="A691" t="str">
            <v>TLSSHE8525</v>
          </cell>
          <cell r="D691">
            <v>2025</v>
          </cell>
          <cell r="P691">
            <v>0</v>
          </cell>
          <cell r="Q691">
            <v>2354.9462288844829</v>
          </cell>
          <cell r="R691">
            <v>2324.5646130071236</v>
          </cell>
          <cell r="S691">
            <v>2335.7443920995638</v>
          </cell>
          <cell r="T691">
            <v>2351.6372640870291</v>
          </cell>
          <cell r="U691">
            <v>2314.0961613497088</v>
          </cell>
          <cell r="V691">
            <v>2304.518551475895</v>
          </cell>
          <cell r="W691">
            <v>2302.8447667123401</v>
          </cell>
          <cell r="X691">
            <v>2302.8447667123401</v>
          </cell>
          <cell r="Y691">
            <v>2302.8447667123401</v>
          </cell>
          <cell r="Z691">
            <v>2302.8447667123401</v>
          </cell>
          <cell r="AB691">
            <v>45.478712808157368</v>
          </cell>
          <cell r="AF691">
            <v>0.34933521306894566</v>
          </cell>
          <cell r="AG691">
            <v>0</v>
          </cell>
        </row>
        <row r="692">
          <cell r="A692" t="str">
            <v>TLSSHE8530</v>
          </cell>
          <cell r="D692">
            <v>2030</v>
          </cell>
          <cell r="P692">
            <v>0</v>
          </cell>
          <cell r="Q692">
            <v>2354.9462288844829</v>
          </cell>
          <cell r="R692">
            <v>2324.5646130071236</v>
          </cell>
          <cell r="S692">
            <v>2335.7443920995638</v>
          </cell>
          <cell r="T692">
            <v>2351.6372640870291</v>
          </cell>
          <cell r="U692">
            <v>2314.0961613497088</v>
          </cell>
          <cell r="V692">
            <v>2304.518551475895</v>
          </cell>
          <cell r="W692">
            <v>2302.8447667123401</v>
          </cell>
          <cell r="X692">
            <v>2302.8447667123401</v>
          </cell>
          <cell r="Y692">
            <v>2302.8447667123401</v>
          </cell>
          <cell r="Z692">
            <v>2302.8447667123401</v>
          </cell>
          <cell r="AB692">
            <v>45.478712808157368</v>
          </cell>
          <cell r="AF692">
            <v>0.35072952453590189</v>
          </cell>
          <cell r="AG692">
            <v>0</v>
          </cell>
        </row>
        <row r="693">
          <cell r="A693" t="str">
            <v>TLSSHE8535</v>
          </cell>
          <cell r="D693">
            <v>2035</v>
          </cell>
          <cell r="P693">
            <v>0</v>
          </cell>
          <cell r="Q693">
            <v>2354.9462288844829</v>
          </cell>
          <cell r="R693">
            <v>2324.5646130071236</v>
          </cell>
          <cell r="S693">
            <v>2335.7443920995638</v>
          </cell>
          <cell r="T693">
            <v>2351.6372640870291</v>
          </cell>
          <cell r="U693">
            <v>2314.0961613497088</v>
          </cell>
          <cell r="V693">
            <v>2304.518551475895</v>
          </cell>
          <cell r="W693">
            <v>2302.8447667123401</v>
          </cell>
          <cell r="X693">
            <v>2302.8447667123401</v>
          </cell>
          <cell r="Y693">
            <v>2302.8447667123401</v>
          </cell>
          <cell r="Z693">
            <v>2302.8447667123401</v>
          </cell>
          <cell r="AB693">
            <v>45.478712808157368</v>
          </cell>
          <cell r="AF693">
            <v>0.35069282139340296</v>
          </cell>
          <cell r="AG693">
            <v>0</v>
          </cell>
        </row>
        <row r="694">
          <cell r="A694" t="str">
            <v>TLSSHE8540</v>
          </cell>
          <cell r="D694">
            <v>2040</v>
          </cell>
          <cell r="P694">
            <v>0</v>
          </cell>
          <cell r="Q694">
            <v>2354.9462288844829</v>
          </cell>
          <cell r="R694">
            <v>2324.5646130071236</v>
          </cell>
          <cell r="S694">
            <v>2335.7443920995638</v>
          </cell>
          <cell r="T694">
            <v>2351.6372640870291</v>
          </cell>
          <cell r="U694">
            <v>2314.0961613497088</v>
          </cell>
          <cell r="V694">
            <v>2304.518551475895</v>
          </cell>
          <cell r="W694">
            <v>2302.8447667123401</v>
          </cell>
          <cell r="X694">
            <v>2302.8447667123401</v>
          </cell>
          <cell r="Y694">
            <v>2302.8447667123401</v>
          </cell>
          <cell r="Z694">
            <v>2302.8447667123401</v>
          </cell>
          <cell r="AB694">
            <v>45.478712808157368</v>
          </cell>
          <cell r="AF694">
            <v>0.35032902310853825</v>
          </cell>
          <cell r="AG694">
            <v>0</v>
          </cell>
        </row>
        <row r="695">
          <cell r="A695" t="str">
            <v>TLSSHE8545</v>
          </cell>
          <cell r="D695">
            <v>2045</v>
          </cell>
          <cell r="P695">
            <v>0</v>
          </cell>
          <cell r="Q695">
            <v>2354.9462288844829</v>
          </cell>
          <cell r="R695">
            <v>2324.5646130071236</v>
          </cell>
          <cell r="S695">
            <v>2335.7443920995638</v>
          </cell>
          <cell r="T695">
            <v>2351.6372640870291</v>
          </cell>
          <cell r="U695">
            <v>2314.0961613497088</v>
          </cell>
          <cell r="V695">
            <v>2304.518551475895</v>
          </cell>
          <cell r="W695">
            <v>2302.8447667123401</v>
          </cell>
          <cell r="X695">
            <v>2302.8447667123401</v>
          </cell>
          <cell r="Y695">
            <v>2302.8447667123401</v>
          </cell>
          <cell r="Z695">
            <v>2302.8447667123401</v>
          </cell>
          <cell r="AB695">
            <v>45.478712808157368</v>
          </cell>
          <cell r="AF695">
            <v>0.35032902310853825</v>
          </cell>
          <cell r="AG695">
            <v>0</v>
          </cell>
        </row>
        <row r="696">
          <cell r="A696" t="str">
            <v>TLSSHE8550</v>
          </cell>
          <cell r="D696">
            <v>2050</v>
          </cell>
          <cell r="P696">
            <v>0</v>
          </cell>
          <cell r="Q696">
            <v>2354.9462288844829</v>
          </cell>
          <cell r="R696">
            <v>2324.5646130071236</v>
          </cell>
          <cell r="S696">
            <v>2335.7443920995638</v>
          </cell>
          <cell r="T696">
            <v>2351.6372640870291</v>
          </cell>
          <cell r="U696">
            <v>2314.0961613497088</v>
          </cell>
          <cell r="V696">
            <v>2304.518551475895</v>
          </cell>
          <cell r="W696">
            <v>2302.8447667123401</v>
          </cell>
          <cell r="X696">
            <v>2302.8447667123401</v>
          </cell>
          <cell r="Y696">
            <v>2302.8447667123401</v>
          </cell>
          <cell r="Z696">
            <v>2302.8447667123401</v>
          </cell>
          <cell r="AB696">
            <v>45.478712808157368</v>
          </cell>
          <cell r="AF696">
            <v>0.35032902310853825</v>
          </cell>
          <cell r="AG696">
            <v>0</v>
          </cell>
        </row>
        <row r="697">
          <cell r="A697" t="str">
            <v>TLCP20G10</v>
          </cell>
          <cell r="D697">
            <v>2010</v>
          </cell>
          <cell r="P697">
            <v>0</v>
          </cell>
          <cell r="Q697">
            <v>2093.2872192558712</v>
          </cell>
          <cell r="R697">
            <v>1900.7087310850357</v>
          </cell>
          <cell r="S697">
            <v>1960.9555883128987</v>
          </cell>
          <cell r="T697">
            <v>2048.7730124031</v>
          </cell>
          <cell r="U697">
            <v>2038.4967222708958</v>
          </cell>
          <cell r="V697">
            <v>2036.0989160739434</v>
          </cell>
          <cell r="W697">
            <v>2036.0856763715385</v>
          </cell>
          <cell r="X697">
            <v>2036.0856763715385</v>
          </cell>
          <cell r="Y697">
            <v>2036.0856763715385</v>
          </cell>
          <cell r="Z697">
            <v>2036.0856763715385</v>
          </cell>
          <cell r="AB697">
            <v>40.382789385678855</v>
          </cell>
          <cell r="AF697">
            <v>0.42821977015155793</v>
          </cell>
          <cell r="AG697">
            <v>0.1342377020706492</v>
          </cell>
        </row>
        <row r="698">
          <cell r="A698" t="str">
            <v>TLCP20G15</v>
          </cell>
          <cell r="D698">
            <v>2015</v>
          </cell>
          <cell r="P698">
            <v>0</v>
          </cell>
          <cell r="Q698">
            <v>2093.2872192558712</v>
          </cell>
          <cell r="R698">
            <v>1900.7087310850357</v>
          </cell>
          <cell r="S698">
            <v>1960.9555883128987</v>
          </cell>
          <cell r="T698">
            <v>2048.7730124031</v>
          </cell>
          <cell r="U698">
            <v>2038.4967222708958</v>
          </cell>
          <cell r="V698">
            <v>2036.0989160739434</v>
          </cell>
          <cell r="W698">
            <v>2036.0856763715385</v>
          </cell>
          <cell r="X698">
            <v>2036.0856763715385</v>
          </cell>
          <cell r="Y698">
            <v>2036.0856763715385</v>
          </cell>
          <cell r="Z698">
            <v>2036.0856763715385</v>
          </cell>
          <cell r="AB698">
            <v>40.382789385678855</v>
          </cell>
          <cell r="AF698">
            <v>0.39442898261784826</v>
          </cell>
          <cell r="AG698">
            <v>0.1342377020706492</v>
          </cell>
        </row>
        <row r="699">
          <cell r="A699" t="str">
            <v>TLCP20G20</v>
          </cell>
          <cell r="D699">
            <v>2020</v>
          </cell>
          <cell r="P699">
            <v>0</v>
          </cell>
          <cell r="Q699">
            <v>2093.2872192558712</v>
          </cell>
          <cell r="R699">
            <v>1900.7087310850357</v>
          </cell>
          <cell r="S699">
            <v>1960.9555883128987</v>
          </cell>
          <cell r="T699">
            <v>2048.7730124031</v>
          </cell>
          <cell r="U699">
            <v>2038.4967222708958</v>
          </cell>
          <cell r="V699">
            <v>2036.0989160739434</v>
          </cell>
          <cell r="W699">
            <v>2036.0856763715385</v>
          </cell>
          <cell r="X699">
            <v>2036.0856763715385</v>
          </cell>
          <cell r="Y699">
            <v>2036.0856763715385</v>
          </cell>
          <cell r="Z699">
            <v>2036.0856763715385</v>
          </cell>
          <cell r="AB699">
            <v>40.382789385678855</v>
          </cell>
          <cell r="AF699">
            <v>0.46127942188749532</v>
          </cell>
          <cell r="AG699">
            <v>0.1342377020706492</v>
          </cell>
        </row>
        <row r="700">
          <cell r="A700" t="str">
            <v>TLCP20G25</v>
          </cell>
          <cell r="D700">
            <v>2025</v>
          </cell>
          <cell r="P700">
            <v>0</v>
          </cell>
          <cell r="Q700">
            <v>2093.2872192558712</v>
          </cell>
          <cell r="R700">
            <v>1900.7087310850357</v>
          </cell>
          <cell r="S700">
            <v>1960.9555883128987</v>
          </cell>
          <cell r="T700">
            <v>2048.7730124031</v>
          </cell>
          <cell r="U700">
            <v>2038.4967222708958</v>
          </cell>
          <cell r="V700">
            <v>2036.0989160739434</v>
          </cell>
          <cell r="W700">
            <v>2036.0856763715385</v>
          </cell>
          <cell r="X700">
            <v>2036.0856763715385</v>
          </cell>
          <cell r="Y700">
            <v>2036.0856763715385</v>
          </cell>
          <cell r="Z700">
            <v>2036.0856763715385</v>
          </cell>
          <cell r="AB700">
            <v>40.382789385678855</v>
          </cell>
          <cell r="AF700">
            <v>0.5429630697842468</v>
          </cell>
          <cell r="AG700">
            <v>0.1342377020706492</v>
          </cell>
        </row>
        <row r="701">
          <cell r="A701" t="str">
            <v>TLCP20G30</v>
          </cell>
          <cell r="D701">
            <v>2030</v>
          </cell>
          <cell r="P701">
            <v>0</v>
          </cell>
          <cell r="Q701">
            <v>2093.2872192558712</v>
          </cell>
          <cell r="R701">
            <v>1900.7087310850357</v>
          </cell>
          <cell r="S701">
            <v>1960.9555883128987</v>
          </cell>
          <cell r="T701">
            <v>2048.7730124031</v>
          </cell>
          <cell r="U701">
            <v>2038.4967222708958</v>
          </cell>
          <cell r="V701">
            <v>2036.0989160739434</v>
          </cell>
          <cell r="W701">
            <v>2036.0856763715385</v>
          </cell>
          <cell r="X701">
            <v>2036.0856763715385</v>
          </cell>
          <cell r="Y701">
            <v>2036.0856763715385</v>
          </cell>
          <cell r="Z701">
            <v>2036.0856763715385</v>
          </cell>
          <cell r="AB701">
            <v>40.382789385678855</v>
          </cell>
          <cell r="AF701">
            <v>0.54272821456455556</v>
          </cell>
          <cell r="AG701">
            <v>0.1342377020706492</v>
          </cell>
        </row>
        <row r="702">
          <cell r="A702" t="str">
            <v>TLCP20G35</v>
          </cell>
          <cell r="D702">
            <v>2035</v>
          </cell>
          <cell r="P702">
            <v>0</v>
          </cell>
          <cell r="Q702">
            <v>2093.2872192558712</v>
          </cell>
          <cell r="R702">
            <v>1900.7087310850357</v>
          </cell>
          <cell r="S702">
            <v>1960.9555883128987</v>
          </cell>
          <cell r="T702">
            <v>2048.7730124031</v>
          </cell>
          <cell r="U702">
            <v>2038.4967222708958</v>
          </cell>
          <cell r="V702">
            <v>2036.0989160739434</v>
          </cell>
          <cell r="W702">
            <v>2036.0856763715385</v>
          </cell>
          <cell r="X702">
            <v>2036.0856763715385</v>
          </cell>
          <cell r="Y702">
            <v>2036.0856763715385</v>
          </cell>
          <cell r="Z702">
            <v>2036.0856763715385</v>
          </cell>
          <cell r="AB702">
            <v>40.382789385678855</v>
          </cell>
          <cell r="AF702">
            <v>0.54179437534819019</v>
          </cell>
          <cell r="AG702">
            <v>0.1342377020706492</v>
          </cell>
        </row>
        <row r="703">
          <cell r="A703" t="str">
            <v>TLCP20G40</v>
          </cell>
          <cell r="D703">
            <v>2040</v>
          </cell>
          <cell r="P703">
            <v>0</v>
          </cell>
          <cell r="Q703">
            <v>2093.2872192558712</v>
          </cell>
          <cell r="R703">
            <v>1900.7087310850357</v>
          </cell>
          <cell r="S703">
            <v>1960.9555883128987</v>
          </cell>
          <cell r="T703">
            <v>2048.7730124031</v>
          </cell>
          <cell r="U703">
            <v>2038.4967222708958</v>
          </cell>
          <cell r="V703">
            <v>2036.0989160739434</v>
          </cell>
          <cell r="W703">
            <v>2036.0856763715385</v>
          </cell>
          <cell r="X703">
            <v>2036.0856763715385</v>
          </cell>
          <cell r="Y703">
            <v>2036.0856763715385</v>
          </cell>
          <cell r="Z703">
            <v>2036.0856763715385</v>
          </cell>
          <cell r="AB703">
            <v>40.382789385678855</v>
          </cell>
          <cell r="AF703">
            <v>0.54095216708402816</v>
          </cell>
          <cell r="AG703">
            <v>0.1342377020706492</v>
          </cell>
        </row>
        <row r="704">
          <cell r="A704" t="str">
            <v>TLCP20G45</v>
          </cell>
          <cell r="D704">
            <v>2045</v>
          </cell>
          <cell r="P704">
            <v>0</v>
          </cell>
          <cell r="Q704">
            <v>2093.2872192558712</v>
          </cell>
          <cell r="R704">
            <v>1900.7087310850357</v>
          </cell>
          <cell r="S704">
            <v>1960.9555883128987</v>
          </cell>
          <cell r="T704">
            <v>2048.7730124031</v>
          </cell>
          <cell r="U704">
            <v>2038.4967222708958</v>
          </cell>
          <cell r="V704">
            <v>2036.0989160739434</v>
          </cell>
          <cell r="W704">
            <v>2036.0856763715385</v>
          </cell>
          <cell r="X704">
            <v>2036.0856763715385</v>
          </cell>
          <cell r="Y704">
            <v>2036.0856763715385</v>
          </cell>
          <cell r="Z704">
            <v>2036.0856763715385</v>
          </cell>
          <cell r="AB704">
            <v>40.382789385678855</v>
          </cell>
          <cell r="AF704">
            <v>0.54095216708402816</v>
          </cell>
          <cell r="AG704">
            <v>0.1342377020706492</v>
          </cell>
        </row>
        <row r="705">
          <cell r="A705" t="str">
            <v>TLCP20G50</v>
          </cell>
          <cell r="D705">
            <v>2050</v>
          </cell>
          <cell r="P705">
            <v>0</v>
          </cell>
          <cell r="Q705">
            <v>2093.2872192558712</v>
          </cell>
          <cell r="R705">
            <v>1900.7087310850357</v>
          </cell>
          <cell r="S705">
            <v>1960.9555883128987</v>
          </cell>
          <cell r="T705">
            <v>2048.7730124031</v>
          </cell>
          <cell r="U705">
            <v>2038.4967222708958</v>
          </cell>
          <cell r="V705">
            <v>2036.0989160739434</v>
          </cell>
          <cell r="W705">
            <v>2036.0856763715385</v>
          </cell>
          <cell r="X705">
            <v>2036.0856763715385</v>
          </cell>
          <cell r="Y705">
            <v>2036.0856763715385</v>
          </cell>
          <cell r="Z705">
            <v>2036.0856763715385</v>
          </cell>
          <cell r="AB705">
            <v>40.382789385678855</v>
          </cell>
          <cell r="AF705">
            <v>0.54095216708402816</v>
          </cell>
          <cell r="AG705">
            <v>0.1342377020706492</v>
          </cell>
        </row>
        <row r="706">
          <cell r="A706" t="str">
            <v>TLFP20G10</v>
          </cell>
          <cell r="D706">
            <v>2010</v>
          </cell>
          <cell r="P706">
            <v>0</v>
          </cell>
          <cell r="Q706">
            <v>2432.4635239671838</v>
          </cell>
          <cell r="R706">
            <v>2300.956347712206</v>
          </cell>
          <cell r="S706">
            <v>2352.3949211493741</v>
          </cell>
          <cell r="T706">
            <v>2437.6582552540517</v>
          </cell>
          <cell r="U706">
            <v>2426.5421738829386</v>
          </cell>
          <cell r="V706">
            <v>2423.6092444720985</v>
          </cell>
          <cell r="W706">
            <v>2423.1368729676915</v>
          </cell>
          <cell r="X706">
            <v>2423.1368729676915</v>
          </cell>
          <cell r="Y706">
            <v>2423.1368729676915</v>
          </cell>
          <cell r="Z706">
            <v>2423.1368729676915</v>
          </cell>
          <cell r="AB706">
            <v>45.478712808157368</v>
          </cell>
          <cell r="AF706">
            <v>0.41148377975105277</v>
          </cell>
          <cell r="AG706">
            <v>0.1342377020706492</v>
          </cell>
        </row>
        <row r="707">
          <cell r="A707" t="str">
            <v>TLFP20G15</v>
          </cell>
          <cell r="D707">
            <v>2015</v>
          </cell>
          <cell r="P707">
            <v>0</v>
          </cell>
          <cell r="Q707">
            <v>2432.4635239671838</v>
          </cell>
          <cell r="R707">
            <v>2300.956347712206</v>
          </cell>
          <cell r="S707">
            <v>2352.3949211493741</v>
          </cell>
          <cell r="T707">
            <v>2437.6582552540517</v>
          </cell>
          <cell r="U707">
            <v>2426.5421738829386</v>
          </cell>
          <cell r="V707">
            <v>2423.6092444720985</v>
          </cell>
          <cell r="W707">
            <v>2423.1368729676915</v>
          </cell>
          <cell r="X707">
            <v>2423.1368729676915</v>
          </cell>
          <cell r="Y707">
            <v>2423.1368729676915</v>
          </cell>
          <cell r="Z707">
            <v>2423.1368729676915</v>
          </cell>
          <cell r="AB707">
            <v>45.478712808157368</v>
          </cell>
          <cell r="AF707">
            <v>0.38870603379068391</v>
          </cell>
          <cell r="AG707">
            <v>0.1342377020706492</v>
          </cell>
        </row>
        <row r="708">
          <cell r="A708" t="str">
            <v>TLFP20G20</v>
          </cell>
          <cell r="D708">
            <v>2020</v>
          </cell>
          <cell r="P708">
            <v>0</v>
          </cell>
          <cell r="Q708">
            <v>2432.4635239671838</v>
          </cell>
          <cell r="R708">
            <v>2300.956347712206</v>
          </cell>
          <cell r="S708">
            <v>2352.3949211493741</v>
          </cell>
          <cell r="T708">
            <v>2437.6582552540517</v>
          </cell>
          <cell r="U708">
            <v>2426.5421738829386</v>
          </cell>
          <cell r="V708">
            <v>2423.6092444720985</v>
          </cell>
          <cell r="W708">
            <v>2423.1368729676915</v>
          </cell>
          <cell r="X708">
            <v>2423.1368729676915</v>
          </cell>
          <cell r="Y708">
            <v>2423.1368729676915</v>
          </cell>
          <cell r="Z708">
            <v>2423.1368729676915</v>
          </cell>
          <cell r="AB708">
            <v>45.478712808157368</v>
          </cell>
          <cell r="AF708">
            <v>0.45047212683371785</v>
          </cell>
          <cell r="AG708">
            <v>0.1342377020706492</v>
          </cell>
        </row>
        <row r="709">
          <cell r="A709" t="str">
            <v>TLFP20G25</v>
          </cell>
          <cell r="D709">
            <v>2025</v>
          </cell>
          <cell r="P709">
            <v>0</v>
          </cell>
          <cell r="Q709">
            <v>2432.4635239671838</v>
          </cell>
          <cell r="R709">
            <v>2300.956347712206</v>
          </cell>
          <cell r="S709">
            <v>2352.3949211493741</v>
          </cell>
          <cell r="T709">
            <v>2437.6582552540517</v>
          </cell>
          <cell r="U709">
            <v>2426.5421738829386</v>
          </cell>
          <cell r="V709">
            <v>2423.6092444720985</v>
          </cell>
          <cell r="W709">
            <v>2423.1368729676915</v>
          </cell>
          <cell r="X709">
            <v>2423.1368729676915</v>
          </cell>
          <cell r="Y709">
            <v>2423.1368729676915</v>
          </cell>
          <cell r="Z709">
            <v>2423.1368729676915</v>
          </cell>
          <cell r="AB709">
            <v>45.478712808157368</v>
          </cell>
          <cell r="AF709">
            <v>0.54163778173201982</v>
          </cell>
          <cell r="AG709">
            <v>0.1342377020706492</v>
          </cell>
        </row>
        <row r="710">
          <cell r="A710" t="str">
            <v>TLFP20G30</v>
          </cell>
          <cell r="D710">
            <v>2030</v>
          </cell>
          <cell r="P710">
            <v>0</v>
          </cell>
          <cell r="Q710">
            <v>2432.4635239671838</v>
          </cell>
          <cell r="R710">
            <v>2300.956347712206</v>
          </cell>
          <cell r="S710">
            <v>2352.3949211493741</v>
          </cell>
          <cell r="T710">
            <v>2437.6582552540517</v>
          </cell>
          <cell r="U710">
            <v>2426.5421738829386</v>
          </cell>
          <cell r="V710">
            <v>2423.6092444720985</v>
          </cell>
          <cell r="W710">
            <v>2423.1368729676915</v>
          </cell>
          <cell r="X710">
            <v>2423.1368729676915</v>
          </cell>
          <cell r="Y710">
            <v>2423.1368729676915</v>
          </cell>
          <cell r="Z710">
            <v>2423.1368729676915</v>
          </cell>
          <cell r="AB710">
            <v>45.478712808157368</v>
          </cell>
          <cell r="AF710">
            <v>0.54134313802845624</v>
          </cell>
          <cell r="AG710">
            <v>0.1342377020706492</v>
          </cell>
        </row>
        <row r="711">
          <cell r="A711" t="str">
            <v>TLFP20G35</v>
          </cell>
          <cell r="D711">
            <v>2035</v>
          </cell>
          <cell r="P711">
            <v>0</v>
          </cell>
          <cell r="Q711">
            <v>2432.4635239671838</v>
          </cell>
          <cell r="R711">
            <v>2300.956347712206</v>
          </cell>
          <cell r="S711">
            <v>2352.3949211493741</v>
          </cell>
          <cell r="T711">
            <v>2437.6582552540517</v>
          </cell>
          <cell r="U711">
            <v>2426.5421738829386</v>
          </cell>
          <cell r="V711">
            <v>2423.6092444720985</v>
          </cell>
          <cell r="W711">
            <v>2423.1368729676915</v>
          </cell>
          <cell r="X711">
            <v>2423.1368729676915</v>
          </cell>
          <cell r="Y711">
            <v>2423.1368729676915</v>
          </cell>
          <cell r="Z711">
            <v>2423.1368729676915</v>
          </cell>
          <cell r="AB711">
            <v>45.478712808157368</v>
          </cell>
          <cell r="AF711">
            <v>0.54041079266506731</v>
          </cell>
          <cell r="AG711">
            <v>0.1342377020706492</v>
          </cell>
        </row>
        <row r="712">
          <cell r="A712" t="str">
            <v>TLFP20G40</v>
          </cell>
          <cell r="D712">
            <v>2040</v>
          </cell>
          <cell r="P712">
            <v>0</v>
          </cell>
          <cell r="Q712">
            <v>2432.4635239671838</v>
          </cell>
          <cell r="R712">
            <v>2300.956347712206</v>
          </cell>
          <cell r="S712">
            <v>2352.3949211493741</v>
          </cell>
          <cell r="T712">
            <v>2437.6582552540517</v>
          </cell>
          <cell r="U712">
            <v>2426.5421738829386</v>
          </cell>
          <cell r="V712">
            <v>2423.6092444720985</v>
          </cell>
          <cell r="W712">
            <v>2423.1368729676915</v>
          </cell>
          <cell r="X712">
            <v>2423.1368729676915</v>
          </cell>
          <cell r="Y712">
            <v>2423.1368729676915</v>
          </cell>
          <cell r="Z712">
            <v>2423.1368729676915</v>
          </cell>
          <cell r="AB712">
            <v>45.478712808157368</v>
          </cell>
          <cell r="AF712">
            <v>0.53966720543655877</v>
          </cell>
          <cell r="AG712">
            <v>0.1342377020706492</v>
          </cell>
        </row>
        <row r="713">
          <cell r="A713" t="str">
            <v>TLFP20G45</v>
          </cell>
          <cell r="D713">
            <v>2045</v>
          </cell>
          <cell r="P713">
            <v>0</v>
          </cell>
          <cell r="Q713">
            <v>2432.4635239671838</v>
          </cell>
          <cell r="R713">
            <v>2300.956347712206</v>
          </cell>
          <cell r="S713">
            <v>2352.3949211493741</v>
          </cell>
          <cell r="T713">
            <v>2437.6582552540517</v>
          </cell>
          <cell r="U713">
            <v>2426.5421738829386</v>
          </cell>
          <cell r="V713">
            <v>2423.6092444720985</v>
          </cell>
          <cell r="W713">
            <v>2423.1368729676915</v>
          </cell>
          <cell r="X713">
            <v>2423.1368729676915</v>
          </cell>
          <cell r="Y713">
            <v>2423.1368729676915</v>
          </cell>
          <cell r="Z713">
            <v>2423.1368729676915</v>
          </cell>
          <cell r="AB713">
            <v>45.478712808157368</v>
          </cell>
          <cell r="AF713">
            <v>0.53966720543655877</v>
          </cell>
          <cell r="AG713">
            <v>0.1342377020706492</v>
          </cell>
        </row>
        <row r="714">
          <cell r="A714" t="str">
            <v>TLFP20G50</v>
          </cell>
          <cell r="D714">
            <v>2050</v>
          </cell>
          <cell r="P714">
            <v>0</v>
          </cell>
          <cell r="Q714">
            <v>2432.4635239671838</v>
          </cell>
          <cell r="R714">
            <v>2300.956347712206</v>
          </cell>
          <cell r="S714">
            <v>2352.3949211493741</v>
          </cell>
          <cell r="T714">
            <v>2437.6582552540517</v>
          </cell>
          <cell r="U714">
            <v>2426.5421738829386</v>
          </cell>
          <cell r="V714">
            <v>2423.6092444720985</v>
          </cell>
          <cell r="W714">
            <v>2423.1368729676915</v>
          </cell>
          <cell r="X714">
            <v>2423.1368729676915</v>
          </cell>
          <cell r="Y714">
            <v>2423.1368729676915</v>
          </cell>
          <cell r="Z714">
            <v>2423.1368729676915</v>
          </cell>
          <cell r="AB714">
            <v>45.478712808157368</v>
          </cell>
          <cell r="AF714">
            <v>0.53966720543655877</v>
          </cell>
          <cell r="AG714">
            <v>0.1342377020706492</v>
          </cell>
        </row>
        <row r="715">
          <cell r="A715" t="str">
            <v>TLPP20G10</v>
          </cell>
          <cell r="D715">
            <v>2010</v>
          </cell>
          <cell r="P715">
            <v>0</v>
          </cell>
          <cell r="Q715">
            <v>1487.150857782975</v>
          </cell>
          <cell r="R715">
            <v>2762.7374120483314</v>
          </cell>
          <cell r="S715">
            <v>2765.4885700876025</v>
          </cell>
          <cell r="T715">
            <v>2822.8781088038272</v>
          </cell>
          <cell r="U715">
            <v>2807.0612130395893</v>
          </cell>
          <cell r="V715">
            <v>2803.685278932624</v>
          </cell>
          <cell r="W715">
            <v>2804.6692305202459</v>
          </cell>
          <cell r="X715">
            <v>2804.6692305202459</v>
          </cell>
          <cell r="Y715">
            <v>2804.6692305202459</v>
          </cell>
          <cell r="Z715">
            <v>2804.6692305202459</v>
          </cell>
          <cell r="AB715">
            <v>48.0747492686653</v>
          </cell>
          <cell r="AF715">
            <v>0</v>
          </cell>
          <cell r="AG715">
            <v>0.1342377020706492</v>
          </cell>
        </row>
        <row r="716">
          <cell r="A716" t="str">
            <v>TLPP20G15</v>
          </cell>
          <cell r="D716">
            <v>2015</v>
          </cell>
          <cell r="P716">
            <v>0</v>
          </cell>
          <cell r="Q716">
            <v>1487.150857782975</v>
          </cell>
          <cell r="R716">
            <v>2762.7374120483314</v>
          </cell>
          <cell r="S716">
            <v>2765.4885700876025</v>
          </cell>
          <cell r="T716">
            <v>2822.8781088038272</v>
          </cell>
          <cell r="U716">
            <v>2807.0612130395893</v>
          </cell>
          <cell r="V716">
            <v>2803.685278932624</v>
          </cell>
          <cell r="W716">
            <v>2804.6692305202459</v>
          </cell>
          <cell r="X716">
            <v>2804.6692305202459</v>
          </cell>
          <cell r="Y716">
            <v>2804.6692305202459</v>
          </cell>
          <cell r="Z716">
            <v>2804.6692305202459</v>
          </cell>
          <cell r="AB716">
            <v>48.0747492686653</v>
          </cell>
          <cell r="AF716">
            <v>0.29720030539241937</v>
          </cell>
          <cell r="AG716">
            <v>0.1342377020706492</v>
          </cell>
        </row>
        <row r="717">
          <cell r="A717" t="str">
            <v>TLPP20G20</v>
          </cell>
          <cell r="D717">
            <v>2020</v>
          </cell>
          <cell r="P717">
            <v>0</v>
          </cell>
          <cell r="Q717">
            <v>1487.150857782975</v>
          </cell>
          <cell r="R717">
            <v>2762.7374120483314</v>
          </cell>
          <cell r="S717">
            <v>2765.4885700876025</v>
          </cell>
          <cell r="T717">
            <v>2822.8781088038272</v>
          </cell>
          <cell r="U717">
            <v>2807.0612130395893</v>
          </cell>
          <cell r="V717">
            <v>2803.685278932624</v>
          </cell>
          <cell r="W717">
            <v>2804.6692305202459</v>
          </cell>
          <cell r="X717">
            <v>2804.6692305202459</v>
          </cell>
          <cell r="Y717">
            <v>2804.6692305202459</v>
          </cell>
          <cell r="Z717">
            <v>2804.6692305202459</v>
          </cell>
          <cell r="AB717">
            <v>48.0747492686653</v>
          </cell>
          <cell r="AF717">
            <v>0.31862513345959637</v>
          </cell>
          <cell r="AG717">
            <v>0.1342377020706492</v>
          </cell>
        </row>
        <row r="718">
          <cell r="A718" t="str">
            <v>TLPP20G25</v>
          </cell>
          <cell r="D718">
            <v>2025</v>
          </cell>
          <cell r="P718">
            <v>0</v>
          </cell>
          <cell r="Q718">
            <v>1487.150857782975</v>
          </cell>
          <cell r="R718">
            <v>2762.7374120483314</v>
          </cell>
          <cell r="S718">
            <v>2765.4885700876025</v>
          </cell>
          <cell r="T718">
            <v>2822.8781088038272</v>
          </cell>
          <cell r="U718">
            <v>2807.0612130395893</v>
          </cell>
          <cell r="V718">
            <v>2803.685278932624</v>
          </cell>
          <cell r="W718">
            <v>2804.6692305202459</v>
          </cell>
          <cell r="X718">
            <v>2804.6692305202459</v>
          </cell>
          <cell r="Y718">
            <v>2804.6692305202459</v>
          </cell>
          <cell r="Z718">
            <v>2804.6692305202459</v>
          </cell>
          <cell r="AB718">
            <v>48.0747492686653</v>
          </cell>
          <cell r="AF718">
            <v>0.36955280037426697</v>
          </cell>
          <cell r="AG718">
            <v>0.1342377020706492</v>
          </cell>
        </row>
        <row r="719">
          <cell r="A719" t="str">
            <v>TLPP20G30</v>
          </cell>
          <cell r="D719">
            <v>2030</v>
          </cell>
          <cell r="P719">
            <v>0</v>
          </cell>
          <cell r="Q719">
            <v>1487.150857782975</v>
          </cell>
          <cell r="R719">
            <v>2762.7374120483314</v>
          </cell>
          <cell r="S719">
            <v>2765.4885700876025</v>
          </cell>
          <cell r="T719">
            <v>2822.8781088038272</v>
          </cell>
          <cell r="U719">
            <v>2807.0612130395893</v>
          </cell>
          <cell r="V719">
            <v>2803.685278932624</v>
          </cell>
          <cell r="W719">
            <v>2804.6692305202459</v>
          </cell>
          <cell r="X719">
            <v>2804.6692305202459</v>
          </cell>
          <cell r="Y719">
            <v>2804.6692305202459</v>
          </cell>
          <cell r="Z719">
            <v>2804.6692305202459</v>
          </cell>
          <cell r="AB719">
            <v>48.0747492686653</v>
          </cell>
          <cell r="AF719">
            <v>0.37301624805724104</v>
          </cell>
          <cell r="AG719">
            <v>0.1342377020706492</v>
          </cell>
        </row>
        <row r="720">
          <cell r="A720" t="str">
            <v>TLPP20G35</v>
          </cell>
          <cell r="D720">
            <v>2035</v>
          </cell>
          <cell r="P720">
            <v>0</v>
          </cell>
          <cell r="Q720">
            <v>1487.150857782975</v>
          </cell>
          <cell r="R720">
            <v>2762.7374120483314</v>
          </cell>
          <cell r="S720">
            <v>2765.4885700876025</v>
          </cell>
          <cell r="T720">
            <v>2822.8781088038272</v>
          </cell>
          <cell r="U720">
            <v>2807.0612130395893</v>
          </cell>
          <cell r="V720">
            <v>2803.685278932624</v>
          </cell>
          <cell r="W720">
            <v>2804.6692305202459</v>
          </cell>
          <cell r="X720">
            <v>2804.6692305202459</v>
          </cell>
          <cell r="Y720">
            <v>2804.6692305202459</v>
          </cell>
          <cell r="Z720">
            <v>2804.6692305202459</v>
          </cell>
          <cell r="AB720">
            <v>48.0747492686653</v>
          </cell>
          <cell r="AF720">
            <v>0.37507304642447381</v>
          </cell>
          <cell r="AG720">
            <v>0.1342377020706492</v>
          </cell>
        </row>
        <row r="721">
          <cell r="A721" t="str">
            <v>TLPP20G40</v>
          </cell>
          <cell r="D721">
            <v>2040</v>
          </cell>
          <cell r="P721">
            <v>0</v>
          </cell>
          <cell r="Q721">
            <v>1487.150857782975</v>
          </cell>
          <cell r="R721">
            <v>2762.7374120483314</v>
          </cell>
          <cell r="S721">
            <v>2765.4885700876025</v>
          </cell>
          <cell r="T721">
            <v>2822.8781088038272</v>
          </cell>
          <cell r="U721">
            <v>2807.0612130395893</v>
          </cell>
          <cell r="V721">
            <v>2803.685278932624</v>
          </cell>
          <cell r="W721">
            <v>2804.6692305202459</v>
          </cell>
          <cell r="X721">
            <v>2804.6692305202459</v>
          </cell>
          <cell r="Y721">
            <v>2804.6692305202459</v>
          </cell>
          <cell r="Z721">
            <v>2804.6692305202459</v>
          </cell>
          <cell r="AB721">
            <v>48.0747492686653</v>
          </cell>
          <cell r="AF721">
            <v>0.37517721459244896</v>
          </cell>
          <cell r="AG721">
            <v>0.1342377020706492</v>
          </cell>
        </row>
        <row r="722">
          <cell r="A722" t="str">
            <v>TLPP20G45</v>
          </cell>
          <cell r="D722">
            <v>2045</v>
          </cell>
          <cell r="P722">
            <v>0</v>
          </cell>
          <cell r="Q722">
            <v>1487.150857782975</v>
          </cell>
          <cell r="R722">
            <v>2762.7374120483314</v>
          </cell>
          <cell r="S722">
            <v>2765.4885700876025</v>
          </cell>
          <cell r="T722">
            <v>2822.8781088038272</v>
          </cell>
          <cell r="U722">
            <v>2807.0612130395893</v>
          </cell>
          <cell r="V722">
            <v>2803.685278932624</v>
          </cell>
          <cell r="W722">
            <v>2804.6692305202459</v>
          </cell>
          <cell r="X722">
            <v>2804.6692305202459</v>
          </cell>
          <cell r="Y722">
            <v>2804.6692305202459</v>
          </cell>
          <cell r="Z722">
            <v>2804.6692305202459</v>
          </cell>
          <cell r="AB722">
            <v>48.0747492686653</v>
          </cell>
          <cell r="AF722">
            <v>0.37517721459244896</v>
          </cell>
          <cell r="AG722">
            <v>0.1342377020706492</v>
          </cell>
        </row>
        <row r="723">
          <cell r="A723" t="str">
            <v>TLPP20G50</v>
          </cell>
          <cell r="D723">
            <v>2050</v>
          </cell>
          <cell r="P723">
            <v>0</v>
          </cell>
          <cell r="Q723">
            <v>1487.150857782975</v>
          </cell>
          <cell r="R723">
            <v>2762.7374120483314</v>
          </cell>
          <cell r="S723">
            <v>2765.4885700876025</v>
          </cell>
          <cell r="T723">
            <v>2822.8781088038272</v>
          </cell>
          <cell r="U723">
            <v>2807.0612130395893</v>
          </cell>
          <cell r="V723">
            <v>2803.685278932624</v>
          </cell>
          <cell r="W723">
            <v>2804.6692305202459</v>
          </cell>
          <cell r="X723">
            <v>2804.6692305202459</v>
          </cell>
          <cell r="Y723">
            <v>2804.6692305202459</v>
          </cell>
          <cell r="Z723">
            <v>2804.6692305202459</v>
          </cell>
          <cell r="AB723">
            <v>48.0747492686653</v>
          </cell>
          <cell r="AF723">
            <v>0.37517721459244896</v>
          </cell>
          <cell r="AG723">
            <v>0.1342377020706492</v>
          </cell>
        </row>
        <row r="724">
          <cell r="A724" t="str">
            <v>TLMP20G10</v>
          </cell>
          <cell r="D724">
            <v>2010</v>
          </cell>
          <cell r="P724">
            <v>0</v>
          </cell>
          <cell r="Q724">
            <v>1641.7338674852876</v>
          </cell>
          <cell r="R724">
            <v>1701.4542320760138</v>
          </cell>
          <cell r="S724">
            <v>2570.3918283158364</v>
          </cell>
          <cell r="T724">
            <v>2623.9538170287933</v>
          </cell>
          <cell r="U724">
            <v>2610.7658829842958</v>
          </cell>
          <cell r="V724">
            <v>2608.3700120992689</v>
          </cell>
          <cell r="W724">
            <v>2608.7687027095562</v>
          </cell>
          <cell r="X724">
            <v>2608.7687027095562</v>
          </cell>
          <cell r="Y724">
            <v>2608.7687027095562</v>
          </cell>
          <cell r="Z724">
            <v>2608.7687027095562</v>
          </cell>
          <cell r="AB724">
            <v>45.478712808157368</v>
          </cell>
          <cell r="AF724">
            <v>0.33462374153717556</v>
          </cell>
          <cell r="AG724">
            <v>0.1342377020706492</v>
          </cell>
        </row>
        <row r="725">
          <cell r="A725" t="str">
            <v>TLMP20G15</v>
          </cell>
          <cell r="D725">
            <v>2015</v>
          </cell>
          <cell r="P725">
            <v>0</v>
          </cell>
          <cell r="Q725">
            <v>1641.7338674852876</v>
          </cell>
          <cell r="R725">
            <v>1701.4542320760138</v>
          </cell>
          <cell r="S725">
            <v>2570.3918283158364</v>
          </cell>
          <cell r="T725">
            <v>2623.9538170287933</v>
          </cell>
          <cell r="U725">
            <v>2610.7658829842958</v>
          </cell>
          <cell r="V725">
            <v>2608.3700120992689</v>
          </cell>
          <cell r="W725">
            <v>2608.7687027095562</v>
          </cell>
          <cell r="X725">
            <v>2608.7687027095562</v>
          </cell>
          <cell r="Y725">
            <v>2608.7687027095562</v>
          </cell>
          <cell r="Z725">
            <v>2608.7687027095562</v>
          </cell>
          <cell r="AB725">
            <v>45.478712808157368</v>
          </cell>
          <cell r="AF725" t="e">
            <v>#DIV/0!</v>
          </cell>
          <cell r="AG725">
            <v>0.1342377020706492</v>
          </cell>
        </row>
        <row r="726">
          <cell r="A726" t="str">
            <v>TLMP20G20</v>
          </cell>
          <cell r="D726">
            <v>2020</v>
          </cell>
          <cell r="P726">
            <v>0</v>
          </cell>
          <cell r="Q726">
            <v>1641.7338674852876</v>
          </cell>
          <cell r="R726">
            <v>1701.4542320760138</v>
          </cell>
          <cell r="S726">
            <v>2570.3918283158364</v>
          </cell>
          <cell r="T726">
            <v>2623.9538170287933</v>
          </cell>
          <cell r="U726">
            <v>2610.7658829842958</v>
          </cell>
          <cell r="V726">
            <v>2608.3700120992689</v>
          </cell>
          <cell r="W726">
            <v>2608.7687027095562</v>
          </cell>
          <cell r="X726">
            <v>2608.7687027095562</v>
          </cell>
          <cell r="Y726">
            <v>2608.7687027095562</v>
          </cell>
          <cell r="Z726">
            <v>2608.7687027095562</v>
          </cell>
          <cell r="AB726">
            <v>45.478712808157368</v>
          </cell>
          <cell r="AF726">
            <v>0.32363945902314467</v>
          </cell>
          <cell r="AG726">
            <v>0.1342377020706492</v>
          </cell>
        </row>
        <row r="727">
          <cell r="A727" t="str">
            <v>TLMP20G25</v>
          </cell>
          <cell r="D727">
            <v>2025</v>
          </cell>
          <cell r="P727">
            <v>0</v>
          </cell>
          <cell r="Q727">
            <v>1641.7338674852876</v>
          </cell>
          <cell r="R727">
            <v>1701.4542320760138</v>
          </cell>
          <cell r="S727">
            <v>2570.3918283158364</v>
          </cell>
          <cell r="T727">
            <v>2623.9538170287933</v>
          </cell>
          <cell r="U727">
            <v>2610.7658829842958</v>
          </cell>
          <cell r="V727">
            <v>2608.3700120992689</v>
          </cell>
          <cell r="W727">
            <v>2608.7687027095562</v>
          </cell>
          <cell r="X727">
            <v>2608.7687027095562</v>
          </cell>
          <cell r="Y727">
            <v>2608.7687027095562</v>
          </cell>
          <cell r="Z727">
            <v>2608.7687027095562</v>
          </cell>
          <cell r="AB727">
            <v>45.478712808157368</v>
          </cell>
          <cell r="AF727">
            <v>0.38771537892347446</v>
          </cell>
          <cell r="AG727">
            <v>0.1342377020706492</v>
          </cell>
        </row>
        <row r="728">
          <cell r="A728" t="str">
            <v>TLMP20G30</v>
          </cell>
          <cell r="D728">
            <v>2030</v>
          </cell>
          <cell r="P728">
            <v>0</v>
          </cell>
          <cell r="Q728">
            <v>1641.7338674852876</v>
          </cell>
          <cell r="R728">
            <v>1701.4542320760138</v>
          </cell>
          <cell r="S728">
            <v>2570.3918283158364</v>
          </cell>
          <cell r="T728">
            <v>2623.9538170287933</v>
          </cell>
          <cell r="U728">
            <v>2610.7658829842958</v>
          </cell>
          <cell r="V728">
            <v>2608.3700120992689</v>
          </cell>
          <cell r="W728">
            <v>2608.7687027095562</v>
          </cell>
          <cell r="X728">
            <v>2608.7687027095562</v>
          </cell>
          <cell r="Y728">
            <v>2608.7687027095562</v>
          </cell>
          <cell r="Z728">
            <v>2608.7687027095562</v>
          </cell>
          <cell r="AB728">
            <v>45.478712808157368</v>
          </cell>
          <cell r="AF728">
            <v>0.39212865072101105</v>
          </cell>
          <cell r="AG728">
            <v>0.1342377020706492</v>
          </cell>
        </row>
        <row r="729">
          <cell r="A729" t="str">
            <v>TLMP20G35</v>
          </cell>
          <cell r="D729">
            <v>2035</v>
          </cell>
          <cell r="P729">
            <v>0</v>
          </cell>
          <cell r="Q729">
            <v>1641.7338674852876</v>
          </cell>
          <cell r="R729">
            <v>1701.4542320760138</v>
          </cell>
          <cell r="S729">
            <v>2570.3918283158364</v>
          </cell>
          <cell r="T729">
            <v>2623.9538170287933</v>
          </cell>
          <cell r="U729">
            <v>2610.7658829842958</v>
          </cell>
          <cell r="V729">
            <v>2608.3700120992689</v>
          </cell>
          <cell r="W729">
            <v>2608.7687027095562</v>
          </cell>
          <cell r="X729">
            <v>2608.7687027095562</v>
          </cell>
          <cell r="Y729">
            <v>2608.7687027095562</v>
          </cell>
          <cell r="Z729">
            <v>2608.7687027095562</v>
          </cell>
          <cell r="AB729">
            <v>45.478712808157368</v>
          </cell>
          <cell r="AF729">
            <v>0.39518506537109543</v>
          </cell>
          <cell r="AG729">
            <v>0.1342377020706492</v>
          </cell>
        </row>
        <row r="730">
          <cell r="A730" t="str">
            <v>TLMP20G40</v>
          </cell>
          <cell r="D730">
            <v>2040</v>
          </cell>
          <cell r="P730">
            <v>0</v>
          </cell>
          <cell r="Q730">
            <v>1641.7338674852876</v>
          </cell>
          <cell r="R730">
            <v>1701.4542320760138</v>
          </cell>
          <cell r="S730">
            <v>2570.3918283158364</v>
          </cell>
          <cell r="T730">
            <v>2623.9538170287933</v>
          </cell>
          <cell r="U730">
            <v>2610.7658829842958</v>
          </cell>
          <cell r="V730">
            <v>2608.3700120992689</v>
          </cell>
          <cell r="W730">
            <v>2608.7687027095562</v>
          </cell>
          <cell r="X730">
            <v>2608.7687027095562</v>
          </cell>
          <cell r="Y730">
            <v>2608.7687027095562</v>
          </cell>
          <cell r="Z730">
            <v>2608.7687027095562</v>
          </cell>
          <cell r="AB730">
            <v>45.478712808157368</v>
          </cell>
          <cell r="AF730">
            <v>0.39643814415910472</v>
          </cell>
          <cell r="AG730">
            <v>0.1342377020706492</v>
          </cell>
        </row>
        <row r="731">
          <cell r="A731" t="str">
            <v>TLMP20G45</v>
          </cell>
          <cell r="D731">
            <v>2045</v>
          </cell>
          <cell r="P731">
            <v>0</v>
          </cell>
          <cell r="Q731">
            <v>1641.7338674852876</v>
          </cell>
          <cell r="R731">
            <v>1701.4542320760138</v>
          </cell>
          <cell r="S731">
            <v>2570.3918283158364</v>
          </cell>
          <cell r="T731">
            <v>2623.9538170287933</v>
          </cell>
          <cell r="U731">
            <v>2610.7658829842958</v>
          </cell>
          <cell r="V731">
            <v>2608.3700120992689</v>
          </cell>
          <cell r="W731">
            <v>2608.7687027095562</v>
          </cell>
          <cell r="X731">
            <v>2608.7687027095562</v>
          </cell>
          <cell r="Y731">
            <v>2608.7687027095562</v>
          </cell>
          <cell r="Z731">
            <v>2608.7687027095562</v>
          </cell>
          <cell r="AB731">
            <v>45.478712808157368</v>
          </cell>
          <cell r="AF731">
            <v>0.39643814415910472</v>
          </cell>
          <cell r="AG731">
            <v>0.1342377020706492</v>
          </cell>
        </row>
        <row r="732">
          <cell r="A732" t="str">
            <v>TLMP20G50</v>
          </cell>
          <cell r="D732">
            <v>2050</v>
          </cell>
          <cell r="P732">
            <v>0</v>
          </cell>
          <cell r="Q732">
            <v>1641.7338674852876</v>
          </cell>
          <cell r="R732">
            <v>1701.4542320760138</v>
          </cell>
          <cell r="S732">
            <v>2570.3918283158364</v>
          </cell>
          <cell r="T732">
            <v>2623.9538170287933</v>
          </cell>
          <cell r="U732">
            <v>2610.7658829842958</v>
          </cell>
          <cell r="V732">
            <v>2608.3700120992689</v>
          </cell>
          <cell r="W732">
            <v>2608.7687027095562</v>
          </cell>
          <cell r="X732">
            <v>2608.7687027095562</v>
          </cell>
          <cell r="Y732">
            <v>2608.7687027095562</v>
          </cell>
          <cell r="Z732">
            <v>2608.7687027095562</v>
          </cell>
          <cell r="AB732">
            <v>45.478712808157368</v>
          </cell>
          <cell r="AF732">
            <v>0.39643814415910472</v>
          </cell>
          <cell r="AG732">
            <v>0.1342377020706492</v>
          </cell>
        </row>
        <row r="733">
          <cell r="A733" t="str">
            <v>TLLSP20G10</v>
          </cell>
          <cell r="D733">
            <v>2010</v>
          </cell>
          <cell r="P733">
            <v>0</v>
          </cell>
          <cell r="Q733">
            <v>3264.5330694387821</v>
          </cell>
          <cell r="R733">
            <v>3267.4678015512686</v>
          </cell>
          <cell r="S733">
            <v>3330.7260037519809</v>
          </cell>
          <cell r="T733">
            <v>3395.0983055034471</v>
          </cell>
          <cell r="U733">
            <v>3385.005716804802</v>
          </cell>
          <cell r="V733">
            <v>3381.8194386521845</v>
          </cell>
          <cell r="W733">
            <v>3381.7852251485506</v>
          </cell>
          <cell r="X733">
            <v>3381.7852251485506</v>
          </cell>
          <cell r="Y733">
            <v>3381.7852251485506</v>
          </cell>
          <cell r="Z733">
            <v>3381.7852251485506</v>
          </cell>
          <cell r="AB733">
            <v>45.478712808157368</v>
          </cell>
          <cell r="AF733">
            <v>0.29875219804284292</v>
          </cell>
          <cell r="AG733">
            <v>0.1342377020706492</v>
          </cell>
        </row>
        <row r="734">
          <cell r="A734" t="str">
            <v>TLLSP20G15</v>
          </cell>
          <cell r="D734">
            <v>2015</v>
          </cell>
          <cell r="P734">
            <v>0</v>
          </cell>
          <cell r="Q734">
            <v>3264.5330694387821</v>
          </cell>
          <cell r="R734">
            <v>3267.4678015512686</v>
          </cell>
          <cell r="S734">
            <v>3330.7260037519809</v>
          </cell>
          <cell r="T734">
            <v>3395.0983055034471</v>
          </cell>
          <cell r="U734">
            <v>3385.005716804802</v>
          </cell>
          <cell r="V734">
            <v>3381.8194386521845</v>
          </cell>
          <cell r="W734">
            <v>3381.7852251485506</v>
          </cell>
          <cell r="X734">
            <v>3381.7852251485506</v>
          </cell>
          <cell r="Y734">
            <v>3381.7852251485506</v>
          </cell>
          <cell r="Z734">
            <v>3381.7852251485506</v>
          </cell>
          <cell r="AB734">
            <v>45.478712808157368</v>
          </cell>
          <cell r="AF734">
            <v>0.28011759238912265</v>
          </cell>
          <cell r="AG734">
            <v>0.1342377020706492</v>
          </cell>
        </row>
        <row r="735">
          <cell r="A735" t="str">
            <v>TLLSP20G20</v>
          </cell>
          <cell r="D735">
            <v>2020</v>
          </cell>
          <cell r="P735">
            <v>0</v>
          </cell>
          <cell r="Q735">
            <v>3264.5330694387821</v>
          </cell>
          <cell r="R735">
            <v>3267.4678015512686</v>
          </cell>
          <cell r="S735">
            <v>3330.7260037519809</v>
          </cell>
          <cell r="T735">
            <v>3395.0983055034471</v>
          </cell>
          <cell r="U735">
            <v>3385.005716804802</v>
          </cell>
          <cell r="V735">
            <v>3381.8194386521845</v>
          </cell>
          <cell r="W735">
            <v>3381.7852251485506</v>
          </cell>
          <cell r="X735">
            <v>3381.7852251485506</v>
          </cell>
          <cell r="Y735">
            <v>3381.7852251485506</v>
          </cell>
          <cell r="Z735">
            <v>3381.7852251485506</v>
          </cell>
          <cell r="AB735">
            <v>45.478712808157368</v>
          </cell>
          <cell r="AF735">
            <v>0.32468239925191827</v>
          </cell>
          <cell r="AG735">
            <v>0.1342377020706492</v>
          </cell>
        </row>
        <row r="736">
          <cell r="A736" t="str">
            <v>TLLSP20G25</v>
          </cell>
          <cell r="D736">
            <v>2025</v>
          </cell>
          <cell r="P736">
            <v>0</v>
          </cell>
          <cell r="Q736">
            <v>3264.5330694387821</v>
          </cell>
          <cell r="R736">
            <v>3267.4678015512686</v>
          </cell>
          <cell r="S736">
            <v>3330.7260037519809</v>
          </cell>
          <cell r="T736">
            <v>3395.0983055034471</v>
          </cell>
          <cell r="U736">
            <v>3385.005716804802</v>
          </cell>
          <cell r="V736">
            <v>3381.8194386521845</v>
          </cell>
          <cell r="W736">
            <v>3381.7852251485506</v>
          </cell>
          <cell r="X736">
            <v>3381.7852251485506</v>
          </cell>
          <cell r="Y736">
            <v>3381.7852251485506</v>
          </cell>
          <cell r="Z736">
            <v>3381.7852251485506</v>
          </cell>
          <cell r="AB736">
            <v>45.478712808157368</v>
          </cell>
          <cell r="AF736">
            <v>0.39649960809729973</v>
          </cell>
          <cell r="AG736">
            <v>0.1342377020706492</v>
          </cell>
        </row>
        <row r="737">
          <cell r="A737" t="str">
            <v>TLLSP20G30</v>
          </cell>
          <cell r="D737">
            <v>2030</v>
          </cell>
          <cell r="P737">
            <v>0</v>
          </cell>
          <cell r="Q737">
            <v>3264.5330694387821</v>
          </cell>
          <cell r="R737">
            <v>3267.4678015512686</v>
          </cell>
          <cell r="S737">
            <v>3330.7260037519809</v>
          </cell>
          <cell r="T737">
            <v>3395.0983055034471</v>
          </cell>
          <cell r="U737">
            <v>3385.005716804802</v>
          </cell>
          <cell r="V737">
            <v>3381.8194386521845</v>
          </cell>
          <cell r="W737">
            <v>3381.7852251485506</v>
          </cell>
          <cell r="X737">
            <v>3381.7852251485506</v>
          </cell>
          <cell r="Y737">
            <v>3381.7852251485506</v>
          </cell>
          <cell r="Z737">
            <v>3381.7852251485506</v>
          </cell>
          <cell r="AB737">
            <v>45.478712808157368</v>
          </cell>
          <cell r="AF737">
            <v>0.40399389552407777</v>
          </cell>
          <cell r="AG737">
            <v>0.1342377020706492</v>
          </cell>
        </row>
        <row r="738">
          <cell r="A738" t="str">
            <v>TLLSP20G35</v>
          </cell>
          <cell r="D738">
            <v>2035</v>
          </cell>
          <cell r="P738">
            <v>0</v>
          </cell>
          <cell r="Q738">
            <v>3264.5330694387821</v>
          </cell>
          <cell r="R738">
            <v>3267.4678015512686</v>
          </cell>
          <cell r="S738">
            <v>3330.7260037519809</v>
          </cell>
          <cell r="T738">
            <v>3395.0983055034471</v>
          </cell>
          <cell r="U738">
            <v>3385.005716804802</v>
          </cell>
          <cell r="V738">
            <v>3381.8194386521845</v>
          </cell>
          <cell r="W738">
            <v>3381.7852251485506</v>
          </cell>
          <cell r="X738">
            <v>3381.7852251485506</v>
          </cell>
          <cell r="Y738">
            <v>3381.7852251485506</v>
          </cell>
          <cell r="Z738">
            <v>3381.7852251485506</v>
          </cell>
          <cell r="AB738">
            <v>45.478712808157368</v>
          </cell>
          <cell r="AF738">
            <v>0.40665735762853189</v>
          </cell>
          <cell r="AG738">
            <v>0.1342377020706492</v>
          </cell>
        </row>
        <row r="739">
          <cell r="A739" t="str">
            <v>TLLSP20G40</v>
          </cell>
          <cell r="D739">
            <v>2040</v>
          </cell>
          <cell r="P739">
            <v>0</v>
          </cell>
          <cell r="Q739">
            <v>3264.5330694387821</v>
          </cell>
          <cell r="R739">
            <v>3267.4678015512686</v>
          </cell>
          <cell r="S739">
            <v>3330.7260037519809</v>
          </cell>
          <cell r="T739">
            <v>3395.0983055034471</v>
          </cell>
          <cell r="U739">
            <v>3385.005716804802</v>
          </cell>
          <cell r="V739">
            <v>3381.8194386521845</v>
          </cell>
          <cell r="W739">
            <v>3381.7852251485506</v>
          </cell>
          <cell r="X739">
            <v>3381.7852251485506</v>
          </cell>
          <cell r="Y739">
            <v>3381.7852251485506</v>
          </cell>
          <cell r="Z739">
            <v>3381.7852251485506</v>
          </cell>
          <cell r="AB739">
            <v>45.478712808157368</v>
          </cell>
          <cell r="AF739">
            <v>0.40760201040676469</v>
          </cell>
          <cell r="AG739">
            <v>0.1342377020706492</v>
          </cell>
        </row>
        <row r="740">
          <cell r="A740" t="str">
            <v>TLLSP20G45</v>
          </cell>
          <cell r="D740">
            <v>2045</v>
          </cell>
          <cell r="P740">
            <v>0</v>
          </cell>
          <cell r="Q740">
            <v>3264.5330694387821</v>
          </cell>
          <cell r="R740">
            <v>3267.4678015512686</v>
          </cell>
          <cell r="S740">
            <v>3330.7260037519809</v>
          </cell>
          <cell r="T740">
            <v>3395.0983055034471</v>
          </cell>
          <cell r="U740">
            <v>3385.005716804802</v>
          </cell>
          <cell r="V740">
            <v>3381.8194386521845</v>
          </cell>
          <cell r="W740">
            <v>3381.7852251485506</v>
          </cell>
          <cell r="X740">
            <v>3381.7852251485506</v>
          </cell>
          <cell r="Y740">
            <v>3381.7852251485506</v>
          </cell>
          <cell r="Z740">
            <v>3381.7852251485506</v>
          </cell>
          <cell r="AB740">
            <v>45.478712808157368</v>
          </cell>
          <cell r="AF740">
            <v>0.40760201040676469</v>
          </cell>
          <cell r="AG740">
            <v>0.1342377020706492</v>
          </cell>
        </row>
        <row r="741">
          <cell r="A741" t="str">
            <v>TLLSP20G50</v>
          </cell>
          <cell r="D741">
            <v>2050</v>
          </cell>
          <cell r="P741">
            <v>0</v>
          </cell>
          <cell r="Q741">
            <v>3264.5330694387821</v>
          </cell>
          <cell r="R741">
            <v>3267.4678015512686</v>
          </cell>
          <cell r="S741">
            <v>3330.7260037519809</v>
          </cell>
          <cell r="T741">
            <v>3395.0983055034471</v>
          </cell>
          <cell r="U741">
            <v>3385.005716804802</v>
          </cell>
          <cell r="V741">
            <v>3381.8194386521845</v>
          </cell>
          <cell r="W741">
            <v>3381.7852251485506</v>
          </cell>
          <cell r="X741">
            <v>3381.7852251485506</v>
          </cell>
          <cell r="Y741">
            <v>3381.7852251485506</v>
          </cell>
          <cell r="Z741">
            <v>3381.7852251485506</v>
          </cell>
          <cell r="AB741">
            <v>45.478712808157368</v>
          </cell>
          <cell r="AF741">
            <v>0.40760201040676469</v>
          </cell>
          <cell r="AG741">
            <v>0.1342377020706492</v>
          </cell>
        </row>
        <row r="742">
          <cell r="A742" t="str">
            <v>TLSSP20G10</v>
          </cell>
          <cell r="D742">
            <v>2010</v>
          </cell>
          <cell r="P742">
            <v>0</v>
          </cell>
          <cell r="Q742">
            <v>2339.1698711755084</v>
          </cell>
          <cell r="R742">
            <v>2408.3402900503283</v>
          </cell>
          <cell r="S742">
            <v>2455.4416987657301</v>
          </cell>
          <cell r="T742">
            <v>2511.0578942417533</v>
          </cell>
          <cell r="U742">
            <v>2501.7648292407785</v>
          </cell>
          <cell r="V742">
            <v>2499.9194202743843</v>
          </cell>
          <cell r="W742">
            <v>2500.5747959983978</v>
          </cell>
          <cell r="X742">
            <v>2500.5747959983978</v>
          </cell>
          <cell r="Y742">
            <v>2500.5747959983978</v>
          </cell>
          <cell r="Z742">
            <v>2500.5747959983978</v>
          </cell>
          <cell r="AB742">
            <v>45.478712808157368</v>
          </cell>
          <cell r="AF742">
            <v>0.36494735563513908</v>
          </cell>
          <cell r="AG742">
            <v>0.1342377020706492</v>
          </cell>
        </row>
        <row r="743">
          <cell r="A743" t="str">
            <v>TLSSP20G15</v>
          </cell>
          <cell r="D743">
            <v>2015</v>
          </cell>
          <cell r="P743">
            <v>0</v>
          </cell>
          <cell r="Q743">
            <v>2339.1698711755084</v>
          </cell>
          <cell r="R743">
            <v>2408.3402900503283</v>
          </cell>
          <cell r="S743">
            <v>2455.4416987657301</v>
          </cell>
          <cell r="T743">
            <v>2511.0578942417533</v>
          </cell>
          <cell r="U743">
            <v>2501.7648292407785</v>
          </cell>
          <cell r="V743">
            <v>2499.9194202743843</v>
          </cell>
          <cell r="W743">
            <v>2500.5747959983978</v>
          </cell>
          <cell r="X743">
            <v>2500.5747959983978</v>
          </cell>
          <cell r="Y743">
            <v>2500.5747959983978</v>
          </cell>
          <cell r="Z743">
            <v>2500.5747959983978</v>
          </cell>
          <cell r="AB743">
            <v>45.478712808157368</v>
          </cell>
          <cell r="AF743">
            <v>0.32863488095215082</v>
          </cell>
          <cell r="AG743">
            <v>0.1342377020706492</v>
          </cell>
        </row>
        <row r="744">
          <cell r="A744" t="str">
            <v>TLSSP20G20</v>
          </cell>
          <cell r="D744">
            <v>2020</v>
          </cell>
          <cell r="P744">
            <v>0</v>
          </cell>
          <cell r="Q744">
            <v>2339.1698711755084</v>
          </cell>
          <cell r="R744">
            <v>2408.3402900503283</v>
          </cell>
          <cell r="S744">
            <v>2455.4416987657301</v>
          </cell>
          <cell r="T744">
            <v>2511.0578942417533</v>
          </cell>
          <cell r="U744">
            <v>2501.7648292407785</v>
          </cell>
          <cell r="V744">
            <v>2499.9194202743843</v>
          </cell>
          <cell r="W744">
            <v>2500.5747959983978</v>
          </cell>
          <cell r="X744">
            <v>2500.5747959983978</v>
          </cell>
          <cell r="Y744">
            <v>2500.5747959983978</v>
          </cell>
          <cell r="Z744">
            <v>2500.5747959983978</v>
          </cell>
          <cell r="AB744">
            <v>45.478712808157368</v>
          </cell>
          <cell r="AF744">
            <v>0.36878004005992643</v>
          </cell>
          <cell r="AG744">
            <v>0.1342377020706492</v>
          </cell>
        </row>
        <row r="745">
          <cell r="A745" t="str">
            <v>TLSSP20G25</v>
          </cell>
          <cell r="D745">
            <v>2025</v>
          </cell>
          <cell r="P745">
            <v>0</v>
          </cell>
          <cell r="Q745">
            <v>2339.1698711755084</v>
          </cell>
          <cell r="R745">
            <v>2408.3402900503283</v>
          </cell>
          <cell r="S745">
            <v>2455.4416987657301</v>
          </cell>
          <cell r="T745">
            <v>2511.0578942417533</v>
          </cell>
          <cell r="U745">
            <v>2501.7648292407785</v>
          </cell>
          <cell r="V745">
            <v>2499.9194202743843</v>
          </cell>
          <cell r="W745">
            <v>2500.5747959983978</v>
          </cell>
          <cell r="X745">
            <v>2500.5747959983978</v>
          </cell>
          <cell r="Y745">
            <v>2500.5747959983978</v>
          </cell>
          <cell r="Z745">
            <v>2500.5747959983978</v>
          </cell>
          <cell r="AB745">
            <v>45.478712808157368</v>
          </cell>
          <cell r="AF745">
            <v>0.43603406937689099</v>
          </cell>
          <cell r="AG745">
            <v>0.1342377020706492</v>
          </cell>
        </row>
        <row r="746">
          <cell r="A746" t="str">
            <v>TLSSP20G30</v>
          </cell>
          <cell r="D746">
            <v>2030</v>
          </cell>
          <cell r="P746">
            <v>0</v>
          </cell>
          <cell r="Q746">
            <v>2339.1698711755084</v>
          </cell>
          <cell r="R746">
            <v>2408.3402900503283</v>
          </cell>
          <cell r="S746">
            <v>2455.4416987657301</v>
          </cell>
          <cell r="T746">
            <v>2511.0578942417533</v>
          </cell>
          <cell r="U746">
            <v>2501.7648292407785</v>
          </cell>
          <cell r="V746">
            <v>2499.9194202743843</v>
          </cell>
          <cell r="W746">
            <v>2500.5747959983978</v>
          </cell>
          <cell r="X746">
            <v>2500.5747959983978</v>
          </cell>
          <cell r="Y746">
            <v>2500.5747959983978</v>
          </cell>
          <cell r="Z746">
            <v>2500.5747959983978</v>
          </cell>
          <cell r="AB746">
            <v>45.478712808157368</v>
          </cell>
          <cell r="AF746">
            <v>0.4377744244289189</v>
          </cell>
          <cell r="AG746">
            <v>0.1342377020706492</v>
          </cell>
        </row>
        <row r="747">
          <cell r="A747" t="str">
            <v>TLSSP20G35</v>
          </cell>
          <cell r="D747">
            <v>2035</v>
          </cell>
          <cell r="P747">
            <v>0</v>
          </cell>
          <cell r="Q747">
            <v>2339.1698711755084</v>
          </cell>
          <cell r="R747">
            <v>2408.3402900503283</v>
          </cell>
          <cell r="S747">
            <v>2455.4416987657301</v>
          </cell>
          <cell r="T747">
            <v>2511.0578942417533</v>
          </cell>
          <cell r="U747">
            <v>2501.7648292407785</v>
          </cell>
          <cell r="V747">
            <v>2499.9194202743843</v>
          </cell>
          <cell r="W747">
            <v>2500.5747959983978</v>
          </cell>
          <cell r="X747">
            <v>2500.5747959983978</v>
          </cell>
          <cell r="Y747">
            <v>2500.5747959983978</v>
          </cell>
          <cell r="Z747">
            <v>2500.5747959983978</v>
          </cell>
          <cell r="AB747">
            <v>45.478712808157368</v>
          </cell>
          <cell r="AF747">
            <v>0.43772861221193082</v>
          </cell>
          <cell r="AG747">
            <v>0.1342377020706492</v>
          </cell>
        </row>
        <row r="748">
          <cell r="A748" t="str">
            <v>TLSSP20G40</v>
          </cell>
          <cell r="D748">
            <v>2040</v>
          </cell>
          <cell r="P748">
            <v>0</v>
          </cell>
          <cell r="Q748">
            <v>2339.1698711755084</v>
          </cell>
          <cell r="R748">
            <v>2408.3402900503283</v>
          </cell>
          <cell r="S748">
            <v>2455.4416987657301</v>
          </cell>
          <cell r="T748">
            <v>2511.0578942417533</v>
          </cell>
          <cell r="U748">
            <v>2501.7648292407785</v>
          </cell>
          <cell r="V748">
            <v>2499.9194202743843</v>
          </cell>
          <cell r="W748">
            <v>2500.5747959983978</v>
          </cell>
          <cell r="X748">
            <v>2500.5747959983978</v>
          </cell>
          <cell r="Y748">
            <v>2500.5747959983978</v>
          </cell>
          <cell r="Z748">
            <v>2500.5747959983978</v>
          </cell>
          <cell r="AB748">
            <v>45.478712808157368</v>
          </cell>
          <cell r="AF748">
            <v>0.43727452559069285</v>
          </cell>
          <cell r="AG748">
            <v>0.1342377020706492</v>
          </cell>
        </row>
        <row r="749">
          <cell r="A749" t="str">
            <v>TLSSP20G45</v>
          </cell>
          <cell r="D749">
            <v>2045</v>
          </cell>
          <cell r="P749">
            <v>0</v>
          </cell>
          <cell r="Q749">
            <v>2339.1698711755084</v>
          </cell>
          <cell r="R749">
            <v>2408.3402900503283</v>
          </cell>
          <cell r="S749">
            <v>2455.4416987657301</v>
          </cell>
          <cell r="T749">
            <v>2511.0578942417533</v>
          </cell>
          <cell r="U749">
            <v>2501.7648292407785</v>
          </cell>
          <cell r="V749">
            <v>2499.9194202743843</v>
          </cell>
          <cell r="W749">
            <v>2500.5747959983978</v>
          </cell>
          <cell r="X749">
            <v>2500.5747959983978</v>
          </cell>
          <cell r="Y749">
            <v>2500.5747959983978</v>
          </cell>
          <cell r="Z749">
            <v>2500.5747959983978</v>
          </cell>
          <cell r="AB749">
            <v>45.478712808157368</v>
          </cell>
          <cell r="AF749">
            <v>0.43727452559069285</v>
          </cell>
          <cell r="AG749">
            <v>0.1342377020706492</v>
          </cell>
        </row>
        <row r="750">
          <cell r="A750" t="str">
            <v>TLSSP20G50</v>
          </cell>
          <cell r="D750">
            <v>2050</v>
          </cell>
          <cell r="P750">
            <v>0</v>
          </cell>
          <cell r="Q750">
            <v>2339.1698711755084</v>
          </cell>
          <cell r="R750">
            <v>2408.3402900503283</v>
          </cell>
          <cell r="S750">
            <v>2455.4416987657301</v>
          </cell>
          <cell r="T750">
            <v>2511.0578942417533</v>
          </cell>
          <cell r="U750">
            <v>2501.7648292407785</v>
          </cell>
          <cell r="V750">
            <v>2499.9194202743843</v>
          </cell>
          <cell r="W750">
            <v>2500.5747959983978</v>
          </cell>
          <cell r="X750">
            <v>2500.5747959983978</v>
          </cell>
          <cell r="Y750">
            <v>2500.5747959983978</v>
          </cell>
          <cell r="Z750">
            <v>2500.5747959983978</v>
          </cell>
          <cell r="AB750">
            <v>45.478712808157368</v>
          </cell>
          <cell r="AF750">
            <v>0.43727452559069285</v>
          </cell>
          <cell r="AG750">
            <v>0.1342377020706492</v>
          </cell>
        </row>
        <row r="751">
          <cell r="A751" t="str">
            <v>TLCP20E10</v>
          </cell>
          <cell r="D751">
            <v>2010</v>
          </cell>
          <cell r="P751">
            <v>0</v>
          </cell>
          <cell r="Q751">
            <v>2099.5295315106687</v>
          </cell>
          <cell r="R751">
            <v>1906.7785692129362</v>
          </cell>
          <cell r="S751">
            <v>1967.0254264407993</v>
          </cell>
          <cell r="T751">
            <v>2054.8428505310003</v>
          </cell>
          <cell r="U751">
            <v>2044.5665603987961</v>
          </cell>
          <cell r="V751">
            <v>2042.1687542018442</v>
          </cell>
          <cell r="W751">
            <v>2042.1555144994391</v>
          </cell>
          <cell r="X751">
            <v>2042.1555144994391</v>
          </cell>
          <cell r="Y751">
            <v>2042.1555144994391</v>
          </cell>
          <cell r="Z751">
            <v>2042.1555144994391</v>
          </cell>
          <cell r="AB751">
            <v>40.382789385678855</v>
          </cell>
          <cell r="AF751">
            <v>0.42821977015155793</v>
          </cell>
          <cell r="AG751">
            <v>0.1342377020706492</v>
          </cell>
        </row>
        <row r="752">
          <cell r="A752" t="str">
            <v>TLCP20E15</v>
          </cell>
          <cell r="D752">
            <v>2015</v>
          </cell>
          <cell r="P752">
            <v>0</v>
          </cell>
          <cell r="Q752">
            <v>2099.5295315106687</v>
          </cell>
          <cell r="R752">
            <v>1906.7785692129362</v>
          </cell>
          <cell r="S752">
            <v>1967.0254264407993</v>
          </cell>
          <cell r="T752">
            <v>2054.8428505310003</v>
          </cell>
          <cell r="U752">
            <v>2044.5665603987961</v>
          </cell>
          <cell r="V752">
            <v>2042.1687542018442</v>
          </cell>
          <cell r="W752">
            <v>2042.1555144994391</v>
          </cell>
          <cell r="X752">
            <v>2042.1555144994391</v>
          </cell>
          <cell r="Y752">
            <v>2042.1555144994391</v>
          </cell>
          <cell r="Z752">
            <v>2042.1555144994391</v>
          </cell>
          <cell r="AB752">
            <v>40.382789385678855</v>
          </cell>
          <cell r="AF752">
            <v>0.39442898261784826</v>
          </cell>
          <cell r="AG752">
            <v>0.1342377020706492</v>
          </cell>
        </row>
        <row r="753">
          <cell r="A753" t="str">
            <v>TLCP20E20</v>
          </cell>
          <cell r="D753">
            <v>2020</v>
          </cell>
          <cell r="P753">
            <v>0</v>
          </cell>
          <cell r="Q753">
            <v>2099.5295315106687</v>
          </cell>
          <cell r="R753">
            <v>1906.7785692129362</v>
          </cell>
          <cell r="S753">
            <v>1967.0254264407993</v>
          </cell>
          <cell r="T753">
            <v>2054.8428505310003</v>
          </cell>
          <cell r="U753">
            <v>2044.5665603987961</v>
          </cell>
          <cell r="V753">
            <v>2042.1687542018442</v>
          </cell>
          <cell r="W753">
            <v>2042.1555144994391</v>
          </cell>
          <cell r="X753">
            <v>2042.1555144994391</v>
          </cell>
          <cell r="Y753">
            <v>2042.1555144994391</v>
          </cell>
          <cell r="Z753">
            <v>2042.1555144994391</v>
          </cell>
          <cell r="AB753">
            <v>40.382789385678855</v>
          </cell>
          <cell r="AF753">
            <v>0.46127942188749532</v>
          </cell>
          <cell r="AG753">
            <v>0.1342377020706492</v>
          </cell>
        </row>
        <row r="754">
          <cell r="A754" t="str">
            <v>TLCP20E25</v>
          </cell>
          <cell r="D754">
            <v>2025</v>
          </cell>
          <cell r="P754">
            <v>0</v>
          </cell>
          <cell r="Q754">
            <v>2099.5295315106687</v>
          </cell>
          <cell r="R754">
            <v>1906.7785692129362</v>
          </cell>
          <cell r="S754">
            <v>1967.0254264407993</v>
          </cell>
          <cell r="T754">
            <v>2054.8428505310003</v>
          </cell>
          <cell r="U754">
            <v>2044.5665603987961</v>
          </cell>
          <cell r="V754">
            <v>2042.1687542018442</v>
          </cell>
          <cell r="W754">
            <v>2042.1555144994391</v>
          </cell>
          <cell r="X754">
            <v>2042.1555144994391</v>
          </cell>
          <cell r="Y754">
            <v>2042.1555144994391</v>
          </cell>
          <cell r="Z754">
            <v>2042.1555144994391</v>
          </cell>
          <cell r="AB754">
            <v>40.382789385678855</v>
          </cell>
          <cell r="AF754">
            <v>0.5429630697842468</v>
          </cell>
          <cell r="AG754">
            <v>0.1342377020706492</v>
          </cell>
        </row>
        <row r="755">
          <cell r="A755" t="str">
            <v>TLCP20E30</v>
          </cell>
          <cell r="D755">
            <v>2030</v>
          </cell>
          <cell r="P755">
            <v>0</v>
          </cell>
          <cell r="Q755">
            <v>2099.5295315106687</v>
          </cell>
          <cell r="R755">
            <v>1906.7785692129362</v>
          </cell>
          <cell r="S755">
            <v>1967.0254264407993</v>
          </cell>
          <cell r="T755">
            <v>2054.8428505310003</v>
          </cell>
          <cell r="U755">
            <v>2044.5665603987961</v>
          </cell>
          <cell r="V755">
            <v>2042.1687542018442</v>
          </cell>
          <cell r="W755">
            <v>2042.1555144994391</v>
          </cell>
          <cell r="X755">
            <v>2042.1555144994391</v>
          </cell>
          <cell r="Y755">
            <v>2042.1555144994391</v>
          </cell>
          <cell r="Z755">
            <v>2042.1555144994391</v>
          </cell>
          <cell r="AB755">
            <v>40.382789385678855</v>
          </cell>
          <cell r="AF755">
            <v>0.54272821456455556</v>
          </cell>
          <cell r="AG755">
            <v>0.1342377020706492</v>
          </cell>
        </row>
        <row r="756">
          <cell r="A756" t="str">
            <v>TLCP20E35</v>
          </cell>
          <cell r="D756">
            <v>2035</v>
          </cell>
          <cell r="P756">
            <v>0</v>
          </cell>
          <cell r="Q756">
            <v>2099.5295315106687</v>
          </cell>
          <cell r="R756">
            <v>1906.7785692129362</v>
          </cell>
          <cell r="S756">
            <v>1967.0254264407993</v>
          </cell>
          <cell r="T756">
            <v>2054.8428505310003</v>
          </cell>
          <cell r="U756">
            <v>2044.5665603987961</v>
          </cell>
          <cell r="V756">
            <v>2042.1687542018442</v>
          </cell>
          <cell r="W756">
            <v>2042.1555144994391</v>
          </cell>
          <cell r="X756">
            <v>2042.1555144994391</v>
          </cell>
          <cell r="Y756">
            <v>2042.1555144994391</v>
          </cell>
          <cell r="Z756">
            <v>2042.1555144994391</v>
          </cell>
          <cell r="AB756">
            <v>40.382789385678855</v>
          </cell>
          <cell r="AF756">
            <v>0.54179437534819019</v>
          </cell>
          <cell r="AG756">
            <v>0.1342377020706492</v>
          </cell>
        </row>
        <row r="757">
          <cell r="A757" t="str">
            <v>TLCP20E40</v>
          </cell>
          <cell r="D757">
            <v>2040</v>
          </cell>
          <cell r="P757">
            <v>0</v>
          </cell>
          <cell r="Q757">
            <v>2099.5295315106687</v>
          </cell>
          <cell r="R757">
            <v>1906.7785692129362</v>
          </cell>
          <cell r="S757">
            <v>1967.0254264407993</v>
          </cell>
          <cell r="T757">
            <v>2054.8428505310003</v>
          </cell>
          <cell r="U757">
            <v>2044.5665603987961</v>
          </cell>
          <cell r="V757">
            <v>2042.1687542018442</v>
          </cell>
          <cell r="W757">
            <v>2042.1555144994391</v>
          </cell>
          <cell r="X757">
            <v>2042.1555144994391</v>
          </cell>
          <cell r="Y757">
            <v>2042.1555144994391</v>
          </cell>
          <cell r="Z757">
            <v>2042.1555144994391</v>
          </cell>
          <cell r="AB757">
            <v>40.382789385678855</v>
          </cell>
          <cell r="AF757">
            <v>0.54095216708402816</v>
          </cell>
          <cell r="AG757">
            <v>0.1342377020706492</v>
          </cell>
        </row>
        <row r="758">
          <cell r="A758" t="str">
            <v>TLCP20E45</v>
          </cell>
          <cell r="D758">
            <v>2045</v>
          </cell>
          <cell r="P758">
            <v>0</v>
          </cell>
          <cell r="Q758">
            <v>2099.5295315106687</v>
          </cell>
          <cell r="R758">
            <v>1906.7785692129362</v>
          </cell>
          <cell r="S758">
            <v>1967.0254264407993</v>
          </cell>
          <cell r="T758">
            <v>2054.8428505310003</v>
          </cell>
          <cell r="U758">
            <v>2044.5665603987961</v>
          </cell>
          <cell r="V758">
            <v>2042.1687542018442</v>
          </cell>
          <cell r="W758">
            <v>2042.1555144994391</v>
          </cell>
          <cell r="X758">
            <v>2042.1555144994391</v>
          </cell>
          <cell r="Y758">
            <v>2042.1555144994391</v>
          </cell>
          <cell r="Z758">
            <v>2042.1555144994391</v>
          </cell>
          <cell r="AB758">
            <v>40.382789385678855</v>
          </cell>
          <cell r="AF758">
            <v>0.54095216708402816</v>
          </cell>
          <cell r="AG758">
            <v>0.1342377020706492</v>
          </cell>
        </row>
        <row r="759">
          <cell r="A759" t="str">
            <v>TLCP20E50</v>
          </cell>
          <cell r="D759">
            <v>2050</v>
          </cell>
          <cell r="P759">
            <v>0</v>
          </cell>
          <cell r="Q759">
            <v>2099.5295315106687</v>
          </cell>
          <cell r="R759">
            <v>1906.7785692129362</v>
          </cell>
          <cell r="S759">
            <v>1967.0254264407993</v>
          </cell>
          <cell r="T759">
            <v>2054.8428505310003</v>
          </cell>
          <cell r="U759">
            <v>2044.5665603987961</v>
          </cell>
          <cell r="V759">
            <v>2042.1687542018442</v>
          </cell>
          <cell r="W759">
            <v>2042.1555144994391</v>
          </cell>
          <cell r="X759">
            <v>2042.1555144994391</v>
          </cell>
          <cell r="Y759">
            <v>2042.1555144994391</v>
          </cell>
          <cell r="Z759">
            <v>2042.1555144994391</v>
          </cell>
          <cell r="AB759">
            <v>40.382789385678855</v>
          </cell>
          <cell r="AF759">
            <v>0.54095216708402816</v>
          </cell>
          <cell r="AG759">
            <v>0.1342377020706492</v>
          </cell>
        </row>
        <row r="760">
          <cell r="A760" t="str">
            <v>TLFP20E10</v>
          </cell>
          <cell r="D760">
            <v>2010</v>
          </cell>
          <cell r="P760">
            <v>0</v>
          </cell>
          <cell r="Q760">
            <v>2446.3952885535209</v>
          </cell>
          <cell r="R760">
            <v>2314.5031797871461</v>
          </cell>
          <cell r="S760">
            <v>2365.9417532243142</v>
          </cell>
          <cell r="T760">
            <v>2451.2050873289922</v>
          </cell>
          <cell r="U760">
            <v>2440.0890059578792</v>
          </cell>
          <cell r="V760">
            <v>2437.156076547039</v>
          </cell>
          <cell r="W760">
            <v>2436.6837050426311</v>
          </cell>
          <cell r="X760">
            <v>2436.6837050426311</v>
          </cell>
          <cell r="Y760">
            <v>2436.6837050426311</v>
          </cell>
          <cell r="Z760">
            <v>2436.6837050426311</v>
          </cell>
          <cell r="AB760">
            <v>45.478712808157368</v>
          </cell>
          <cell r="AF760">
            <v>0.42821977015155793</v>
          </cell>
          <cell r="AG760">
            <v>0.1342377020706492</v>
          </cell>
        </row>
        <row r="761">
          <cell r="A761" t="str">
            <v>TLFP20E15</v>
          </cell>
          <cell r="D761">
            <v>2015</v>
          </cell>
          <cell r="P761">
            <v>0</v>
          </cell>
          <cell r="Q761">
            <v>2446.3952885535209</v>
          </cell>
          <cell r="R761">
            <v>2314.5031797871461</v>
          </cell>
          <cell r="S761">
            <v>2365.9417532243142</v>
          </cell>
          <cell r="T761">
            <v>2451.2050873289922</v>
          </cell>
          <cell r="U761">
            <v>2440.0890059578792</v>
          </cell>
          <cell r="V761">
            <v>2437.156076547039</v>
          </cell>
          <cell r="W761">
            <v>2436.6837050426311</v>
          </cell>
          <cell r="X761">
            <v>2436.6837050426311</v>
          </cell>
          <cell r="Y761">
            <v>2436.6837050426311</v>
          </cell>
          <cell r="Z761">
            <v>2436.6837050426311</v>
          </cell>
          <cell r="AB761">
            <v>45.478712808157368</v>
          </cell>
          <cell r="AF761">
            <v>0.39442898261784826</v>
          </cell>
          <cell r="AG761">
            <v>0.1342377020706492</v>
          </cell>
        </row>
        <row r="762">
          <cell r="A762" t="str">
            <v>TLFP20E20</v>
          </cell>
          <cell r="D762">
            <v>2020</v>
          </cell>
          <cell r="P762">
            <v>0</v>
          </cell>
          <cell r="Q762">
            <v>2446.3952885535209</v>
          </cell>
          <cell r="R762">
            <v>2314.5031797871461</v>
          </cell>
          <cell r="S762">
            <v>2365.9417532243142</v>
          </cell>
          <cell r="T762">
            <v>2451.2050873289922</v>
          </cell>
          <cell r="U762">
            <v>2440.0890059578792</v>
          </cell>
          <cell r="V762">
            <v>2437.156076547039</v>
          </cell>
          <cell r="W762">
            <v>2436.6837050426311</v>
          </cell>
          <cell r="X762">
            <v>2436.6837050426311</v>
          </cell>
          <cell r="Y762">
            <v>2436.6837050426311</v>
          </cell>
          <cell r="Z762">
            <v>2436.6837050426311</v>
          </cell>
          <cell r="AB762">
            <v>45.478712808157368</v>
          </cell>
          <cell r="AF762">
            <v>0.46127942188749532</v>
          </cell>
          <cell r="AG762">
            <v>0.1342377020706492</v>
          </cell>
        </row>
        <row r="763">
          <cell r="A763" t="str">
            <v>TLFP20E25</v>
          </cell>
          <cell r="D763">
            <v>2025</v>
          </cell>
          <cell r="P763">
            <v>0</v>
          </cell>
          <cell r="Q763">
            <v>2446.3952885535209</v>
          </cell>
          <cell r="R763">
            <v>2314.5031797871461</v>
          </cell>
          <cell r="S763">
            <v>2365.9417532243142</v>
          </cell>
          <cell r="T763">
            <v>2451.2050873289922</v>
          </cell>
          <cell r="U763">
            <v>2440.0890059578792</v>
          </cell>
          <cell r="V763">
            <v>2437.156076547039</v>
          </cell>
          <cell r="W763">
            <v>2436.6837050426311</v>
          </cell>
          <cell r="X763">
            <v>2436.6837050426311</v>
          </cell>
          <cell r="Y763">
            <v>2436.6837050426311</v>
          </cell>
          <cell r="Z763">
            <v>2436.6837050426311</v>
          </cell>
          <cell r="AB763">
            <v>45.478712808157368</v>
          </cell>
          <cell r="AF763">
            <v>0.5429630697842468</v>
          </cell>
          <cell r="AG763">
            <v>0.1342377020706492</v>
          </cell>
        </row>
        <row r="764">
          <cell r="A764" t="str">
            <v>TLFP20E30</v>
          </cell>
          <cell r="D764">
            <v>2030</v>
          </cell>
          <cell r="P764">
            <v>0</v>
          </cell>
          <cell r="Q764">
            <v>2446.3952885535209</v>
          </cell>
          <cell r="R764">
            <v>2314.5031797871461</v>
          </cell>
          <cell r="S764">
            <v>2365.9417532243142</v>
          </cell>
          <cell r="T764">
            <v>2451.2050873289922</v>
          </cell>
          <cell r="U764">
            <v>2440.0890059578792</v>
          </cell>
          <cell r="V764">
            <v>2437.156076547039</v>
          </cell>
          <cell r="W764">
            <v>2436.6837050426311</v>
          </cell>
          <cell r="X764">
            <v>2436.6837050426311</v>
          </cell>
          <cell r="Y764">
            <v>2436.6837050426311</v>
          </cell>
          <cell r="Z764">
            <v>2436.6837050426311</v>
          </cell>
          <cell r="AB764">
            <v>45.478712808157368</v>
          </cell>
          <cell r="AF764">
            <v>0.54272821456455556</v>
          </cell>
          <cell r="AG764">
            <v>0.1342377020706492</v>
          </cell>
        </row>
        <row r="765">
          <cell r="A765" t="str">
            <v>TLFP20E35</v>
          </cell>
          <cell r="D765">
            <v>2035</v>
          </cell>
          <cell r="P765">
            <v>0</v>
          </cell>
          <cell r="Q765">
            <v>2446.3952885535209</v>
          </cell>
          <cell r="R765">
            <v>2314.5031797871461</v>
          </cell>
          <cell r="S765">
            <v>2365.9417532243142</v>
          </cell>
          <cell r="T765">
            <v>2451.2050873289922</v>
          </cell>
          <cell r="U765">
            <v>2440.0890059578792</v>
          </cell>
          <cell r="V765">
            <v>2437.156076547039</v>
          </cell>
          <cell r="W765">
            <v>2436.6837050426311</v>
          </cell>
          <cell r="X765">
            <v>2436.6837050426311</v>
          </cell>
          <cell r="Y765">
            <v>2436.6837050426311</v>
          </cell>
          <cell r="Z765">
            <v>2436.6837050426311</v>
          </cell>
          <cell r="AB765">
            <v>45.478712808157368</v>
          </cell>
          <cell r="AF765">
            <v>0.54179437534819019</v>
          </cell>
          <cell r="AG765">
            <v>0.1342377020706492</v>
          </cell>
        </row>
        <row r="766">
          <cell r="A766" t="str">
            <v>TLFP20E40</v>
          </cell>
          <cell r="D766">
            <v>2040</v>
          </cell>
          <cell r="P766">
            <v>0</v>
          </cell>
          <cell r="Q766">
            <v>2446.3952885535209</v>
          </cell>
          <cell r="R766">
            <v>2314.5031797871461</v>
          </cell>
          <cell r="S766">
            <v>2365.9417532243142</v>
          </cell>
          <cell r="T766">
            <v>2451.2050873289922</v>
          </cell>
          <cell r="U766">
            <v>2440.0890059578792</v>
          </cell>
          <cell r="V766">
            <v>2437.156076547039</v>
          </cell>
          <cell r="W766">
            <v>2436.6837050426311</v>
          </cell>
          <cell r="X766">
            <v>2436.6837050426311</v>
          </cell>
          <cell r="Y766">
            <v>2436.6837050426311</v>
          </cell>
          <cell r="Z766">
            <v>2436.6837050426311</v>
          </cell>
          <cell r="AB766">
            <v>45.478712808157368</v>
          </cell>
          <cell r="AF766">
            <v>0.54095216708402816</v>
          </cell>
          <cell r="AG766">
            <v>0.1342377020706492</v>
          </cell>
        </row>
        <row r="767">
          <cell r="A767" t="str">
            <v>TLFP20E45</v>
          </cell>
          <cell r="D767">
            <v>2045</v>
          </cell>
          <cell r="P767">
            <v>0</v>
          </cell>
          <cell r="Q767">
            <v>2446.3952885535209</v>
          </cell>
          <cell r="R767">
            <v>2314.5031797871461</v>
          </cell>
          <cell r="S767">
            <v>2365.9417532243142</v>
          </cell>
          <cell r="T767">
            <v>2451.2050873289922</v>
          </cell>
          <cell r="U767">
            <v>2440.0890059578792</v>
          </cell>
          <cell r="V767">
            <v>2437.156076547039</v>
          </cell>
          <cell r="W767">
            <v>2436.6837050426311</v>
          </cell>
          <cell r="X767">
            <v>2436.6837050426311</v>
          </cell>
          <cell r="Y767">
            <v>2436.6837050426311</v>
          </cell>
          <cell r="Z767">
            <v>2436.6837050426311</v>
          </cell>
          <cell r="AB767">
            <v>45.478712808157368</v>
          </cell>
          <cell r="AF767">
            <v>0.54095216708402816</v>
          </cell>
          <cell r="AG767">
            <v>0.1342377020706492</v>
          </cell>
        </row>
        <row r="768">
          <cell r="A768" t="str">
            <v>TLFP20E50</v>
          </cell>
          <cell r="D768">
            <v>2050</v>
          </cell>
          <cell r="P768">
            <v>0</v>
          </cell>
          <cell r="Q768">
            <v>2446.3952885535209</v>
          </cell>
          <cell r="R768">
            <v>2314.5031797871461</v>
          </cell>
          <cell r="S768">
            <v>2365.9417532243142</v>
          </cell>
          <cell r="T768">
            <v>2451.2050873289922</v>
          </cell>
          <cell r="U768">
            <v>2440.0890059578792</v>
          </cell>
          <cell r="V768">
            <v>2437.156076547039</v>
          </cell>
          <cell r="W768">
            <v>2436.6837050426311</v>
          </cell>
          <cell r="X768">
            <v>2436.6837050426311</v>
          </cell>
          <cell r="Y768">
            <v>2436.6837050426311</v>
          </cell>
          <cell r="Z768">
            <v>2436.6837050426311</v>
          </cell>
          <cell r="AB768">
            <v>45.478712808157368</v>
          </cell>
          <cell r="AF768">
            <v>0.54095216708402816</v>
          </cell>
          <cell r="AG768">
            <v>0.1342377020706492</v>
          </cell>
        </row>
        <row r="769">
          <cell r="A769" t="str">
            <v>TLPP20E10</v>
          </cell>
          <cell r="D769">
            <v>2010</v>
          </cell>
          <cell r="P769">
            <v>0</v>
          </cell>
          <cell r="Q769">
            <v>1515.8777937900504</v>
          </cell>
          <cell r="R769">
            <v>2790.6706272346596</v>
          </cell>
          <cell r="S769">
            <v>2793.4217852739307</v>
          </cell>
          <cell r="T769">
            <v>2850.8113239901554</v>
          </cell>
          <cell r="U769">
            <v>2834.994428225918</v>
          </cell>
          <cell r="V769">
            <v>2831.6184941189522</v>
          </cell>
          <cell r="W769">
            <v>2832.6024457065737</v>
          </cell>
          <cell r="X769">
            <v>2832.6024457065737</v>
          </cell>
          <cell r="Y769">
            <v>2832.6024457065737</v>
          </cell>
          <cell r="Z769">
            <v>2832.6024457065737</v>
          </cell>
          <cell r="AB769">
            <v>48.0747492686653</v>
          </cell>
          <cell r="AF769">
            <v>0.19222469111952811</v>
          </cell>
          <cell r="AG769">
            <v>0.1342377020706492</v>
          </cell>
        </row>
        <row r="770">
          <cell r="A770" t="str">
            <v>TLPP20E15</v>
          </cell>
          <cell r="D770">
            <v>2015</v>
          </cell>
          <cell r="P770">
            <v>0</v>
          </cell>
          <cell r="Q770">
            <v>1515.8777937900504</v>
          </cell>
          <cell r="R770">
            <v>2790.6706272346596</v>
          </cell>
          <cell r="S770">
            <v>2793.4217852739307</v>
          </cell>
          <cell r="T770">
            <v>2850.8113239901554</v>
          </cell>
          <cell r="U770">
            <v>2834.994428225918</v>
          </cell>
          <cell r="V770">
            <v>2831.6184941189522</v>
          </cell>
          <cell r="W770">
            <v>2832.6024457065737</v>
          </cell>
          <cell r="X770">
            <v>2832.6024457065737</v>
          </cell>
          <cell r="Y770">
            <v>2832.6024457065737</v>
          </cell>
          <cell r="Z770">
            <v>2832.6024457065737</v>
          </cell>
          <cell r="AB770">
            <v>48.0747492686653</v>
          </cell>
          <cell r="AF770">
            <v>0.19743193857060079</v>
          </cell>
          <cell r="AG770">
            <v>0.1342377020706492</v>
          </cell>
        </row>
        <row r="771">
          <cell r="A771" t="str">
            <v>TLPP20E20</v>
          </cell>
          <cell r="D771">
            <v>2020</v>
          </cell>
          <cell r="P771">
            <v>0</v>
          </cell>
          <cell r="Q771">
            <v>1515.8777937900504</v>
          </cell>
          <cell r="R771">
            <v>2790.6706272346596</v>
          </cell>
          <cell r="S771">
            <v>2793.4217852739307</v>
          </cell>
          <cell r="T771">
            <v>2850.8113239901554</v>
          </cell>
          <cell r="U771">
            <v>2834.994428225918</v>
          </cell>
          <cell r="V771">
            <v>2831.6184941189522</v>
          </cell>
          <cell r="W771">
            <v>2832.6024457065737</v>
          </cell>
          <cell r="X771">
            <v>2832.6024457065737</v>
          </cell>
          <cell r="Y771">
            <v>2832.6024457065737</v>
          </cell>
          <cell r="Z771">
            <v>2832.6024457065737</v>
          </cell>
          <cell r="AB771">
            <v>48.0747492686653</v>
          </cell>
          <cell r="AF771">
            <v>0.23550985133468236</v>
          </cell>
          <cell r="AG771">
            <v>0.1342377020706492</v>
          </cell>
        </row>
        <row r="772">
          <cell r="A772" t="str">
            <v>TLPP20E25</v>
          </cell>
          <cell r="D772">
            <v>2025</v>
          </cell>
          <cell r="P772">
            <v>0</v>
          </cell>
          <cell r="Q772">
            <v>1515.8777937900504</v>
          </cell>
          <cell r="R772">
            <v>2790.6706272346596</v>
          </cell>
          <cell r="S772">
            <v>2793.4217852739307</v>
          </cell>
          <cell r="T772">
            <v>2850.8113239901554</v>
          </cell>
          <cell r="U772">
            <v>2834.994428225918</v>
          </cell>
          <cell r="V772">
            <v>2831.6184941189522</v>
          </cell>
          <cell r="W772">
            <v>2832.6024457065737</v>
          </cell>
          <cell r="X772">
            <v>2832.6024457065737</v>
          </cell>
          <cell r="Y772">
            <v>2832.6024457065737</v>
          </cell>
          <cell r="Z772">
            <v>2832.6024457065737</v>
          </cell>
          <cell r="AB772">
            <v>48.0747492686653</v>
          </cell>
          <cell r="AF772">
            <v>0.29110139355136061</v>
          </cell>
          <cell r="AG772">
            <v>0.1342377020706492</v>
          </cell>
        </row>
        <row r="773">
          <cell r="A773" t="str">
            <v>TLPP20E30</v>
          </cell>
          <cell r="D773">
            <v>2030</v>
          </cell>
          <cell r="P773">
            <v>0</v>
          </cell>
          <cell r="Q773">
            <v>1515.8777937900504</v>
          </cell>
          <cell r="R773">
            <v>2790.6706272346596</v>
          </cell>
          <cell r="S773">
            <v>2793.4217852739307</v>
          </cell>
          <cell r="T773">
            <v>2850.8113239901554</v>
          </cell>
          <cell r="U773">
            <v>2834.994428225918</v>
          </cell>
          <cell r="V773">
            <v>2831.6184941189522</v>
          </cell>
          <cell r="W773">
            <v>2832.6024457065737</v>
          </cell>
          <cell r="X773">
            <v>2832.6024457065737</v>
          </cell>
          <cell r="Y773">
            <v>2832.6024457065737</v>
          </cell>
          <cell r="Z773">
            <v>2832.6024457065737</v>
          </cell>
          <cell r="AB773">
            <v>48.0747492686653</v>
          </cell>
          <cell r="AF773">
            <v>0.29044239645127901</v>
          </cell>
          <cell r="AG773">
            <v>0.1342377020706492</v>
          </cell>
        </row>
        <row r="774">
          <cell r="A774" t="str">
            <v>TLPP20E35</v>
          </cell>
          <cell r="D774">
            <v>2035</v>
          </cell>
          <cell r="P774">
            <v>0</v>
          </cell>
          <cell r="Q774">
            <v>1515.8777937900504</v>
          </cell>
          <cell r="R774">
            <v>2790.6706272346596</v>
          </cell>
          <cell r="S774">
            <v>2793.4217852739307</v>
          </cell>
          <cell r="T774">
            <v>2850.8113239901554</v>
          </cell>
          <cell r="U774">
            <v>2834.994428225918</v>
          </cell>
          <cell r="V774">
            <v>2831.6184941189522</v>
          </cell>
          <cell r="W774">
            <v>2832.6024457065737</v>
          </cell>
          <cell r="X774">
            <v>2832.6024457065737</v>
          </cell>
          <cell r="Y774">
            <v>2832.6024457065737</v>
          </cell>
          <cell r="Z774">
            <v>2832.6024457065737</v>
          </cell>
          <cell r="AB774">
            <v>48.0747492686653</v>
          </cell>
          <cell r="AF774">
            <v>0.29016952336695384</v>
          </cell>
          <cell r="AG774">
            <v>0.1342377020706492</v>
          </cell>
        </row>
        <row r="775">
          <cell r="A775" t="str">
            <v>TLPP20E40</v>
          </cell>
          <cell r="D775">
            <v>2040</v>
          </cell>
          <cell r="P775">
            <v>0</v>
          </cell>
          <cell r="Q775">
            <v>1515.8777937900504</v>
          </cell>
          <cell r="R775">
            <v>2790.6706272346596</v>
          </cell>
          <cell r="S775">
            <v>2793.4217852739307</v>
          </cell>
          <cell r="T775">
            <v>2850.8113239901554</v>
          </cell>
          <cell r="U775">
            <v>2834.994428225918</v>
          </cell>
          <cell r="V775">
            <v>2831.6184941189522</v>
          </cell>
          <cell r="W775">
            <v>2832.6024457065737</v>
          </cell>
          <cell r="X775">
            <v>2832.6024457065737</v>
          </cell>
          <cell r="Y775">
            <v>2832.6024457065737</v>
          </cell>
          <cell r="Z775">
            <v>2832.6024457065737</v>
          </cell>
          <cell r="AB775">
            <v>48.0747492686653</v>
          </cell>
          <cell r="AF775">
            <v>0.28998388531446334</v>
          </cell>
          <cell r="AG775">
            <v>0.1342377020706492</v>
          </cell>
        </row>
        <row r="776">
          <cell r="A776" t="str">
            <v>TLPP20E45</v>
          </cell>
          <cell r="D776">
            <v>2045</v>
          </cell>
          <cell r="P776">
            <v>0</v>
          </cell>
          <cell r="Q776">
            <v>1515.8777937900504</v>
          </cell>
          <cell r="R776">
            <v>2790.6706272346596</v>
          </cell>
          <cell r="S776">
            <v>2793.4217852739307</v>
          </cell>
          <cell r="T776">
            <v>2850.8113239901554</v>
          </cell>
          <cell r="U776">
            <v>2834.994428225918</v>
          </cell>
          <cell r="V776">
            <v>2831.6184941189522</v>
          </cell>
          <cell r="W776">
            <v>2832.6024457065737</v>
          </cell>
          <cell r="X776">
            <v>2832.6024457065737</v>
          </cell>
          <cell r="Y776">
            <v>2832.6024457065737</v>
          </cell>
          <cell r="Z776">
            <v>2832.6024457065737</v>
          </cell>
          <cell r="AB776">
            <v>48.0747492686653</v>
          </cell>
          <cell r="AF776">
            <v>0.28998388531446334</v>
          </cell>
          <cell r="AG776">
            <v>0.1342377020706492</v>
          </cell>
        </row>
        <row r="777">
          <cell r="A777" t="str">
            <v>TLPP20E50</v>
          </cell>
          <cell r="D777">
            <v>2050</v>
          </cell>
          <cell r="P777">
            <v>0</v>
          </cell>
          <cell r="Q777">
            <v>1515.8777937900504</v>
          </cell>
          <cell r="R777">
            <v>2790.6706272346596</v>
          </cell>
          <cell r="S777">
            <v>2793.4217852739307</v>
          </cell>
          <cell r="T777">
            <v>2850.8113239901554</v>
          </cell>
          <cell r="U777">
            <v>2834.994428225918</v>
          </cell>
          <cell r="V777">
            <v>2831.6184941189522</v>
          </cell>
          <cell r="W777">
            <v>2832.6024457065737</v>
          </cell>
          <cell r="X777">
            <v>2832.6024457065737</v>
          </cell>
          <cell r="Y777">
            <v>2832.6024457065737</v>
          </cell>
          <cell r="Z777">
            <v>2832.6024457065737</v>
          </cell>
          <cell r="AB777">
            <v>48.0747492686653</v>
          </cell>
          <cell r="AF777">
            <v>0.28998388531446334</v>
          </cell>
          <cell r="AG777">
            <v>0.1342377020706492</v>
          </cell>
        </row>
        <row r="778">
          <cell r="A778" t="str">
            <v>TLMP20E10</v>
          </cell>
          <cell r="D778">
            <v>2010</v>
          </cell>
          <cell r="P778">
            <v>0</v>
          </cell>
          <cell r="Q778">
            <v>1672.9637872309293</v>
          </cell>
          <cell r="R778">
            <v>1731.8212739454254</v>
          </cell>
          <cell r="S778">
            <v>2600.7588701852483</v>
          </cell>
          <cell r="T778">
            <v>2654.3208588982052</v>
          </cell>
          <cell r="U778">
            <v>2641.1329248537072</v>
          </cell>
          <cell r="V778">
            <v>2638.7370539686808</v>
          </cell>
          <cell r="W778">
            <v>2639.1357445789677</v>
          </cell>
          <cell r="X778">
            <v>2639.1357445789677</v>
          </cell>
          <cell r="Y778">
            <v>2639.1357445789677</v>
          </cell>
          <cell r="Z778">
            <v>2639.1357445789677</v>
          </cell>
          <cell r="AB778">
            <v>45.478712808157368</v>
          </cell>
          <cell r="AF778">
            <v>0.29875219804284292</v>
          </cell>
          <cell r="AG778">
            <v>0.1342377020706492</v>
          </cell>
        </row>
        <row r="779">
          <cell r="A779" t="str">
            <v>TLMP20E15</v>
          </cell>
          <cell r="D779">
            <v>2015</v>
          </cell>
          <cell r="P779">
            <v>0</v>
          </cell>
          <cell r="Q779">
            <v>1672.9637872309293</v>
          </cell>
          <cell r="R779">
            <v>1731.8212739454254</v>
          </cell>
          <cell r="S779">
            <v>2600.7588701852483</v>
          </cell>
          <cell r="T779">
            <v>2654.3208588982052</v>
          </cell>
          <cell r="U779">
            <v>2641.1329248537072</v>
          </cell>
          <cell r="V779">
            <v>2638.7370539686808</v>
          </cell>
          <cell r="W779">
            <v>2639.1357445789677</v>
          </cell>
          <cell r="X779">
            <v>2639.1357445789677</v>
          </cell>
          <cell r="Y779">
            <v>2639.1357445789677</v>
          </cell>
          <cell r="Z779">
            <v>2639.1357445789677</v>
          </cell>
          <cell r="AB779">
            <v>45.478712808157368</v>
          </cell>
          <cell r="AF779">
            <v>0.28011759238912265</v>
          </cell>
          <cell r="AG779">
            <v>0.1342377020706492</v>
          </cell>
        </row>
        <row r="780">
          <cell r="A780" t="str">
            <v>TLMP20E20</v>
          </cell>
          <cell r="D780">
            <v>2020</v>
          </cell>
          <cell r="P780">
            <v>0</v>
          </cell>
          <cell r="Q780">
            <v>1672.9637872309293</v>
          </cell>
          <cell r="R780">
            <v>1731.8212739454254</v>
          </cell>
          <cell r="S780">
            <v>2600.7588701852483</v>
          </cell>
          <cell r="T780">
            <v>2654.3208588982052</v>
          </cell>
          <cell r="U780">
            <v>2641.1329248537072</v>
          </cell>
          <cell r="V780">
            <v>2638.7370539686808</v>
          </cell>
          <cell r="W780">
            <v>2639.1357445789677</v>
          </cell>
          <cell r="X780">
            <v>2639.1357445789677</v>
          </cell>
          <cell r="Y780">
            <v>2639.1357445789677</v>
          </cell>
          <cell r="Z780">
            <v>2639.1357445789677</v>
          </cell>
          <cell r="AB780">
            <v>45.478712808157368</v>
          </cell>
          <cell r="AF780">
            <v>0.32468239925191827</v>
          </cell>
          <cell r="AG780">
            <v>0.1342377020706492</v>
          </cell>
        </row>
        <row r="781">
          <cell r="A781" t="str">
            <v>TLMP20E25</v>
          </cell>
          <cell r="D781">
            <v>2025</v>
          </cell>
          <cell r="P781">
            <v>0</v>
          </cell>
          <cell r="Q781">
            <v>1672.9637872309293</v>
          </cell>
          <cell r="R781">
            <v>1731.8212739454254</v>
          </cell>
          <cell r="S781">
            <v>2600.7588701852483</v>
          </cell>
          <cell r="T781">
            <v>2654.3208588982052</v>
          </cell>
          <cell r="U781">
            <v>2641.1329248537072</v>
          </cell>
          <cell r="V781">
            <v>2638.7370539686808</v>
          </cell>
          <cell r="W781">
            <v>2639.1357445789677</v>
          </cell>
          <cell r="X781">
            <v>2639.1357445789677</v>
          </cell>
          <cell r="Y781">
            <v>2639.1357445789677</v>
          </cell>
          <cell r="Z781">
            <v>2639.1357445789677</v>
          </cell>
          <cell r="AB781">
            <v>45.478712808157368</v>
          </cell>
          <cell r="AF781">
            <v>0.39649960809729973</v>
          </cell>
          <cell r="AG781">
            <v>0.1342377020706492</v>
          </cell>
        </row>
        <row r="782">
          <cell r="A782" t="str">
            <v>TLMP20E30</v>
          </cell>
          <cell r="D782">
            <v>2030</v>
          </cell>
          <cell r="P782">
            <v>0</v>
          </cell>
          <cell r="Q782">
            <v>1672.9637872309293</v>
          </cell>
          <cell r="R782">
            <v>1731.8212739454254</v>
          </cell>
          <cell r="S782">
            <v>2600.7588701852483</v>
          </cell>
          <cell r="T782">
            <v>2654.3208588982052</v>
          </cell>
          <cell r="U782">
            <v>2641.1329248537072</v>
          </cell>
          <cell r="V782">
            <v>2638.7370539686808</v>
          </cell>
          <cell r="W782">
            <v>2639.1357445789677</v>
          </cell>
          <cell r="X782">
            <v>2639.1357445789677</v>
          </cell>
          <cell r="Y782">
            <v>2639.1357445789677</v>
          </cell>
          <cell r="Z782">
            <v>2639.1357445789677</v>
          </cell>
          <cell r="AB782">
            <v>45.478712808157368</v>
          </cell>
          <cell r="AF782">
            <v>0.40399389552407777</v>
          </cell>
          <cell r="AG782">
            <v>0.1342377020706492</v>
          </cell>
        </row>
        <row r="783">
          <cell r="A783" t="str">
            <v>TLMP20E35</v>
          </cell>
          <cell r="D783">
            <v>2035</v>
          </cell>
          <cell r="P783">
            <v>0</v>
          </cell>
          <cell r="Q783">
            <v>1672.9637872309293</v>
          </cell>
          <cell r="R783">
            <v>1731.8212739454254</v>
          </cell>
          <cell r="S783">
            <v>2600.7588701852483</v>
          </cell>
          <cell r="T783">
            <v>2654.3208588982052</v>
          </cell>
          <cell r="U783">
            <v>2641.1329248537072</v>
          </cell>
          <cell r="V783">
            <v>2638.7370539686808</v>
          </cell>
          <cell r="W783">
            <v>2639.1357445789677</v>
          </cell>
          <cell r="X783">
            <v>2639.1357445789677</v>
          </cell>
          <cell r="Y783">
            <v>2639.1357445789677</v>
          </cell>
          <cell r="Z783">
            <v>2639.1357445789677</v>
          </cell>
          <cell r="AB783">
            <v>45.478712808157368</v>
          </cell>
          <cell r="AF783">
            <v>0.40665735762853189</v>
          </cell>
          <cell r="AG783">
            <v>0.1342377020706492</v>
          </cell>
        </row>
        <row r="784">
          <cell r="A784" t="str">
            <v>TLMP20E40</v>
          </cell>
          <cell r="D784">
            <v>2040</v>
          </cell>
          <cell r="P784">
            <v>0</v>
          </cell>
          <cell r="Q784">
            <v>1672.9637872309293</v>
          </cell>
          <cell r="R784">
            <v>1731.8212739454254</v>
          </cell>
          <cell r="S784">
            <v>2600.7588701852483</v>
          </cell>
          <cell r="T784">
            <v>2654.3208588982052</v>
          </cell>
          <cell r="U784">
            <v>2641.1329248537072</v>
          </cell>
          <cell r="V784">
            <v>2638.7370539686808</v>
          </cell>
          <cell r="W784">
            <v>2639.1357445789677</v>
          </cell>
          <cell r="X784">
            <v>2639.1357445789677</v>
          </cell>
          <cell r="Y784">
            <v>2639.1357445789677</v>
          </cell>
          <cell r="Z784">
            <v>2639.1357445789677</v>
          </cell>
          <cell r="AB784">
            <v>45.478712808157368</v>
          </cell>
          <cell r="AF784">
            <v>0.40760201040676469</v>
          </cell>
          <cell r="AG784">
            <v>0.1342377020706492</v>
          </cell>
        </row>
        <row r="785">
          <cell r="A785" t="str">
            <v>TLMP20E45</v>
          </cell>
          <cell r="D785">
            <v>2045</v>
          </cell>
          <cell r="P785">
            <v>0</v>
          </cell>
          <cell r="Q785">
            <v>1672.9637872309293</v>
          </cell>
          <cell r="R785">
            <v>1731.8212739454254</v>
          </cell>
          <cell r="S785">
            <v>2600.7588701852483</v>
          </cell>
          <cell r="T785">
            <v>2654.3208588982052</v>
          </cell>
          <cell r="U785">
            <v>2641.1329248537072</v>
          </cell>
          <cell r="V785">
            <v>2638.7370539686808</v>
          </cell>
          <cell r="W785">
            <v>2639.1357445789677</v>
          </cell>
          <cell r="X785">
            <v>2639.1357445789677</v>
          </cell>
          <cell r="Y785">
            <v>2639.1357445789677</v>
          </cell>
          <cell r="Z785">
            <v>2639.1357445789677</v>
          </cell>
          <cell r="AB785">
            <v>45.478712808157368</v>
          </cell>
          <cell r="AF785">
            <v>0.40760201040676469</v>
          </cell>
          <cell r="AG785">
            <v>0.1342377020706492</v>
          </cell>
        </row>
        <row r="786">
          <cell r="A786" t="str">
            <v>TLMP20E50</v>
          </cell>
          <cell r="D786">
            <v>2050</v>
          </cell>
          <cell r="P786">
            <v>0</v>
          </cell>
          <cell r="Q786">
            <v>1672.9637872309293</v>
          </cell>
          <cell r="R786">
            <v>1731.8212739454254</v>
          </cell>
          <cell r="S786">
            <v>2600.7588701852483</v>
          </cell>
          <cell r="T786">
            <v>2654.3208588982052</v>
          </cell>
          <cell r="U786">
            <v>2641.1329248537072</v>
          </cell>
          <cell r="V786">
            <v>2638.7370539686808</v>
          </cell>
          <cell r="W786">
            <v>2639.1357445789677</v>
          </cell>
          <cell r="X786">
            <v>2639.1357445789677</v>
          </cell>
          <cell r="Y786">
            <v>2639.1357445789677</v>
          </cell>
          <cell r="Z786">
            <v>2639.1357445789677</v>
          </cell>
          <cell r="AB786">
            <v>45.478712808157368</v>
          </cell>
          <cell r="AF786">
            <v>0.40760201040676469</v>
          </cell>
          <cell r="AG786">
            <v>0.1342377020706492</v>
          </cell>
        </row>
        <row r="787">
          <cell r="A787" t="str">
            <v>TLLSP20E10</v>
          </cell>
          <cell r="D787">
            <v>2010</v>
          </cell>
          <cell r="P787">
            <v>0</v>
          </cell>
          <cell r="Q787">
            <v>3275.6207515897991</v>
          </cell>
          <cell r="R787">
            <v>3278.2491327508674</v>
          </cell>
          <cell r="S787">
            <v>3341.5073349515792</v>
          </cell>
          <cell r="T787">
            <v>3405.8796367030463</v>
          </cell>
          <cell r="U787">
            <v>3395.7870480043998</v>
          </cell>
          <cell r="V787">
            <v>3392.6007698517824</v>
          </cell>
          <cell r="W787">
            <v>3392.5665563481489</v>
          </cell>
          <cell r="X787">
            <v>3392.5665563481489</v>
          </cell>
          <cell r="Y787">
            <v>3392.5665563481489</v>
          </cell>
          <cell r="Z787">
            <v>3392.5665563481489</v>
          </cell>
          <cell r="AB787">
            <v>45.478712808157368</v>
          </cell>
          <cell r="AF787">
            <v>0.40666651519017555</v>
          </cell>
          <cell r="AG787">
            <v>0.1342377020706492</v>
          </cell>
        </row>
        <row r="788">
          <cell r="A788" t="str">
            <v>TLLSP20E15</v>
          </cell>
          <cell r="D788">
            <v>2015</v>
          </cell>
          <cell r="P788">
            <v>0</v>
          </cell>
          <cell r="Q788">
            <v>3275.6207515897991</v>
          </cell>
          <cell r="R788">
            <v>3278.2491327508674</v>
          </cell>
          <cell r="S788">
            <v>3341.5073349515792</v>
          </cell>
          <cell r="T788">
            <v>3405.8796367030463</v>
          </cell>
          <cell r="U788">
            <v>3395.7870480043998</v>
          </cell>
          <cell r="V788">
            <v>3392.6007698517824</v>
          </cell>
          <cell r="W788">
            <v>3392.5665563481489</v>
          </cell>
          <cell r="X788">
            <v>3392.5665563481489</v>
          </cell>
          <cell r="Y788">
            <v>3392.5665563481489</v>
          </cell>
          <cell r="Z788">
            <v>3392.5665563481489</v>
          </cell>
          <cell r="AB788">
            <v>45.478712808157368</v>
          </cell>
          <cell r="AF788">
            <v>0.38415542962759425</v>
          </cell>
          <cell r="AG788">
            <v>0.1342377020706492</v>
          </cell>
        </row>
        <row r="789">
          <cell r="A789" t="str">
            <v>TLLSP20E20</v>
          </cell>
          <cell r="D789">
            <v>2020</v>
          </cell>
          <cell r="P789">
            <v>0</v>
          </cell>
          <cell r="Q789">
            <v>3275.6207515897991</v>
          </cell>
          <cell r="R789">
            <v>3278.2491327508674</v>
          </cell>
          <cell r="S789">
            <v>3341.5073349515792</v>
          </cell>
          <cell r="T789">
            <v>3405.8796367030463</v>
          </cell>
          <cell r="U789">
            <v>3395.7870480043998</v>
          </cell>
          <cell r="V789">
            <v>3392.6007698517824</v>
          </cell>
          <cell r="W789">
            <v>3392.5665563481489</v>
          </cell>
          <cell r="X789">
            <v>3392.5665563481489</v>
          </cell>
          <cell r="Y789">
            <v>3392.5665563481489</v>
          </cell>
          <cell r="Z789">
            <v>3392.5665563481489</v>
          </cell>
          <cell r="AB789">
            <v>45.478712808157368</v>
          </cell>
          <cell r="AF789">
            <v>0.44519842342414007</v>
          </cell>
          <cell r="AG789">
            <v>0.1342377020706492</v>
          </cell>
        </row>
        <row r="790">
          <cell r="A790" t="str">
            <v>TLLSP20E25</v>
          </cell>
          <cell r="D790">
            <v>2025</v>
          </cell>
          <cell r="P790">
            <v>0</v>
          </cell>
          <cell r="Q790">
            <v>3275.6207515897991</v>
          </cell>
          <cell r="R790">
            <v>3278.2491327508674</v>
          </cell>
          <cell r="S790">
            <v>3341.5073349515792</v>
          </cell>
          <cell r="T790">
            <v>3405.8796367030463</v>
          </cell>
          <cell r="U790">
            <v>3395.7870480043998</v>
          </cell>
          <cell r="V790">
            <v>3392.6007698517824</v>
          </cell>
          <cell r="W790">
            <v>3392.5665563481489</v>
          </cell>
          <cell r="X790">
            <v>3392.5665563481489</v>
          </cell>
          <cell r="Y790">
            <v>3392.5665563481489</v>
          </cell>
          <cell r="Z790">
            <v>3392.5665563481489</v>
          </cell>
          <cell r="AB790">
            <v>45.478712808157368</v>
          </cell>
          <cell r="AF790">
            <v>0.53529679669404717</v>
          </cell>
          <cell r="AG790">
            <v>0.1342377020706492</v>
          </cell>
        </row>
        <row r="791">
          <cell r="A791" t="str">
            <v>TLLSP20E30</v>
          </cell>
          <cell r="D791">
            <v>2030</v>
          </cell>
          <cell r="P791">
            <v>0</v>
          </cell>
          <cell r="Q791">
            <v>3275.6207515897991</v>
          </cell>
          <cell r="R791">
            <v>3278.2491327508674</v>
          </cell>
          <cell r="S791">
            <v>3341.5073349515792</v>
          </cell>
          <cell r="T791">
            <v>3405.8796367030463</v>
          </cell>
          <cell r="U791">
            <v>3395.7870480043998</v>
          </cell>
          <cell r="V791">
            <v>3392.6007698517824</v>
          </cell>
          <cell r="W791">
            <v>3392.5665563481489</v>
          </cell>
          <cell r="X791">
            <v>3392.5665563481489</v>
          </cell>
          <cell r="Y791">
            <v>3392.5665563481489</v>
          </cell>
          <cell r="Z791">
            <v>3392.5665563481489</v>
          </cell>
          <cell r="AB791">
            <v>45.478712808157368</v>
          </cell>
          <cell r="AF791">
            <v>0.53500560240147177</v>
          </cell>
          <cell r="AG791">
            <v>0.1342377020706492</v>
          </cell>
        </row>
        <row r="792">
          <cell r="A792" t="str">
            <v>TLLSP20E35</v>
          </cell>
          <cell r="D792">
            <v>2035</v>
          </cell>
          <cell r="P792">
            <v>0</v>
          </cell>
          <cell r="Q792">
            <v>3275.6207515897991</v>
          </cell>
          <cell r="R792">
            <v>3278.2491327508674</v>
          </cell>
          <cell r="S792">
            <v>3341.5073349515792</v>
          </cell>
          <cell r="T792">
            <v>3405.8796367030463</v>
          </cell>
          <cell r="U792">
            <v>3395.7870480043998</v>
          </cell>
          <cell r="V792">
            <v>3392.6007698517824</v>
          </cell>
          <cell r="W792">
            <v>3392.5665563481489</v>
          </cell>
          <cell r="X792">
            <v>3392.5665563481489</v>
          </cell>
          <cell r="Y792">
            <v>3392.5665563481489</v>
          </cell>
          <cell r="Z792">
            <v>3392.5665563481489</v>
          </cell>
          <cell r="AB792">
            <v>45.478712808157368</v>
          </cell>
          <cell r="AF792">
            <v>0.53408417205952119</v>
          </cell>
          <cell r="AG792">
            <v>0.1342377020706492</v>
          </cell>
        </row>
        <row r="793">
          <cell r="A793" t="str">
            <v>TLLSP20E40</v>
          </cell>
          <cell r="D793">
            <v>2040</v>
          </cell>
          <cell r="P793">
            <v>0</v>
          </cell>
          <cell r="Q793">
            <v>3275.6207515897991</v>
          </cell>
          <cell r="R793">
            <v>3278.2491327508674</v>
          </cell>
          <cell r="S793">
            <v>3341.5073349515792</v>
          </cell>
          <cell r="T793">
            <v>3405.8796367030463</v>
          </cell>
          <cell r="U793">
            <v>3395.7870480043998</v>
          </cell>
          <cell r="V793">
            <v>3392.6007698517824</v>
          </cell>
          <cell r="W793">
            <v>3392.5665563481489</v>
          </cell>
          <cell r="X793">
            <v>3392.5665563481489</v>
          </cell>
          <cell r="Y793">
            <v>3392.5665563481489</v>
          </cell>
          <cell r="Z793">
            <v>3392.5665563481489</v>
          </cell>
          <cell r="AB793">
            <v>45.478712808157368</v>
          </cell>
          <cell r="AF793">
            <v>0.53334929004997889</v>
          </cell>
          <cell r="AG793">
            <v>0.1342377020706492</v>
          </cell>
        </row>
        <row r="794">
          <cell r="A794" t="str">
            <v>TLLSP20E45</v>
          </cell>
          <cell r="D794">
            <v>2045</v>
          </cell>
          <cell r="P794">
            <v>0</v>
          </cell>
          <cell r="Q794">
            <v>3275.6207515897991</v>
          </cell>
          <cell r="R794">
            <v>3278.2491327508674</v>
          </cell>
          <cell r="S794">
            <v>3341.5073349515792</v>
          </cell>
          <cell r="T794">
            <v>3405.8796367030463</v>
          </cell>
          <cell r="U794">
            <v>3395.7870480043998</v>
          </cell>
          <cell r="V794">
            <v>3392.6007698517824</v>
          </cell>
          <cell r="W794">
            <v>3392.5665563481489</v>
          </cell>
          <cell r="X794">
            <v>3392.5665563481489</v>
          </cell>
          <cell r="Y794">
            <v>3392.5665563481489</v>
          </cell>
          <cell r="Z794">
            <v>3392.5665563481489</v>
          </cell>
          <cell r="AB794">
            <v>45.478712808157368</v>
          </cell>
          <cell r="AF794">
            <v>0.53334929004997889</v>
          </cell>
          <cell r="AG794">
            <v>0.1342377020706492</v>
          </cell>
        </row>
        <row r="795">
          <cell r="A795" t="str">
            <v>TLLSP20E50</v>
          </cell>
          <cell r="D795">
            <v>2050</v>
          </cell>
          <cell r="P795">
            <v>0</v>
          </cell>
          <cell r="Q795">
            <v>3275.6207515897991</v>
          </cell>
          <cell r="R795">
            <v>3278.2491327508674</v>
          </cell>
          <cell r="S795">
            <v>3341.5073349515792</v>
          </cell>
          <cell r="T795">
            <v>3405.8796367030463</v>
          </cell>
          <cell r="U795">
            <v>3395.7870480043998</v>
          </cell>
          <cell r="V795">
            <v>3392.6007698517824</v>
          </cell>
          <cell r="W795">
            <v>3392.5665563481489</v>
          </cell>
          <cell r="X795">
            <v>3392.5665563481489</v>
          </cell>
          <cell r="Y795">
            <v>3392.5665563481489</v>
          </cell>
          <cell r="Z795">
            <v>3392.5665563481489</v>
          </cell>
          <cell r="AB795">
            <v>45.478712808157368</v>
          </cell>
          <cell r="AF795">
            <v>0.53334929004997889</v>
          </cell>
          <cell r="AG795">
            <v>0.1342377020706492</v>
          </cell>
        </row>
        <row r="796">
          <cell r="A796" t="str">
            <v>TLSSP20E10</v>
          </cell>
          <cell r="D796">
            <v>2010</v>
          </cell>
          <cell r="P796">
            <v>0</v>
          </cell>
          <cell r="Q796">
            <v>2346.9296845113786</v>
          </cell>
          <cell r="R796">
            <v>2415.8857009379781</v>
          </cell>
          <cell r="S796">
            <v>2462.9871096533798</v>
          </cell>
          <cell r="T796">
            <v>2518.603305129403</v>
          </cell>
          <cell r="U796">
            <v>2509.3102401284277</v>
          </cell>
          <cell r="V796">
            <v>2507.464831162034</v>
          </cell>
          <cell r="W796">
            <v>2508.1202068860475</v>
          </cell>
          <cell r="X796">
            <v>2508.1202068860475</v>
          </cell>
          <cell r="Y796">
            <v>2508.1202068860475</v>
          </cell>
          <cell r="Z796">
            <v>2508.1202068860475</v>
          </cell>
          <cell r="AB796">
            <v>45.478712808157368</v>
          </cell>
          <cell r="AF796">
            <v>0</v>
          </cell>
          <cell r="AG796">
            <v>0.1342377020706492</v>
          </cell>
        </row>
        <row r="797">
          <cell r="A797" t="str">
            <v>TLSSP20E15</v>
          </cell>
          <cell r="D797">
            <v>2015</v>
          </cell>
          <cell r="P797">
            <v>0</v>
          </cell>
          <cell r="Q797">
            <v>2346.9296845113786</v>
          </cell>
          <cell r="R797">
            <v>2415.8857009379781</v>
          </cell>
          <cell r="S797">
            <v>2462.9871096533798</v>
          </cell>
          <cell r="T797">
            <v>2518.603305129403</v>
          </cell>
          <cell r="U797">
            <v>2509.3102401284277</v>
          </cell>
          <cell r="V797">
            <v>2507.464831162034</v>
          </cell>
          <cell r="W797">
            <v>2508.1202068860475</v>
          </cell>
          <cell r="X797">
            <v>2508.1202068860475</v>
          </cell>
          <cell r="Y797">
            <v>2508.1202068860475</v>
          </cell>
          <cell r="Z797">
            <v>2508.1202068860475</v>
          </cell>
          <cell r="AB797">
            <v>45.478712808157368</v>
          </cell>
          <cell r="AF797">
            <v>0.29720030539241937</v>
          </cell>
          <cell r="AG797">
            <v>0.1342377020706492</v>
          </cell>
        </row>
        <row r="798">
          <cell r="A798" t="str">
            <v>TLSSP20E20</v>
          </cell>
          <cell r="D798">
            <v>2020</v>
          </cell>
          <cell r="P798">
            <v>0</v>
          </cell>
          <cell r="Q798">
            <v>2346.9296845113786</v>
          </cell>
          <cell r="R798">
            <v>2415.8857009379781</v>
          </cell>
          <cell r="S798">
            <v>2462.9871096533798</v>
          </cell>
          <cell r="T798">
            <v>2518.603305129403</v>
          </cell>
          <cell r="U798">
            <v>2509.3102401284277</v>
          </cell>
          <cell r="V798">
            <v>2507.464831162034</v>
          </cell>
          <cell r="W798">
            <v>2508.1202068860475</v>
          </cell>
          <cell r="X798">
            <v>2508.1202068860475</v>
          </cell>
          <cell r="Y798">
            <v>2508.1202068860475</v>
          </cell>
          <cell r="Z798">
            <v>2508.1202068860475</v>
          </cell>
          <cell r="AB798">
            <v>45.478712808157368</v>
          </cell>
          <cell r="AF798">
            <v>0.31862513345959637</v>
          </cell>
          <cell r="AG798">
            <v>0.1342377020706492</v>
          </cell>
        </row>
        <row r="799">
          <cell r="A799" t="str">
            <v>TLSSP20E25</v>
          </cell>
          <cell r="D799">
            <v>2025</v>
          </cell>
          <cell r="P799">
            <v>0</v>
          </cell>
          <cell r="Q799">
            <v>2346.9296845113786</v>
          </cell>
          <cell r="R799">
            <v>2415.8857009379781</v>
          </cell>
          <cell r="S799">
            <v>2462.9871096533798</v>
          </cell>
          <cell r="T799">
            <v>2518.603305129403</v>
          </cell>
          <cell r="U799">
            <v>2509.3102401284277</v>
          </cell>
          <cell r="V799">
            <v>2507.464831162034</v>
          </cell>
          <cell r="W799">
            <v>2508.1202068860475</v>
          </cell>
          <cell r="X799">
            <v>2508.1202068860475</v>
          </cell>
          <cell r="Y799">
            <v>2508.1202068860475</v>
          </cell>
          <cell r="Z799">
            <v>2508.1202068860475</v>
          </cell>
          <cell r="AB799">
            <v>45.478712808157368</v>
          </cell>
          <cell r="AF799">
            <v>0.36955280037426697</v>
          </cell>
          <cell r="AG799">
            <v>0.1342377020706492</v>
          </cell>
        </row>
        <row r="800">
          <cell r="A800" t="str">
            <v>TLSSP20E30</v>
          </cell>
          <cell r="D800">
            <v>2030</v>
          </cell>
          <cell r="P800">
            <v>0</v>
          </cell>
          <cell r="Q800">
            <v>2346.9296845113786</v>
          </cell>
          <cell r="R800">
            <v>2415.8857009379781</v>
          </cell>
          <cell r="S800">
            <v>2462.9871096533798</v>
          </cell>
          <cell r="T800">
            <v>2518.603305129403</v>
          </cell>
          <cell r="U800">
            <v>2509.3102401284277</v>
          </cell>
          <cell r="V800">
            <v>2507.464831162034</v>
          </cell>
          <cell r="W800">
            <v>2508.1202068860475</v>
          </cell>
          <cell r="X800">
            <v>2508.1202068860475</v>
          </cell>
          <cell r="Y800">
            <v>2508.1202068860475</v>
          </cell>
          <cell r="Z800">
            <v>2508.1202068860475</v>
          </cell>
          <cell r="AB800">
            <v>45.478712808157368</v>
          </cell>
          <cell r="AF800">
            <v>0.37301624805724104</v>
          </cell>
          <cell r="AG800">
            <v>0.1342377020706492</v>
          </cell>
        </row>
        <row r="801">
          <cell r="A801" t="str">
            <v>TLSSP20E35</v>
          </cell>
          <cell r="D801">
            <v>2035</v>
          </cell>
          <cell r="P801">
            <v>0</v>
          </cell>
          <cell r="Q801">
            <v>2346.9296845113786</v>
          </cell>
          <cell r="R801">
            <v>2415.8857009379781</v>
          </cell>
          <cell r="S801">
            <v>2462.9871096533798</v>
          </cell>
          <cell r="T801">
            <v>2518.603305129403</v>
          </cell>
          <cell r="U801">
            <v>2509.3102401284277</v>
          </cell>
          <cell r="V801">
            <v>2507.464831162034</v>
          </cell>
          <cell r="W801">
            <v>2508.1202068860475</v>
          </cell>
          <cell r="X801">
            <v>2508.1202068860475</v>
          </cell>
          <cell r="Y801">
            <v>2508.1202068860475</v>
          </cell>
          <cell r="Z801">
            <v>2508.1202068860475</v>
          </cell>
          <cell r="AB801">
            <v>45.478712808157368</v>
          </cell>
          <cell r="AF801">
            <v>0.37507304642447381</v>
          </cell>
          <cell r="AG801">
            <v>0.1342377020706492</v>
          </cell>
        </row>
        <row r="802">
          <cell r="A802" t="str">
            <v>TLSSP20E40</v>
          </cell>
          <cell r="D802">
            <v>2040</v>
          </cell>
          <cell r="P802">
            <v>0</v>
          </cell>
          <cell r="Q802">
            <v>2346.9296845113786</v>
          </cell>
          <cell r="R802">
            <v>2415.8857009379781</v>
          </cell>
          <cell r="S802">
            <v>2462.9871096533798</v>
          </cell>
          <cell r="T802">
            <v>2518.603305129403</v>
          </cell>
          <cell r="U802">
            <v>2509.3102401284277</v>
          </cell>
          <cell r="V802">
            <v>2507.464831162034</v>
          </cell>
          <cell r="W802">
            <v>2508.1202068860475</v>
          </cell>
          <cell r="X802">
            <v>2508.1202068860475</v>
          </cell>
          <cell r="Y802">
            <v>2508.1202068860475</v>
          </cell>
          <cell r="Z802">
            <v>2508.1202068860475</v>
          </cell>
          <cell r="AB802">
            <v>45.478712808157368</v>
          </cell>
          <cell r="AF802">
            <v>0.37517721459244896</v>
          </cell>
          <cell r="AG802">
            <v>0.1342377020706492</v>
          </cell>
        </row>
        <row r="803">
          <cell r="A803" t="str">
            <v>TLSSP20E45</v>
          </cell>
          <cell r="D803">
            <v>2045</v>
          </cell>
          <cell r="P803">
            <v>0</v>
          </cell>
          <cell r="Q803">
            <v>2346.9296845113786</v>
          </cell>
          <cell r="R803">
            <v>2415.8857009379781</v>
          </cell>
          <cell r="S803">
            <v>2462.9871096533798</v>
          </cell>
          <cell r="T803">
            <v>2518.603305129403</v>
          </cell>
          <cell r="U803">
            <v>2509.3102401284277</v>
          </cell>
          <cell r="V803">
            <v>2507.464831162034</v>
          </cell>
          <cell r="W803">
            <v>2508.1202068860475</v>
          </cell>
          <cell r="X803">
            <v>2508.1202068860475</v>
          </cell>
          <cell r="Y803">
            <v>2508.1202068860475</v>
          </cell>
          <cell r="Z803">
            <v>2508.1202068860475</v>
          </cell>
          <cell r="AB803">
            <v>45.478712808157368</v>
          </cell>
          <cell r="AF803">
            <v>0.37517721459244896</v>
          </cell>
          <cell r="AG803">
            <v>0.1342377020706492</v>
          </cell>
        </row>
        <row r="804">
          <cell r="A804" t="str">
            <v>TLSSP20E50</v>
          </cell>
          <cell r="D804">
            <v>2050</v>
          </cell>
          <cell r="P804">
            <v>0</v>
          </cell>
          <cell r="Q804">
            <v>2346.9296845113786</v>
          </cell>
          <cell r="R804">
            <v>2415.8857009379781</v>
          </cell>
          <cell r="S804">
            <v>2462.9871096533798</v>
          </cell>
          <cell r="T804">
            <v>2518.603305129403</v>
          </cell>
          <cell r="U804">
            <v>2509.3102401284277</v>
          </cell>
          <cell r="V804">
            <v>2507.464831162034</v>
          </cell>
          <cell r="W804">
            <v>2508.1202068860475</v>
          </cell>
          <cell r="X804">
            <v>2508.1202068860475</v>
          </cell>
          <cell r="Y804">
            <v>2508.1202068860475</v>
          </cell>
          <cell r="Z804">
            <v>2508.1202068860475</v>
          </cell>
          <cell r="AB804">
            <v>45.478712808157368</v>
          </cell>
          <cell r="AF804">
            <v>0.37517721459244896</v>
          </cell>
          <cell r="AG804">
            <v>0.1342377020706492</v>
          </cell>
        </row>
        <row r="805">
          <cell r="A805" t="str">
            <v>TLCPHVE10</v>
          </cell>
          <cell r="D805">
            <v>2010</v>
          </cell>
          <cell r="P805">
            <v>0</v>
          </cell>
          <cell r="Q805">
            <v>2040.1093290149238</v>
          </cell>
          <cell r="R805">
            <v>1923.7761081446097</v>
          </cell>
          <cell r="S805">
            <v>1993.8438611959682</v>
          </cell>
          <cell r="T805">
            <v>2108.1463610124601</v>
          </cell>
          <cell r="U805">
            <v>2110.5564740344107</v>
          </cell>
          <cell r="V805">
            <v>2111.775112894135</v>
          </cell>
          <cell r="W805">
            <v>2112.8662064983068</v>
          </cell>
          <cell r="X805">
            <v>2112.8662064983068</v>
          </cell>
          <cell r="Y805">
            <v>2112.8662064983068</v>
          </cell>
          <cell r="Z805">
            <v>2112.8662064983068</v>
          </cell>
          <cell r="AB805">
            <v>40.382789385678855</v>
          </cell>
          <cell r="AF805">
            <v>0.50964235725670137</v>
          </cell>
          <cell r="AG805">
            <v>0.26521554647620627</v>
          </cell>
        </row>
        <row r="806">
          <cell r="A806" t="str">
            <v>TLCPHVE15</v>
          </cell>
          <cell r="D806">
            <v>2015</v>
          </cell>
          <cell r="P806">
            <v>0</v>
          </cell>
          <cell r="Q806">
            <v>2040.1093290149238</v>
          </cell>
          <cell r="R806">
            <v>1923.7761081446097</v>
          </cell>
          <cell r="S806">
            <v>1993.8438611959682</v>
          </cell>
          <cell r="T806">
            <v>2108.1463610124601</v>
          </cell>
          <cell r="U806">
            <v>2110.5564740344107</v>
          </cell>
          <cell r="V806">
            <v>2111.775112894135</v>
          </cell>
          <cell r="W806">
            <v>2112.8662064983068</v>
          </cell>
          <cell r="X806">
            <v>2112.8662064983068</v>
          </cell>
          <cell r="Y806">
            <v>2112.8662064983068</v>
          </cell>
          <cell r="Z806">
            <v>2112.8662064983068</v>
          </cell>
          <cell r="AB806">
            <v>40.382789385678855</v>
          </cell>
          <cell r="AF806">
            <v>0.46942651993993034</v>
          </cell>
          <cell r="AG806">
            <v>0.26521554647620627</v>
          </cell>
        </row>
        <row r="807">
          <cell r="A807" t="str">
            <v>TLCPHVE20</v>
          </cell>
          <cell r="D807">
            <v>2020</v>
          </cell>
          <cell r="P807">
            <v>0</v>
          </cell>
          <cell r="Q807">
            <v>2040.1093290149238</v>
          </cell>
          <cell r="R807">
            <v>1923.7761081446097</v>
          </cell>
          <cell r="S807">
            <v>1993.8438611959682</v>
          </cell>
          <cell r="T807">
            <v>2108.1463610124601</v>
          </cell>
          <cell r="U807">
            <v>2110.5564740344107</v>
          </cell>
          <cell r="V807">
            <v>2111.775112894135</v>
          </cell>
          <cell r="W807">
            <v>2112.8662064983068</v>
          </cell>
          <cell r="X807">
            <v>2112.8662064983068</v>
          </cell>
          <cell r="Y807">
            <v>2112.8662064983068</v>
          </cell>
          <cell r="Z807">
            <v>2112.8662064983068</v>
          </cell>
          <cell r="AB807">
            <v>40.382789385678855</v>
          </cell>
          <cell r="AF807">
            <v>0.54898803911259886</v>
          </cell>
          <cell r="AG807">
            <v>0.26521554647620627</v>
          </cell>
        </row>
        <row r="808">
          <cell r="A808" t="str">
            <v>TLCPHVE25</v>
          </cell>
          <cell r="D808">
            <v>2025</v>
          </cell>
          <cell r="P808">
            <v>0</v>
          </cell>
          <cell r="Q808">
            <v>2040.1093290149238</v>
          </cell>
          <cell r="R808">
            <v>1923.7761081446097</v>
          </cell>
          <cell r="S808">
            <v>1993.8438611959682</v>
          </cell>
          <cell r="T808">
            <v>2108.1463610124601</v>
          </cell>
          <cell r="U808">
            <v>2110.5564740344107</v>
          </cell>
          <cell r="V808">
            <v>2111.775112894135</v>
          </cell>
          <cell r="W808">
            <v>2112.8662064983068</v>
          </cell>
          <cell r="X808">
            <v>2112.8662064983068</v>
          </cell>
          <cell r="Y808">
            <v>2112.8662064983068</v>
          </cell>
          <cell r="Z808">
            <v>2112.8662064983068</v>
          </cell>
          <cell r="AB808">
            <v>40.382789385678855</v>
          </cell>
          <cell r="AF808">
            <v>0.64620318368355845</v>
          </cell>
          <cell r="AG808">
            <v>0.26521554647620627</v>
          </cell>
        </row>
        <row r="809">
          <cell r="A809" t="str">
            <v>TLCPHVE30</v>
          </cell>
          <cell r="D809">
            <v>2030</v>
          </cell>
          <cell r="P809">
            <v>0</v>
          </cell>
          <cell r="Q809">
            <v>2040.1093290149238</v>
          </cell>
          <cell r="R809">
            <v>1923.7761081446097</v>
          </cell>
          <cell r="S809">
            <v>1993.8438611959682</v>
          </cell>
          <cell r="T809">
            <v>2108.1463610124601</v>
          </cell>
          <cell r="U809">
            <v>2110.5564740344107</v>
          </cell>
          <cell r="V809">
            <v>2111.775112894135</v>
          </cell>
          <cell r="W809">
            <v>2112.8662064983068</v>
          </cell>
          <cell r="X809">
            <v>2112.8662064983068</v>
          </cell>
          <cell r="Y809">
            <v>2112.8662064983068</v>
          </cell>
          <cell r="Z809">
            <v>2112.8662064983068</v>
          </cell>
          <cell r="AB809">
            <v>40.382789385678855</v>
          </cell>
          <cell r="AF809">
            <v>0.64592367260975836</v>
          </cell>
          <cell r="AG809">
            <v>0.26521554647620627</v>
          </cell>
        </row>
        <row r="810">
          <cell r="A810" t="str">
            <v>TLCPHVE35</v>
          </cell>
          <cell r="D810">
            <v>2035</v>
          </cell>
          <cell r="P810">
            <v>0</v>
          </cell>
          <cell r="Q810">
            <v>2040.1093290149238</v>
          </cell>
          <cell r="R810">
            <v>1923.7761081446097</v>
          </cell>
          <cell r="S810">
            <v>1993.8438611959682</v>
          </cell>
          <cell r="T810">
            <v>2108.1463610124601</v>
          </cell>
          <cell r="U810">
            <v>2110.5564740344107</v>
          </cell>
          <cell r="V810">
            <v>2111.775112894135</v>
          </cell>
          <cell r="W810">
            <v>2112.8662064983068</v>
          </cell>
          <cell r="X810">
            <v>2112.8662064983068</v>
          </cell>
          <cell r="Y810">
            <v>2112.8662064983068</v>
          </cell>
          <cell r="Z810">
            <v>2112.8662064983068</v>
          </cell>
          <cell r="AB810">
            <v>40.382789385678855</v>
          </cell>
          <cell r="AF810">
            <v>0.64481227128571705</v>
          </cell>
          <cell r="AG810">
            <v>0.26521554647620627</v>
          </cell>
        </row>
        <row r="811">
          <cell r="A811" t="str">
            <v>TLCPHVE40</v>
          </cell>
          <cell r="D811">
            <v>2040</v>
          </cell>
          <cell r="P811">
            <v>0</v>
          </cell>
          <cell r="Q811">
            <v>2040.1093290149238</v>
          </cell>
          <cell r="R811">
            <v>1923.7761081446097</v>
          </cell>
          <cell r="S811">
            <v>1993.8438611959682</v>
          </cell>
          <cell r="T811">
            <v>2108.1463610124601</v>
          </cell>
          <cell r="U811">
            <v>2110.5564740344107</v>
          </cell>
          <cell r="V811">
            <v>2111.775112894135</v>
          </cell>
          <cell r="W811">
            <v>2112.8662064983068</v>
          </cell>
          <cell r="X811">
            <v>2112.8662064983068</v>
          </cell>
          <cell r="Y811">
            <v>2112.8662064983068</v>
          </cell>
          <cell r="Z811">
            <v>2112.8662064983068</v>
          </cell>
          <cell r="AB811">
            <v>40.382789385678855</v>
          </cell>
          <cell r="AF811">
            <v>0.64380992381143598</v>
          </cell>
          <cell r="AG811">
            <v>0.26521554647620627</v>
          </cell>
        </row>
        <row r="812">
          <cell r="A812" t="str">
            <v>TLCPHVE45</v>
          </cell>
          <cell r="D812">
            <v>2045</v>
          </cell>
          <cell r="P812">
            <v>0</v>
          </cell>
          <cell r="Q812">
            <v>2040.1093290149238</v>
          </cell>
          <cell r="R812">
            <v>1923.7761081446097</v>
          </cell>
          <cell r="S812">
            <v>1993.8438611959682</v>
          </cell>
          <cell r="T812">
            <v>2108.1463610124601</v>
          </cell>
          <cell r="U812">
            <v>2110.5564740344107</v>
          </cell>
          <cell r="V812">
            <v>2111.775112894135</v>
          </cell>
          <cell r="W812">
            <v>2112.8662064983068</v>
          </cell>
          <cell r="X812">
            <v>2112.8662064983068</v>
          </cell>
          <cell r="Y812">
            <v>2112.8662064983068</v>
          </cell>
          <cell r="Z812">
            <v>2112.8662064983068</v>
          </cell>
          <cell r="AB812">
            <v>40.382789385678855</v>
          </cell>
          <cell r="AF812">
            <v>0.64380992381143598</v>
          </cell>
          <cell r="AG812">
            <v>0.26521554647620627</v>
          </cell>
        </row>
        <row r="813">
          <cell r="A813" t="str">
            <v>TLCPHVE50</v>
          </cell>
          <cell r="D813">
            <v>2050</v>
          </cell>
          <cell r="P813">
            <v>0</v>
          </cell>
          <cell r="Q813">
            <v>2040.1093290149238</v>
          </cell>
          <cell r="R813">
            <v>1923.7761081446097</v>
          </cell>
          <cell r="S813">
            <v>1993.8438611959682</v>
          </cell>
          <cell r="T813">
            <v>2108.1463610124601</v>
          </cell>
          <cell r="U813">
            <v>2110.5564740344107</v>
          </cell>
          <cell r="V813">
            <v>2111.775112894135</v>
          </cell>
          <cell r="W813">
            <v>2112.8662064983068</v>
          </cell>
          <cell r="X813">
            <v>2112.8662064983068</v>
          </cell>
          <cell r="Y813">
            <v>2112.8662064983068</v>
          </cell>
          <cell r="Z813">
            <v>2112.8662064983068</v>
          </cell>
          <cell r="AB813">
            <v>40.382789385678855</v>
          </cell>
          <cell r="AF813">
            <v>0.64380992381143598</v>
          </cell>
          <cell r="AG813">
            <v>0.26521554647620627</v>
          </cell>
        </row>
        <row r="814">
          <cell r="A814" t="str">
            <v>TLFPHVE10</v>
          </cell>
          <cell r="D814">
            <v>2010</v>
          </cell>
          <cell r="P814">
            <v>0</v>
          </cell>
          <cell r="Q814">
            <v>2399.4212332172392</v>
          </cell>
          <cell r="R814">
            <v>2314.5209459310504</v>
          </cell>
          <cell r="S814">
            <v>2377.3739208928673</v>
          </cell>
          <cell r="T814">
            <v>2489.5255448660628</v>
          </cell>
          <cell r="U814">
            <v>2492.9262411607992</v>
          </cell>
          <cell r="V814">
            <v>2494.1402234068978</v>
          </cell>
          <cell r="W814">
            <v>2494.9478617552086</v>
          </cell>
          <cell r="X814">
            <v>2494.9478617552086</v>
          </cell>
          <cell r="Y814">
            <v>2494.9478617552086</v>
          </cell>
          <cell r="Z814">
            <v>2494.9478617552086</v>
          </cell>
          <cell r="AB814">
            <v>45.478712808157368</v>
          </cell>
          <cell r="AF814">
            <v>0.48972415124832352</v>
          </cell>
          <cell r="AG814">
            <v>0.26521554647620627</v>
          </cell>
        </row>
        <row r="815">
          <cell r="A815" t="str">
            <v>TLFPHVE15</v>
          </cell>
          <cell r="D815">
            <v>2015</v>
          </cell>
          <cell r="P815">
            <v>0</v>
          </cell>
          <cell r="Q815">
            <v>2399.4212332172392</v>
          </cell>
          <cell r="R815">
            <v>2314.5209459310504</v>
          </cell>
          <cell r="S815">
            <v>2377.3739208928673</v>
          </cell>
          <cell r="T815">
            <v>2489.5255448660628</v>
          </cell>
          <cell r="U815">
            <v>2492.9262411607992</v>
          </cell>
          <cell r="V815">
            <v>2494.1402234068978</v>
          </cell>
          <cell r="W815">
            <v>2494.9478617552086</v>
          </cell>
          <cell r="X815">
            <v>2494.9478617552086</v>
          </cell>
          <cell r="Y815">
            <v>2494.9478617552086</v>
          </cell>
          <cell r="Z815">
            <v>2494.9478617552086</v>
          </cell>
          <cell r="AB815">
            <v>45.478712808157368</v>
          </cell>
          <cell r="AF815">
            <v>0.46261539786188327</v>
          </cell>
          <cell r="AG815">
            <v>0.26521554647620627</v>
          </cell>
        </row>
        <row r="816">
          <cell r="A816" t="str">
            <v>TLFPHVE20</v>
          </cell>
          <cell r="D816">
            <v>2020</v>
          </cell>
          <cell r="P816">
            <v>0</v>
          </cell>
          <cell r="Q816">
            <v>2399.4212332172392</v>
          </cell>
          <cell r="R816">
            <v>2314.5209459310504</v>
          </cell>
          <cell r="S816">
            <v>2377.3739208928673</v>
          </cell>
          <cell r="T816">
            <v>2489.5255448660628</v>
          </cell>
          <cell r="U816">
            <v>2492.9262411607992</v>
          </cell>
          <cell r="V816">
            <v>2494.1402234068978</v>
          </cell>
          <cell r="W816">
            <v>2494.9478617552086</v>
          </cell>
          <cell r="X816">
            <v>2494.9478617552086</v>
          </cell>
          <cell r="Y816">
            <v>2494.9478617552086</v>
          </cell>
          <cell r="Z816">
            <v>2494.9478617552086</v>
          </cell>
          <cell r="AB816">
            <v>45.478712808157368</v>
          </cell>
          <cell r="AF816">
            <v>0.53612582276787824</v>
          </cell>
          <cell r="AG816">
            <v>0.26521554647620627</v>
          </cell>
        </row>
        <row r="817">
          <cell r="A817" t="str">
            <v>TLFPHVE25</v>
          </cell>
          <cell r="D817">
            <v>2025</v>
          </cell>
          <cell r="P817">
            <v>0</v>
          </cell>
          <cell r="Q817">
            <v>2399.4212332172392</v>
          </cell>
          <cell r="R817">
            <v>2314.5209459310504</v>
          </cell>
          <cell r="S817">
            <v>2377.3739208928673</v>
          </cell>
          <cell r="T817">
            <v>2489.5255448660628</v>
          </cell>
          <cell r="U817">
            <v>2492.9262411607992</v>
          </cell>
          <cell r="V817">
            <v>2494.1402234068978</v>
          </cell>
          <cell r="W817">
            <v>2494.9478617552086</v>
          </cell>
          <cell r="X817">
            <v>2494.9478617552086</v>
          </cell>
          <cell r="Y817">
            <v>2494.9478617552086</v>
          </cell>
          <cell r="Z817">
            <v>2494.9478617552086</v>
          </cell>
          <cell r="AB817">
            <v>45.478712808157368</v>
          </cell>
          <cell r="AF817">
            <v>0.64462590263756181</v>
          </cell>
          <cell r="AG817">
            <v>0.26521554647620627</v>
          </cell>
        </row>
        <row r="818">
          <cell r="A818" t="str">
            <v>TLFPHVE30</v>
          </cell>
          <cell r="D818">
            <v>2030</v>
          </cell>
          <cell r="P818">
            <v>0</v>
          </cell>
          <cell r="Q818">
            <v>2399.4212332172392</v>
          </cell>
          <cell r="R818">
            <v>2314.5209459310504</v>
          </cell>
          <cell r="S818">
            <v>2377.3739208928673</v>
          </cell>
          <cell r="T818">
            <v>2489.5255448660628</v>
          </cell>
          <cell r="U818">
            <v>2492.9262411607992</v>
          </cell>
          <cell r="V818">
            <v>2494.1402234068978</v>
          </cell>
          <cell r="W818">
            <v>2494.9478617552086</v>
          </cell>
          <cell r="X818">
            <v>2494.9478617552086</v>
          </cell>
          <cell r="Y818">
            <v>2494.9478617552086</v>
          </cell>
          <cell r="Z818">
            <v>2494.9478617552086</v>
          </cell>
          <cell r="AB818">
            <v>45.478712808157368</v>
          </cell>
          <cell r="AF818">
            <v>0.64427523477469839</v>
          </cell>
          <cell r="AG818">
            <v>0.26521554647620627</v>
          </cell>
        </row>
        <row r="819">
          <cell r="A819" t="str">
            <v>TLFPHVE35</v>
          </cell>
          <cell r="D819">
            <v>2035</v>
          </cell>
          <cell r="P819">
            <v>0</v>
          </cell>
          <cell r="Q819">
            <v>2399.4212332172392</v>
          </cell>
          <cell r="R819">
            <v>2314.5209459310504</v>
          </cell>
          <cell r="S819">
            <v>2377.3739208928673</v>
          </cell>
          <cell r="T819">
            <v>2489.5255448660628</v>
          </cell>
          <cell r="U819">
            <v>2492.9262411607992</v>
          </cell>
          <cell r="V819">
            <v>2494.1402234068978</v>
          </cell>
          <cell r="W819">
            <v>2494.9478617552086</v>
          </cell>
          <cell r="X819">
            <v>2494.9478617552086</v>
          </cell>
          <cell r="Y819">
            <v>2494.9478617552086</v>
          </cell>
          <cell r="Z819">
            <v>2494.9478617552086</v>
          </cell>
          <cell r="AB819">
            <v>45.478712808157368</v>
          </cell>
          <cell r="AF819">
            <v>0.64316561134790817</v>
          </cell>
          <cell r="AG819">
            <v>0.26521554647620627</v>
          </cell>
        </row>
        <row r="820">
          <cell r="A820" t="str">
            <v>TLFPHVE40</v>
          </cell>
          <cell r="D820">
            <v>2040</v>
          </cell>
          <cell r="P820">
            <v>0</v>
          </cell>
          <cell r="Q820">
            <v>2399.4212332172392</v>
          </cell>
          <cell r="R820">
            <v>2314.5209459310504</v>
          </cell>
          <cell r="S820">
            <v>2377.3739208928673</v>
          </cell>
          <cell r="T820">
            <v>2489.5255448660628</v>
          </cell>
          <cell r="U820">
            <v>2492.9262411607992</v>
          </cell>
          <cell r="V820">
            <v>2494.1402234068978</v>
          </cell>
          <cell r="W820">
            <v>2494.9478617552086</v>
          </cell>
          <cell r="X820">
            <v>2494.9478617552086</v>
          </cell>
          <cell r="Y820">
            <v>2494.9478617552086</v>
          </cell>
          <cell r="Z820">
            <v>2494.9478617552086</v>
          </cell>
          <cell r="AB820">
            <v>45.478712808157368</v>
          </cell>
          <cell r="AF820">
            <v>0.64228063691566972</v>
          </cell>
          <cell r="AG820">
            <v>0.26521554647620627</v>
          </cell>
        </row>
        <row r="821">
          <cell r="A821" t="str">
            <v>TLFPHVE45</v>
          </cell>
          <cell r="D821">
            <v>2045</v>
          </cell>
          <cell r="P821">
            <v>0</v>
          </cell>
          <cell r="Q821">
            <v>2399.4212332172392</v>
          </cell>
          <cell r="R821">
            <v>2314.5209459310504</v>
          </cell>
          <cell r="S821">
            <v>2377.3739208928673</v>
          </cell>
          <cell r="T821">
            <v>2489.5255448660628</v>
          </cell>
          <cell r="U821">
            <v>2492.9262411607992</v>
          </cell>
          <cell r="V821">
            <v>2494.1402234068978</v>
          </cell>
          <cell r="W821">
            <v>2494.9478617552086</v>
          </cell>
          <cell r="X821">
            <v>2494.9478617552086</v>
          </cell>
          <cell r="Y821">
            <v>2494.9478617552086</v>
          </cell>
          <cell r="Z821">
            <v>2494.9478617552086</v>
          </cell>
          <cell r="AB821">
            <v>45.478712808157368</v>
          </cell>
          <cell r="AF821">
            <v>0.64228063691566972</v>
          </cell>
          <cell r="AG821">
            <v>0.26521554647620627</v>
          </cell>
        </row>
        <row r="822">
          <cell r="A822" t="str">
            <v>TLFPHVE50</v>
          </cell>
          <cell r="D822">
            <v>2050</v>
          </cell>
          <cell r="P822">
            <v>0</v>
          </cell>
          <cell r="Q822">
            <v>2399.4212332172392</v>
          </cell>
          <cell r="R822">
            <v>2314.5209459310504</v>
          </cell>
          <cell r="S822">
            <v>2377.3739208928673</v>
          </cell>
          <cell r="T822">
            <v>2489.5255448660628</v>
          </cell>
          <cell r="U822">
            <v>2492.9262411607992</v>
          </cell>
          <cell r="V822">
            <v>2494.1402234068978</v>
          </cell>
          <cell r="W822">
            <v>2494.9478617552086</v>
          </cell>
          <cell r="X822">
            <v>2494.9478617552086</v>
          </cell>
          <cell r="Y822">
            <v>2494.9478617552086</v>
          </cell>
          <cell r="Z822">
            <v>2494.9478617552086</v>
          </cell>
          <cell r="AB822">
            <v>45.478712808157368</v>
          </cell>
          <cell r="AF822">
            <v>0.64228063691566972</v>
          </cell>
          <cell r="AG822">
            <v>0.26521554647620627</v>
          </cell>
        </row>
        <row r="823">
          <cell r="A823" t="str">
            <v>TLPPHVE10</v>
          </cell>
          <cell r="D823">
            <v>2010</v>
          </cell>
          <cell r="P823">
            <v>0</v>
          </cell>
          <cell r="Q823">
            <v>2261.6861819274586</v>
          </cell>
          <cell r="R823">
            <v>2754.7612817963204</v>
          </cell>
          <cell r="S823">
            <v>2823.0514692071024</v>
          </cell>
          <cell r="T823">
            <v>2906.902991579439</v>
          </cell>
          <cell r="U823">
            <v>2908.8016673923817</v>
          </cell>
          <cell r="V823">
            <v>2910.3516622464904</v>
          </cell>
          <cell r="W823">
            <v>2912.8329324702659</v>
          </cell>
          <cell r="X823">
            <v>2912.8329324702659</v>
          </cell>
          <cell r="Y823">
            <v>2912.8329324702659</v>
          </cell>
          <cell r="Z823">
            <v>2912.8329324702659</v>
          </cell>
          <cell r="AB823">
            <v>48.0747492686653</v>
          </cell>
          <cell r="AF823">
            <v>0</v>
          </cell>
          <cell r="AG823">
            <v>0.26521554647620627</v>
          </cell>
        </row>
        <row r="824">
          <cell r="A824" t="str">
            <v>TLPPHVE15</v>
          </cell>
          <cell r="D824">
            <v>2015</v>
          </cell>
          <cell r="P824">
            <v>0</v>
          </cell>
          <cell r="Q824">
            <v>2261.6861819274586</v>
          </cell>
          <cell r="R824">
            <v>2754.7612817963204</v>
          </cell>
          <cell r="S824">
            <v>2823.0514692071024</v>
          </cell>
          <cell r="T824">
            <v>2906.902991579439</v>
          </cell>
          <cell r="U824">
            <v>2908.8016673923817</v>
          </cell>
          <cell r="V824">
            <v>2910.3516622464904</v>
          </cell>
          <cell r="W824">
            <v>2912.8329324702659</v>
          </cell>
          <cell r="X824">
            <v>2912.8329324702659</v>
          </cell>
          <cell r="Y824">
            <v>2912.8329324702659</v>
          </cell>
          <cell r="Z824">
            <v>2912.8329324702659</v>
          </cell>
          <cell r="AB824">
            <v>48.0747492686653</v>
          </cell>
          <cell r="AF824">
            <v>0.35629414319439828</v>
          </cell>
          <cell r="AG824">
            <v>0.26521554647620627</v>
          </cell>
        </row>
        <row r="825">
          <cell r="A825" t="str">
            <v>TLPPHVE20</v>
          </cell>
          <cell r="D825">
            <v>2020</v>
          </cell>
          <cell r="P825">
            <v>0</v>
          </cell>
          <cell r="Q825">
            <v>2261.6861819274586</v>
          </cell>
          <cell r="R825">
            <v>2754.7612817963204</v>
          </cell>
          <cell r="S825">
            <v>2823.0514692071024</v>
          </cell>
          <cell r="T825">
            <v>2906.902991579439</v>
          </cell>
          <cell r="U825">
            <v>2908.8016673923817</v>
          </cell>
          <cell r="V825">
            <v>2910.3516622464904</v>
          </cell>
          <cell r="W825">
            <v>2912.8329324702659</v>
          </cell>
          <cell r="X825">
            <v>2912.8329324702659</v>
          </cell>
          <cell r="Y825">
            <v>2912.8329324702659</v>
          </cell>
          <cell r="Z825">
            <v>2912.8329324702659</v>
          </cell>
          <cell r="AB825">
            <v>48.0747492686653</v>
          </cell>
          <cell r="AF825">
            <v>0.38197897803736025</v>
          </cell>
          <cell r="AG825">
            <v>0.26521554647620627</v>
          </cell>
        </row>
        <row r="826">
          <cell r="A826" t="str">
            <v>TLPPHVE25</v>
          </cell>
          <cell r="D826">
            <v>2025</v>
          </cell>
          <cell r="P826">
            <v>0</v>
          </cell>
          <cell r="Q826">
            <v>2261.6861819274586</v>
          </cell>
          <cell r="R826">
            <v>2754.7612817963204</v>
          </cell>
          <cell r="S826">
            <v>2823.0514692071024</v>
          </cell>
          <cell r="T826">
            <v>2906.902991579439</v>
          </cell>
          <cell r="U826">
            <v>2908.8016673923817</v>
          </cell>
          <cell r="V826">
            <v>2910.3516622464904</v>
          </cell>
          <cell r="W826">
            <v>2912.8329324702659</v>
          </cell>
          <cell r="X826">
            <v>2912.8329324702659</v>
          </cell>
          <cell r="Y826">
            <v>2912.8329324702659</v>
          </cell>
          <cell r="Z826">
            <v>2912.8329324702659</v>
          </cell>
          <cell r="AB826">
            <v>48.0747492686653</v>
          </cell>
          <cell r="AF826">
            <v>0.44303285018696498</v>
          </cell>
          <cell r="AG826">
            <v>0.26521554647620627</v>
          </cell>
        </row>
        <row r="827">
          <cell r="A827" t="str">
            <v>TLPPHVE30</v>
          </cell>
          <cell r="D827">
            <v>2030</v>
          </cell>
          <cell r="P827">
            <v>0</v>
          </cell>
          <cell r="Q827">
            <v>2261.6861819274586</v>
          </cell>
          <cell r="R827">
            <v>2754.7612817963204</v>
          </cell>
          <cell r="S827">
            <v>2823.0514692071024</v>
          </cell>
          <cell r="T827">
            <v>2906.902991579439</v>
          </cell>
          <cell r="U827">
            <v>2908.8016673923817</v>
          </cell>
          <cell r="V827">
            <v>2910.3516622464904</v>
          </cell>
          <cell r="W827">
            <v>2912.8329324702659</v>
          </cell>
          <cell r="X827">
            <v>2912.8329324702659</v>
          </cell>
          <cell r="Y827">
            <v>2912.8329324702659</v>
          </cell>
          <cell r="Z827">
            <v>2912.8329324702659</v>
          </cell>
          <cell r="AB827">
            <v>48.0747492686653</v>
          </cell>
          <cell r="AF827">
            <v>0.44718495266571073</v>
          </cell>
          <cell r="AG827">
            <v>0.26521554647620627</v>
          </cell>
        </row>
        <row r="828">
          <cell r="A828" t="str">
            <v>TLPPHVE35</v>
          </cell>
          <cell r="D828">
            <v>2035</v>
          </cell>
          <cell r="P828">
            <v>0</v>
          </cell>
          <cell r="Q828">
            <v>2261.6861819274586</v>
          </cell>
          <cell r="R828">
            <v>2754.7612817963204</v>
          </cell>
          <cell r="S828">
            <v>2823.0514692071024</v>
          </cell>
          <cell r="T828">
            <v>2906.902991579439</v>
          </cell>
          <cell r="U828">
            <v>2908.8016673923817</v>
          </cell>
          <cell r="V828">
            <v>2910.3516622464904</v>
          </cell>
          <cell r="W828">
            <v>2912.8329324702659</v>
          </cell>
          <cell r="X828">
            <v>2912.8329324702659</v>
          </cell>
          <cell r="Y828">
            <v>2912.8329324702659</v>
          </cell>
          <cell r="Z828">
            <v>2912.8329324702659</v>
          </cell>
          <cell r="AB828">
            <v>48.0747492686653</v>
          </cell>
          <cell r="AF828">
            <v>0.44965071464064965</v>
          </cell>
          <cell r="AG828">
            <v>0.26521554647620627</v>
          </cell>
        </row>
        <row r="829">
          <cell r="A829" t="str">
            <v>TLPPHVE40</v>
          </cell>
          <cell r="D829">
            <v>2040</v>
          </cell>
          <cell r="P829">
            <v>0</v>
          </cell>
          <cell r="Q829">
            <v>2261.6861819274586</v>
          </cell>
          <cell r="R829">
            <v>2754.7612817963204</v>
          </cell>
          <cell r="S829">
            <v>2823.0514692071024</v>
          </cell>
          <cell r="T829">
            <v>2906.902991579439</v>
          </cell>
          <cell r="U829">
            <v>2908.8016673923817</v>
          </cell>
          <cell r="V829">
            <v>2910.3516622464904</v>
          </cell>
          <cell r="W829">
            <v>2912.8329324702659</v>
          </cell>
          <cell r="X829">
            <v>2912.8329324702659</v>
          </cell>
          <cell r="Y829">
            <v>2912.8329324702659</v>
          </cell>
          <cell r="Z829">
            <v>2912.8329324702659</v>
          </cell>
          <cell r="AB829">
            <v>48.0747492686653</v>
          </cell>
          <cell r="AF829">
            <v>0.44977559509158943</v>
          </cell>
          <cell r="AG829">
            <v>0.26521554647620627</v>
          </cell>
        </row>
        <row r="830">
          <cell r="A830" t="str">
            <v>TLPPHVE45</v>
          </cell>
          <cell r="D830">
            <v>2045</v>
          </cell>
          <cell r="P830">
            <v>0</v>
          </cell>
          <cell r="Q830">
            <v>2261.6861819274586</v>
          </cell>
          <cell r="R830">
            <v>2754.7612817963204</v>
          </cell>
          <cell r="S830">
            <v>2823.0514692071024</v>
          </cell>
          <cell r="T830">
            <v>2906.902991579439</v>
          </cell>
          <cell r="U830">
            <v>2908.8016673923817</v>
          </cell>
          <cell r="V830">
            <v>2910.3516622464904</v>
          </cell>
          <cell r="W830">
            <v>2912.8329324702659</v>
          </cell>
          <cell r="X830">
            <v>2912.8329324702659</v>
          </cell>
          <cell r="Y830">
            <v>2912.8329324702659</v>
          </cell>
          <cell r="Z830">
            <v>2912.8329324702659</v>
          </cell>
          <cell r="AB830">
            <v>48.0747492686653</v>
          </cell>
          <cell r="AF830">
            <v>0.44977559509158943</v>
          </cell>
          <cell r="AG830">
            <v>0.26521554647620627</v>
          </cell>
        </row>
        <row r="831">
          <cell r="A831" t="str">
            <v>TLPPHVE50</v>
          </cell>
          <cell r="D831">
            <v>2050</v>
          </cell>
          <cell r="P831">
            <v>0</v>
          </cell>
          <cell r="Q831">
            <v>2261.6861819274586</v>
          </cell>
          <cell r="R831">
            <v>2754.7612817963204</v>
          </cell>
          <cell r="S831">
            <v>2823.0514692071024</v>
          </cell>
          <cell r="T831">
            <v>2906.902991579439</v>
          </cell>
          <cell r="U831">
            <v>2908.8016673923817</v>
          </cell>
          <cell r="V831">
            <v>2910.3516622464904</v>
          </cell>
          <cell r="W831">
            <v>2912.8329324702659</v>
          </cell>
          <cell r="X831">
            <v>2912.8329324702659</v>
          </cell>
          <cell r="Y831">
            <v>2912.8329324702659</v>
          </cell>
          <cell r="Z831">
            <v>2912.8329324702659</v>
          </cell>
          <cell r="AB831">
            <v>48.0747492686653</v>
          </cell>
          <cell r="AF831">
            <v>0.44977559509158943</v>
          </cell>
          <cell r="AG831">
            <v>0.26521554647620627</v>
          </cell>
        </row>
        <row r="832">
          <cell r="A832" t="str">
            <v>TLMPHVE10</v>
          </cell>
          <cell r="D832">
            <v>2010</v>
          </cell>
          <cell r="P832">
            <v>0</v>
          </cell>
          <cell r="Q832">
            <v>2496.2957868406688</v>
          </cell>
          <cell r="R832">
            <v>2585.1031260676318</v>
          </cell>
          <cell r="S832">
            <v>2647.0676384842213</v>
          </cell>
          <cell r="T832">
            <v>2726.7449480375353</v>
          </cell>
          <cell r="U832">
            <v>2730.1557257957747</v>
          </cell>
          <cell r="V832">
            <v>2731.8264773652722</v>
          </cell>
          <cell r="W832">
            <v>2733.3158218273629</v>
          </cell>
          <cell r="X832">
            <v>2733.3158218273629</v>
          </cell>
          <cell r="Y832">
            <v>2733.3158218273629</v>
          </cell>
          <cell r="Z832">
            <v>2733.3158218273629</v>
          </cell>
          <cell r="AB832">
            <v>45.478712808157368</v>
          </cell>
          <cell r="AF832">
            <v>0.40115867016377843</v>
          </cell>
          <cell r="AG832">
            <v>0.26521554647620627</v>
          </cell>
        </row>
        <row r="833">
          <cell r="A833" t="str">
            <v>TLMPHVE15</v>
          </cell>
          <cell r="D833">
            <v>2015</v>
          </cell>
          <cell r="P833">
            <v>0</v>
          </cell>
          <cell r="Q833">
            <v>2496.2957868406688</v>
          </cell>
          <cell r="R833">
            <v>2585.1031260676318</v>
          </cell>
          <cell r="S833">
            <v>2647.0676384842213</v>
          </cell>
          <cell r="T833">
            <v>2726.7449480375353</v>
          </cell>
          <cell r="U833">
            <v>2730.1557257957747</v>
          </cell>
          <cell r="V833">
            <v>2731.8264773652722</v>
          </cell>
          <cell r="W833">
            <v>2733.3158218273629</v>
          </cell>
          <cell r="X833">
            <v>2733.3158218273629</v>
          </cell>
          <cell r="Y833">
            <v>2733.3158218273629</v>
          </cell>
          <cell r="Z833">
            <v>2733.3158218273629</v>
          </cell>
          <cell r="AB833">
            <v>45.478712808157368</v>
          </cell>
          <cell r="AF833" t="e">
            <v>#DIV/0!</v>
          </cell>
          <cell r="AG833">
            <v>0.26521554647620627</v>
          </cell>
        </row>
        <row r="834">
          <cell r="A834" t="str">
            <v>TLMPHVE20</v>
          </cell>
          <cell r="D834">
            <v>2020</v>
          </cell>
          <cell r="P834">
            <v>0</v>
          </cell>
          <cell r="Q834">
            <v>2496.2957868406688</v>
          </cell>
          <cell r="R834">
            <v>2585.1031260676318</v>
          </cell>
          <cell r="S834">
            <v>2647.0676384842213</v>
          </cell>
          <cell r="T834">
            <v>2726.7449480375353</v>
          </cell>
          <cell r="U834">
            <v>2730.1557257957747</v>
          </cell>
          <cell r="V834">
            <v>2731.8264773652722</v>
          </cell>
          <cell r="W834">
            <v>2733.3158218273629</v>
          </cell>
          <cell r="X834">
            <v>2733.3158218273629</v>
          </cell>
          <cell r="Y834">
            <v>2733.3158218273629</v>
          </cell>
          <cell r="Z834">
            <v>2733.3158218273629</v>
          </cell>
          <cell r="AB834">
            <v>45.478712808157368</v>
          </cell>
          <cell r="AF834">
            <v>0.38799032727875232</v>
          </cell>
          <cell r="AG834">
            <v>0.26521554647620627</v>
          </cell>
        </row>
        <row r="835">
          <cell r="A835" t="str">
            <v>TLMPHVE25</v>
          </cell>
          <cell r="D835">
            <v>2025</v>
          </cell>
          <cell r="P835">
            <v>0</v>
          </cell>
          <cell r="Q835">
            <v>2496.2957868406688</v>
          </cell>
          <cell r="R835">
            <v>2585.1031260676318</v>
          </cell>
          <cell r="S835">
            <v>2647.0676384842213</v>
          </cell>
          <cell r="T835">
            <v>2726.7449480375353</v>
          </cell>
          <cell r="U835">
            <v>2730.1557257957747</v>
          </cell>
          <cell r="V835">
            <v>2731.8264773652722</v>
          </cell>
          <cell r="W835">
            <v>2733.3158218273629</v>
          </cell>
          <cell r="X835">
            <v>2733.3158218273629</v>
          </cell>
          <cell r="Y835">
            <v>2733.3158218273629</v>
          </cell>
          <cell r="Z835">
            <v>2733.3158218273629</v>
          </cell>
          <cell r="AB835">
            <v>45.478712808157368</v>
          </cell>
          <cell r="AF835">
            <v>0.4648067859635327</v>
          </cell>
          <cell r="AG835">
            <v>0.26521554647620627</v>
          </cell>
        </row>
        <row r="836">
          <cell r="A836" t="str">
            <v>TLMPHVE30</v>
          </cell>
          <cell r="D836">
            <v>2030</v>
          </cell>
          <cell r="P836">
            <v>0</v>
          </cell>
          <cell r="Q836">
            <v>2496.2957868406688</v>
          </cell>
          <cell r="R836">
            <v>2585.1031260676318</v>
          </cell>
          <cell r="S836">
            <v>2647.0676384842213</v>
          </cell>
          <cell r="T836">
            <v>2726.7449480375353</v>
          </cell>
          <cell r="U836">
            <v>2730.1557257957747</v>
          </cell>
          <cell r="V836">
            <v>2731.8264773652722</v>
          </cell>
          <cell r="W836">
            <v>2733.3158218273629</v>
          </cell>
          <cell r="X836">
            <v>2733.3158218273629</v>
          </cell>
          <cell r="Y836">
            <v>2733.3158218273629</v>
          </cell>
          <cell r="Z836">
            <v>2733.3158218273629</v>
          </cell>
          <cell r="AB836">
            <v>45.478712808157368</v>
          </cell>
          <cell r="AF836">
            <v>0.47009757088285192</v>
          </cell>
          <cell r="AG836">
            <v>0.26521554647620627</v>
          </cell>
        </row>
        <row r="837">
          <cell r="A837" t="str">
            <v>TLMPHVE35</v>
          </cell>
          <cell r="D837">
            <v>2035</v>
          </cell>
          <cell r="P837">
            <v>0</v>
          </cell>
          <cell r="Q837">
            <v>2496.2957868406688</v>
          </cell>
          <cell r="R837">
            <v>2585.1031260676318</v>
          </cell>
          <cell r="S837">
            <v>2647.0676384842213</v>
          </cell>
          <cell r="T837">
            <v>2726.7449480375353</v>
          </cell>
          <cell r="U837">
            <v>2730.1557257957747</v>
          </cell>
          <cell r="V837">
            <v>2731.8264773652722</v>
          </cell>
          <cell r="W837">
            <v>2733.3158218273629</v>
          </cell>
          <cell r="X837">
            <v>2733.3158218273629</v>
          </cell>
          <cell r="Y837">
            <v>2733.3158218273629</v>
          </cell>
          <cell r="Z837">
            <v>2733.3158218273629</v>
          </cell>
          <cell r="AB837">
            <v>45.478712808157368</v>
          </cell>
          <cell r="AF837">
            <v>0.47376170789496153</v>
          </cell>
          <cell r="AG837">
            <v>0.26521554647620627</v>
          </cell>
        </row>
        <row r="838">
          <cell r="A838" t="str">
            <v>TLMPHVE40</v>
          </cell>
          <cell r="D838">
            <v>2040</v>
          </cell>
          <cell r="P838">
            <v>0</v>
          </cell>
          <cell r="Q838">
            <v>2496.2957868406688</v>
          </cell>
          <cell r="R838">
            <v>2585.1031260676318</v>
          </cell>
          <cell r="S838">
            <v>2647.0676384842213</v>
          </cell>
          <cell r="T838">
            <v>2726.7449480375353</v>
          </cell>
          <cell r="U838">
            <v>2730.1557257957747</v>
          </cell>
          <cell r="V838">
            <v>2731.8264773652722</v>
          </cell>
          <cell r="W838">
            <v>2733.3158218273629</v>
          </cell>
          <cell r="X838">
            <v>2733.3158218273629</v>
          </cell>
          <cell r="Y838">
            <v>2733.3158218273629</v>
          </cell>
          <cell r="Z838">
            <v>2733.3158218273629</v>
          </cell>
          <cell r="AB838">
            <v>45.478712808157368</v>
          </cell>
          <cell r="AF838">
            <v>0.47526394266736299</v>
          </cell>
          <cell r="AG838">
            <v>0.26521554647620627</v>
          </cell>
        </row>
        <row r="839">
          <cell r="A839" t="str">
            <v>TLMPHVE45</v>
          </cell>
          <cell r="D839">
            <v>2045</v>
          </cell>
          <cell r="P839">
            <v>0</v>
          </cell>
          <cell r="Q839">
            <v>2496.2957868406688</v>
          </cell>
          <cell r="R839">
            <v>2585.1031260676318</v>
          </cell>
          <cell r="S839">
            <v>2647.0676384842213</v>
          </cell>
          <cell r="T839">
            <v>2726.7449480375353</v>
          </cell>
          <cell r="U839">
            <v>2730.1557257957747</v>
          </cell>
          <cell r="V839">
            <v>2731.8264773652722</v>
          </cell>
          <cell r="W839">
            <v>2733.3158218273629</v>
          </cell>
          <cell r="X839">
            <v>2733.3158218273629</v>
          </cell>
          <cell r="Y839">
            <v>2733.3158218273629</v>
          </cell>
          <cell r="Z839">
            <v>2733.3158218273629</v>
          </cell>
          <cell r="AB839">
            <v>45.478712808157368</v>
          </cell>
          <cell r="AF839">
            <v>0.47526394266736299</v>
          </cell>
          <cell r="AG839">
            <v>0.26521554647620627</v>
          </cell>
        </row>
        <row r="840">
          <cell r="A840" t="str">
            <v>TLMPHVE50</v>
          </cell>
          <cell r="D840">
            <v>2050</v>
          </cell>
          <cell r="P840">
            <v>0</v>
          </cell>
          <cell r="Q840">
            <v>2496.2957868406688</v>
          </cell>
          <cell r="R840">
            <v>2585.1031260676318</v>
          </cell>
          <cell r="S840">
            <v>2647.0676384842213</v>
          </cell>
          <cell r="T840">
            <v>2726.7449480375353</v>
          </cell>
          <cell r="U840">
            <v>2730.1557257957747</v>
          </cell>
          <cell r="V840">
            <v>2731.8264773652722</v>
          </cell>
          <cell r="W840">
            <v>2733.3158218273629</v>
          </cell>
          <cell r="X840">
            <v>2733.3158218273629</v>
          </cell>
          <cell r="Y840">
            <v>2733.3158218273629</v>
          </cell>
          <cell r="Z840">
            <v>2733.3158218273629</v>
          </cell>
          <cell r="AB840">
            <v>45.478712808157368</v>
          </cell>
          <cell r="AF840">
            <v>0.47526394266736299</v>
          </cell>
          <cell r="AG840">
            <v>0.26521554647620627</v>
          </cell>
        </row>
        <row r="841">
          <cell r="A841" t="str">
            <v>TLLSPHVE10</v>
          </cell>
          <cell r="D841">
            <v>2010</v>
          </cell>
          <cell r="P841">
            <v>0</v>
          </cell>
          <cell r="Q841">
            <v>3256.5242836499638</v>
          </cell>
          <cell r="R841">
            <v>3295.5447569242451</v>
          </cell>
          <cell r="S841">
            <v>3376.9815069922383</v>
          </cell>
          <cell r="T841">
            <v>3464.8471238125708</v>
          </cell>
          <cell r="U841">
            <v>3472.2436416663609</v>
          </cell>
          <cell r="V841">
            <v>3473.8136241232214</v>
          </cell>
          <cell r="W841">
            <v>3475.1979474860773</v>
          </cell>
          <cell r="X841">
            <v>3475.1979474860773</v>
          </cell>
          <cell r="Y841">
            <v>3475.1979474860773</v>
          </cell>
          <cell r="Z841">
            <v>3475.1979474860773</v>
          </cell>
          <cell r="AB841">
            <v>45.478712808157368</v>
          </cell>
          <cell r="AF841">
            <v>0.35815460649870839</v>
          </cell>
          <cell r="AG841">
            <v>0.26521554647620627</v>
          </cell>
        </row>
        <row r="842">
          <cell r="A842" t="str">
            <v>TLLSPHVE15</v>
          </cell>
          <cell r="D842">
            <v>2015</v>
          </cell>
          <cell r="P842">
            <v>0</v>
          </cell>
          <cell r="Q842">
            <v>3256.5242836499638</v>
          </cell>
          <cell r="R842">
            <v>3295.5447569242451</v>
          </cell>
          <cell r="S842">
            <v>3376.9815069922383</v>
          </cell>
          <cell r="T842">
            <v>3464.8471238125708</v>
          </cell>
          <cell r="U842">
            <v>3472.2436416663609</v>
          </cell>
          <cell r="V842">
            <v>3473.8136241232214</v>
          </cell>
          <cell r="W842">
            <v>3475.1979474860773</v>
          </cell>
          <cell r="X842">
            <v>3475.1979474860773</v>
          </cell>
          <cell r="Y842">
            <v>3475.1979474860773</v>
          </cell>
          <cell r="Z842">
            <v>3475.1979474860773</v>
          </cell>
          <cell r="AB842">
            <v>45.478712808157368</v>
          </cell>
          <cell r="AF842">
            <v>0.33581478808435256</v>
          </cell>
          <cell r="AG842">
            <v>0.26521554647620627</v>
          </cell>
        </row>
        <row r="843">
          <cell r="A843" t="str">
            <v>TLLSPHVE20</v>
          </cell>
          <cell r="D843">
            <v>2020</v>
          </cell>
          <cell r="P843">
            <v>0</v>
          </cell>
          <cell r="Q843">
            <v>3256.5242836499638</v>
          </cell>
          <cell r="R843">
            <v>3295.5447569242451</v>
          </cell>
          <cell r="S843">
            <v>3376.9815069922383</v>
          </cell>
          <cell r="T843">
            <v>3464.8471238125708</v>
          </cell>
          <cell r="U843">
            <v>3472.2436416663609</v>
          </cell>
          <cell r="V843">
            <v>3473.8136241232214</v>
          </cell>
          <cell r="W843">
            <v>3475.1979474860773</v>
          </cell>
          <cell r="X843">
            <v>3475.1979474860773</v>
          </cell>
          <cell r="Y843">
            <v>3475.1979474860773</v>
          </cell>
          <cell r="Z843">
            <v>3475.1979474860773</v>
          </cell>
          <cell r="AB843">
            <v>45.478712808157368</v>
          </cell>
          <cell r="AF843">
            <v>0.38924064058083058</v>
          </cell>
          <cell r="AG843">
            <v>0.26521554647620627</v>
          </cell>
        </row>
        <row r="844">
          <cell r="A844" t="str">
            <v>TLLSPHVE25</v>
          </cell>
          <cell r="D844">
            <v>2025</v>
          </cell>
          <cell r="P844">
            <v>0</v>
          </cell>
          <cell r="Q844">
            <v>3256.5242836499638</v>
          </cell>
          <cell r="R844">
            <v>3295.5447569242451</v>
          </cell>
          <cell r="S844">
            <v>3376.9815069922383</v>
          </cell>
          <cell r="T844">
            <v>3464.8471238125708</v>
          </cell>
          <cell r="U844">
            <v>3472.2436416663609</v>
          </cell>
          <cell r="V844">
            <v>3473.8136241232214</v>
          </cell>
          <cell r="W844">
            <v>3475.1979474860773</v>
          </cell>
          <cell r="X844">
            <v>3475.1979474860773</v>
          </cell>
          <cell r="Y844">
            <v>3475.1979474860773</v>
          </cell>
          <cell r="Z844">
            <v>3475.1979474860773</v>
          </cell>
          <cell r="AB844">
            <v>45.478712808157368</v>
          </cell>
          <cell r="AF844">
            <v>0.47533762779082767</v>
          </cell>
          <cell r="AG844">
            <v>0.26521554647620627</v>
          </cell>
        </row>
        <row r="845">
          <cell r="A845" t="str">
            <v>TLLSPHVE30</v>
          </cell>
          <cell r="D845">
            <v>2030</v>
          </cell>
          <cell r="P845">
            <v>0</v>
          </cell>
          <cell r="Q845">
            <v>3256.5242836499638</v>
          </cell>
          <cell r="R845">
            <v>3295.5447569242451</v>
          </cell>
          <cell r="S845">
            <v>3376.9815069922383</v>
          </cell>
          <cell r="T845">
            <v>3464.8471238125708</v>
          </cell>
          <cell r="U845">
            <v>3472.2436416663609</v>
          </cell>
          <cell r="V845">
            <v>3473.8136241232214</v>
          </cell>
          <cell r="W845">
            <v>3475.1979474860773</v>
          </cell>
          <cell r="X845">
            <v>3475.1979474860773</v>
          </cell>
          <cell r="Y845">
            <v>3475.1979474860773</v>
          </cell>
          <cell r="Z845">
            <v>3475.1979474860773</v>
          </cell>
          <cell r="AB845">
            <v>45.478712808157368</v>
          </cell>
          <cell r="AF845">
            <v>0.4843220422383524</v>
          </cell>
          <cell r="AG845">
            <v>0.26521554647620627</v>
          </cell>
        </row>
        <row r="846">
          <cell r="A846" t="str">
            <v>TLLSPHVE35</v>
          </cell>
          <cell r="D846">
            <v>2035</v>
          </cell>
          <cell r="P846">
            <v>0</v>
          </cell>
          <cell r="Q846">
            <v>3256.5242836499638</v>
          </cell>
          <cell r="R846">
            <v>3295.5447569242451</v>
          </cell>
          <cell r="S846">
            <v>3376.9815069922383</v>
          </cell>
          <cell r="T846">
            <v>3464.8471238125708</v>
          </cell>
          <cell r="U846">
            <v>3472.2436416663609</v>
          </cell>
          <cell r="V846">
            <v>3473.8136241232214</v>
          </cell>
          <cell r="W846">
            <v>3475.1979474860773</v>
          </cell>
          <cell r="X846">
            <v>3475.1979474860773</v>
          </cell>
          <cell r="Y846">
            <v>3475.1979474860773</v>
          </cell>
          <cell r="Z846">
            <v>3475.1979474860773</v>
          </cell>
          <cell r="AB846">
            <v>45.478712808157368</v>
          </cell>
          <cell r="AF846">
            <v>0.48751509396548387</v>
          </cell>
          <cell r="AG846">
            <v>0.26521554647620627</v>
          </cell>
        </row>
        <row r="847">
          <cell r="A847" t="str">
            <v>TLLSPHVE40</v>
          </cell>
          <cell r="D847">
            <v>2040</v>
          </cell>
          <cell r="P847">
            <v>0</v>
          </cell>
          <cell r="Q847">
            <v>3256.5242836499638</v>
          </cell>
          <cell r="R847">
            <v>3295.5447569242451</v>
          </cell>
          <cell r="S847">
            <v>3376.9815069922383</v>
          </cell>
          <cell r="T847">
            <v>3464.8471238125708</v>
          </cell>
          <cell r="U847">
            <v>3472.2436416663609</v>
          </cell>
          <cell r="V847">
            <v>3473.8136241232214</v>
          </cell>
          <cell r="W847">
            <v>3475.1979474860773</v>
          </cell>
          <cell r="X847">
            <v>3475.1979474860773</v>
          </cell>
          <cell r="Y847">
            <v>3475.1979474860773</v>
          </cell>
          <cell r="Z847">
            <v>3475.1979474860773</v>
          </cell>
          <cell r="AB847">
            <v>45.478712808157368</v>
          </cell>
          <cell r="AF847">
            <v>0.48864757682680604</v>
          </cell>
          <cell r="AG847">
            <v>0.26521554647620627</v>
          </cell>
        </row>
        <row r="848">
          <cell r="A848" t="str">
            <v>TLLSPHVE45</v>
          </cell>
          <cell r="D848">
            <v>2045</v>
          </cell>
          <cell r="P848">
            <v>0</v>
          </cell>
          <cell r="Q848">
            <v>3256.5242836499638</v>
          </cell>
          <cell r="R848">
            <v>3295.5447569242451</v>
          </cell>
          <cell r="S848">
            <v>3376.9815069922383</v>
          </cell>
          <cell r="T848">
            <v>3464.8471238125708</v>
          </cell>
          <cell r="U848">
            <v>3472.2436416663609</v>
          </cell>
          <cell r="V848">
            <v>3473.8136241232214</v>
          </cell>
          <cell r="W848">
            <v>3475.1979474860773</v>
          </cell>
          <cell r="X848">
            <v>3475.1979474860773</v>
          </cell>
          <cell r="Y848">
            <v>3475.1979474860773</v>
          </cell>
          <cell r="Z848">
            <v>3475.1979474860773</v>
          </cell>
          <cell r="AB848">
            <v>45.478712808157368</v>
          </cell>
          <cell r="AF848">
            <v>0.48864757682680604</v>
          </cell>
          <cell r="AG848">
            <v>0.26521554647620627</v>
          </cell>
        </row>
        <row r="849">
          <cell r="A849" t="str">
            <v>TLLSPHVE50</v>
          </cell>
          <cell r="D849">
            <v>2050</v>
          </cell>
          <cell r="P849">
            <v>0</v>
          </cell>
          <cell r="Q849">
            <v>3256.5242836499638</v>
          </cell>
          <cell r="R849">
            <v>3295.5447569242451</v>
          </cell>
          <cell r="S849">
            <v>3376.9815069922383</v>
          </cell>
          <cell r="T849">
            <v>3464.8471238125708</v>
          </cell>
          <cell r="U849">
            <v>3472.2436416663609</v>
          </cell>
          <cell r="V849">
            <v>3473.8136241232214</v>
          </cell>
          <cell r="W849">
            <v>3475.1979474860773</v>
          </cell>
          <cell r="X849">
            <v>3475.1979474860773</v>
          </cell>
          <cell r="Y849">
            <v>3475.1979474860773</v>
          </cell>
          <cell r="Z849">
            <v>3475.1979474860773</v>
          </cell>
          <cell r="AB849">
            <v>45.478712808157368</v>
          </cell>
          <cell r="AF849">
            <v>0.48864757682680604</v>
          </cell>
          <cell r="AG849">
            <v>0.26521554647620627</v>
          </cell>
        </row>
        <row r="850">
          <cell r="A850" t="str">
            <v>TLSSPHVE10</v>
          </cell>
          <cell r="D850">
            <v>2010</v>
          </cell>
          <cell r="P850">
            <v>0</v>
          </cell>
          <cell r="Q850">
            <v>2342.9093754714131</v>
          </cell>
          <cell r="R850">
            <v>2461.6833636540528</v>
          </cell>
          <cell r="S850">
            <v>2526.7995235617504</v>
          </cell>
          <cell r="T850">
            <v>2602.337025411915</v>
          </cell>
          <cell r="U850">
            <v>2607.2103937501888</v>
          </cell>
          <cell r="V850">
            <v>2609.242695148776</v>
          </cell>
          <cell r="W850">
            <v>2611.0661483545427</v>
          </cell>
          <cell r="X850">
            <v>2611.0661483545427</v>
          </cell>
          <cell r="Y850">
            <v>2611.0661483545427</v>
          </cell>
          <cell r="Z850">
            <v>2611.0661483545427</v>
          </cell>
          <cell r="AB850">
            <v>45.478712808157368</v>
          </cell>
          <cell r="AF850">
            <v>0.43751168160946269</v>
          </cell>
          <cell r="AG850">
            <v>0.26521554647620627</v>
          </cell>
        </row>
        <row r="851">
          <cell r="A851" t="str">
            <v>TLSSPHVE15</v>
          </cell>
          <cell r="D851">
            <v>2015</v>
          </cell>
          <cell r="P851">
            <v>0</v>
          </cell>
          <cell r="Q851">
            <v>2342.9093754714131</v>
          </cell>
          <cell r="R851">
            <v>2461.6833636540528</v>
          </cell>
          <cell r="S851">
            <v>2526.7995235617504</v>
          </cell>
          <cell r="T851">
            <v>2602.337025411915</v>
          </cell>
          <cell r="U851">
            <v>2607.2103937501888</v>
          </cell>
          <cell r="V851">
            <v>2609.242695148776</v>
          </cell>
          <cell r="W851">
            <v>2611.0661483545427</v>
          </cell>
          <cell r="X851">
            <v>2611.0661483545427</v>
          </cell>
          <cell r="Y851">
            <v>2611.0661483545427</v>
          </cell>
          <cell r="Z851">
            <v>2611.0661483545427</v>
          </cell>
          <cell r="AB851">
            <v>45.478712808157368</v>
          </cell>
          <cell r="AF851">
            <v>0.39397901418046888</v>
          </cell>
          <cell r="AG851">
            <v>0.26521554647620627</v>
          </cell>
        </row>
        <row r="852">
          <cell r="A852" t="str">
            <v>TLSSPHVE20</v>
          </cell>
          <cell r="D852">
            <v>2020</v>
          </cell>
          <cell r="P852">
            <v>0</v>
          </cell>
          <cell r="Q852">
            <v>2342.9093754714131</v>
          </cell>
          <cell r="R852">
            <v>2461.6833636540528</v>
          </cell>
          <cell r="S852">
            <v>2526.7995235617504</v>
          </cell>
          <cell r="T852">
            <v>2602.337025411915</v>
          </cell>
          <cell r="U852">
            <v>2607.2103937501888</v>
          </cell>
          <cell r="V852">
            <v>2609.242695148776</v>
          </cell>
          <cell r="W852">
            <v>2611.0661483545427</v>
          </cell>
          <cell r="X852">
            <v>2611.0661483545427</v>
          </cell>
          <cell r="Y852">
            <v>2611.0661483545427</v>
          </cell>
          <cell r="Z852">
            <v>2611.0661483545427</v>
          </cell>
          <cell r="AB852">
            <v>45.478712808157368</v>
          </cell>
          <cell r="AF852">
            <v>0.44210643803631444</v>
          </cell>
          <cell r="AG852">
            <v>0.26521554647620627</v>
          </cell>
        </row>
        <row r="853">
          <cell r="A853" t="str">
            <v>TLSSPHVE25</v>
          </cell>
          <cell r="D853">
            <v>2025</v>
          </cell>
          <cell r="P853">
            <v>0</v>
          </cell>
          <cell r="Q853">
            <v>2342.9093754714131</v>
          </cell>
          <cell r="R853">
            <v>2461.6833636540528</v>
          </cell>
          <cell r="S853">
            <v>2526.7995235617504</v>
          </cell>
          <cell r="T853">
            <v>2602.337025411915</v>
          </cell>
          <cell r="U853">
            <v>2607.2103937501888</v>
          </cell>
          <cell r="V853">
            <v>2609.242695148776</v>
          </cell>
          <cell r="W853">
            <v>2611.0661483545427</v>
          </cell>
          <cell r="X853">
            <v>2611.0661483545427</v>
          </cell>
          <cell r="Y853">
            <v>2611.0661483545427</v>
          </cell>
          <cell r="Z853">
            <v>2611.0661483545427</v>
          </cell>
          <cell r="AB853">
            <v>45.478712808157368</v>
          </cell>
          <cell r="AF853">
            <v>0.52273292568483631</v>
          </cell>
          <cell r="AG853">
            <v>0.26521554647620627</v>
          </cell>
        </row>
        <row r="854">
          <cell r="A854" t="str">
            <v>TLSSPHVE30</v>
          </cell>
          <cell r="D854">
            <v>2030</v>
          </cell>
          <cell r="P854">
            <v>0</v>
          </cell>
          <cell r="Q854">
            <v>2342.9093754714131</v>
          </cell>
          <cell r="R854">
            <v>2461.6833636540528</v>
          </cell>
          <cell r="S854">
            <v>2526.7995235617504</v>
          </cell>
          <cell r="T854">
            <v>2602.337025411915</v>
          </cell>
          <cell r="U854">
            <v>2607.2103937501888</v>
          </cell>
          <cell r="V854">
            <v>2609.242695148776</v>
          </cell>
          <cell r="W854">
            <v>2611.0661483545427</v>
          </cell>
          <cell r="X854">
            <v>2611.0661483545427</v>
          </cell>
          <cell r="Y854">
            <v>2611.0661483545427</v>
          </cell>
          <cell r="Z854">
            <v>2611.0661483545427</v>
          </cell>
          <cell r="AB854">
            <v>45.478712808157368</v>
          </cell>
          <cell r="AF854">
            <v>0.52481932432193601</v>
          </cell>
          <cell r="AG854">
            <v>0.26521554647620627</v>
          </cell>
        </row>
        <row r="855">
          <cell r="A855" t="str">
            <v>TLSSPHVE35</v>
          </cell>
          <cell r="D855">
            <v>2035</v>
          </cell>
          <cell r="P855">
            <v>0</v>
          </cell>
          <cell r="Q855">
            <v>2342.9093754714131</v>
          </cell>
          <cell r="R855">
            <v>2461.6833636540528</v>
          </cell>
          <cell r="S855">
            <v>2526.7995235617504</v>
          </cell>
          <cell r="T855">
            <v>2602.337025411915</v>
          </cell>
          <cell r="U855">
            <v>2607.2103937501888</v>
          </cell>
          <cell r="V855">
            <v>2609.242695148776</v>
          </cell>
          <cell r="W855">
            <v>2611.0661483545427</v>
          </cell>
          <cell r="X855">
            <v>2611.0661483545427</v>
          </cell>
          <cell r="Y855">
            <v>2611.0661483545427</v>
          </cell>
          <cell r="Z855">
            <v>2611.0661483545427</v>
          </cell>
          <cell r="AB855">
            <v>45.478712808157368</v>
          </cell>
          <cell r="AF855">
            <v>0.52476440303045857</v>
          </cell>
          <cell r="AG855">
            <v>0.26521554647620627</v>
          </cell>
        </row>
        <row r="856">
          <cell r="A856" t="str">
            <v>TLSSPHVE40</v>
          </cell>
          <cell r="D856">
            <v>2040</v>
          </cell>
          <cell r="P856">
            <v>0</v>
          </cell>
          <cell r="Q856">
            <v>2342.9093754714131</v>
          </cell>
          <cell r="R856">
            <v>2461.6833636540528</v>
          </cell>
          <cell r="S856">
            <v>2526.7995235617504</v>
          </cell>
          <cell r="T856">
            <v>2602.337025411915</v>
          </cell>
          <cell r="U856">
            <v>2607.2103937501888</v>
          </cell>
          <cell r="V856">
            <v>2609.242695148776</v>
          </cell>
          <cell r="W856">
            <v>2611.0661483545427</v>
          </cell>
          <cell r="X856">
            <v>2611.0661483545427</v>
          </cell>
          <cell r="Y856">
            <v>2611.0661483545427</v>
          </cell>
          <cell r="Z856">
            <v>2611.0661483545427</v>
          </cell>
          <cell r="AB856">
            <v>45.478712808157368</v>
          </cell>
          <cell r="AF856">
            <v>0.52422002807284751</v>
          </cell>
          <cell r="AG856">
            <v>0.26521554647620627</v>
          </cell>
        </row>
        <row r="857">
          <cell r="A857" t="str">
            <v>TLSSPHVE45</v>
          </cell>
          <cell r="D857">
            <v>2045</v>
          </cell>
          <cell r="P857">
            <v>0</v>
          </cell>
          <cell r="Q857">
            <v>2342.9093754714131</v>
          </cell>
          <cell r="R857">
            <v>2461.6833636540528</v>
          </cell>
          <cell r="S857">
            <v>2526.7995235617504</v>
          </cell>
          <cell r="T857">
            <v>2602.337025411915</v>
          </cell>
          <cell r="U857">
            <v>2607.2103937501888</v>
          </cell>
          <cell r="V857">
            <v>2609.242695148776</v>
          </cell>
          <cell r="W857">
            <v>2611.0661483545427</v>
          </cell>
          <cell r="X857">
            <v>2611.0661483545427</v>
          </cell>
          <cell r="Y857">
            <v>2611.0661483545427</v>
          </cell>
          <cell r="Z857">
            <v>2611.0661483545427</v>
          </cell>
          <cell r="AB857">
            <v>45.478712808157368</v>
          </cell>
          <cell r="AF857">
            <v>0.52422002807284751</v>
          </cell>
          <cell r="AG857">
            <v>0.26521554647620627</v>
          </cell>
        </row>
        <row r="858">
          <cell r="A858" t="str">
            <v>TLSSPHVE50</v>
          </cell>
          <cell r="D858">
            <v>2050</v>
          </cell>
          <cell r="P858">
            <v>0</v>
          </cell>
          <cell r="Q858">
            <v>2342.9093754714131</v>
          </cell>
          <cell r="R858">
            <v>2461.6833636540528</v>
          </cell>
          <cell r="S858">
            <v>2526.7995235617504</v>
          </cell>
          <cell r="T858">
            <v>2602.337025411915</v>
          </cell>
          <cell r="U858">
            <v>2607.2103937501888</v>
          </cell>
          <cell r="V858">
            <v>2609.242695148776</v>
          </cell>
          <cell r="W858">
            <v>2611.0661483545427</v>
          </cell>
          <cell r="X858">
            <v>2611.0661483545427</v>
          </cell>
          <cell r="Y858">
            <v>2611.0661483545427</v>
          </cell>
          <cell r="Z858">
            <v>2611.0661483545427</v>
          </cell>
          <cell r="AB858">
            <v>45.478712808157368</v>
          </cell>
          <cell r="AF858">
            <v>0.52422002807284751</v>
          </cell>
          <cell r="AG858">
            <v>0.26521554647620627</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9">
          <cell r="B29">
            <v>2438.6176066309772</v>
          </cell>
          <cell r="C29">
            <v>1557.1787585962647</v>
          </cell>
          <cell r="D29">
            <v>675.73991056155228</v>
          </cell>
          <cell r="E29">
            <v>499.48812514975742</v>
          </cell>
          <cell r="F29">
            <v>323.23633973796262</v>
          </cell>
          <cell r="P29">
            <v>1.3235150950544967</v>
          </cell>
          <cell r="Q29">
            <v>1.3652265066917013</v>
          </cell>
          <cell r="R29">
            <v>1.409652595909064</v>
          </cell>
          <cell r="S29">
            <v>1.4284627752649905</v>
          </cell>
          <cell r="T29">
            <v>1.4477817438887612</v>
          </cell>
        </row>
        <row r="30">
          <cell r="B30">
            <v>2297.8551177913796</v>
          </cell>
          <cell r="C30">
            <v>1497.9375393066757</v>
          </cell>
          <cell r="D30">
            <v>698.01996082197195</v>
          </cell>
          <cell r="E30">
            <v>537.87883135888137</v>
          </cell>
          <cell r="F30">
            <v>377.73770189579091</v>
          </cell>
          <cell r="P30">
            <v>1.4611286624657716</v>
          </cell>
          <cell r="Q30">
            <v>1.5051139142418222</v>
          </cell>
          <cell r="R30">
            <v>1.5518295916885687</v>
          </cell>
          <cell r="S30">
            <v>1.5732056597499269</v>
          </cell>
          <cell r="T30">
            <v>1.5951788531453246</v>
          </cell>
        </row>
        <row r="31">
          <cell r="B31">
            <v>2608.4817236194199</v>
          </cell>
          <cell r="C31">
            <v>1695.4090064983368</v>
          </cell>
          <cell r="D31">
            <v>782.33628937725371</v>
          </cell>
          <cell r="E31">
            <v>597.65845586909427</v>
          </cell>
          <cell r="F31">
            <v>412.98062236093477</v>
          </cell>
          <cell r="P31">
            <v>1.2760261295196211</v>
          </cell>
          <cell r="Q31">
            <v>1.3088146071945297</v>
          </cell>
          <cell r="R31">
            <v>1.3433325760357377</v>
          </cell>
          <cell r="S31">
            <v>1.3620417964102742</v>
          </cell>
          <cell r="T31">
            <v>1.3812795216243592</v>
          </cell>
        </row>
        <row r="32">
          <cell r="B32">
            <v>3846.1647525931462</v>
          </cell>
          <cell r="C32">
            <v>2537.6340724600814</v>
          </cell>
          <cell r="D32">
            <v>1229.1033923270165</v>
          </cell>
          <cell r="E32">
            <v>957.70331077150081</v>
          </cell>
          <cell r="F32">
            <v>686.30322921598497</v>
          </cell>
          <cell r="P32">
            <v>0.8832184734237607</v>
          </cell>
          <cell r="Q32">
            <v>0.89770600943863355</v>
          </cell>
          <cell r="R32">
            <v>0.91267675306300711</v>
          </cell>
          <cell r="S32">
            <v>0.92046411429295827</v>
          </cell>
          <cell r="T32">
            <v>0.92838550957275678</v>
          </cell>
        </row>
        <row r="33">
          <cell r="B33">
            <v>4060.2941971451569</v>
          </cell>
          <cell r="C33">
            <v>2650.3204294999659</v>
          </cell>
          <cell r="D33">
            <v>1240.3466618547752</v>
          </cell>
          <cell r="E33">
            <v>943.02716656023506</v>
          </cell>
          <cell r="F33">
            <v>645.70767126569467</v>
          </cell>
          <cell r="P33">
            <v>0.82089890076834027</v>
          </cell>
          <cell r="Q33">
            <v>0.83166919913010551</v>
          </cell>
          <cell r="R33">
            <v>0.84272587011581468</v>
          </cell>
          <cell r="S33">
            <v>0.8493917911889115</v>
          </cell>
          <cell r="T33">
            <v>0.85616400728021524</v>
          </cell>
        </row>
        <row r="34">
          <cell r="B34">
            <v>3470.4744524616517</v>
          </cell>
          <cell r="C34">
            <v>2298.2556199953947</v>
          </cell>
          <cell r="D34">
            <v>1126.0367875291383</v>
          </cell>
          <cell r="E34">
            <v>881.55217795547776</v>
          </cell>
          <cell r="F34">
            <v>637.06756838181718</v>
          </cell>
          <cell r="P34">
            <v>0.98468385847582607</v>
          </cell>
          <cell r="Q34">
            <v>0.99869637888722529</v>
          </cell>
          <cell r="R34">
            <v>1.0131134661598888</v>
          </cell>
          <cell r="S34">
            <v>1.0216002336741936</v>
          </cell>
          <cell r="T34">
            <v>1.0302303882255721</v>
          </cell>
        </row>
        <row r="35">
          <cell r="B35">
            <v>3994.9616752628667</v>
          </cell>
          <cell r="C35">
            <v>2611.8408124005077</v>
          </cell>
          <cell r="D35">
            <v>1228.7199495381487</v>
          </cell>
          <cell r="E35">
            <v>938.02216465915092</v>
          </cell>
          <cell r="F35">
            <v>647.32437978015309</v>
          </cell>
          <cell r="P35">
            <v>0.83678737128711689</v>
          </cell>
          <cell r="Q35">
            <v>0.85024014987424601</v>
          </cell>
          <cell r="R35">
            <v>0.86413254864330125</v>
          </cell>
          <cell r="S35">
            <v>0.87131505163601108</v>
          </cell>
          <cell r="T35">
            <v>0.87861795452717983</v>
          </cell>
        </row>
        <row r="39">
          <cell r="D39">
            <v>1970.2919093312037</v>
          </cell>
          <cell r="E39">
            <v>1540.6825660780078</v>
          </cell>
          <cell r="F39">
            <v>1111.0732228248119</v>
          </cell>
          <cell r="R39">
            <v>1.1723410860001759</v>
          </cell>
          <cell r="S39">
            <v>1.1879781660617574</v>
          </cell>
          <cell r="T39">
            <v>1.2040380306414125</v>
          </cell>
        </row>
        <row r="40">
          <cell r="D40">
            <v>1873.7356609700942</v>
          </cell>
          <cell r="E40">
            <v>1483.1687108558456</v>
          </cell>
          <cell r="F40">
            <v>1092.6017607415972</v>
          </cell>
          <cell r="R40">
            <v>1.2906630859995194</v>
          </cell>
          <cell r="S40">
            <v>1.3084360246733839</v>
          </cell>
          <cell r="T40">
            <v>1.3267052785238076</v>
          </cell>
        </row>
        <row r="41">
          <cell r="D41">
            <v>2140.7950379109129</v>
          </cell>
          <cell r="E41">
            <v>1689.679635888974</v>
          </cell>
          <cell r="F41">
            <v>1238.5642338670345</v>
          </cell>
          <cell r="R41">
            <v>1.1172053563906552</v>
          </cell>
          <cell r="S41">
            <v>1.132832550402227</v>
          </cell>
          <cell r="T41">
            <v>1.1489031250126804</v>
          </cell>
        </row>
        <row r="42">
          <cell r="D42">
            <v>3017.0003542635509</v>
          </cell>
          <cell r="E42">
            <v>2400.970958877786</v>
          </cell>
          <cell r="F42">
            <v>1784.9415634920215</v>
          </cell>
          <cell r="R42">
            <v>0.80902357282554938</v>
          </cell>
          <cell r="S42">
            <v>0.81591373190962568</v>
          </cell>
          <cell r="T42">
            <v>0.82292226105880739</v>
          </cell>
        </row>
        <row r="43">
          <cell r="D43">
            <v>3176.6272482867616</v>
          </cell>
          <cell r="E43">
            <v>2506.798329804531</v>
          </cell>
          <cell r="F43">
            <v>1836.9694113223004</v>
          </cell>
          <cell r="R43">
            <v>0.74699912991511896</v>
          </cell>
          <cell r="S43">
            <v>0.75289371943471217</v>
          </cell>
          <cell r="T43">
            <v>0.75888207760288495</v>
          </cell>
        </row>
        <row r="44">
          <cell r="D44">
            <v>2737.0493588083104</v>
          </cell>
          <cell r="E44">
            <v>2182.147493748294</v>
          </cell>
          <cell r="F44">
            <v>1627.2456286882766</v>
          </cell>
          <cell r="R44">
            <v>0.89800329615150942</v>
          </cell>
          <cell r="S44">
            <v>0.90555358717944356</v>
          </cell>
          <cell r="T44">
            <v>0.91323191841675089</v>
          </cell>
        </row>
        <row r="45">
          <cell r="D45">
            <v>3116.8725158269049</v>
          </cell>
          <cell r="E45">
            <v>2462.5125106332052</v>
          </cell>
          <cell r="F45">
            <v>1808.1525054395056</v>
          </cell>
          <cell r="R45">
            <v>0.76601652502968665</v>
          </cell>
          <cell r="S45">
            <v>0.77235163794227912</v>
          </cell>
          <cell r="T45">
            <v>0.77879241002982336</v>
          </cell>
        </row>
      </sheetData>
      <sheetData sheetId="37"/>
      <sheetData sheetId="38"/>
      <sheetData sheetId="39">
        <row r="50">
          <cell r="AE50">
            <v>0.82251200000000002</v>
          </cell>
          <cell r="AF50">
            <v>0.82751200000000003</v>
          </cell>
          <cell r="AG50">
            <v>0.83251200000000003</v>
          </cell>
          <cell r="AH50">
            <v>0.83751200000000003</v>
          </cell>
          <cell r="AI50">
            <v>0.83751200000000003</v>
          </cell>
        </row>
        <row r="51">
          <cell r="AE51">
            <v>0.839812</v>
          </cell>
          <cell r="AF51">
            <v>0.839812</v>
          </cell>
          <cell r="AG51">
            <v>0.839812</v>
          </cell>
          <cell r="AH51">
            <v>0.839812</v>
          </cell>
          <cell r="AI51">
            <v>0.839812</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35">
          <cell r="C35">
            <v>0.91132780461131868</v>
          </cell>
        </row>
      </sheetData>
      <sheetData sheetId="5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5626620374" createdVersion="6" refreshedVersion="6" minRefreshableVersion="3" recordCount="13" xr:uid="{00000000-000A-0000-FFFF-FFFF00000000}">
  <cacheSource type="worksheet">
    <worksheetSource ref="A1:I14" sheet="2010 GHG" r:id="rId2"/>
  </cacheSource>
  <cacheFields count="7">
    <cacheField name="GHG Emissions 2010" numFmtId="0">
      <sharedItems containsBlank="1"/>
    </cacheField>
    <cacheField name="Sector" numFmtId="0">
      <sharedItems/>
    </cacheField>
    <cacheField name="Fuel Type" numFmtId="0">
      <sharedItems count="4">
        <s v="CNG"/>
        <s v="Diesel"/>
        <s v="Electricity"/>
        <s v="Gasoline"/>
      </sharedItems>
    </cacheField>
    <cacheField name="Units" numFmtId="0">
      <sharedItems/>
    </cacheField>
    <cacheField name="Consumed" numFmtId="3">
      <sharedItems containsSemiMixedTypes="0" containsString="0" containsNumber="1" containsInteger="1" minValue="855804" maxValue="3629210490"/>
    </cacheField>
    <cacheField name="MgCO2e" numFmtId="3">
      <sharedItems containsSemiMixedTypes="0" containsString="0" containsNumber="1" containsInteger="1" minValue="13789" maxValue="7790907"/>
    </cacheField>
    <cacheField name="Source GJ" numFmtId="3">
      <sharedItems containsSemiMixedTypes="0" containsString="0" containsNumber="1" containsInteger="1" minValue="195751" maxValue="1223513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6417708331" createdVersion="6" refreshedVersion="6" minRefreshableVersion="3" recordCount="70" xr:uid="{00000000-000A-0000-FFFF-FFFF01000000}">
  <cacheSource type="worksheet">
    <worksheetSource ref="A1:F71" sheet="Fuel consumptions" r:id="rId2"/>
  </cacheSource>
  <cacheFields count="6">
    <cacheField name="GPC ID" numFmtId="0">
      <sharedItems/>
    </cacheField>
    <cacheField name="Sector" numFmtId="0">
      <sharedItems/>
    </cacheField>
    <cacheField name="Sub-Sector / Service Class" numFmtId="0">
      <sharedItems/>
    </cacheField>
    <cacheField name="FuelType" numFmtId="0">
      <sharedItems count="7">
        <s v="Gasoline"/>
        <s v="Gasoline Hybrid"/>
        <s v="Diesel"/>
        <s v="Diesel Hybrid"/>
        <s v="CNG"/>
        <s v="Electricity"/>
        <s v="Fuel Cell"/>
      </sharedItems>
    </cacheField>
    <cacheField name="Original Units" numFmtId="0">
      <sharedItems count="1">
        <s v="GJ"/>
      </sharedItems>
    </cacheField>
    <cacheField name="2010" numFmtId="179">
      <sharedItems containsSemiMixedTypes="0" containsString="0" containsNumber="1" minValue="0" maxValue="197140277.432938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transit bus"/>
    <s v="transportation"/>
    <x v="0"/>
    <s v="GJ"/>
    <n v="1420989"/>
    <n v="78637"/>
    <n v="1420989"/>
  </r>
  <r>
    <s v="commuter rail"/>
    <s v="transportation"/>
    <x v="1"/>
    <s v="liters"/>
    <n v="5064028"/>
    <n v="13789"/>
    <n v="195751"/>
  </r>
  <r>
    <s v="heavy truck"/>
    <s v="transportation"/>
    <x v="1"/>
    <s v="liters"/>
    <n v="326200350"/>
    <n v="881007"/>
    <n v="12555252"/>
  </r>
  <r>
    <s v="light truck"/>
    <s v="transportation"/>
    <x v="1"/>
    <s v="light"/>
    <n v="35234181"/>
    <n v="95080"/>
    <n v="1356142"/>
  </r>
  <r>
    <s v="non-transit bus"/>
    <s v="transportation"/>
    <x v="1"/>
    <s v="liters"/>
    <n v="7545275"/>
    <n v="20391"/>
    <n v="290413"/>
  </r>
  <r>
    <s v="passenger cars"/>
    <s v="transportation"/>
    <x v="1"/>
    <s v="liters"/>
    <n v="14166357"/>
    <n v="38228"/>
    <n v="545254"/>
  </r>
  <r>
    <s v="solid waste trn rail"/>
    <s v="transportation"/>
    <x v="1"/>
    <s v="liters"/>
    <n v="5671501"/>
    <n v="15443"/>
    <n v="219257"/>
  </r>
  <r>
    <s v="solid waste trn truck"/>
    <s v="transportation"/>
    <x v="1"/>
    <s v="liters"/>
    <n v="28064413"/>
    <n v="75797"/>
    <n v="1080300"/>
  </r>
  <r>
    <s v="transit bus"/>
    <s v="transportation"/>
    <x v="1"/>
    <s v="liters"/>
    <n v="188631878"/>
    <n v="509784"/>
    <n v="7260325"/>
  </r>
  <r>
    <s v="subway and commuter rail"/>
    <s v="transportation"/>
    <x v="2"/>
    <s v="GJ"/>
    <n v="10118346"/>
    <n v="889291"/>
    <n v="25432916"/>
  </r>
  <r>
    <s v="light truck"/>
    <s v="transportation"/>
    <x v="3"/>
    <s v="liters"/>
    <n v="440373688"/>
    <n v="946065"/>
    <n v="14846296"/>
  </r>
  <r>
    <s v="passenger cars"/>
    <s v="transportation"/>
    <x v="3"/>
    <s v="liters"/>
    <n v="3629210490"/>
    <n v="7790907"/>
    <n v="122351394"/>
  </r>
  <r>
    <m/>
    <s v="Street light and traffic signals"/>
    <x v="2"/>
    <s v="GJ"/>
    <n v="855804"/>
    <n v="75216"/>
    <n v="2151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RoadPassenger cars"/>
    <s v="Private"/>
    <s v="LightDuty-"/>
    <x v="0"/>
    <x v="0"/>
    <n v="197140277.43293849"/>
  </r>
  <r>
    <s v="RoadPassenger cars"/>
    <s v="Private"/>
    <s v="LightDuty-"/>
    <x v="1"/>
    <x v="0"/>
    <n v="285842.63734909787"/>
  </r>
  <r>
    <s v="RoadPassenger cars"/>
    <s v="Private"/>
    <s v="LightDuty-"/>
    <x v="2"/>
    <x v="0"/>
    <n v="2041938.4084569474"/>
  </r>
  <r>
    <s v="RoadPassenger cars"/>
    <s v="Private"/>
    <s v="LightDuty-"/>
    <x v="3"/>
    <x v="0"/>
    <n v="12.046237098259951"/>
  </r>
  <r>
    <s v="RoadPassenger cars"/>
    <s v="Private"/>
    <s v="LightDuty-"/>
    <x v="4"/>
    <x v="0"/>
    <n v="13.063158000121131"/>
  </r>
  <r>
    <s v="RoadPassenger cars"/>
    <s v="Private"/>
    <s v="LightDuty-"/>
    <x v="5"/>
    <x v="0"/>
    <n v="20843.554608539576"/>
  </r>
  <r>
    <s v="RoadPassenger cars"/>
    <s v="Private"/>
    <s v="LightDuty-"/>
    <x v="6"/>
    <x v="0"/>
    <n v="0"/>
  </r>
  <r>
    <s v="RoadMedium duty trucks"/>
    <s v="Private"/>
    <s v="MediumDuty-"/>
    <x v="0"/>
    <x v="0"/>
    <n v="3830407.8734880253"/>
  </r>
  <r>
    <s v="RoadMedium duty trucks"/>
    <s v="Private"/>
    <s v="MediumDuty-"/>
    <x v="1"/>
    <x v="0"/>
    <n v="0"/>
  </r>
  <r>
    <s v="RoadMedium duty trucks"/>
    <s v="Private"/>
    <s v="MediumDuty-"/>
    <x v="2"/>
    <x v="0"/>
    <n v="1497870.9942587353"/>
  </r>
  <r>
    <s v="RoadMedium duty trucks"/>
    <s v="Private"/>
    <s v="MediumDuty-"/>
    <x v="3"/>
    <x v="0"/>
    <n v="0"/>
  </r>
  <r>
    <s v="RoadMedium duty trucks"/>
    <s v="Private"/>
    <s v="MediumDuty-"/>
    <x v="4"/>
    <x v="0"/>
    <n v="0"/>
  </r>
  <r>
    <s v="RoadMedium duty trucks"/>
    <s v="Private"/>
    <s v="MediumDuty-"/>
    <x v="5"/>
    <x v="0"/>
    <n v="0"/>
  </r>
  <r>
    <s v="RoadMedium duty trucks"/>
    <s v="Private"/>
    <s v="MediumDuty-"/>
    <x v="6"/>
    <x v="0"/>
    <n v="0"/>
  </r>
  <r>
    <s v="RoadHeavy duty trucks"/>
    <s v="Private"/>
    <s v="HeavyDuty-"/>
    <x v="0"/>
    <x v="0"/>
    <n v="0"/>
  </r>
  <r>
    <s v="RoadHeavy duty trucks"/>
    <s v="Private"/>
    <s v="HeavyDuty-"/>
    <x v="1"/>
    <x v="0"/>
    <n v="0"/>
  </r>
  <r>
    <s v="RoadHeavy duty trucks"/>
    <s v="Private"/>
    <s v="HeavyDuty-"/>
    <x v="2"/>
    <x v="0"/>
    <n v="16775910.393430715"/>
  </r>
  <r>
    <s v="RoadHeavy duty trucks"/>
    <s v="Private"/>
    <s v="HeavyDuty-"/>
    <x v="3"/>
    <x v="0"/>
    <n v="0"/>
  </r>
  <r>
    <s v="RoadHeavy duty trucks"/>
    <s v="Private"/>
    <s v="HeavyDuty-"/>
    <x v="4"/>
    <x v="0"/>
    <n v="0"/>
  </r>
  <r>
    <s v="RoadHeavy duty trucks"/>
    <s v="Private"/>
    <s v="HeavyDuty-"/>
    <x v="5"/>
    <x v="0"/>
    <n v="0"/>
  </r>
  <r>
    <s v="RoadHeavy duty trucks"/>
    <s v="Private"/>
    <s v="HeavyDuty-"/>
    <x v="6"/>
    <x v="0"/>
    <n v="0"/>
  </r>
  <r>
    <s v="RoadPassenger cars"/>
    <s v="Public"/>
    <s v="LightDuty-"/>
    <x v="0"/>
    <x v="0"/>
    <n v="1235026.8903158603"/>
  </r>
  <r>
    <s v="RoadPassenger cars"/>
    <s v="Public"/>
    <s v="LightDuty-"/>
    <x v="1"/>
    <x v="0"/>
    <n v="46949.904509489272"/>
  </r>
  <r>
    <s v="RoadPassenger cars"/>
    <s v="Public"/>
    <s v="LightDuty-"/>
    <x v="2"/>
    <x v="0"/>
    <n v="0"/>
  </r>
  <r>
    <s v="RoadPassenger cars"/>
    <s v="Public"/>
    <s v="LightDuty-"/>
    <x v="3"/>
    <x v="0"/>
    <n v="0"/>
  </r>
  <r>
    <s v="RoadPassenger cars"/>
    <s v="Public"/>
    <s v="LightDuty-"/>
    <x v="4"/>
    <x v="0"/>
    <n v="0"/>
  </r>
  <r>
    <s v="RoadPassenger cars"/>
    <s v="Public"/>
    <s v="LightDuty-"/>
    <x v="5"/>
    <x v="0"/>
    <n v="2364.862918363674"/>
  </r>
  <r>
    <s v="RoadPassenger cars"/>
    <s v="Public"/>
    <s v="LightDuty-"/>
    <x v="6"/>
    <x v="0"/>
    <n v="0"/>
  </r>
  <r>
    <s v="RoadMedium duty trucks"/>
    <s v="Public"/>
    <s v="MediumDuty-"/>
    <x v="0"/>
    <x v="0"/>
    <n v="335820.06174380326"/>
  </r>
  <r>
    <s v="RoadMedium duty trucks"/>
    <s v="Public"/>
    <s v="MediumDuty-"/>
    <x v="1"/>
    <x v="0"/>
    <n v="0"/>
  </r>
  <r>
    <s v="RoadMedium duty trucks"/>
    <s v="Public"/>
    <s v="MediumDuty-"/>
    <x v="2"/>
    <x v="0"/>
    <n v="414924.64982192969"/>
  </r>
  <r>
    <s v="RoadMedium duty trucks"/>
    <s v="Public"/>
    <s v="MediumDuty-"/>
    <x v="3"/>
    <x v="0"/>
    <n v="0"/>
  </r>
  <r>
    <s v="RoadMedium duty trucks"/>
    <s v="Public"/>
    <s v="MediumDuty-"/>
    <x v="4"/>
    <x v="0"/>
    <n v="12292.592241518645"/>
  </r>
  <r>
    <s v="RoadMedium duty trucks"/>
    <s v="Public"/>
    <s v="MediumDuty-"/>
    <x v="5"/>
    <x v="0"/>
    <n v="0"/>
  </r>
  <r>
    <s v="RoadMedium duty trucks"/>
    <s v="Public"/>
    <s v="MediumDuty-"/>
    <x v="6"/>
    <x v="0"/>
    <n v="0"/>
  </r>
  <r>
    <s v="RoadHeavy duty trucks"/>
    <s v="Public"/>
    <s v="HeavyDuty-"/>
    <x v="0"/>
    <x v="0"/>
    <n v="0"/>
  </r>
  <r>
    <s v="RoadHeavy duty trucks"/>
    <s v="Public"/>
    <s v="HeavyDuty-"/>
    <x v="1"/>
    <x v="0"/>
    <n v="0"/>
  </r>
  <r>
    <s v="RoadHeavy duty trucks"/>
    <s v="Public"/>
    <s v="HeavyDuty-"/>
    <x v="2"/>
    <x v="0"/>
    <n v="3409010.8720334689"/>
  </r>
  <r>
    <s v="RoadHeavy duty trucks"/>
    <s v="Public"/>
    <s v="HeavyDuty-"/>
    <x v="3"/>
    <x v="0"/>
    <n v="0"/>
  </r>
  <r>
    <s v="RoadHeavy duty trucks"/>
    <s v="Public"/>
    <s v="HeavyDuty-"/>
    <x v="4"/>
    <x v="0"/>
    <n v="0"/>
  </r>
  <r>
    <s v="RoadHeavy duty trucks"/>
    <s v="Public"/>
    <s v="HeavyDuty-"/>
    <x v="5"/>
    <x v="0"/>
    <n v="0"/>
  </r>
  <r>
    <s v="RoadHeavy duty trucks"/>
    <s v="Public"/>
    <s v="HeavyDuty-"/>
    <x v="6"/>
    <x v="0"/>
    <n v="0"/>
  </r>
  <r>
    <s v="RoadHeavy duty trucks"/>
    <s v="Public"/>
    <s v="SWCV-HD-"/>
    <x v="0"/>
    <x v="0"/>
    <n v="0"/>
  </r>
  <r>
    <s v="RoadHeavy duty trucks"/>
    <s v="Public"/>
    <s v="SWCV-HD-"/>
    <x v="1"/>
    <x v="0"/>
    <n v="0"/>
  </r>
  <r>
    <s v="RoadHeavy duty trucks"/>
    <s v="Public"/>
    <s v="SWCV-HD-"/>
    <x v="2"/>
    <x v="0"/>
    <n v="415330.08518520975"/>
  </r>
  <r>
    <s v="RoadHeavy duty trucks"/>
    <s v="Public"/>
    <s v="SWCV-HD-"/>
    <x v="3"/>
    <x v="0"/>
    <n v="0"/>
  </r>
  <r>
    <s v="RoadHeavy duty trucks"/>
    <s v="Public"/>
    <s v="SWCV-HD-"/>
    <x v="4"/>
    <x v="0"/>
    <n v="0"/>
  </r>
  <r>
    <s v="RoadHeavy duty trucks"/>
    <s v="Public"/>
    <s v="SWCV-HD-"/>
    <x v="5"/>
    <x v="0"/>
    <n v="0"/>
  </r>
  <r>
    <s v="RoadHeavy duty trucks"/>
    <s v="Public"/>
    <s v="SWCV-HD-"/>
    <x v="6"/>
    <x v="0"/>
    <n v="0"/>
  </r>
  <r>
    <s v="RoadHeavy duty trucks"/>
    <s v="Private"/>
    <s v="SWCV-HD-"/>
    <x v="0"/>
    <x v="0"/>
    <n v="0"/>
  </r>
  <r>
    <s v="RoadHeavy duty trucks"/>
    <s v="Private"/>
    <s v="SWCV-HD-"/>
    <x v="1"/>
    <x v="0"/>
    <n v="0"/>
  </r>
  <r>
    <s v="RoadHeavy duty trucks"/>
    <s v="Private"/>
    <s v="SWCV-HD-"/>
    <x v="2"/>
    <x v="0"/>
    <n v="591947.33623949799"/>
  </r>
  <r>
    <s v="RoadHeavy duty trucks"/>
    <s v="Private"/>
    <s v="SWCV-HD-"/>
    <x v="3"/>
    <x v="0"/>
    <n v="0"/>
  </r>
  <r>
    <s v="RoadHeavy duty trucks"/>
    <s v="Private"/>
    <s v="SWCV-HD-"/>
    <x v="4"/>
    <x v="0"/>
    <n v="0"/>
  </r>
  <r>
    <s v="RoadHeavy duty trucks"/>
    <s v="Private"/>
    <s v="SWCV-HD-"/>
    <x v="5"/>
    <x v="0"/>
    <n v="0"/>
  </r>
  <r>
    <s v="RoadHeavy duty trucks"/>
    <s v="Private"/>
    <s v="SWCV-HD-"/>
    <x v="6"/>
    <x v="0"/>
    <n v="0"/>
  </r>
  <r>
    <s v="RoadBuses"/>
    <s v="Public"/>
    <s v="Transit-Bus"/>
    <x v="0"/>
    <x v="0"/>
    <n v="0"/>
  </r>
  <r>
    <s v="RoadBuses"/>
    <s v="Public"/>
    <s v="Transit-Bus"/>
    <x v="1"/>
    <x v="0"/>
    <n v="0"/>
  </r>
  <r>
    <s v="RoadBuses"/>
    <s v="Public"/>
    <s v="Transit-Bus"/>
    <x v="2"/>
    <x v="0"/>
    <n v="0"/>
  </r>
  <r>
    <s v="RoadBuses"/>
    <s v="Public"/>
    <s v="Transit-Bus"/>
    <x v="3"/>
    <x v="0"/>
    <n v="0"/>
  </r>
  <r>
    <s v="RoadBuses"/>
    <s v="Public"/>
    <s v="Transit-Bus"/>
    <x v="4"/>
    <x v="0"/>
    <n v="0"/>
  </r>
  <r>
    <s v="RoadBuses"/>
    <s v="Public"/>
    <s v="Transit-Bus"/>
    <x v="5"/>
    <x v="0"/>
    <n v="0"/>
  </r>
  <r>
    <s v="RoadBuses"/>
    <s v="Public"/>
    <s v="Transit-Bus"/>
    <x v="6"/>
    <x v="0"/>
    <n v="0"/>
  </r>
  <r>
    <s v="RoadBuses"/>
    <s v="Private"/>
    <s v="Transit-OtherBuses-"/>
    <x v="0"/>
    <x v="0"/>
    <n v="0"/>
  </r>
  <r>
    <s v="RoadBuses"/>
    <s v="Private"/>
    <s v="Transit-OtherBuses-"/>
    <x v="1"/>
    <x v="0"/>
    <n v="0"/>
  </r>
  <r>
    <s v="RoadBuses"/>
    <s v="Private"/>
    <s v="Transit-OtherBuses-"/>
    <x v="2"/>
    <x v="0"/>
    <n v="0"/>
  </r>
  <r>
    <s v="RoadBuses"/>
    <s v="Private"/>
    <s v="Transit-OtherBuses-"/>
    <x v="3"/>
    <x v="0"/>
    <n v="0"/>
  </r>
  <r>
    <s v="RoadBuses"/>
    <s v="Private"/>
    <s v="Transit-OtherBuses-"/>
    <x v="4"/>
    <x v="0"/>
    <n v="0"/>
  </r>
  <r>
    <s v="RoadBuses"/>
    <s v="Private"/>
    <s v="Transit-OtherBuses-"/>
    <x v="5"/>
    <x v="0"/>
    <n v="0"/>
  </r>
  <r>
    <s v="RoadBuses"/>
    <s v="Private"/>
    <s v="Transit-OtherBuses-"/>
    <x v="6"/>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N6" firstHeaderRow="0" firstDataRow="1" firstDataCol="1"/>
  <pivotFields count="7">
    <pivotField showAll="0"/>
    <pivotField showAll="0"/>
    <pivotField axis="axisRow" showAll="0">
      <items count="5">
        <item x="0"/>
        <item x="1"/>
        <item x="2"/>
        <item x="3"/>
        <item t="default"/>
      </items>
    </pivotField>
    <pivotField showAll="0"/>
    <pivotField dataField="1" numFmtId="3" showAll="0"/>
    <pivotField numFmtId="3"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Sum of Source GJ" fld="6" baseField="0" baseItem="0"/>
    <dataField name="Sum of Consumed" fld="4" baseField="0" baseItem="0"/>
  </dataFields>
  <formats count="3">
    <format dxfId="5">
      <pivotArea field="2" type="button" dataOnly="0" labelOnly="1" outline="0" axis="axisRow" fieldPosition="0"/>
    </format>
    <format dxfId="4">
      <pivotArea dataOnly="0" labelOnly="1" outline="0" fieldPosition="0">
        <references count="1">
          <reference field="4294967294" count="2">
            <x v="0"/>
            <x v="1"/>
          </reference>
        </references>
      </pivotArea>
    </format>
    <format dxfId="3">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Q9" firstHeaderRow="1" firstDataRow="1" firstDataCol="1"/>
  <pivotFields count="6">
    <pivotField showAll="0"/>
    <pivotField showAll="0"/>
    <pivotField showAll="0"/>
    <pivotField axis="axisRow" showAll="0">
      <items count="8">
        <item x="4"/>
        <item x="2"/>
        <item x="3"/>
        <item x="5"/>
        <item x="6"/>
        <item x="0"/>
        <item x="1"/>
        <item t="default"/>
      </items>
    </pivotField>
    <pivotField showAll="0">
      <items count="2">
        <item x="0"/>
        <item t="default"/>
      </items>
    </pivotField>
    <pivotField dataField="1" numFmtId="179" showAll="0"/>
  </pivotFields>
  <rowFields count="1">
    <field x="3"/>
  </rowFields>
  <rowItems count="8">
    <i>
      <x/>
    </i>
    <i>
      <x v="1"/>
    </i>
    <i>
      <x v="2"/>
    </i>
    <i>
      <x v="3"/>
    </i>
    <i>
      <x v="4"/>
    </i>
    <i>
      <x v="5"/>
    </i>
    <i>
      <x v="6"/>
    </i>
    <i t="grand">
      <x/>
    </i>
  </rowItems>
  <colItems count="1">
    <i/>
  </colItems>
  <dataFields count="1">
    <dataField name="Sum of 2010"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18" Type="http://schemas.openxmlformats.org/officeDocument/2006/relationships/control" Target="../activeX/activeX15.xml"/><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control" Target="../activeX/activeX12.xml"/><Relationship Id="rId17" Type="http://schemas.openxmlformats.org/officeDocument/2006/relationships/image" Target="../media/image14.emf"/><Relationship Id="rId2" Type="http://schemas.openxmlformats.org/officeDocument/2006/relationships/drawing" Target="../drawings/drawing2.xml"/><Relationship Id="rId16" Type="http://schemas.openxmlformats.org/officeDocument/2006/relationships/control" Target="../activeX/activeX14.xml"/><Relationship Id="rId1" Type="http://schemas.openxmlformats.org/officeDocument/2006/relationships/printerSettings" Target="../printerSettings/printerSettings2.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5" Type="http://schemas.openxmlformats.org/officeDocument/2006/relationships/image" Target="../media/image13.emf"/><Relationship Id="rId10" Type="http://schemas.openxmlformats.org/officeDocument/2006/relationships/control" Target="../activeX/activeX11.xml"/><Relationship Id="rId19" Type="http://schemas.openxmlformats.org/officeDocument/2006/relationships/image" Target="../media/image15.emf"/><Relationship Id="rId4" Type="http://schemas.openxmlformats.org/officeDocument/2006/relationships/control" Target="../activeX/activeX8.xml"/><Relationship Id="rId9" Type="http://schemas.openxmlformats.org/officeDocument/2006/relationships/image" Target="../media/image10.emf"/><Relationship Id="rId14" Type="http://schemas.openxmlformats.org/officeDocument/2006/relationships/control" Target="../activeX/activeX1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8.xml"/><Relationship Id="rId13" Type="http://schemas.openxmlformats.org/officeDocument/2006/relationships/image" Target="../media/image20.emf"/><Relationship Id="rId3" Type="http://schemas.openxmlformats.org/officeDocument/2006/relationships/vmlDrawing" Target="../drawings/vmlDrawing3.vml"/><Relationship Id="rId7" Type="http://schemas.openxmlformats.org/officeDocument/2006/relationships/image" Target="../media/image17.emf"/><Relationship Id="rId12" Type="http://schemas.openxmlformats.org/officeDocument/2006/relationships/control" Target="../activeX/activeX20.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ntrol" Target="../activeX/activeX17.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19.xml"/><Relationship Id="rId4" Type="http://schemas.openxmlformats.org/officeDocument/2006/relationships/control" Target="../activeX/activeX16.xml"/><Relationship Id="rId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image" Target="../media/image25.emf"/><Relationship Id="rId3" Type="http://schemas.openxmlformats.org/officeDocument/2006/relationships/vmlDrawing" Target="../drawings/vmlDrawing4.vml"/><Relationship Id="rId7" Type="http://schemas.openxmlformats.org/officeDocument/2006/relationships/image" Target="../media/image22.emf"/><Relationship Id="rId12" Type="http://schemas.openxmlformats.org/officeDocument/2006/relationships/control" Target="../activeX/activeX25.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ntrol" Target="../activeX/activeX22.xml"/><Relationship Id="rId11" Type="http://schemas.openxmlformats.org/officeDocument/2006/relationships/image" Target="../media/image24.emf"/><Relationship Id="rId5" Type="http://schemas.openxmlformats.org/officeDocument/2006/relationships/image" Target="../media/image21.emf"/><Relationship Id="rId10" Type="http://schemas.openxmlformats.org/officeDocument/2006/relationships/control" Target="../activeX/activeX2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hyperlink" Target="http://www.nyc.gov/html/planyc/downloads/pdf/NYC_GHG_Inventory_2014.pdf" TargetMode="External"/><Relationship Id="rId13" Type="http://schemas.openxmlformats.org/officeDocument/2006/relationships/hyperlink" Target="http://www.rita.dot.gov/bts/sites/rita.dot.gov.bts/files/publications/national_transportation_statistics/html/table_04_15.html" TargetMode="External"/><Relationship Id="rId18" Type="http://schemas.openxmlformats.org/officeDocument/2006/relationships/hyperlink" Target="http://www.nyc.gov/html/dot/downloads/pdf/nyc_greendividend_april2010.pdf" TargetMode="External"/><Relationship Id="rId3" Type="http://schemas.openxmlformats.org/officeDocument/2006/relationships/hyperlink" Target="http://www.nyc.gov/html/planyc/downloads/pdf/NYC_GHG_Inventory_2014.pdf" TargetMode="External"/><Relationship Id="rId21" Type="http://schemas.openxmlformats.org/officeDocument/2006/relationships/vmlDrawing" Target="../drawings/vmlDrawing5.vml"/><Relationship Id="rId7" Type="http://schemas.openxmlformats.org/officeDocument/2006/relationships/hyperlink" Target="http://www.nyc.gov/html/planyc/downloads/pdf/NYC_GHG_Inventory_2014.pdf" TargetMode="External"/><Relationship Id="rId12" Type="http://schemas.openxmlformats.org/officeDocument/2006/relationships/hyperlink" Target="http://www.nyc.gov/html/planyc/downloads/pdf/NYC_GHG_Inventory_2014.pdf" TargetMode="External"/><Relationship Id="rId17" Type="http://schemas.openxmlformats.org/officeDocument/2006/relationships/hyperlink" Target="http://www.streetsblog.org/2011/04/06/new-yorks-car-ownership-rate-is-on-the-rise/" TargetMode="External"/><Relationship Id="rId2" Type="http://schemas.openxmlformats.org/officeDocument/2006/relationships/hyperlink" Target="http://www.nyc.gov/html/planyc/downloads/pdf/NYC_GHG_Inventory_2014.pdf" TargetMode="External"/><Relationship Id="rId16" Type="http://schemas.openxmlformats.org/officeDocument/2006/relationships/hyperlink" Target="http://www.nycedc.com/blog-entry/new-yorkers-and-cars" TargetMode="External"/><Relationship Id="rId20" Type="http://schemas.openxmlformats.org/officeDocument/2006/relationships/drawing" Target="../drawings/drawing5.xml"/><Relationship Id="rId1" Type="http://schemas.openxmlformats.org/officeDocument/2006/relationships/hyperlink" Target="http://railtec.illinois.edu/articles/Files/Conference%20Proceedings/2014/JRC2014-3787.pdf" TargetMode="External"/><Relationship Id="rId6" Type="http://schemas.openxmlformats.org/officeDocument/2006/relationships/hyperlink" Target="http://www.nyc.gov/html/planyc/downloads/pdf/NYC_GHG_Inventory_2014.pdf" TargetMode="External"/><Relationship Id="rId11" Type="http://schemas.openxmlformats.org/officeDocument/2006/relationships/hyperlink" Target="http://www.nyc.gov/html/planyc/downloads/pdf/NYC_GHG_Inventory_2014.pdf" TargetMode="External"/><Relationship Id="rId5" Type="http://schemas.openxmlformats.org/officeDocument/2006/relationships/hyperlink" Target="http://www.nyc.gov/html/planyc/downloads/pdf/NYC_GHG_Inventory_2014.pdf" TargetMode="External"/><Relationship Id="rId15" Type="http://schemas.openxmlformats.org/officeDocument/2006/relationships/hyperlink" Target="http://web.mta.info/nyct/facts/ffsubway.htm" TargetMode="External"/><Relationship Id="rId10" Type="http://schemas.openxmlformats.org/officeDocument/2006/relationships/hyperlink" Target="http://www.nyc.gov/html/planyc/downloads/pdf/NYC_GHG_Inventory_2014.pdf" TargetMode="External"/><Relationship Id="rId19" Type="http://schemas.openxmlformats.org/officeDocument/2006/relationships/printerSettings" Target="../printerSettings/printerSettings9.bin"/><Relationship Id="rId4" Type="http://schemas.openxmlformats.org/officeDocument/2006/relationships/hyperlink" Target="http://www.nyc.gov/html/planyc/downloads/pdf/NYC_GHG_Inventory_2014.pdf" TargetMode="External"/><Relationship Id="rId9" Type="http://schemas.openxmlformats.org/officeDocument/2006/relationships/hyperlink" Target="http://www.nyc.gov/html/planyc/downloads/pdf/NYC_GHG_Inventory_2014.pdf" TargetMode="External"/><Relationship Id="rId14" Type="http://schemas.openxmlformats.org/officeDocument/2006/relationships/hyperlink" Target="http://www.apta.com/resources/hottopics/sustainability/Documents/septainable13.pdf" TargetMode="External"/><Relationship Id="rId22"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28.xml"/><Relationship Id="rId3" Type="http://schemas.openxmlformats.org/officeDocument/2006/relationships/vmlDrawing" Target="../drawings/vmlDrawing6.vml"/><Relationship Id="rId7" Type="http://schemas.openxmlformats.org/officeDocument/2006/relationships/image" Target="../media/image29.emf"/><Relationship Id="rId2" Type="http://schemas.openxmlformats.org/officeDocument/2006/relationships/drawing" Target="../drawings/drawing6.xml"/><Relationship Id="rId1" Type="http://schemas.openxmlformats.org/officeDocument/2006/relationships/printerSettings" Target="../printerSettings/printerSettings15.bin"/><Relationship Id="rId6" Type="http://schemas.openxmlformats.org/officeDocument/2006/relationships/control" Target="../activeX/activeX27.xml"/><Relationship Id="rId11" Type="http://schemas.openxmlformats.org/officeDocument/2006/relationships/image" Target="../media/image31.emf"/><Relationship Id="rId5" Type="http://schemas.openxmlformats.org/officeDocument/2006/relationships/image" Target="../media/image28.emf"/><Relationship Id="rId10" Type="http://schemas.openxmlformats.org/officeDocument/2006/relationships/control" Target="../activeX/activeX29.xml"/><Relationship Id="rId4" Type="http://schemas.openxmlformats.org/officeDocument/2006/relationships/control" Target="../activeX/activeX26.xml"/><Relationship Id="rId9" Type="http://schemas.openxmlformats.org/officeDocument/2006/relationships/image" Target="../media/image30.emf"/></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vmlDrawing" Target="../drawings/vmlDrawing7.vml"/><Relationship Id="rId7" Type="http://schemas.openxmlformats.org/officeDocument/2006/relationships/image" Target="../media/image33.emf"/><Relationship Id="rId2" Type="http://schemas.openxmlformats.org/officeDocument/2006/relationships/drawing" Target="../drawings/drawing7.xml"/><Relationship Id="rId1" Type="http://schemas.openxmlformats.org/officeDocument/2006/relationships/printerSettings" Target="../printerSettings/printerSettings16.bin"/><Relationship Id="rId6" Type="http://schemas.openxmlformats.org/officeDocument/2006/relationships/control" Target="../activeX/activeX31.xml"/><Relationship Id="rId11" Type="http://schemas.openxmlformats.org/officeDocument/2006/relationships/image" Target="../media/image35.emf"/><Relationship Id="rId5" Type="http://schemas.openxmlformats.org/officeDocument/2006/relationships/image" Target="../media/image32.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4.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36.xml"/><Relationship Id="rId13" Type="http://schemas.openxmlformats.org/officeDocument/2006/relationships/image" Target="../media/image40.emf"/><Relationship Id="rId3" Type="http://schemas.openxmlformats.org/officeDocument/2006/relationships/vmlDrawing" Target="../drawings/vmlDrawing8.vml"/><Relationship Id="rId7" Type="http://schemas.openxmlformats.org/officeDocument/2006/relationships/image" Target="../media/image37.emf"/><Relationship Id="rId12" Type="http://schemas.openxmlformats.org/officeDocument/2006/relationships/control" Target="../activeX/activeX38.xml"/><Relationship Id="rId17" Type="http://schemas.openxmlformats.org/officeDocument/2006/relationships/image" Target="../media/image42.emf"/><Relationship Id="rId2" Type="http://schemas.openxmlformats.org/officeDocument/2006/relationships/drawing" Target="../drawings/drawing8.xml"/><Relationship Id="rId16" Type="http://schemas.openxmlformats.org/officeDocument/2006/relationships/control" Target="../activeX/activeX40.xml"/><Relationship Id="rId1" Type="http://schemas.openxmlformats.org/officeDocument/2006/relationships/printerSettings" Target="../printerSettings/printerSettings17.bin"/><Relationship Id="rId6" Type="http://schemas.openxmlformats.org/officeDocument/2006/relationships/control" Target="../activeX/activeX35.xml"/><Relationship Id="rId11" Type="http://schemas.openxmlformats.org/officeDocument/2006/relationships/image" Target="../media/image39.emf"/><Relationship Id="rId5" Type="http://schemas.openxmlformats.org/officeDocument/2006/relationships/image" Target="../media/image36.emf"/><Relationship Id="rId15" Type="http://schemas.openxmlformats.org/officeDocument/2006/relationships/image" Target="../media/image41.emf"/><Relationship Id="rId10" Type="http://schemas.openxmlformats.org/officeDocument/2006/relationships/control" Target="../activeX/activeX37.xml"/><Relationship Id="rId4" Type="http://schemas.openxmlformats.org/officeDocument/2006/relationships/control" Target="../activeX/activeX34.xml"/><Relationship Id="rId9" Type="http://schemas.openxmlformats.org/officeDocument/2006/relationships/image" Target="../media/image38.emf"/><Relationship Id="rId14" Type="http://schemas.openxmlformats.org/officeDocument/2006/relationships/control" Target="../activeX/activeX39.xml"/></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43.xml"/><Relationship Id="rId13" Type="http://schemas.openxmlformats.org/officeDocument/2006/relationships/image" Target="../media/image47.emf"/><Relationship Id="rId3" Type="http://schemas.openxmlformats.org/officeDocument/2006/relationships/vmlDrawing" Target="../drawings/vmlDrawing9.vml"/><Relationship Id="rId7" Type="http://schemas.openxmlformats.org/officeDocument/2006/relationships/image" Target="../media/image44.emf"/><Relationship Id="rId12" Type="http://schemas.openxmlformats.org/officeDocument/2006/relationships/control" Target="../activeX/activeX45.xml"/><Relationship Id="rId2" Type="http://schemas.openxmlformats.org/officeDocument/2006/relationships/drawing" Target="../drawings/drawing9.xml"/><Relationship Id="rId1" Type="http://schemas.openxmlformats.org/officeDocument/2006/relationships/printerSettings" Target="../printerSettings/printerSettings18.bin"/><Relationship Id="rId6" Type="http://schemas.openxmlformats.org/officeDocument/2006/relationships/control" Target="../activeX/activeX42.xml"/><Relationship Id="rId11" Type="http://schemas.openxmlformats.org/officeDocument/2006/relationships/image" Target="../media/image46.emf"/><Relationship Id="rId5" Type="http://schemas.openxmlformats.org/officeDocument/2006/relationships/image" Target="../media/image43.emf"/><Relationship Id="rId10" Type="http://schemas.openxmlformats.org/officeDocument/2006/relationships/control" Target="../activeX/activeX44.xml"/><Relationship Id="rId4" Type="http://schemas.openxmlformats.org/officeDocument/2006/relationships/control" Target="../activeX/activeX41.xml"/><Relationship Id="rId9" Type="http://schemas.openxmlformats.org/officeDocument/2006/relationships/image" Target="../media/image45.emf"/></Relationships>
</file>

<file path=xl/worksheets/_rels/sheet21.xml.rels><?xml version="1.0" encoding="UTF-8" standalone="yes"?>
<Relationships xmlns="http://schemas.openxmlformats.org/package/2006/relationships"><Relationship Id="rId8" Type="http://schemas.openxmlformats.org/officeDocument/2006/relationships/control" Target="../activeX/activeX48.xml"/><Relationship Id="rId13" Type="http://schemas.openxmlformats.org/officeDocument/2006/relationships/image" Target="../media/image52.emf"/><Relationship Id="rId3" Type="http://schemas.openxmlformats.org/officeDocument/2006/relationships/vmlDrawing" Target="../drawings/vmlDrawing10.vml"/><Relationship Id="rId7" Type="http://schemas.openxmlformats.org/officeDocument/2006/relationships/image" Target="../media/image49.emf"/><Relationship Id="rId12" Type="http://schemas.openxmlformats.org/officeDocument/2006/relationships/control" Target="../activeX/activeX50.xml"/><Relationship Id="rId2" Type="http://schemas.openxmlformats.org/officeDocument/2006/relationships/drawing" Target="../drawings/drawing10.xml"/><Relationship Id="rId1" Type="http://schemas.openxmlformats.org/officeDocument/2006/relationships/printerSettings" Target="../printerSettings/printerSettings19.bin"/><Relationship Id="rId6" Type="http://schemas.openxmlformats.org/officeDocument/2006/relationships/control" Target="../activeX/activeX47.xml"/><Relationship Id="rId11" Type="http://schemas.openxmlformats.org/officeDocument/2006/relationships/image" Target="../media/image51.emf"/><Relationship Id="rId5" Type="http://schemas.openxmlformats.org/officeDocument/2006/relationships/image" Target="../media/image48.emf"/><Relationship Id="rId10" Type="http://schemas.openxmlformats.org/officeDocument/2006/relationships/control" Target="../activeX/activeX49.xml"/><Relationship Id="rId4" Type="http://schemas.openxmlformats.org/officeDocument/2006/relationships/control" Target="../activeX/activeX46.xml"/><Relationship Id="rId9" Type="http://schemas.openxmlformats.org/officeDocument/2006/relationships/image" Target="../media/image50.emf"/></Relationships>
</file>

<file path=xl/worksheets/_rels/sheet22.xml.rels><?xml version="1.0" encoding="UTF-8" standalone="yes"?>
<Relationships xmlns="http://schemas.openxmlformats.org/package/2006/relationships"><Relationship Id="rId8" Type="http://schemas.openxmlformats.org/officeDocument/2006/relationships/control" Target="../activeX/activeX53.xml"/><Relationship Id="rId13" Type="http://schemas.openxmlformats.org/officeDocument/2006/relationships/image" Target="../media/image57.emf"/><Relationship Id="rId3" Type="http://schemas.openxmlformats.org/officeDocument/2006/relationships/vmlDrawing" Target="../drawings/vmlDrawing11.vml"/><Relationship Id="rId7" Type="http://schemas.openxmlformats.org/officeDocument/2006/relationships/image" Target="../media/image54.emf"/><Relationship Id="rId12" Type="http://schemas.openxmlformats.org/officeDocument/2006/relationships/control" Target="../activeX/activeX55.xml"/><Relationship Id="rId17" Type="http://schemas.openxmlformats.org/officeDocument/2006/relationships/image" Target="../media/image59.emf"/><Relationship Id="rId2" Type="http://schemas.openxmlformats.org/officeDocument/2006/relationships/drawing" Target="../drawings/drawing11.xml"/><Relationship Id="rId16" Type="http://schemas.openxmlformats.org/officeDocument/2006/relationships/control" Target="../activeX/activeX57.xml"/><Relationship Id="rId1" Type="http://schemas.openxmlformats.org/officeDocument/2006/relationships/printerSettings" Target="../printerSettings/printerSettings20.bin"/><Relationship Id="rId6" Type="http://schemas.openxmlformats.org/officeDocument/2006/relationships/control" Target="../activeX/activeX52.xml"/><Relationship Id="rId11" Type="http://schemas.openxmlformats.org/officeDocument/2006/relationships/image" Target="../media/image56.emf"/><Relationship Id="rId5" Type="http://schemas.openxmlformats.org/officeDocument/2006/relationships/image" Target="../media/image53.emf"/><Relationship Id="rId15" Type="http://schemas.openxmlformats.org/officeDocument/2006/relationships/image" Target="../media/image58.emf"/><Relationship Id="rId10" Type="http://schemas.openxmlformats.org/officeDocument/2006/relationships/control" Target="../activeX/activeX54.xml"/><Relationship Id="rId4" Type="http://schemas.openxmlformats.org/officeDocument/2006/relationships/control" Target="../activeX/activeX51.xml"/><Relationship Id="rId9" Type="http://schemas.openxmlformats.org/officeDocument/2006/relationships/image" Target="../media/image55.emf"/><Relationship Id="rId14" Type="http://schemas.openxmlformats.org/officeDocument/2006/relationships/control" Target="../activeX/activeX56.xml"/></Relationships>
</file>

<file path=xl/worksheets/_rels/sheet23.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4.emf"/><Relationship Id="rId3" Type="http://schemas.openxmlformats.org/officeDocument/2006/relationships/vmlDrawing" Target="../drawings/vmlDrawing12.vml"/><Relationship Id="rId7" Type="http://schemas.openxmlformats.org/officeDocument/2006/relationships/image" Target="../media/image61.emf"/><Relationship Id="rId12" Type="http://schemas.openxmlformats.org/officeDocument/2006/relationships/control" Target="../activeX/activeX62.xml"/><Relationship Id="rId2" Type="http://schemas.openxmlformats.org/officeDocument/2006/relationships/drawing" Target="../drawings/drawing12.xml"/><Relationship Id="rId1" Type="http://schemas.openxmlformats.org/officeDocument/2006/relationships/printerSettings" Target="../printerSettings/printerSettings21.bin"/><Relationship Id="rId6" Type="http://schemas.openxmlformats.org/officeDocument/2006/relationships/control" Target="../activeX/activeX59.xml"/><Relationship Id="rId11" Type="http://schemas.openxmlformats.org/officeDocument/2006/relationships/image" Target="../media/image63.emf"/><Relationship Id="rId5" Type="http://schemas.openxmlformats.org/officeDocument/2006/relationships/image" Target="../media/image60.emf"/><Relationship Id="rId15" Type="http://schemas.openxmlformats.org/officeDocument/2006/relationships/image" Target="../media/image65.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2.emf"/><Relationship Id="rId14" Type="http://schemas.openxmlformats.org/officeDocument/2006/relationships/control" Target="../activeX/activeX6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comments" Target="../comments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14.v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nyc.gov/html/dcp/pdf/census/projections_report_2010_2040.pdf" TargetMode="External"/><Relationship Id="rId1" Type="http://schemas.openxmlformats.org/officeDocument/2006/relationships/hyperlink" Target="http://www.nyc.gov/html/dcp/html/census/popcur.shtml"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5.v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hyperlink" Target="http://www.bea.gov/national/nipaweb/SelectTable.asp?Selected=Y" TargetMode="External"/></Relationships>
</file>

<file path=xl/worksheets/_rels/sheet38.xml.rels><?xml version="1.0" encoding="UTF-8" standalone="yes"?>
<Relationships xmlns="http://schemas.openxmlformats.org/package/2006/relationships"><Relationship Id="rId8" Type="http://schemas.openxmlformats.org/officeDocument/2006/relationships/control" Target="../activeX/activeX66.xml"/><Relationship Id="rId13" Type="http://schemas.openxmlformats.org/officeDocument/2006/relationships/image" Target="../media/image70.emf"/><Relationship Id="rId3" Type="http://schemas.openxmlformats.org/officeDocument/2006/relationships/vmlDrawing" Target="../drawings/vmlDrawing16.vml"/><Relationship Id="rId7" Type="http://schemas.openxmlformats.org/officeDocument/2006/relationships/image" Target="../media/image67.emf"/><Relationship Id="rId12" Type="http://schemas.openxmlformats.org/officeDocument/2006/relationships/control" Target="../activeX/activeX68.xml"/><Relationship Id="rId2" Type="http://schemas.openxmlformats.org/officeDocument/2006/relationships/drawing" Target="../drawings/drawing14.xml"/><Relationship Id="rId1" Type="http://schemas.openxmlformats.org/officeDocument/2006/relationships/printerSettings" Target="../printerSettings/printerSettings30.bin"/><Relationship Id="rId6" Type="http://schemas.openxmlformats.org/officeDocument/2006/relationships/control" Target="../activeX/activeX65.xml"/><Relationship Id="rId11" Type="http://schemas.openxmlformats.org/officeDocument/2006/relationships/image" Target="../media/image69.emf"/><Relationship Id="rId5" Type="http://schemas.openxmlformats.org/officeDocument/2006/relationships/image" Target="../media/image66.emf"/><Relationship Id="rId15" Type="http://schemas.openxmlformats.org/officeDocument/2006/relationships/image" Target="../media/image71.emf"/><Relationship Id="rId10" Type="http://schemas.openxmlformats.org/officeDocument/2006/relationships/control" Target="../activeX/activeX67.xml"/><Relationship Id="rId4" Type="http://schemas.openxmlformats.org/officeDocument/2006/relationships/control" Target="../activeX/activeX64.xml"/><Relationship Id="rId9" Type="http://schemas.openxmlformats.org/officeDocument/2006/relationships/image" Target="../media/image68.emf"/><Relationship Id="rId14" Type="http://schemas.openxmlformats.org/officeDocument/2006/relationships/control" Target="../activeX/activeX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91"/>
  <sheetViews>
    <sheetView workbookViewId="0">
      <selection activeCell="G40" sqref="G40"/>
    </sheetView>
  </sheetViews>
  <sheetFormatPr defaultRowHeight="12.75" x14ac:dyDescent="0.2"/>
  <sheetData>
    <row r="1" spans="2:2" x14ac:dyDescent="0.2">
      <c r="B1" s="1" t="s">
        <v>3043</v>
      </c>
    </row>
    <row r="2" spans="2:2" x14ac:dyDescent="0.2">
      <c r="B2" s="1"/>
    </row>
    <row r="3" spans="2:2" x14ac:dyDescent="0.2">
      <c r="B3" t="s">
        <v>3045</v>
      </c>
    </row>
    <row r="4" spans="2:2" x14ac:dyDescent="0.2">
      <c r="B4" t="s">
        <v>3046</v>
      </c>
    </row>
    <row r="5" spans="2:2" x14ac:dyDescent="0.2">
      <c r="B5" t="s">
        <v>3047</v>
      </c>
    </row>
    <row r="6" spans="2:2" x14ac:dyDescent="0.2">
      <c r="B6" t="s">
        <v>3048</v>
      </c>
    </row>
    <row r="8" spans="2:2" x14ac:dyDescent="0.2">
      <c r="B8" s="1" t="s">
        <v>0</v>
      </c>
    </row>
    <row r="9" spans="2:2" x14ac:dyDescent="0.2">
      <c r="B9" t="s">
        <v>1</v>
      </c>
    </row>
    <row r="10" spans="2:2" x14ac:dyDescent="0.2">
      <c r="B10" t="s">
        <v>2</v>
      </c>
    </row>
    <row r="11" spans="2:2" x14ac:dyDescent="0.2">
      <c r="B11" t="s">
        <v>3</v>
      </c>
    </row>
    <row r="12" spans="2:2" x14ac:dyDescent="0.2">
      <c r="B12" t="s">
        <v>4</v>
      </c>
    </row>
    <row r="13" spans="2:2" x14ac:dyDescent="0.2">
      <c r="B13" t="s">
        <v>5</v>
      </c>
    </row>
    <row r="14" spans="2:2" x14ac:dyDescent="0.2">
      <c r="B14" t="s">
        <v>6</v>
      </c>
    </row>
    <row r="15" spans="2:2" x14ac:dyDescent="0.2">
      <c r="B15" t="s">
        <v>7</v>
      </c>
    </row>
    <row r="16" spans="2:2" x14ac:dyDescent="0.2">
      <c r="B16" t="s">
        <v>8</v>
      </c>
    </row>
    <row r="19" spans="2:3" x14ac:dyDescent="0.2">
      <c r="B19" s="1" t="s">
        <v>9</v>
      </c>
    </row>
    <row r="20" spans="2:3" x14ac:dyDescent="0.2">
      <c r="B20" t="s">
        <v>10</v>
      </c>
    </row>
    <row r="21" spans="2:3" x14ac:dyDescent="0.2">
      <c r="C21" t="s">
        <v>11</v>
      </c>
    </row>
    <row r="22" spans="2:3" x14ac:dyDescent="0.2">
      <c r="C22" t="s">
        <v>12</v>
      </c>
    </row>
    <row r="23" spans="2:3" x14ac:dyDescent="0.2">
      <c r="C23" s="12" t="s">
        <v>3044</v>
      </c>
    </row>
    <row r="24" spans="2:3" x14ac:dyDescent="0.2">
      <c r="B24" t="s">
        <v>13</v>
      </c>
    </row>
    <row r="25" spans="2:3" x14ac:dyDescent="0.2">
      <c r="C25" t="s">
        <v>14</v>
      </c>
    </row>
    <row r="27" spans="2:3" x14ac:dyDescent="0.2">
      <c r="B27" t="s">
        <v>15</v>
      </c>
    </row>
    <row r="28" spans="2:3" x14ac:dyDescent="0.2">
      <c r="C28" t="s">
        <v>16</v>
      </c>
    </row>
    <row r="30" spans="2:3" x14ac:dyDescent="0.2">
      <c r="B30" t="s">
        <v>17</v>
      </c>
    </row>
    <row r="31" spans="2:3" x14ac:dyDescent="0.2">
      <c r="C31" t="s">
        <v>18</v>
      </c>
    </row>
    <row r="33" spans="2:3" x14ac:dyDescent="0.2">
      <c r="B33" t="s">
        <v>19</v>
      </c>
    </row>
    <row r="34" spans="2:3" x14ac:dyDescent="0.2">
      <c r="C34" t="s">
        <v>20</v>
      </c>
    </row>
    <row r="35" spans="2:3" x14ac:dyDescent="0.2">
      <c r="C35" t="s">
        <v>21</v>
      </c>
    </row>
    <row r="36" spans="2:3" x14ac:dyDescent="0.2">
      <c r="C36" t="s">
        <v>22</v>
      </c>
    </row>
    <row r="38" spans="2:3" x14ac:dyDescent="0.2">
      <c r="B38" t="s">
        <v>3049</v>
      </c>
    </row>
    <row r="39" spans="2:3" x14ac:dyDescent="0.2">
      <c r="C39" s="12" t="s">
        <v>3050</v>
      </c>
    </row>
    <row r="41" spans="2:3" x14ac:dyDescent="0.2">
      <c r="B41" t="s">
        <v>23</v>
      </c>
    </row>
    <row r="42" spans="2:3" x14ac:dyDescent="0.2">
      <c r="C42" t="s">
        <v>24</v>
      </c>
    </row>
    <row r="43" spans="2:3" x14ac:dyDescent="0.2">
      <c r="C43" s="12" t="s">
        <v>3051</v>
      </c>
    </row>
    <row r="46" spans="2:3" x14ac:dyDescent="0.2">
      <c r="B46" s="1" t="s">
        <v>25</v>
      </c>
    </row>
    <row r="47" spans="2:3" x14ac:dyDescent="0.2">
      <c r="B47" t="s">
        <v>26</v>
      </c>
    </row>
    <row r="48" spans="2:3" x14ac:dyDescent="0.2">
      <c r="C48" t="s">
        <v>27</v>
      </c>
    </row>
    <row r="50" spans="2:3" x14ac:dyDescent="0.2">
      <c r="B50" t="s">
        <v>28</v>
      </c>
    </row>
    <row r="51" spans="2:3" x14ac:dyDescent="0.2">
      <c r="C51" t="s">
        <v>29</v>
      </c>
    </row>
    <row r="52" spans="2:3" x14ac:dyDescent="0.2">
      <c r="C52" s="12" t="s">
        <v>30</v>
      </c>
    </row>
    <row r="53" spans="2:3" x14ac:dyDescent="0.2">
      <c r="C53" t="s">
        <v>31</v>
      </c>
    </row>
    <row r="55" spans="2:3" x14ac:dyDescent="0.2">
      <c r="B55" t="s">
        <v>32</v>
      </c>
    </row>
    <row r="56" spans="2:3" x14ac:dyDescent="0.2">
      <c r="C56" s="12" t="s">
        <v>3052</v>
      </c>
    </row>
    <row r="57" spans="2:3" x14ac:dyDescent="0.2">
      <c r="C57" t="s">
        <v>33</v>
      </c>
    </row>
    <row r="59" spans="2:3" x14ac:dyDescent="0.2">
      <c r="B59" t="s">
        <v>34</v>
      </c>
    </row>
    <row r="60" spans="2:3" x14ac:dyDescent="0.2">
      <c r="C60" t="s">
        <v>35</v>
      </c>
    </row>
    <row r="62" spans="2:3" x14ac:dyDescent="0.2">
      <c r="B62" t="s">
        <v>36</v>
      </c>
    </row>
    <row r="63" spans="2:3" x14ac:dyDescent="0.2">
      <c r="C63" t="s">
        <v>37</v>
      </c>
    </row>
    <row r="64" spans="2:3" x14ac:dyDescent="0.2">
      <c r="C64" t="s">
        <v>38</v>
      </c>
    </row>
    <row r="65" spans="2:3" x14ac:dyDescent="0.2">
      <c r="C65" t="s">
        <v>39</v>
      </c>
    </row>
    <row r="66" spans="2:3" x14ac:dyDescent="0.2">
      <c r="C66" t="s">
        <v>40</v>
      </c>
    </row>
    <row r="67" spans="2:3" x14ac:dyDescent="0.2">
      <c r="C67" t="s">
        <v>41</v>
      </c>
    </row>
    <row r="68" spans="2:3" x14ac:dyDescent="0.2">
      <c r="C68" t="s">
        <v>42</v>
      </c>
    </row>
    <row r="69" spans="2:3" x14ac:dyDescent="0.2">
      <c r="C69" t="s">
        <v>43</v>
      </c>
    </row>
    <row r="71" spans="2:3" x14ac:dyDescent="0.2">
      <c r="B71" s="1" t="s">
        <v>44</v>
      </c>
    </row>
    <row r="72" spans="2:3" x14ac:dyDescent="0.2">
      <c r="B72" t="s">
        <v>45</v>
      </c>
    </row>
    <row r="73" spans="2:3" x14ac:dyDescent="0.2">
      <c r="B73" s="12" t="s">
        <v>3053</v>
      </c>
    </row>
    <row r="74" spans="2:3" x14ac:dyDescent="0.2">
      <c r="C74" s="12" t="s">
        <v>3054</v>
      </c>
    </row>
    <row r="76" spans="2:3" x14ac:dyDescent="0.2">
      <c r="B76" t="s">
        <v>46</v>
      </c>
    </row>
    <row r="77" spans="2:3" x14ac:dyDescent="0.2">
      <c r="C77" s="13" t="s">
        <v>47</v>
      </c>
    </row>
    <row r="78" spans="2:3" x14ac:dyDescent="0.2">
      <c r="B78" t="s">
        <v>48</v>
      </c>
    </row>
    <row r="79" spans="2:3" x14ac:dyDescent="0.2">
      <c r="C79" t="s">
        <v>49</v>
      </c>
    </row>
    <row r="80" spans="2:3" x14ac:dyDescent="0.2">
      <c r="C80" t="s">
        <v>50</v>
      </c>
    </row>
    <row r="81" spans="2:3" x14ac:dyDescent="0.2">
      <c r="C81" t="s">
        <v>51</v>
      </c>
    </row>
    <row r="84" spans="2:3" x14ac:dyDescent="0.2">
      <c r="B84" s="1" t="s">
        <v>52</v>
      </c>
    </row>
    <row r="85" spans="2:3" x14ac:dyDescent="0.2">
      <c r="B85" t="s">
        <v>53</v>
      </c>
    </row>
    <row r="86" spans="2:3" x14ac:dyDescent="0.2">
      <c r="B86" t="s">
        <v>54</v>
      </c>
    </row>
    <row r="87" spans="2:3" x14ac:dyDescent="0.2">
      <c r="B87" t="s">
        <v>55</v>
      </c>
    </row>
    <row r="88" spans="2:3" x14ac:dyDescent="0.2">
      <c r="B88" t="s">
        <v>56</v>
      </c>
    </row>
    <row r="89" spans="2:3" x14ac:dyDescent="0.2">
      <c r="B89" t="s">
        <v>57</v>
      </c>
    </row>
    <row r="90" spans="2:3" x14ac:dyDescent="0.2">
      <c r="B90" t="s">
        <v>58</v>
      </c>
    </row>
    <row r="91" spans="2:3" x14ac:dyDescent="0.2">
      <c r="B91" t="s">
        <v>59</v>
      </c>
    </row>
  </sheetData>
  <phoneticPr fontId="1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60</v>
      </c>
      <c r="B1" s="13"/>
    </row>
    <row r="4" spans="1:6" ht="17.25" customHeight="1" x14ac:dyDescent="0.2"/>
    <row r="5" spans="1:6" ht="17.25" customHeight="1" x14ac:dyDescent="0.2">
      <c r="C5" s="2"/>
    </row>
    <row r="6" spans="1:6" ht="15.75" customHeight="1" x14ac:dyDescent="0.2"/>
    <row r="7" spans="1:6" x14ac:dyDescent="0.2">
      <c r="B7" s="3" t="s">
        <v>61</v>
      </c>
      <c r="C7" s="1" t="s">
        <v>62</v>
      </c>
      <c r="D7" s="1" t="s">
        <v>63</v>
      </c>
      <c r="E7" s="1" t="s">
        <v>64</v>
      </c>
      <c r="F7" s="1" t="s">
        <v>65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5303"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55303" r:id="rId4" name="cmdRefreshUnits"/>
      </mc:Fallback>
    </mc:AlternateContent>
    <mc:AlternateContent xmlns:mc="http://schemas.openxmlformats.org/markup-compatibility/2006">
      <mc:Choice Requires="x14">
        <control shapeId="55302" r:id="rId6" name="cmdCommUnit">
          <controlPr defaultSize="0" autoLine="0" r:id="rId7">
            <anchor moveWithCells="1">
              <from>
                <xdr:col>3</xdr:col>
                <xdr:colOff>9525</xdr:colOff>
                <xdr:row>4</xdr:row>
                <xdr:rowOff>171450</xdr:rowOff>
              </from>
              <to>
                <xdr:col>3</xdr:col>
                <xdr:colOff>676275</xdr:colOff>
                <xdr:row>5</xdr:row>
                <xdr:rowOff>190500</xdr:rowOff>
              </to>
            </anchor>
          </controlPr>
        </control>
      </mc:Choice>
      <mc:Fallback>
        <control shapeId="55302" r:id="rId6" name="cmdCommUnit"/>
      </mc:Fallback>
    </mc:AlternateContent>
    <mc:AlternateContent xmlns:mc="http://schemas.openxmlformats.org/markup-compatibility/2006">
      <mc:Choice Requires="x14">
        <control shapeId="55301"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55301" r:id="rId8" name="cmdCheckCommoditiesSheet"/>
      </mc:Fallback>
    </mc:AlternateContent>
    <mc:AlternateContent xmlns:mc="http://schemas.openxmlformats.org/markup-compatibility/2006">
      <mc:Choice Requires="x14">
        <control shapeId="55300" r:id="rId10" name="cmdMaterialSets">
          <controlPr defaultSize="0" autoLine="0" r:id="rId11">
            <anchor moveWithCells="1">
              <from>
                <xdr:col>4</xdr:col>
                <xdr:colOff>1000125</xdr:colOff>
                <xdr:row>3</xdr:row>
                <xdr:rowOff>95250</xdr:rowOff>
              </from>
              <to>
                <xdr:col>4</xdr:col>
                <xdr:colOff>1971675</xdr:colOff>
                <xdr:row>4</xdr:row>
                <xdr:rowOff>114300</xdr:rowOff>
              </to>
            </anchor>
          </controlPr>
        </control>
      </mc:Choice>
      <mc:Fallback>
        <control shapeId="55300" r:id="rId10" name="cmdMaterialSets"/>
      </mc:Fallback>
    </mc:AlternateContent>
    <mc:AlternateContent xmlns:mc="http://schemas.openxmlformats.org/markup-compatibility/2006">
      <mc:Choice Requires="x14">
        <control shapeId="55299" r:id="rId12" name="cmdEmissionSets">
          <controlPr defaultSize="0" autoLine="0" r:id="rId13">
            <anchor moveWithCells="1">
              <from>
                <xdr:col>4</xdr:col>
                <xdr:colOff>1000125</xdr:colOff>
                <xdr:row>4</xdr:row>
                <xdr:rowOff>171450</xdr:rowOff>
              </from>
              <to>
                <xdr:col>4</xdr:col>
                <xdr:colOff>1971675</xdr:colOff>
                <xdr:row>5</xdr:row>
                <xdr:rowOff>190500</xdr:rowOff>
              </to>
            </anchor>
          </controlPr>
        </control>
      </mc:Choice>
      <mc:Fallback>
        <control shapeId="55299" r:id="rId12" name="cmdEmissionSets"/>
      </mc:Fallback>
    </mc:AlternateContent>
    <mc:AlternateContent xmlns:mc="http://schemas.openxmlformats.org/markup-compatibility/2006">
      <mc:Choice Requires="x14">
        <control shapeId="55298" r:id="rId14" name="cmdDemandSets">
          <controlPr defaultSize="0" autoLine="0" r:id="rId15">
            <anchor moveWithCells="1">
              <from>
                <xdr:col>4</xdr:col>
                <xdr:colOff>9525</xdr:colOff>
                <xdr:row>4</xdr:row>
                <xdr:rowOff>171450</xdr:rowOff>
              </from>
              <to>
                <xdr:col>4</xdr:col>
                <xdr:colOff>981075</xdr:colOff>
                <xdr:row>5</xdr:row>
                <xdr:rowOff>190500</xdr:rowOff>
              </to>
            </anchor>
          </controlPr>
        </control>
      </mc:Choice>
      <mc:Fallback>
        <control shapeId="55298" r:id="rId14" name="cmdDemandSets"/>
      </mc:Fallback>
    </mc:AlternateContent>
    <mc:AlternateContent xmlns:mc="http://schemas.openxmlformats.org/markup-compatibility/2006">
      <mc:Choice Requires="x14">
        <control shapeId="55297" r:id="rId16" name="cmdEnergySets">
          <controlPr defaultSize="0" autoLine="0" r:id="rId17">
            <anchor moveWithCells="1">
              <from>
                <xdr:col>4</xdr:col>
                <xdr:colOff>9525</xdr:colOff>
                <xdr:row>3</xdr:row>
                <xdr:rowOff>95250</xdr:rowOff>
              </from>
              <to>
                <xdr:col>4</xdr:col>
                <xdr:colOff>981075</xdr:colOff>
                <xdr:row>4</xdr:row>
                <xdr:rowOff>114300</xdr:rowOff>
              </to>
            </anchor>
          </controlPr>
        </control>
      </mc:Choice>
      <mc:Fallback>
        <control shapeId="55297" r:id="rId16" name="cmdEnergySets"/>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60</v>
      </c>
      <c r="B1" s="13"/>
    </row>
    <row r="4" spans="1:6" ht="17.25" customHeight="1" x14ac:dyDescent="0.2"/>
    <row r="5" spans="1:6" ht="17.25" customHeight="1" x14ac:dyDescent="0.2">
      <c r="C5" s="2"/>
    </row>
    <row r="6" spans="1:6" ht="15.75" customHeight="1" x14ac:dyDescent="0.2"/>
    <row r="7" spans="1:6" x14ac:dyDescent="0.2">
      <c r="B7" s="3" t="s">
        <v>61</v>
      </c>
      <c r="C7" s="1" t="s">
        <v>62</v>
      </c>
      <c r="D7" s="1" t="s">
        <v>63</v>
      </c>
      <c r="E7" s="1" t="s">
        <v>64</v>
      </c>
      <c r="F7" s="1" t="s">
        <v>65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542925</xdr:colOff>
                <xdr:row>2</xdr:row>
                <xdr:rowOff>0</xdr:rowOff>
              </from>
              <to>
                <xdr:col>4</xdr:col>
                <xdr:colOff>1514475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9525</xdr:colOff>
                <xdr:row>4</xdr:row>
                <xdr:rowOff>171450</xdr:rowOff>
              </from>
              <to>
                <xdr:col>3</xdr:col>
                <xdr:colOff>676275</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9525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1000125</xdr:colOff>
                <xdr:row>3</xdr:row>
                <xdr:rowOff>95250</xdr:rowOff>
              </from>
              <to>
                <xdr:col>4</xdr:col>
                <xdr:colOff>1971675</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1000125</xdr:colOff>
                <xdr:row>4</xdr:row>
                <xdr:rowOff>171450</xdr:rowOff>
              </from>
              <to>
                <xdr:col>4</xdr:col>
                <xdr:colOff>1971675</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9525</xdr:colOff>
                <xdr:row>4</xdr:row>
                <xdr:rowOff>171450</xdr:rowOff>
              </from>
              <to>
                <xdr:col>4</xdr:col>
                <xdr:colOff>981075</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9525</xdr:colOff>
                <xdr:row>3</xdr:row>
                <xdr:rowOff>95250</xdr:rowOff>
              </from>
              <to>
                <xdr:col>4</xdr:col>
                <xdr:colOff>981075</xdr:colOff>
                <xdr:row>4</xdr:row>
                <xdr:rowOff>114300</xdr:rowOff>
              </to>
            </anchor>
          </controlPr>
        </control>
      </mc:Choice>
      <mc:Fallback>
        <control shapeId="2049" r:id="rId18" name="cmdEnergySets"/>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C000"/>
  </sheetPr>
  <dimension ref="B1:O83"/>
  <sheetViews>
    <sheetView zoomScale="80" zoomScaleNormal="80" workbookViewId="0">
      <pane xSplit="5" ySplit="7" topLeftCell="F23" activePane="bottomRight" state="frozen"/>
      <selection pane="topRight" activeCell="V30" sqref="V30"/>
      <selection pane="bottomLeft" activeCell="V30" sqref="V30"/>
      <selection pane="bottomRight" activeCell="A23" sqref="A23:XFD33"/>
    </sheetView>
  </sheetViews>
  <sheetFormatPr defaultColWidth="9.140625" defaultRowHeight="12.75" x14ac:dyDescent="0.2"/>
  <cols>
    <col min="1" max="1" width="9.140625" style="251"/>
    <col min="2" max="2" width="19.140625" style="251" customWidth="1"/>
    <col min="3" max="3" width="29.7109375" style="251" customWidth="1"/>
    <col min="4" max="4" width="13.42578125" style="251" bestFit="1" customWidth="1"/>
    <col min="5" max="5" width="45.85546875" style="251" customWidth="1"/>
    <col min="6" max="7" width="10.28515625" style="251" customWidth="1"/>
    <col min="8" max="8" width="9.140625" style="251" customWidth="1"/>
    <col min="9" max="16384" width="9.140625" style="251"/>
  </cols>
  <sheetData>
    <row r="1" spans="2:15" x14ac:dyDescent="0.2">
      <c r="B1" s="249"/>
      <c r="D1" s="250"/>
    </row>
    <row r="4" spans="2:15" ht="17.25" customHeight="1" x14ac:dyDescent="0.2"/>
    <row r="5" spans="2:15" ht="17.25" customHeight="1" x14ac:dyDescent="0.2">
      <c r="E5" s="252"/>
    </row>
    <row r="6" spans="2:15" ht="15.75" customHeight="1" x14ac:dyDescent="0.2">
      <c r="B6" s="253" t="s">
        <v>3055</v>
      </c>
      <c r="C6" s="13"/>
      <c r="D6"/>
      <c r="E6"/>
      <c r="F6" s="13"/>
      <c r="G6"/>
      <c r="H6"/>
      <c r="I6"/>
      <c r="J6"/>
      <c r="K6"/>
      <c r="L6"/>
      <c r="M6"/>
      <c r="N6"/>
      <c r="O6"/>
    </row>
    <row r="7" spans="2:15" x14ac:dyDescent="0.2">
      <c r="B7" s="254" t="s">
        <v>389</v>
      </c>
      <c r="C7" s="254" t="s">
        <v>3056</v>
      </c>
      <c r="D7" s="254" t="s">
        <v>61</v>
      </c>
      <c r="E7" s="254" t="s">
        <v>62</v>
      </c>
      <c r="F7" s="254" t="s">
        <v>2609</v>
      </c>
      <c r="G7" s="254" t="s">
        <v>3057</v>
      </c>
      <c r="H7" s="254" t="s">
        <v>3058</v>
      </c>
      <c r="I7" s="254" t="s">
        <v>3059</v>
      </c>
      <c r="J7" s="254" t="s">
        <v>3060</v>
      </c>
      <c r="K7"/>
      <c r="L7"/>
      <c r="M7"/>
      <c r="N7"/>
      <c r="O7" t="s">
        <v>65</v>
      </c>
    </row>
    <row r="8" spans="2:15" x14ac:dyDescent="0.2">
      <c r="B8" s="258" t="s">
        <v>142</v>
      </c>
      <c r="C8" s="259"/>
      <c r="D8" s="259"/>
      <c r="E8" s="259"/>
      <c r="F8" s="259"/>
      <c r="G8" s="259"/>
      <c r="H8" s="260"/>
      <c r="I8" s="261"/>
      <c r="J8" s="261"/>
    </row>
    <row r="9" spans="2:15" x14ac:dyDescent="0.2">
      <c r="B9" s="255" t="s">
        <v>68</v>
      </c>
      <c r="C9" s="255" t="s">
        <v>3062</v>
      </c>
      <c r="D9" s="255" t="s">
        <v>143</v>
      </c>
      <c r="E9" s="255" t="s">
        <v>144</v>
      </c>
      <c r="F9" s="255" t="s">
        <v>145</v>
      </c>
      <c r="G9" s="255"/>
      <c r="H9" s="256"/>
      <c r="I9" s="256"/>
      <c r="J9" s="256"/>
    </row>
    <row r="10" spans="2:15" s="250" customFormat="1" x14ac:dyDescent="0.2">
      <c r="B10" s="258" t="s">
        <v>146</v>
      </c>
      <c r="C10" s="259"/>
      <c r="D10" s="259"/>
      <c r="E10" s="259"/>
      <c r="F10" s="259"/>
      <c r="G10" s="259"/>
      <c r="H10" s="260"/>
      <c r="I10" s="261"/>
      <c r="J10" s="261"/>
    </row>
    <row r="11" spans="2:15" s="250" customFormat="1" x14ac:dyDescent="0.2">
      <c r="B11" s="255" t="s">
        <v>72</v>
      </c>
      <c r="C11" s="255" t="s">
        <v>150</v>
      </c>
      <c r="D11" s="255" t="s">
        <v>168</v>
      </c>
      <c r="E11" s="255" t="s">
        <v>169</v>
      </c>
      <c r="F11" s="255" t="s">
        <v>153</v>
      </c>
      <c r="G11" s="255"/>
      <c r="H11" s="256"/>
      <c r="I11" s="257"/>
      <c r="J11" s="257"/>
    </row>
    <row r="12" spans="2:15" x14ac:dyDescent="0.2">
      <c r="B12" s="255" t="s">
        <v>72</v>
      </c>
      <c r="C12" s="255" t="s">
        <v>150</v>
      </c>
      <c r="D12" s="255" t="s">
        <v>174</v>
      </c>
      <c r="E12" s="255" t="s">
        <v>175</v>
      </c>
      <c r="F12" s="255" t="s">
        <v>153</v>
      </c>
      <c r="G12" s="255"/>
      <c r="H12" s="256"/>
      <c r="I12" s="256"/>
      <c r="J12" s="256"/>
    </row>
    <row r="13" spans="2:15" x14ac:dyDescent="0.2">
      <c r="B13" s="255" t="s">
        <v>72</v>
      </c>
      <c r="C13" s="255" t="s">
        <v>150</v>
      </c>
      <c r="D13" s="255" t="s">
        <v>176</v>
      </c>
      <c r="E13" s="255" t="s">
        <v>177</v>
      </c>
      <c r="F13" s="255" t="s">
        <v>153</v>
      </c>
      <c r="G13" s="255"/>
      <c r="H13" s="256"/>
      <c r="I13" s="256"/>
      <c r="J13" s="256"/>
    </row>
    <row r="14" spans="2:15" x14ac:dyDescent="0.2">
      <c r="B14" s="255" t="s">
        <v>72</v>
      </c>
      <c r="C14" s="255" t="s">
        <v>150</v>
      </c>
      <c r="D14" s="255" t="s">
        <v>178</v>
      </c>
      <c r="E14" s="255" t="s">
        <v>179</v>
      </c>
      <c r="F14" s="255" t="s">
        <v>153</v>
      </c>
      <c r="G14" s="255"/>
      <c r="H14" s="256"/>
      <c r="I14" s="256"/>
      <c r="J14" s="256"/>
    </row>
    <row r="15" spans="2:15" x14ac:dyDescent="0.2">
      <c r="B15" s="255" t="s">
        <v>72</v>
      </c>
      <c r="C15" s="255" t="s">
        <v>150</v>
      </c>
      <c r="D15" s="255" t="s">
        <v>180</v>
      </c>
      <c r="E15" s="255" t="s">
        <v>181</v>
      </c>
      <c r="F15" s="255" t="s">
        <v>153</v>
      </c>
      <c r="G15" s="255"/>
      <c r="H15" s="256"/>
      <c r="I15" s="256"/>
      <c r="J15" s="256"/>
    </row>
    <row r="16" spans="2:15" x14ac:dyDescent="0.2">
      <c r="B16" s="255" t="s">
        <v>72</v>
      </c>
      <c r="C16" s="255" t="s">
        <v>150</v>
      </c>
      <c r="D16" s="255" t="s">
        <v>182</v>
      </c>
      <c r="E16" s="255" t="s">
        <v>183</v>
      </c>
      <c r="F16" s="255" t="s">
        <v>153</v>
      </c>
      <c r="G16" s="255"/>
      <c r="H16" s="256"/>
      <c r="I16" s="256"/>
      <c r="J16" s="256"/>
    </row>
    <row r="17" spans="2:15" x14ac:dyDescent="0.2">
      <c r="B17" s="328"/>
      <c r="C17" s="328"/>
      <c r="D17" s="328"/>
      <c r="E17" s="328"/>
      <c r="F17" s="328"/>
      <c r="G17" s="328"/>
      <c r="H17" s="328"/>
      <c r="I17" s="328"/>
      <c r="J17" s="328"/>
      <c r="K17"/>
      <c r="L17"/>
      <c r="M17"/>
      <c r="N17"/>
      <c r="O17"/>
    </row>
    <row r="18" spans="2:15" x14ac:dyDescent="0.2">
      <c r="B18" s="328"/>
      <c r="C18" s="328"/>
      <c r="D18" s="328"/>
      <c r="E18" s="328"/>
      <c r="F18" s="328"/>
      <c r="G18" s="328"/>
      <c r="H18" s="328"/>
      <c r="I18" s="328"/>
      <c r="J18" s="328"/>
      <c r="K18"/>
      <c r="L18"/>
      <c r="M18"/>
      <c r="N18"/>
      <c r="O18"/>
    </row>
    <row r="19" spans="2:15" x14ac:dyDescent="0.2">
      <c r="B19" s="328"/>
      <c r="C19" s="328"/>
      <c r="D19" s="328"/>
      <c r="E19" s="328"/>
      <c r="F19" s="328"/>
      <c r="G19" s="328"/>
      <c r="H19" s="328"/>
      <c r="I19" s="328"/>
      <c r="J19" s="328"/>
      <c r="K19"/>
      <c r="L19"/>
      <c r="M19"/>
      <c r="N19"/>
      <c r="O19"/>
    </row>
    <row r="20" spans="2:15" x14ac:dyDescent="0.2">
      <c r="B20" s="328"/>
      <c r="C20" s="328"/>
      <c r="D20" s="328"/>
      <c r="E20" s="328"/>
      <c r="F20" s="328"/>
      <c r="G20" s="328"/>
      <c r="H20" s="328"/>
      <c r="I20" s="328"/>
      <c r="J20" s="328"/>
      <c r="K20"/>
      <c r="L20"/>
      <c r="M20"/>
      <c r="N20"/>
      <c r="O20"/>
    </row>
    <row r="21" spans="2:15" x14ac:dyDescent="0.2">
      <c r="B21" s="328"/>
      <c r="C21" s="328"/>
      <c r="D21" s="328"/>
      <c r="E21" s="328"/>
      <c r="F21" s="328"/>
      <c r="G21" s="328"/>
      <c r="H21" s="328"/>
      <c r="I21" s="328"/>
      <c r="J21" s="328"/>
      <c r="K21"/>
      <c r="L21"/>
      <c r="M21"/>
      <c r="N21"/>
      <c r="O21"/>
    </row>
    <row r="22" spans="2:15" x14ac:dyDescent="0.2">
      <c r="B22" s="328"/>
      <c r="C22" s="328"/>
      <c r="D22" s="328"/>
      <c r="E22" s="328"/>
      <c r="F22" s="328"/>
      <c r="G22" s="328"/>
      <c r="H22" s="328"/>
      <c r="I22" s="328"/>
      <c r="J22" s="328"/>
      <c r="K22"/>
      <c r="L22"/>
      <c r="M22"/>
      <c r="N22"/>
      <c r="O22"/>
    </row>
    <row r="23" spans="2:15" x14ac:dyDescent="0.2">
      <c r="B23" s="258" t="s">
        <v>67</v>
      </c>
      <c r="C23" s="259"/>
      <c r="D23" s="259"/>
      <c r="E23" s="259"/>
      <c r="F23" s="259"/>
      <c r="G23" s="259"/>
      <c r="H23" s="260"/>
      <c r="I23" s="261"/>
      <c r="J23" s="261"/>
    </row>
    <row r="24" spans="2:15" x14ac:dyDescent="0.2">
      <c r="B24" s="255" t="s">
        <v>68</v>
      </c>
      <c r="C24" s="255" t="s">
        <v>3061</v>
      </c>
      <c r="D24" s="255" t="s">
        <v>89</v>
      </c>
      <c r="E24" s="255" t="s">
        <v>90</v>
      </c>
      <c r="F24" s="255" t="s">
        <v>71</v>
      </c>
      <c r="G24" s="255"/>
      <c r="H24" s="256"/>
      <c r="I24" s="256"/>
      <c r="J24" s="256"/>
    </row>
    <row r="25" spans="2:15" x14ac:dyDescent="0.2">
      <c r="B25" s="255" t="s">
        <v>68</v>
      </c>
      <c r="C25" s="255" t="s">
        <v>3061</v>
      </c>
      <c r="D25" s="255" t="s">
        <v>111</v>
      </c>
      <c r="E25" s="255" t="s">
        <v>112</v>
      </c>
      <c r="F25" s="255" t="s">
        <v>71</v>
      </c>
      <c r="G25" s="255"/>
      <c r="H25" s="256"/>
      <c r="I25" s="256"/>
      <c r="J25" s="256"/>
    </row>
    <row r="26" spans="2:15" x14ac:dyDescent="0.2">
      <c r="B26" s="255" t="s">
        <v>72</v>
      </c>
      <c r="C26" s="255" t="s">
        <v>3061</v>
      </c>
      <c r="D26" s="255" t="s">
        <v>95</v>
      </c>
      <c r="E26" s="255" t="s">
        <v>96</v>
      </c>
      <c r="F26" s="255" t="s">
        <v>71</v>
      </c>
      <c r="G26" s="255"/>
      <c r="H26" s="256"/>
      <c r="I26" s="256"/>
      <c r="J26" s="256"/>
    </row>
    <row r="27" spans="2:15" x14ac:dyDescent="0.2">
      <c r="B27" s="255" t="s">
        <v>72</v>
      </c>
      <c r="C27" s="255" t="s">
        <v>3061</v>
      </c>
      <c r="D27" s="255" t="s">
        <v>75</v>
      </c>
      <c r="E27" s="255" t="s">
        <v>76</v>
      </c>
      <c r="F27" s="255" t="s">
        <v>71</v>
      </c>
      <c r="G27" s="255"/>
      <c r="H27" s="256"/>
      <c r="I27" s="256"/>
      <c r="J27" s="256"/>
    </row>
    <row r="28" spans="2:15" x14ac:dyDescent="0.2">
      <c r="B28" s="255" t="s">
        <v>68</v>
      </c>
      <c r="C28" s="255" t="s">
        <v>3061</v>
      </c>
      <c r="D28" s="255" t="s">
        <v>79</v>
      </c>
      <c r="E28" s="255" t="s">
        <v>80</v>
      </c>
      <c r="F28" s="255" t="s">
        <v>71</v>
      </c>
      <c r="G28" s="255"/>
      <c r="H28" s="256"/>
      <c r="I28" s="256"/>
      <c r="J28" s="256"/>
    </row>
    <row r="29" spans="2:15" x14ac:dyDescent="0.2">
      <c r="B29" s="255" t="s">
        <v>72</v>
      </c>
      <c r="C29" s="255" t="s">
        <v>3061</v>
      </c>
      <c r="D29" s="255" t="s">
        <v>81</v>
      </c>
      <c r="E29" s="255" t="s">
        <v>82</v>
      </c>
      <c r="F29" s="255" t="s">
        <v>71</v>
      </c>
      <c r="G29" s="255"/>
      <c r="H29" s="256"/>
      <c r="I29" s="256"/>
      <c r="J29" s="256"/>
    </row>
    <row r="30" spans="2:15" x14ac:dyDescent="0.2">
      <c r="B30" s="255" t="s">
        <v>72</v>
      </c>
      <c r="C30" s="255" t="s">
        <v>3061</v>
      </c>
      <c r="D30" s="255" t="s">
        <v>109</v>
      </c>
      <c r="E30" s="255" t="s">
        <v>110</v>
      </c>
      <c r="F30" s="255" t="s">
        <v>71</v>
      </c>
      <c r="G30" s="255"/>
      <c r="H30" s="256"/>
      <c r="I30" s="256"/>
      <c r="J30" s="256"/>
    </row>
    <row r="31" spans="2:15" x14ac:dyDescent="0.2">
      <c r="B31" s="255" t="s">
        <v>72</v>
      </c>
      <c r="C31" s="255" t="s">
        <v>3061</v>
      </c>
      <c r="D31" s="255" t="s">
        <v>107</v>
      </c>
      <c r="E31" s="255" t="s">
        <v>108</v>
      </c>
      <c r="F31" s="255" t="s">
        <v>71</v>
      </c>
      <c r="G31" s="255"/>
      <c r="H31" s="256"/>
      <c r="I31" s="256"/>
      <c r="J31" s="256"/>
    </row>
    <row r="32" spans="2:15" x14ac:dyDescent="0.2">
      <c r="B32" s="255" t="s">
        <v>68</v>
      </c>
      <c r="C32" s="255" t="s">
        <v>3061</v>
      </c>
      <c r="D32" s="255" t="s">
        <v>99</v>
      </c>
      <c r="E32" s="255" t="s">
        <v>100</v>
      </c>
      <c r="F32" s="255" t="s">
        <v>71</v>
      </c>
      <c r="G32" s="255"/>
      <c r="H32" s="256"/>
      <c r="I32" s="256"/>
      <c r="J32" s="256"/>
    </row>
    <row r="33" spans="2:15" x14ac:dyDescent="0.2">
      <c r="B33" s="255" t="s">
        <v>68</v>
      </c>
      <c r="C33" s="255" t="s">
        <v>3061</v>
      </c>
      <c r="D33" s="255" t="s">
        <v>105</v>
      </c>
      <c r="E33" s="255" t="s">
        <v>106</v>
      </c>
      <c r="F33" s="255" t="s">
        <v>71</v>
      </c>
      <c r="G33" s="255"/>
      <c r="H33" s="256"/>
      <c r="I33" s="256"/>
      <c r="J33" s="256"/>
    </row>
    <row r="34" spans="2:15" x14ac:dyDescent="0.2">
      <c r="B34" s="328"/>
      <c r="C34" s="328"/>
      <c r="D34" s="328"/>
      <c r="E34" s="328"/>
      <c r="F34" s="328"/>
      <c r="G34" s="328"/>
      <c r="H34" s="328"/>
      <c r="I34" s="328"/>
      <c r="J34" s="328"/>
      <c r="K34"/>
      <c r="L34"/>
      <c r="M34"/>
      <c r="N34"/>
      <c r="O34"/>
    </row>
    <row r="35" spans="2:15" x14ac:dyDescent="0.2">
      <c r="B35" s="328"/>
      <c r="C35" s="328"/>
      <c r="D35" s="328"/>
      <c r="E35" s="328"/>
      <c r="F35" s="328"/>
      <c r="G35" s="328"/>
      <c r="H35" s="328"/>
      <c r="I35" s="328"/>
      <c r="J35" s="328"/>
      <c r="K35"/>
      <c r="L35"/>
      <c r="M35"/>
      <c r="N35"/>
      <c r="O35"/>
    </row>
    <row r="36" spans="2:15" x14ac:dyDescent="0.2">
      <c r="B36" s="328"/>
      <c r="C36" s="328"/>
      <c r="D36" s="328"/>
      <c r="E36" s="328"/>
      <c r="F36" s="328"/>
      <c r="G36" s="328"/>
      <c r="H36" s="328"/>
      <c r="I36" s="328"/>
      <c r="J36" s="328"/>
      <c r="K36"/>
      <c r="L36"/>
      <c r="M36"/>
      <c r="N36"/>
      <c r="O36"/>
    </row>
    <row r="37" spans="2:15" x14ac:dyDescent="0.2">
      <c r="B37" s="328"/>
      <c r="C37" s="328"/>
      <c r="D37" s="328"/>
      <c r="E37" s="328"/>
      <c r="F37" s="328"/>
      <c r="G37" s="328"/>
      <c r="H37" s="328"/>
      <c r="I37" s="328"/>
      <c r="J37" s="328"/>
      <c r="K37"/>
      <c r="L37"/>
      <c r="M37"/>
      <c r="N37"/>
      <c r="O37"/>
    </row>
    <row r="38" spans="2:15" x14ac:dyDescent="0.2">
      <c r="B38" s="328"/>
      <c r="C38" s="328"/>
      <c r="D38" s="328"/>
      <c r="E38" s="328"/>
      <c r="F38" s="328"/>
      <c r="G38" s="328"/>
      <c r="H38" s="328"/>
      <c r="I38" s="328"/>
      <c r="J38" s="328"/>
      <c r="K38"/>
      <c r="L38"/>
      <c r="M38"/>
      <c r="N38"/>
      <c r="O38"/>
    </row>
    <row r="39" spans="2:15" x14ac:dyDescent="0.2">
      <c r="B39" s="328"/>
      <c r="C39" s="328"/>
      <c r="D39" s="328"/>
      <c r="E39" s="328"/>
      <c r="F39" s="328"/>
      <c r="G39" s="328"/>
      <c r="H39" s="328"/>
      <c r="I39" s="328"/>
      <c r="J39" s="328"/>
      <c r="K39"/>
      <c r="L39"/>
      <c r="M39"/>
      <c r="N39"/>
      <c r="O39"/>
    </row>
    <row r="40" spans="2:15" x14ac:dyDescent="0.2">
      <c r="B40" s="328"/>
      <c r="C40" s="328"/>
      <c r="D40" s="328"/>
      <c r="E40" s="328"/>
      <c r="F40" s="328"/>
      <c r="G40" s="328"/>
      <c r="H40" s="328"/>
      <c r="I40" s="328"/>
      <c r="J40" s="328"/>
      <c r="K40"/>
      <c r="L40"/>
      <c r="M40"/>
      <c r="N40"/>
      <c r="O40"/>
    </row>
    <row r="41" spans="2:15" x14ac:dyDescent="0.2">
      <c r="B41" s="328"/>
      <c r="C41" s="328"/>
      <c r="D41" s="328"/>
      <c r="E41" s="328"/>
      <c r="F41" s="328"/>
      <c r="G41" s="328"/>
      <c r="H41" s="328"/>
      <c r="I41" s="328"/>
      <c r="J41" s="328"/>
      <c r="K41"/>
      <c r="L41"/>
      <c r="M41"/>
      <c r="N41"/>
      <c r="O41"/>
    </row>
    <row r="42" spans="2:15" x14ac:dyDescent="0.2">
      <c r="B42" s="328"/>
      <c r="C42" s="328"/>
      <c r="D42" s="328"/>
      <c r="E42" s="328"/>
      <c r="F42" s="328"/>
      <c r="G42" s="328"/>
      <c r="H42" s="328"/>
      <c r="I42" s="328"/>
      <c r="J42" s="328"/>
      <c r="K42"/>
      <c r="L42"/>
      <c r="M42"/>
      <c r="N42"/>
      <c r="O42"/>
    </row>
    <row r="43" spans="2:15" x14ac:dyDescent="0.2">
      <c r="B43" s="328"/>
      <c r="C43" s="328"/>
      <c r="D43" s="328"/>
      <c r="E43" s="328"/>
      <c r="F43" s="328"/>
      <c r="G43" s="328"/>
      <c r="H43" s="328"/>
      <c r="I43" s="328"/>
      <c r="J43" s="328"/>
      <c r="K43"/>
      <c r="L43"/>
      <c r="M43"/>
      <c r="N43"/>
      <c r="O43"/>
    </row>
    <row r="44" spans="2:15" x14ac:dyDescent="0.2">
      <c r="B44" s="258" t="s">
        <v>67</v>
      </c>
      <c r="C44" s="259"/>
      <c r="D44" s="259"/>
      <c r="E44" s="259"/>
      <c r="F44" s="259"/>
      <c r="G44" s="259"/>
      <c r="H44" s="260"/>
      <c r="I44" s="261"/>
      <c r="J44" s="261"/>
    </row>
    <row r="45" spans="2:15" x14ac:dyDescent="0.2">
      <c r="B45" s="255" t="s">
        <v>68</v>
      </c>
      <c r="C45" s="255" t="s">
        <v>3061</v>
      </c>
      <c r="D45" s="255" t="s">
        <v>69</v>
      </c>
      <c r="E45" s="255" t="s">
        <v>70</v>
      </c>
      <c r="F45" s="255" t="s">
        <v>71</v>
      </c>
      <c r="G45" s="255"/>
      <c r="H45" s="256"/>
      <c r="I45" s="256"/>
      <c r="J45" s="256"/>
    </row>
    <row r="46" spans="2:15" x14ac:dyDescent="0.2">
      <c r="B46" s="255" t="s">
        <v>72</v>
      </c>
      <c r="C46" s="255" t="s">
        <v>3061</v>
      </c>
      <c r="D46" s="255" t="s">
        <v>73</v>
      </c>
      <c r="E46" s="255" t="s">
        <v>74</v>
      </c>
      <c r="F46" s="255" t="s">
        <v>71</v>
      </c>
      <c r="G46" s="255"/>
      <c r="H46" s="256"/>
      <c r="I46" s="256"/>
      <c r="J46" s="256"/>
    </row>
    <row r="47" spans="2:15" x14ac:dyDescent="0.2">
      <c r="B47" s="255" t="s">
        <v>72</v>
      </c>
      <c r="C47" s="255" t="s">
        <v>3061</v>
      </c>
      <c r="D47" s="255" t="s">
        <v>77</v>
      </c>
      <c r="E47" s="255" t="s">
        <v>78</v>
      </c>
      <c r="F47" s="255" t="s">
        <v>71</v>
      </c>
      <c r="G47" s="255"/>
      <c r="H47" s="256"/>
      <c r="I47" s="256"/>
      <c r="J47" s="256"/>
    </row>
    <row r="48" spans="2:15" x14ac:dyDescent="0.2">
      <c r="B48" s="255" t="s">
        <v>72</v>
      </c>
      <c r="C48" s="255" t="s">
        <v>3061</v>
      </c>
      <c r="D48" s="255" t="s">
        <v>81</v>
      </c>
      <c r="E48" s="255" t="s">
        <v>82</v>
      </c>
      <c r="F48" s="255" t="s">
        <v>71</v>
      </c>
      <c r="G48" s="255"/>
      <c r="H48" s="256"/>
      <c r="I48" s="256"/>
      <c r="J48" s="256"/>
    </row>
    <row r="49" spans="2:10" x14ac:dyDescent="0.2">
      <c r="B49" s="255" t="s">
        <v>72</v>
      </c>
      <c r="C49" s="255" t="s">
        <v>3061</v>
      </c>
      <c r="D49" s="255" t="s">
        <v>83</v>
      </c>
      <c r="E49" s="255" t="s">
        <v>84</v>
      </c>
      <c r="F49" s="255" t="s">
        <v>71</v>
      </c>
      <c r="G49" s="255"/>
      <c r="H49" s="256"/>
      <c r="I49" s="256"/>
      <c r="J49" s="256"/>
    </row>
    <row r="50" spans="2:10" x14ac:dyDescent="0.2">
      <c r="B50" s="255" t="s">
        <v>72</v>
      </c>
      <c r="C50" s="255" t="s">
        <v>3061</v>
      </c>
      <c r="D50" s="255" t="s">
        <v>85</v>
      </c>
      <c r="E50" s="255" t="s">
        <v>86</v>
      </c>
      <c r="F50" s="255" t="s">
        <v>71</v>
      </c>
      <c r="G50" s="255"/>
      <c r="H50" s="256"/>
      <c r="I50" s="256"/>
      <c r="J50" s="256"/>
    </row>
    <row r="51" spans="2:10" x14ac:dyDescent="0.2">
      <c r="B51" s="255" t="s">
        <v>72</v>
      </c>
      <c r="C51" s="255" t="s">
        <v>3061</v>
      </c>
      <c r="D51" s="255" t="s">
        <v>87</v>
      </c>
      <c r="E51" s="255" t="s">
        <v>88</v>
      </c>
      <c r="F51" s="255" t="s">
        <v>71</v>
      </c>
      <c r="G51" s="255"/>
      <c r="H51" s="256"/>
      <c r="I51" s="256"/>
      <c r="J51" s="256"/>
    </row>
    <row r="52" spans="2:10" x14ac:dyDescent="0.2">
      <c r="B52" s="255" t="s">
        <v>72</v>
      </c>
      <c r="C52" s="255" t="s">
        <v>3061</v>
      </c>
      <c r="D52" s="255" t="s">
        <v>91</v>
      </c>
      <c r="E52" s="255" t="s">
        <v>92</v>
      </c>
      <c r="F52" s="255" t="s">
        <v>71</v>
      </c>
      <c r="G52" s="255"/>
      <c r="H52" s="256"/>
      <c r="I52" s="256"/>
      <c r="J52" s="256"/>
    </row>
    <row r="53" spans="2:10" x14ac:dyDescent="0.2">
      <c r="B53" s="255" t="s">
        <v>72</v>
      </c>
      <c r="C53" s="255" t="s">
        <v>3061</v>
      </c>
      <c r="D53" s="255" t="s">
        <v>93</v>
      </c>
      <c r="E53" s="255" t="s">
        <v>94</v>
      </c>
      <c r="F53" s="255" t="s">
        <v>71</v>
      </c>
      <c r="G53" s="255"/>
      <c r="H53" s="256"/>
      <c r="I53" s="256"/>
      <c r="J53" s="256"/>
    </row>
    <row r="54" spans="2:10" x14ac:dyDescent="0.2">
      <c r="B54" s="255" t="s">
        <v>72</v>
      </c>
      <c r="C54" s="255" t="s">
        <v>3061</v>
      </c>
      <c r="D54" s="255" t="s">
        <v>97</v>
      </c>
      <c r="E54" s="255" t="s">
        <v>98</v>
      </c>
      <c r="F54" s="255" t="s">
        <v>71</v>
      </c>
      <c r="G54" s="255"/>
      <c r="H54" s="256"/>
      <c r="I54" s="256"/>
      <c r="J54" s="256"/>
    </row>
    <row r="55" spans="2:10" x14ac:dyDescent="0.2">
      <c r="B55" s="255" t="s">
        <v>72</v>
      </c>
      <c r="C55" s="255" t="s">
        <v>3061</v>
      </c>
      <c r="D55" s="255" t="s">
        <v>101</v>
      </c>
      <c r="E55" s="255" t="s">
        <v>102</v>
      </c>
      <c r="F55" s="255" t="s">
        <v>71</v>
      </c>
      <c r="G55" s="255"/>
      <c r="H55" s="256"/>
      <c r="I55" s="256"/>
      <c r="J55" s="256"/>
    </row>
    <row r="56" spans="2:10" x14ac:dyDescent="0.2">
      <c r="B56" s="255" t="s">
        <v>72</v>
      </c>
      <c r="C56" s="255" t="s">
        <v>3061</v>
      </c>
      <c r="D56" s="255" t="s">
        <v>103</v>
      </c>
      <c r="E56" s="255" t="s">
        <v>104</v>
      </c>
      <c r="F56" s="255" t="s">
        <v>71</v>
      </c>
      <c r="G56" s="255"/>
      <c r="H56" s="256"/>
      <c r="I56" s="256"/>
      <c r="J56" s="256"/>
    </row>
    <row r="57" spans="2:10" x14ac:dyDescent="0.2">
      <c r="B57" s="255" t="s">
        <v>72</v>
      </c>
      <c r="C57" s="255" t="s">
        <v>3061</v>
      </c>
      <c r="D57" s="255" t="s">
        <v>113</v>
      </c>
      <c r="E57" s="255" t="s">
        <v>114</v>
      </c>
      <c r="F57" s="255" t="s">
        <v>71</v>
      </c>
      <c r="G57" s="255"/>
      <c r="H57" s="256"/>
      <c r="I57" s="256"/>
      <c r="J57" s="256"/>
    </row>
    <row r="58" spans="2:10" x14ac:dyDescent="0.2">
      <c r="B58" s="255" t="s">
        <v>72</v>
      </c>
      <c r="C58" s="255" t="s">
        <v>3061</v>
      </c>
      <c r="D58" s="255" t="s">
        <v>115</v>
      </c>
      <c r="E58" s="255" t="s">
        <v>116</v>
      </c>
      <c r="F58" s="255" t="s">
        <v>71</v>
      </c>
      <c r="G58" s="255"/>
      <c r="H58" s="256"/>
      <c r="I58" s="256"/>
      <c r="J58" s="256"/>
    </row>
    <row r="59" spans="2:10" x14ac:dyDescent="0.2">
      <c r="B59" s="255" t="s">
        <v>72</v>
      </c>
      <c r="C59" s="255" t="s">
        <v>3061</v>
      </c>
      <c r="D59" s="255" t="s">
        <v>117</v>
      </c>
      <c r="E59" s="255" t="s">
        <v>118</v>
      </c>
      <c r="F59" s="255" t="s">
        <v>71</v>
      </c>
      <c r="G59" s="255"/>
      <c r="H59" s="256"/>
      <c r="I59" s="256"/>
      <c r="J59" s="256"/>
    </row>
    <row r="60" spans="2:10" x14ac:dyDescent="0.2">
      <c r="B60" s="255" t="s">
        <v>72</v>
      </c>
      <c r="C60" s="255" t="s">
        <v>3061</v>
      </c>
      <c r="D60" s="255" t="s">
        <v>119</v>
      </c>
      <c r="E60" s="255" t="s">
        <v>120</v>
      </c>
      <c r="F60" s="255" t="s">
        <v>71</v>
      </c>
      <c r="G60" s="255"/>
      <c r="H60" s="256"/>
      <c r="I60" s="256"/>
      <c r="J60" s="256"/>
    </row>
    <row r="61" spans="2:10" x14ac:dyDescent="0.2">
      <c r="B61" s="255" t="s">
        <v>72</v>
      </c>
      <c r="C61" s="255" t="s">
        <v>3061</v>
      </c>
      <c r="D61" s="255" t="s">
        <v>121</v>
      </c>
      <c r="E61" s="255" t="s">
        <v>122</v>
      </c>
      <c r="F61" s="255" t="s">
        <v>71</v>
      </c>
      <c r="G61" s="255"/>
      <c r="H61" s="256"/>
      <c r="I61" s="256"/>
      <c r="J61" s="256"/>
    </row>
    <row r="62" spans="2:10" x14ac:dyDescent="0.2">
      <c r="B62" s="255" t="s">
        <v>72</v>
      </c>
      <c r="C62" s="255" t="s">
        <v>3061</v>
      </c>
      <c r="D62" s="255" t="s">
        <v>123</v>
      </c>
      <c r="E62" s="255" t="s">
        <v>124</v>
      </c>
      <c r="F62" s="255" t="s">
        <v>71</v>
      </c>
      <c r="G62" s="255"/>
      <c r="H62" s="256"/>
      <c r="I62" s="256"/>
      <c r="J62" s="256"/>
    </row>
    <row r="63" spans="2:10" x14ac:dyDescent="0.2">
      <c r="B63" s="255" t="s">
        <v>72</v>
      </c>
      <c r="C63" s="255" t="s">
        <v>3061</v>
      </c>
      <c r="D63" s="255" t="s">
        <v>107</v>
      </c>
      <c r="E63" s="255" t="s">
        <v>125</v>
      </c>
      <c r="F63" s="255" t="s">
        <v>71</v>
      </c>
      <c r="G63" s="255"/>
      <c r="H63" s="256"/>
      <c r="I63" s="256"/>
      <c r="J63" s="256"/>
    </row>
    <row r="64" spans="2:10" x14ac:dyDescent="0.2">
      <c r="B64" s="255" t="s">
        <v>72</v>
      </c>
      <c r="C64" s="255" t="s">
        <v>3061</v>
      </c>
      <c r="D64" s="255" t="s">
        <v>126</v>
      </c>
      <c r="E64" s="255" t="s">
        <v>127</v>
      </c>
      <c r="F64" s="255" t="s">
        <v>71</v>
      </c>
      <c r="G64" s="255"/>
      <c r="H64" s="256"/>
      <c r="I64" s="256"/>
      <c r="J64" s="256"/>
    </row>
    <row r="65" spans="2:10" x14ac:dyDescent="0.2">
      <c r="B65" s="255" t="s">
        <v>68</v>
      </c>
      <c r="C65" s="255" t="s">
        <v>3061</v>
      </c>
      <c r="D65" s="255" t="s">
        <v>128</v>
      </c>
      <c r="E65" s="255" t="s">
        <v>129</v>
      </c>
      <c r="F65" s="255" t="s">
        <v>71</v>
      </c>
      <c r="G65" s="255"/>
      <c r="H65" s="256"/>
      <c r="I65" s="256"/>
      <c r="J65" s="256"/>
    </row>
    <row r="66" spans="2:10" x14ac:dyDescent="0.2">
      <c r="B66" s="255" t="s">
        <v>68</v>
      </c>
      <c r="C66" s="255" t="s">
        <v>3061</v>
      </c>
      <c r="D66" s="255" t="s">
        <v>130</v>
      </c>
      <c r="E66" s="255" t="s">
        <v>131</v>
      </c>
      <c r="F66" s="255" t="s">
        <v>71</v>
      </c>
      <c r="G66" s="255"/>
      <c r="H66" s="256"/>
      <c r="I66" s="256"/>
      <c r="J66" s="256"/>
    </row>
    <row r="67" spans="2:10" x14ac:dyDescent="0.2">
      <c r="B67" s="255" t="s">
        <v>72</v>
      </c>
      <c r="C67" s="255" t="s">
        <v>3061</v>
      </c>
      <c r="D67" s="255" t="s">
        <v>132</v>
      </c>
      <c r="E67" s="255" t="s">
        <v>133</v>
      </c>
      <c r="F67" s="255" t="s">
        <v>71</v>
      </c>
      <c r="G67" s="255"/>
      <c r="H67" s="256"/>
      <c r="I67" s="256"/>
      <c r="J67" s="256"/>
    </row>
    <row r="68" spans="2:10" x14ac:dyDescent="0.2">
      <c r="B68" s="255" t="s">
        <v>72</v>
      </c>
      <c r="C68" s="255" t="s">
        <v>3061</v>
      </c>
      <c r="D68" s="255" t="s">
        <v>134</v>
      </c>
      <c r="E68" s="255" t="s">
        <v>135</v>
      </c>
      <c r="F68" s="255" t="s">
        <v>71</v>
      </c>
      <c r="G68" s="255"/>
      <c r="H68" s="256"/>
      <c r="I68" s="256"/>
      <c r="J68" s="256"/>
    </row>
    <row r="69" spans="2:10" x14ac:dyDescent="0.2">
      <c r="B69" s="255" t="s">
        <v>68</v>
      </c>
      <c r="C69" s="255" t="s">
        <v>3061</v>
      </c>
      <c r="D69" s="255" t="s">
        <v>136</v>
      </c>
      <c r="E69" s="255" t="s">
        <v>137</v>
      </c>
      <c r="F69" s="255" t="s">
        <v>71</v>
      </c>
      <c r="G69" s="255"/>
      <c r="H69" s="256"/>
      <c r="I69" s="256"/>
      <c r="J69" s="256"/>
    </row>
    <row r="70" spans="2:10" x14ac:dyDescent="0.2">
      <c r="B70" s="255" t="s">
        <v>68</v>
      </c>
      <c r="C70" s="255" t="s">
        <v>3061</v>
      </c>
      <c r="D70" s="255" t="s">
        <v>138</v>
      </c>
      <c r="E70" s="255" t="s">
        <v>139</v>
      </c>
      <c r="F70" s="255" t="s">
        <v>71</v>
      </c>
      <c r="G70" s="255"/>
      <c r="H70" s="256"/>
      <c r="I70" s="256"/>
      <c r="J70" s="256"/>
    </row>
    <row r="71" spans="2:10" x14ac:dyDescent="0.2">
      <c r="B71" s="255" t="s">
        <v>68</v>
      </c>
      <c r="C71" s="255" t="s">
        <v>3061</v>
      </c>
      <c r="D71" s="255" t="s">
        <v>140</v>
      </c>
      <c r="E71" s="255" t="s">
        <v>141</v>
      </c>
      <c r="F71" s="255" t="s">
        <v>71</v>
      </c>
      <c r="G71" s="255"/>
      <c r="H71" s="256"/>
      <c r="I71" s="256"/>
      <c r="J71" s="256"/>
    </row>
    <row r="72" spans="2:10" s="250" customFormat="1" x14ac:dyDescent="0.2">
      <c r="B72" s="258" t="s">
        <v>146</v>
      </c>
      <c r="C72" s="259"/>
      <c r="D72" s="259"/>
      <c r="E72" s="259"/>
      <c r="F72" s="259"/>
      <c r="G72" s="259"/>
      <c r="H72" s="260"/>
      <c r="I72" s="261"/>
      <c r="J72" s="261"/>
    </row>
    <row r="73" spans="2:10" s="250" customFormat="1" x14ac:dyDescent="0.2">
      <c r="B73" s="255" t="s">
        <v>72</v>
      </c>
      <c r="C73" s="255" t="s">
        <v>150</v>
      </c>
      <c r="D73" s="255" t="s">
        <v>147</v>
      </c>
      <c r="E73" s="255" t="s">
        <v>148</v>
      </c>
      <c r="F73" s="255" t="s">
        <v>149</v>
      </c>
      <c r="G73" s="255"/>
      <c r="H73" s="256"/>
      <c r="I73" s="257"/>
      <c r="J73" s="257"/>
    </row>
    <row r="74" spans="2:10" s="250" customFormat="1" x14ac:dyDescent="0.2">
      <c r="B74" s="255" t="s">
        <v>68</v>
      </c>
      <c r="C74" s="255" t="s">
        <v>150</v>
      </c>
      <c r="D74" s="255" t="s">
        <v>151</v>
      </c>
      <c r="E74" s="255" t="s">
        <v>152</v>
      </c>
      <c r="F74" s="255" t="s">
        <v>153</v>
      </c>
      <c r="G74" s="255"/>
      <c r="H74" s="256"/>
      <c r="I74" s="257"/>
      <c r="J74" s="257"/>
    </row>
    <row r="75" spans="2:10" s="250" customFormat="1" x14ac:dyDescent="0.2">
      <c r="B75" s="255" t="s">
        <v>68</v>
      </c>
      <c r="C75" s="255" t="s">
        <v>150</v>
      </c>
      <c r="D75" s="255" t="s">
        <v>154</v>
      </c>
      <c r="E75" s="255" t="s">
        <v>155</v>
      </c>
      <c r="F75" s="255" t="s">
        <v>153</v>
      </c>
      <c r="G75" s="255"/>
      <c r="H75" s="256"/>
      <c r="I75" s="257"/>
      <c r="J75" s="257"/>
    </row>
    <row r="76" spans="2:10" s="250" customFormat="1" x14ac:dyDescent="0.2">
      <c r="B76" s="255" t="s">
        <v>68</v>
      </c>
      <c r="C76" s="255" t="s">
        <v>150</v>
      </c>
      <c r="D76" s="255" t="s">
        <v>156</v>
      </c>
      <c r="E76" s="255" t="s">
        <v>157</v>
      </c>
      <c r="F76" s="255" t="s">
        <v>153</v>
      </c>
      <c r="G76" s="255"/>
      <c r="H76" s="256"/>
      <c r="I76" s="257"/>
      <c r="J76" s="257"/>
    </row>
    <row r="77" spans="2:10" s="250" customFormat="1" x14ac:dyDescent="0.2">
      <c r="B77" s="255" t="s">
        <v>72</v>
      </c>
      <c r="C77" s="255" t="s">
        <v>150</v>
      </c>
      <c r="D77" s="255" t="s">
        <v>158</v>
      </c>
      <c r="E77" s="255" t="s">
        <v>159</v>
      </c>
      <c r="F77" s="255" t="s">
        <v>153</v>
      </c>
      <c r="G77" s="255"/>
      <c r="H77" s="256"/>
      <c r="I77" s="257"/>
      <c r="J77" s="257"/>
    </row>
    <row r="78" spans="2:10" s="250" customFormat="1" x14ac:dyDescent="0.2">
      <c r="B78" s="255" t="s">
        <v>72</v>
      </c>
      <c r="C78" s="255" t="s">
        <v>150</v>
      </c>
      <c r="D78" s="255" t="s">
        <v>160</v>
      </c>
      <c r="E78" s="255" t="s">
        <v>161</v>
      </c>
      <c r="F78" s="255" t="s">
        <v>153</v>
      </c>
      <c r="G78" s="255"/>
      <c r="H78" s="256"/>
      <c r="I78" s="257"/>
      <c r="J78" s="257"/>
    </row>
    <row r="79" spans="2:10" s="250" customFormat="1" x14ac:dyDescent="0.2">
      <c r="B79" s="255" t="s">
        <v>72</v>
      </c>
      <c r="C79" s="255" t="s">
        <v>150</v>
      </c>
      <c r="D79" s="255" t="s">
        <v>162</v>
      </c>
      <c r="E79" s="255" t="s">
        <v>163</v>
      </c>
      <c r="F79" s="255" t="s">
        <v>153</v>
      </c>
      <c r="G79" s="255"/>
      <c r="H79" s="256"/>
      <c r="I79" s="257"/>
      <c r="J79" s="257"/>
    </row>
    <row r="80" spans="2:10" s="250" customFormat="1" x14ac:dyDescent="0.2">
      <c r="B80" s="255" t="s">
        <v>72</v>
      </c>
      <c r="C80" s="255" t="s">
        <v>150</v>
      </c>
      <c r="D80" s="255" t="s">
        <v>164</v>
      </c>
      <c r="E80" s="255" t="s">
        <v>165</v>
      </c>
      <c r="F80" s="255" t="s">
        <v>153</v>
      </c>
      <c r="G80" s="255"/>
      <c r="H80" s="256"/>
      <c r="I80" s="257"/>
      <c r="J80" s="257"/>
    </row>
    <row r="81" spans="2:10" s="250" customFormat="1" x14ac:dyDescent="0.2">
      <c r="B81" s="255" t="s">
        <v>72</v>
      </c>
      <c r="C81" s="255" t="s">
        <v>150</v>
      </c>
      <c r="D81" s="255" t="s">
        <v>166</v>
      </c>
      <c r="E81" s="255" t="s">
        <v>167</v>
      </c>
      <c r="F81" s="255" t="s">
        <v>153</v>
      </c>
      <c r="G81" s="255"/>
      <c r="H81" s="256"/>
      <c r="I81" s="257"/>
      <c r="J81" s="257"/>
    </row>
    <row r="82" spans="2:10" x14ac:dyDescent="0.2">
      <c r="B82" s="255" t="s">
        <v>72</v>
      </c>
      <c r="C82" s="255" t="s">
        <v>150</v>
      </c>
      <c r="D82" s="255" t="s">
        <v>170</v>
      </c>
      <c r="E82" s="255" t="s">
        <v>171</v>
      </c>
      <c r="F82" s="255" t="s">
        <v>153</v>
      </c>
      <c r="G82" s="255"/>
      <c r="H82" s="256"/>
      <c r="I82" s="256"/>
      <c r="J82" s="256"/>
    </row>
    <row r="83" spans="2:10" x14ac:dyDescent="0.2">
      <c r="B83" s="255" t="s">
        <v>72</v>
      </c>
      <c r="C83" s="255" t="s">
        <v>150</v>
      </c>
      <c r="D83" s="255" t="s">
        <v>172</v>
      </c>
      <c r="E83" s="255" t="s">
        <v>173</v>
      </c>
      <c r="F83" s="255" t="s">
        <v>153</v>
      </c>
      <c r="G83" s="255"/>
      <c r="H83" s="256"/>
      <c r="I83" s="256"/>
      <c r="J83" s="256"/>
    </row>
  </sheetData>
  <phoneticPr fontId="0" type="noConversion"/>
  <pageMargins left="0.75" right="0.75" top="1" bottom="1" header="0.5" footer="0.5"/>
  <pageSetup paperSize="9" orientation="portrait" horizontalDpi="12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184</v>
      </c>
      <c r="B1" s="13"/>
    </row>
    <row r="4" spans="1:12" ht="18" customHeight="1" x14ac:dyDescent="0.2"/>
    <row r="7" spans="1:12" x14ac:dyDescent="0.2">
      <c r="B7" s="1" t="s">
        <v>185</v>
      </c>
      <c r="C7" s="1" t="s">
        <v>186</v>
      </c>
      <c r="D7" s="1" t="s">
        <v>187</v>
      </c>
      <c r="E7" s="1" t="s">
        <v>188</v>
      </c>
      <c r="F7" s="1" t="s">
        <v>64</v>
      </c>
      <c r="G7" s="1" t="s">
        <v>65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7349"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57349" r:id="rId4" name="cmdRefreshUnits"/>
      </mc:Fallback>
    </mc:AlternateContent>
    <mc:AlternateContent xmlns:mc="http://schemas.openxmlformats.org/markup-compatibility/2006">
      <mc:Choice Requires="x14">
        <control shapeId="57348"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57348" r:id="rId6" name="cmdTCAPUnit"/>
      </mc:Fallback>
    </mc:AlternateContent>
    <mc:AlternateContent xmlns:mc="http://schemas.openxmlformats.org/markup-compatibility/2006">
      <mc:Choice Requires="x14">
        <control shapeId="57347"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57347" r:id="rId8" name="cmdTACTUnit"/>
      </mc:Fallback>
    </mc:AlternateContent>
    <mc:AlternateContent xmlns:mc="http://schemas.openxmlformats.org/markup-compatibility/2006">
      <mc:Choice Requires="x14">
        <control shapeId="57346"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57346" r:id="rId10" name="cmdCheckTechnologiesSheet"/>
      </mc:Fallback>
    </mc:AlternateContent>
    <mc:AlternateContent xmlns:mc="http://schemas.openxmlformats.org/markup-compatibility/2006">
      <mc:Choice Requires="x14">
        <control shapeId="5734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57345" r:id="rId12" name="cmdTechnologySe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184</v>
      </c>
      <c r="B1" s="13"/>
    </row>
    <row r="4" spans="1:12" ht="18" customHeight="1" x14ac:dyDescent="0.2"/>
    <row r="7" spans="1:12" x14ac:dyDescent="0.2">
      <c r="B7" s="1" t="s">
        <v>185</v>
      </c>
      <c r="C7" s="1" t="s">
        <v>186</v>
      </c>
      <c r="D7" s="1" t="s">
        <v>187</v>
      </c>
      <c r="E7" s="1" t="s">
        <v>188</v>
      </c>
      <c r="F7" s="1" t="s">
        <v>64</v>
      </c>
      <c r="G7" s="1" t="s">
        <v>65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FFC000"/>
  </sheetPr>
  <dimension ref="B1:I179"/>
  <sheetViews>
    <sheetView zoomScale="80" zoomScaleNormal="80" workbookViewId="0">
      <pane xSplit="5" ySplit="7" topLeftCell="F8" activePane="bottomRight" state="frozen"/>
      <selection pane="topRight" activeCell="V30" sqref="V30"/>
      <selection pane="bottomLeft" activeCell="V30" sqref="V30"/>
      <selection pane="bottomRight" activeCell="B18" sqref="B18:H20"/>
    </sheetView>
  </sheetViews>
  <sheetFormatPr defaultColWidth="9.140625" defaultRowHeight="12.75" x14ac:dyDescent="0.2"/>
  <cols>
    <col min="1" max="1" width="9.140625" style="250"/>
    <col min="2" max="2" width="18.42578125" style="250" customWidth="1"/>
    <col min="3" max="3" width="30.42578125" style="262" customWidth="1"/>
    <col min="4" max="4" width="17" style="250" customWidth="1"/>
    <col min="5" max="5" width="43.7109375" style="250" customWidth="1"/>
    <col min="6" max="6" width="9.7109375" style="262" customWidth="1"/>
    <col min="7" max="7" width="9.85546875" style="262" customWidth="1"/>
    <col min="8" max="8" width="10.42578125" style="250" customWidth="1"/>
    <col min="9" max="16384" width="9.140625" style="250"/>
  </cols>
  <sheetData>
    <row r="1" spans="2:9" x14ac:dyDescent="0.2">
      <c r="B1" s="249"/>
    </row>
    <row r="4" spans="2:9" ht="18" customHeight="1" x14ac:dyDescent="0.2"/>
    <row r="6" spans="2:9" x14ac:dyDescent="0.2">
      <c r="B6" s="253" t="s">
        <v>3063</v>
      </c>
      <c r="C6"/>
      <c r="D6"/>
      <c r="E6"/>
      <c r="F6"/>
      <c r="G6"/>
      <c r="H6"/>
      <c r="I6"/>
    </row>
    <row r="7" spans="2:9" x14ac:dyDescent="0.2">
      <c r="B7" s="254" t="s">
        <v>389</v>
      </c>
      <c r="C7" s="254" t="s">
        <v>3066</v>
      </c>
      <c r="D7" s="254" t="s">
        <v>185</v>
      </c>
      <c r="E7" s="254" t="s">
        <v>186</v>
      </c>
      <c r="F7" s="264" t="s">
        <v>3064</v>
      </c>
      <c r="G7" s="264" t="s">
        <v>3065</v>
      </c>
      <c r="H7" s="264" t="s">
        <v>3067</v>
      </c>
      <c r="I7" s="264" t="s">
        <v>3068</v>
      </c>
    </row>
    <row r="8" spans="2:9" x14ac:dyDescent="0.2">
      <c r="B8" s="258" t="s">
        <v>3253</v>
      </c>
      <c r="C8" s="259"/>
      <c r="D8" s="259"/>
      <c r="E8" s="259"/>
      <c r="F8" s="259"/>
      <c r="G8" s="259"/>
      <c r="H8" s="259"/>
      <c r="I8" s="261"/>
    </row>
    <row r="9" spans="2:9" x14ac:dyDescent="0.2">
      <c r="B9" s="255" t="str">
        <f>TechData_existing!A7</f>
        <v>R2,R3,R4,R5,R6</v>
      </c>
      <c r="C9" s="255" t="s">
        <v>3070</v>
      </c>
      <c r="D9" s="255" t="str">
        <f>TechData_existing!B7</f>
        <v>TLEMCGSL</v>
      </c>
      <c r="E9" s="255" t="str">
        <f>TechData_existing!C7</f>
        <v>TL.GSL.MC.Existing fleet</v>
      </c>
      <c r="F9" s="255" t="s">
        <v>145</v>
      </c>
      <c r="G9" s="255" t="s">
        <v>240</v>
      </c>
      <c r="H9" s="255"/>
      <c r="I9" s="255"/>
    </row>
    <row r="10" spans="2:9" x14ac:dyDescent="0.2">
      <c r="B10" s="255" t="str">
        <f>TechData_existing!A8</f>
        <v>R2,R3,R4,R5,R6</v>
      </c>
      <c r="C10" s="255" t="s">
        <v>3070</v>
      </c>
      <c r="D10" s="255" t="str">
        <f>TechData_existing!B8</f>
        <v>TLECGSL</v>
      </c>
      <c r="E10" s="255" t="str">
        <f>TechData_existing!C8</f>
        <v>TL.GSL.C.Existing fleet</v>
      </c>
      <c r="F10" s="255" t="s">
        <v>145</v>
      </c>
      <c r="G10" s="255" t="s">
        <v>240</v>
      </c>
      <c r="H10" s="255"/>
      <c r="I10" s="255"/>
    </row>
    <row r="11" spans="2:9" x14ac:dyDescent="0.2">
      <c r="B11" s="255" t="str">
        <f>TechData_existing!A9</f>
        <v>R2,R3,R4,R5,R6</v>
      </c>
      <c r="C11" s="255" t="s">
        <v>3070</v>
      </c>
      <c r="D11" s="255" t="str">
        <f>TechData_existing!B9</f>
        <v>TLEFDSL</v>
      </c>
      <c r="E11" s="255" t="str">
        <f>TechData_existing!C9</f>
        <v>TL.DSL.F.Existing fleet</v>
      </c>
      <c r="F11" s="255" t="s">
        <v>145</v>
      </c>
      <c r="G11" s="255" t="s">
        <v>240</v>
      </c>
      <c r="H11" s="255"/>
      <c r="I11" s="255"/>
    </row>
    <row r="12" spans="2:9" x14ac:dyDescent="0.2">
      <c r="B12" s="255" t="str">
        <f>TechData_existing!A10</f>
        <v>R2,R3,R4,R5,R6</v>
      </c>
      <c r="C12" s="255" t="s">
        <v>3070</v>
      </c>
      <c r="D12" s="255" t="str">
        <f>TechData_existing!B10</f>
        <v>TLEFGSL</v>
      </c>
      <c r="E12" s="255" t="str">
        <f>TechData_existing!C10</f>
        <v>TL.GSL.F.Existing fleet</v>
      </c>
      <c r="F12" s="255" t="s">
        <v>145</v>
      </c>
      <c r="G12" s="255" t="s">
        <v>240</v>
      </c>
      <c r="H12" s="255"/>
      <c r="I12" s="255"/>
    </row>
    <row r="13" spans="2:9" x14ac:dyDescent="0.2">
      <c r="B13" s="255" t="str">
        <f>TechData_existing!A11</f>
        <v>R2,R3,R4,R5,R6</v>
      </c>
      <c r="C13" s="255" t="s">
        <v>3070</v>
      </c>
      <c r="D13" s="255" t="str">
        <f>TechData_existing!B11</f>
        <v>TLESSGSL</v>
      </c>
      <c r="E13" s="255" t="str">
        <f>TechData_existing!C11</f>
        <v>TL.GSL.SS.Existing fleet</v>
      </c>
      <c r="F13" s="255" t="s">
        <v>145</v>
      </c>
      <c r="G13" s="255" t="s">
        <v>240</v>
      </c>
      <c r="H13" s="255"/>
      <c r="I13" s="255"/>
    </row>
    <row r="14" spans="2:9" x14ac:dyDescent="0.2">
      <c r="B14" s="255" t="str">
        <f>TechData_existing!A12</f>
        <v>R2,R3,R4,R5,R6</v>
      </c>
      <c r="C14" s="255" t="s">
        <v>3070</v>
      </c>
      <c r="D14" s="255" t="str">
        <f>TechData_existing!B12</f>
        <v>TLELSGSL</v>
      </c>
      <c r="E14" s="255" t="str">
        <f>TechData_existing!C12</f>
        <v>TL.GSL.LS.Existing fleet</v>
      </c>
      <c r="F14" s="255" t="s">
        <v>145</v>
      </c>
      <c r="G14" s="255" t="s">
        <v>240</v>
      </c>
      <c r="H14" s="255"/>
      <c r="I14" s="255"/>
    </row>
    <row r="15" spans="2:9" x14ac:dyDescent="0.2">
      <c r="B15" s="255" t="str">
        <f>TechData_existing!A13</f>
        <v>R2,R3,R4,R5,R6</v>
      </c>
      <c r="C15" s="255" t="s">
        <v>3070</v>
      </c>
      <c r="D15" s="255" t="str">
        <f>TechData_existing!B13</f>
        <v>TLEMGSL</v>
      </c>
      <c r="E15" s="255" t="str">
        <f>TechData_existing!C13</f>
        <v>TL.GSL.M.Existing Fleet</v>
      </c>
      <c r="F15" s="255" t="s">
        <v>145</v>
      </c>
      <c r="G15" s="255" t="s">
        <v>240</v>
      </c>
      <c r="H15" s="255"/>
      <c r="I15" s="255"/>
    </row>
    <row r="16" spans="2:9" x14ac:dyDescent="0.2">
      <c r="B16" s="255" t="str">
        <f>TechData_existing!A14</f>
        <v>R2,R3,R4,R5,R6</v>
      </c>
      <c r="C16" s="255" t="s">
        <v>3070</v>
      </c>
      <c r="D16" s="255" t="str">
        <f>TechData_existing!B14</f>
        <v>TLEPGSL</v>
      </c>
      <c r="E16" s="255" t="str">
        <f>TechData_existing!C14</f>
        <v>TL.GSL.P.Existing Fleet</v>
      </c>
      <c r="F16" s="255" t="s">
        <v>145</v>
      </c>
      <c r="G16" s="255" t="s">
        <v>240</v>
      </c>
      <c r="H16" s="255"/>
      <c r="I16" s="255"/>
    </row>
    <row r="17" spans="2:9" x14ac:dyDescent="0.2">
      <c r="B17" s="255" t="str">
        <f>TechData_existing!A15</f>
        <v>R2,R3,R4,R5,R6</v>
      </c>
      <c r="C17" s="255" t="s">
        <v>3070</v>
      </c>
      <c r="D17" s="255" t="str">
        <f>TechData_existing!B15</f>
        <v>TLEPDSL</v>
      </c>
      <c r="E17" s="255" t="str">
        <f>TechData_existing!C15</f>
        <v>TL.DSL.P.Existing fleet</v>
      </c>
      <c r="F17" s="255" t="s">
        <v>145</v>
      </c>
      <c r="G17" s="255" t="s">
        <v>240</v>
      </c>
      <c r="H17" s="255"/>
      <c r="I17" s="255"/>
    </row>
    <row r="18" spans="2:9" x14ac:dyDescent="0.2">
      <c r="B18" s="255" t="str">
        <f>TechData_existing!A16</f>
        <v>*</v>
      </c>
      <c r="C18" s="255" t="s">
        <v>3070</v>
      </c>
      <c r="D18" s="255" t="str">
        <f>TechData_existing!B16</f>
        <v>TLEETHX</v>
      </c>
      <c r="E18" s="255" t="str">
        <f>TechData_existing!C16</f>
        <v>TL.E85X.F.Existing fleet</v>
      </c>
      <c r="F18" s="255" t="s">
        <v>145</v>
      </c>
      <c r="G18" s="255" t="s">
        <v>240</v>
      </c>
      <c r="H18" s="255"/>
      <c r="I18" s="255"/>
    </row>
    <row r="19" spans="2:9" x14ac:dyDescent="0.2">
      <c r="B19" s="255" t="str">
        <f>TechData_existing!A17</f>
        <v>*</v>
      </c>
      <c r="C19" s="255" t="s">
        <v>3070</v>
      </c>
      <c r="D19" s="255" t="str">
        <f>TechData_existing!B17</f>
        <v>TLECNGX</v>
      </c>
      <c r="E19" s="255" t="str">
        <f>TechData_existing!C17</f>
        <v>TL.CNGX.F.Existing fleet</v>
      </c>
      <c r="F19" s="255" t="s">
        <v>145</v>
      </c>
      <c r="G19" s="255" t="s">
        <v>240</v>
      </c>
      <c r="H19" s="255"/>
      <c r="I19" s="255"/>
    </row>
    <row r="20" spans="2:9" x14ac:dyDescent="0.2">
      <c r="B20" s="255" t="str">
        <f>TechData_existing!A18</f>
        <v>*</v>
      </c>
      <c r="C20" s="255" t="s">
        <v>3070</v>
      </c>
      <c r="D20" s="255" t="str">
        <f>TechData_existing!B18</f>
        <v>TLELPGX</v>
      </c>
      <c r="E20" s="255" t="str">
        <f>TechData_existing!C18</f>
        <v>TL.LPGX.F.Existing fleet</v>
      </c>
      <c r="F20" s="255" t="s">
        <v>145</v>
      </c>
      <c r="G20" s="255" t="s">
        <v>240</v>
      </c>
      <c r="H20" s="255"/>
      <c r="I20" s="255"/>
    </row>
    <row r="21" spans="2:9" x14ac:dyDescent="0.2">
      <c r="B21" s="255" t="str">
        <f>TechData_existing!A19</f>
        <v>R2,R3,R4,R5,R6</v>
      </c>
      <c r="C21" s="255" t="s">
        <v>3070</v>
      </c>
      <c r="D21" s="255" t="str">
        <f>TechData_existing!B19</f>
        <v>TLEELC</v>
      </c>
      <c r="E21" s="255" t="str">
        <f>TechData_existing!C19</f>
        <v>TL.ELC.F.Existing fleet</v>
      </c>
      <c r="F21" s="255" t="s">
        <v>145</v>
      </c>
      <c r="G21" s="255" t="s">
        <v>240</v>
      </c>
      <c r="H21" s="255"/>
      <c r="I21" s="255"/>
    </row>
    <row r="22" spans="2:9" x14ac:dyDescent="0.2">
      <c r="B22" s="329"/>
      <c r="C22" s="329"/>
      <c r="D22" s="329"/>
      <c r="E22" s="329"/>
      <c r="F22" s="329"/>
      <c r="G22" s="329"/>
      <c r="H22" s="329"/>
      <c r="I22" s="329"/>
    </row>
    <row r="23" spans="2:9" x14ac:dyDescent="0.2">
      <c r="B23" s="329"/>
      <c r="C23" s="329"/>
      <c r="D23" s="329"/>
      <c r="E23" s="329"/>
      <c r="F23" s="329"/>
      <c r="G23" s="329"/>
      <c r="H23" s="329"/>
      <c r="I23" s="329"/>
    </row>
    <row r="24" spans="2:9" x14ac:dyDescent="0.2">
      <c r="B24" s="329"/>
      <c r="C24" s="329"/>
      <c r="D24" s="329"/>
      <c r="E24" s="329"/>
      <c r="F24" s="329"/>
      <c r="G24" s="329"/>
      <c r="H24" s="329"/>
      <c r="I24" s="329"/>
    </row>
    <row r="25" spans="2:9" x14ac:dyDescent="0.2">
      <c r="B25" s="329"/>
      <c r="C25" s="329"/>
      <c r="D25" s="329"/>
      <c r="E25" s="329"/>
      <c r="F25" s="329"/>
      <c r="G25" s="329"/>
      <c r="H25" s="329"/>
      <c r="I25" s="329"/>
    </row>
    <row r="26" spans="2:9" x14ac:dyDescent="0.2">
      <c r="B26" s="329"/>
      <c r="C26" s="329"/>
      <c r="D26" s="329"/>
      <c r="E26" s="329"/>
      <c r="F26" s="329"/>
      <c r="G26" s="329"/>
      <c r="H26" s="329"/>
      <c r="I26" s="329"/>
    </row>
    <row r="27" spans="2:9" x14ac:dyDescent="0.2">
      <c r="B27" s="329"/>
      <c r="C27" s="329"/>
      <c r="D27" s="329"/>
      <c r="E27" s="329"/>
      <c r="F27" s="329"/>
      <c r="G27" s="329"/>
      <c r="H27" s="329"/>
      <c r="I27" s="329"/>
    </row>
    <row r="28" spans="2:9" x14ac:dyDescent="0.2">
      <c r="B28" s="329"/>
      <c r="C28" s="329"/>
      <c r="D28" s="329"/>
      <c r="E28" s="329"/>
      <c r="F28" s="329"/>
      <c r="G28" s="329"/>
      <c r="H28" s="329"/>
      <c r="I28" s="329"/>
    </row>
    <row r="29" spans="2:9" x14ac:dyDescent="0.2">
      <c r="B29" s="258" t="s">
        <v>189</v>
      </c>
      <c r="C29" s="259"/>
      <c r="D29" s="259"/>
      <c r="E29" s="259"/>
      <c r="F29" s="259"/>
      <c r="G29" s="259"/>
      <c r="H29" s="259"/>
      <c r="I29" s="261"/>
    </row>
    <row r="30" spans="2:9" x14ac:dyDescent="0.2">
      <c r="B30" s="255" t="s">
        <v>190</v>
      </c>
      <c r="C30" s="255" t="s">
        <v>3069</v>
      </c>
      <c r="D30" s="255" t="s">
        <v>191</v>
      </c>
      <c r="E30" s="255" t="s">
        <v>192</v>
      </c>
      <c r="F30" s="255" t="s">
        <v>71</v>
      </c>
      <c r="G30" s="255" t="s">
        <v>193</v>
      </c>
      <c r="H30" s="255"/>
      <c r="I30" s="257"/>
    </row>
    <row r="31" spans="2:9" x14ac:dyDescent="0.2">
      <c r="B31" s="258" t="s">
        <v>194</v>
      </c>
      <c r="C31" s="259"/>
      <c r="D31" s="259"/>
      <c r="E31" s="259"/>
      <c r="F31" s="259"/>
      <c r="G31" s="259"/>
      <c r="H31" s="259"/>
      <c r="I31" s="261"/>
    </row>
    <row r="32" spans="2:9" x14ac:dyDescent="0.2">
      <c r="B32" s="255" t="s">
        <v>72</v>
      </c>
      <c r="C32" s="255" t="s">
        <v>3069</v>
      </c>
      <c r="D32" s="255" t="s">
        <v>195</v>
      </c>
      <c r="E32" s="255" t="s">
        <v>196</v>
      </c>
      <c r="F32" s="255" t="s">
        <v>71</v>
      </c>
      <c r="G32" s="255" t="s">
        <v>193</v>
      </c>
      <c r="H32" s="255"/>
      <c r="I32" s="257"/>
    </row>
    <row r="33" spans="2:9" x14ac:dyDescent="0.2">
      <c r="B33" s="255" t="s">
        <v>72</v>
      </c>
      <c r="C33" s="255" t="s">
        <v>3069</v>
      </c>
      <c r="D33" s="255" t="s">
        <v>197</v>
      </c>
      <c r="E33" s="255" t="s">
        <v>198</v>
      </c>
      <c r="F33" s="255" t="s">
        <v>71</v>
      </c>
      <c r="G33" s="255" t="s">
        <v>193</v>
      </c>
      <c r="H33" s="255"/>
      <c r="I33" s="257"/>
    </row>
    <row r="34" spans="2:9" x14ac:dyDescent="0.2">
      <c r="B34" s="255" t="s">
        <v>72</v>
      </c>
      <c r="C34" s="255" t="s">
        <v>3069</v>
      </c>
      <c r="D34" s="255" t="s">
        <v>199</v>
      </c>
      <c r="E34" s="255" t="s">
        <v>200</v>
      </c>
      <c r="F34" s="255" t="s">
        <v>71</v>
      </c>
      <c r="G34" s="255" t="s">
        <v>193</v>
      </c>
      <c r="H34" s="255"/>
      <c r="I34" s="257"/>
    </row>
    <row r="35" spans="2:9" x14ac:dyDescent="0.2">
      <c r="B35" s="255" t="s">
        <v>72</v>
      </c>
      <c r="C35" s="255" t="s">
        <v>3069</v>
      </c>
      <c r="D35" s="255" t="s">
        <v>201</v>
      </c>
      <c r="E35" s="255" t="s">
        <v>202</v>
      </c>
      <c r="F35" s="255" t="s">
        <v>71</v>
      </c>
      <c r="G35" s="255" t="s">
        <v>193</v>
      </c>
      <c r="H35" s="255"/>
      <c r="I35" s="257"/>
    </row>
    <row r="36" spans="2:9" x14ac:dyDescent="0.2">
      <c r="B36" s="255" t="s">
        <v>72</v>
      </c>
      <c r="C36" s="255" t="s">
        <v>3069</v>
      </c>
      <c r="D36" s="255" t="s">
        <v>203</v>
      </c>
      <c r="E36" s="255" t="s">
        <v>204</v>
      </c>
      <c r="F36" s="255" t="s">
        <v>71</v>
      </c>
      <c r="G36" s="255" t="s">
        <v>193</v>
      </c>
      <c r="H36" s="255"/>
      <c r="I36" s="257"/>
    </row>
    <row r="37" spans="2:9" x14ac:dyDescent="0.2">
      <c r="B37" s="255" t="s">
        <v>72</v>
      </c>
      <c r="C37" s="255" t="s">
        <v>3069</v>
      </c>
      <c r="D37" s="255" t="s">
        <v>205</v>
      </c>
      <c r="E37" s="255" t="s">
        <v>206</v>
      </c>
      <c r="F37" s="255" t="s">
        <v>71</v>
      </c>
      <c r="G37" s="255" t="s">
        <v>193</v>
      </c>
      <c r="H37" s="255"/>
      <c r="I37" s="257"/>
    </row>
    <row r="38" spans="2:9" x14ac:dyDescent="0.2">
      <c r="B38" s="255" t="s">
        <v>72</v>
      </c>
      <c r="C38" s="255" t="s">
        <v>3069</v>
      </c>
      <c r="D38" s="255" t="s">
        <v>207</v>
      </c>
      <c r="E38" s="255" t="s">
        <v>208</v>
      </c>
      <c r="F38" s="255" t="s">
        <v>71</v>
      </c>
      <c r="G38" s="255" t="s">
        <v>193</v>
      </c>
      <c r="H38" s="255"/>
      <c r="I38" s="257"/>
    </row>
    <row r="39" spans="2:9" x14ac:dyDescent="0.2">
      <c r="B39" s="255" t="s">
        <v>72</v>
      </c>
      <c r="C39" s="255" t="s">
        <v>3069</v>
      </c>
      <c r="D39" s="255" t="s">
        <v>209</v>
      </c>
      <c r="E39" s="255" t="s">
        <v>210</v>
      </c>
      <c r="F39" s="255" t="s">
        <v>71</v>
      </c>
      <c r="G39" s="255" t="s">
        <v>193</v>
      </c>
      <c r="H39" s="255"/>
      <c r="I39" s="257"/>
    </row>
    <row r="40" spans="2:9" x14ac:dyDescent="0.2">
      <c r="B40" s="255" t="s">
        <v>72</v>
      </c>
      <c r="C40" s="255" t="s">
        <v>3069</v>
      </c>
      <c r="D40" s="255" t="s">
        <v>211</v>
      </c>
      <c r="E40" s="255" t="s">
        <v>212</v>
      </c>
      <c r="F40" s="255" t="s">
        <v>71</v>
      </c>
      <c r="G40" s="255" t="s">
        <v>193</v>
      </c>
      <c r="H40" s="255"/>
      <c r="I40" s="257"/>
    </row>
    <row r="41" spans="2:9" x14ac:dyDescent="0.2">
      <c r="B41" s="255" t="s">
        <v>72</v>
      </c>
      <c r="C41" s="255" t="s">
        <v>3069</v>
      </c>
      <c r="D41" s="255" t="s">
        <v>213</v>
      </c>
      <c r="E41" s="255" t="s">
        <v>214</v>
      </c>
      <c r="F41" s="255" t="s">
        <v>71</v>
      </c>
      <c r="G41" s="255" t="s">
        <v>193</v>
      </c>
      <c r="H41" s="255"/>
      <c r="I41" s="257"/>
    </row>
    <row r="42" spans="2:9" x14ac:dyDescent="0.2">
      <c r="B42" s="255" t="s">
        <v>72</v>
      </c>
      <c r="C42" s="255" t="s">
        <v>3069</v>
      </c>
      <c r="D42" s="255" t="s">
        <v>215</v>
      </c>
      <c r="E42" s="255" t="s">
        <v>216</v>
      </c>
      <c r="F42" s="255" t="s">
        <v>71</v>
      </c>
      <c r="G42" s="255" t="s">
        <v>193</v>
      </c>
      <c r="H42" s="255"/>
      <c r="I42" s="257"/>
    </row>
    <row r="43" spans="2:9" x14ac:dyDescent="0.2">
      <c r="B43" s="255" t="s">
        <v>72</v>
      </c>
      <c r="C43" s="255" t="s">
        <v>3069</v>
      </c>
      <c r="D43" s="255" t="s">
        <v>217</v>
      </c>
      <c r="E43" s="255" t="s">
        <v>218</v>
      </c>
      <c r="F43" s="255" t="s">
        <v>71</v>
      </c>
      <c r="G43" s="255" t="s">
        <v>193</v>
      </c>
      <c r="H43" s="255"/>
      <c r="I43" s="257"/>
    </row>
    <row r="44" spans="2:9" x14ac:dyDescent="0.2">
      <c r="B44" s="255" t="s">
        <v>72</v>
      </c>
      <c r="C44" s="255" t="s">
        <v>3069</v>
      </c>
      <c r="D44" s="255" t="s">
        <v>219</v>
      </c>
      <c r="E44" s="255" t="s">
        <v>220</v>
      </c>
      <c r="F44" s="255" t="s">
        <v>71</v>
      </c>
      <c r="G44" s="255" t="s">
        <v>193</v>
      </c>
      <c r="H44" s="255"/>
      <c r="I44" s="257"/>
    </row>
    <row r="45" spans="2:9" x14ac:dyDescent="0.2">
      <c r="B45" s="255" t="s">
        <v>72</v>
      </c>
      <c r="C45" s="255" t="s">
        <v>3069</v>
      </c>
      <c r="D45" s="255" t="s">
        <v>221</v>
      </c>
      <c r="E45" s="255" t="s">
        <v>222</v>
      </c>
      <c r="F45" s="255" t="s">
        <v>71</v>
      </c>
      <c r="G45" s="255" t="s">
        <v>193</v>
      </c>
      <c r="H45" s="255"/>
      <c r="I45" s="257"/>
    </row>
    <row r="46" spans="2:9" x14ac:dyDescent="0.2">
      <c r="B46" s="255" t="s">
        <v>72</v>
      </c>
      <c r="C46" s="255" t="s">
        <v>3069</v>
      </c>
      <c r="D46" s="255" t="s">
        <v>223</v>
      </c>
      <c r="E46" s="255" t="s">
        <v>224</v>
      </c>
      <c r="F46" s="255" t="s">
        <v>71</v>
      </c>
      <c r="G46" s="255" t="s">
        <v>193</v>
      </c>
      <c r="H46" s="255"/>
      <c r="I46" s="257"/>
    </row>
    <row r="47" spans="2:9" x14ac:dyDescent="0.2">
      <c r="B47" s="255" t="s">
        <v>190</v>
      </c>
      <c r="C47" s="255"/>
      <c r="D47" s="255"/>
      <c r="E47" s="255"/>
      <c r="F47" s="255"/>
      <c r="G47" s="255"/>
      <c r="H47" s="255"/>
      <c r="I47" s="257"/>
    </row>
    <row r="48" spans="2:9" x14ac:dyDescent="0.2">
      <c r="B48" s="255" t="s">
        <v>190</v>
      </c>
      <c r="C48" s="255"/>
      <c r="D48" s="255"/>
      <c r="E48" s="255"/>
      <c r="F48" s="255"/>
      <c r="G48" s="255"/>
      <c r="H48" s="255"/>
      <c r="I48" s="257"/>
    </row>
    <row r="49" spans="2:9" x14ac:dyDescent="0.2">
      <c r="B49" s="255" t="s">
        <v>190</v>
      </c>
      <c r="C49" s="255"/>
      <c r="D49" s="255"/>
      <c r="E49" s="255"/>
      <c r="F49" s="255"/>
      <c r="G49" s="255"/>
      <c r="H49" s="255"/>
      <c r="I49" s="257"/>
    </row>
    <row r="50" spans="2:9" x14ac:dyDescent="0.2">
      <c r="B50" s="255" t="s">
        <v>72</v>
      </c>
      <c r="C50" s="255" t="s">
        <v>3069</v>
      </c>
      <c r="D50" s="255" t="s">
        <v>225</v>
      </c>
      <c r="E50" s="255" t="s">
        <v>226</v>
      </c>
      <c r="F50" s="255" t="s">
        <v>71</v>
      </c>
      <c r="G50" s="255" t="s">
        <v>193</v>
      </c>
      <c r="H50" s="255"/>
      <c r="I50" s="257"/>
    </row>
    <row r="51" spans="2:9" x14ac:dyDescent="0.2">
      <c r="B51" s="255" t="s">
        <v>72</v>
      </c>
      <c r="C51" s="255" t="s">
        <v>3069</v>
      </c>
      <c r="D51" s="255" t="s">
        <v>227</v>
      </c>
      <c r="E51" s="255" t="s">
        <v>228</v>
      </c>
      <c r="F51" s="255" t="s">
        <v>71</v>
      </c>
      <c r="G51" s="255" t="s">
        <v>193</v>
      </c>
      <c r="H51" s="255"/>
      <c r="I51" s="257"/>
    </row>
    <row r="52" spans="2:9" x14ac:dyDescent="0.2">
      <c r="B52" s="255" t="s">
        <v>72</v>
      </c>
      <c r="C52" s="255" t="s">
        <v>3069</v>
      </c>
      <c r="D52" s="255" t="s">
        <v>229</v>
      </c>
      <c r="E52" s="255" t="s">
        <v>230</v>
      </c>
      <c r="F52" s="255" t="s">
        <v>71</v>
      </c>
      <c r="G52" s="255" t="s">
        <v>193</v>
      </c>
      <c r="H52" s="255"/>
      <c r="I52" s="257"/>
    </row>
    <row r="53" spans="2:9" x14ac:dyDescent="0.2">
      <c r="B53" s="255" t="s">
        <v>72</v>
      </c>
      <c r="C53" s="255" t="s">
        <v>3069</v>
      </c>
      <c r="D53" s="255" t="s">
        <v>231</v>
      </c>
      <c r="E53" s="255" t="s">
        <v>232</v>
      </c>
      <c r="F53" s="255" t="s">
        <v>71</v>
      </c>
      <c r="G53" s="255" t="s">
        <v>193</v>
      </c>
      <c r="H53" s="255"/>
      <c r="I53" s="257"/>
    </row>
    <row r="54" spans="2:9" x14ac:dyDescent="0.2">
      <c r="B54" s="255" t="s">
        <v>72</v>
      </c>
      <c r="C54" s="255" t="s">
        <v>3069</v>
      </c>
      <c r="D54" s="255" t="s">
        <v>233</v>
      </c>
      <c r="E54" s="255" t="s">
        <v>234</v>
      </c>
      <c r="F54" s="255" t="s">
        <v>71</v>
      </c>
      <c r="G54" s="255" t="s">
        <v>193</v>
      </c>
      <c r="H54" s="255"/>
      <c r="I54" s="257"/>
    </row>
    <row r="55" spans="2:9" x14ac:dyDescent="0.2">
      <c r="B55" s="255" t="s">
        <v>72</v>
      </c>
      <c r="C55" s="255" t="s">
        <v>3069</v>
      </c>
      <c r="D55" s="255" t="s">
        <v>235</v>
      </c>
      <c r="E55" s="255" t="s">
        <v>236</v>
      </c>
      <c r="F55" s="255" t="s">
        <v>71</v>
      </c>
      <c r="G55" s="255" t="s">
        <v>193</v>
      </c>
      <c r="H55" s="255"/>
      <c r="I55" s="257"/>
    </row>
    <row r="56" spans="2:9" x14ac:dyDescent="0.2">
      <c r="B56" s="255" t="s">
        <v>72</v>
      </c>
      <c r="C56" s="255" t="s">
        <v>3069</v>
      </c>
      <c r="D56" s="255" t="s">
        <v>237</v>
      </c>
      <c r="E56" s="255" t="s">
        <v>238</v>
      </c>
      <c r="F56" s="255" t="s">
        <v>71</v>
      </c>
      <c r="G56" s="255" t="s">
        <v>193</v>
      </c>
      <c r="H56" s="255"/>
      <c r="I56" s="257"/>
    </row>
    <row r="57" spans="2:9" x14ac:dyDescent="0.2">
      <c r="B57" s="255" t="s">
        <v>190</v>
      </c>
      <c r="C57" s="255"/>
      <c r="D57" s="255"/>
      <c r="E57" s="255"/>
      <c r="F57" s="255"/>
      <c r="G57" s="255"/>
      <c r="H57" s="255"/>
      <c r="I57" s="257"/>
    </row>
    <row r="58" spans="2:9" x14ac:dyDescent="0.2">
      <c r="B58" s="255" t="s">
        <v>190</v>
      </c>
      <c r="C58" s="255"/>
      <c r="D58" s="255"/>
      <c r="E58" s="255"/>
      <c r="F58" s="255"/>
      <c r="G58" s="255"/>
      <c r="H58" s="255"/>
      <c r="I58" s="257"/>
    </row>
    <row r="59" spans="2:9" x14ac:dyDescent="0.2">
      <c r="B59" s="255" t="s">
        <v>190</v>
      </c>
      <c r="C59" s="255"/>
      <c r="D59" s="255"/>
      <c r="E59" s="255"/>
      <c r="F59" s="255"/>
      <c r="G59" s="255"/>
      <c r="H59" s="255"/>
      <c r="I59" s="257"/>
    </row>
    <row r="60" spans="2:9" x14ac:dyDescent="0.2">
      <c r="B60" s="255" t="s">
        <v>190</v>
      </c>
      <c r="C60" s="255"/>
      <c r="D60" s="255"/>
      <c r="E60" s="255"/>
      <c r="F60" s="255"/>
      <c r="G60" s="255"/>
      <c r="H60" s="255"/>
      <c r="I60" s="257"/>
    </row>
    <row r="61" spans="2:9" x14ac:dyDescent="0.2">
      <c r="B61" s="255" t="s">
        <v>190</v>
      </c>
      <c r="C61" s="255"/>
      <c r="D61" s="255"/>
      <c r="E61" s="255"/>
      <c r="F61" s="255"/>
      <c r="G61" s="255"/>
      <c r="H61" s="255"/>
      <c r="I61" s="257"/>
    </row>
    <row r="62" spans="2:9" x14ac:dyDescent="0.2">
      <c r="B62" s="255" t="s">
        <v>190</v>
      </c>
      <c r="C62" s="255"/>
      <c r="D62" s="255"/>
      <c r="E62" s="255"/>
      <c r="F62" s="255"/>
      <c r="G62" s="255"/>
      <c r="H62" s="255"/>
      <c r="I62" s="257"/>
    </row>
    <row r="63" spans="2:9" x14ac:dyDescent="0.2">
      <c r="B63" s="258" t="s">
        <v>239</v>
      </c>
      <c r="C63" s="259"/>
      <c r="D63" s="259"/>
      <c r="E63" s="259"/>
      <c r="F63" s="259"/>
      <c r="G63" s="259"/>
      <c r="H63" s="259"/>
      <c r="I63" s="261"/>
    </row>
    <row r="64" spans="2:9" x14ac:dyDescent="0.2">
      <c r="B64" s="255" t="s">
        <v>68</v>
      </c>
      <c r="C64" s="255" t="s">
        <v>3070</v>
      </c>
      <c r="D64" s="255" t="str">
        <f>ConsolidatedVehData!A8</f>
        <v>TLEMCGSL</v>
      </c>
      <c r="E64" s="255" t="str">
        <f>ConsolidatedVehData!B8</f>
        <v>TL.GSL.MC.Existing fleet</v>
      </c>
      <c r="F64" s="255" t="s">
        <v>145</v>
      </c>
      <c r="G64" s="255" t="s">
        <v>240</v>
      </c>
      <c r="H64" s="255"/>
      <c r="I64" s="257"/>
    </row>
    <row r="65" spans="2:9" x14ac:dyDescent="0.2">
      <c r="B65" s="255" t="s">
        <v>68</v>
      </c>
      <c r="C65" s="255" t="s">
        <v>3070</v>
      </c>
      <c r="D65" s="255" t="str">
        <f>ConsolidatedVehData!A9</f>
        <v>TLECGSL</v>
      </c>
      <c r="E65" s="255" t="str">
        <f>ConsolidatedVehData!B9</f>
        <v>TL.GSL.C.Existing fleet</v>
      </c>
      <c r="F65" s="255" t="s">
        <v>145</v>
      </c>
      <c r="G65" s="255" t="s">
        <v>240</v>
      </c>
      <c r="H65" s="255"/>
      <c r="I65" s="257"/>
    </row>
    <row r="66" spans="2:9" x14ac:dyDescent="0.2">
      <c r="B66" s="255" t="s">
        <v>68</v>
      </c>
      <c r="C66" s="255" t="s">
        <v>3070</v>
      </c>
      <c r="D66" s="255" t="str">
        <f>ConsolidatedVehData!A10</f>
        <v>TLEFDSL</v>
      </c>
      <c r="E66" s="255" t="str">
        <f>ConsolidatedVehData!B10</f>
        <v>TL.DSL.F.Existing fleet</v>
      </c>
      <c r="F66" s="255" t="s">
        <v>145</v>
      </c>
      <c r="G66" s="255" t="s">
        <v>240</v>
      </c>
      <c r="H66" s="255"/>
      <c r="I66" s="257"/>
    </row>
    <row r="67" spans="2:9" x14ac:dyDescent="0.2">
      <c r="B67" s="255" t="s">
        <v>68</v>
      </c>
      <c r="C67" s="255" t="s">
        <v>3070</v>
      </c>
      <c r="D67" s="255" t="str">
        <f>ConsolidatedVehData!A11</f>
        <v>TLEFGSL</v>
      </c>
      <c r="E67" s="255" t="str">
        <f>ConsolidatedVehData!B11</f>
        <v>TL.GSL.F.Existing fleet</v>
      </c>
      <c r="F67" s="255" t="s">
        <v>145</v>
      </c>
      <c r="G67" s="255" t="s">
        <v>240</v>
      </c>
      <c r="H67" s="255"/>
      <c r="I67" s="257"/>
    </row>
    <row r="68" spans="2:9" x14ac:dyDescent="0.2">
      <c r="B68" s="255" t="s">
        <v>68</v>
      </c>
      <c r="C68" s="255" t="s">
        <v>3070</v>
      </c>
      <c r="D68" s="255" t="str">
        <f>ConsolidatedVehData!A12</f>
        <v>TLESSGSL</v>
      </c>
      <c r="E68" s="255" t="str">
        <f>ConsolidatedVehData!B12</f>
        <v>TL.GSL.SS.Existing fleet</v>
      </c>
      <c r="F68" s="255" t="s">
        <v>145</v>
      </c>
      <c r="G68" s="255" t="s">
        <v>240</v>
      </c>
      <c r="H68" s="255"/>
      <c r="I68" s="257"/>
    </row>
    <row r="69" spans="2:9" x14ac:dyDescent="0.2">
      <c r="B69" s="255" t="s">
        <v>68</v>
      </c>
      <c r="C69" s="255" t="s">
        <v>3070</v>
      </c>
      <c r="D69" s="255" t="str">
        <f>ConsolidatedVehData!A13</f>
        <v>TLELSGSL</v>
      </c>
      <c r="E69" s="255" t="str">
        <f>ConsolidatedVehData!B13</f>
        <v>TL.GSL.LS.Existing fleet</v>
      </c>
      <c r="F69" s="255" t="s">
        <v>145</v>
      </c>
      <c r="G69" s="255" t="s">
        <v>240</v>
      </c>
      <c r="H69" s="255"/>
      <c r="I69" s="257"/>
    </row>
    <row r="70" spans="2:9" x14ac:dyDescent="0.2">
      <c r="B70" s="255" t="s">
        <v>68</v>
      </c>
      <c r="C70" s="255" t="s">
        <v>3070</v>
      </c>
      <c r="D70" s="255" t="str">
        <f>ConsolidatedVehData!A14</f>
        <v>TLEMGSL</v>
      </c>
      <c r="E70" s="255" t="str">
        <f>ConsolidatedVehData!B14</f>
        <v>TL.GSL.M.Existing Fleet</v>
      </c>
      <c r="F70" s="255" t="s">
        <v>145</v>
      </c>
      <c r="G70" s="255" t="s">
        <v>240</v>
      </c>
      <c r="H70" s="255"/>
      <c r="I70" s="257"/>
    </row>
    <row r="71" spans="2:9" x14ac:dyDescent="0.2">
      <c r="B71" s="255" t="s">
        <v>68</v>
      </c>
      <c r="C71" s="255" t="s">
        <v>3070</v>
      </c>
      <c r="D71" s="255" t="str">
        <f>ConsolidatedVehData!A15</f>
        <v>TLEPGSL</v>
      </c>
      <c r="E71" s="255" t="str">
        <f>ConsolidatedVehData!B15</f>
        <v>TL.GSL.P.Existing Fleet</v>
      </c>
      <c r="F71" s="255" t="s">
        <v>145</v>
      </c>
      <c r="G71" s="255" t="s">
        <v>240</v>
      </c>
      <c r="H71" s="255"/>
      <c r="I71" s="257"/>
    </row>
    <row r="72" spans="2:9" x14ac:dyDescent="0.2">
      <c r="B72" s="255" t="s">
        <v>68</v>
      </c>
      <c r="C72" s="255" t="s">
        <v>3070</v>
      </c>
      <c r="D72" s="255" t="str">
        <f>ConsolidatedVehData!A16</f>
        <v>TLEPDSL</v>
      </c>
      <c r="E72" s="255" t="str">
        <f>ConsolidatedVehData!B16</f>
        <v>TL.DSL.P.Existing fleet</v>
      </c>
      <c r="F72" s="255" t="s">
        <v>145</v>
      </c>
      <c r="G72" s="255" t="s">
        <v>240</v>
      </c>
      <c r="H72" s="255"/>
      <c r="I72" s="257"/>
    </row>
    <row r="73" spans="2:9" x14ac:dyDescent="0.2">
      <c r="B73" s="255" t="s">
        <v>72</v>
      </c>
      <c r="C73" s="255" t="s">
        <v>3070</v>
      </c>
      <c r="D73" s="255" t="str">
        <f>ConsolidatedVehData!A18</f>
        <v>TLEETHX</v>
      </c>
      <c r="E73" s="255" t="str">
        <f>ConsolidatedVehData!B18</f>
        <v>TL.E85X.F.Existing fleet</v>
      </c>
      <c r="F73" s="255" t="s">
        <v>145</v>
      </c>
      <c r="G73" s="255" t="s">
        <v>240</v>
      </c>
      <c r="H73" s="255"/>
      <c r="I73" s="257"/>
    </row>
    <row r="74" spans="2:9" x14ac:dyDescent="0.2">
      <c r="B74" s="255" t="s">
        <v>72</v>
      </c>
      <c r="C74" s="255" t="s">
        <v>3070</v>
      </c>
      <c r="D74" s="255" t="str">
        <f>ConsolidatedVehData!A19</f>
        <v>TLECNGX</v>
      </c>
      <c r="E74" s="255" t="str">
        <f>ConsolidatedVehData!B19</f>
        <v>TL.CNGX.F.Existing fleet</v>
      </c>
      <c r="F74" s="255" t="s">
        <v>145</v>
      </c>
      <c r="G74" s="255" t="s">
        <v>240</v>
      </c>
      <c r="H74" s="255"/>
      <c r="I74" s="257"/>
    </row>
    <row r="75" spans="2:9" x14ac:dyDescent="0.2">
      <c r="B75" s="255" t="s">
        <v>72</v>
      </c>
      <c r="C75" s="255" t="s">
        <v>3070</v>
      </c>
      <c r="D75" s="255" t="str">
        <f>ConsolidatedVehData!A20</f>
        <v>TLELPGX</v>
      </c>
      <c r="E75" s="255" t="str">
        <f>ConsolidatedVehData!B20</f>
        <v>TL.LPGX.F.Existing fleet</v>
      </c>
      <c r="F75" s="255" t="s">
        <v>145</v>
      </c>
      <c r="G75" s="255" t="s">
        <v>240</v>
      </c>
      <c r="H75" s="255"/>
      <c r="I75" s="257"/>
    </row>
    <row r="76" spans="2:9" x14ac:dyDescent="0.2">
      <c r="B76" s="255" t="s">
        <v>68</v>
      </c>
      <c r="C76" s="255" t="s">
        <v>3070</v>
      </c>
      <c r="D76" s="255" t="str">
        <f>ConsolidatedVehData!A21</f>
        <v>TLEELC</v>
      </c>
      <c r="E76" s="255" t="str">
        <f>ConsolidatedVehData!B21</f>
        <v>TL.ELC.F.Existing fleet</v>
      </c>
      <c r="F76" s="255" t="s">
        <v>145</v>
      </c>
      <c r="G76" s="255" t="s">
        <v>240</v>
      </c>
      <c r="H76" s="255"/>
      <c r="I76" s="257"/>
    </row>
    <row r="77" spans="2:9" x14ac:dyDescent="0.2">
      <c r="B77" s="255" t="s">
        <v>68</v>
      </c>
      <c r="C77" s="255" t="s">
        <v>3070</v>
      </c>
      <c r="D77" s="255" t="s">
        <v>241</v>
      </c>
      <c r="E77" s="255" t="s">
        <v>242</v>
      </c>
      <c r="F77" s="255" t="s">
        <v>145</v>
      </c>
      <c r="G77" s="255" t="s">
        <v>240</v>
      </c>
      <c r="H77" s="255"/>
      <c r="I77" s="257"/>
    </row>
    <row r="78" spans="2:9" x14ac:dyDescent="0.2">
      <c r="B78" s="255" t="s">
        <v>68</v>
      </c>
      <c r="C78" s="255" t="s">
        <v>3070</v>
      </c>
      <c r="D78" s="255" t="s">
        <v>243</v>
      </c>
      <c r="E78" s="255" t="s">
        <v>244</v>
      </c>
      <c r="F78" s="255" t="s">
        <v>145</v>
      </c>
      <c r="G78" s="255" t="s">
        <v>240</v>
      </c>
      <c r="H78" s="255"/>
      <c r="I78" s="257"/>
    </row>
    <row r="79" spans="2:9" x14ac:dyDescent="0.2">
      <c r="B79" s="255" t="s">
        <v>68</v>
      </c>
      <c r="C79" s="255" t="s">
        <v>3070</v>
      </c>
      <c r="D79" s="255" t="s">
        <v>245</v>
      </c>
      <c r="E79" s="255" t="s">
        <v>246</v>
      </c>
      <c r="F79" s="255" t="s">
        <v>145</v>
      </c>
      <c r="G79" s="255" t="s">
        <v>240</v>
      </c>
      <c r="H79" s="255"/>
      <c r="I79" s="257"/>
    </row>
    <row r="80" spans="2:9" x14ac:dyDescent="0.2">
      <c r="B80" s="255" t="s">
        <v>68</v>
      </c>
      <c r="C80" s="255" t="s">
        <v>3070</v>
      </c>
      <c r="D80" s="255" t="s">
        <v>247</v>
      </c>
      <c r="E80" s="255" t="s">
        <v>248</v>
      </c>
      <c r="F80" s="255" t="s">
        <v>145</v>
      </c>
      <c r="G80" s="255" t="s">
        <v>240</v>
      </c>
      <c r="H80" s="255"/>
      <c r="I80" s="257"/>
    </row>
    <row r="81" spans="2:9" x14ac:dyDescent="0.2">
      <c r="B81" s="255" t="s">
        <v>68</v>
      </c>
      <c r="C81" s="255" t="s">
        <v>3070</v>
      </c>
      <c r="D81" s="255" t="s">
        <v>249</v>
      </c>
      <c r="E81" s="255" t="s">
        <v>250</v>
      </c>
      <c r="F81" s="255" t="s">
        <v>145</v>
      </c>
      <c r="G81" s="255" t="s">
        <v>240</v>
      </c>
      <c r="H81" s="255"/>
      <c r="I81" s="257"/>
    </row>
    <row r="82" spans="2:9" x14ac:dyDescent="0.2">
      <c r="B82" s="255" t="s">
        <v>68</v>
      </c>
      <c r="C82" s="255" t="s">
        <v>3070</v>
      </c>
      <c r="D82" s="255" t="s">
        <v>251</v>
      </c>
      <c r="E82" s="255" t="s">
        <v>252</v>
      </c>
      <c r="F82" s="255" t="s">
        <v>145</v>
      </c>
      <c r="G82" s="255" t="s">
        <v>240</v>
      </c>
      <c r="H82" s="255"/>
      <c r="I82" s="257"/>
    </row>
    <row r="83" spans="2:9" x14ac:dyDescent="0.2">
      <c r="B83" s="255" t="s">
        <v>68</v>
      </c>
      <c r="C83" s="255" t="s">
        <v>3070</v>
      </c>
      <c r="D83" s="255" t="s">
        <v>253</v>
      </c>
      <c r="E83" s="255" t="s">
        <v>254</v>
      </c>
      <c r="F83" s="255" t="s">
        <v>145</v>
      </c>
      <c r="G83" s="255" t="s">
        <v>240</v>
      </c>
      <c r="H83" s="255"/>
      <c r="I83" s="257"/>
    </row>
    <row r="84" spans="2:9" x14ac:dyDescent="0.2">
      <c r="B84" s="255" t="s">
        <v>68</v>
      </c>
      <c r="C84" s="255" t="s">
        <v>3070</v>
      </c>
      <c r="D84" s="255" t="s">
        <v>255</v>
      </c>
      <c r="E84" s="255" t="s">
        <v>256</v>
      </c>
      <c r="F84" s="255" t="s">
        <v>145</v>
      </c>
      <c r="G84" s="255" t="s">
        <v>240</v>
      </c>
      <c r="H84" s="255"/>
      <c r="I84" s="257"/>
    </row>
    <row r="85" spans="2:9" x14ac:dyDescent="0.2">
      <c r="B85" s="255" t="s">
        <v>68</v>
      </c>
      <c r="C85" s="255" t="s">
        <v>3070</v>
      </c>
      <c r="D85" s="255" t="s">
        <v>257</v>
      </c>
      <c r="E85" s="255" t="s">
        <v>258</v>
      </c>
      <c r="F85" s="255" t="s">
        <v>145</v>
      </c>
      <c r="G85" s="255" t="s">
        <v>240</v>
      </c>
      <c r="H85" s="255"/>
      <c r="I85" s="257"/>
    </row>
    <row r="86" spans="2:9" x14ac:dyDescent="0.2">
      <c r="B86" s="255" t="s">
        <v>68</v>
      </c>
      <c r="C86" s="255" t="s">
        <v>3070</v>
      </c>
      <c r="D86" s="255" t="s">
        <v>259</v>
      </c>
      <c r="E86" s="255" t="s">
        <v>260</v>
      </c>
      <c r="F86" s="255" t="s">
        <v>145</v>
      </c>
      <c r="G86" s="255" t="s">
        <v>240</v>
      </c>
      <c r="H86" s="255"/>
      <c r="I86" s="257"/>
    </row>
    <row r="87" spans="2:9" x14ac:dyDescent="0.2">
      <c r="B87" s="255" t="s">
        <v>68</v>
      </c>
      <c r="C87" s="255" t="s">
        <v>3070</v>
      </c>
      <c r="D87" s="255" t="s">
        <v>261</v>
      </c>
      <c r="E87" s="255" t="s">
        <v>262</v>
      </c>
      <c r="F87" s="255" t="s">
        <v>145</v>
      </c>
      <c r="G87" s="255" t="s">
        <v>240</v>
      </c>
      <c r="H87" s="255"/>
      <c r="I87" s="257"/>
    </row>
    <row r="88" spans="2:9" x14ac:dyDescent="0.2">
      <c r="B88" s="255" t="s">
        <v>68</v>
      </c>
      <c r="C88" s="255" t="s">
        <v>3070</v>
      </c>
      <c r="D88" s="255" t="s">
        <v>263</v>
      </c>
      <c r="E88" s="255" t="s">
        <v>264</v>
      </c>
      <c r="F88" s="255" t="s">
        <v>145</v>
      </c>
      <c r="G88" s="255" t="s">
        <v>240</v>
      </c>
      <c r="H88" s="255"/>
      <c r="I88" s="257"/>
    </row>
    <row r="89" spans="2:9" x14ac:dyDescent="0.2">
      <c r="B89" s="255" t="s">
        <v>68</v>
      </c>
      <c r="C89" s="255" t="s">
        <v>3070</v>
      </c>
      <c r="D89" s="255" t="s">
        <v>265</v>
      </c>
      <c r="E89" s="255" t="s">
        <v>266</v>
      </c>
      <c r="F89" s="255" t="s">
        <v>145</v>
      </c>
      <c r="G89" s="255" t="s">
        <v>240</v>
      </c>
      <c r="H89" s="255"/>
      <c r="I89" s="257"/>
    </row>
    <row r="90" spans="2:9" x14ac:dyDescent="0.2">
      <c r="B90" s="255" t="s">
        <v>68</v>
      </c>
      <c r="C90" s="255" t="s">
        <v>3070</v>
      </c>
      <c r="D90" s="255" t="s">
        <v>267</v>
      </c>
      <c r="E90" s="255" t="s">
        <v>268</v>
      </c>
      <c r="F90" s="255" t="s">
        <v>145</v>
      </c>
      <c r="G90" s="255" t="s">
        <v>240</v>
      </c>
      <c r="H90" s="255"/>
      <c r="I90" s="257"/>
    </row>
    <row r="91" spans="2:9" x14ac:dyDescent="0.2">
      <c r="B91" s="255" t="s">
        <v>68</v>
      </c>
      <c r="C91" s="255" t="s">
        <v>3070</v>
      </c>
      <c r="D91" s="255" t="str">
        <f>ConsolidatedVehData!A24</f>
        <v>TLMCCONV10</v>
      </c>
      <c r="E91" s="255" t="str">
        <f>ConsolidatedVehData!B24</f>
        <v>TL.GSL.MC.CONV.2010</v>
      </c>
      <c r="F91" s="255" t="s">
        <v>145</v>
      </c>
      <c r="G91" s="255" t="s">
        <v>240</v>
      </c>
      <c r="H91" s="255"/>
      <c r="I91" s="257"/>
    </row>
    <row r="92" spans="2:9" x14ac:dyDescent="0.2">
      <c r="B92" s="255" t="s">
        <v>68</v>
      </c>
      <c r="C92" s="255" t="s">
        <v>3070</v>
      </c>
      <c r="D92" s="255" t="str">
        <f>ConsolidatedVehData!A44</f>
        <v>TLCCONV10</v>
      </c>
      <c r="E92" s="255" t="str">
        <f>ConsolidatedVehData!B44</f>
        <v>TL.GSL.C.CONV.2010</v>
      </c>
      <c r="F92" s="255" t="s">
        <v>145</v>
      </c>
      <c r="G92" s="255" t="s">
        <v>240</v>
      </c>
      <c r="H92" s="255"/>
      <c r="I92" s="257"/>
    </row>
    <row r="93" spans="2:9" x14ac:dyDescent="0.2">
      <c r="B93" s="255" t="s">
        <v>68</v>
      </c>
      <c r="C93" s="255" t="s">
        <v>3070</v>
      </c>
      <c r="D93" s="255" t="str">
        <f>ConsolidatedVehData!A55</f>
        <v>TLCDSL10</v>
      </c>
      <c r="E93" s="255" t="str">
        <f>ConsolidatedVehData!B55</f>
        <v>TL.DSL.C.DSL.2010</v>
      </c>
      <c r="F93" s="255" t="s">
        <v>145</v>
      </c>
      <c r="G93" s="255" t="s">
        <v>240</v>
      </c>
      <c r="H93" s="255"/>
      <c r="I93" s="257"/>
    </row>
    <row r="94" spans="2:9" x14ac:dyDescent="0.2">
      <c r="B94" s="255" t="s">
        <v>68</v>
      </c>
      <c r="C94" s="255" t="s">
        <v>3070</v>
      </c>
      <c r="D94" s="255" t="str">
        <f>ConsolidatedVehData!A66</f>
        <v>TLCCNG10</v>
      </c>
      <c r="E94" s="255" t="str">
        <f>ConsolidatedVehData!B66</f>
        <v>TL.CNG.C.CNG.2010</v>
      </c>
      <c r="F94" s="255" t="s">
        <v>145</v>
      </c>
      <c r="G94" s="255" t="s">
        <v>240</v>
      </c>
      <c r="H94" s="255"/>
      <c r="I94" s="257"/>
    </row>
    <row r="95" spans="2:9" x14ac:dyDescent="0.2">
      <c r="B95" s="255" t="s">
        <v>72</v>
      </c>
      <c r="C95" s="255" t="s">
        <v>3070</v>
      </c>
      <c r="D95" s="255" t="str">
        <f>ConsolidatedVehData!A77</f>
        <v>TLCCNGX10</v>
      </c>
      <c r="E95" s="255" t="str">
        <f>ConsolidatedVehData!B77</f>
        <v>TL.CNGX.C.CNGX.2010</v>
      </c>
      <c r="F95" s="255" t="s">
        <v>145</v>
      </c>
      <c r="G95" s="255" t="s">
        <v>240</v>
      </c>
      <c r="H95" s="255"/>
      <c r="I95" s="257"/>
    </row>
    <row r="96" spans="2:9" x14ac:dyDescent="0.2">
      <c r="B96" s="255" t="s">
        <v>68</v>
      </c>
      <c r="C96" s="255" t="s">
        <v>3070</v>
      </c>
      <c r="D96" s="255" t="str">
        <f>ConsolidatedVehData!A87</f>
        <v>TLCDHEV15</v>
      </c>
      <c r="E96" s="255" t="str">
        <f>ConsolidatedVehData!B87</f>
        <v>TL.DSL.C.DHEV.2015</v>
      </c>
      <c r="F96" s="255" t="s">
        <v>145</v>
      </c>
      <c r="G96" s="255" t="s">
        <v>240</v>
      </c>
      <c r="H96" s="255"/>
      <c r="I96" s="257"/>
    </row>
    <row r="97" spans="2:9" x14ac:dyDescent="0.2">
      <c r="B97" s="255" t="s">
        <v>72</v>
      </c>
      <c r="C97" s="255" t="s">
        <v>3070</v>
      </c>
      <c r="D97" s="255" t="str">
        <f>ConsolidatedVehData!A96</f>
        <v>TLCETHX10</v>
      </c>
      <c r="E97" s="255" t="str">
        <f>ConsolidatedVehData!B96</f>
        <v>TL.E85X.C.ETHX.2010</v>
      </c>
      <c r="F97" s="255" t="s">
        <v>145</v>
      </c>
      <c r="G97" s="255" t="s">
        <v>240</v>
      </c>
      <c r="H97" s="255"/>
      <c r="I97" s="257"/>
    </row>
    <row r="98" spans="2:9" x14ac:dyDescent="0.2">
      <c r="B98" s="255" t="s">
        <v>68</v>
      </c>
      <c r="C98" s="255" t="s">
        <v>3070</v>
      </c>
      <c r="D98" s="255" t="str">
        <f>ConsolidatedVehData!A106</f>
        <v>TLCFCH10</v>
      </c>
      <c r="E98" s="255" t="str">
        <f>ConsolidatedVehData!B106</f>
        <v>TL.H2.C.FCH.2010</v>
      </c>
      <c r="F98" s="255" t="s">
        <v>145</v>
      </c>
      <c r="G98" s="255" t="s">
        <v>240</v>
      </c>
      <c r="H98" s="255"/>
      <c r="I98" s="257"/>
    </row>
    <row r="99" spans="2:9" x14ac:dyDescent="0.2">
      <c r="B99" s="255" t="s">
        <v>68</v>
      </c>
      <c r="C99" s="255" t="s">
        <v>3070</v>
      </c>
      <c r="D99" s="255" t="str">
        <f>ConsolidatedVehData!A116</f>
        <v>TLCHEV10</v>
      </c>
      <c r="E99" s="255" t="str">
        <f>ConsolidatedVehData!B116</f>
        <v>TL.GSL.C.HEV.2010</v>
      </c>
      <c r="F99" s="255" t="s">
        <v>145</v>
      </c>
      <c r="G99" s="255" t="s">
        <v>240</v>
      </c>
      <c r="H99" s="255"/>
      <c r="I99" s="257"/>
    </row>
    <row r="100" spans="2:9" x14ac:dyDescent="0.2">
      <c r="B100" s="255" t="s">
        <v>72</v>
      </c>
      <c r="C100" s="255" t="s">
        <v>3070</v>
      </c>
      <c r="D100" s="255" t="str">
        <f>ConsolidatedVehData!A127</f>
        <v>TLCLPGX10</v>
      </c>
      <c r="E100" s="255" t="str">
        <f>ConsolidatedVehData!B127</f>
        <v>TL.LPGX.C.LPGX.2010</v>
      </c>
      <c r="F100" s="255" t="s">
        <v>145</v>
      </c>
      <c r="G100" s="255" t="s">
        <v>240</v>
      </c>
      <c r="H100" s="255"/>
      <c r="I100" s="257"/>
    </row>
    <row r="101" spans="2:9" x14ac:dyDescent="0.2">
      <c r="B101" s="255" t="s">
        <v>68</v>
      </c>
      <c r="C101" s="255" t="s">
        <v>3070</v>
      </c>
      <c r="D101" s="255" t="str">
        <f>ConsolidatedVehData!A136</f>
        <v>TLCPHVG10</v>
      </c>
      <c r="E101" s="255" t="str">
        <f>ConsolidatedVehData!B136</f>
        <v>TL.GSL.C.PHVG.2010</v>
      </c>
      <c r="F101" s="255" t="s">
        <v>145</v>
      </c>
      <c r="G101" s="255" t="s">
        <v>240</v>
      </c>
      <c r="H101" s="255"/>
      <c r="I101" s="257"/>
    </row>
    <row r="102" spans="2:9" x14ac:dyDescent="0.2">
      <c r="B102" s="255" t="s">
        <v>68</v>
      </c>
      <c r="C102" s="255" t="s">
        <v>3070</v>
      </c>
      <c r="D102" s="255" t="str">
        <f>ConsolidatedVehData!A147</f>
        <v>TLFCONV10</v>
      </c>
      <c r="E102" s="255" t="str">
        <f>ConsolidatedVehData!B147</f>
        <v>TL.GSL.F.CONV.2010</v>
      </c>
      <c r="F102" s="255" t="s">
        <v>145</v>
      </c>
      <c r="G102" s="255" t="s">
        <v>240</v>
      </c>
      <c r="H102" s="255"/>
      <c r="I102" s="257"/>
    </row>
    <row r="103" spans="2:9" x14ac:dyDescent="0.2">
      <c r="B103" s="255" t="s">
        <v>72</v>
      </c>
      <c r="C103" s="255" t="s">
        <v>3070</v>
      </c>
      <c r="D103" s="255" t="str">
        <f>ConsolidatedVehData!A158</f>
        <v>TLFCNG10</v>
      </c>
      <c r="E103" s="255" t="str">
        <f>ConsolidatedVehData!B158</f>
        <v>TL.CNG.F.CNG.2010</v>
      </c>
      <c r="F103" s="255" t="s">
        <v>145</v>
      </c>
      <c r="G103" s="255" t="s">
        <v>240</v>
      </c>
      <c r="H103" s="255"/>
      <c r="I103" s="257"/>
    </row>
    <row r="104" spans="2:9" x14ac:dyDescent="0.2">
      <c r="B104" s="255" t="s">
        <v>72</v>
      </c>
      <c r="C104" s="255" t="s">
        <v>3070</v>
      </c>
      <c r="D104" s="255" t="str">
        <f>ConsolidatedVehData!A169</f>
        <v>TLFCNGX10</v>
      </c>
      <c r="E104" s="255" t="str">
        <f>ConsolidatedVehData!B169</f>
        <v>TL.CNGX.F.CNGX.2010</v>
      </c>
      <c r="F104" s="255" t="s">
        <v>145</v>
      </c>
      <c r="G104" s="255" t="s">
        <v>240</v>
      </c>
      <c r="H104" s="255"/>
      <c r="I104" s="257"/>
    </row>
    <row r="105" spans="2:9" x14ac:dyDescent="0.2">
      <c r="B105" s="255" t="s">
        <v>68</v>
      </c>
      <c r="C105" s="255" t="s">
        <v>3070</v>
      </c>
      <c r="D105" s="255" t="str">
        <f>ConsolidatedVehData!A179</f>
        <v>TLFDHEV20</v>
      </c>
      <c r="E105" s="255" t="str">
        <f>ConsolidatedVehData!B179</f>
        <v>TL.DSL.F.DHEV.2020</v>
      </c>
      <c r="F105" s="255" t="s">
        <v>145</v>
      </c>
      <c r="G105" s="255" t="s">
        <v>240</v>
      </c>
      <c r="H105" s="255"/>
      <c r="I105" s="257"/>
    </row>
    <row r="106" spans="2:9" x14ac:dyDescent="0.2">
      <c r="B106" s="255" t="s">
        <v>68</v>
      </c>
      <c r="C106" s="255" t="s">
        <v>3070</v>
      </c>
      <c r="D106" s="255" t="str">
        <f>ConsolidatedVehData!A188</f>
        <v>TLFDSL10</v>
      </c>
      <c r="E106" s="255" t="str">
        <f>ConsolidatedVehData!B188</f>
        <v>TL.DSL.F.DSL.2010</v>
      </c>
      <c r="F106" s="255" t="s">
        <v>145</v>
      </c>
      <c r="G106" s="255" t="s">
        <v>240</v>
      </c>
      <c r="H106" s="255"/>
      <c r="I106" s="257"/>
    </row>
    <row r="107" spans="2:9" x14ac:dyDescent="0.2">
      <c r="B107" s="255" t="s">
        <v>72</v>
      </c>
      <c r="C107" s="255" t="s">
        <v>3070</v>
      </c>
      <c r="D107" s="255" t="str">
        <f>ConsolidatedVehData!A206</f>
        <v>TLFETHX10</v>
      </c>
      <c r="E107" s="255" t="str">
        <f>ConsolidatedVehData!B206</f>
        <v>TL.E85X.F.ETHX.2010</v>
      </c>
      <c r="F107" s="255" t="s">
        <v>145</v>
      </c>
      <c r="G107" s="255" t="s">
        <v>240</v>
      </c>
      <c r="H107" s="255"/>
      <c r="I107" s="257"/>
    </row>
    <row r="108" spans="2:9" x14ac:dyDescent="0.2">
      <c r="B108" s="255" t="s">
        <v>68</v>
      </c>
      <c r="C108" s="255" t="s">
        <v>3070</v>
      </c>
      <c r="D108" s="255" t="str">
        <f>ConsolidatedVehData!A224</f>
        <v>TLFFCH15</v>
      </c>
      <c r="E108" s="255" t="str">
        <f>ConsolidatedVehData!B224</f>
        <v>TL.H2.F.FCH.2015</v>
      </c>
      <c r="F108" s="255" t="s">
        <v>145</v>
      </c>
      <c r="G108" s="255" t="s">
        <v>240</v>
      </c>
      <c r="H108" s="255"/>
      <c r="I108" s="257"/>
    </row>
    <row r="109" spans="2:9" x14ac:dyDescent="0.2">
      <c r="B109" s="255" t="s">
        <v>68</v>
      </c>
      <c r="C109" s="255" t="s">
        <v>3070</v>
      </c>
      <c r="D109" s="255" t="str">
        <f>ConsolidatedVehData!A233</f>
        <v>TLFHEV10</v>
      </c>
      <c r="E109" s="255" t="str">
        <f>ConsolidatedVehData!B233</f>
        <v>TL.GSL.F.HEV.2010</v>
      </c>
      <c r="F109" s="255" t="s">
        <v>145</v>
      </c>
      <c r="G109" s="255" t="s">
        <v>240</v>
      </c>
      <c r="H109" s="255"/>
      <c r="I109" s="257"/>
    </row>
    <row r="110" spans="2:9" x14ac:dyDescent="0.2">
      <c r="B110" s="255" t="s">
        <v>72</v>
      </c>
      <c r="C110" s="255" t="s">
        <v>3070</v>
      </c>
      <c r="D110" s="255" t="str">
        <f>ConsolidatedVehData!A244</f>
        <v>TLFLPGX10</v>
      </c>
      <c r="E110" s="255" t="str">
        <f>ConsolidatedVehData!B244</f>
        <v>TL.LPGX.F.LPGX.2010</v>
      </c>
      <c r="F110" s="255" t="s">
        <v>145</v>
      </c>
      <c r="G110" s="255" t="s">
        <v>240</v>
      </c>
      <c r="H110" s="255"/>
      <c r="I110" s="257"/>
    </row>
    <row r="111" spans="2:9" x14ac:dyDescent="0.2">
      <c r="B111" s="255" t="s">
        <v>68</v>
      </c>
      <c r="C111" s="255" t="s">
        <v>3070</v>
      </c>
      <c r="D111" s="255" t="str">
        <f>ConsolidatedVehData!A253</f>
        <v>TLFPHVG10</v>
      </c>
      <c r="E111" s="255" t="str">
        <f>ConsolidatedVehData!B253</f>
        <v>TL.GSL.F.PHVG.2010</v>
      </c>
      <c r="F111" s="255" t="s">
        <v>145</v>
      </c>
      <c r="G111" s="255" t="s">
        <v>240</v>
      </c>
      <c r="H111" s="255"/>
      <c r="I111" s="257"/>
    </row>
    <row r="112" spans="2:9" x14ac:dyDescent="0.2">
      <c r="B112" s="255" t="s">
        <v>68</v>
      </c>
      <c r="C112" s="255" t="s">
        <v>3070</v>
      </c>
      <c r="D112" s="255" t="str">
        <f>ConsolidatedVehData!A264</f>
        <v>TLMCONV10</v>
      </c>
      <c r="E112" s="255" t="str">
        <f>ConsolidatedVehData!B264</f>
        <v>TL.GSL.M.CONV.2010</v>
      </c>
      <c r="F112" s="255" t="s">
        <v>145</v>
      </c>
      <c r="G112" s="255" t="s">
        <v>240</v>
      </c>
      <c r="H112" s="255"/>
      <c r="I112" s="257"/>
    </row>
    <row r="113" spans="2:9" x14ac:dyDescent="0.2">
      <c r="B113" s="255" t="s">
        <v>68</v>
      </c>
      <c r="C113" s="255" t="s">
        <v>3070</v>
      </c>
      <c r="D113" s="255" t="str">
        <f>ConsolidatedVehData!A275</f>
        <v>TLMCNG10</v>
      </c>
      <c r="E113" s="255" t="str">
        <f>ConsolidatedVehData!B275</f>
        <v>TL.CNG.M.CNG.2010</v>
      </c>
      <c r="F113" s="255" t="s">
        <v>145</v>
      </c>
      <c r="G113" s="255" t="s">
        <v>240</v>
      </c>
      <c r="H113" s="255"/>
      <c r="I113" s="257"/>
    </row>
    <row r="114" spans="2:9" x14ac:dyDescent="0.2">
      <c r="B114" s="255" t="s">
        <v>72</v>
      </c>
      <c r="C114" s="255" t="s">
        <v>3070</v>
      </c>
      <c r="D114" s="255" t="str">
        <f>ConsolidatedVehData!A286</f>
        <v>TLMCNGX10</v>
      </c>
      <c r="E114" s="255" t="str">
        <f>ConsolidatedVehData!B286</f>
        <v>TL.CNGX.M.CNGX.2010</v>
      </c>
      <c r="F114" s="255" t="s">
        <v>145</v>
      </c>
      <c r="G114" s="255" t="s">
        <v>240</v>
      </c>
      <c r="H114" s="255"/>
      <c r="I114" s="257"/>
    </row>
    <row r="115" spans="2:9" x14ac:dyDescent="0.2">
      <c r="B115" s="255" t="s">
        <v>68</v>
      </c>
      <c r="C115" s="255" t="s">
        <v>3070</v>
      </c>
      <c r="D115" s="255" t="str">
        <f>ConsolidatedVehData!A295</f>
        <v>TLMDHEV15</v>
      </c>
      <c r="E115" s="255" t="str">
        <f>ConsolidatedVehData!B295</f>
        <v>TL.DSL.M.DHEV.2015</v>
      </c>
      <c r="F115" s="255" t="s">
        <v>145</v>
      </c>
      <c r="G115" s="255" t="s">
        <v>240</v>
      </c>
      <c r="H115" s="255"/>
      <c r="I115" s="257"/>
    </row>
    <row r="116" spans="2:9" x14ac:dyDescent="0.2">
      <c r="B116" s="255" t="s">
        <v>68</v>
      </c>
      <c r="C116" s="255" t="s">
        <v>3070</v>
      </c>
      <c r="D116" s="255" t="str">
        <f>ConsolidatedVehData!A305</f>
        <v>TLMDSL10</v>
      </c>
      <c r="E116" s="255" t="str">
        <f>ConsolidatedVehData!B305</f>
        <v>TL.DSL.M.DSL.2010</v>
      </c>
      <c r="F116" s="255" t="s">
        <v>145</v>
      </c>
      <c r="G116" s="255" t="s">
        <v>240</v>
      </c>
      <c r="H116" s="255"/>
      <c r="I116" s="257"/>
    </row>
    <row r="117" spans="2:9" x14ac:dyDescent="0.2">
      <c r="B117" s="255" t="s">
        <v>72</v>
      </c>
      <c r="C117" s="255" t="s">
        <v>3070</v>
      </c>
      <c r="D117" s="255" t="str">
        <f>ConsolidatedVehData!A315</f>
        <v>TLMETHX10</v>
      </c>
      <c r="E117" s="255" t="str">
        <f>ConsolidatedVehData!B315</f>
        <v>TL.E85X.M.ETHX.2010</v>
      </c>
      <c r="F117" s="255" t="s">
        <v>145</v>
      </c>
      <c r="G117" s="255" t="s">
        <v>240</v>
      </c>
      <c r="H117" s="255"/>
      <c r="I117" s="257"/>
    </row>
    <row r="118" spans="2:9" x14ac:dyDescent="0.2">
      <c r="B118" s="255" t="s">
        <v>68</v>
      </c>
      <c r="C118" s="255" t="s">
        <v>3070</v>
      </c>
      <c r="D118" s="255" t="str">
        <f>ConsolidatedVehData!A332</f>
        <v>TLMFCH15</v>
      </c>
      <c r="E118" s="255" t="str">
        <f>ConsolidatedVehData!B332</f>
        <v>TL.H2.M.FCH.2015</v>
      </c>
      <c r="F118" s="255" t="s">
        <v>145</v>
      </c>
      <c r="G118" s="255" t="s">
        <v>240</v>
      </c>
      <c r="H118" s="255"/>
      <c r="I118" s="257"/>
    </row>
    <row r="119" spans="2:9" x14ac:dyDescent="0.2">
      <c r="B119" s="255" t="s">
        <v>68</v>
      </c>
      <c r="C119" s="255" t="s">
        <v>3070</v>
      </c>
      <c r="D119" s="255" t="str">
        <f>ConsolidatedVehData!A349</f>
        <v>TLMHEV10</v>
      </c>
      <c r="E119" s="255" t="str">
        <f>ConsolidatedVehData!B349</f>
        <v>TL.GSL.M.HEV.2010</v>
      </c>
      <c r="F119" s="255" t="s">
        <v>145</v>
      </c>
      <c r="G119" s="255" t="s">
        <v>240</v>
      </c>
      <c r="H119" s="255"/>
      <c r="I119" s="257"/>
    </row>
    <row r="120" spans="2:9" x14ac:dyDescent="0.2">
      <c r="B120" s="255" t="s">
        <v>72</v>
      </c>
      <c r="C120" s="255" t="s">
        <v>3070</v>
      </c>
      <c r="D120" s="255" t="str">
        <f>ConsolidatedVehData!A360</f>
        <v>TLMLPG10</v>
      </c>
      <c r="E120" s="255" t="str">
        <f>ConsolidatedVehData!B360</f>
        <v>TL.LPG1.M.LPG.2010</v>
      </c>
      <c r="F120" s="255" t="s">
        <v>145</v>
      </c>
      <c r="G120" s="255" t="s">
        <v>240</v>
      </c>
      <c r="H120" s="255"/>
      <c r="I120" s="257"/>
    </row>
    <row r="121" spans="2:9" x14ac:dyDescent="0.2">
      <c r="B121" s="255" t="s">
        <v>72</v>
      </c>
      <c r="C121" s="255" t="s">
        <v>3070</v>
      </c>
      <c r="D121" s="255" t="str">
        <f>ConsolidatedVehData!A371</f>
        <v>TLMLPGX10</v>
      </c>
      <c r="E121" s="255" t="str">
        <f>ConsolidatedVehData!B371</f>
        <v>TL.LPGX.M.LPGX.2010</v>
      </c>
      <c r="F121" s="255" t="s">
        <v>145</v>
      </c>
      <c r="G121" s="255" t="s">
        <v>240</v>
      </c>
      <c r="H121" s="255"/>
      <c r="I121" s="257"/>
    </row>
    <row r="122" spans="2:9" x14ac:dyDescent="0.2">
      <c r="B122" s="255" t="s">
        <v>68</v>
      </c>
      <c r="C122" s="255" t="s">
        <v>3070</v>
      </c>
      <c r="D122" s="255" t="str">
        <f>ConsolidatedVehData!A380</f>
        <v>TLMPHVG10</v>
      </c>
      <c r="E122" s="255" t="str">
        <f>ConsolidatedVehData!B380</f>
        <v>TL.GSL.M.PHVG.2010</v>
      </c>
      <c r="F122" s="255" t="s">
        <v>145</v>
      </c>
      <c r="G122" s="255" t="s">
        <v>240</v>
      </c>
      <c r="H122" s="255"/>
      <c r="I122" s="257"/>
    </row>
    <row r="123" spans="2:9" x14ac:dyDescent="0.2">
      <c r="B123" s="255" t="s">
        <v>68</v>
      </c>
      <c r="C123" s="255" t="s">
        <v>3070</v>
      </c>
      <c r="D123" s="255" t="str">
        <f>ConsolidatedVehData!A391</f>
        <v>TLPCONV10</v>
      </c>
      <c r="E123" s="255" t="str">
        <f>ConsolidatedVehData!B391</f>
        <v>TL.GSL.P.CONV.2010</v>
      </c>
      <c r="F123" s="255" t="s">
        <v>145</v>
      </c>
      <c r="G123" s="255" t="s">
        <v>240</v>
      </c>
      <c r="H123" s="255"/>
      <c r="I123" s="257"/>
    </row>
    <row r="124" spans="2:9" x14ac:dyDescent="0.2">
      <c r="B124" s="255" t="s">
        <v>68</v>
      </c>
      <c r="C124" s="255" t="s">
        <v>3070</v>
      </c>
      <c r="D124" s="255" t="str">
        <f>ConsolidatedVehData!A402</f>
        <v>TLPCNG10</v>
      </c>
      <c r="E124" s="255" t="str">
        <f>ConsolidatedVehData!B402</f>
        <v>TL.CNG.P.CNG.2010</v>
      </c>
      <c r="F124" s="255" t="s">
        <v>145</v>
      </c>
      <c r="G124" s="255" t="s">
        <v>240</v>
      </c>
      <c r="H124" s="255"/>
      <c r="I124" s="257"/>
    </row>
    <row r="125" spans="2:9" x14ac:dyDescent="0.2">
      <c r="B125" s="255" t="s">
        <v>72</v>
      </c>
      <c r="C125" s="255" t="s">
        <v>3070</v>
      </c>
      <c r="D125" s="255" t="str">
        <f>ConsolidatedVehData!A413</f>
        <v>TLPCNGX10</v>
      </c>
      <c r="E125" s="255" t="str">
        <f>ConsolidatedVehData!B413</f>
        <v>TL.CNGX.P.CNGX.2010</v>
      </c>
      <c r="F125" s="255" t="s">
        <v>145</v>
      </c>
      <c r="G125" s="255" t="s">
        <v>240</v>
      </c>
      <c r="H125" s="255"/>
      <c r="I125" s="257"/>
    </row>
    <row r="126" spans="2:9" x14ac:dyDescent="0.2">
      <c r="B126" s="255" t="s">
        <v>68</v>
      </c>
      <c r="C126" s="255" t="s">
        <v>3070</v>
      </c>
      <c r="D126" s="255" t="str">
        <f>ConsolidatedVehData!A424</f>
        <v>TLPDSL10</v>
      </c>
      <c r="E126" s="255" t="str">
        <f>ConsolidatedVehData!B424</f>
        <v>TL.DSL.P.DSL.2010</v>
      </c>
      <c r="F126" s="255" t="s">
        <v>145</v>
      </c>
      <c r="G126" s="255" t="s">
        <v>240</v>
      </c>
      <c r="H126" s="255"/>
      <c r="I126" s="257"/>
    </row>
    <row r="127" spans="2:9" x14ac:dyDescent="0.2">
      <c r="B127" s="255" t="s">
        <v>72</v>
      </c>
      <c r="C127" s="255" t="s">
        <v>3070</v>
      </c>
      <c r="D127" s="255" t="str">
        <f>ConsolidatedVehData!A434</f>
        <v>TLPETHX10</v>
      </c>
      <c r="E127" s="255" t="str">
        <f>ConsolidatedVehData!B434</f>
        <v>TL.E85X.P.ETHX.2010</v>
      </c>
      <c r="F127" s="255" t="s">
        <v>145</v>
      </c>
      <c r="G127" s="255" t="s">
        <v>240</v>
      </c>
      <c r="H127" s="255"/>
      <c r="I127" s="257"/>
    </row>
    <row r="128" spans="2:9" x14ac:dyDescent="0.2">
      <c r="B128" s="255" t="s">
        <v>68</v>
      </c>
      <c r="C128" s="255" t="s">
        <v>3070</v>
      </c>
      <c r="D128" s="255" t="str">
        <f>ConsolidatedVehData!A444</f>
        <v>TLPHEV15</v>
      </c>
      <c r="E128" s="255" t="str">
        <f>ConsolidatedVehData!B444</f>
        <v>TL.GSL.P.HEV.2015</v>
      </c>
      <c r="F128" s="255" t="s">
        <v>145</v>
      </c>
      <c r="G128" s="255" t="s">
        <v>240</v>
      </c>
      <c r="H128" s="255"/>
      <c r="I128" s="257"/>
    </row>
    <row r="129" spans="2:9" x14ac:dyDescent="0.2">
      <c r="B129" s="255" t="s">
        <v>72</v>
      </c>
      <c r="C129" s="255" t="s">
        <v>3070</v>
      </c>
      <c r="D129" s="255" t="str">
        <f>ConsolidatedVehData!A454</f>
        <v>TLPLPG10</v>
      </c>
      <c r="E129" s="255" t="str">
        <f>ConsolidatedVehData!B454</f>
        <v>TL.LPG1.P.LPG.2010</v>
      </c>
      <c r="F129" s="255" t="s">
        <v>145</v>
      </c>
      <c r="G129" s="255" t="s">
        <v>240</v>
      </c>
      <c r="H129" s="255"/>
      <c r="I129" s="257"/>
    </row>
    <row r="130" spans="2:9" x14ac:dyDescent="0.2">
      <c r="B130" s="255" t="s">
        <v>72</v>
      </c>
      <c r="C130" s="255" t="s">
        <v>3070</v>
      </c>
      <c r="D130" s="255" t="str">
        <f>ConsolidatedVehData!A465</f>
        <v>TLPLPGX10</v>
      </c>
      <c r="E130" s="255" t="str">
        <f>ConsolidatedVehData!B465</f>
        <v>TL.LPGX.P.LPGX.2010</v>
      </c>
      <c r="F130" s="255" t="s">
        <v>145</v>
      </c>
      <c r="G130" s="255" t="s">
        <v>240</v>
      </c>
      <c r="H130" s="255"/>
      <c r="I130" s="257"/>
    </row>
    <row r="131" spans="2:9" x14ac:dyDescent="0.2">
      <c r="B131" s="255" t="s">
        <v>68</v>
      </c>
      <c r="C131" s="255" t="s">
        <v>3070</v>
      </c>
      <c r="D131" s="255" t="str">
        <f>ConsolidatedVehData!A475</f>
        <v>TLPPHVG15</v>
      </c>
      <c r="E131" s="255" t="str">
        <f>ConsolidatedVehData!B475</f>
        <v>TL.GSL.P.PHVG.2015</v>
      </c>
      <c r="F131" s="255" t="s">
        <v>145</v>
      </c>
      <c r="G131" s="255" t="s">
        <v>240</v>
      </c>
      <c r="H131" s="255"/>
      <c r="I131" s="257"/>
    </row>
    <row r="132" spans="2:9" x14ac:dyDescent="0.2">
      <c r="B132" s="255" t="s">
        <v>68</v>
      </c>
      <c r="C132" s="255" t="s">
        <v>3070</v>
      </c>
      <c r="D132" s="255" t="str">
        <f>ConsolidatedVehData!A485</f>
        <v>TLSSCONV10</v>
      </c>
      <c r="E132" s="255" t="str">
        <f>ConsolidatedVehData!B485</f>
        <v>TL.GSL.SS.CONV.2010</v>
      </c>
      <c r="F132" s="255" t="s">
        <v>145</v>
      </c>
      <c r="G132" s="255" t="s">
        <v>240</v>
      </c>
      <c r="H132" s="255"/>
      <c r="I132" s="257"/>
    </row>
    <row r="133" spans="2:9" x14ac:dyDescent="0.2">
      <c r="B133" s="255" t="s">
        <v>68</v>
      </c>
      <c r="C133" s="255" t="s">
        <v>3070</v>
      </c>
      <c r="D133" s="255" t="str">
        <f>ConsolidatedVehData!A494</f>
        <v>TLSSDHEV20</v>
      </c>
      <c r="E133" s="255" t="str">
        <f>ConsolidatedVehData!B494</f>
        <v>TL.DSL.SS.DHEV.2020</v>
      </c>
      <c r="F133" s="255" t="s">
        <v>145</v>
      </c>
      <c r="G133" s="255" t="s">
        <v>240</v>
      </c>
      <c r="H133" s="255"/>
      <c r="I133" s="257"/>
    </row>
    <row r="134" spans="2:9" x14ac:dyDescent="0.2">
      <c r="B134" s="255" t="s">
        <v>68</v>
      </c>
      <c r="C134" s="255" t="s">
        <v>3070</v>
      </c>
      <c r="D134" s="255" t="str">
        <f>ConsolidatedVehData!A503</f>
        <v>TLSSDSL10</v>
      </c>
      <c r="E134" s="255" t="str">
        <f>ConsolidatedVehData!B503</f>
        <v>TL.DSL.SS.DSL.2010</v>
      </c>
      <c r="F134" s="255" t="s">
        <v>145</v>
      </c>
      <c r="G134" s="255" t="s">
        <v>240</v>
      </c>
      <c r="H134" s="255"/>
      <c r="I134" s="257"/>
    </row>
    <row r="135" spans="2:9" x14ac:dyDescent="0.2">
      <c r="B135" s="255" t="s">
        <v>72</v>
      </c>
      <c r="C135" s="255" t="s">
        <v>3070</v>
      </c>
      <c r="D135" s="255" t="str">
        <f>ConsolidatedVehData!A523</f>
        <v>TLSSETHX10</v>
      </c>
      <c r="E135" s="255" t="str">
        <f>ConsolidatedVehData!B523</f>
        <v>TL.E85X.SS.ETHX.2010</v>
      </c>
      <c r="F135" s="255" t="s">
        <v>145</v>
      </c>
      <c r="G135" s="255" t="s">
        <v>240</v>
      </c>
      <c r="H135" s="255"/>
      <c r="I135" s="257"/>
    </row>
    <row r="136" spans="2:9" x14ac:dyDescent="0.2">
      <c r="B136" s="255" t="s">
        <v>68</v>
      </c>
      <c r="C136" s="255" t="s">
        <v>3070</v>
      </c>
      <c r="D136" s="255" t="str">
        <f>ConsolidatedVehData!A541</f>
        <v>TLSSFCH10</v>
      </c>
      <c r="E136" s="255" t="str">
        <f>ConsolidatedVehData!B541</f>
        <v>TL.H2.SS.FCH.2010</v>
      </c>
      <c r="F136" s="255" t="s">
        <v>145</v>
      </c>
      <c r="G136" s="255" t="s">
        <v>240</v>
      </c>
      <c r="H136" s="255"/>
      <c r="I136" s="257"/>
    </row>
    <row r="137" spans="2:9" x14ac:dyDescent="0.2">
      <c r="B137" s="255" t="s">
        <v>68</v>
      </c>
      <c r="C137" s="255" t="s">
        <v>3070</v>
      </c>
      <c r="D137" s="255" t="str">
        <f>ConsolidatedVehData!A550</f>
        <v>TLSSHEV10</v>
      </c>
      <c r="E137" s="255" t="str">
        <f>ConsolidatedVehData!B550</f>
        <v>TL.GSL.SS.HEV.2010</v>
      </c>
      <c r="F137" s="255" t="s">
        <v>145</v>
      </c>
      <c r="G137" s="255" t="s">
        <v>240</v>
      </c>
      <c r="H137" s="255"/>
      <c r="I137" s="257"/>
    </row>
    <row r="138" spans="2:9" x14ac:dyDescent="0.2">
      <c r="B138" s="255" t="s">
        <v>68</v>
      </c>
      <c r="C138" s="255" t="s">
        <v>3070</v>
      </c>
      <c r="D138" s="255" t="str">
        <f>ConsolidatedVehData!A559</f>
        <v>TLSSPHVG10</v>
      </c>
      <c r="E138" s="255" t="str">
        <f>ConsolidatedVehData!B559</f>
        <v>TL.GSL.SS.PHVG.2010</v>
      </c>
      <c r="F138" s="255" t="s">
        <v>145</v>
      </c>
      <c r="G138" s="255" t="s">
        <v>240</v>
      </c>
      <c r="H138" s="255"/>
      <c r="I138" s="257"/>
    </row>
    <row r="139" spans="2:9" x14ac:dyDescent="0.2">
      <c r="B139" s="255" t="s">
        <v>68</v>
      </c>
      <c r="C139" s="255" t="s">
        <v>3070</v>
      </c>
      <c r="D139" s="255" t="str">
        <f>ConsolidatedVehData!A570</f>
        <v>TLLSCONV10</v>
      </c>
      <c r="E139" s="255" t="str">
        <f>ConsolidatedVehData!B570</f>
        <v>TL.GSL.LS.CONV.2010</v>
      </c>
      <c r="F139" s="255" t="s">
        <v>145</v>
      </c>
      <c r="G139" s="255" t="s">
        <v>240</v>
      </c>
      <c r="H139" s="255"/>
      <c r="I139" s="257"/>
    </row>
    <row r="140" spans="2:9" x14ac:dyDescent="0.2">
      <c r="B140" s="255" t="s">
        <v>68</v>
      </c>
      <c r="C140" s="255" t="s">
        <v>3070</v>
      </c>
      <c r="D140" s="255" t="str">
        <f>ConsolidatedVehData!A579</f>
        <v>TLLSDHEV20</v>
      </c>
      <c r="E140" s="255" t="str">
        <f>ConsolidatedVehData!B579</f>
        <v>TL.DSL.LS.DHEV.2020</v>
      </c>
      <c r="F140" s="255" t="s">
        <v>145</v>
      </c>
      <c r="G140" s="255" t="s">
        <v>240</v>
      </c>
      <c r="H140" s="255"/>
      <c r="I140" s="257"/>
    </row>
    <row r="141" spans="2:9" x14ac:dyDescent="0.2">
      <c r="B141" s="255" t="s">
        <v>68</v>
      </c>
      <c r="C141" s="255" t="s">
        <v>3070</v>
      </c>
      <c r="D141" s="255" t="str">
        <f>ConsolidatedVehData!A588</f>
        <v>TLLSDSL10</v>
      </c>
      <c r="E141" s="255" t="str">
        <f>ConsolidatedVehData!B588</f>
        <v>TL.DSL.LS.DSL.2010</v>
      </c>
      <c r="F141" s="255" t="s">
        <v>145</v>
      </c>
      <c r="G141" s="255" t="s">
        <v>240</v>
      </c>
      <c r="H141" s="255"/>
      <c r="I141" s="257"/>
    </row>
    <row r="142" spans="2:9" x14ac:dyDescent="0.2">
      <c r="B142" s="255" t="s">
        <v>72</v>
      </c>
      <c r="C142" s="255" t="s">
        <v>3070</v>
      </c>
      <c r="D142" s="255" t="str">
        <f>ConsolidatedVehData!A599</f>
        <v>TLLSETHX10</v>
      </c>
      <c r="E142" s="255" t="str">
        <f>ConsolidatedVehData!B599</f>
        <v>TL.E85X.LS.ETHX.2010</v>
      </c>
      <c r="F142" s="255" t="s">
        <v>145</v>
      </c>
      <c r="G142" s="255" t="s">
        <v>240</v>
      </c>
      <c r="H142" s="255"/>
      <c r="I142" s="257"/>
    </row>
    <row r="143" spans="2:9" x14ac:dyDescent="0.2">
      <c r="B143" s="255" t="s">
        <v>68</v>
      </c>
      <c r="C143" s="255" t="s">
        <v>3070</v>
      </c>
      <c r="D143" s="255" t="str">
        <f>ConsolidatedVehData!A608</f>
        <v>TLLSFCH25</v>
      </c>
      <c r="E143" s="255" t="str">
        <f>ConsolidatedVehData!B608</f>
        <v>TL.H2.LS.FCH.2025</v>
      </c>
      <c r="F143" s="255" t="s">
        <v>145</v>
      </c>
      <c r="G143" s="255" t="s">
        <v>240</v>
      </c>
      <c r="H143" s="255"/>
      <c r="I143" s="257"/>
    </row>
    <row r="144" spans="2:9" x14ac:dyDescent="0.2">
      <c r="B144" s="255" t="s">
        <v>68</v>
      </c>
      <c r="C144" s="255" t="s">
        <v>3070</v>
      </c>
      <c r="D144" s="255" t="str">
        <f>ConsolidatedVehData!A616</f>
        <v>TLLSHEV10</v>
      </c>
      <c r="E144" s="255" t="str">
        <f>ConsolidatedVehData!B616</f>
        <v>TL.GSL.LS.HEV.2010</v>
      </c>
      <c r="F144" s="255" t="s">
        <v>145</v>
      </c>
      <c r="G144" s="255" t="s">
        <v>240</v>
      </c>
      <c r="H144" s="255"/>
      <c r="I144" s="257"/>
    </row>
    <row r="145" spans="2:9" x14ac:dyDescent="0.2">
      <c r="B145" s="255" t="s">
        <v>68</v>
      </c>
      <c r="C145" s="255" t="s">
        <v>3070</v>
      </c>
      <c r="D145" s="255" t="str">
        <f>ConsolidatedVehData!A625</f>
        <v>TLLSPHVG10</v>
      </c>
      <c r="E145" s="255" t="str">
        <f>ConsolidatedVehData!B625</f>
        <v>TL.GSL.LS.PHVG.2010</v>
      </c>
      <c r="F145" s="255" t="s">
        <v>145</v>
      </c>
      <c r="G145" s="255" t="s">
        <v>240</v>
      </c>
      <c r="H145" s="255"/>
      <c r="I145" s="257"/>
    </row>
    <row r="146" spans="2:9" x14ac:dyDescent="0.2">
      <c r="B146" s="255" t="s">
        <v>72</v>
      </c>
      <c r="C146" s="255" t="s">
        <v>3070</v>
      </c>
      <c r="D146" s="255" t="str">
        <f>ConsolidatedVehData!A643</f>
        <v>TLCHE8510</v>
      </c>
      <c r="E146" s="255" t="str">
        <f>ConsolidatedVehData!B643</f>
        <v>TL.E85X.C.HE85.2010</v>
      </c>
      <c r="F146" s="255" t="s">
        <v>145</v>
      </c>
      <c r="G146" s="255" t="s">
        <v>240</v>
      </c>
      <c r="H146" s="255"/>
      <c r="I146" s="257"/>
    </row>
    <row r="147" spans="2:9" x14ac:dyDescent="0.2">
      <c r="B147" s="255" t="s">
        <v>72</v>
      </c>
      <c r="C147" s="255" t="s">
        <v>3070</v>
      </c>
      <c r="D147" s="255" t="str">
        <f>ConsolidatedVehData!A652</f>
        <v>TLFHE8510</v>
      </c>
      <c r="E147" s="255" t="str">
        <f>ConsolidatedVehData!B652</f>
        <v>TL.E85X.F.HE85.2010</v>
      </c>
      <c r="F147" s="255" t="s">
        <v>145</v>
      </c>
      <c r="G147" s="255" t="s">
        <v>240</v>
      </c>
      <c r="H147" s="255"/>
      <c r="I147" s="257"/>
    </row>
    <row r="148" spans="2:9" x14ac:dyDescent="0.2">
      <c r="B148" s="255" t="s">
        <v>72</v>
      </c>
      <c r="C148" s="255" t="s">
        <v>3070</v>
      </c>
      <c r="D148" s="255" t="str">
        <f>ConsolidatedVehData!A662</f>
        <v>TLPHE8515</v>
      </c>
      <c r="E148" s="255" t="str">
        <f>ConsolidatedVehData!B662</f>
        <v>TL.E85X.P.HE85.2015</v>
      </c>
      <c r="F148" s="255" t="s">
        <v>145</v>
      </c>
      <c r="G148" s="255" t="s">
        <v>240</v>
      </c>
      <c r="H148" s="255"/>
      <c r="I148" s="257"/>
    </row>
    <row r="149" spans="2:9" x14ac:dyDescent="0.2">
      <c r="B149" s="255" t="s">
        <v>72</v>
      </c>
      <c r="C149" s="255" t="s">
        <v>3070</v>
      </c>
      <c r="D149" s="255" t="str">
        <f>ConsolidatedVehData!A670</f>
        <v>TLMHE8510</v>
      </c>
      <c r="E149" s="255" t="str">
        <f>ConsolidatedVehData!B670</f>
        <v>TL.E85X.M.HE85.2010</v>
      </c>
      <c r="F149" s="255" t="s">
        <v>145</v>
      </c>
      <c r="G149" s="255" t="s">
        <v>240</v>
      </c>
      <c r="H149" s="255"/>
      <c r="I149" s="257"/>
    </row>
    <row r="150" spans="2:9" x14ac:dyDescent="0.2">
      <c r="B150" s="255" t="s">
        <v>72</v>
      </c>
      <c r="C150" s="255" t="s">
        <v>3070</v>
      </c>
      <c r="D150" s="255" t="str">
        <f>ConsolidatedVehData!A679</f>
        <v>TLLSHE8510</v>
      </c>
      <c r="E150" s="255" t="str">
        <f>ConsolidatedVehData!B679</f>
        <v>TL.E85X.LS.HE85.2010</v>
      </c>
      <c r="F150" s="255" t="s">
        <v>145</v>
      </c>
      <c r="G150" s="255" t="s">
        <v>240</v>
      </c>
      <c r="H150" s="255"/>
      <c r="I150" s="257"/>
    </row>
    <row r="151" spans="2:9" x14ac:dyDescent="0.2">
      <c r="B151" s="255" t="s">
        <v>72</v>
      </c>
      <c r="C151" s="255" t="s">
        <v>3070</v>
      </c>
      <c r="D151" s="255" t="str">
        <f>ConsolidatedVehData!A688</f>
        <v>TLSSHE8510</v>
      </c>
      <c r="E151" s="255" t="str">
        <f>ConsolidatedVehData!B688</f>
        <v>TL.E85X.SS.HE85.2010</v>
      </c>
      <c r="F151" s="255" t="s">
        <v>145</v>
      </c>
      <c r="G151" s="255" t="s">
        <v>240</v>
      </c>
      <c r="H151" s="255"/>
      <c r="I151" s="257"/>
    </row>
    <row r="152" spans="2:9" x14ac:dyDescent="0.2">
      <c r="B152" s="255" t="s">
        <v>68</v>
      </c>
      <c r="C152" s="255" t="s">
        <v>3070</v>
      </c>
      <c r="D152" s="255" t="str">
        <f>ConsolidatedVehData!A697</f>
        <v>TLCP20G10</v>
      </c>
      <c r="E152" s="255" t="str">
        <f>ConsolidatedVehData!B697</f>
        <v>TL.GSL.C.P20G.2010</v>
      </c>
      <c r="F152" s="255" t="s">
        <v>145</v>
      </c>
      <c r="G152" s="255" t="s">
        <v>240</v>
      </c>
      <c r="H152" s="255"/>
      <c r="I152" s="257"/>
    </row>
    <row r="153" spans="2:9" x14ac:dyDescent="0.2">
      <c r="B153" s="255" t="s">
        <v>68</v>
      </c>
      <c r="C153" s="255" t="s">
        <v>3070</v>
      </c>
      <c r="D153" s="255" t="str">
        <f>ConsolidatedVehData!A706</f>
        <v>TLFP20G10</v>
      </c>
      <c r="E153" s="255" t="str">
        <f>ConsolidatedVehData!B706</f>
        <v>TL.GSL.F.P20G.2010</v>
      </c>
      <c r="F153" s="255" t="s">
        <v>145</v>
      </c>
      <c r="G153" s="255" t="s">
        <v>240</v>
      </c>
      <c r="H153" s="255"/>
      <c r="I153" s="257"/>
    </row>
    <row r="154" spans="2:9" x14ac:dyDescent="0.2">
      <c r="B154" s="255" t="s">
        <v>68</v>
      </c>
      <c r="C154" s="255" t="s">
        <v>3070</v>
      </c>
      <c r="D154" s="255" t="str">
        <f>ConsolidatedVehData!A716</f>
        <v>TLPP20G15</v>
      </c>
      <c r="E154" s="255" t="str">
        <f>ConsolidatedVehData!B716</f>
        <v>TL.GSL.P.P20G.2015</v>
      </c>
      <c r="F154" s="255" t="s">
        <v>145</v>
      </c>
      <c r="G154" s="255" t="s">
        <v>240</v>
      </c>
      <c r="H154" s="255"/>
      <c r="I154" s="257"/>
    </row>
    <row r="155" spans="2:9" x14ac:dyDescent="0.2">
      <c r="B155" s="255" t="s">
        <v>68</v>
      </c>
      <c r="C155" s="255" t="s">
        <v>3070</v>
      </c>
      <c r="D155" s="255" t="str">
        <f>ConsolidatedVehData!A724</f>
        <v>TLMP20G10</v>
      </c>
      <c r="E155" s="255" t="str">
        <f>ConsolidatedVehData!B724</f>
        <v>TL.GSL.M.P20G.2010</v>
      </c>
      <c r="F155" s="255" t="s">
        <v>145</v>
      </c>
      <c r="G155" s="255" t="s">
        <v>240</v>
      </c>
      <c r="H155" s="255"/>
      <c r="I155" s="257"/>
    </row>
    <row r="156" spans="2:9" x14ac:dyDescent="0.2">
      <c r="B156" s="255" t="s">
        <v>68</v>
      </c>
      <c r="C156" s="255" t="s">
        <v>3070</v>
      </c>
      <c r="D156" s="255" t="str">
        <f>ConsolidatedVehData!A733</f>
        <v>TLLSP20G10</v>
      </c>
      <c r="E156" s="255" t="str">
        <f>ConsolidatedVehData!B733</f>
        <v>TL.GSL.LS.P20G.2010</v>
      </c>
      <c r="F156" s="255" t="s">
        <v>145</v>
      </c>
      <c r="G156" s="255" t="s">
        <v>240</v>
      </c>
      <c r="H156" s="255"/>
      <c r="I156" s="257"/>
    </row>
    <row r="157" spans="2:9" x14ac:dyDescent="0.2">
      <c r="B157" s="255" t="s">
        <v>68</v>
      </c>
      <c r="C157" s="255" t="s">
        <v>3070</v>
      </c>
      <c r="D157" s="255" t="str">
        <f>ConsolidatedVehData!A742</f>
        <v>TLSSP20G10</v>
      </c>
      <c r="E157" s="255" t="str">
        <f>ConsolidatedVehData!B742</f>
        <v>TL.GSL.SS.P20G.2010</v>
      </c>
      <c r="F157" s="255" t="s">
        <v>145</v>
      </c>
      <c r="G157" s="255" t="s">
        <v>240</v>
      </c>
      <c r="H157" s="255"/>
      <c r="I157" s="257"/>
    </row>
    <row r="158" spans="2:9" x14ac:dyDescent="0.2">
      <c r="B158" s="255" t="s">
        <v>72</v>
      </c>
      <c r="C158" s="255" t="s">
        <v>3070</v>
      </c>
      <c r="D158" s="255" t="str">
        <f>ConsolidatedVehData!A751</f>
        <v>TLCP20E10</v>
      </c>
      <c r="E158" s="255" t="str">
        <f>ConsolidatedVehData!B751</f>
        <v>TL.E85X.C.P20E.2010</v>
      </c>
      <c r="F158" s="255" t="s">
        <v>145</v>
      </c>
      <c r="G158" s="255" t="s">
        <v>240</v>
      </c>
      <c r="H158" s="255"/>
      <c r="I158" s="257"/>
    </row>
    <row r="159" spans="2:9" x14ac:dyDescent="0.2">
      <c r="B159" s="255" t="s">
        <v>72</v>
      </c>
      <c r="C159" s="255" t="s">
        <v>3070</v>
      </c>
      <c r="D159" s="255" t="str">
        <f>ConsolidatedVehData!A760</f>
        <v>TLFP20E10</v>
      </c>
      <c r="E159" s="255" t="str">
        <f>ConsolidatedVehData!B760</f>
        <v>TL.E85X.F.P20E.2010</v>
      </c>
      <c r="F159" s="255" t="s">
        <v>145</v>
      </c>
      <c r="G159" s="255" t="s">
        <v>240</v>
      </c>
      <c r="H159" s="255"/>
      <c r="I159" s="257"/>
    </row>
    <row r="160" spans="2:9" x14ac:dyDescent="0.2">
      <c r="B160" s="255" t="s">
        <v>72</v>
      </c>
      <c r="C160" s="255" t="s">
        <v>3070</v>
      </c>
      <c r="D160" s="255" t="str">
        <f>ConsolidatedVehData!A769</f>
        <v>TLPP20E10</v>
      </c>
      <c r="E160" s="255" t="str">
        <f>ConsolidatedVehData!B769</f>
        <v>TL.E85X.P.P20E.2010</v>
      </c>
      <c r="F160" s="255" t="s">
        <v>145</v>
      </c>
      <c r="G160" s="255" t="s">
        <v>240</v>
      </c>
      <c r="H160" s="255"/>
      <c r="I160" s="257"/>
    </row>
    <row r="161" spans="2:9" x14ac:dyDescent="0.2">
      <c r="B161" s="255" t="s">
        <v>72</v>
      </c>
      <c r="C161" s="255" t="s">
        <v>3070</v>
      </c>
      <c r="D161" s="255" t="str">
        <f>ConsolidatedVehData!A778</f>
        <v>TLMP20E10</v>
      </c>
      <c r="E161" s="255" t="str">
        <f>ConsolidatedVehData!B778</f>
        <v>TL.E85X.M.P20E.2010</v>
      </c>
      <c r="F161" s="255" t="s">
        <v>145</v>
      </c>
      <c r="G161" s="255" t="s">
        <v>240</v>
      </c>
      <c r="H161" s="255"/>
      <c r="I161" s="257"/>
    </row>
    <row r="162" spans="2:9" x14ac:dyDescent="0.2">
      <c r="B162" s="255" t="s">
        <v>72</v>
      </c>
      <c r="C162" s="255" t="s">
        <v>3070</v>
      </c>
      <c r="D162" s="255" t="str">
        <f>ConsolidatedVehData!A787</f>
        <v>TLLSP20E10</v>
      </c>
      <c r="E162" s="255" t="str">
        <f>ConsolidatedVehData!B787</f>
        <v>TL.E85X.LS.P20E.2010</v>
      </c>
      <c r="F162" s="255" t="s">
        <v>145</v>
      </c>
      <c r="G162" s="255" t="s">
        <v>240</v>
      </c>
      <c r="H162" s="255"/>
      <c r="I162" s="257"/>
    </row>
    <row r="163" spans="2:9" x14ac:dyDescent="0.2">
      <c r="B163" s="255" t="s">
        <v>72</v>
      </c>
      <c r="C163" s="255" t="s">
        <v>3070</v>
      </c>
      <c r="D163" s="255" t="str">
        <f>ConsolidatedVehData!A797</f>
        <v>TLSSP20E15</v>
      </c>
      <c r="E163" s="255" t="str">
        <f>ConsolidatedVehData!B797</f>
        <v>TL.E85X.SS.P20E.2015</v>
      </c>
      <c r="F163" s="255" t="s">
        <v>145</v>
      </c>
      <c r="G163" s="255" t="s">
        <v>240</v>
      </c>
      <c r="H163" s="255"/>
      <c r="I163" s="257"/>
    </row>
    <row r="164" spans="2:9" x14ac:dyDescent="0.2">
      <c r="B164" s="255" t="s">
        <v>72</v>
      </c>
      <c r="C164" s="255" t="s">
        <v>3070</v>
      </c>
      <c r="D164" s="255" t="str">
        <f>ConsolidatedVehData!A805</f>
        <v>TLCPHVE10</v>
      </c>
      <c r="E164" s="255" t="str">
        <f>ConsolidatedVehData!B805</f>
        <v>TL.E85X.C.PHVE.2010</v>
      </c>
      <c r="F164" s="255" t="s">
        <v>145</v>
      </c>
      <c r="G164" s="255" t="s">
        <v>240</v>
      </c>
      <c r="H164" s="255"/>
      <c r="I164" s="257"/>
    </row>
    <row r="165" spans="2:9" x14ac:dyDescent="0.2">
      <c r="B165" s="255" t="s">
        <v>72</v>
      </c>
      <c r="C165" s="255" t="s">
        <v>3070</v>
      </c>
      <c r="D165" s="255" t="str">
        <f>ConsolidatedVehData!A814</f>
        <v>TLFPHVE10</v>
      </c>
      <c r="E165" s="255" t="str">
        <f>ConsolidatedVehData!B814</f>
        <v>TL.E85X.F.PHVE.2010</v>
      </c>
      <c r="F165" s="255" t="s">
        <v>145</v>
      </c>
      <c r="G165" s="255" t="s">
        <v>240</v>
      </c>
      <c r="H165" s="255"/>
      <c r="I165" s="257"/>
    </row>
    <row r="166" spans="2:9" x14ac:dyDescent="0.2">
      <c r="B166" s="255" t="s">
        <v>72</v>
      </c>
      <c r="C166" s="255" t="s">
        <v>3070</v>
      </c>
      <c r="D166" s="255" t="str">
        <f>ConsolidatedVehData!A824</f>
        <v>TLPPHVE15</v>
      </c>
      <c r="E166" s="255" t="str">
        <f>ConsolidatedVehData!B824</f>
        <v>TL.E85X.P.PHVE.2015</v>
      </c>
      <c r="F166" s="255" t="s">
        <v>145</v>
      </c>
      <c r="G166" s="255" t="s">
        <v>240</v>
      </c>
      <c r="H166" s="255"/>
      <c r="I166" s="257"/>
    </row>
    <row r="167" spans="2:9" x14ac:dyDescent="0.2">
      <c r="B167" s="255" t="s">
        <v>72</v>
      </c>
      <c r="C167" s="255" t="s">
        <v>3070</v>
      </c>
      <c r="D167" s="255" t="str">
        <f>ConsolidatedVehData!A832</f>
        <v>TLMPHVE10</v>
      </c>
      <c r="E167" s="255" t="str">
        <f>ConsolidatedVehData!B832</f>
        <v>TL.E85X.M.PHVE.2010</v>
      </c>
      <c r="F167" s="255" t="s">
        <v>145</v>
      </c>
      <c r="G167" s="255" t="s">
        <v>240</v>
      </c>
      <c r="H167" s="255"/>
      <c r="I167" s="257"/>
    </row>
    <row r="168" spans="2:9" x14ac:dyDescent="0.2">
      <c r="B168" s="255" t="s">
        <v>72</v>
      </c>
      <c r="C168" s="255" t="s">
        <v>3070</v>
      </c>
      <c r="D168" s="255" t="str">
        <f>ConsolidatedVehData!A841</f>
        <v>TLLSPHVE10</v>
      </c>
      <c r="E168" s="255" t="str">
        <f>ConsolidatedVehData!B841</f>
        <v>TL.E85X.LS.PHVE.2010</v>
      </c>
      <c r="F168" s="255" t="s">
        <v>145</v>
      </c>
      <c r="G168" s="255" t="s">
        <v>240</v>
      </c>
      <c r="H168" s="255"/>
      <c r="I168" s="257"/>
    </row>
    <row r="169" spans="2:9" x14ac:dyDescent="0.2">
      <c r="B169" s="255" t="s">
        <v>72</v>
      </c>
      <c r="C169" s="255" t="s">
        <v>3070</v>
      </c>
      <c r="D169" s="255" t="str">
        <f>ConsolidatedVehData!A850</f>
        <v>TLSSPHVE10</v>
      </c>
      <c r="E169" s="255" t="str">
        <f>ConsolidatedVehData!B850</f>
        <v>TL.E85X.SS.PHVE.2010</v>
      </c>
      <c r="F169" s="255" t="s">
        <v>145</v>
      </c>
      <c r="G169" s="255" t="s">
        <v>240</v>
      </c>
      <c r="H169" s="255"/>
      <c r="I169" s="257"/>
    </row>
    <row r="170" spans="2:9" x14ac:dyDescent="0.2">
      <c r="B170" s="255" t="s">
        <v>190</v>
      </c>
      <c r="C170" s="255" t="s">
        <v>3070</v>
      </c>
      <c r="D170" s="255" t="str">
        <f>ConsolidatedVehData!A340</f>
        <v>TLMELC10</v>
      </c>
      <c r="E170" s="255" t="str">
        <f>ConsolidatedVehData!B340</f>
        <v>TL.ELC.M.ELC.2010</v>
      </c>
      <c r="F170" s="255" t="s">
        <v>145</v>
      </c>
      <c r="G170" s="255" t="s">
        <v>240</v>
      </c>
      <c r="H170" s="255"/>
      <c r="I170" s="257"/>
    </row>
    <row r="171" spans="2:9" x14ac:dyDescent="0.2">
      <c r="B171" s="255" t="s">
        <v>190</v>
      </c>
      <c r="C171" s="255" t="s">
        <v>3070</v>
      </c>
      <c r="D171" s="255" t="str">
        <f>ConsolidatedVehData!A514</f>
        <v>TLSSELC10</v>
      </c>
      <c r="E171" s="255" t="str">
        <f>ConsolidatedVehData!B514</f>
        <v>TL.ELC.SS.ELC.2010</v>
      </c>
      <c r="F171" s="255" t="s">
        <v>145</v>
      </c>
      <c r="G171" s="255" t="s">
        <v>240</v>
      </c>
      <c r="H171" s="255"/>
      <c r="I171" s="257"/>
    </row>
    <row r="172" spans="2:9" x14ac:dyDescent="0.2">
      <c r="B172" s="258" t="s">
        <v>269</v>
      </c>
      <c r="C172" s="259"/>
      <c r="D172" s="259"/>
      <c r="E172" s="259"/>
      <c r="F172" s="259"/>
      <c r="G172" s="259"/>
      <c r="H172" s="259"/>
      <c r="I172" s="261"/>
    </row>
    <row r="173" spans="2:9" x14ac:dyDescent="0.2">
      <c r="B173" s="255" t="s">
        <v>68</v>
      </c>
      <c r="C173" s="255" t="s">
        <v>3070</v>
      </c>
      <c r="D173" s="255" t="s">
        <v>270</v>
      </c>
      <c r="E173" s="255" t="s">
        <v>271</v>
      </c>
      <c r="F173" s="255" t="s">
        <v>71</v>
      </c>
      <c r="G173" s="255" t="s">
        <v>193</v>
      </c>
      <c r="H173" s="255"/>
      <c r="I173" s="257"/>
    </row>
    <row r="174" spans="2:9" x14ac:dyDescent="0.2">
      <c r="B174" s="255" t="s">
        <v>190</v>
      </c>
      <c r="C174" s="255"/>
      <c r="D174" s="255"/>
      <c r="E174" s="255"/>
      <c r="F174" s="255"/>
      <c r="G174" s="255"/>
      <c r="H174" s="255"/>
      <c r="I174" s="257"/>
    </row>
    <row r="175" spans="2:9" x14ac:dyDescent="0.2">
      <c r="B175" s="255" t="s">
        <v>190</v>
      </c>
      <c r="C175" s="255"/>
      <c r="D175" s="255"/>
      <c r="E175" s="255"/>
      <c r="F175" s="255"/>
      <c r="G175" s="255"/>
      <c r="H175" s="255"/>
      <c r="I175" s="257"/>
    </row>
    <row r="176" spans="2:9" x14ac:dyDescent="0.2">
      <c r="B176" s="255" t="s">
        <v>190</v>
      </c>
      <c r="C176" s="255"/>
      <c r="D176" s="255"/>
      <c r="E176" s="255"/>
      <c r="F176" s="255"/>
      <c r="G176" s="255"/>
      <c r="H176" s="255"/>
      <c r="I176" s="257"/>
    </row>
    <row r="177" spans="2:9" x14ac:dyDescent="0.2">
      <c r="B177" s="255" t="s">
        <v>190</v>
      </c>
      <c r="C177" s="255"/>
      <c r="D177" s="255"/>
      <c r="E177" s="255"/>
      <c r="F177" s="255"/>
      <c r="G177" s="255"/>
      <c r="H177" s="255"/>
      <c r="I177" s="257"/>
    </row>
    <row r="178" spans="2:9" x14ac:dyDescent="0.2">
      <c r="B178" s="255" t="s">
        <v>190</v>
      </c>
      <c r="C178" s="255"/>
      <c r="D178" s="255"/>
      <c r="E178" s="255"/>
      <c r="F178" s="255"/>
      <c r="G178" s="255"/>
      <c r="H178" s="255"/>
      <c r="I178" s="257"/>
    </row>
    <row r="179" spans="2:9" x14ac:dyDescent="0.2">
      <c r="B179" s="255" t="s">
        <v>190</v>
      </c>
      <c r="C179" s="255" t="s">
        <v>3069</v>
      </c>
      <c r="D179" s="255" t="s">
        <v>272</v>
      </c>
      <c r="E179" s="255" t="s">
        <v>273</v>
      </c>
      <c r="F179" s="255" t="s">
        <v>71</v>
      </c>
      <c r="G179" s="255" t="s">
        <v>193</v>
      </c>
      <c r="H179" s="255"/>
      <c r="I179" s="257"/>
    </row>
  </sheetData>
  <phoneticPr fontId="0" type="noConversion"/>
  <pageMargins left="0.75" right="0.75" top="1" bottom="1" header="0.5" footer="0.5"/>
  <pageSetup paperSize="9" orientation="portrait"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rgb="FFFFC000"/>
  </sheetPr>
  <dimension ref="A1:Z151"/>
  <sheetViews>
    <sheetView zoomScale="80" zoomScaleNormal="80" workbookViewId="0">
      <pane xSplit="4" ySplit="6" topLeftCell="E7" activePane="bottomRight" state="frozen"/>
      <selection pane="topRight" activeCell="I43" sqref="I43"/>
      <selection pane="bottomLeft" activeCell="I43" sqref="I43"/>
      <selection pane="bottomRight" activeCell="E10" sqref="E10"/>
    </sheetView>
  </sheetViews>
  <sheetFormatPr defaultColWidth="9.140625" defaultRowHeight="12.75" x14ac:dyDescent="0.2"/>
  <cols>
    <col min="1" max="1" width="27.7109375" style="250" bestFit="1" customWidth="1"/>
    <col min="2" max="2" width="17.28515625" style="250" bestFit="1" customWidth="1"/>
    <col min="3" max="3" width="23.42578125" style="250" bestFit="1" customWidth="1"/>
    <col min="4" max="4" width="7.140625" style="250" bestFit="1" customWidth="1"/>
    <col min="5" max="14" width="16.42578125" style="262" bestFit="1" customWidth="1"/>
    <col min="15" max="16" width="14.28515625" style="262" bestFit="1" customWidth="1"/>
    <col min="17" max="17" width="11.5703125" style="262" bestFit="1" customWidth="1"/>
    <col min="18" max="18" width="11.42578125" style="262" bestFit="1" customWidth="1"/>
    <col min="19" max="20" width="15.140625" style="262" bestFit="1" customWidth="1"/>
    <col min="21" max="22" width="12.28515625" style="262" bestFit="1" customWidth="1"/>
    <col min="23" max="24" width="15.7109375" style="262" bestFit="1" customWidth="1"/>
    <col min="25" max="25" width="13.140625" style="262" bestFit="1" customWidth="1"/>
    <col min="26" max="26" width="12.85546875" style="262" bestFit="1" customWidth="1"/>
    <col min="27" max="16384" width="9.140625" style="250"/>
  </cols>
  <sheetData>
    <row r="1" spans="1:26" x14ac:dyDescent="0.2">
      <c r="A1" s="249" t="s">
        <v>496</v>
      </c>
      <c r="B1" s="250" t="s">
        <v>66</v>
      </c>
    </row>
    <row r="3" spans="1:26" ht="15" customHeight="1" x14ac:dyDescent="0.2"/>
    <row r="4" spans="1:26" ht="20.25" customHeight="1" x14ac:dyDescent="0.2"/>
    <row r="5" spans="1:26" ht="19.5" customHeight="1" x14ac:dyDescent="0.2">
      <c r="E5" s="289" t="s">
        <v>3095</v>
      </c>
      <c r="F5" s="263"/>
      <c r="G5" s="263"/>
      <c r="O5" s="263"/>
      <c r="P5" s="263"/>
      <c r="Q5" s="263"/>
      <c r="R5" s="263"/>
      <c r="S5" s="263"/>
      <c r="T5" s="263"/>
      <c r="U5" s="263"/>
      <c r="V5" s="263"/>
      <c r="W5" s="263"/>
      <c r="X5" s="263"/>
      <c r="Y5" s="263"/>
      <c r="Z5" s="263"/>
    </row>
    <row r="6" spans="1:26" ht="13.5" thickBot="1" x14ac:dyDescent="0.25">
      <c r="A6" s="254" t="s">
        <v>389</v>
      </c>
      <c r="B6" s="254" t="s">
        <v>61</v>
      </c>
      <c r="C6" s="254" t="s">
        <v>3071</v>
      </c>
      <c r="D6" s="254" t="s">
        <v>3072</v>
      </c>
      <c r="E6" s="254" t="s">
        <v>3073</v>
      </c>
      <c r="F6" s="254" t="s">
        <v>3074</v>
      </c>
      <c r="G6" s="254" t="s">
        <v>3075</v>
      </c>
      <c r="H6" s="254" t="s">
        <v>3076</v>
      </c>
      <c r="I6" s="254" t="s">
        <v>3077</v>
      </c>
      <c r="J6" s="254" t="s">
        <v>3078</v>
      </c>
      <c r="K6" s="254" t="s">
        <v>3079</v>
      </c>
      <c r="L6" s="254" t="s">
        <v>3080</v>
      </c>
      <c r="M6" s="254" t="s">
        <v>3081</v>
      </c>
      <c r="N6" s="254" t="s">
        <v>3082</v>
      </c>
      <c r="O6" s="254" t="s">
        <v>3083</v>
      </c>
      <c r="P6" s="254" t="s">
        <v>3084</v>
      </c>
      <c r="Q6" s="254" t="s">
        <v>3085</v>
      </c>
      <c r="R6" s="254" t="s">
        <v>3086</v>
      </c>
      <c r="S6" s="254" t="s">
        <v>3087</v>
      </c>
      <c r="T6" s="254" t="s">
        <v>3088</v>
      </c>
      <c r="U6" s="254" t="s">
        <v>3089</v>
      </c>
      <c r="V6" s="254" t="s">
        <v>3090</v>
      </c>
      <c r="W6" s="254" t="s">
        <v>3091</v>
      </c>
      <c r="X6" s="254" t="s">
        <v>3092</v>
      </c>
      <c r="Y6" s="254" t="s">
        <v>3093</v>
      </c>
      <c r="Z6" s="254" t="s">
        <v>3094</v>
      </c>
    </row>
    <row r="7" spans="1:26" x14ac:dyDescent="0.2">
      <c r="A7" s="281" t="s">
        <v>497</v>
      </c>
      <c r="B7" s="282"/>
      <c r="C7" s="282"/>
      <c r="D7" s="282"/>
      <c r="E7" s="283"/>
      <c r="F7" s="283"/>
      <c r="G7" s="283"/>
      <c r="H7" s="283"/>
      <c r="I7" s="283"/>
      <c r="J7" s="283"/>
      <c r="K7" s="283"/>
      <c r="L7" s="283"/>
      <c r="M7" s="283"/>
      <c r="N7" s="283"/>
      <c r="O7" s="283"/>
      <c r="P7" s="283"/>
      <c r="Q7" s="283"/>
      <c r="R7" s="283"/>
      <c r="S7" s="283"/>
      <c r="T7" s="283"/>
      <c r="U7" s="283"/>
      <c r="V7" s="283"/>
      <c r="W7" s="283"/>
      <c r="X7" s="283"/>
      <c r="Y7" s="283"/>
      <c r="Z7" s="284"/>
    </row>
    <row r="8" spans="1:26" x14ac:dyDescent="0.2">
      <c r="A8" s="285" t="s">
        <v>275</v>
      </c>
      <c r="B8" s="257" t="str">
        <f>Commodities!$D$9</f>
        <v>TL</v>
      </c>
      <c r="C8" s="257" t="str">
        <f>Commodities!$E$9</f>
        <v>Transportation Light Duty</v>
      </c>
      <c r="D8" s="257" t="s">
        <v>145</v>
      </c>
      <c r="E8" s="370">
        <f>'VMT NYC'!D86</f>
        <v>4.348625601415999</v>
      </c>
      <c r="F8" s="286">
        <f>'VMT NYC'!E86</f>
        <v>4.5345719904915924</v>
      </c>
      <c r="G8" s="286">
        <f>'VMT NYC'!F86</f>
        <v>4.7084540501496388</v>
      </c>
      <c r="H8" s="286">
        <f>'VMT NYC'!G86</f>
        <v>7.9819327850000006</v>
      </c>
      <c r="I8" s="286">
        <f>'VMT NYC'!H86</f>
        <v>8.1753543149999999</v>
      </c>
      <c r="J8" s="286">
        <f>'VMT NYC'!I86</f>
        <v>8.368775845</v>
      </c>
      <c r="K8" s="286">
        <f>'VMT NYC'!J86</f>
        <v>8.5455679750000009</v>
      </c>
      <c r="L8" s="286">
        <f>'VMT NYC'!K86</f>
        <v>8.7223601049999999</v>
      </c>
      <c r="M8" s="286">
        <f>'VMT NYC'!L86</f>
        <v>8.4801756700000013</v>
      </c>
      <c r="N8" s="286">
        <f>'VMT NYC'!M86</f>
        <v>8.6598824907436693</v>
      </c>
      <c r="O8" s="287">
        <v>1.29E-2</v>
      </c>
      <c r="P8" s="287">
        <v>3.7000000000000002E-3</v>
      </c>
      <c r="Q8" s="287">
        <v>0.31719999999999998</v>
      </c>
      <c r="R8" s="287">
        <v>5.0000000000000001E-4</v>
      </c>
      <c r="S8" s="287">
        <v>5.0099999999999999E-2</v>
      </c>
      <c r="T8" s="287">
        <v>6.6E-3</v>
      </c>
      <c r="U8" s="287">
        <v>0.27750000000000002</v>
      </c>
      <c r="V8" s="287">
        <v>1E-4</v>
      </c>
      <c r="W8" s="287">
        <v>1.2699999999999999E-2</v>
      </c>
      <c r="X8" s="287">
        <v>6.4000000000000003E-3</v>
      </c>
      <c r="Y8" s="287">
        <v>0.31169999999999998</v>
      </c>
      <c r="Z8" s="288">
        <v>5.9999999999999995E-4</v>
      </c>
    </row>
    <row r="9" spans="1:26" x14ac:dyDescent="0.2">
      <c r="A9" s="285" t="s">
        <v>276</v>
      </c>
      <c r="B9" s="257" t="str">
        <f>Commodities!$D$9</f>
        <v>TL</v>
      </c>
      <c r="C9" s="257" t="str">
        <f>Commodities!$E$9</f>
        <v>Transportation Light Duty</v>
      </c>
      <c r="D9" s="257" t="s">
        <v>145</v>
      </c>
      <c r="E9" s="286">
        <f>'VMT NYC'!D90</f>
        <v>3.0099004002524694</v>
      </c>
      <c r="F9" s="286">
        <f>'VMT NYC'!E90</f>
        <v>3.0873783072096317</v>
      </c>
      <c r="G9" s="286">
        <f>'VMT NYC'!F90</f>
        <v>3.2294858990055912</v>
      </c>
      <c r="H9" s="286">
        <f>'VMT NYC'!G90</f>
        <v>3.1377447650000003</v>
      </c>
      <c r="I9" s="286">
        <f>'VMT NYC'!H90</f>
        <v>3.2042444800000003</v>
      </c>
      <c r="J9" s="286">
        <f>'VMT NYC'!I90</f>
        <v>3.2707441950000002</v>
      </c>
      <c r="K9" s="286">
        <f>'VMT NYC'!J90</f>
        <v>3.3165635575000003</v>
      </c>
      <c r="L9" s="286">
        <f>'VMT NYC'!K90</f>
        <v>3.3623829200000008</v>
      </c>
      <c r="M9" s="286">
        <f>'VMT NYC'!L90</f>
        <v>3.4457518400000002</v>
      </c>
      <c r="N9" s="286">
        <f>'VMT NYC'!M90</f>
        <v>3.5219104477433181</v>
      </c>
      <c r="O9" s="287">
        <v>1.29E-2</v>
      </c>
      <c r="P9" s="287">
        <v>3.7000000000000002E-3</v>
      </c>
      <c r="Q9" s="287">
        <v>0.31719999999999998</v>
      </c>
      <c r="R9" s="287">
        <v>5.0000000000000001E-4</v>
      </c>
      <c r="S9" s="287">
        <v>5.0099999999999999E-2</v>
      </c>
      <c r="T9" s="287">
        <v>6.6E-3</v>
      </c>
      <c r="U9" s="287">
        <v>0.27750000000000002</v>
      </c>
      <c r="V9" s="287">
        <v>1E-4</v>
      </c>
      <c r="W9" s="287">
        <v>1.2699999999999999E-2</v>
      </c>
      <c r="X9" s="287">
        <v>6.4000000000000003E-3</v>
      </c>
      <c r="Y9" s="287">
        <v>0.31169999999999998</v>
      </c>
      <c r="Z9" s="288">
        <v>5.9999999999999995E-4</v>
      </c>
    </row>
    <row r="10" spans="1:26" x14ac:dyDescent="0.2">
      <c r="A10" s="285" t="s">
        <v>277</v>
      </c>
      <c r="B10" s="257" t="str">
        <f>Commodities!$D$9</f>
        <v>TL</v>
      </c>
      <c r="C10" s="257" t="str">
        <f>Commodities!$E$9</f>
        <v>Transportation Light Duty</v>
      </c>
      <c r="D10" s="257" t="s">
        <v>145</v>
      </c>
      <c r="E10" s="286">
        <f>'VMT NYC'!D94</f>
        <v>3.1068521768686241</v>
      </c>
      <c r="F10" s="286">
        <f>'VMT NYC'!E94</f>
        <v>3.0848576891701072</v>
      </c>
      <c r="G10" s="286">
        <f>'VMT NYC'!F94</f>
        <v>3.1426988373672504</v>
      </c>
      <c r="H10" s="286">
        <f>'VMT NYC'!G94</f>
        <v>3.5648024300000003</v>
      </c>
      <c r="I10" s="286">
        <f>'VMT NYC'!H94</f>
        <v>3.6304989625000004</v>
      </c>
      <c r="J10" s="286">
        <f>'VMT NYC'!I94</f>
        <v>3.696195495</v>
      </c>
      <c r="K10" s="286">
        <f>'VMT NYC'!J94</f>
        <v>3.7574888499999997</v>
      </c>
      <c r="L10" s="286">
        <f>'VMT NYC'!K94</f>
        <v>3.8187822050000002</v>
      </c>
      <c r="M10" s="286">
        <f>'VMT NYC'!L94</f>
        <v>3.8747451000000002</v>
      </c>
      <c r="N10" s="286">
        <f>'VMT NYC'!M94</f>
        <v>3.9166558307827875</v>
      </c>
      <c r="O10" s="287">
        <v>1.29E-2</v>
      </c>
      <c r="P10" s="287">
        <v>3.7000000000000002E-3</v>
      </c>
      <c r="Q10" s="287">
        <v>0.31719999999999998</v>
      </c>
      <c r="R10" s="287">
        <v>5.0000000000000001E-4</v>
      </c>
      <c r="S10" s="287">
        <v>5.0099999999999999E-2</v>
      </c>
      <c r="T10" s="287">
        <v>6.6E-3</v>
      </c>
      <c r="U10" s="287">
        <v>0.27750000000000002</v>
      </c>
      <c r="V10" s="287">
        <v>1E-4</v>
      </c>
      <c r="W10" s="287">
        <v>1.2699999999999999E-2</v>
      </c>
      <c r="X10" s="287">
        <v>6.4000000000000003E-3</v>
      </c>
      <c r="Y10" s="287">
        <v>0.31169999999999998</v>
      </c>
      <c r="Z10" s="288">
        <v>5.9999999999999995E-4</v>
      </c>
    </row>
    <row r="11" spans="1:26" x14ac:dyDescent="0.2">
      <c r="A11" s="285" t="s">
        <v>278</v>
      </c>
      <c r="B11" s="257" t="str">
        <f>Commodities!$D$9</f>
        <v>TL</v>
      </c>
      <c r="C11" s="257" t="str">
        <f>Commodities!$E$9</f>
        <v>Transportation Light Duty</v>
      </c>
      <c r="D11" s="257" t="s">
        <v>145</v>
      </c>
      <c r="E11" s="286">
        <f>'VMT NYC'!D98</f>
        <v>2.0302486284894297</v>
      </c>
      <c r="F11" s="286">
        <f>'VMT NYC'!E98</f>
        <v>2.0796449789445806</v>
      </c>
      <c r="G11" s="286">
        <f>'VMT NYC'!F98</f>
        <v>2.143016121518615</v>
      </c>
      <c r="H11" s="286">
        <f>'VMT NYC'!G98</f>
        <v>2.1844249900000001</v>
      </c>
      <c r="I11" s="286">
        <f>'VMT NYC'!H98</f>
        <v>2.2367736550000004</v>
      </c>
      <c r="J11" s="286">
        <f>'VMT NYC'!I98</f>
        <v>2.2891223200000002</v>
      </c>
      <c r="K11" s="286">
        <f>'VMT NYC'!J98</f>
        <v>2.330041375</v>
      </c>
      <c r="L11" s="286">
        <f>'VMT NYC'!K98</f>
        <v>2.3709604300000007</v>
      </c>
      <c r="M11" s="286">
        <f>'VMT NYC'!L98</f>
        <v>2.4054032900000002</v>
      </c>
      <c r="N11" s="286">
        <f>'VMT NYC'!M98</f>
        <v>2.4323317530417454</v>
      </c>
      <c r="O11" s="287">
        <v>1.29E-2</v>
      </c>
      <c r="P11" s="287">
        <v>3.7000000000000002E-3</v>
      </c>
      <c r="Q11" s="287">
        <v>0.31719999999999998</v>
      </c>
      <c r="R11" s="287">
        <v>5.0000000000000001E-4</v>
      </c>
      <c r="S11" s="287">
        <v>5.0099999999999999E-2</v>
      </c>
      <c r="T11" s="287">
        <v>6.6E-3</v>
      </c>
      <c r="U11" s="287">
        <v>0.27750000000000002</v>
      </c>
      <c r="V11" s="287">
        <v>1E-4</v>
      </c>
      <c r="W11" s="287">
        <v>1.2699999999999999E-2</v>
      </c>
      <c r="X11" s="287">
        <v>6.4000000000000003E-3</v>
      </c>
      <c r="Y11" s="287">
        <v>0.31169999999999998</v>
      </c>
      <c r="Z11" s="288">
        <v>5.9999999999999995E-4</v>
      </c>
    </row>
    <row r="12" spans="1:26" x14ac:dyDescent="0.2">
      <c r="A12" s="285" t="s">
        <v>279</v>
      </c>
      <c r="B12" s="257" t="str">
        <f>Commodities!$D$9</f>
        <v>TL</v>
      </c>
      <c r="C12" s="257" t="str">
        <f>Commodities!$E$9</f>
        <v>Transportation Light Duty</v>
      </c>
      <c r="D12" s="257" t="s">
        <v>145</v>
      </c>
      <c r="E12" s="286">
        <f>'VMT NYC'!D102</f>
        <v>7.16140636149348</v>
      </c>
      <c r="F12" s="286">
        <f>'VMT NYC'!E102</f>
        <v>6.8764353559140909</v>
      </c>
      <c r="G12" s="286">
        <f>'VMT NYC'!F102</f>
        <v>6.9182671823789104</v>
      </c>
      <c r="H12" s="286">
        <f>'VMT NYC'!G102</f>
        <v>4.7126752349999999</v>
      </c>
      <c r="I12" s="286">
        <f>'VMT NYC'!H102</f>
        <v>4.8365343350000005</v>
      </c>
      <c r="J12" s="286">
        <f>'VMT NYC'!I102</f>
        <v>4.9603934350000012</v>
      </c>
      <c r="K12" s="286">
        <f>'VMT NYC'!J102</f>
        <v>5.0656795100000007</v>
      </c>
      <c r="L12" s="286">
        <f>'VMT NYC'!K102</f>
        <v>5.1709655850000003</v>
      </c>
      <c r="M12" s="286">
        <f>'VMT NYC'!L102</f>
        <v>5.1618581050000003</v>
      </c>
      <c r="N12" s="286">
        <f>'VMT NYC'!M102</f>
        <v>5.2297489842295661</v>
      </c>
      <c r="O12" s="287">
        <v>1.29E-2</v>
      </c>
      <c r="P12" s="287">
        <v>3.7000000000000002E-3</v>
      </c>
      <c r="Q12" s="287">
        <v>0.31719999999999998</v>
      </c>
      <c r="R12" s="287">
        <v>5.0000000000000001E-4</v>
      </c>
      <c r="S12" s="287">
        <v>5.0099999999999999E-2</v>
      </c>
      <c r="T12" s="287">
        <v>6.6E-3</v>
      </c>
      <c r="U12" s="287">
        <v>0.27750000000000002</v>
      </c>
      <c r="V12" s="287">
        <v>1E-4</v>
      </c>
      <c r="W12" s="287">
        <v>1.2699999999999999E-2</v>
      </c>
      <c r="X12" s="287">
        <v>6.4000000000000003E-3</v>
      </c>
      <c r="Y12" s="287">
        <v>0.31169999999999998</v>
      </c>
      <c r="Z12" s="288">
        <v>5.9999999999999995E-4</v>
      </c>
    </row>
    <row r="13" spans="1:26" s="271" customFormat="1" x14ac:dyDescent="0.2">
      <c r="A13" s="270" t="s">
        <v>498</v>
      </c>
      <c r="B13" s="271" t="str">
        <f>Commodities!$D$9</f>
        <v>TL</v>
      </c>
      <c r="C13" s="271" t="str">
        <f>Commodities!$E$9</f>
        <v>Transportation Light Duty</v>
      </c>
      <c r="D13" s="271" t="s">
        <v>145</v>
      </c>
      <c r="E13" s="272">
        <v>0</v>
      </c>
      <c r="F13" s="272">
        <v>0</v>
      </c>
      <c r="G13" s="272">
        <v>0</v>
      </c>
      <c r="H13" s="272">
        <v>0</v>
      </c>
      <c r="I13" s="272">
        <v>0</v>
      </c>
      <c r="J13" s="272">
        <v>0</v>
      </c>
      <c r="K13" s="272">
        <v>0</v>
      </c>
      <c r="L13" s="272">
        <v>0</v>
      </c>
      <c r="M13" s="272">
        <v>0</v>
      </c>
      <c r="N13" s="272">
        <v>0</v>
      </c>
      <c r="O13" s="273"/>
      <c r="P13" s="273"/>
      <c r="Q13" s="273"/>
      <c r="R13" s="273"/>
      <c r="S13" s="273"/>
      <c r="T13" s="273"/>
      <c r="U13" s="273"/>
      <c r="V13" s="273"/>
      <c r="W13" s="273"/>
      <c r="X13" s="273"/>
      <c r="Y13" s="273"/>
      <c r="Z13" s="274"/>
    </row>
    <row r="14" spans="1:26" s="271" customFormat="1" x14ac:dyDescent="0.2">
      <c r="A14" s="270" t="s">
        <v>499</v>
      </c>
      <c r="B14" s="271" t="str">
        <f>Commodities!$D$9</f>
        <v>TL</v>
      </c>
      <c r="C14" s="271" t="str">
        <f>Commodities!$E$9</f>
        <v>Transportation Light Duty</v>
      </c>
      <c r="D14" s="271" t="s">
        <v>145</v>
      </c>
      <c r="E14" s="272">
        <v>0</v>
      </c>
      <c r="F14" s="272">
        <v>0</v>
      </c>
      <c r="G14" s="272">
        <v>0</v>
      </c>
      <c r="H14" s="272">
        <v>0</v>
      </c>
      <c r="I14" s="272">
        <v>0</v>
      </c>
      <c r="J14" s="272">
        <v>0</v>
      </c>
      <c r="K14" s="272">
        <v>0</v>
      </c>
      <c r="L14" s="272">
        <v>0</v>
      </c>
      <c r="M14" s="272">
        <v>0</v>
      </c>
      <c r="N14" s="272">
        <v>0</v>
      </c>
      <c r="O14" s="273"/>
      <c r="P14" s="273"/>
      <c r="Q14" s="273"/>
      <c r="R14" s="273"/>
      <c r="S14" s="273"/>
      <c r="T14" s="273"/>
      <c r="U14" s="273"/>
      <c r="V14" s="273"/>
      <c r="W14" s="273"/>
      <c r="X14" s="273"/>
      <c r="Y14" s="273"/>
      <c r="Z14" s="274"/>
    </row>
    <row r="15" spans="1:26" s="271" customFormat="1" x14ac:dyDescent="0.2">
      <c r="A15" s="270" t="s">
        <v>500</v>
      </c>
      <c r="B15" s="271" t="str">
        <f>Commodities!$D$9</f>
        <v>TL</v>
      </c>
      <c r="C15" s="271" t="str">
        <f>Commodities!$E$9</f>
        <v>Transportation Light Duty</v>
      </c>
      <c r="D15" s="271" t="s">
        <v>145</v>
      </c>
      <c r="E15" s="272">
        <v>0</v>
      </c>
      <c r="F15" s="272">
        <v>0</v>
      </c>
      <c r="G15" s="272">
        <v>0</v>
      </c>
      <c r="H15" s="272">
        <v>0</v>
      </c>
      <c r="I15" s="272">
        <v>0</v>
      </c>
      <c r="J15" s="272">
        <v>0</v>
      </c>
      <c r="K15" s="272">
        <v>0</v>
      </c>
      <c r="L15" s="272">
        <v>0</v>
      </c>
      <c r="M15" s="272">
        <v>0</v>
      </c>
      <c r="N15" s="272">
        <v>0</v>
      </c>
      <c r="O15" s="273"/>
      <c r="P15" s="273"/>
      <c r="Q15" s="273"/>
      <c r="R15" s="273"/>
      <c r="S15" s="273"/>
      <c r="T15" s="273"/>
      <c r="U15" s="273"/>
      <c r="V15" s="273"/>
      <c r="W15" s="273"/>
      <c r="X15" s="273"/>
      <c r="Y15" s="273"/>
      <c r="Z15" s="274"/>
    </row>
    <row r="16" spans="1:26" x14ac:dyDescent="0.2">
      <c r="A16" s="266"/>
      <c r="E16" s="267"/>
      <c r="F16" s="267"/>
      <c r="G16" s="267"/>
      <c r="H16" s="267"/>
      <c r="I16" s="267"/>
      <c r="J16" s="267"/>
      <c r="K16" s="267"/>
      <c r="L16" s="267"/>
      <c r="M16" s="267"/>
      <c r="N16" s="267"/>
      <c r="O16" s="268"/>
      <c r="P16" s="268"/>
      <c r="Q16" s="268"/>
      <c r="R16" s="268"/>
      <c r="S16" s="268"/>
      <c r="T16" s="268"/>
      <c r="U16" s="268"/>
      <c r="V16" s="268"/>
      <c r="W16" s="268"/>
      <c r="X16" s="268"/>
      <c r="Y16" s="268"/>
      <c r="Z16" s="269"/>
    </row>
    <row r="17" spans="1:26" s="249" customFormat="1" ht="13.5" thickBot="1" x14ac:dyDescent="0.25">
      <c r="A17" s="275" t="s">
        <v>501</v>
      </c>
      <c r="B17" s="276"/>
      <c r="C17" s="276"/>
      <c r="D17" s="276"/>
      <c r="E17" s="277">
        <f t="shared" ref="E17:N17" si="0">SUM(E8:E12)</f>
        <v>19.657033168520002</v>
      </c>
      <c r="F17" s="277">
        <f t="shared" si="0"/>
        <v>19.662888321730001</v>
      </c>
      <c r="G17" s="277">
        <f t="shared" si="0"/>
        <v>20.141922090420007</v>
      </c>
      <c r="H17" s="277">
        <f t="shared" si="0"/>
        <v>21.581580205000002</v>
      </c>
      <c r="I17" s="277">
        <f t="shared" si="0"/>
        <v>22.083405747499999</v>
      </c>
      <c r="J17" s="277">
        <f t="shared" si="0"/>
        <v>22.585231289999999</v>
      </c>
      <c r="K17" s="277">
        <f t="shared" si="0"/>
        <v>23.015341267499998</v>
      </c>
      <c r="L17" s="277">
        <f t="shared" si="0"/>
        <v>23.445451245000005</v>
      </c>
      <c r="M17" s="277">
        <f t="shared" si="0"/>
        <v>23.367934005000002</v>
      </c>
      <c r="N17" s="277">
        <f t="shared" si="0"/>
        <v>23.760529506541086</v>
      </c>
      <c r="O17" s="278"/>
      <c r="P17" s="278"/>
      <c r="Q17" s="278"/>
      <c r="R17" s="278"/>
      <c r="S17" s="278"/>
      <c r="T17" s="278"/>
      <c r="U17" s="278"/>
      <c r="V17" s="278"/>
      <c r="W17" s="278"/>
      <c r="X17" s="278"/>
      <c r="Y17" s="278"/>
      <c r="Z17" s="279"/>
    </row>
    <row r="23" spans="1:26" ht="19.5" customHeight="1" x14ac:dyDescent="0.2">
      <c r="E23" s="263"/>
      <c r="F23" s="263"/>
      <c r="G23" s="263"/>
      <c r="H23" s="263"/>
      <c r="I23" s="263"/>
      <c r="J23" s="263"/>
      <c r="K23" s="263"/>
      <c r="L23" s="263"/>
      <c r="M23" s="263"/>
      <c r="N23" s="263"/>
      <c r="O23" s="263"/>
      <c r="P23" s="263"/>
      <c r="Q23" s="263"/>
      <c r="R23" s="263"/>
      <c r="S23" s="263"/>
      <c r="T23" s="263"/>
    </row>
    <row r="24" spans="1:26" ht="19.5" customHeight="1" x14ac:dyDescent="0.2">
      <c r="O24" s="263"/>
      <c r="P24" s="263"/>
    </row>
    <row r="25" spans="1:26" x14ac:dyDescent="0.2">
      <c r="B25" s="249"/>
      <c r="C25" s="249"/>
      <c r="D25" s="249"/>
      <c r="E25" s="265"/>
      <c r="F25" s="265"/>
      <c r="G25" s="265"/>
      <c r="H25" s="265"/>
      <c r="I25" s="265"/>
      <c r="J25" s="265"/>
      <c r="K25" s="265"/>
      <c r="L25" s="265"/>
      <c r="M25" s="265"/>
      <c r="N25" s="265"/>
      <c r="O25" s="280"/>
    </row>
    <row r="26" spans="1:26" x14ac:dyDescent="0.2">
      <c r="A26" s="249"/>
    </row>
    <row r="27" spans="1:26" x14ac:dyDescent="0.2">
      <c r="E27" s="267"/>
      <c r="F27" s="267"/>
      <c r="G27" s="267"/>
      <c r="H27" s="267"/>
      <c r="I27" s="267"/>
      <c r="J27" s="267"/>
      <c r="K27" s="267"/>
      <c r="L27" s="267"/>
      <c r="M27" s="267"/>
      <c r="N27" s="267"/>
    </row>
    <row r="28" spans="1:26" x14ac:dyDescent="0.2">
      <c r="E28" s="267"/>
      <c r="F28" s="267"/>
      <c r="G28" s="267"/>
      <c r="H28" s="267"/>
      <c r="I28" s="267"/>
      <c r="J28" s="267"/>
      <c r="K28" s="267"/>
      <c r="L28" s="267"/>
      <c r="M28" s="267"/>
      <c r="N28" s="267"/>
    </row>
    <row r="29" spans="1:26" x14ac:dyDescent="0.2">
      <c r="E29" s="267"/>
      <c r="F29" s="267"/>
      <c r="G29" s="267"/>
      <c r="H29" s="267"/>
      <c r="I29" s="267"/>
      <c r="J29" s="267"/>
      <c r="K29" s="267"/>
      <c r="L29" s="267"/>
      <c r="M29" s="267"/>
      <c r="N29" s="267"/>
    </row>
    <row r="30" spans="1:26" x14ac:dyDescent="0.2">
      <c r="E30" s="267"/>
      <c r="F30" s="267"/>
      <c r="G30" s="267"/>
      <c r="H30" s="267"/>
      <c r="I30" s="267"/>
      <c r="J30" s="267"/>
      <c r="K30" s="267"/>
      <c r="L30" s="267"/>
      <c r="M30" s="267"/>
      <c r="N30" s="267"/>
    </row>
    <row r="31" spans="1:26" x14ac:dyDescent="0.2">
      <c r="E31" s="267"/>
      <c r="F31" s="267"/>
      <c r="G31" s="267"/>
      <c r="H31" s="267"/>
      <c r="I31" s="267"/>
      <c r="J31" s="267"/>
      <c r="K31" s="267"/>
      <c r="L31" s="267"/>
      <c r="M31" s="267"/>
      <c r="N31" s="267"/>
    </row>
    <row r="32" spans="1:26" x14ac:dyDescent="0.2">
      <c r="E32" s="267"/>
      <c r="F32" s="267"/>
      <c r="G32" s="267"/>
      <c r="H32" s="267"/>
      <c r="I32" s="267"/>
      <c r="J32" s="267"/>
      <c r="K32" s="267"/>
      <c r="L32" s="267"/>
      <c r="M32" s="267"/>
      <c r="N32" s="267"/>
    </row>
    <row r="33" spans="5:14" x14ac:dyDescent="0.2">
      <c r="E33" s="267"/>
      <c r="F33" s="267"/>
      <c r="G33" s="267"/>
      <c r="H33" s="267"/>
      <c r="I33" s="267"/>
      <c r="J33" s="267"/>
      <c r="K33" s="267"/>
      <c r="L33" s="267"/>
      <c r="M33" s="267"/>
      <c r="N33" s="267"/>
    </row>
    <row r="34" spans="5:14" x14ac:dyDescent="0.2">
      <c r="E34" s="267"/>
      <c r="F34" s="267"/>
      <c r="G34" s="267"/>
      <c r="H34" s="267"/>
      <c r="I34" s="267"/>
      <c r="J34" s="267"/>
      <c r="K34" s="267"/>
      <c r="L34" s="267"/>
      <c r="M34" s="267"/>
      <c r="N34" s="267"/>
    </row>
    <row r="35" spans="5:14" x14ac:dyDescent="0.2">
      <c r="E35" s="267"/>
      <c r="F35" s="267"/>
      <c r="G35" s="267"/>
      <c r="H35" s="267"/>
      <c r="I35" s="267"/>
      <c r="J35" s="267"/>
      <c r="K35" s="267"/>
      <c r="L35" s="267"/>
      <c r="M35" s="267"/>
      <c r="N35" s="267"/>
    </row>
    <row r="36" spans="5:14" x14ac:dyDescent="0.2">
      <c r="E36" s="267"/>
      <c r="F36" s="267"/>
      <c r="G36" s="267"/>
      <c r="H36" s="267"/>
      <c r="I36" s="267"/>
      <c r="J36" s="267"/>
      <c r="K36" s="267"/>
      <c r="L36" s="267"/>
      <c r="M36" s="267"/>
      <c r="N36" s="267"/>
    </row>
    <row r="37" spans="5:14" x14ac:dyDescent="0.2">
      <c r="E37" s="267"/>
      <c r="F37" s="267"/>
      <c r="G37" s="267"/>
      <c r="H37" s="267"/>
      <c r="I37" s="267"/>
      <c r="J37" s="267"/>
      <c r="K37" s="267"/>
      <c r="L37" s="267"/>
      <c r="M37" s="267"/>
      <c r="N37" s="267"/>
    </row>
    <row r="38" spans="5:14" x14ac:dyDescent="0.2">
      <c r="E38" s="267"/>
      <c r="F38" s="267"/>
      <c r="G38" s="267"/>
      <c r="H38" s="267"/>
      <c r="I38" s="267"/>
      <c r="J38" s="267"/>
      <c r="K38" s="267"/>
      <c r="L38" s="267"/>
      <c r="M38" s="267"/>
      <c r="N38" s="267"/>
    </row>
    <row r="39" spans="5:14" x14ac:dyDescent="0.2">
      <c r="E39" s="267"/>
      <c r="F39" s="267"/>
      <c r="G39" s="267"/>
      <c r="H39" s="267"/>
      <c r="I39" s="267"/>
      <c r="J39" s="267"/>
      <c r="K39" s="267"/>
      <c r="L39" s="267"/>
      <c r="M39" s="267"/>
      <c r="N39" s="267"/>
    </row>
    <row r="41" spans="5:14" x14ac:dyDescent="0.2">
      <c r="E41" s="267"/>
      <c r="F41" s="267"/>
      <c r="G41" s="267"/>
      <c r="H41" s="267"/>
      <c r="I41" s="267"/>
      <c r="J41" s="267"/>
      <c r="K41" s="267"/>
      <c r="L41" s="267"/>
      <c r="M41" s="267"/>
      <c r="N41" s="267"/>
    </row>
    <row r="42" spans="5:14" x14ac:dyDescent="0.2">
      <c r="E42" s="267"/>
      <c r="F42" s="267"/>
      <c r="G42" s="267"/>
      <c r="H42" s="267"/>
      <c r="I42" s="267"/>
      <c r="J42" s="267"/>
      <c r="K42" s="267"/>
      <c r="L42" s="267"/>
      <c r="M42" s="267"/>
      <c r="N42" s="267"/>
    </row>
    <row r="43" spans="5:14" x14ac:dyDescent="0.2">
      <c r="E43" s="267"/>
      <c r="F43" s="267"/>
      <c r="G43" s="267"/>
      <c r="H43" s="267"/>
      <c r="I43" s="267"/>
      <c r="J43" s="267"/>
      <c r="K43" s="267"/>
      <c r="L43" s="267"/>
      <c r="M43" s="267"/>
      <c r="N43" s="267"/>
    </row>
    <row r="44" spans="5:14" x14ac:dyDescent="0.2">
      <c r="E44" s="267"/>
      <c r="F44" s="267"/>
      <c r="G44" s="267"/>
      <c r="H44" s="267"/>
      <c r="I44" s="267"/>
      <c r="J44" s="267"/>
      <c r="K44" s="267"/>
      <c r="L44" s="267"/>
      <c r="M44" s="267"/>
      <c r="N44" s="267"/>
    </row>
    <row r="45" spans="5:14" x14ac:dyDescent="0.2">
      <c r="E45" s="267"/>
      <c r="F45" s="267"/>
      <c r="G45" s="267"/>
      <c r="H45" s="267"/>
      <c r="I45" s="267"/>
      <c r="J45" s="267"/>
      <c r="K45" s="267"/>
      <c r="L45" s="267"/>
      <c r="M45" s="267"/>
      <c r="N45" s="267"/>
    </row>
    <row r="46" spans="5:14" x14ac:dyDescent="0.2">
      <c r="E46" s="267"/>
      <c r="F46" s="267"/>
      <c r="G46" s="267"/>
      <c r="H46" s="267"/>
      <c r="I46" s="267"/>
      <c r="J46" s="267"/>
      <c r="K46" s="267"/>
      <c r="L46" s="267"/>
      <c r="M46" s="267"/>
      <c r="N46" s="267"/>
    </row>
    <row r="47" spans="5:14" x14ac:dyDescent="0.2">
      <c r="E47" s="267"/>
      <c r="F47" s="267"/>
      <c r="G47" s="267"/>
      <c r="H47" s="267"/>
      <c r="I47" s="267"/>
      <c r="J47" s="267"/>
      <c r="K47" s="267"/>
      <c r="L47" s="267"/>
      <c r="M47" s="267"/>
      <c r="N47" s="267"/>
    </row>
    <row r="48" spans="5:14" x14ac:dyDescent="0.2">
      <c r="E48" s="267"/>
      <c r="F48" s="267"/>
      <c r="G48" s="267"/>
      <c r="H48" s="267"/>
      <c r="I48" s="267"/>
      <c r="J48" s="267"/>
      <c r="K48" s="267"/>
      <c r="L48" s="267"/>
      <c r="M48" s="267"/>
      <c r="N48" s="267"/>
    </row>
    <row r="49" spans="5:14" x14ac:dyDescent="0.2">
      <c r="E49" s="267"/>
      <c r="F49" s="267"/>
      <c r="G49" s="267"/>
      <c r="H49" s="267"/>
      <c r="I49" s="267"/>
      <c r="J49" s="267"/>
      <c r="K49" s="267"/>
      <c r="L49" s="267"/>
      <c r="M49" s="267"/>
      <c r="N49" s="267"/>
    </row>
    <row r="50" spans="5:14" x14ac:dyDescent="0.2">
      <c r="E50" s="267"/>
      <c r="F50" s="267"/>
      <c r="G50" s="267"/>
      <c r="H50" s="267"/>
      <c r="I50" s="267"/>
      <c r="J50" s="267"/>
      <c r="K50" s="267"/>
      <c r="L50" s="267"/>
      <c r="M50" s="267"/>
      <c r="N50" s="267"/>
    </row>
    <row r="51" spans="5:14" x14ac:dyDescent="0.2">
      <c r="E51" s="267"/>
      <c r="F51" s="267"/>
      <c r="G51" s="267"/>
      <c r="H51" s="267"/>
      <c r="I51" s="267"/>
      <c r="J51" s="267"/>
      <c r="K51" s="267"/>
      <c r="L51" s="267"/>
      <c r="M51" s="267"/>
      <c r="N51" s="267"/>
    </row>
    <row r="52" spans="5:14" x14ac:dyDescent="0.2">
      <c r="E52" s="267"/>
      <c r="F52" s="267"/>
      <c r="G52" s="267"/>
      <c r="H52" s="267"/>
      <c r="I52" s="267"/>
      <c r="J52" s="267"/>
      <c r="K52" s="267"/>
      <c r="L52" s="267"/>
      <c r="M52" s="267"/>
      <c r="N52" s="267"/>
    </row>
    <row r="53" spans="5:14" x14ac:dyDescent="0.2">
      <c r="E53" s="267"/>
      <c r="F53" s="267"/>
      <c r="G53" s="267"/>
      <c r="H53" s="267"/>
      <c r="I53" s="267"/>
      <c r="J53" s="267"/>
      <c r="K53" s="267"/>
      <c r="L53" s="267"/>
      <c r="M53" s="267"/>
      <c r="N53" s="267"/>
    </row>
    <row r="55" spans="5:14" x14ac:dyDescent="0.2">
      <c r="E55" s="267"/>
      <c r="F55" s="267"/>
      <c r="G55" s="267"/>
      <c r="H55" s="267"/>
      <c r="I55" s="267"/>
      <c r="J55" s="267"/>
      <c r="K55" s="267"/>
      <c r="L55" s="267"/>
      <c r="M55" s="267"/>
      <c r="N55" s="267"/>
    </row>
    <row r="56" spans="5:14" x14ac:dyDescent="0.2">
      <c r="E56" s="267"/>
      <c r="F56" s="267"/>
      <c r="G56" s="267"/>
      <c r="H56" s="267"/>
      <c r="I56" s="267"/>
      <c r="J56" s="267"/>
      <c r="K56" s="267"/>
      <c r="L56" s="267"/>
      <c r="M56" s="267"/>
      <c r="N56" s="267"/>
    </row>
    <row r="57" spans="5:14" x14ac:dyDescent="0.2">
      <c r="E57" s="267"/>
      <c r="F57" s="267"/>
      <c r="G57" s="267"/>
      <c r="H57" s="267"/>
      <c r="I57" s="267"/>
      <c r="J57" s="267"/>
      <c r="K57" s="267"/>
      <c r="L57" s="267"/>
      <c r="M57" s="267"/>
      <c r="N57" s="267"/>
    </row>
    <row r="58" spans="5:14" x14ac:dyDescent="0.2">
      <c r="E58" s="267"/>
      <c r="F58" s="267"/>
      <c r="G58" s="267"/>
      <c r="H58" s="267"/>
      <c r="I58" s="267"/>
      <c r="J58" s="267"/>
      <c r="K58" s="267"/>
      <c r="L58" s="267"/>
      <c r="M58" s="267"/>
      <c r="N58" s="267"/>
    </row>
    <row r="59" spans="5:14" x14ac:dyDescent="0.2">
      <c r="E59" s="267"/>
      <c r="F59" s="267"/>
      <c r="G59" s="267"/>
      <c r="H59" s="267"/>
      <c r="I59" s="267"/>
      <c r="J59" s="267"/>
      <c r="K59" s="267"/>
      <c r="L59" s="267"/>
      <c r="M59" s="267"/>
      <c r="N59" s="267"/>
    </row>
    <row r="60" spans="5:14" x14ac:dyDescent="0.2">
      <c r="E60" s="267"/>
      <c r="F60" s="267"/>
      <c r="G60" s="267"/>
      <c r="H60" s="267"/>
      <c r="I60" s="267"/>
      <c r="J60" s="267"/>
      <c r="K60" s="267"/>
      <c r="L60" s="267"/>
      <c r="M60" s="267"/>
      <c r="N60" s="267"/>
    </row>
    <row r="61" spans="5:14" x14ac:dyDescent="0.2">
      <c r="E61" s="267"/>
      <c r="F61" s="267"/>
      <c r="G61" s="267"/>
      <c r="H61" s="267"/>
      <c r="I61" s="267"/>
      <c r="J61" s="267"/>
      <c r="K61" s="267"/>
      <c r="L61" s="267"/>
      <c r="M61" s="267"/>
      <c r="N61" s="267"/>
    </row>
    <row r="62" spans="5:14" x14ac:dyDescent="0.2">
      <c r="E62" s="267"/>
      <c r="F62" s="267"/>
      <c r="G62" s="267"/>
      <c r="H62" s="267"/>
      <c r="I62" s="267"/>
      <c r="J62" s="267"/>
      <c r="K62" s="267"/>
      <c r="L62" s="267"/>
      <c r="M62" s="267"/>
      <c r="N62" s="267"/>
    </row>
    <row r="63" spans="5:14" x14ac:dyDescent="0.2">
      <c r="E63" s="267"/>
      <c r="F63" s="267"/>
      <c r="G63" s="267"/>
      <c r="H63" s="267"/>
      <c r="I63" s="267"/>
      <c r="J63" s="267"/>
      <c r="K63" s="267"/>
      <c r="L63" s="267"/>
      <c r="M63" s="267"/>
      <c r="N63" s="267"/>
    </row>
    <row r="64" spans="5:14" x14ac:dyDescent="0.2">
      <c r="E64" s="267"/>
      <c r="F64" s="267"/>
      <c r="G64" s="267"/>
      <c r="H64" s="267"/>
      <c r="I64" s="267"/>
      <c r="J64" s="267"/>
      <c r="K64" s="267"/>
      <c r="L64" s="267"/>
      <c r="M64" s="267"/>
      <c r="N64" s="267"/>
    </row>
    <row r="65" spans="5:14" x14ac:dyDescent="0.2">
      <c r="E65" s="267"/>
      <c r="F65" s="267"/>
      <c r="G65" s="267"/>
      <c r="H65" s="267"/>
      <c r="I65" s="267"/>
      <c r="J65" s="267"/>
      <c r="K65" s="267"/>
      <c r="L65" s="267"/>
      <c r="M65" s="267"/>
      <c r="N65" s="267"/>
    </row>
    <row r="66" spans="5:14" x14ac:dyDescent="0.2">
      <c r="E66" s="267"/>
      <c r="F66" s="267"/>
      <c r="G66" s="267"/>
      <c r="H66" s="267"/>
      <c r="I66" s="267"/>
      <c r="J66" s="267"/>
      <c r="K66" s="267"/>
      <c r="L66" s="267"/>
      <c r="M66" s="267"/>
      <c r="N66" s="267"/>
    </row>
    <row r="67" spans="5:14" x14ac:dyDescent="0.2">
      <c r="E67" s="267"/>
      <c r="F67" s="267"/>
      <c r="G67" s="267"/>
      <c r="H67" s="267"/>
      <c r="I67" s="267"/>
      <c r="J67" s="267"/>
      <c r="K67" s="267"/>
      <c r="L67" s="267"/>
      <c r="M67" s="267"/>
      <c r="N67" s="267"/>
    </row>
    <row r="69" spans="5:14" x14ac:dyDescent="0.2">
      <c r="E69" s="267"/>
      <c r="F69" s="267"/>
      <c r="G69" s="267"/>
      <c r="H69" s="267"/>
      <c r="I69" s="267"/>
      <c r="J69" s="267"/>
      <c r="K69" s="267"/>
      <c r="L69" s="267"/>
      <c r="M69" s="267"/>
      <c r="N69" s="267"/>
    </row>
    <row r="70" spans="5:14" x14ac:dyDescent="0.2">
      <c r="E70" s="267"/>
      <c r="F70" s="267"/>
      <c r="G70" s="267"/>
      <c r="H70" s="267"/>
      <c r="I70" s="267"/>
      <c r="J70" s="267"/>
      <c r="K70" s="267"/>
      <c r="L70" s="267"/>
      <c r="M70" s="267"/>
      <c r="N70" s="267"/>
    </row>
    <row r="71" spans="5:14" x14ac:dyDescent="0.2">
      <c r="E71" s="267"/>
      <c r="F71" s="267"/>
      <c r="G71" s="267"/>
      <c r="H71" s="267"/>
      <c r="I71" s="267"/>
      <c r="J71" s="267"/>
      <c r="K71" s="267"/>
      <c r="L71" s="267"/>
      <c r="M71" s="267"/>
      <c r="N71" s="267"/>
    </row>
    <row r="72" spans="5:14" x14ac:dyDescent="0.2">
      <c r="E72" s="267"/>
      <c r="F72" s="267"/>
      <c r="G72" s="267"/>
      <c r="H72" s="267"/>
      <c r="I72" s="267"/>
      <c r="J72" s="267"/>
      <c r="K72" s="267"/>
      <c r="L72" s="267"/>
      <c r="M72" s="267"/>
      <c r="N72" s="267"/>
    </row>
    <row r="73" spans="5:14" x14ac:dyDescent="0.2">
      <c r="E73" s="267"/>
      <c r="F73" s="267"/>
      <c r="G73" s="267"/>
      <c r="H73" s="267"/>
      <c r="I73" s="267"/>
      <c r="J73" s="267"/>
      <c r="K73" s="267"/>
      <c r="L73" s="267"/>
      <c r="M73" s="267"/>
      <c r="N73" s="267"/>
    </row>
    <row r="74" spans="5:14" x14ac:dyDescent="0.2">
      <c r="E74" s="267"/>
      <c r="F74" s="267"/>
      <c r="G74" s="267"/>
      <c r="H74" s="267"/>
      <c r="I74" s="267"/>
      <c r="J74" s="267"/>
      <c r="K74" s="267"/>
      <c r="L74" s="267"/>
      <c r="M74" s="267"/>
      <c r="N74" s="267"/>
    </row>
    <row r="75" spans="5:14" x14ac:dyDescent="0.2">
      <c r="E75" s="267"/>
      <c r="F75" s="267"/>
      <c r="G75" s="267"/>
      <c r="H75" s="267"/>
      <c r="I75" s="267"/>
      <c r="J75" s="267"/>
      <c r="K75" s="267"/>
      <c r="L75" s="267"/>
      <c r="M75" s="267"/>
      <c r="N75" s="267"/>
    </row>
    <row r="76" spans="5:14" x14ac:dyDescent="0.2">
      <c r="E76" s="267"/>
      <c r="F76" s="267"/>
      <c r="G76" s="267"/>
      <c r="H76" s="267"/>
      <c r="I76" s="267"/>
      <c r="J76" s="267"/>
      <c r="K76" s="267"/>
      <c r="L76" s="267"/>
      <c r="M76" s="267"/>
      <c r="N76" s="267"/>
    </row>
    <row r="77" spans="5:14" x14ac:dyDescent="0.2">
      <c r="E77" s="267"/>
      <c r="F77" s="267"/>
      <c r="G77" s="267"/>
      <c r="H77" s="267"/>
      <c r="I77" s="267"/>
      <c r="J77" s="267"/>
      <c r="K77" s="267"/>
      <c r="L77" s="267"/>
      <c r="M77" s="267"/>
      <c r="N77" s="267"/>
    </row>
    <row r="78" spans="5:14" x14ac:dyDescent="0.2">
      <c r="E78" s="267"/>
      <c r="F78" s="267"/>
      <c r="G78" s="267"/>
      <c r="H78" s="267"/>
      <c r="I78" s="267"/>
      <c r="J78" s="267"/>
      <c r="K78" s="267"/>
      <c r="L78" s="267"/>
      <c r="M78" s="267"/>
      <c r="N78" s="267"/>
    </row>
    <row r="79" spans="5:14" x14ac:dyDescent="0.2">
      <c r="E79" s="267"/>
      <c r="F79" s="267"/>
      <c r="G79" s="267"/>
      <c r="H79" s="267"/>
      <c r="I79" s="267"/>
      <c r="J79" s="267"/>
      <c r="K79" s="267"/>
      <c r="L79" s="267"/>
      <c r="M79" s="267"/>
      <c r="N79" s="267"/>
    </row>
    <row r="80" spans="5:14" x14ac:dyDescent="0.2">
      <c r="E80" s="267"/>
      <c r="F80" s="267"/>
      <c r="G80" s="267"/>
      <c r="H80" s="267"/>
      <c r="I80" s="267"/>
      <c r="J80" s="267"/>
      <c r="K80" s="267"/>
      <c r="L80" s="267"/>
      <c r="M80" s="267"/>
      <c r="N80" s="267"/>
    </row>
    <row r="81" spans="5:14" x14ac:dyDescent="0.2">
      <c r="E81" s="267"/>
      <c r="F81" s="267"/>
      <c r="G81" s="267"/>
      <c r="H81" s="267"/>
      <c r="I81" s="267"/>
      <c r="J81" s="267"/>
      <c r="K81" s="267"/>
      <c r="L81" s="267"/>
      <c r="M81" s="267"/>
      <c r="N81" s="267"/>
    </row>
    <row r="83" spans="5:14" x14ac:dyDescent="0.2">
      <c r="E83" s="267"/>
      <c r="F83" s="267"/>
      <c r="G83" s="267"/>
      <c r="H83" s="267"/>
      <c r="I83" s="267"/>
      <c r="J83" s="267"/>
      <c r="K83" s="267"/>
      <c r="L83" s="267"/>
      <c r="M83" s="267"/>
      <c r="N83" s="267"/>
    </row>
    <row r="84" spans="5:14" x14ac:dyDescent="0.2">
      <c r="E84" s="267"/>
      <c r="F84" s="267"/>
      <c r="G84" s="267"/>
      <c r="H84" s="267"/>
      <c r="I84" s="267"/>
      <c r="J84" s="267"/>
      <c r="K84" s="267"/>
      <c r="L84" s="267"/>
      <c r="M84" s="267"/>
      <c r="N84" s="267"/>
    </row>
    <row r="85" spans="5:14" x14ac:dyDescent="0.2">
      <c r="E85" s="267"/>
      <c r="F85" s="267"/>
      <c r="G85" s="267"/>
      <c r="H85" s="267"/>
      <c r="I85" s="267"/>
      <c r="J85" s="267"/>
      <c r="K85" s="267"/>
      <c r="L85" s="267"/>
      <c r="M85" s="267"/>
      <c r="N85" s="267"/>
    </row>
    <row r="86" spans="5:14" x14ac:dyDescent="0.2">
      <c r="E86" s="267"/>
      <c r="F86" s="267"/>
      <c r="G86" s="267"/>
      <c r="H86" s="267"/>
      <c r="I86" s="267"/>
      <c r="J86" s="267"/>
      <c r="K86" s="267"/>
      <c r="L86" s="267"/>
      <c r="M86" s="267"/>
      <c r="N86" s="267"/>
    </row>
    <row r="87" spans="5:14" x14ac:dyDescent="0.2">
      <c r="E87" s="267"/>
      <c r="F87" s="267"/>
      <c r="G87" s="267"/>
      <c r="H87" s="267"/>
      <c r="I87" s="267"/>
      <c r="J87" s="267"/>
      <c r="K87" s="267"/>
      <c r="L87" s="267"/>
      <c r="M87" s="267"/>
      <c r="N87" s="267"/>
    </row>
    <row r="88" spans="5:14" x14ac:dyDescent="0.2">
      <c r="E88" s="267"/>
      <c r="F88" s="267"/>
      <c r="G88" s="267"/>
      <c r="H88" s="267"/>
      <c r="I88" s="267"/>
      <c r="J88" s="267"/>
      <c r="K88" s="267"/>
      <c r="L88" s="267"/>
      <c r="M88" s="267"/>
      <c r="N88" s="267"/>
    </row>
    <row r="89" spans="5:14" x14ac:dyDescent="0.2">
      <c r="E89" s="267"/>
      <c r="F89" s="267"/>
      <c r="G89" s="267"/>
      <c r="H89" s="267"/>
      <c r="I89" s="267"/>
      <c r="J89" s="267"/>
      <c r="K89" s="267"/>
      <c r="L89" s="267"/>
      <c r="M89" s="267"/>
      <c r="N89" s="267"/>
    </row>
    <row r="90" spans="5:14" x14ac:dyDescent="0.2">
      <c r="E90" s="267"/>
      <c r="F90" s="267"/>
      <c r="G90" s="267"/>
      <c r="H90" s="267"/>
      <c r="I90" s="267"/>
      <c r="J90" s="267"/>
      <c r="K90" s="267"/>
      <c r="L90" s="267"/>
      <c r="M90" s="267"/>
      <c r="N90" s="267"/>
    </row>
    <row r="91" spans="5:14" x14ac:dyDescent="0.2">
      <c r="E91" s="267"/>
      <c r="F91" s="267"/>
      <c r="G91" s="267"/>
      <c r="H91" s="267"/>
      <c r="I91" s="267"/>
      <c r="J91" s="267"/>
      <c r="K91" s="267"/>
      <c r="L91" s="267"/>
      <c r="M91" s="267"/>
      <c r="N91" s="267"/>
    </row>
    <row r="92" spans="5:14" x14ac:dyDescent="0.2">
      <c r="E92" s="267"/>
      <c r="F92" s="267"/>
      <c r="G92" s="267"/>
      <c r="H92" s="267"/>
      <c r="I92" s="267"/>
      <c r="J92" s="267"/>
      <c r="K92" s="267"/>
      <c r="L92" s="267"/>
      <c r="M92" s="267"/>
      <c r="N92" s="267"/>
    </row>
    <row r="93" spans="5:14" x14ac:dyDescent="0.2">
      <c r="E93" s="267"/>
      <c r="F93" s="267"/>
      <c r="G93" s="267"/>
      <c r="H93" s="267"/>
      <c r="I93" s="267"/>
      <c r="J93" s="267"/>
      <c r="K93" s="267"/>
      <c r="L93" s="267"/>
      <c r="M93" s="267"/>
      <c r="N93" s="267"/>
    </row>
    <row r="94" spans="5:14" x14ac:dyDescent="0.2">
      <c r="E94" s="267"/>
      <c r="F94" s="267"/>
      <c r="G94" s="267"/>
      <c r="H94" s="267"/>
      <c r="I94" s="267"/>
      <c r="J94" s="267"/>
      <c r="K94" s="267"/>
      <c r="L94" s="267"/>
      <c r="M94" s="267"/>
      <c r="N94" s="267"/>
    </row>
    <row r="95" spans="5:14" x14ac:dyDescent="0.2">
      <c r="E95" s="267"/>
      <c r="F95" s="267"/>
      <c r="G95" s="267"/>
      <c r="H95" s="267"/>
      <c r="I95" s="267"/>
      <c r="J95" s="267"/>
      <c r="K95" s="267"/>
      <c r="L95" s="267"/>
      <c r="M95" s="267"/>
      <c r="N95" s="267"/>
    </row>
    <row r="97" spans="5:14" x14ac:dyDescent="0.2">
      <c r="E97" s="267"/>
      <c r="F97" s="267"/>
      <c r="G97" s="267"/>
      <c r="H97" s="267"/>
      <c r="I97" s="267"/>
      <c r="J97" s="267"/>
      <c r="K97" s="267"/>
      <c r="L97" s="267"/>
      <c r="M97" s="267"/>
      <c r="N97" s="267"/>
    </row>
    <row r="98" spans="5:14" x14ac:dyDescent="0.2">
      <c r="E98" s="267"/>
      <c r="F98" s="267"/>
      <c r="G98" s="267"/>
      <c r="H98" s="267"/>
      <c r="I98" s="267"/>
      <c r="J98" s="267"/>
      <c r="K98" s="267"/>
      <c r="L98" s="267"/>
      <c r="M98" s="267"/>
      <c r="N98" s="267"/>
    </row>
    <row r="99" spans="5:14" x14ac:dyDescent="0.2">
      <c r="E99" s="267"/>
      <c r="F99" s="267"/>
      <c r="G99" s="267"/>
      <c r="H99" s="267"/>
      <c r="I99" s="267"/>
      <c r="J99" s="267"/>
      <c r="K99" s="267"/>
      <c r="L99" s="267"/>
      <c r="M99" s="267"/>
      <c r="N99" s="267"/>
    </row>
    <row r="100" spans="5:14" x14ac:dyDescent="0.2">
      <c r="E100" s="267"/>
      <c r="F100" s="267"/>
      <c r="G100" s="267"/>
      <c r="H100" s="267"/>
      <c r="I100" s="267"/>
      <c r="J100" s="267"/>
      <c r="K100" s="267"/>
      <c r="L100" s="267"/>
      <c r="M100" s="267"/>
      <c r="N100" s="267"/>
    </row>
    <row r="101" spans="5:14" x14ac:dyDescent="0.2">
      <c r="E101" s="267"/>
      <c r="F101" s="267"/>
      <c r="G101" s="267"/>
      <c r="H101" s="267"/>
      <c r="I101" s="267"/>
      <c r="J101" s="267"/>
      <c r="K101" s="267"/>
      <c r="L101" s="267"/>
      <c r="M101" s="267"/>
      <c r="N101" s="267"/>
    </row>
    <row r="102" spans="5:14" x14ac:dyDescent="0.2">
      <c r="E102" s="267"/>
      <c r="F102" s="267"/>
      <c r="G102" s="267"/>
      <c r="H102" s="267"/>
      <c r="I102" s="267"/>
      <c r="J102" s="267"/>
      <c r="K102" s="267"/>
      <c r="L102" s="267"/>
      <c r="M102" s="267"/>
      <c r="N102" s="267"/>
    </row>
    <row r="103" spans="5:14" x14ac:dyDescent="0.2">
      <c r="E103" s="267"/>
      <c r="F103" s="267"/>
      <c r="G103" s="267"/>
      <c r="H103" s="267"/>
      <c r="I103" s="267"/>
      <c r="J103" s="267"/>
      <c r="K103" s="267"/>
      <c r="L103" s="267"/>
      <c r="M103" s="267"/>
      <c r="N103" s="267"/>
    </row>
    <row r="104" spans="5:14" x14ac:dyDescent="0.2">
      <c r="E104" s="267"/>
      <c r="F104" s="267"/>
      <c r="G104" s="267"/>
      <c r="H104" s="267"/>
      <c r="I104" s="267"/>
      <c r="J104" s="267"/>
      <c r="K104" s="267"/>
      <c r="L104" s="267"/>
      <c r="M104" s="267"/>
      <c r="N104" s="267"/>
    </row>
    <row r="105" spans="5:14" x14ac:dyDescent="0.2">
      <c r="E105" s="267"/>
      <c r="F105" s="267"/>
      <c r="G105" s="267"/>
      <c r="H105" s="267"/>
      <c r="I105" s="267"/>
      <c r="J105" s="267"/>
      <c r="K105" s="267"/>
      <c r="L105" s="267"/>
      <c r="M105" s="267"/>
      <c r="N105" s="267"/>
    </row>
    <row r="106" spans="5:14" x14ac:dyDescent="0.2">
      <c r="E106" s="267"/>
      <c r="F106" s="267"/>
      <c r="G106" s="267"/>
      <c r="H106" s="267"/>
      <c r="I106" s="267"/>
      <c r="J106" s="267"/>
      <c r="K106" s="267"/>
      <c r="L106" s="267"/>
      <c r="M106" s="267"/>
      <c r="N106" s="267"/>
    </row>
    <row r="107" spans="5:14" x14ac:dyDescent="0.2">
      <c r="E107" s="267"/>
      <c r="F107" s="267"/>
      <c r="G107" s="267"/>
      <c r="H107" s="267"/>
      <c r="I107" s="267"/>
      <c r="J107" s="267"/>
      <c r="K107" s="267"/>
      <c r="L107" s="267"/>
      <c r="M107" s="267"/>
      <c r="N107" s="267"/>
    </row>
    <row r="108" spans="5:14" x14ac:dyDescent="0.2">
      <c r="E108" s="267"/>
      <c r="F108" s="267"/>
      <c r="G108" s="267"/>
      <c r="H108" s="267"/>
      <c r="I108" s="267"/>
      <c r="J108" s="267"/>
      <c r="K108" s="267"/>
      <c r="L108" s="267"/>
      <c r="M108" s="267"/>
      <c r="N108" s="267"/>
    </row>
    <row r="109" spans="5:14" x14ac:dyDescent="0.2">
      <c r="E109" s="267"/>
      <c r="F109" s="267"/>
      <c r="G109" s="267"/>
      <c r="H109" s="267"/>
      <c r="I109" s="267"/>
      <c r="J109" s="267"/>
      <c r="K109" s="267"/>
      <c r="L109" s="267"/>
      <c r="M109" s="267"/>
      <c r="N109" s="267"/>
    </row>
    <row r="111" spans="5:14" x14ac:dyDescent="0.2">
      <c r="E111" s="267"/>
      <c r="F111" s="267"/>
      <c r="G111" s="267"/>
      <c r="H111" s="267"/>
      <c r="I111" s="267"/>
      <c r="J111" s="267"/>
      <c r="K111" s="267"/>
      <c r="L111" s="267"/>
      <c r="M111" s="267"/>
      <c r="N111" s="267"/>
    </row>
    <row r="112" spans="5:14" x14ac:dyDescent="0.2">
      <c r="E112" s="267"/>
      <c r="F112" s="267"/>
      <c r="G112" s="267"/>
      <c r="H112" s="267"/>
      <c r="I112" s="267"/>
      <c r="J112" s="267"/>
      <c r="K112" s="267"/>
      <c r="L112" s="267"/>
      <c r="M112" s="267"/>
      <c r="N112" s="267"/>
    </row>
    <row r="113" spans="5:14" x14ac:dyDescent="0.2">
      <c r="E113" s="267"/>
      <c r="F113" s="267"/>
      <c r="G113" s="267"/>
      <c r="H113" s="267"/>
      <c r="I113" s="267"/>
      <c r="J113" s="267"/>
      <c r="K113" s="267"/>
      <c r="L113" s="267"/>
      <c r="M113" s="267"/>
      <c r="N113" s="267"/>
    </row>
    <row r="114" spans="5:14" x14ac:dyDescent="0.2">
      <c r="E114" s="267"/>
      <c r="F114" s="267"/>
      <c r="G114" s="267"/>
      <c r="H114" s="267"/>
      <c r="I114" s="267"/>
      <c r="J114" s="267"/>
      <c r="K114" s="267"/>
      <c r="L114" s="267"/>
      <c r="M114" s="267"/>
      <c r="N114" s="267"/>
    </row>
    <row r="115" spans="5:14" x14ac:dyDescent="0.2">
      <c r="E115" s="267"/>
      <c r="F115" s="267"/>
      <c r="G115" s="267"/>
      <c r="H115" s="267"/>
      <c r="I115" s="267"/>
      <c r="J115" s="267"/>
      <c r="K115" s="267"/>
      <c r="L115" s="267"/>
      <c r="M115" s="267"/>
      <c r="N115" s="267"/>
    </row>
    <row r="116" spans="5:14" x14ac:dyDescent="0.2">
      <c r="E116" s="267"/>
      <c r="F116" s="267"/>
      <c r="G116" s="267"/>
      <c r="H116" s="267"/>
      <c r="I116" s="267"/>
      <c r="J116" s="267"/>
      <c r="K116" s="267"/>
      <c r="L116" s="267"/>
      <c r="M116" s="267"/>
      <c r="N116" s="267"/>
    </row>
    <row r="117" spans="5:14" x14ac:dyDescent="0.2">
      <c r="E117" s="267"/>
      <c r="F117" s="267"/>
      <c r="G117" s="267"/>
      <c r="H117" s="267"/>
      <c r="I117" s="267"/>
      <c r="J117" s="267"/>
      <c r="K117" s="267"/>
      <c r="L117" s="267"/>
      <c r="M117" s="267"/>
      <c r="N117" s="267"/>
    </row>
    <row r="118" spans="5:14" x14ac:dyDescent="0.2">
      <c r="E118" s="267"/>
      <c r="F118" s="267"/>
      <c r="G118" s="267"/>
      <c r="H118" s="267"/>
      <c r="I118" s="267"/>
      <c r="J118" s="267"/>
      <c r="K118" s="267"/>
      <c r="L118" s="267"/>
      <c r="M118" s="267"/>
      <c r="N118" s="267"/>
    </row>
    <row r="119" spans="5:14" x14ac:dyDescent="0.2">
      <c r="E119" s="267"/>
      <c r="F119" s="267"/>
      <c r="G119" s="267"/>
      <c r="H119" s="267"/>
      <c r="I119" s="267"/>
      <c r="J119" s="267"/>
      <c r="K119" s="267"/>
      <c r="L119" s="267"/>
      <c r="M119" s="267"/>
      <c r="N119" s="267"/>
    </row>
    <row r="120" spans="5:14" x14ac:dyDescent="0.2">
      <c r="E120" s="267"/>
      <c r="F120" s="267"/>
      <c r="G120" s="267"/>
      <c r="H120" s="267"/>
      <c r="I120" s="267"/>
      <c r="J120" s="267"/>
      <c r="K120" s="267"/>
      <c r="L120" s="267"/>
      <c r="M120" s="267"/>
      <c r="N120" s="267"/>
    </row>
    <row r="121" spans="5:14" x14ac:dyDescent="0.2">
      <c r="E121" s="267"/>
      <c r="F121" s="267"/>
      <c r="G121" s="267"/>
      <c r="H121" s="267"/>
      <c r="I121" s="267"/>
      <c r="J121" s="267"/>
      <c r="K121" s="267"/>
      <c r="L121" s="267"/>
      <c r="M121" s="267"/>
      <c r="N121" s="267"/>
    </row>
    <row r="122" spans="5:14" x14ac:dyDescent="0.2">
      <c r="E122" s="267"/>
      <c r="F122" s="267"/>
      <c r="G122" s="267"/>
      <c r="H122" s="267"/>
      <c r="I122" s="267"/>
      <c r="J122" s="267"/>
      <c r="K122" s="267"/>
      <c r="L122" s="267"/>
      <c r="M122" s="267"/>
      <c r="N122" s="267"/>
    </row>
    <row r="123" spans="5:14" x14ac:dyDescent="0.2">
      <c r="E123" s="267"/>
      <c r="F123" s="267"/>
      <c r="G123" s="267"/>
      <c r="H123" s="267"/>
      <c r="I123" s="267"/>
      <c r="J123" s="267"/>
      <c r="K123" s="267"/>
      <c r="L123" s="267"/>
      <c r="M123" s="267"/>
      <c r="N123" s="267"/>
    </row>
    <row r="125" spans="5:14" x14ac:dyDescent="0.2">
      <c r="E125" s="267"/>
      <c r="F125" s="267"/>
      <c r="G125" s="267"/>
      <c r="H125" s="267"/>
      <c r="I125" s="267"/>
      <c r="J125" s="267"/>
      <c r="K125" s="267"/>
      <c r="L125" s="267"/>
      <c r="M125" s="267"/>
      <c r="N125" s="267"/>
    </row>
    <row r="126" spans="5:14" x14ac:dyDescent="0.2">
      <c r="E126" s="267"/>
      <c r="F126" s="267"/>
      <c r="G126" s="267"/>
      <c r="H126" s="267"/>
      <c r="I126" s="267"/>
      <c r="J126" s="267"/>
      <c r="K126" s="267"/>
      <c r="L126" s="267"/>
      <c r="M126" s="267"/>
      <c r="N126" s="267"/>
    </row>
    <row r="127" spans="5:14" x14ac:dyDescent="0.2">
      <c r="E127" s="267"/>
      <c r="F127" s="267"/>
      <c r="G127" s="267"/>
      <c r="H127" s="267"/>
      <c r="I127" s="267"/>
      <c r="J127" s="267"/>
      <c r="K127" s="267"/>
      <c r="L127" s="267"/>
      <c r="M127" s="267"/>
      <c r="N127" s="267"/>
    </row>
    <row r="128" spans="5:14" x14ac:dyDescent="0.2">
      <c r="E128" s="267"/>
      <c r="F128" s="267"/>
      <c r="G128" s="267"/>
      <c r="H128" s="267"/>
      <c r="I128" s="267"/>
      <c r="J128" s="267"/>
      <c r="K128" s="267"/>
      <c r="L128" s="267"/>
      <c r="M128" s="267"/>
      <c r="N128" s="267"/>
    </row>
    <row r="129" spans="5:14" x14ac:dyDescent="0.2">
      <c r="E129" s="267"/>
      <c r="F129" s="267"/>
      <c r="G129" s="267"/>
      <c r="H129" s="267"/>
      <c r="I129" s="267"/>
      <c r="J129" s="267"/>
      <c r="K129" s="267"/>
      <c r="L129" s="267"/>
      <c r="M129" s="267"/>
      <c r="N129" s="267"/>
    </row>
    <row r="130" spans="5:14" x14ac:dyDescent="0.2">
      <c r="E130" s="267"/>
      <c r="F130" s="267"/>
      <c r="G130" s="267"/>
      <c r="H130" s="267"/>
      <c r="I130" s="267"/>
      <c r="J130" s="267"/>
      <c r="K130" s="267"/>
      <c r="L130" s="267"/>
      <c r="M130" s="267"/>
      <c r="N130" s="267"/>
    </row>
    <row r="131" spans="5:14" x14ac:dyDescent="0.2">
      <c r="E131" s="267"/>
      <c r="F131" s="267"/>
      <c r="G131" s="267"/>
      <c r="H131" s="267"/>
      <c r="I131" s="267"/>
      <c r="J131" s="267"/>
      <c r="K131" s="267"/>
      <c r="L131" s="267"/>
      <c r="M131" s="267"/>
      <c r="N131" s="267"/>
    </row>
    <row r="132" spans="5:14" x14ac:dyDescent="0.2">
      <c r="E132" s="267"/>
      <c r="F132" s="267"/>
      <c r="G132" s="267"/>
      <c r="H132" s="267"/>
      <c r="I132" s="267"/>
      <c r="J132" s="267"/>
      <c r="K132" s="267"/>
      <c r="L132" s="267"/>
      <c r="M132" s="267"/>
      <c r="N132" s="267"/>
    </row>
    <row r="133" spans="5:14" x14ac:dyDescent="0.2">
      <c r="E133" s="267"/>
      <c r="F133" s="267"/>
      <c r="G133" s="267"/>
      <c r="H133" s="267"/>
      <c r="I133" s="267"/>
      <c r="J133" s="267"/>
      <c r="K133" s="267"/>
      <c r="L133" s="267"/>
      <c r="M133" s="267"/>
      <c r="N133" s="267"/>
    </row>
    <row r="134" spans="5:14" x14ac:dyDescent="0.2">
      <c r="E134" s="267"/>
      <c r="F134" s="267"/>
      <c r="G134" s="267"/>
      <c r="H134" s="267"/>
      <c r="I134" s="267"/>
      <c r="J134" s="267"/>
      <c r="K134" s="267"/>
      <c r="L134" s="267"/>
      <c r="M134" s="267"/>
      <c r="N134" s="267"/>
    </row>
    <row r="135" spans="5:14" x14ac:dyDescent="0.2">
      <c r="E135" s="267"/>
      <c r="F135" s="267"/>
      <c r="G135" s="267"/>
      <c r="H135" s="267"/>
      <c r="I135" s="267"/>
      <c r="J135" s="267"/>
      <c r="K135" s="267"/>
      <c r="L135" s="267"/>
      <c r="M135" s="267"/>
      <c r="N135" s="267"/>
    </row>
    <row r="136" spans="5:14" x14ac:dyDescent="0.2">
      <c r="E136" s="267"/>
      <c r="F136" s="267"/>
      <c r="G136" s="267"/>
      <c r="H136" s="267"/>
      <c r="I136" s="267"/>
      <c r="J136" s="267"/>
      <c r="K136" s="267"/>
      <c r="L136" s="267"/>
      <c r="M136" s="267"/>
      <c r="N136" s="267"/>
    </row>
    <row r="137" spans="5:14" x14ac:dyDescent="0.2">
      <c r="E137" s="267"/>
      <c r="F137" s="267"/>
      <c r="G137" s="267"/>
      <c r="H137" s="267"/>
      <c r="I137" s="267"/>
      <c r="J137" s="267"/>
      <c r="K137" s="267"/>
      <c r="L137" s="267"/>
      <c r="M137" s="267"/>
      <c r="N137" s="267"/>
    </row>
    <row r="139" spans="5:14" x14ac:dyDescent="0.2">
      <c r="E139" s="267"/>
      <c r="F139" s="267"/>
      <c r="G139" s="267"/>
      <c r="H139" s="267"/>
      <c r="I139" s="267"/>
      <c r="J139" s="267"/>
      <c r="K139" s="267"/>
      <c r="L139" s="267"/>
      <c r="M139" s="267"/>
      <c r="N139" s="267"/>
    </row>
    <row r="140" spans="5:14" x14ac:dyDescent="0.2">
      <c r="E140" s="267"/>
      <c r="F140" s="267"/>
      <c r="G140" s="267"/>
      <c r="H140" s="267"/>
      <c r="I140" s="267"/>
      <c r="J140" s="267"/>
      <c r="K140" s="267"/>
      <c r="L140" s="267"/>
      <c r="M140" s="267"/>
      <c r="N140" s="267"/>
    </row>
    <row r="141" spans="5:14" x14ac:dyDescent="0.2">
      <c r="E141" s="267"/>
      <c r="F141" s="267"/>
      <c r="G141" s="267"/>
      <c r="H141" s="267"/>
      <c r="I141" s="267"/>
      <c r="J141" s="267"/>
      <c r="K141" s="267"/>
      <c r="L141" s="267"/>
      <c r="M141" s="267"/>
      <c r="N141" s="267"/>
    </row>
    <row r="142" spans="5:14" x14ac:dyDescent="0.2">
      <c r="E142" s="267"/>
      <c r="F142" s="267"/>
      <c r="G142" s="267"/>
      <c r="H142" s="267"/>
      <c r="I142" s="267"/>
      <c r="J142" s="267"/>
      <c r="K142" s="267"/>
      <c r="L142" s="267"/>
      <c r="M142" s="267"/>
      <c r="N142" s="267"/>
    </row>
    <row r="143" spans="5:14" x14ac:dyDescent="0.2">
      <c r="E143" s="267"/>
      <c r="F143" s="267"/>
      <c r="G143" s="267"/>
      <c r="H143" s="267"/>
      <c r="I143" s="267"/>
      <c r="J143" s="267"/>
      <c r="K143" s="267"/>
      <c r="L143" s="267"/>
      <c r="M143" s="267"/>
      <c r="N143" s="267"/>
    </row>
    <row r="144" spans="5:14" x14ac:dyDescent="0.2">
      <c r="E144" s="267"/>
      <c r="F144" s="267"/>
      <c r="G144" s="267"/>
      <c r="H144" s="267"/>
      <c r="I144" s="267"/>
      <c r="J144" s="267"/>
      <c r="K144" s="267"/>
      <c r="L144" s="267"/>
      <c r="M144" s="267"/>
      <c r="N144" s="267"/>
    </row>
    <row r="145" spans="5:14" x14ac:dyDescent="0.2">
      <c r="E145" s="267"/>
      <c r="F145" s="267"/>
      <c r="G145" s="267"/>
      <c r="H145" s="267"/>
      <c r="I145" s="267"/>
      <c r="J145" s="267"/>
      <c r="K145" s="267"/>
      <c r="L145" s="267"/>
      <c r="M145" s="267"/>
      <c r="N145" s="267"/>
    </row>
    <row r="146" spans="5:14" x14ac:dyDescent="0.2">
      <c r="E146" s="267"/>
      <c r="F146" s="267"/>
      <c r="G146" s="267"/>
      <c r="H146" s="267"/>
      <c r="I146" s="267"/>
      <c r="J146" s="267"/>
      <c r="K146" s="267"/>
      <c r="L146" s="267"/>
      <c r="M146" s="267"/>
      <c r="N146" s="267"/>
    </row>
    <row r="147" spans="5:14" x14ac:dyDescent="0.2">
      <c r="E147" s="267"/>
      <c r="F147" s="267"/>
      <c r="G147" s="267"/>
      <c r="H147" s="267"/>
      <c r="I147" s="267"/>
      <c r="J147" s="267"/>
      <c r="K147" s="267"/>
      <c r="L147" s="267"/>
      <c r="M147" s="267"/>
      <c r="N147" s="267"/>
    </row>
    <row r="148" spans="5:14" x14ac:dyDescent="0.2">
      <c r="E148" s="267"/>
      <c r="F148" s="267"/>
      <c r="G148" s="267"/>
      <c r="H148" s="267"/>
      <c r="I148" s="267"/>
      <c r="J148" s="267"/>
      <c r="K148" s="267"/>
      <c r="L148" s="267"/>
      <c r="M148" s="267"/>
      <c r="N148" s="267"/>
    </row>
    <row r="149" spans="5:14" x14ac:dyDescent="0.2">
      <c r="E149" s="267"/>
      <c r="F149" s="267"/>
      <c r="G149" s="267"/>
      <c r="H149" s="267"/>
      <c r="I149" s="267"/>
      <c r="J149" s="267"/>
      <c r="K149" s="267"/>
      <c r="L149" s="267"/>
      <c r="M149" s="267"/>
      <c r="N149" s="267"/>
    </row>
    <row r="150" spans="5:14" x14ac:dyDescent="0.2">
      <c r="E150" s="267"/>
      <c r="F150" s="267"/>
      <c r="G150" s="267"/>
      <c r="H150" s="267"/>
      <c r="I150" s="267"/>
      <c r="J150" s="267"/>
      <c r="K150" s="267"/>
      <c r="L150" s="267"/>
      <c r="M150" s="267"/>
      <c r="N150" s="267"/>
    </row>
    <row r="151" spans="5:14" x14ac:dyDescent="0.2">
      <c r="E151" s="267"/>
      <c r="F151" s="267"/>
      <c r="G151" s="267"/>
      <c r="H151" s="267"/>
      <c r="I151" s="267"/>
      <c r="J151" s="267"/>
      <c r="K151" s="267"/>
      <c r="L151" s="267"/>
      <c r="M151" s="267"/>
      <c r="N151" s="267"/>
    </row>
  </sheetData>
  <phoneticPr fontId="0" type="noConversion"/>
  <conditionalFormatting sqref="B11 B35 B49 B63 B77 B91 B105 B119 B133 B147">
    <cfRule type="cellIs" dxfId="2" priority="1" stopIfTrue="1" operator="equal">
      <formula>"REF"</formula>
    </cfRule>
  </conditionalFormatting>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tabColor rgb="FFFFC000"/>
  </sheetPr>
  <dimension ref="A1:AQ30"/>
  <sheetViews>
    <sheetView showFormulas="1" zoomScale="80" zoomScaleNormal="80" workbookViewId="0">
      <pane xSplit="6" ySplit="5" topLeftCell="H6" activePane="bottomRight" state="frozen"/>
      <selection pane="topRight" activeCell="I43" sqref="I43"/>
      <selection pane="bottomLeft" activeCell="I43" sqref="I43"/>
      <selection pane="bottomRight" activeCell="I13" sqref="I13"/>
    </sheetView>
  </sheetViews>
  <sheetFormatPr defaultColWidth="9.140625" defaultRowHeight="12.75" x14ac:dyDescent="0.2"/>
  <cols>
    <col min="1" max="1" width="46.28515625" style="291" bestFit="1" customWidth="1"/>
    <col min="2" max="2" width="17.28515625" style="291" bestFit="1" customWidth="1"/>
    <col min="3" max="3" width="21.7109375" style="291" bestFit="1" customWidth="1"/>
    <col min="4" max="4" width="15.85546875" style="262" bestFit="1" customWidth="1"/>
    <col min="5" max="5" width="9.28515625" style="262" bestFit="1" customWidth="1"/>
    <col min="6" max="6" width="10.42578125" style="262" bestFit="1" customWidth="1"/>
    <col min="7" max="7" width="13.28515625" style="262" bestFit="1" customWidth="1"/>
    <col min="8" max="8" width="11.5703125" style="262" bestFit="1" customWidth="1"/>
    <col min="9" max="9" width="5" style="262" bestFit="1" customWidth="1"/>
    <col min="10" max="10" width="12" style="262" bestFit="1" customWidth="1"/>
    <col min="11" max="11" width="13.42578125" style="262" bestFit="1" customWidth="1"/>
    <col min="12" max="31" width="20.28515625" style="262" bestFit="1" customWidth="1"/>
    <col min="32" max="32" width="10.7109375" style="262" bestFit="1" customWidth="1"/>
    <col min="33" max="33" width="9.140625" style="262"/>
    <col min="34" max="43" width="16.28515625" style="262" bestFit="1" customWidth="1"/>
    <col min="44" max="16384" width="9.140625" style="262"/>
  </cols>
  <sheetData>
    <row r="1" spans="1:43" x14ac:dyDescent="0.2">
      <c r="A1" s="290" t="s">
        <v>274</v>
      </c>
      <c r="B1" s="291" t="s">
        <v>66</v>
      </c>
      <c r="L1" s="263" t="s">
        <v>275</v>
      </c>
      <c r="M1" s="263" t="s">
        <v>275</v>
      </c>
      <c r="N1" s="263" t="s">
        <v>275</v>
      </c>
      <c r="O1" s="263" t="s">
        <v>275</v>
      </c>
      <c r="P1" s="263" t="s">
        <v>276</v>
      </c>
      <c r="Q1" s="263" t="s">
        <v>276</v>
      </c>
      <c r="R1" s="263" t="s">
        <v>276</v>
      </c>
      <c r="S1" s="263" t="s">
        <v>276</v>
      </c>
      <c r="T1" s="263" t="s">
        <v>277</v>
      </c>
      <c r="U1" s="263" t="s">
        <v>277</v>
      </c>
      <c r="V1" s="263" t="s">
        <v>277</v>
      </c>
      <c r="W1" s="263" t="s">
        <v>277</v>
      </c>
      <c r="X1" s="263" t="s">
        <v>278</v>
      </c>
      <c r="Y1" s="263" t="s">
        <v>278</v>
      </c>
      <c r="Z1" s="263" t="s">
        <v>278</v>
      </c>
      <c r="AA1" s="263" t="s">
        <v>278</v>
      </c>
      <c r="AB1" s="263" t="s">
        <v>279</v>
      </c>
      <c r="AC1" s="263" t="s">
        <v>279</v>
      </c>
      <c r="AD1" s="263" t="s">
        <v>279</v>
      </c>
      <c r="AE1" s="263" t="s">
        <v>279</v>
      </c>
    </row>
    <row r="4" spans="1:43" ht="17.25" customHeight="1" x14ac:dyDescent="0.2">
      <c r="F4" s="289" t="s">
        <v>3095</v>
      </c>
    </row>
    <row r="5" spans="1:43" ht="15.75" customHeight="1" x14ac:dyDescent="0.2">
      <c r="A5" s="254" t="s">
        <v>389</v>
      </c>
      <c r="B5" s="254" t="s">
        <v>185</v>
      </c>
      <c r="C5" s="254" t="s">
        <v>3120</v>
      </c>
      <c r="D5" s="254" t="s">
        <v>3072</v>
      </c>
      <c r="E5" s="254" t="s">
        <v>289</v>
      </c>
      <c r="F5" s="254" t="s">
        <v>290</v>
      </c>
      <c r="G5" s="254" t="s">
        <v>3118</v>
      </c>
      <c r="H5" s="254" t="s">
        <v>3119</v>
      </c>
      <c r="I5" s="254" t="s">
        <v>284</v>
      </c>
      <c r="J5" s="254" t="s">
        <v>3117</v>
      </c>
      <c r="K5" s="254" t="s">
        <v>3116</v>
      </c>
      <c r="L5" s="254" t="s">
        <v>3096</v>
      </c>
      <c r="M5" s="254" t="s">
        <v>3097</v>
      </c>
      <c r="N5" s="254" t="s">
        <v>3098</v>
      </c>
      <c r="O5" s="254" t="s">
        <v>3099</v>
      </c>
      <c r="P5" s="254" t="s">
        <v>3100</v>
      </c>
      <c r="Q5" s="254" t="s">
        <v>3101</v>
      </c>
      <c r="R5" s="254" t="s">
        <v>3102</v>
      </c>
      <c r="S5" s="254" t="s">
        <v>3103</v>
      </c>
      <c r="T5" s="254" t="s">
        <v>3104</v>
      </c>
      <c r="U5" s="254" t="s">
        <v>3105</v>
      </c>
      <c r="V5" s="254" t="s">
        <v>3106</v>
      </c>
      <c r="W5" s="254" t="s">
        <v>3107</v>
      </c>
      <c r="X5" s="254" t="s">
        <v>3108</v>
      </c>
      <c r="Y5" s="254" t="s">
        <v>3109</v>
      </c>
      <c r="Z5" s="254" t="s">
        <v>3110</v>
      </c>
      <c r="AA5" s="254" t="s">
        <v>3111</v>
      </c>
      <c r="AB5" s="254" t="s">
        <v>3112</v>
      </c>
      <c r="AC5" s="254" t="s">
        <v>3113</v>
      </c>
      <c r="AD5" s="254" t="s">
        <v>3114</v>
      </c>
      <c r="AE5" s="254" t="s">
        <v>3115</v>
      </c>
      <c r="AF5" s="254" t="s">
        <v>3121</v>
      </c>
      <c r="AH5" s="254" t="s">
        <v>3122</v>
      </c>
      <c r="AI5" s="254" t="s">
        <v>3123</v>
      </c>
      <c r="AJ5" s="254" t="s">
        <v>3124</v>
      </c>
      <c r="AK5" s="254" t="s">
        <v>3125</v>
      </c>
      <c r="AL5" s="254" t="s">
        <v>3126</v>
      </c>
      <c r="AM5" s="254" t="s">
        <v>3127</v>
      </c>
      <c r="AN5" s="254" t="s">
        <v>3128</v>
      </c>
      <c r="AO5" s="254" t="s">
        <v>3129</v>
      </c>
      <c r="AP5" s="254" t="s">
        <v>3130</v>
      </c>
      <c r="AQ5" s="254" t="s">
        <v>3131</v>
      </c>
    </row>
    <row r="6" spans="1:43" ht="12" customHeight="1" x14ac:dyDescent="0.2">
      <c r="A6" s="259" t="s">
        <v>291</v>
      </c>
      <c r="B6" s="259"/>
      <c r="C6" s="259"/>
      <c r="D6" s="259"/>
      <c r="E6" s="259"/>
      <c r="F6" s="259"/>
      <c r="G6" s="259"/>
      <c r="H6" s="292"/>
      <c r="I6" s="293"/>
      <c r="J6" s="293"/>
      <c r="K6" s="293"/>
      <c r="L6" s="292"/>
      <c r="M6" s="292"/>
      <c r="N6" s="292"/>
      <c r="O6" s="292"/>
      <c r="P6" s="292"/>
      <c r="Q6" s="292"/>
      <c r="R6" s="292"/>
      <c r="S6" s="292"/>
      <c r="T6" s="292"/>
      <c r="U6" s="292"/>
      <c r="V6" s="292"/>
      <c r="W6" s="292"/>
      <c r="X6" s="292"/>
      <c r="Y6" s="292"/>
      <c r="Z6" s="292"/>
      <c r="AA6" s="292"/>
      <c r="AB6" s="292"/>
      <c r="AC6" s="292"/>
      <c r="AD6" s="292"/>
      <c r="AE6" s="292"/>
      <c r="AF6" s="293"/>
      <c r="AH6" s="292"/>
      <c r="AI6" s="292"/>
      <c r="AJ6" s="292"/>
      <c r="AK6" s="292"/>
      <c r="AL6" s="292"/>
      <c r="AM6" s="292"/>
      <c r="AN6" s="292"/>
      <c r="AO6" s="292"/>
      <c r="AP6" s="292"/>
      <c r="AQ6" s="292"/>
    </row>
    <row r="7" spans="1:43" ht="12" customHeight="1" x14ac:dyDescent="0.2">
      <c r="A7" s="255" t="str">
        <f>Technologies!B64</f>
        <v>R2,R3,R4,R5,R6</v>
      </c>
      <c r="B7" s="255" t="str">
        <f>Technologies!D64</f>
        <v>TLEMCGSL</v>
      </c>
      <c r="C7" s="255" t="str">
        <f>Technologies!E64</f>
        <v>TL.GSL.MC.Existing fleet</v>
      </c>
      <c r="D7" s="255" t="s">
        <v>292</v>
      </c>
      <c r="E7" s="255" t="str">
        <f>Commodities!$D$25</f>
        <v>TLGSL</v>
      </c>
      <c r="F7" s="255" t="str">
        <f>Commodities!$D$9</f>
        <v>TL</v>
      </c>
      <c r="G7" s="255">
        <v>2010</v>
      </c>
      <c r="H7" s="294">
        <v>15</v>
      </c>
      <c r="I7" s="295">
        <f>ResidDataAndCalcs!D33</f>
        <v>8.5302862005589342E-2</v>
      </c>
      <c r="J7" s="286">
        <f>ConsolidatedVehData!AB8</f>
        <v>38.459799414932235</v>
      </c>
      <c r="K7" s="296">
        <v>0.18</v>
      </c>
      <c r="L7" s="287">
        <f>ResidDataAndCalcs!D46</f>
        <v>0.13427115768618617</v>
      </c>
      <c r="M7" s="287">
        <f>ResidDataAndCalcs!E46</f>
        <v>0.10070336826463963</v>
      </c>
      <c r="N7" s="287">
        <f>ResidDataAndCalcs!F46</f>
        <v>6.7135578843093083E-2</v>
      </c>
      <c r="O7" s="287">
        <f>ResidDataAndCalcs!G46</f>
        <v>3.3567789421546541E-2</v>
      </c>
      <c r="P7" s="287">
        <f>ResidDataAndCalcs!I46</f>
        <v>9.2935756789551432E-2</v>
      </c>
      <c r="Q7" s="287">
        <f>ResidDataAndCalcs!J46</f>
        <v>6.9701817592163567E-2</v>
      </c>
      <c r="R7" s="287">
        <f>ResidDataAndCalcs!K46</f>
        <v>4.6467878394775716E-2</v>
      </c>
      <c r="S7" s="287">
        <f>ResidDataAndCalcs!L46</f>
        <v>2.3233939197387858E-2</v>
      </c>
      <c r="T7" s="287">
        <f>ResidDataAndCalcs!N46</f>
        <v>9.5929306586467672E-2</v>
      </c>
      <c r="U7" s="287">
        <f>ResidDataAndCalcs!O46</f>
        <v>7.1946979939850747E-2</v>
      </c>
      <c r="V7" s="287">
        <f>ResidDataAndCalcs!P46</f>
        <v>4.7964653293233836E-2</v>
      </c>
      <c r="W7" s="287">
        <f>ResidDataAndCalcs!Q46</f>
        <v>2.3982326646616918E-2</v>
      </c>
      <c r="X7" s="287">
        <f>ResidDataAndCalcs!S46</f>
        <v>6.2687354287134345E-2</v>
      </c>
      <c r="Y7" s="287">
        <f>ResidDataAndCalcs!T46</f>
        <v>4.7015515715350759E-2</v>
      </c>
      <c r="Z7" s="287">
        <f>ResidDataAndCalcs!U46</f>
        <v>3.1343677143567172E-2</v>
      </c>
      <c r="AA7" s="287">
        <f>ResidDataAndCalcs!V46</f>
        <v>1.5671838571783586E-2</v>
      </c>
      <c r="AB7" s="287">
        <f>ResidDataAndCalcs!X46</f>
        <v>0.22112051276749173</v>
      </c>
      <c r="AC7" s="287">
        <f>ResidDataAndCalcs!Y46</f>
        <v>0.16584038457561878</v>
      </c>
      <c r="AD7" s="287">
        <f>ResidDataAndCalcs!Z46</f>
        <v>0.11056025638374586</v>
      </c>
      <c r="AE7" s="287">
        <f>ResidDataAndCalcs!AA46</f>
        <v>5.5280128191872932E-2</v>
      </c>
      <c r="AF7" s="294">
        <v>1</v>
      </c>
      <c r="AH7" s="294">
        <v>0</v>
      </c>
      <c r="AI7" s="294">
        <v>0</v>
      </c>
      <c r="AJ7" s="294">
        <v>0</v>
      </c>
      <c r="AK7" s="294">
        <v>0</v>
      </c>
      <c r="AL7" s="294">
        <v>0</v>
      </c>
      <c r="AM7" s="294">
        <v>0</v>
      </c>
      <c r="AN7" s="294">
        <v>0</v>
      </c>
      <c r="AO7" s="294">
        <v>0</v>
      </c>
      <c r="AP7" s="294">
        <v>0</v>
      </c>
      <c r="AQ7" s="294">
        <v>0</v>
      </c>
    </row>
    <row r="8" spans="1:43" ht="12" customHeight="1" x14ac:dyDescent="0.2">
      <c r="A8" s="255" t="str">
        <f>Technologies!B65</f>
        <v>R2,R3,R4,R5,R6</v>
      </c>
      <c r="B8" s="255" t="str">
        <f>Technologies!D65</f>
        <v>TLECGSL</v>
      </c>
      <c r="C8" s="255" t="str">
        <f>Technologies!E65</f>
        <v>TL.GSL.C.Existing fleet</v>
      </c>
      <c r="D8" s="255" t="s">
        <v>292</v>
      </c>
      <c r="E8" s="255" t="str">
        <f>Commodities!$D$25</f>
        <v>TLGSL</v>
      </c>
      <c r="F8" s="255" t="str">
        <f>Commodities!$D$9</f>
        <v>TL</v>
      </c>
      <c r="G8" s="255">
        <v>2010</v>
      </c>
      <c r="H8" s="294">
        <v>15</v>
      </c>
      <c r="I8" s="295">
        <f>ResidDataAndCalcs!E33</f>
        <v>0.10517028551941651</v>
      </c>
      <c r="J8" s="286">
        <f>ConsolidatedVehData!AB9</f>
        <v>38.459799414932235</v>
      </c>
      <c r="K8" s="296">
        <v>0.18</v>
      </c>
      <c r="L8" s="287">
        <f>ResidDataAndCalcs!D47</f>
        <v>2.7921673604638175</v>
      </c>
      <c r="M8" s="287">
        <f>ResidDataAndCalcs!E47</f>
        <v>2.094125520347863</v>
      </c>
      <c r="N8" s="287">
        <f>ResidDataAndCalcs!F47</f>
        <v>1.3960836802319088</v>
      </c>
      <c r="O8" s="287">
        <f>ResidDataAndCalcs!G47</f>
        <v>0.69804184011595438</v>
      </c>
      <c r="P8" s="287">
        <f>ResidDataAndCalcs!I47</f>
        <v>1.9325981186090999</v>
      </c>
      <c r="Q8" s="287">
        <f>ResidDataAndCalcs!J47</f>
        <v>1.4494485889568249</v>
      </c>
      <c r="R8" s="287">
        <f>ResidDataAndCalcs!K47</f>
        <v>0.96629905930454996</v>
      </c>
      <c r="S8" s="287">
        <f>ResidDataAndCalcs!L47</f>
        <v>0.48314952965227498</v>
      </c>
      <c r="T8" s="287">
        <f>ResidDataAndCalcs!N47</f>
        <v>1.9948489562343164</v>
      </c>
      <c r="U8" s="287">
        <f>ResidDataAndCalcs!O47</f>
        <v>1.4961367171757374</v>
      </c>
      <c r="V8" s="287">
        <f>ResidDataAndCalcs!P47</f>
        <v>0.99742447811715818</v>
      </c>
      <c r="W8" s="287">
        <f>ResidDataAndCalcs!Q47</f>
        <v>0.49871223905857909</v>
      </c>
      <c r="X8" s="287">
        <f>ResidDataAndCalcs!S47</f>
        <v>1.3035828957656745</v>
      </c>
      <c r="Y8" s="287">
        <f>ResidDataAndCalcs!T47</f>
        <v>0.97768717182425591</v>
      </c>
      <c r="Z8" s="287">
        <f>ResidDataAndCalcs!U47</f>
        <v>0.65179144788283727</v>
      </c>
      <c r="AA8" s="287">
        <f>ResidDataAndCalcs!V47</f>
        <v>0.32589572394141864</v>
      </c>
      <c r="AB8" s="287">
        <f>ResidDataAndCalcs!X47</f>
        <v>4.5981988173617427</v>
      </c>
      <c r="AC8" s="287">
        <f>ResidDataAndCalcs!Y47</f>
        <v>3.4486491130213071</v>
      </c>
      <c r="AD8" s="287">
        <f>ResidDataAndCalcs!Z47</f>
        <v>2.2990994086808714</v>
      </c>
      <c r="AE8" s="287">
        <f>ResidDataAndCalcs!AA47</f>
        <v>1.1495497043404357</v>
      </c>
      <c r="AF8" s="287">
        <v>1</v>
      </c>
      <c r="AH8" s="294">
        <v>0</v>
      </c>
      <c r="AI8" s="294">
        <v>0</v>
      </c>
      <c r="AJ8" s="294">
        <v>0</v>
      </c>
      <c r="AK8" s="294">
        <v>0</v>
      </c>
      <c r="AL8" s="294">
        <v>0</v>
      </c>
      <c r="AM8" s="294">
        <v>0</v>
      </c>
      <c r="AN8" s="294">
        <v>0</v>
      </c>
      <c r="AO8" s="294">
        <v>0</v>
      </c>
      <c r="AP8" s="294">
        <v>0</v>
      </c>
      <c r="AQ8" s="294">
        <v>0</v>
      </c>
    </row>
    <row r="9" spans="1:43" ht="12" customHeight="1" x14ac:dyDescent="0.2">
      <c r="A9" s="255" t="str">
        <f>Technologies!B66</f>
        <v>R2,R3,R4,R5,R6</v>
      </c>
      <c r="B9" s="255" t="str">
        <f>Technologies!D66</f>
        <v>TLEFDSL</v>
      </c>
      <c r="C9" s="255" t="str">
        <f>Technologies!E66</f>
        <v>TL.DSL.F.Existing fleet</v>
      </c>
      <c r="D9" s="255" t="s">
        <v>292</v>
      </c>
      <c r="E9" s="255" t="str">
        <f>Commodities!$D$24</f>
        <v>TRNDSL</v>
      </c>
      <c r="F9" s="255" t="str">
        <f>Commodities!$D$9</f>
        <v>TL</v>
      </c>
      <c r="G9" s="255">
        <v>2010</v>
      </c>
      <c r="H9" s="294">
        <v>15</v>
      </c>
      <c r="I9" s="295">
        <f>ResidDataAndCalcs!G33</f>
        <v>0.10118524998902675</v>
      </c>
      <c r="J9" s="286">
        <f>ConsolidatedVehData!AB10</f>
        <v>43.267274341798768</v>
      </c>
      <c r="K9" s="296">
        <v>0.18</v>
      </c>
      <c r="L9" s="287">
        <f>ResidDataAndCalcs!D48</f>
        <v>1.3107509446125177E-2</v>
      </c>
      <c r="M9" s="287">
        <f>ResidDataAndCalcs!E48</f>
        <v>9.8306320845938829E-3</v>
      </c>
      <c r="N9" s="287">
        <f>ResidDataAndCalcs!F48</f>
        <v>6.5537547230625883E-3</v>
      </c>
      <c r="O9" s="287">
        <f>ResidDataAndCalcs!G48</f>
        <v>3.2768773615312941E-3</v>
      </c>
      <c r="P9" s="287">
        <f>ResidDataAndCalcs!I48</f>
        <v>9.0723602223559408E-3</v>
      </c>
      <c r="Q9" s="287">
        <f>ResidDataAndCalcs!J48</f>
        <v>6.8042701667669556E-3</v>
      </c>
      <c r="R9" s="287">
        <f>ResidDataAndCalcs!K48</f>
        <v>4.5361801111779704E-3</v>
      </c>
      <c r="S9" s="287">
        <f>ResidDataAndCalcs!L48</f>
        <v>2.2680900555889852E-3</v>
      </c>
      <c r="T9" s="287">
        <f>ResidDataAndCalcs!N48</f>
        <v>9.3645896401750028E-3</v>
      </c>
      <c r="U9" s="287">
        <f>ResidDataAndCalcs!O48</f>
        <v>7.0234422301312521E-3</v>
      </c>
      <c r="V9" s="287">
        <f>ResidDataAndCalcs!P48</f>
        <v>4.6822948200875014E-3</v>
      </c>
      <c r="W9" s="287">
        <f>ResidDataAndCalcs!Q48</f>
        <v>2.3411474100437507E-3</v>
      </c>
      <c r="X9" s="287">
        <f>ResidDataAndCalcs!S48</f>
        <v>6.1195203990986593E-3</v>
      </c>
      <c r="Y9" s="287">
        <f>ResidDataAndCalcs!T48</f>
        <v>4.5896402993239943E-3</v>
      </c>
      <c r="Z9" s="287">
        <f>ResidDataAndCalcs!U48</f>
        <v>3.0597601995493297E-3</v>
      </c>
      <c r="AA9" s="287">
        <f>ResidDataAndCalcs!V48</f>
        <v>1.5298800997746648E-3</v>
      </c>
      <c r="AB9" s="287">
        <f>ResidDataAndCalcs!X48</f>
        <v>2.1585716990731821E-2</v>
      </c>
      <c r="AC9" s="287">
        <f>ResidDataAndCalcs!Y48</f>
        <v>1.6189287743048866E-2</v>
      </c>
      <c r="AD9" s="287">
        <f>ResidDataAndCalcs!Z48</f>
        <v>1.079285849536591E-2</v>
      </c>
      <c r="AE9" s="287">
        <f>ResidDataAndCalcs!AA48</f>
        <v>5.3964292476829552E-3</v>
      </c>
      <c r="AF9" s="294">
        <v>1</v>
      </c>
      <c r="AH9" s="294">
        <v>0</v>
      </c>
      <c r="AI9" s="294">
        <v>0</v>
      </c>
      <c r="AJ9" s="294">
        <v>0</v>
      </c>
      <c r="AK9" s="294">
        <v>0</v>
      </c>
      <c r="AL9" s="294">
        <v>0</v>
      </c>
      <c r="AM9" s="294">
        <v>0</v>
      </c>
      <c r="AN9" s="294">
        <v>0</v>
      </c>
      <c r="AO9" s="294">
        <v>0</v>
      </c>
      <c r="AP9" s="294">
        <v>0</v>
      </c>
      <c r="AQ9" s="294">
        <v>0</v>
      </c>
    </row>
    <row r="10" spans="1:43" ht="12" customHeight="1" x14ac:dyDescent="0.2">
      <c r="A10" s="255" t="str">
        <f>Technologies!B67</f>
        <v>R2,R3,R4,R5,R6</v>
      </c>
      <c r="B10" s="255" t="str">
        <f>Technologies!D67</f>
        <v>TLEFGSL</v>
      </c>
      <c r="C10" s="255" t="str">
        <f>Technologies!E67</f>
        <v>TL.GSL.F.Existing fleet</v>
      </c>
      <c r="D10" s="255" t="s">
        <v>292</v>
      </c>
      <c r="E10" s="255" t="str">
        <f>Commodities!$D$25</f>
        <v>TLGSL</v>
      </c>
      <c r="F10" s="255" t="str">
        <f>Commodities!$D$9</f>
        <v>TL</v>
      </c>
      <c r="G10" s="255">
        <v>2010</v>
      </c>
      <c r="H10" s="294">
        <v>15</v>
      </c>
      <c r="I10" s="295">
        <f>ResidDataAndCalcs!F33</f>
        <v>9.1482554784599546E-2</v>
      </c>
      <c r="J10" s="286">
        <f>ConsolidatedVehData!AB11</f>
        <v>43.267274341798768</v>
      </c>
      <c r="K10" s="296">
        <v>0.18</v>
      </c>
      <c r="L10" s="287">
        <f>ResidDataAndCalcs!D49</f>
        <v>1.0075518584072707</v>
      </c>
      <c r="M10" s="287">
        <f>ResidDataAndCalcs!E49</f>
        <v>0.75566389380545296</v>
      </c>
      <c r="N10" s="287">
        <f>ResidDataAndCalcs!F49</f>
        <v>0.50377592920363534</v>
      </c>
      <c r="O10" s="287">
        <f>ResidDataAndCalcs!G49</f>
        <v>0.25188796460181767</v>
      </c>
      <c r="P10" s="287">
        <f>ResidDataAndCalcs!I49</f>
        <v>0.69737683117803428</v>
      </c>
      <c r="Q10" s="287">
        <f>ResidDataAndCalcs!J49</f>
        <v>0.52303262338352574</v>
      </c>
      <c r="R10" s="287">
        <f>ResidDataAndCalcs!K49</f>
        <v>0.34868841558901714</v>
      </c>
      <c r="S10" s="287">
        <f>ResidDataAndCalcs!L49</f>
        <v>0.17434420779450857</v>
      </c>
      <c r="T10" s="287">
        <f>ResidDataAndCalcs!N49</f>
        <v>0.71984000728445408</v>
      </c>
      <c r="U10" s="287">
        <f>ResidDataAndCalcs!O49</f>
        <v>0.53988000546334058</v>
      </c>
      <c r="V10" s="287">
        <f>ResidDataAndCalcs!P49</f>
        <v>0.35992000364222704</v>
      </c>
      <c r="W10" s="287">
        <f>ResidDataAndCalcs!Q49</f>
        <v>0.17996000182111352</v>
      </c>
      <c r="X10" s="287">
        <f>ResidDataAndCalcs!S49</f>
        <v>0.47039707856138624</v>
      </c>
      <c r="Y10" s="287">
        <f>ResidDataAndCalcs!T49</f>
        <v>0.35279780892103968</v>
      </c>
      <c r="Z10" s="287">
        <f>ResidDataAndCalcs!U49</f>
        <v>0.23519853928069312</v>
      </c>
      <c r="AA10" s="287">
        <f>ResidDataAndCalcs!V49</f>
        <v>0.11759926964034656</v>
      </c>
      <c r="AB10" s="287">
        <f>ResidDataAndCalcs!X49</f>
        <v>1.6592571882902265</v>
      </c>
      <c r="AC10" s="287">
        <f>ResidDataAndCalcs!Y49</f>
        <v>1.2444428912176699</v>
      </c>
      <c r="AD10" s="287">
        <f>ResidDataAndCalcs!Z49</f>
        <v>0.82962859414511325</v>
      </c>
      <c r="AE10" s="287">
        <f>ResidDataAndCalcs!AA49</f>
        <v>0.41481429707255663</v>
      </c>
      <c r="AF10" s="294">
        <v>1</v>
      </c>
      <c r="AH10" s="294">
        <v>0</v>
      </c>
      <c r="AI10" s="294">
        <v>0</v>
      </c>
      <c r="AJ10" s="294">
        <v>0</v>
      </c>
      <c r="AK10" s="294">
        <v>0</v>
      </c>
      <c r="AL10" s="294">
        <v>0</v>
      </c>
      <c r="AM10" s="294">
        <v>0</v>
      </c>
      <c r="AN10" s="294">
        <v>0</v>
      </c>
      <c r="AO10" s="294">
        <v>0</v>
      </c>
      <c r="AP10" s="294">
        <v>0</v>
      </c>
      <c r="AQ10" s="294">
        <v>0</v>
      </c>
    </row>
    <row r="11" spans="1:43" ht="12" customHeight="1" x14ac:dyDescent="0.2">
      <c r="A11" s="255" t="str">
        <f>Technologies!B68</f>
        <v>R2,R3,R4,R5,R6</v>
      </c>
      <c r="B11" s="255" t="str">
        <f>Technologies!D68</f>
        <v>TLESSGSL</v>
      </c>
      <c r="C11" s="255" t="str">
        <f>Technologies!E68</f>
        <v>TL.GSL.SS.Existing fleet</v>
      </c>
      <c r="D11" s="255" t="s">
        <v>292</v>
      </c>
      <c r="E11" s="255" t="str">
        <f>Commodities!$D$25</f>
        <v>TLGSL</v>
      </c>
      <c r="F11" s="255" t="str">
        <f>Commodities!$D$9</f>
        <v>TL</v>
      </c>
      <c r="G11" s="255">
        <v>2010</v>
      </c>
      <c r="H11" s="294">
        <v>15</v>
      </c>
      <c r="I11" s="295">
        <f>ResidDataAndCalcs!H33</f>
        <v>8.3859008552549574E-2</v>
      </c>
      <c r="J11" s="286">
        <f>ConsolidatedVehData!AB12</f>
        <v>43.267274341798768</v>
      </c>
      <c r="K11" s="296">
        <v>0.18</v>
      </c>
      <c r="L11" s="287">
        <f>ResidDataAndCalcs!D51</f>
        <v>9.0047103279942364E-2</v>
      </c>
      <c r="M11" s="287">
        <f>ResidDataAndCalcs!E51</f>
        <v>6.7535327459956773E-2</v>
      </c>
      <c r="N11" s="287">
        <f>ResidDataAndCalcs!F51</f>
        <v>4.5023551639971182E-2</v>
      </c>
      <c r="O11" s="287">
        <f>ResidDataAndCalcs!G51</f>
        <v>2.2511775819985591E-2</v>
      </c>
      <c r="P11" s="287">
        <f>ResidDataAndCalcs!I51</f>
        <v>6.2326085767333089E-2</v>
      </c>
      <c r="Q11" s="287">
        <f>ResidDataAndCalcs!J51</f>
        <v>4.6744564325499817E-2</v>
      </c>
      <c r="R11" s="287">
        <f>ResidDataAndCalcs!K51</f>
        <v>3.1163042883666545E-2</v>
      </c>
      <c r="S11" s="287">
        <f>ResidDataAndCalcs!L51</f>
        <v>1.5581521441833272E-2</v>
      </c>
      <c r="T11" s="287">
        <f>ResidDataAndCalcs!N51</f>
        <v>6.4333668723954157E-2</v>
      </c>
      <c r="U11" s="287">
        <f>ResidDataAndCalcs!O51</f>
        <v>4.8250251542965618E-2</v>
      </c>
      <c r="V11" s="287">
        <f>ResidDataAndCalcs!P51</f>
        <v>3.2166834361977079E-2</v>
      </c>
      <c r="W11" s="287">
        <f>ResidDataAndCalcs!Q51</f>
        <v>1.6083417180988539E-2</v>
      </c>
      <c r="X11" s="287">
        <f>ResidDataAndCalcs!S51</f>
        <v>4.2040411083911162E-2</v>
      </c>
      <c r="Y11" s="287">
        <f>ResidDataAndCalcs!T51</f>
        <v>3.1530308312933374E-2</v>
      </c>
      <c r="Z11" s="287">
        <f>ResidDataAndCalcs!U51</f>
        <v>2.1020205541955581E-2</v>
      </c>
      <c r="AA11" s="287">
        <f>ResidDataAndCalcs!V51</f>
        <v>1.0510102770977791E-2</v>
      </c>
      <c r="AB11" s="287">
        <f>ResidDataAndCalcs!X51</f>
        <v>0.14829142753817648</v>
      </c>
      <c r="AC11" s="287">
        <f>ResidDataAndCalcs!Y51</f>
        <v>0.11121857065363236</v>
      </c>
      <c r="AD11" s="287">
        <f>ResidDataAndCalcs!Z51</f>
        <v>7.414571376908824E-2</v>
      </c>
      <c r="AE11" s="287">
        <f>ResidDataAndCalcs!AA51</f>
        <v>3.707285688454412E-2</v>
      </c>
      <c r="AF11" s="294">
        <v>1</v>
      </c>
      <c r="AH11" s="294">
        <v>0</v>
      </c>
      <c r="AI11" s="294">
        <v>0</v>
      </c>
      <c r="AJ11" s="294">
        <v>0</v>
      </c>
      <c r="AK11" s="294">
        <v>0</v>
      </c>
      <c r="AL11" s="294">
        <v>0</v>
      </c>
      <c r="AM11" s="294">
        <v>0</v>
      </c>
      <c r="AN11" s="294">
        <v>0</v>
      </c>
      <c r="AO11" s="294">
        <v>0</v>
      </c>
      <c r="AP11" s="294">
        <v>0</v>
      </c>
      <c r="AQ11" s="294">
        <v>0</v>
      </c>
    </row>
    <row r="12" spans="1:43" ht="12" customHeight="1" x14ac:dyDescent="0.2">
      <c r="A12" s="255" t="str">
        <f>Technologies!B69</f>
        <v>R2,R3,R4,R5,R6</v>
      </c>
      <c r="B12" s="255" t="str">
        <f>Technologies!D69</f>
        <v>TLELSGSL</v>
      </c>
      <c r="C12" s="255" t="str">
        <f>Technologies!E69</f>
        <v>TL.GSL.LS.Existing fleet</v>
      </c>
      <c r="D12" s="255" t="s">
        <v>292</v>
      </c>
      <c r="E12" s="255" t="str">
        <f>Commodities!$D$25</f>
        <v>TLGSL</v>
      </c>
      <c r="F12" s="255" t="str">
        <f>Commodities!$D$9</f>
        <v>TL</v>
      </c>
      <c r="G12" s="255">
        <v>2010</v>
      </c>
      <c r="H12" s="294">
        <v>15</v>
      </c>
      <c r="I12" s="295">
        <f>ResidDataAndCalcs!I33</f>
        <v>7.0055769541489413E-2</v>
      </c>
      <c r="J12" s="286">
        <f>ConsolidatedVehData!AB13</f>
        <v>43.267274341798768</v>
      </c>
      <c r="K12" s="296">
        <v>0.18</v>
      </c>
      <c r="L12" s="287">
        <f>ResidDataAndCalcs!D50</f>
        <v>6.4089060575797427E-2</v>
      </c>
      <c r="M12" s="287">
        <f>ResidDataAndCalcs!E50</f>
        <v>4.8066795431848067E-2</v>
      </c>
      <c r="N12" s="287">
        <f>ResidDataAndCalcs!F50</f>
        <v>3.2044530287898713E-2</v>
      </c>
      <c r="O12" s="287">
        <f>ResidDataAndCalcs!G50</f>
        <v>1.6022265143949357E-2</v>
      </c>
      <c r="P12" s="287">
        <f>ResidDataAndCalcs!I50</f>
        <v>4.4359231343366237E-2</v>
      </c>
      <c r="Q12" s="287">
        <f>ResidDataAndCalcs!J50</f>
        <v>3.3269423507524681E-2</v>
      </c>
      <c r="R12" s="287">
        <f>ResidDataAndCalcs!K50</f>
        <v>2.2179615671683119E-2</v>
      </c>
      <c r="S12" s="287">
        <f>ResidDataAndCalcs!L50</f>
        <v>1.1089807835841559E-2</v>
      </c>
      <c r="T12" s="287">
        <f>ResidDataAndCalcs!N50</f>
        <v>4.5788084699346268E-2</v>
      </c>
      <c r="U12" s="287">
        <f>ResidDataAndCalcs!O50</f>
        <v>3.4341063524509705E-2</v>
      </c>
      <c r="V12" s="287">
        <f>ResidDataAndCalcs!P50</f>
        <v>2.2894042349673134E-2</v>
      </c>
      <c r="W12" s="287">
        <f>ResidDataAndCalcs!Q50</f>
        <v>1.1447021174836567E-2</v>
      </c>
      <c r="X12" s="287">
        <f>ResidDataAndCalcs!S50</f>
        <v>2.9921345101040688E-2</v>
      </c>
      <c r="Y12" s="287">
        <f>ResidDataAndCalcs!T50</f>
        <v>2.2441008825780515E-2</v>
      </c>
      <c r="Z12" s="287">
        <f>ResidDataAndCalcs!U50</f>
        <v>1.4960672550520344E-2</v>
      </c>
      <c r="AA12" s="287">
        <f>ResidDataAndCalcs!V50</f>
        <v>7.4803362752601721E-3</v>
      </c>
      <c r="AB12" s="287">
        <f>ResidDataAndCalcs!X50</f>
        <v>0.10554318724523162</v>
      </c>
      <c r="AC12" s="287">
        <f>ResidDataAndCalcs!Y50</f>
        <v>7.9157390433923724E-2</v>
      </c>
      <c r="AD12" s="287">
        <f>ResidDataAndCalcs!Z50</f>
        <v>5.2771593622615812E-2</v>
      </c>
      <c r="AE12" s="287">
        <f>ResidDataAndCalcs!AA50</f>
        <v>2.6385796811307906E-2</v>
      </c>
      <c r="AF12" s="294">
        <v>1</v>
      </c>
      <c r="AH12" s="294">
        <v>0</v>
      </c>
      <c r="AI12" s="294">
        <v>0</v>
      </c>
      <c r="AJ12" s="294">
        <v>0</v>
      </c>
      <c r="AK12" s="294">
        <v>0</v>
      </c>
      <c r="AL12" s="294">
        <v>0</v>
      </c>
      <c r="AM12" s="294">
        <v>0</v>
      </c>
      <c r="AN12" s="294">
        <v>0</v>
      </c>
      <c r="AO12" s="294">
        <v>0</v>
      </c>
      <c r="AP12" s="294">
        <v>0</v>
      </c>
      <c r="AQ12" s="294">
        <v>0</v>
      </c>
    </row>
    <row r="13" spans="1:43" ht="12" customHeight="1" x14ac:dyDescent="0.2">
      <c r="A13" s="255" t="str">
        <f>Technologies!B70</f>
        <v>R2,R3,R4,R5,R6</v>
      </c>
      <c r="B13" s="255" t="str">
        <f>Technologies!D70</f>
        <v>TLEMGSL</v>
      </c>
      <c r="C13" s="255" t="str">
        <f>Technologies!E70</f>
        <v>TL.GSL.M.Existing Fleet</v>
      </c>
      <c r="D13" s="255" t="s">
        <v>292</v>
      </c>
      <c r="E13" s="255" t="str">
        <f>Commodities!$D$25</f>
        <v>TLGSL</v>
      </c>
      <c r="F13" s="255" t="str">
        <f>Commodities!$D$9</f>
        <v>TL</v>
      </c>
      <c r="G13" s="255">
        <v>2010</v>
      </c>
      <c r="H13" s="294">
        <v>15</v>
      </c>
      <c r="I13" s="295">
        <f>ResidDataAndCalcs!J33</f>
        <v>9.1020521679626806E-2</v>
      </c>
      <c r="J13" s="286">
        <f>ConsolidatedVehData!AB14</f>
        <v>43.267274341798768</v>
      </c>
      <c r="K13" s="296">
        <v>0.18</v>
      </c>
      <c r="L13" s="287">
        <f>ResidDataAndCalcs!D52</f>
        <v>6.0335101127775848E-2</v>
      </c>
      <c r="M13" s="287">
        <f>ResidDataAndCalcs!E52</f>
        <v>4.5251325845831886E-2</v>
      </c>
      <c r="N13" s="287">
        <f>ResidDataAndCalcs!F52</f>
        <v>3.0167550563887924E-2</v>
      </c>
      <c r="O13" s="287">
        <f>ResidDataAndCalcs!G52</f>
        <v>1.5083775281943962E-2</v>
      </c>
      <c r="P13" s="287">
        <f>ResidDataAndCalcs!I52</f>
        <v>4.1760929010451552E-2</v>
      </c>
      <c r="Q13" s="287">
        <f>ResidDataAndCalcs!J52</f>
        <v>3.1320696757838662E-2</v>
      </c>
      <c r="R13" s="287">
        <f>ResidDataAndCalcs!K52</f>
        <v>2.0880464505225776E-2</v>
      </c>
      <c r="S13" s="287">
        <f>ResidDataAndCalcs!L52</f>
        <v>1.0440232252612888E-2</v>
      </c>
      <c r="T13" s="287">
        <f>ResidDataAndCalcs!N52</f>
        <v>4.3106088558044819E-2</v>
      </c>
      <c r="U13" s="287">
        <f>ResidDataAndCalcs!O52</f>
        <v>3.2329566418533615E-2</v>
      </c>
      <c r="V13" s="287">
        <f>ResidDataAndCalcs!P52</f>
        <v>2.155304427902241E-2</v>
      </c>
      <c r="W13" s="287">
        <f>ResidDataAndCalcs!Q52</f>
        <v>1.0776522139511205E-2</v>
      </c>
      <c r="X13" s="287">
        <f>ResidDataAndCalcs!S52</f>
        <v>2.8168729051898846E-2</v>
      </c>
      <c r="Y13" s="287">
        <f>ResidDataAndCalcs!T52</f>
        <v>2.1126546788924134E-2</v>
      </c>
      <c r="Z13" s="287">
        <f>ResidDataAndCalcs!U52</f>
        <v>1.4084364525949423E-2</v>
      </c>
      <c r="AA13" s="287">
        <f>ResidDataAndCalcs!V52</f>
        <v>7.0421822629747116E-3</v>
      </c>
      <c r="AB13" s="287">
        <f>ResidDataAndCalcs!X52</f>
        <v>9.9361089374332703E-2</v>
      </c>
      <c r="AC13" s="287">
        <f>ResidDataAndCalcs!Y52</f>
        <v>7.4520817030749531E-2</v>
      </c>
      <c r="AD13" s="287">
        <f>ResidDataAndCalcs!Z52</f>
        <v>4.9680544687166352E-2</v>
      </c>
      <c r="AE13" s="287">
        <f>ResidDataAndCalcs!AA52</f>
        <v>2.4840272343583176E-2</v>
      </c>
      <c r="AF13" s="294">
        <v>1</v>
      </c>
      <c r="AH13" s="294">
        <v>0</v>
      </c>
      <c r="AI13" s="294">
        <v>0</v>
      </c>
      <c r="AJ13" s="294">
        <v>0</v>
      </c>
      <c r="AK13" s="294">
        <v>0</v>
      </c>
      <c r="AL13" s="294">
        <v>0</v>
      </c>
      <c r="AM13" s="294">
        <v>0</v>
      </c>
      <c r="AN13" s="294">
        <v>0</v>
      </c>
      <c r="AO13" s="294">
        <v>0</v>
      </c>
      <c r="AP13" s="294">
        <v>0</v>
      </c>
      <c r="AQ13" s="294">
        <v>0</v>
      </c>
    </row>
    <row r="14" spans="1:43" ht="12" customHeight="1" x14ac:dyDescent="0.2">
      <c r="A14" s="255" t="str">
        <f>Technologies!B71</f>
        <v>R2,R3,R4,R5,R6</v>
      </c>
      <c r="B14" s="255" t="str">
        <f>Technologies!D71</f>
        <v>TLEPGSL</v>
      </c>
      <c r="C14" s="255" t="str">
        <f>Technologies!E71</f>
        <v>TL.GSL.P.Existing Fleet</v>
      </c>
      <c r="D14" s="255" t="s">
        <v>292</v>
      </c>
      <c r="E14" s="255" t="str">
        <f>Commodities!$D$25</f>
        <v>TLGSL</v>
      </c>
      <c r="F14" s="255" t="str">
        <f>Commodities!$D$9</f>
        <v>TL</v>
      </c>
      <c r="G14" s="255">
        <v>2010</v>
      </c>
      <c r="H14" s="294">
        <v>15</v>
      </c>
      <c r="I14" s="295">
        <f>ResidDataAndCalcs!K33</f>
        <v>7.513813369618938E-2</v>
      </c>
      <c r="J14" s="286">
        <f>ConsolidatedVehData!AB15</f>
        <v>48.0747492686653</v>
      </c>
      <c r="K14" s="296">
        <v>0.18</v>
      </c>
      <c r="L14" s="287">
        <f>ResidDataAndCalcs!D53</f>
        <v>0.15759509657241078</v>
      </c>
      <c r="M14" s="287">
        <f>ResidDataAndCalcs!E53</f>
        <v>0.11819632242930808</v>
      </c>
      <c r="N14" s="287">
        <f>ResidDataAndCalcs!F53</f>
        <v>7.8797548286205388E-2</v>
      </c>
      <c r="O14" s="287">
        <f>ResidDataAndCalcs!G53</f>
        <v>3.9398774143102694E-2</v>
      </c>
      <c r="P14" s="287">
        <f>ResidDataAndCalcs!I53</f>
        <v>0.10907941674644729</v>
      </c>
      <c r="Q14" s="287">
        <f>ResidDataAndCalcs!J53</f>
        <v>8.1809562559835472E-2</v>
      </c>
      <c r="R14" s="287">
        <f>ResidDataAndCalcs!K53</f>
        <v>5.4539708373223646E-2</v>
      </c>
      <c r="S14" s="287">
        <f>ResidDataAndCalcs!L53</f>
        <v>2.7269854186611823E-2</v>
      </c>
      <c r="T14" s="287">
        <f>ResidDataAndCalcs!N53</f>
        <v>0.11259296930284914</v>
      </c>
      <c r="U14" s="287">
        <f>ResidDataAndCalcs!O53</f>
        <v>8.4444726977136855E-2</v>
      </c>
      <c r="V14" s="287">
        <f>ResidDataAndCalcs!P53</f>
        <v>5.6296484651424568E-2</v>
      </c>
      <c r="W14" s="287">
        <f>ResidDataAndCalcs!Q53</f>
        <v>2.8148242325712284E-2</v>
      </c>
      <c r="X14" s="287">
        <f>ResidDataAndCalcs!S53</f>
        <v>7.357663271094475E-2</v>
      </c>
      <c r="Y14" s="287">
        <f>ResidDataAndCalcs!T53</f>
        <v>5.5182474533208563E-2</v>
      </c>
      <c r="Z14" s="287">
        <f>ResidDataAndCalcs!U53</f>
        <v>3.6788316355472375E-2</v>
      </c>
      <c r="AA14" s="287">
        <f>ResidDataAndCalcs!V53</f>
        <v>1.8394158177736188E-2</v>
      </c>
      <c r="AB14" s="287">
        <f>ResidDataAndCalcs!X53</f>
        <v>0.25953085654611113</v>
      </c>
      <c r="AC14" s="287">
        <f>ResidDataAndCalcs!Y53</f>
        <v>0.19464814240958334</v>
      </c>
      <c r="AD14" s="287">
        <f>ResidDataAndCalcs!Z53</f>
        <v>0.12976542827305557</v>
      </c>
      <c r="AE14" s="287">
        <f>ResidDataAndCalcs!AA53</f>
        <v>6.4882714136527783E-2</v>
      </c>
      <c r="AF14" s="294">
        <v>1</v>
      </c>
      <c r="AH14" s="294">
        <v>0</v>
      </c>
      <c r="AI14" s="294">
        <v>0</v>
      </c>
      <c r="AJ14" s="294">
        <v>0</v>
      </c>
      <c r="AK14" s="294">
        <v>0</v>
      </c>
      <c r="AL14" s="294">
        <v>0</v>
      </c>
      <c r="AM14" s="294">
        <v>0</v>
      </c>
      <c r="AN14" s="294">
        <v>0</v>
      </c>
      <c r="AO14" s="294">
        <v>0</v>
      </c>
      <c r="AP14" s="294">
        <v>0</v>
      </c>
      <c r="AQ14" s="294">
        <v>0</v>
      </c>
    </row>
    <row r="15" spans="1:43" ht="12" customHeight="1" x14ac:dyDescent="0.2">
      <c r="A15" s="255" t="str">
        <f>Technologies!B72</f>
        <v>R2,R3,R4,R5,R6</v>
      </c>
      <c r="B15" s="255" t="str">
        <f>Technologies!D72</f>
        <v>TLEPDSL</v>
      </c>
      <c r="C15" s="255" t="str">
        <f>Technologies!E72</f>
        <v>TL.DSL.P.Existing fleet</v>
      </c>
      <c r="D15" s="255" t="s">
        <v>292</v>
      </c>
      <c r="E15" s="255" t="str">
        <f>Commodities!$D$24</f>
        <v>TRNDSL</v>
      </c>
      <c r="F15" s="255" t="str">
        <f>Commodities!$D$9</f>
        <v>TL</v>
      </c>
      <c r="G15" s="255">
        <v>2010</v>
      </c>
      <c r="H15" s="294">
        <v>15</v>
      </c>
      <c r="I15" s="295">
        <f>ResidDataAndCalcs!L33</f>
        <v>7.8776644397849593E-2</v>
      </c>
      <c r="J15" s="286">
        <f>ConsolidatedVehData!AB16</f>
        <v>48.0747492686653</v>
      </c>
      <c r="K15" s="296">
        <v>0.18</v>
      </c>
      <c r="L15" s="287">
        <f>ResidDataAndCalcs!D54</f>
        <v>2.5380884569154237E-2</v>
      </c>
      <c r="M15" s="287">
        <f>ResidDataAndCalcs!E54</f>
        <v>1.9035663426865676E-2</v>
      </c>
      <c r="N15" s="287">
        <f>ResidDataAndCalcs!F54</f>
        <v>1.2690442284577119E-2</v>
      </c>
      <c r="O15" s="287">
        <f>ResidDataAndCalcs!G54</f>
        <v>6.3452211422885593E-3</v>
      </c>
      <c r="P15" s="287">
        <f>ResidDataAndCalcs!I54</f>
        <v>1.7567374528306985E-2</v>
      </c>
      <c r="Q15" s="287">
        <f>ResidDataAndCalcs!J54</f>
        <v>1.3175530896230239E-2</v>
      </c>
      <c r="R15" s="287">
        <f>ResidDataAndCalcs!K54</f>
        <v>8.7836872641534926E-3</v>
      </c>
      <c r="S15" s="287">
        <f>ResidDataAndCalcs!L54</f>
        <v>4.3918436320767463E-3</v>
      </c>
      <c r="T15" s="287">
        <f>ResidDataAndCalcs!N54</f>
        <v>1.8133236498642576E-2</v>
      </c>
      <c r="U15" s="287">
        <f>ResidDataAndCalcs!O54</f>
        <v>1.3599927373981932E-2</v>
      </c>
      <c r="V15" s="287">
        <f>ResidDataAndCalcs!P54</f>
        <v>9.0666182493212878E-3</v>
      </c>
      <c r="W15" s="287">
        <f>ResidDataAndCalcs!Q54</f>
        <v>4.5333091246606439E-3</v>
      </c>
      <c r="X15" s="287">
        <f>ResidDataAndCalcs!S54</f>
        <v>1.1849607395402098E-2</v>
      </c>
      <c r="Y15" s="287">
        <f>ResidDataAndCalcs!T54</f>
        <v>8.8872055465515735E-3</v>
      </c>
      <c r="Z15" s="287">
        <f>ResidDataAndCalcs!U54</f>
        <v>5.924803697701049E-3</v>
      </c>
      <c r="AA15" s="287">
        <f>ResidDataAndCalcs!V54</f>
        <v>2.9624018488505245E-3</v>
      </c>
      <c r="AB15" s="287">
        <f>ResidDataAndCalcs!X54</f>
        <v>4.1797764368283918E-2</v>
      </c>
      <c r="AC15" s="287">
        <f>ResidDataAndCalcs!Y54</f>
        <v>3.1348323276212939E-2</v>
      </c>
      <c r="AD15" s="287">
        <f>ResidDataAndCalcs!Z54</f>
        <v>2.0898882184141959E-2</v>
      </c>
      <c r="AE15" s="287">
        <f>ResidDataAndCalcs!AA54</f>
        <v>1.044944109207098E-2</v>
      </c>
      <c r="AF15" s="294">
        <v>1</v>
      </c>
      <c r="AH15" s="294">
        <v>0</v>
      </c>
      <c r="AI15" s="294">
        <v>0</v>
      </c>
      <c r="AJ15" s="294">
        <v>0</v>
      </c>
      <c r="AK15" s="294">
        <v>0</v>
      </c>
      <c r="AL15" s="294">
        <v>0</v>
      </c>
      <c r="AM15" s="294">
        <v>0</v>
      </c>
      <c r="AN15" s="294">
        <v>0</v>
      </c>
      <c r="AO15" s="294">
        <v>0</v>
      </c>
      <c r="AP15" s="294">
        <v>0</v>
      </c>
      <c r="AQ15" s="294">
        <v>0</v>
      </c>
    </row>
    <row r="16" spans="1:43" ht="12" customHeight="1" x14ac:dyDescent="0.2">
      <c r="A16" s="255" t="s">
        <v>190</v>
      </c>
      <c r="B16" s="255" t="str">
        <f>Technologies!D73</f>
        <v>TLEETHX</v>
      </c>
      <c r="C16" s="255" t="str">
        <f>Technologies!E73</f>
        <v>TL.E85X.F.Existing fleet</v>
      </c>
      <c r="D16" s="255" t="s">
        <v>292</v>
      </c>
      <c r="E16" s="255" t="str">
        <f>Commodities!$D$26</f>
        <v>TLE85X</v>
      </c>
      <c r="F16" s="255" t="str">
        <f>Commodities!$D$9</f>
        <v>TL</v>
      </c>
      <c r="G16" s="255">
        <v>2010</v>
      </c>
      <c r="H16" s="294">
        <v>15</v>
      </c>
      <c r="I16" s="295">
        <f>ConsolidatedVehData!AF18</f>
        <v>0.15959999999999999</v>
      </c>
      <c r="J16" s="286">
        <f>ConsolidatedVehData!AB18</f>
        <v>43.267274341798768</v>
      </c>
      <c r="K16" s="296">
        <v>0.18</v>
      </c>
      <c r="L16" s="330"/>
      <c r="M16" s="287"/>
      <c r="N16" s="287"/>
      <c r="O16" s="287"/>
      <c r="P16" s="287"/>
      <c r="Q16" s="287"/>
      <c r="R16" s="287"/>
      <c r="S16" s="287"/>
      <c r="T16" s="287"/>
      <c r="U16" s="287"/>
      <c r="V16" s="287"/>
      <c r="W16" s="287"/>
      <c r="X16" s="287"/>
      <c r="Y16" s="287"/>
      <c r="Z16" s="287"/>
      <c r="AA16" s="287"/>
      <c r="AB16" s="287"/>
      <c r="AC16" s="287"/>
      <c r="AD16" s="287"/>
      <c r="AE16" s="287"/>
      <c r="AF16" s="294">
        <v>1</v>
      </c>
      <c r="AH16" s="294">
        <v>0</v>
      </c>
      <c r="AI16" s="294">
        <v>0</v>
      </c>
      <c r="AJ16" s="294">
        <v>0</v>
      </c>
      <c r="AK16" s="294">
        <v>0</v>
      </c>
      <c r="AL16" s="294">
        <v>0</v>
      </c>
      <c r="AM16" s="294">
        <v>0</v>
      </c>
      <c r="AN16" s="294">
        <v>0</v>
      </c>
      <c r="AO16" s="294">
        <v>0</v>
      </c>
      <c r="AP16" s="294">
        <v>0</v>
      </c>
      <c r="AQ16" s="294">
        <v>0</v>
      </c>
    </row>
    <row r="17" spans="1:43" ht="12" customHeight="1" x14ac:dyDescent="0.2">
      <c r="A17" s="255" t="s">
        <v>190</v>
      </c>
      <c r="B17" s="255" t="str">
        <f>Technologies!D74</f>
        <v>TLECNGX</v>
      </c>
      <c r="C17" s="255" t="str">
        <f>Technologies!E74</f>
        <v>TL.CNGX.F.Existing fleet</v>
      </c>
      <c r="D17" s="255" t="s">
        <v>292</v>
      </c>
      <c r="E17" s="255" t="s">
        <v>75</v>
      </c>
      <c r="F17" s="255" t="str">
        <f>Commodities!$D$9</f>
        <v>TL</v>
      </c>
      <c r="G17" s="255">
        <v>2010</v>
      </c>
      <c r="H17" s="294">
        <v>15</v>
      </c>
      <c r="I17" s="295">
        <f>ConsolidatedVehData!AF19</f>
        <v>0.17119999999999999</v>
      </c>
      <c r="J17" s="286">
        <f>ConsolidatedVehData!AB19</f>
        <v>38.940546907618888</v>
      </c>
      <c r="K17" s="296">
        <v>0.18</v>
      </c>
      <c r="L17" s="330"/>
      <c r="M17" s="287"/>
      <c r="N17" s="287"/>
      <c r="O17" s="287"/>
      <c r="P17" s="287"/>
      <c r="Q17" s="287"/>
      <c r="R17" s="287"/>
      <c r="S17" s="287"/>
      <c r="T17" s="287"/>
      <c r="U17" s="287"/>
      <c r="V17" s="287"/>
      <c r="W17" s="287"/>
      <c r="X17" s="287"/>
      <c r="Y17" s="287"/>
      <c r="Z17" s="287"/>
      <c r="AA17" s="287"/>
      <c r="AB17" s="287"/>
      <c r="AC17" s="287"/>
      <c r="AD17" s="287"/>
      <c r="AE17" s="287"/>
      <c r="AF17" s="294">
        <v>1</v>
      </c>
      <c r="AH17" s="294">
        <v>0</v>
      </c>
      <c r="AI17" s="294">
        <v>0</v>
      </c>
      <c r="AJ17" s="294">
        <v>0</v>
      </c>
      <c r="AK17" s="294">
        <v>0</v>
      </c>
      <c r="AL17" s="294">
        <v>0</v>
      </c>
      <c r="AM17" s="294">
        <v>0</v>
      </c>
      <c r="AN17" s="294">
        <v>0</v>
      </c>
      <c r="AO17" s="294">
        <v>0</v>
      </c>
      <c r="AP17" s="294">
        <v>0</v>
      </c>
      <c r="AQ17" s="294">
        <v>0</v>
      </c>
    </row>
    <row r="18" spans="1:43" ht="12" customHeight="1" x14ac:dyDescent="0.2">
      <c r="A18" s="255" t="s">
        <v>190</v>
      </c>
      <c r="B18" s="255" t="str">
        <f>Technologies!D75</f>
        <v>TLELPGX</v>
      </c>
      <c r="C18" s="255" t="str">
        <f>Technologies!E75</f>
        <v>TL.LPGX.F.Existing fleet</v>
      </c>
      <c r="D18" s="255" t="s">
        <v>292</v>
      </c>
      <c r="E18" s="255" t="s">
        <v>109</v>
      </c>
      <c r="F18" s="255" t="str">
        <f>Commodities!$D$9</f>
        <v>TL</v>
      </c>
      <c r="G18" s="255">
        <v>2010</v>
      </c>
      <c r="H18" s="294">
        <v>15</v>
      </c>
      <c r="I18" s="295">
        <f>ConsolidatedVehData!AF20</f>
        <v>0.17030000000000001</v>
      </c>
      <c r="J18" s="286">
        <f>ConsolidatedVehData!AB20</f>
        <v>38.940546907618888</v>
      </c>
      <c r="K18" s="296">
        <v>0.18</v>
      </c>
      <c r="L18" s="330"/>
      <c r="M18" s="287"/>
      <c r="N18" s="287"/>
      <c r="O18" s="287"/>
      <c r="P18" s="287"/>
      <c r="Q18" s="287"/>
      <c r="R18" s="287"/>
      <c r="S18" s="287"/>
      <c r="T18" s="287"/>
      <c r="U18" s="287"/>
      <c r="V18" s="287"/>
      <c r="W18" s="287"/>
      <c r="X18" s="287"/>
      <c r="Y18" s="287"/>
      <c r="Z18" s="287"/>
      <c r="AA18" s="287"/>
      <c r="AB18" s="287"/>
      <c r="AC18" s="287"/>
      <c r="AD18" s="287"/>
      <c r="AE18" s="287"/>
      <c r="AF18" s="294">
        <v>1</v>
      </c>
      <c r="AH18" s="294">
        <v>0</v>
      </c>
      <c r="AI18" s="294">
        <v>0</v>
      </c>
      <c r="AJ18" s="294">
        <v>0</v>
      </c>
      <c r="AK18" s="294">
        <v>0</v>
      </c>
      <c r="AL18" s="294">
        <v>0</v>
      </c>
      <c r="AM18" s="294">
        <v>0</v>
      </c>
      <c r="AN18" s="294">
        <v>0</v>
      </c>
      <c r="AO18" s="294">
        <v>0</v>
      </c>
      <c r="AP18" s="294">
        <v>0</v>
      </c>
      <c r="AQ18" s="294">
        <v>0</v>
      </c>
    </row>
    <row r="19" spans="1:43" ht="12" customHeight="1" x14ac:dyDescent="0.2">
      <c r="A19" s="255" t="str">
        <f>Technologies!B76</f>
        <v>R2,R3,R4,R5,R6</v>
      </c>
      <c r="B19" s="255" t="str">
        <f>Technologies!D76</f>
        <v>TLEELC</v>
      </c>
      <c r="C19" s="255" t="str">
        <f>Technologies!E76</f>
        <v>TL.ELC.F.Existing fleet</v>
      </c>
      <c r="D19" s="255" t="s">
        <v>292</v>
      </c>
      <c r="E19" s="255" t="str">
        <f>Commodities!$D$32</f>
        <v>TRNELC</v>
      </c>
      <c r="F19" s="255" t="str">
        <f>Commodities!$D$9</f>
        <v>TL</v>
      </c>
      <c r="G19" s="255">
        <v>2010</v>
      </c>
      <c r="H19" s="294">
        <v>15</v>
      </c>
      <c r="I19" s="295">
        <f>ConsolidatedVehData!AF21</f>
        <v>0.72250000000000003</v>
      </c>
      <c r="J19" s="286">
        <f>ConsolidatedVehData!AB21</f>
        <v>25.96036460507926</v>
      </c>
      <c r="K19" s="296">
        <v>0.18</v>
      </c>
      <c r="L19" s="287">
        <f>ResidDataAndCalcs!D55</f>
        <v>4.0804692875190396E-3</v>
      </c>
      <c r="M19" s="287">
        <f>ResidDataAndCalcs!E55</f>
        <v>9.1717701771001775E-3</v>
      </c>
      <c r="N19" s="287">
        <f>ResidDataAndCalcs!F55</f>
        <v>6.8788276328251331E-3</v>
      </c>
      <c r="O19" s="287">
        <f>ResidDataAndCalcs!G55</f>
        <v>3.4394138164125666E-3</v>
      </c>
      <c r="P19" s="287">
        <f>ResidDataAndCalcs!I55</f>
        <v>2.824296057522695E-3</v>
      </c>
      <c r="Q19" s="287">
        <f>ResidDataAndCalcs!J55</f>
        <v>6.3482390201833848E-3</v>
      </c>
      <c r="R19" s="287">
        <f>ResidDataAndCalcs!K55</f>
        <v>4.7611792651375386E-3</v>
      </c>
      <c r="S19" s="287">
        <f>ResidDataAndCalcs!L55</f>
        <v>3.1741195100916924E-3</v>
      </c>
      <c r="T19" s="287">
        <f>ResidDataAndCalcs!N55</f>
        <v>2.9152693403741341E-3</v>
      </c>
      <c r="U19" s="287">
        <f>ResidDataAndCalcs!O55</f>
        <v>6.5527218832505986E-3</v>
      </c>
      <c r="V19" s="287">
        <f>ResidDataAndCalcs!P55</f>
        <v>4.9145414124379489E-3</v>
      </c>
      <c r="W19" s="287">
        <f>ResidDataAndCalcs!Q55</f>
        <v>3.2763609416252993E-3</v>
      </c>
      <c r="X19" s="287">
        <f>ResidDataAndCalcs!S55</f>
        <v>1.9050541329382819E-3</v>
      </c>
      <c r="Y19" s="287">
        <f>ResidDataAndCalcs!T55</f>
        <v>4.282036562727895E-3</v>
      </c>
      <c r="Z19" s="287">
        <f>ResidDataAndCalcs!U55</f>
        <v>3.2115274220459213E-3</v>
      </c>
      <c r="AA19" s="287">
        <f>ResidDataAndCalcs!V55</f>
        <v>2.1410182813639475E-3</v>
      </c>
      <c r="AB19" s="287">
        <f>ResidDataAndCalcs!X55</f>
        <v>6.7198010111522103E-3</v>
      </c>
      <c r="AC19" s="287">
        <f>ResidDataAndCalcs!Y55</f>
        <v>1.5104260360113269E-2</v>
      </c>
      <c r="AD19" s="287">
        <f>ResidDataAndCalcs!Z55</f>
        <v>1.1328195270084952E-2</v>
      </c>
      <c r="AE19" s="287">
        <f>ResidDataAndCalcs!AA55</f>
        <v>7.5521301800566343E-3</v>
      </c>
      <c r="AF19" s="294">
        <v>1</v>
      </c>
      <c r="AH19" s="294">
        <v>0</v>
      </c>
      <c r="AI19" s="294">
        <v>0</v>
      </c>
      <c r="AJ19" s="294">
        <v>0</v>
      </c>
      <c r="AK19" s="294">
        <v>0</v>
      </c>
      <c r="AL19" s="294">
        <v>0</v>
      </c>
      <c r="AM19" s="294">
        <v>0</v>
      </c>
      <c r="AN19" s="294">
        <v>0</v>
      </c>
      <c r="AO19" s="294">
        <v>0</v>
      </c>
      <c r="AP19" s="294">
        <v>0</v>
      </c>
      <c r="AQ19" s="294">
        <v>0</v>
      </c>
    </row>
    <row r="20" spans="1:43" ht="12" customHeight="1" x14ac:dyDescent="0.2">
      <c r="A20" s="255"/>
      <c r="B20" s="255"/>
      <c r="C20" s="255"/>
      <c r="D20" s="255"/>
      <c r="E20" s="255"/>
      <c r="F20" s="255"/>
      <c r="G20" s="255"/>
      <c r="H20" s="294"/>
      <c r="I20" s="295"/>
      <c r="J20" s="286"/>
      <c r="K20" s="296"/>
      <c r="L20" s="287"/>
      <c r="M20" s="287"/>
      <c r="N20" s="287"/>
      <c r="O20" s="287"/>
      <c r="P20" s="287"/>
      <c r="Q20" s="287"/>
      <c r="R20" s="287"/>
      <c r="S20" s="287"/>
      <c r="T20" s="287"/>
      <c r="U20" s="287"/>
      <c r="V20" s="287"/>
      <c r="W20" s="287"/>
      <c r="X20" s="287"/>
      <c r="Y20" s="287"/>
      <c r="Z20" s="287"/>
      <c r="AA20" s="287"/>
      <c r="AB20" s="287"/>
      <c r="AC20" s="287"/>
      <c r="AD20" s="287"/>
      <c r="AE20" s="287"/>
      <c r="AF20" s="294"/>
      <c r="AH20" s="294"/>
      <c r="AI20" s="294"/>
      <c r="AJ20" s="294"/>
      <c r="AK20" s="294"/>
      <c r="AL20" s="294"/>
      <c r="AM20" s="294"/>
      <c r="AN20" s="294"/>
      <c r="AO20" s="294"/>
      <c r="AP20" s="294"/>
      <c r="AQ20" s="294"/>
    </row>
    <row r="21" spans="1:43" x14ac:dyDescent="0.2">
      <c r="A21" s="297" t="s">
        <v>190</v>
      </c>
      <c r="B21" s="298"/>
      <c r="C21" s="298"/>
      <c r="D21" s="294"/>
      <c r="E21" s="294"/>
      <c r="F21" s="294"/>
      <c r="G21" s="294"/>
      <c r="H21" s="294"/>
      <c r="I21" s="286"/>
      <c r="J21" s="294"/>
      <c r="K21" s="294"/>
      <c r="L21" s="287">
        <f>SUM(L7:L19)</f>
        <v>4.3486256014159999</v>
      </c>
      <c r="M21" s="287">
        <f t="shared" ref="M21:AE21" si="0">SUM(M7:M19)</f>
        <v>3.2675806192734598</v>
      </c>
      <c r="N21" s="287">
        <f t="shared" si="0"/>
        <v>2.1791513936970657</v>
      </c>
      <c r="O21" s="287">
        <f t="shared" si="0"/>
        <v>1.0895756968485328</v>
      </c>
      <c r="P21" s="287">
        <f t="shared" si="0"/>
        <v>3.0099004002524699</v>
      </c>
      <c r="Q21" s="287">
        <f t="shared" si="0"/>
        <v>2.2616553171663933</v>
      </c>
      <c r="R21" s="287">
        <f t="shared" si="0"/>
        <v>1.5082992313626111</v>
      </c>
      <c r="S21" s="287">
        <f t="shared" si="0"/>
        <v>0.75494314555882847</v>
      </c>
      <c r="T21" s="287">
        <f t="shared" si="0"/>
        <v>3.1068521768686241</v>
      </c>
      <c r="U21" s="287">
        <f t="shared" si="0"/>
        <v>2.3345054025294378</v>
      </c>
      <c r="V21" s="287">
        <f t="shared" si="0"/>
        <v>1.5568829951765628</v>
      </c>
      <c r="W21" s="287">
        <f t="shared" si="0"/>
        <v>0.77926058782368779</v>
      </c>
      <c r="X21" s="287">
        <f t="shared" si="0"/>
        <v>2.0302486284894297</v>
      </c>
      <c r="Y21" s="287">
        <f t="shared" si="0"/>
        <v>1.5255397173300964</v>
      </c>
      <c r="Z21" s="287">
        <f t="shared" si="0"/>
        <v>1.0173833146002915</v>
      </c>
      <c r="AA21" s="287">
        <f t="shared" si="0"/>
        <v>0.50922691187048674</v>
      </c>
      <c r="AB21" s="287">
        <f t="shared" si="0"/>
        <v>7.1614063614934809</v>
      </c>
      <c r="AC21" s="287">
        <f t="shared" si="0"/>
        <v>5.3811191807218597</v>
      </c>
      <c r="AD21" s="287">
        <f t="shared" si="0"/>
        <v>3.5886714755112492</v>
      </c>
      <c r="AE21" s="287">
        <f t="shared" si="0"/>
        <v>1.796223770300639</v>
      </c>
      <c r="AF21" s="294"/>
      <c r="AH21" s="294"/>
      <c r="AI21" s="294"/>
      <c r="AJ21" s="294"/>
      <c r="AK21" s="294"/>
      <c r="AL21" s="294"/>
      <c r="AM21" s="294"/>
      <c r="AN21" s="294"/>
      <c r="AO21" s="294"/>
      <c r="AP21" s="294"/>
      <c r="AQ21" s="294"/>
    </row>
    <row r="22" spans="1:43" x14ac:dyDescent="0.2">
      <c r="I22" s="267"/>
    </row>
    <row r="23" spans="1:43" x14ac:dyDescent="0.2">
      <c r="L23" s="331">
        <f>SUM(L7:L15,L19)-CommData!$E$8</f>
        <v>0</v>
      </c>
      <c r="M23" s="367"/>
      <c r="N23" s="367"/>
      <c r="O23" s="367"/>
      <c r="P23" s="331">
        <f>SUM(P7:P15,P19)-CommData!$E$9</f>
        <v>0</v>
      </c>
      <c r="Q23" s="367"/>
      <c r="R23" s="367"/>
      <c r="S23" s="367"/>
      <c r="T23" s="331">
        <f>SUM(T7:T15,T19)-CommData!$E$10</f>
        <v>0</v>
      </c>
      <c r="U23" s="367"/>
      <c r="V23" s="367"/>
      <c r="W23" s="367"/>
      <c r="X23" s="331">
        <f>SUM(X7:X15,X19)-CommData!$E$11</f>
        <v>0</v>
      </c>
      <c r="Y23" s="367"/>
      <c r="Z23" s="367"/>
      <c r="AA23" s="367"/>
      <c r="AB23" s="331">
        <f>SUM(AB7:AB15,AB19)-CommData!$E$12</f>
        <v>0</v>
      </c>
      <c r="AC23" s="367"/>
      <c r="AD23" s="367"/>
      <c r="AE23" s="367"/>
    </row>
    <row r="27" spans="1:43" x14ac:dyDescent="0.2">
      <c r="L27" s="268"/>
    </row>
    <row r="30" spans="1:43" x14ac:dyDescent="0.2">
      <c r="L30" s="268"/>
    </row>
  </sheetData>
  <phoneticPr fontId="0" type="noConversion"/>
  <pageMargins left="0.75" right="0.75" top="1" bottom="1" header="0.5" footer="0.5"/>
  <pageSetup paperSize="9" orientation="landscape" horizontalDpi="12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K119"/>
  <sheetViews>
    <sheetView zoomScale="80" zoomScaleNormal="80" workbookViewId="0">
      <selection activeCell="G14" sqref="G14"/>
    </sheetView>
  </sheetViews>
  <sheetFormatPr defaultColWidth="9.140625" defaultRowHeight="12.75" x14ac:dyDescent="0.2"/>
  <cols>
    <col min="1" max="1" width="46" style="41" customWidth="1"/>
    <col min="2" max="2" width="16.42578125" style="15" customWidth="1"/>
    <col min="3" max="3" width="14.85546875" style="15" bestFit="1" customWidth="1"/>
    <col min="4" max="12" width="17.85546875" style="15" bestFit="1" customWidth="1"/>
    <col min="13" max="13" width="7.140625" style="15" bestFit="1" customWidth="1"/>
    <col min="14" max="14" width="11.7109375" style="15" customWidth="1"/>
    <col min="15" max="17" width="9.140625" style="15"/>
    <col min="18" max="18" width="25.5703125" style="15" customWidth="1"/>
    <col min="19" max="20" width="15.7109375" style="15" customWidth="1"/>
    <col min="21" max="21" width="17.140625" style="15" customWidth="1"/>
    <col min="22" max="28" width="15.7109375" style="15" customWidth="1"/>
    <col min="29" max="29" width="24.28515625" style="15" customWidth="1"/>
    <col min="30" max="31" width="9.140625" style="15"/>
    <col min="32" max="32" width="7.140625" style="15" bestFit="1" customWidth="1"/>
    <col min="33" max="34" width="7.140625" style="15" customWidth="1"/>
    <col min="35" max="35" width="13.140625" style="15" bestFit="1" customWidth="1"/>
    <col min="36" max="36" width="29.85546875" style="15" customWidth="1"/>
    <col min="37" max="16384" width="9.140625" style="15"/>
  </cols>
  <sheetData>
    <row r="1" spans="1:37" s="19" customFormat="1" x14ac:dyDescent="0.2">
      <c r="A1" s="14" t="s">
        <v>586</v>
      </c>
      <c r="R1" s="20" t="s">
        <v>587</v>
      </c>
      <c r="S1" s="15"/>
      <c r="T1" s="15"/>
      <c r="U1" s="15"/>
      <c r="V1" s="15"/>
      <c r="W1" s="15"/>
      <c r="X1" s="15"/>
      <c r="Y1" s="15"/>
      <c r="Z1" s="15"/>
      <c r="AA1" s="15"/>
      <c r="AB1" s="15"/>
      <c r="AC1" s="15"/>
    </row>
    <row r="2" spans="1:37" s="19" customFormat="1" ht="25.5" x14ac:dyDescent="0.2">
      <c r="A2" s="14"/>
      <c r="R2" s="20" t="s">
        <v>588</v>
      </c>
      <c r="S2" s="21" t="s">
        <v>589</v>
      </c>
      <c r="T2" s="21" t="s">
        <v>590</v>
      </c>
      <c r="U2" s="21" t="s">
        <v>591</v>
      </c>
      <c r="V2" s="21" t="s">
        <v>592</v>
      </c>
      <c r="W2" s="21" t="s">
        <v>593</v>
      </c>
      <c r="X2" s="21" t="s">
        <v>594</v>
      </c>
      <c r="Y2" s="20" t="s">
        <v>595</v>
      </c>
      <c r="Z2" s="20" t="s">
        <v>596</v>
      </c>
      <c r="AA2" s="20" t="s">
        <v>597</v>
      </c>
      <c r="AB2" s="20" t="s">
        <v>598</v>
      </c>
      <c r="AC2" s="20" t="s">
        <v>599</v>
      </c>
      <c r="AD2" s="148" t="s">
        <v>600</v>
      </c>
      <c r="AK2" s="19" t="s">
        <v>601</v>
      </c>
    </row>
    <row r="3" spans="1:37" s="19" customFormat="1" x14ac:dyDescent="0.2">
      <c r="A3" s="14" t="s">
        <v>602</v>
      </c>
      <c r="R3" s="22" t="s">
        <v>547</v>
      </c>
      <c r="S3" s="23">
        <v>0</v>
      </c>
      <c r="T3" s="25">
        <f>S3/1000000</f>
        <v>0</v>
      </c>
      <c r="U3" s="23"/>
      <c r="V3" s="23">
        <f t="shared" ref="V3:V12" si="0">S3*U3</f>
        <v>0</v>
      </c>
      <c r="W3" s="23">
        <f>V3*0.264172</f>
        <v>0</v>
      </c>
      <c r="X3" s="23">
        <f>W3*0.264172</f>
        <v>0</v>
      </c>
      <c r="Y3" s="22"/>
      <c r="Z3" s="22"/>
      <c r="AA3" s="22"/>
      <c r="AB3" s="209"/>
      <c r="AC3" s="22"/>
      <c r="AF3" s="19" t="s">
        <v>603</v>
      </c>
      <c r="AG3" s="19">
        <f>ResidDataAndCalcs!N86</f>
        <v>2.7631647076330233E-2</v>
      </c>
      <c r="AH3" s="19">
        <f>AG3/SUM($AG$3:$AG$6)</f>
        <v>3.1386722465284386E-2</v>
      </c>
      <c r="AI3" s="19" t="str">
        <f>TechData_existing!B7</f>
        <v>TLEMCGSL</v>
      </c>
      <c r="AJ3" s="19" t="str">
        <f>TechData_existing!C7</f>
        <v>TL.GSL.MC.Existing fleet</v>
      </c>
      <c r="AK3" s="19">
        <f>TechData_existing!I7</f>
        <v>8.5302862005589342E-2</v>
      </c>
    </row>
    <row r="4" spans="1:37" s="19" customFormat="1" x14ac:dyDescent="0.2">
      <c r="A4" s="14" t="s">
        <v>604</v>
      </c>
      <c r="R4" s="22" t="s">
        <v>605</v>
      </c>
      <c r="S4" s="23">
        <v>1420989</v>
      </c>
      <c r="T4" s="25">
        <f t="shared" ref="T4:T17" si="1">S4/1000000</f>
        <v>1.4209890000000001</v>
      </c>
      <c r="U4" s="23"/>
      <c r="V4" s="23">
        <v>1420989</v>
      </c>
      <c r="W4" s="23">
        <f t="shared" ref="W4:W12" si="2">V4*0.264172</f>
        <v>375385.506108</v>
      </c>
      <c r="X4" s="210">
        <v>3.2332820000000001E-3</v>
      </c>
      <c r="Y4" s="23">
        <f>S4*X4</f>
        <v>4594.4581558979999</v>
      </c>
      <c r="Z4" s="22">
        <f>AA4/W4</f>
        <v>7.6051499387595955E-3</v>
      </c>
      <c r="AA4" s="23">
        <f>Y4*0.621371</f>
        <v>2854.8630587884959</v>
      </c>
      <c r="AB4" s="209"/>
      <c r="AC4" s="24" t="s">
        <v>606</v>
      </c>
      <c r="AD4" s="15"/>
      <c r="AF4" s="19" t="s">
        <v>603</v>
      </c>
      <c r="AG4" s="19">
        <f>ResidDataAndCalcs!O86</f>
        <v>0.46605378068743653</v>
      </c>
      <c r="AH4" s="19">
        <f t="shared" ref="AH4:AH6" si="3">AG4/SUM($AG$3:$AG$6)</f>
        <v>0.5293893855811298</v>
      </c>
      <c r="AI4" s="19" t="str">
        <f>TechData_existing!B8</f>
        <v>TLECGSL</v>
      </c>
      <c r="AJ4" s="19" t="str">
        <f>TechData_existing!C8</f>
        <v>TL.GSL.C.Existing fleet</v>
      </c>
      <c r="AK4" s="19">
        <f>TechData_existing!I8</f>
        <v>0.10517028551941651</v>
      </c>
    </row>
    <row r="5" spans="1:37" s="19" customFormat="1" x14ac:dyDescent="0.2">
      <c r="A5" s="14"/>
      <c r="R5" s="22" t="s">
        <v>607</v>
      </c>
      <c r="S5" s="23">
        <v>195751</v>
      </c>
      <c r="T5" s="25">
        <f t="shared" si="1"/>
        <v>0.19575100000000001</v>
      </c>
      <c r="U5" s="22"/>
      <c r="V5" s="23">
        <v>5064028</v>
      </c>
      <c r="W5" s="23">
        <f t="shared" si="2"/>
        <v>1337774.404816</v>
      </c>
      <c r="X5" s="25">
        <f>Y5/V5</f>
        <v>17.005702659199997</v>
      </c>
      <c r="Y5" s="23">
        <f>1.60934*AA5</f>
        <v>86117354.425863251</v>
      </c>
      <c r="Z5" s="211">
        <v>40</v>
      </c>
      <c r="AA5" s="23">
        <f>W5*Z5</f>
        <v>53510976.192639999</v>
      </c>
      <c r="AB5" s="209"/>
      <c r="AC5" s="24" t="s">
        <v>608</v>
      </c>
      <c r="AD5" s="15"/>
      <c r="AF5" s="19" t="s">
        <v>603</v>
      </c>
      <c r="AG5" s="19">
        <f>ResidDataAndCalcs!P86/2</f>
        <v>0.19333779727044395</v>
      </c>
      <c r="AH5" s="19">
        <f t="shared" si="3"/>
        <v>0.21961194597679284</v>
      </c>
      <c r="AI5" s="19" t="str">
        <f>TechData_existing!B9</f>
        <v>TLEFDSL</v>
      </c>
      <c r="AJ5" s="19" t="str">
        <f>TechData_existing!C9</f>
        <v>TL.DSL.F.Existing fleet</v>
      </c>
      <c r="AK5" s="19">
        <f>TechData_existing!I9</f>
        <v>0.10118524998902675</v>
      </c>
    </row>
    <row r="6" spans="1:37" s="19" customFormat="1" x14ac:dyDescent="0.2">
      <c r="A6" s="14"/>
      <c r="R6" s="22" t="s">
        <v>609</v>
      </c>
      <c r="S6" s="23">
        <v>12555252</v>
      </c>
      <c r="T6" s="25">
        <f t="shared" si="1"/>
        <v>12.555251999999999</v>
      </c>
      <c r="U6" s="22"/>
      <c r="V6" s="23">
        <v>326200350</v>
      </c>
      <c r="W6" s="23">
        <f t="shared" si="2"/>
        <v>86172998.860200003</v>
      </c>
      <c r="X6" s="25">
        <v>3.65</v>
      </c>
      <c r="Y6" s="23">
        <f t="shared" ref="Y6:Y13" si="4">V6*X6</f>
        <v>1190631277.5</v>
      </c>
      <c r="Z6" s="211">
        <f t="shared" ref="Z6:Z11" si="5">AA6/W6</f>
        <v>8.5853313371591238</v>
      </c>
      <c r="AA6" s="23">
        <f t="shared" ref="AA6:AA13" si="6">Y6*0.621371</f>
        <v>739823747.53145254</v>
      </c>
      <c r="AB6" s="209"/>
      <c r="AC6" s="24" t="s">
        <v>606</v>
      </c>
      <c r="AD6" s="15"/>
      <c r="AF6" s="19" t="s">
        <v>603</v>
      </c>
      <c r="AG6" s="19">
        <f>AG5</f>
        <v>0.19333779727044395</v>
      </c>
      <c r="AH6" s="19">
        <f t="shared" si="3"/>
        <v>0.21961194597679284</v>
      </c>
      <c r="AI6" s="19" t="str">
        <f>TechData_existing!B10</f>
        <v>TLEFGSL</v>
      </c>
      <c r="AJ6" s="19" t="str">
        <f>TechData_existing!C10</f>
        <v>TL.GSL.F.Existing fleet</v>
      </c>
      <c r="AK6" s="19">
        <f>TechData_existing!I10</f>
        <v>9.1482554784599546E-2</v>
      </c>
    </row>
    <row r="7" spans="1:37" s="19" customFormat="1" x14ac:dyDescent="0.2">
      <c r="A7" s="14" t="s">
        <v>610</v>
      </c>
      <c r="R7" s="22" t="s">
        <v>611</v>
      </c>
      <c r="S7" s="23">
        <v>1356142</v>
      </c>
      <c r="T7" s="25">
        <f t="shared" si="1"/>
        <v>1.356142</v>
      </c>
      <c r="U7" s="22"/>
      <c r="V7" s="23">
        <v>35234181</v>
      </c>
      <c r="W7" s="23">
        <f t="shared" si="2"/>
        <v>9307884.0631320011</v>
      </c>
      <c r="X7" s="25">
        <v>4.38</v>
      </c>
      <c r="Y7" s="23">
        <f t="shared" si="4"/>
        <v>154325712.78</v>
      </c>
      <c r="Z7" s="211">
        <f t="shared" si="5"/>
        <v>10.302397604590947</v>
      </c>
      <c r="AA7" s="23">
        <f t="shared" si="6"/>
        <v>95893522.475821376</v>
      </c>
      <c r="AB7" s="209">
        <f>S7*AD7/1000000</f>
        <v>0.10683231608698855</v>
      </c>
      <c r="AC7" s="24" t="s">
        <v>606</v>
      </c>
      <c r="AD7" s="15">
        <f>AK11</f>
        <v>7.8776644397849593E-2</v>
      </c>
      <c r="AF7" s="19" t="s">
        <v>612</v>
      </c>
      <c r="AG7" s="19">
        <f>ResidDataAndCalcs!Q86</f>
        <v>1.8764479066224755E-2</v>
      </c>
      <c r="AH7" s="19">
        <f>AG7/SUM($AG$7:$AG$11)</f>
        <v>0.15684252262676129</v>
      </c>
      <c r="AI7" s="19" t="str">
        <f>TechData_existing!B11</f>
        <v>TLESSGSL</v>
      </c>
      <c r="AJ7" s="19" t="str">
        <f>TechData_existing!C11</f>
        <v>TL.GSL.SS.Existing fleet</v>
      </c>
      <c r="AK7" s="19">
        <f>TechData_existing!I11</f>
        <v>8.3859008552549574E-2</v>
      </c>
    </row>
    <row r="8" spans="1:37" x14ac:dyDescent="0.2">
      <c r="R8" s="22" t="s">
        <v>613</v>
      </c>
      <c r="S8" s="23">
        <v>290413</v>
      </c>
      <c r="T8" s="25">
        <f t="shared" si="1"/>
        <v>0.29041299999999998</v>
      </c>
      <c r="U8" s="22"/>
      <c r="V8" s="23">
        <v>7545275</v>
      </c>
      <c r="W8" s="23">
        <f t="shared" si="2"/>
        <v>1993250.3873000001</v>
      </c>
      <c r="X8" s="25">
        <v>5.38</v>
      </c>
      <c r="Y8" s="23">
        <f t="shared" si="4"/>
        <v>40593579.5</v>
      </c>
      <c r="Z8" s="211">
        <f t="shared" si="5"/>
        <v>12.654543176415366</v>
      </c>
      <c r="AA8" s="23">
        <f>Y8*0.621371</f>
        <v>25223673.0874945</v>
      </c>
      <c r="AB8" s="209"/>
      <c r="AC8" s="24" t="s">
        <v>606</v>
      </c>
      <c r="AF8" s="19" t="s">
        <v>612</v>
      </c>
      <c r="AG8" s="19">
        <f>ResidDataAndCalcs!R86</f>
        <v>1.5986613919485339E-2</v>
      </c>
      <c r="AH8" s="19">
        <f t="shared" ref="AH8:AH11" si="7">AG8/SUM($AG$7:$AG$11)</f>
        <v>0.13362379240814379</v>
      </c>
      <c r="AI8" s="19" t="str">
        <f>TechData_existing!B12</f>
        <v>TLELSGSL</v>
      </c>
      <c r="AJ8" s="19" t="str">
        <f>TechData_existing!C12</f>
        <v>TL.GSL.LS.Existing fleet</v>
      </c>
      <c r="AK8" s="19">
        <f>TechData_existing!I12</f>
        <v>7.0055769541489413E-2</v>
      </c>
    </row>
    <row r="9" spans="1:37" x14ac:dyDescent="0.2">
      <c r="R9" s="22" t="s">
        <v>614</v>
      </c>
      <c r="S9" s="23">
        <v>545254</v>
      </c>
      <c r="T9" s="25">
        <f t="shared" si="1"/>
        <v>0.54525400000000002</v>
      </c>
      <c r="U9" s="22"/>
      <c r="V9" s="23">
        <v>14166357</v>
      </c>
      <c r="W9" s="23">
        <f t="shared" si="2"/>
        <v>3742354.8614040003</v>
      </c>
      <c r="X9" s="25">
        <v>6.73</v>
      </c>
      <c r="Y9" s="23">
        <f t="shared" si="4"/>
        <v>95339582.609999999</v>
      </c>
      <c r="Z9" s="211">
        <f t="shared" si="5"/>
        <v>15.829939698378329</v>
      </c>
      <c r="AA9" s="23">
        <f t="shared" si="6"/>
        <v>59241251.785958312</v>
      </c>
      <c r="AB9" s="209">
        <f>S9*AD9/1000000</f>
        <v>5.5171662297516792E-2</v>
      </c>
      <c r="AC9" s="24" t="s">
        <v>606</v>
      </c>
      <c r="AD9" s="15">
        <f>AK5</f>
        <v>0.10118524998902675</v>
      </c>
      <c r="AF9" s="19" t="s">
        <v>612</v>
      </c>
      <c r="AG9" s="19">
        <f>ResidDataAndCalcs!S86</f>
        <v>1.1583697661903362E-2</v>
      </c>
      <c r="AH9" s="19">
        <f t="shared" si="7"/>
        <v>9.6822105011635004E-2</v>
      </c>
      <c r="AI9" s="19" t="str">
        <f>TechData_existing!B13</f>
        <v>TLEMGSL</v>
      </c>
      <c r="AJ9" s="19" t="str">
        <f>TechData_existing!C13</f>
        <v>TL.GSL.M.Existing Fleet</v>
      </c>
      <c r="AK9" s="153">
        <f>TechData_existing!I13</f>
        <v>9.1020521679626806E-2</v>
      </c>
    </row>
    <row r="10" spans="1:37" x14ac:dyDescent="0.2">
      <c r="A10" s="14" t="s">
        <v>615</v>
      </c>
      <c r="R10" s="22" t="s">
        <v>616</v>
      </c>
      <c r="S10" s="23">
        <v>219257</v>
      </c>
      <c r="T10" s="25">
        <f t="shared" si="1"/>
        <v>0.21925700000000001</v>
      </c>
      <c r="U10" s="22"/>
      <c r="V10" s="23">
        <v>5671501</v>
      </c>
      <c r="W10" s="23">
        <f t="shared" si="2"/>
        <v>1498251.762172</v>
      </c>
      <c r="X10" s="25">
        <v>3.65</v>
      </c>
      <c r="Y10" s="23">
        <f t="shared" si="4"/>
        <v>20700978.649999999</v>
      </c>
      <c r="Z10" s="211">
        <f t="shared" si="5"/>
        <v>8.585331337159122</v>
      </c>
      <c r="AA10" s="23">
        <f t="shared" si="6"/>
        <v>12862987.804729149</v>
      </c>
      <c r="AB10" s="209"/>
      <c r="AC10" s="24" t="s">
        <v>606</v>
      </c>
      <c r="AF10" s="19" t="s">
        <v>612</v>
      </c>
      <c r="AG10" s="19">
        <f>ResidDataAndCalcs!T86/2</f>
        <v>3.6652093523865822E-2</v>
      </c>
      <c r="AH10" s="19">
        <f t="shared" si="7"/>
        <v>0.30635578997672991</v>
      </c>
      <c r="AI10" s="19" t="str">
        <f>TechData_existing!B14</f>
        <v>TLEPGSL</v>
      </c>
      <c r="AJ10" s="19" t="str">
        <f>TechData_existing!C14</f>
        <v>TL.GSL.P.Existing Fleet</v>
      </c>
      <c r="AK10" s="19">
        <f>TechData_existing!I14</f>
        <v>7.513813369618938E-2</v>
      </c>
    </row>
    <row r="11" spans="1:37" x14ac:dyDescent="0.2">
      <c r="A11" s="42"/>
      <c r="C11" s="43">
        <v>2005</v>
      </c>
      <c r="D11" s="43">
        <v>2010</v>
      </c>
      <c r="E11" s="43">
        <v>2015</v>
      </c>
      <c r="F11" s="43">
        <v>2020</v>
      </c>
      <c r="G11" s="43">
        <v>2025</v>
      </c>
      <c r="H11" s="43">
        <v>2030</v>
      </c>
      <c r="I11" s="43">
        <v>2035</v>
      </c>
      <c r="J11" s="43">
        <v>2040</v>
      </c>
      <c r="K11" s="43">
        <v>2045</v>
      </c>
      <c r="L11" s="43">
        <v>2050</v>
      </c>
      <c r="M11" s="43">
        <v>2055</v>
      </c>
      <c r="R11" s="22" t="s">
        <v>617</v>
      </c>
      <c r="S11" s="23">
        <v>7260325</v>
      </c>
      <c r="T11" s="25">
        <f t="shared" si="1"/>
        <v>7.2603249999999999</v>
      </c>
      <c r="U11" s="22"/>
      <c r="V11" s="23">
        <v>188631878</v>
      </c>
      <c r="W11" s="23">
        <f t="shared" si="2"/>
        <v>49831260.475016005</v>
      </c>
      <c r="X11" s="25">
        <v>5.38</v>
      </c>
      <c r="Y11" s="23">
        <f t="shared" si="4"/>
        <v>1014839503.64</v>
      </c>
      <c r="Z11" s="211">
        <f t="shared" si="5"/>
        <v>12.654543176415364</v>
      </c>
      <c r="AA11" s="23">
        <f t="shared" si="6"/>
        <v>630591837.21629047</v>
      </c>
      <c r="AB11" s="209"/>
      <c r="AC11" s="24" t="s">
        <v>606</v>
      </c>
      <c r="AF11" s="19" t="s">
        <v>612</v>
      </c>
      <c r="AG11" s="19">
        <f>AG10</f>
        <v>3.6652093523865822E-2</v>
      </c>
      <c r="AH11" s="19">
        <f t="shared" si="7"/>
        <v>0.30635578997672991</v>
      </c>
      <c r="AI11" s="19" t="str">
        <f>TechData_existing!B15</f>
        <v>TLEPDSL</v>
      </c>
      <c r="AJ11" s="19" t="str">
        <f>TechData_existing!C15</f>
        <v>TL.DSL.P.Existing fleet</v>
      </c>
      <c r="AK11" s="19">
        <f>TechData_existing!I15</f>
        <v>7.8776644397849593E-2</v>
      </c>
    </row>
    <row r="12" spans="1:37" x14ac:dyDescent="0.2">
      <c r="A12" s="41" t="s">
        <v>618</v>
      </c>
      <c r="C12" s="26">
        <f>'Population NYC'!D15/1000000</f>
        <v>8.1751330000000006</v>
      </c>
      <c r="D12" s="26">
        <f>'Population NYC'!E15/1000000</f>
        <v>8.1751330000000006</v>
      </c>
      <c r="E12" s="26">
        <f>'Population NYC'!F15/1000000</f>
        <v>8.4910789999999992</v>
      </c>
      <c r="F12" s="26">
        <f>'Population NYC'!G15/1000000</f>
        <v>8.5509710000000005</v>
      </c>
      <c r="G12" s="26">
        <f>'Population NYC'!H15/1000000</f>
        <v>8.6859990000000007</v>
      </c>
      <c r="H12" s="26">
        <f>'Population NYC'!I15/1000000</f>
        <v>8.8210270000000008</v>
      </c>
      <c r="I12" s="26">
        <f>'Population NYC'!J15/1000000</f>
        <v>8.9230859999999996</v>
      </c>
      <c r="J12" s="26">
        <f>'Population NYC'!K15/1000000</f>
        <v>9.0251450000000002</v>
      </c>
      <c r="K12" s="26">
        <f>'Population NYC'!L15/1000000</f>
        <v>9.1758836983328855</v>
      </c>
      <c r="L12" s="26">
        <f>'Population NYC'!M15/1000000</f>
        <v>9.3293475443459588</v>
      </c>
      <c r="M12" s="26">
        <f>'Population NYC'!N15/1000000</f>
        <v>9.4855889541512326</v>
      </c>
      <c r="N12" s="26"/>
      <c r="R12" s="22" t="s">
        <v>619</v>
      </c>
      <c r="S12" s="23">
        <v>0</v>
      </c>
      <c r="T12" s="25">
        <f t="shared" si="1"/>
        <v>0</v>
      </c>
      <c r="U12" s="22">
        <v>3.866E-2</v>
      </c>
      <c r="V12" s="23">
        <f t="shared" si="0"/>
        <v>0</v>
      </c>
      <c r="W12" s="23">
        <f t="shared" si="2"/>
        <v>0</v>
      </c>
      <c r="X12" s="25">
        <v>2</v>
      </c>
      <c r="Y12" s="23">
        <f t="shared" si="4"/>
        <v>0</v>
      </c>
      <c r="Z12" s="211"/>
      <c r="AA12" s="23">
        <f t="shared" si="6"/>
        <v>0</v>
      </c>
      <c r="AB12" s="209"/>
      <c r="AC12" s="22"/>
      <c r="AI12" s="19"/>
      <c r="AJ12" s="19"/>
    </row>
    <row r="13" spans="1:37" x14ac:dyDescent="0.2">
      <c r="A13" s="41" t="s">
        <v>620</v>
      </c>
      <c r="C13" s="371">
        <f>AB19</f>
        <v>19.661796696217401</v>
      </c>
      <c r="D13" s="26">
        <f>C13</f>
        <v>19.661796696217401</v>
      </c>
      <c r="E13" s="26">
        <f>D13*'AEO14 DMD'!E32/'AEO14 DMD'!D32</f>
        <v>20.068306255911448</v>
      </c>
      <c r="F13" s="26">
        <f>E13*'AEO14 DMD'!F32/'AEO14 DMD'!E32</f>
        <v>21.057217696119466</v>
      </c>
      <c r="G13" s="26">
        <f>F13*'AEO14 DMD'!G32/'AEO14 DMD'!F32</f>
        <v>21.9900860211071</v>
      </c>
      <c r="H13" s="26">
        <f>G13*'AEO14 DMD'!H32/'AEO14 DMD'!G32</f>
        <v>23.17928049206408</v>
      </c>
      <c r="I13" s="26">
        <f>H13*'AEO14 DMD'!I32/'AEO14 DMD'!H32</f>
        <v>24.39424155555287</v>
      </c>
      <c r="J13" s="26">
        <f>I13*'AEO14 DMD'!J32/'AEO14 DMD'!I32</f>
        <v>24.603291967578379</v>
      </c>
      <c r="K13" s="26">
        <f>J13*'AEO14 DMD'!K32/'AEO14 DMD'!J32</f>
        <v>26.156676268843139</v>
      </c>
      <c r="L13" s="26">
        <f>K13*'AEO14 DMD'!L32/'AEO14 DMD'!K32</f>
        <v>27.037893625488298</v>
      </c>
      <c r="M13" s="26">
        <f>L13*'AEO14 DMD'!M32/'AEO14 DMD'!L32</f>
        <v>27.919110982133414</v>
      </c>
      <c r="N13" s="26"/>
      <c r="R13" s="22" t="s">
        <v>621</v>
      </c>
      <c r="S13" s="22">
        <v>0</v>
      </c>
      <c r="T13" s="25">
        <f t="shared" si="1"/>
        <v>0</v>
      </c>
      <c r="U13" s="22"/>
      <c r="V13" s="22"/>
      <c r="W13" s="22"/>
      <c r="X13" s="25">
        <v>2</v>
      </c>
      <c r="Y13" s="23">
        <f t="shared" si="4"/>
        <v>0</v>
      </c>
      <c r="Z13" s="211"/>
      <c r="AA13" s="23">
        <f t="shared" si="6"/>
        <v>0</v>
      </c>
      <c r="AB13" s="209"/>
      <c r="AC13" s="22"/>
      <c r="AI13" s="19"/>
      <c r="AJ13" s="19"/>
    </row>
    <row r="14" spans="1:37" x14ac:dyDescent="0.2">
      <c r="A14" s="41" t="s">
        <v>622</v>
      </c>
      <c r="C14" s="26">
        <f>C13/C12</f>
        <v>2.4050736172998528</v>
      </c>
      <c r="D14" s="26">
        <f>D13/D12</f>
        <v>2.4050736172998528</v>
      </c>
      <c r="E14" s="26">
        <f>D14*'AEO14 DMD'!E34/'AEO14 DMD'!D34</f>
        <v>2.3511439162375667</v>
      </c>
      <c r="F14" s="26">
        <f>E14*'AEO14 DMD'!F34/'AEO14 DMD'!E34</f>
        <v>2.3670521816755352</v>
      </c>
      <c r="G14" s="26">
        <f>F14*'AEO14 DMD'!G34/'AEO14 DMD'!F34</f>
        <v>2.3756670663515433</v>
      </c>
      <c r="H14" s="26">
        <f>G14*'AEO14 DMD'!H34/'AEO14 DMD'!G34</f>
        <v>2.4102902103663788</v>
      </c>
      <c r="I14" s="26">
        <f>H14*'AEO14 DMD'!I34/'AEO14 DMD'!H34</f>
        <v>2.4449944450233598</v>
      </c>
      <c r="J14" s="26">
        <f>I14*'AEO14 DMD'!J34/'AEO14 DMD'!I34</f>
        <v>2.4449944450233598</v>
      </c>
      <c r="K14" s="26">
        <f>J14*'AEO14 DMD'!K34/'AEO14 DMD'!J34</f>
        <v>2.4449944450233598</v>
      </c>
      <c r="L14" s="26">
        <f>K14*'AEO14 DMD'!L34/'AEO14 DMD'!K34</f>
        <v>2.4449944450233598</v>
      </c>
      <c r="M14" s="26">
        <f>L14*'AEO14 DMD'!M34/'AEO14 DMD'!L34</f>
        <v>2.4449944450233598</v>
      </c>
      <c r="N14" s="26"/>
      <c r="R14" s="22" t="s">
        <v>623</v>
      </c>
      <c r="S14" s="23">
        <v>25432916</v>
      </c>
      <c r="T14" s="25">
        <f t="shared" si="1"/>
        <v>25.432915999999999</v>
      </c>
      <c r="U14" s="23">
        <v>1</v>
      </c>
      <c r="V14" s="23"/>
      <c r="W14" s="23"/>
      <c r="X14" s="25">
        <f>Y14/S14</f>
        <v>22.717017584613576</v>
      </c>
      <c r="Y14" s="23">
        <f>AA14*1.6</f>
        <v>577760000</v>
      </c>
      <c r="Z14" s="22"/>
      <c r="AA14" s="23">
        <v>361100000</v>
      </c>
      <c r="AB14" s="209"/>
      <c r="AC14" s="24" t="s">
        <v>606</v>
      </c>
      <c r="AI14" s="19"/>
      <c r="AJ14" s="19"/>
    </row>
    <row r="15" spans="1:37" x14ac:dyDescent="0.2">
      <c r="C15" s="26"/>
      <c r="D15" s="26"/>
      <c r="E15" s="26"/>
      <c r="F15" s="26"/>
      <c r="G15" s="26"/>
      <c r="H15" s="26"/>
      <c r="I15" s="26"/>
      <c r="J15" s="26"/>
      <c r="K15" s="26"/>
      <c r="L15" s="26"/>
      <c r="M15" s="26"/>
      <c r="N15" s="26"/>
      <c r="R15" s="22" t="s">
        <v>624</v>
      </c>
      <c r="S15" s="23">
        <v>0</v>
      </c>
      <c r="T15" s="25">
        <f t="shared" si="1"/>
        <v>0</v>
      </c>
      <c r="U15" s="22">
        <v>2.342E-2</v>
      </c>
      <c r="V15" s="23">
        <v>0</v>
      </c>
      <c r="W15" s="23">
        <f>V15*0.264172</f>
        <v>0</v>
      </c>
      <c r="X15" s="25">
        <v>6.58</v>
      </c>
      <c r="Y15" s="23">
        <f>V15*X15</f>
        <v>0</v>
      </c>
      <c r="Z15" s="211"/>
      <c r="AA15" s="23">
        <f>Y15*0.621371</f>
        <v>0</v>
      </c>
      <c r="AB15" s="209"/>
      <c r="AC15" s="24" t="s">
        <v>606</v>
      </c>
      <c r="AI15" s="19"/>
      <c r="AJ15" s="19"/>
    </row>
    <row r="16" spans="1:37" ht="20.25" customHeight="1" x14ac:dyDescent="0.2">
      <c r="A16" s="354" t="s">
        <v>3259</v>
      </c>
      <c r="B16" s="351"/>
      <c r="C16" s="352"/>
      <c r="D16" s="352"/>
      <c r="E16" s="352"/>
      <c r="F16" s="352"/>
      <c r="G16" s="352"/>
      <c r="H16" s="352"/>
      <c r="I16" s="352"/>
      <c r="J16" s="352"/>
      <c r="K16" s="352"/>
      <c r="L16" s="352"/>
      <c r="M16" s="352"/>
      <c r="N16" s="352"/>
      <c r="R16" s="22" t="s">
        <v>625</v>
      </c>
      <c r="S16" s="23">
        <v>14846296</v>
      </c>
      <c r="T16" s="25">
        <f t="shared" si="1"/>
        <v>14.846296000000001</v>
      </c>
      <c r="U16" s="210">
        <v>3.4840000000000003E-2</v>
      </c>
      <c r="V16" s="23">
        <f>S16*U16</f>
        <v>517244.95264000003</v>
      </c>
      <c r="W16" s="23">
        <f>V16*0.264172</f>
        <v>136641.6336288141</v>
      </c>
      <c r="X16" s="25">
        <v>6.21</v>
      </c>
      <c r="Y16" s="23">
        <f>V16*X16</f>
        <v>3212091.1558944001</v>
      </c>
      <c r="Z16" s="211">
        <f>AA16/W16</f>
        <v>14.606824001029631</v>
      </c>
      <c r="AA16" s="23">
        <f>Y16*0.621371</f>
        <v>1995900.2936292593</v>
      </c>
      <c r="AB16" s="209">
        <f>S16*AD16/1000000</f>
        <v>2.4941777279999999</v>
      </c>
      <c r="AC16" s="24" t="s">
        <v>606</v>
      </c>
      <c r="AD16" s="15">
        <v>0.16800000000000001</v>
      </c>
      <c r="AI16" s="19"/>
      <c r="AJ16" s="19"/>
    </row>
    <row r="17" spans="1:36" x14ac:dyDescent="0.2">
      <c r="A17" s="354"/>
      <c r="B17" s="351"/>
      <c r="C17" s="355">
        <v>2005</v>
      </c>
      <c r="D17" s="355">
        <v>2010</v>
      </c>
      <c r="E17" s="355">
        <v>2015</v>
      </c>
      <c r="F17" s="355">
        <v>2020</v>
      </c>
      <c r="G17" s="355">
        <v>2025</v>
      </c>
      <c r="H17" s="355">
        <v>2030</v>
      </c>
      <c r="I17" s="355">
        <v>2035</v>
      </c>
      <c r="J17" s="355">
        <v>2040</v>
      </c>
      <c r="K17" s="355">
        <v>2045</v>
      </c>
      <c r="L17" s="355">
        <v>2050</v>
      </c>
      <c r="M17" s="355">
        <v>2055</v>
      </c>
      <c r="N17" s="356"/>
      <c r="R17" s="22" t="s">
        <v>626</v>
      </c>
      <c r="S17" s="23">
        <v>122351394</v>
      </c>
      <c r="T17" s="25">
        <f t="shared" si="1"/>
        <v>122.351394</v>
      </c>
      <c r="U17" s="210">
        <v>3.4840000000000003E-2</v>
      </c>
      <c r="V17" s="23">
        <v>3629210490</v>
      </c>
      <c r="W17" s="23">
        <f>V17*0.264172</f>
        <v>958735793.56428003</v>
      </c>
      <c r="X17" s="25">
        <v>8.7200000000000006</v>
      </c>
      <c r="Y17" s="23">
        <f>V17*X17</f>
        <v>31646715472.800003</v>
      </c>
      <c r="Z17" s="211">
        <f>AA17/W17</f>
        <v>20.510709386308921</v>
      </c>
      <c r="AA17" s="23">
        <f>Y17*0.621371</f>
        <v>19664351240.04921</v>
      </c>
      <c r="AB17" s="209">
        <f>S17*AD17/1000000</f>
        <v>21.289142555999998</v>
      </c>
      <c r="AC17" s="24" t="s">
        <v>606</v>
      </c>
      <c r="AD17" s="15">
        <v>0.17399999999999999</v>
      </c>
      <c r="AI17" s="19"/>
      <c r="AJ17" s="19"/>
    </row>
    <row r="18" spans="1:36" x14ac:dyDescent="0.2">
      <c r="A18" s="354" t="s">
        <v>658</v>
      </c>
      <c r="B18" s="351"/>
      <c r="C18" s="352"/>
      <c r="D18" s="357"/>
      <c r="E18" s="357"/>
      <c r="F18" s="357"/>
      <c r="G18" s="357"/>
      <c r="H18" s="357"/>
      <c r="I18" s="357"/>
      <c r="J18" s="357"/>
      <c r="K18" s="357"/>
      <c r="L18" s="357"/>
      <c r="M18" s="352"/>
      <c r="N18" s="356"/>
      <c r="T18" s="166"/>
      <c r="AB18" s="39"/>
      <c r="AE18" s="152"/>
      <c r="AF18" s="152" t="s">
        <v>627</v>
      </c>
      <c r="AG18" s="152">
        <f>(T7+T9)/(T7+T9+T16+T17)</f>
        <v>1.3669363722490601E-2</v>
      </c>
    </row>
    <row r="19" spans="1:36" x14ac:dyDescent="0.2">
      <c r="A19" s="354" t="s">
        <v>393</v>
      </c>
      <c r="B19" s="351"/>
      <c r="C19" s="352">
        <f>D19</f>
        <v>4348625601.4159985</v>
      </c>
      <c r="D19" s="357">
        <v>4348625601.4159985</v>
      </c>
      <c r="E19" s="357">
        <v>4534571990.4915924</v>
      </c>
      <c r="F19" s="357">
        <v>4708454050.1496382</v>
      </c>
      <c r="G19" s="357">
        <v>7981932785</v>
      </c>
      <c r="H19" s="357">
        <v>8175354315</v>
      </c>
      <c r="I19" s="357">
        <v>8368775845</v>
      </c>
      <c r="J19" s="357">
        <v>8545567975</v>
      </c>
      <c r="K19" s="357">
        <v>8722360105</v>
      </c>
      <c r="L19" s="357">
        <v>8480175670</v>
      </c>
      <c r="M19" s="352"/>
      <c r="N19" s="358"/>
      <c r="R19" s="20" t="s">
        <v>628</v>
      </c>
      <c r="S19" s="21" t="s">
        <v>629</v>
      </c>
      <c r="T19" s="21"/>
      <c r="U19" s="21" t="s">
        <v>594</v>
      </c>
      <c r="V19" s="21" t="s">
        <v>630</v>
      </c>
      <c r="W19" s="21" t="s">
        <v>631</v>
      </c>
      <c r="X19" s="21" t="s">
        <v>632</v>
      </c>
      <c r="Y19" s="21" t="s">
        <v>633</v>
      </c>
      <c r="Z19" s="22" t="s">
        <v>634</v>
      </c>
      <c r="AB19" s="212">
        <f>ResidDataAndCalcs!R33+'GHG Reports'!C103</f>
        <v>19.661796696217401</v>
      </c>
    </row>
    <row r="20" spans="1:36" x14ac:dyDescent="0.2">
      <c r="A20" s="354" t="s">
        <v>395</v>
      </c>
      <c r="B20" s="351"/>
      <c r="C20" s="352">
        <f t="shared" ref="C20:C23" si="8">D20</f>
        <v>3009900400.2524691</v>
      </c>
      <c r="D20" s="357">
        <v>3009900400.2524691</v>
      </c>
      <c r="E20" s="357">
        <v>3087378307.2096314</v>
      </c>
      <c r="F20" s="357">
        <v>3229485899.0055914</v>
      </c>
      <c r="G20" s="357">
        <v>3137744765</v>
      </c>
      <c r="H20" s="357">
        <v>3204244480</v>
      </c>
      <c r="I20" s="357">
        <v>3270744195</v>
      </c>
      <c r="J20" s="357">
        <v>3316563557.5</v>
      </c>
      <c r="K20" s="357">
        <v>3362382920</v>
      </c>
      <c r="L20" s="357">
        <v>3445751840</v>
      </c>
      <c r="M20" s="352"/>
      <c r="N20" s="358"/>
      <c r="R20" s="22" t="s">
        <v>635</v>
      </c>
      <c r="S20" s="23">
        <f t="shared" ref="S20:S34" si="9">Y3</f>
        <v>0</v>
      </c>
      <c r="T20" s="23"/>
      <c r="U20" s="27" t="e">
        <f t="shared" ref="U20:U34" si="10">S20/V3</f>
        <v>#DIV/0!</v>
      </c>
      <c r="V20" s="23">
        <f t="shared" ref="V20:V34" si="11">0.264172*S3</f>
        <v>0</v>
      </c>
      <c r="W20" s="27">
        <f>0.264172*S3</f>
        <v>0</v>
      </c>
      <c r="X20" s="23">
        <f>V20*W20</f>
        <v>0</v>
      </c>
      <c r="Y20" s="27">
        <f t="shared" ref="Y20:Y34" si="12">X20/9000000</f>
        <v>0</v>
      </c>
      <c r="Z20" s="28" t="s">
        <v>636</v>
      </c>
    </row>
    <row r="21" spans="1:36" x14ac:dyDescent="0.2">
      <c r="A21" s="354" t="s">
        <v>3258</v>
      </c>
      <c r="B21" s="351"/>
      <c r="C21" s="352">
        <f t="shared" si="8"/>
        <v>3106852176.8686237</v>
      </c>
      <c r="D21" s="357">
        <v>3106852176.8686237</v>
      </c>
      <c r="E21" s="357">
        <v>3084857689.1701069</v>
      </c>
      <c r="F21" s="357">
        <v>3142698837.3672504</v>
      </c>
      <c r="G21" s="357">
        <v>3564802430</v>
      </c>
      <c r="H21" s="357">
        <v>3630498962.5</v>
      </c>
      <c r="I21" s="357">
        <v>3696195495</v>
      </c>
      <c r="J21" s="357">
        <v>3757488850</v>
      </c>
      <c r="K21" s="357">
        <v>3818782205</v>
      </c>
      <c r="L21" s="357">
        <v>3874745100</v>
      </c>
      <c r="M21" s="352"/>
      <c r="N21" s="358"/>
      <c r="R21" s="22" t="s">
        <v>637</v>
      </c>
      <c r="S21" s="23">
        <f t="shared" si="9"/>
        <v>4594.4581558979999</v>
      </c>
      <c r="T21" s="23"/>
      <c r="U21" s="27">
        <f t="shared" si="10"/>
        <v>3.2332820000000001E-3</v>
      </c>
      <c r="V21" s="23">
        <f t="shared" si="11"/>
        <v>375385.506108</v>
      </c>
      <c r="W21" s="27">
        <v>50</v>
      </c>
      <c r="X21" s="23">
        <f t="shared" ref="X21:X34" si="13">V21*W21</f>
        <v>18769275.305399999</v>
      </c>
      <c r="Y21" s="27">
        <f t="shared" si="12"/>
        <v>2.0854750339333332</v>
      </c>
      <c r="Z21" s="28" t="s">
        <v>638</v>
      </c>
    </row>
    <row r="22" spans="1:36" x14ac:dyDescent="0.2">
      <c r="A22" s="354" t="s">
        <v>399</v>
      </c>
      <c r="B22" s="351"/>
      <c r="C22" s="352">
        <f t="shared" si="8"/>
        <v>2030248628.4894297</v>
      </c>
      <c r="D22" s="357">
        <v>2030248628.4894297</v>
      </c>
      <c r="E22" s="357">
        <v>2079644978.9445803</v>
      </c>
      <c r="F22" s="357">
        <v>2143016121.5186148</v>
      </c>
      <c r="G22" s="357">
        <v>2184424990</v>
      </c>
      <c r="H22" s="357">
        <v>2236773655</v>
      </c>
      <c r="I22" s="357">
        <v>2289122320</v>
      </c>
      <c r="J22" s="357">
        <v>2330041375</v>
      </c>
      <c r="K22" s="357">
        <v>2370960430</v>
      </c>
      <c r="L22" s="357">
        <v>2405403290</v>
      </c>
      <c r="M22" s="352"/>
      <c r="N22" s="358"/>
      <c r="O22" s="30"/>
      <c r="P22" s="30"/>
      <c r="Q22" s="31"/>
      <c r="R22" s="22" t="s">
        <v>639</v>
      </c>
      <c r="S22" s="23">
        <f t="shared" si="9"/>
        <v>86117354.425863251</v>
      </c>
      <c r="T22" s="23"/>
      <c r="U22" s="27">
        <f t="shared" si="10"/>
        <v>17.005702659199997</v>
      </c>
      <c r="V22" s="23">
        <f t="shared" si="11"/>
        <v>51711.933172000005</v>
      </c>
      <c r="W22" s="27">
        <v>0.5</v>
      </c>
      <c r="X22" s="23">
        <f t="shared" si="13"/>
        <v>25855.966586000002</v>
      </c>
      <c r="Y22" s="27">
        <f t="shared" si="12"/>
        <v>2.8728851762222225E-3</v>
      </c>
      <c r="Z22" s="28" t="s">
        <v>640</v>
      </c>
    </row>
    <row r="23" spans="1:36" x14ac:dyDescent="0.2">
      <c r="A23" s="354" t="s">
        <v>401</v>
      </c>
      <c r="B23" s="351"/>
      <c r="C23" s="352">
        <f t="shared" si="8"/>
        <v>7161406361.4934797</v>
      </c>
      <c r="D23" s="357">
        <v>7161406361.4934797</v>
      </c>
      <c r="E23" s="357">
        <v>6876435355.9140902</v>
      </c>
      <c r="F23" s="357">
        <v>6918267182.3789101</v>
      </c>
      <c r="G23" s="357">
        <v>4712675235</v>
      </c>
      <c r="H23" s="357">
        <v>4836534335</v>
      </c>
      <c r="I23" s="357">
        <v>4960393435</v>
      </c>
      <c r="J23" s="357">
        <v>5065679510</v>
      </c>
      <c r="K23" s="357">
        <v>5170965585</v>
      </c>
      <c r="L23" s="357">
        <v>5161858105</v>
      </c>
      <c r="M23" s="352"/>
      <c r="N23" s="358"/>
      <c r="O23" s="30"/>
      <c r="P23" s="30"/>
      <c r="Q23" s="31"/>
      <c r="R23" s="22" t="s">
        <v>641</v>
      </c>
      <c r="S23" s="23">
        <f t="shared" si="9"/>
        <v>1190631277.5</v>
      </c>
      <c r="T23" s="23"/>
      <c r="U23" s="27">
        <f t="shared" si="10"/>
        <v>3.65</v>
      </c>
      <c r="V23" s="23">
        <f t="shared" si="11"/>
        <v>3316746.0313440003</v>
      </c>
      <c r="W23" s="27">
        <v>5</v>
      </c>
      <c r="X23" s="23">
        <f t="shared" si="13"/>
        <v>16583730.156720001</v>
      </c>
      <c r="Y23" s="27">
        <f t="shared" si="12"/>
        <v>1.8426366840800001</v>
      </c>
    </row>
    <row r="24" spans="1:36" x14ac:dyDescent="0.2">
      <c r="A24" s="354"/>
      <c r="B24" s="351"/>
      <c r="C24" s="352"/>
      <c r="D24" s="352"/>
      <c r="E24" s="352"/>
      <c r="F24" s="352"/>
      <c r="G24" s="352"/>
      <c r="H24" s="352"/>
      <c r="I24" s="352"/>
      <c r="J24" s="352"/>
      <c r="K24" s="352"/>
      <c r="L24" s="352"/>
      <c r="M24" s="352"/>
      <c r="N24" s="358"/>
      <c r="O24" s="30"/>
      <c r="P24" s="30"/>
      <c r="Q24" s="31"/>
      <c r="R24" s="22" t="s">
        <v>642</v>
      </c>
      <c r="S24" s="23">
        <f t="shared" si="9"/>
        <v>154325712.78</v>
      </c>
      <c r="T24" s="23"/>
      <c r="U24" s="27">
        <f t="shared" si="10"/>
        <v>4.38</v>
      </c>
      <c r="V24" s="23">
        <f t="shared" si="11"/>
        <v>358254.74442400003</v>
      </c>
      <c r="W24" s="27">
        <v>15</v>
      </c>
      <c r="X24" s="23">
        <f t="shared" si="13"/>
        <v>5373821.1663600001</v>
      </c>
      <c r="Y24" s="27">
        <f t="shared" si="12"/>
        <v>0.59709124070666664</v>
      </c>
    </row>
    <row r="25" spans="1:36" x14ac:dyDescent="0.2">
      <c r="C25" s="26"/>
      <c r="D25" s="26"/>
      <c r="E25" s="26"/>
      <c r="F25" s="26"/>
      <c r="G25" s="26"/>
      <c r="H25" s="26"/>
      <c r="I25" s="26"/>
      <c r="J25" s="26"/>
      <c r="K25" s="26"/>
      <c r="L25" s="26"/>
      <c r="M25" s="26"/>
      <c r="N25" s="345"/>
      <c r="O25" s="30"/>
      <c r="P25" s="30"/>
      <c r="Q25" s="31"/>
      <c r="R25" s="22" t="s">
        <v>643</v>
      </c>
      <c r="S25" s="23">
        <f t="shared" si="9"/>
        <v>40593579.5</v>
      </c>
      <c r="T25" s="23"/>
      <c r="U25" s="27">
        <f t="shared" si="10"/>
        <v>5.38</v>
      </c>
      <c r="V25" s="23">
        <f t="shared" si="11"/>
        <v>76718.983036000005</v>
      </c>
      <c r="W25" s="27">
        <v>25</v>
      </c>
      <c r="X25" s="23">
        <f t="shared" si="13"/>
        <v>1917974.5759000001</v>
      </c>
      <c r="Y25" s="27">
        <f t="shared" si="12"/>
        <v>0.21310828621111111</v>
      </c>
      <c r="AB25" s="15">
        <v>30.87</v>
      </c>
    </row>
    <row r="26" spans="1:36" x14ac:dyDescent="0.2">
      <c r="C26" s="26"/>
      <c r="D26" s="26"/>
      <c r="E26" s="26"/>
      <c r="F26" s="26"/>
      <c r="G26" s="26"/>
      <c r="H26" s="26"/>
      <c r="I26" s="26"/>
      <c r="J26" s="26"/>
      <c r="K26" s="26"/>
      <c r="L26" s="26"/>
      <c r="M26" s="26"/>
      <c r="N26" s="345"/>
      <c r="O26" s="30"/>
      <c r="P26" s="30"/>
      <c r="Q26" s="31"/>
      <c r="R26" s="22" t="s">
        <v>644</v>
      </c>
      <c r="S26" s="23">
        <f t="shared" si="9"/>
        <v>95339582.609999999</v>
      </c>
      <c r="T26" s="23"/>
      <c r="U26" s="27">
        <f t="shared" si="10"/>
        <v>6.7299999999999995</v>
      </c>
      <c r="V26" s="23">
        <f t="shared" si="11"/>
        <v>144040.83968800001</v>
      </c>
      <c r="W26" s="27">
        <v>25</v>
      </c>
      <c r="X26" s="23">
        <f t="shared" si="13"/>
        <v>3601020.9922000002</v>
      </c>
      <c r="Y26" s="27">
        <f t="shared" si="12"/>
        <v>0.40011344357777778</v>
      </c>
      <c r="AB26" s="15">
        <v>17.07</v>
      </c>
    </row>
    <row r="27" spans="1:36" x14ac:dyDescent="0.2">
      <c r="C27" s="26"/>
      <c r="D27" s="26"/>
      <c r="E27" s="26"/>
      <c r="F27" s="26"/>
      <c r="G27" s="26"/>
      <c r="H27" s="26"/>
      <c r="I27" s="26"/>
      <c r="J27" s="26"/>
      <c r="K27" s="26"/>
      <c r="L27" s="26"/>
      <c r="M27" s="26"/>
      <c r="N27" s="345"/>
      <c r="O27" s="30"/>
      <c r="P27" s="30"/>
      <c r="Q27" s="31"/>
      <c r="R27" s="22" t="s">
        <v>645</v>
      </c>
      <c r="S27" s="23">
        <f t="shared" si="9"/>
        <v>20700978.649999999</v>
      </c>
      <c r="T27" s="23"/>
      <c r="U27" s="27">
        <f t="shared" si="10"/>
        <v>3.65</v>
      </c>
      <c r="V27" s="23">
        <f t="shared" si="11"/>
        <v>57921.560204000001</v>
      </c>
      <c r="W27" s="27">
        <v>5</v>
      </c>
      <c r="X27" s="23">
        <f t="shared" si="13"/>
        <v>289607.80102000001</v>
      </c>
      <c r="Y27" s="27">
        <f t="shared" si="12"/>
        <v>3.2178644557777782E-2</v>
      </c>
      <c r="AB27" s="15">
        <v>19.54</v>
      </c>
    </row>
    <row r="28" spans="1:36" x14ac:dyDescent="0.2">
      <c r="C28" s="26"/>
      <c r="D28" s="26"/>
      <c r="E28" s="26"/>
      <c r="F28" s="26"/>
      <c r="G28" s="26"/>
      <c r="H28" s="26"/>
      <c r="I28" s="26"/>
      <c r="J28" s="26"/>
      <c r="K28" s="26"/>
      <c r="L28" s="26"/>
      <c r="M28" s="26"/>
      <c r="N28" s="345"/>
      <c r="O28" s="30"/>
      <c r="P28" s="30"/>
      <c r="Q28" s="31"/>
      <c r="R28" s="22" t="s">
        <v>646</v>
      </c>
      <c r="S28" s="23">
        <f t="shared" si="9"/>
        <v>1014839503.64</v>
      </c>
      <c r="T28" s="23"/>
      <c r="U28" s="27">
        <f t="shared" si="10"/>
        <v>5.38</v>
      </c>
      <c r="V28" s="23">
        <f t="shared" si="11"/>
        <v>1917974.5759000001</v>
      </c>
      <c r="W28" s="27">
        <v>5</v>
      </c>
      <c r="X28" s="23">
        <f t="shared" si="13"/>
        <v>9589872.8794999998</v>
      </c>
      <c r="Y28" s="27">
        <f t="shared" si="12"/>
        <v>1.0655414310555555</v>
      </c>
      <c r="AB28" s="15">
        <v>5.78</v>
      </c>
    </row>
    <row r="29" spans="1:36" x14ac:dyDescent="0.2">
      <c r="C29" s="26"/>
      <c r="D29" s="26"/>
      <c r="E29" s="26"/>
      <c r="F29" s="26"/>
      <c r="G29" s="26"/>
      <c r="H29" s="26"/>
      <c r="I29" s="26"/>
      <c r="J29" s="26"/>
      <c r="K29" s="26"/>
      <c r="L29" s="26"/>
      <c r="M29" s="26"/>
      <c r="N29" s="345"/>
      <c r="O29" s="30"/>
      <c r="P29" s="30"/>
      <c r="Q29" s="31"/>
      <c r="R29" s="22" t="s">
        <v>647</v>
      </c>
      <c r="S29" s="23">
        <f t="shared" si="9"/>
        <v>0</v>
      </c>
      <c r="T29" s="23"/>
      <c r="U29" s="27" t="e">
        <f t="shared" si="10"/>
        <v>#DIV/0!</v>
      </c>
      <c r="V29" s="23">
        <f t="shared" si="11"/>
        <v>0</v>
      </c>
      <c r="W29" s="27">
        <v>0.1</v>
      </c>
      <c r="X29" s="23">
        <f t="shared" si="13"/>
        <v>0</v>
      </c>
      <c r="Y29" s="27">
        <f t="shared" si="12"/>
        <v>0</v>
      </c>
      <c r="AB29" s="15">
        <v>27.49</v>
      </c>
    </row>
    <row r="30" spans="1:36" x14ac:dyDescent="0.2">
      <c r="C30" s="26"/>
      <c r="D30" s="26"/>
      <c r="E30" s="26"/>
      <c r="F30" s="26"/>
      <c r="G30" s="26"/>
      <c r="H30" s="26"/>
      <c r="I30" s="26"/>
      <c r="J30" s="26"/>
      <c r="K30" s="26"/>
      <c r="L30" s="26"/>
      <c r="M30" s="26"/>
      <c r="N30" s="345"/>
      <c r="O30" s="30"/>
      <c r="P30" s="30"/>
      <c r="Q30" s="31"/>
      <c r="R30" s="22" t="s">
        <v>648</v>
      </c>
      <c r="S30" s="23">
        <f t="shared" si="9"/>
        <v>0</v>
      </c>
      <c r="T30" s="23"/>
      <c r="U30" s="27" t="e">
        <f t="shared" si="10"/>
        <v>#DIV/0!</v>
      </c>
      <c r="V30" s="23">
        <f t="shared" si="11"/>
        <v>0</v>
      </c>
      <c r="W30" s="27">
        <v>0.1</v>
      </c>
      <c r="X30" s="23">
        <f t="shared" si="13"/>
        <v>0</v>
      </c>
      <c r="Y30" s="27">
        <f t="shared" si="12"/>
        <v>0</v>
      </c>
    </row>
    <row r="31" spans="1:36" x14ac:dyDescent="0.2">
      <c r="C31" s="26"/>
      <c r="D31" s="26"/>
      <c r="E31" s="26"/>
      <c r="F31" s="26"/>
      <c r="G31" s="26"/>
      <c r="H31" s="26"/>
      <c r="I31" s="26"/>
      <c r="J31" s="26"/>
      <c r="K31" s="26"/>
      <c r="L31" s="26"/>
      <c r="M31" s="26"/>
      <c r="N31" s="345"/>
      <c r="Q31" s="31"/>
      <c r="R31" s="22" t="s">
        <v>649</v>
      </c>
      <c r="S31" s="23">
        <f t="shared" si="9"/>
        <v>577760000</v>
      </c>
      <c r="T31" s="23"/>
      <c r="U31" s="27" t="e">
        <f t="shared" si="10"/>
        <v>#DIV/0!</v>
      </c>
      <c r="V31" s="23">
        <f t="shared" si="11"/>
        <v>6718664.2855520006</v>
      </c>
      <c r="W31" s="27">
        <f>X31/V31</f>
        <v>53.745801941097028</v>
      </c>
      <c r="X31" s="23">
        <v>361100000</v>
      </c>
      <c r="Y31" s="27">
        <f t="shared" si="12"/>
        <v>40.12222222222222</v>
      </c>
    </row>
    <row r="32" spans="1:36" x14ac:dyDescent="0.2">
      <c r="A32" s="344"/>
      <c r="B32" s="345"/>
      <c r="C32" s="346"/>
      <c r="D32" s="347"/>
      <c r="E32" s="347"/>
      <c r="F32" s="347"/>
      <c r="G32" s="347"/>
      <c r="H32" s="347"/>
      <c r="I32" s="347"/>
      <c r="J32" s="347"/>
      <c r="K32" s="347"/>
      <c r="L32" s="347"/>
      <c r="M32" s="347"/>
      <c r="N32" s="345"/>
      <c r="Q32" s="31"/>
      <c r="R32" s="22" t="s">
        <v>650</v>
      </c>
      <c r="S32" s="23">
        <f t="shared" si="9"/>
        <v>0</v>
      </c>
      <c r="T32" s="23"/>
      <c r="U32" s="27" t="e">
        <f t="shared" si="10"/>
        <v>#DIV/0!</v>
      </c>
      <c r="V32" s="23">
        <f t="shared" si="11"/>
        <v>0</v>
      </c>
      <c r="W32" s="27"/>
      <c r="X32" s="23">
        <f t="shared" si="13"/>
        <v>0</v>
      </c>
      <c r="Y32" s="27">
        <f t="shared" si="12"/>
        <v>0</v>
      </c>
    </row>
    <row r="33" spans="1:29" x14ac:dyDescent="0.2">
      <c r="A33" s="348"/>
      <c r="B33" s="345"/>
      <c r="C33" s="349"/>
      <c r="D33" s="347"/>
      <c r="E33" s="347"/>
      <c r="F33" s="345"/>
      <c r="G33" s="347"/>
      <c r="H33" s="347"/>
      <c r="I33" s="347"/>
      <c r="J33" s="347"/>
      <c r="K33" s="347"/>
      <c r="L33" s="347"/>
      <c r="M33" s="347"/>
      <c r="Q33" s="31"/>
      <c r="R33" s="22" t="s">
        <v>651</v>
      </c>
      <c r="S33" s="23">
        <f t="shared" si="9"/>
        <v>3212091.1558944001</v>
      </c>
      <c r="T33" s="23"/>
      <c r="U33" s="27">
        <f t="shared" si="10"/>
        <v>6.21</v>
      </c>
      <c r="V33" s="23">
        <f t="shared" si="11"/>
        <v>3921975.7069120002</v>
      </c>
      <c r="W33" s="27">
        <v>15</v>
      </c>
      <c r="X33" s="23">
        <f t="shared" si="13"/>
        <v>58829635.60368</v>
      </c>
      <c r="Y33" s="27">
        <f t="shared" si="12"/>
        <v>6.5366261781866664</v>
      </c>
    </row>
    <row r="34" spans="1:29" x14ac:dyDescent="0.2">
      <c r="A34" s="348"/>
      <c r="B34" s="345"/>
      <c r="C34" s="346"/>
      <c r="D34" s="347"/>
      <c r="E34" s="347"/>
      <c r="F34" s="345"/>
      <c r="G34" s="345"/>
      <c r="H34" s="345"/>
      <c r="I34" s="345"/>
      <c r="J34" s="345"/>
      <c r="K34" s="345"/>
      <c r="L34" s="345"/>
      <c r="M34" s="345"/>
      <c r="R34" s="22" t="s">
        <v>653</v>
      </c>
      <c r="S34" s="23">
        <f t="shared" si="9"/>
        <v>31646715472.800003</v>
      </c>
      <c r="T34" s="23"/>
      <c r="U34" s="27">
        <f t="shared" si="10"/>
        <v>8.7200000000000006</v>
      </c>
      <c r="V34" s="23">
        <f t="shared" si="11"/>
        <v>32321812.455768</v>
      </c>
      <c r="W34" s="27">
        <v>25</v>
      </c>
      <c r="X34" s="23">
        <f t="shared" si="13"/>
        <v>808045311.39419997</v>
      </c>
      <c r="Y34" s="27">
        <f t="shared" si="12"/>
        <v>89.782812377133325</v>
      </c>
    </row>
    <row r="35" spans="1:29" x14ac:dyDescent="0.2">
      <c r="A35" s="348"/>
      <c r="B35" s="345"/>
      <c r="C35" s="346"/>
      <c r="D35" s="347"/>
      <c r="E35" s="347"/>
      <c r="F35" s="345"/>
      <c r="G35" s="345"/>
      <c r="H35" s="345"/>
      <c r="I35" s="345"/>
      <c r="J35" s="345"/>
      <c r="K35" s="345"/>
      <c r="L35" s="345"/>
      <c r="M35" s="345"/>
      <c r="R35" s="18" t="s">
        <v>655</v>
      </c>
      <c r="S35" s="32">
        <f>S24+S26+S33+S34</f>
        <v>31899592859.345898</v>
      </c>
      <c r="T35" s="32"/>
      <c r="U35" s="18"/>
      <c r="V35" s="32">
        <f>V24+V26+V33+V34</f>
        <v>36746083.746792004</v>
      </c>
      <c r="W35" s="18"/>
      <c r="X35" s="32">
        <f>X24+X26+X33+X34</f>
        <v>875849789.15644002</v>
      </c>
      <c r="Y35" s="33">
        <f>X35/(D12*1000000)</f>
        <v>107.13584588243884</v>
      </c>
      <c r="Z35" s="34" t="s">
        <v>656</v>
      </c>
    </row>
    <row r="36" spans="1:29" x14ac:dyDescent="0.2">
      <c r="A36" s="348"/>
      <c r="B36" s="345"/>
      <c r="C36" s="345"/>
      <c r="D36" s="345"/>
      <c r="E36" s="345"/>
      <c r="F36" s="345"/>
      <c r="G36" s="345"/>
      <c r="H36" s="345"/>
      <c r="I36" s="345"/>
      <c r="J36" s="345"/>
      <c r="K36" s="345"/>
      <c r="L36" s="345"/>
      <c r="M36" s="345"/>
      <c r="N36" s="18"/>
      <c r="R36" s="18" t="s">
        <v>655</v>
      </c>
      <c r="S36" s="32">
        <f>S21+S23+S25+S27+S28</f>
        <v>2266769933.7481561</v>
      </c>
      <c r="T36" s="32"/>
      <c r="U36" s="32"/>
      <c r="V36" s="32">
        <f>V21+V23+V25+V27+V28</f>
        <v>5744746.6565920003</v>
      </c>
      <c r="W36" s="32"/>
      <c r="X36" s="32">
        <f>X21+X23+X25+X27+X28</f>
        <v>47150460.718539998</v>
      </c>
      <c r="Y36" s="33">
        <f>X36/(D13*1000000)</f>
        <v>2.3980748782541812</v>
      </c>
      <c r="Z36" s="34" t="s">
        <v>657</v>
      </c>
    </row>
    <row r="37" spans="1:29" x14ac:dyDescent="0.2">
      <c r="A37" s="348"/>
      <c r="B37" s="345"/>
      <c r="C37" s="350"/>
      <c r="D37" s="350"/>
      <c r="E37" s="350"/>
      <c r="F37" s="345"/>
      <c r="G37" s="345"/>
      <c r="H37" s="345"/>
      <c r="I37" s="350"/>
      <c r="J37" s="345"/>
      <c r="K37" s="350"/>
      <c r="L37" s="345"/>
      <c r="M37" s="345"/>
      <c r="N37" s="35"/>
      <c r="R37" s="18" t="s">
        <v>660</v>
      </c>
      <c r="S37" s="32">
        <v>1751000000</v>
      </c>
      <c r="T37" s="32"/>
      <c r="U37" s="32" t="s">
        <v>661</v>
      </c>
      <c r="V37" s="32">
        <v>361100000</v>
      </c>
      <c r="W37" s="32" t="s">
        <v>662</v>
      </c>
      <c r="X37" s="33">
        <f>V37/S14</f>
        <v>14.198135990383486</v>
      </c>
      <c r="Y37" s="33">
        <f>V37/(D12*1000000)</f>
        <v>44.170535207194789</v>
      </c>
      <c r="Z37" s="34" t="s">
        <v>663</v>
      </c>
    </row>
    <row r="38" spans="1:29" x14ac:dyDescent="0.2">
      <c r="A38" s="348"/>
      <c r="B38" s="345"/>
      <c r="C38" s="350"/>
      <c r="D38" s="350"/>
      <c r="E38" s="350"/>
      <c r="F38" s="345"/>
      <c r="G38" s="350"/>
      <c r="H38" s="345"/>
      <c r="I38" s="350"/>
      <c r="J38" s="345"/>
      <c r="K38" s="350"/>
      <c r="L38" s="345"/>
      <c r="M38" s="345"/>
      <c r="N38" s="35"/>
    </row>
    <row r="39" spans="1:29" x14ac:dyDescent="0.2">
      <c r="A39" s="348"/>
      <c r="B39" s="345"/>
      <c r="C39" s="350"/>
      <c r="D39" s="350"/>
      <c r="E39" s="350"/>
      <c r="F39" s="345"/>
      <c r="G39" s="350"/>
      <c r="H39" s="345"/>
      <c r="I39" s="350"/>
      <c r="J39" s="345"/>
      <c r="K39" s="350"/>
      <c r="L39" s="345"/>
      <c r="M39" s="345"/>
      <c r="N39" s="35"/>
      <c r="R39" s="20" t="s">
        <v>664</v>
      </c>
      <c r="S39" s="21" t="s">
        <v>665</v>
      </c>
      <c r="T39" s="21"/>
      <c r="U39" s="21" t="s">
        <v>666</v>
      </c>
      <c r="V39" s="21" t="s">
        <v>667</v>
      </c>
      <c r="W39" s="21" t="s">
        <v>668</v>
      </c>
      <c r="X39" s="21" t="s">
        <v>669</v>
      </c>
      <c r="Y39" s="21" t="s">
        <v>670</v>
      </c>
      <c r="Z39" s="21" t="s">
        <v>671</v>
      </c>
      <c r="AA39" s="21" t="s">
        <v>669</v>
      </c>
      <c r="AB39" s="21"/>
      <c r="AC39" s="21"/>
    </row>
    <row r="40" spans="1:29" x14ac:dyDescent="0.2">
      <c r="A40" s="348"/>
      <c r="B40" s="345"/>
      <c r="C40" s="350"/>
      <c r="D40" s="350"/>
      <c r="E40" s="350"/>
      <c r="F40" s="345"/>
      <c r="G40" s="350"/>
      <c r="H40" s="345"/>
      <c r="I40" s="350"/>
      <c r="J40" s="345"/>
      <c r="K40" s="350"/>
      <c r="L40" s="345"/>
      <c r="M40" s="345"/>
      <c r="N40" s="35"/>
      <c r="R40" s="22" t="s">
        <v>393</v>
      </c>
      <c r="S40" s="23">
        <f>'Population NYC'!E10</f>
        <v>2504700</v>
      </c>
      <c r="T40" s="23"/>
      <c r="U40" s="23">
        <f>S40/3</f>
        <v>834900</v>
      </c>
      <c r="V40" s="36">
        <v>0.44</v>
      </c>
      <c r="W40" s="25">
        <v>1.65</v>
      </c>
      <c r="X40" s="23">
        <f>U40*V40*W40</f>
        <v>606137.4</v>
      </c>
      <c r="Y40" s="25">
        <f>X40/S40</f>
        <v>0.24200000000000002</v>
      </c>
      <c r="Z40" s="25">
        <v>78</v>
      </c>
      <c r="AA40" s="23">
        <f>U40/100*Z40</f>
        <v>651222</v>
      </c>
      <c r="AB40" s="23"/>
      <c r="AC40" s="23"/>
    </row>
    <row r="41" spans="1:29" x14ac:dyDescent="0.2">
      <c r="A41" s="348"/>
      <c r="B41" s="345"/>
      <c r="C41" s="350"/>
      <c r="D41" s="350"/>
      <c r="E41" s="350"/>
      <c r="F41" s="345"/>
      <c r="G41" s="350"/>
      <c r="H41" s="345"/>
      <c r="I41" s="350"/>
      <c r="J41" s="345"/>
      <c r="K41" s="350"/>
      <c r="L41" s="345"/>
      <c r="M41" s="345"/>
      <c r="N41" s="35"/>
      <c r="R41" s="22" t="s">
        <v>395</v>
      </c>
      <c r="S41" s="23">
        <f>'Population NYC'!E11</f>
        <v>1385108</v>
      </c>
      <c r="T41" s="23"/>
      <c r="U41" s="23">
        <f>S41/3</f>
        <v>461702.66666666669</v>
      </c>
      <c r="V41" s="36">
        <v>0.46</v>
      </c>
      <c r="W41" s="25">
        <v>1.65</v>
      </c>
      <c r="X41" s="23">
        <f>U41*V41*W41</f>
        <v>350432.32400000002</v>
      </c>
      <c r="Y41" s="25">
        <f>X41/S41</f>
        <v>0.253</v>
      </c>
      <c r="Z41" s="25">
        <v>78</v>
      </c>
      <c r="AA41" s="23">
        <f>U41/100*Z41</f>
        <v>360128.08</v>
      </c>
      <c r="AB41" s="23"/>
      <c r="AC41" s="23"/>
    </row>
    <row r="42" spans="1:29" x14ac:dyDescent="0.2">
      <c r="A42" s="348"/>
      <c r="B42" s="345"/>
      <c r="C42" s="350"/>
      <c r="D42" s="350"/>
      <c r="E42" s="350"/>
      <c r="F42" s="345"/>
      <c r="G42" s="350"/>
      <c r="H42" s="345"/>
      <c r="I42" s="350"/>
      <c r="J42" s="345"/>
      <c r="K42" s="350"/>
      <c r="L42" s="345"/>
      <c r="M42" s="345"/>
      <c r="N42" s="35"/>
      <c r="R42" s="22" t="s">
        <v>397</v>
      </c>
      <c r="S42" s="23">
        <f>'Population NYC'!E12</f>
        <v>1585873</v>
      </c>
      <c r="T42" s="23"/>
      <c r="U42" s="23">
        <f>S42/3</f>
        <v>528624.33333333337</v>
      </c>
      <c r="V42" s="36">
        <v>0.24</v>
      </c>
      <c r="W42" s="25">
        <v>1.65</v>
      </c>
      <c r="X42" s="23">
        <f>U42*V42*W42</f>
        <v>209335.236</v>
      </c>
      <c r="Y42" s="25">
        <f>X42/S42</f>
        <v>0.13200000000000001</v>
      </c>
      <c r="Z42" s="25">
        <v>78</v>
      </c>
      <c r="AA42" s="23">
        <f>U42/100*Z42</f>
        <v>412326.98000000004</v>
      </c>
      <c r="AB42" s="23"/>
      <c r="AC42" s="23"/>
    </row>
    <row r="43" spans="1:29" x14ac:dyDescent="0.2">
      <c r="A43" s="348"/>
      <c r="B43" s="345"/>
      <c r="C43" s="350"/>
      <c r="D43" s="350"/>
      <c r="E43" s="350"/>
      <c r="F43" s="345"/>
      <c r="G43" s="350"/>
      <c r="H43" s="345"/>
      <c r="I43" s="350"/>
      <c r="J43" s="345"/>
      <c r="K43" s="350"/>
      <c r="L43" s="345"/>
      <c r="M43" s="345"/>
      <c r="N43" s="35"/>
      <c r="R43" s="22" t="s">
        <v>399</v>
      </c>
      <c r="S43" s="23">
        <f>'Population NYC'!E13</f>
        <v>468730</v>
      </c>
      <c r="T43" s="23"/>
      <c r="U43" s="23">
        <f>S43/3</f>
        <v>156243.33333333334</v>
      </c>
      <c r="V43" s="36">
        <v>0.84</v>
      </c>
      <c r="W43" s="25">
        <v>1.65</v>
      </c>
      <c r="X43" s="23">
        <f>U43*V43*W43</f>
        <v>216553.25999999998</v>
      </c>
      <c r="Y43" s="25">
        <f>X43/S43</f>
        <v>0.46199999999999997</v>
      </c>
      <c r="Z43" s="25">
        <v>78</v>
      </c>
      <c r="AA43" s="23">
        <f>U43/100*Z43</f>
        <v>121869.8</v>
      </c>
      <c r="AB43" s="23"/>
      <c r="AC43" s="23"/>
    </row>
    <row r="44" spans="1:29" x14ac:dyDescent="0.2">
      <c r="A44" s="348"/>
      <c r="B44" s="345"/>
      <c r="C44" s="350"/>
      <c r="D44" s="350"/>
      <c r="E44" s="350"/>
      <c r="F44" s="345"/>
      <c r="G44" s="350"/>
      <c r="H44" s="345"/>
      <c r="I44" s="350"/>
      <c r="J44" s="345"/>
      <c r="K44" s="350"/>
      <c r="L44" s="345"/>
      <c r="M44" s="345"/>
      <c r="N44" s="35"/>
      <c r="R44" s="22" t="s">
        <v>401</v>
      </c>
      <c r="S44" s="23">
        <f>'Population NYC'!E14</f>
        <v>2230722</v>
      </c>
      <c r="T44" s="23"/>
      <c r="U44" s="23">
        <f>S44/3</f>
        <v>743574</v>
      </c>
      <c r="V44" s="36">
        <v>0.64</v>
      </c>
      <c r="W44" s="25">
        <v>1.65</v>
      </c>
      <c r="X44" s="23">
        <f>U44*V44*W44</f>
        <v>785214.14399999997</v>
      </c>
      <c r="Y44" s="25">
        <f>X44/S44</f>
        <v>0.35199999999999998</v>
      </c>
      <c r="Z44" s="25">
        <v>78</v>
      </c>
      <c r="AA44" s="23">
        <f>U44/100*Z44</f>
        <v>579987.72</v>
      </c>
      <c r="AB44" s="23"/>
      <c r="AC44" s="23"/>
    </row>
    <row r="45" spans="1:29" x14ac:dyDescent="0.2">
      <c r="A45" s="348"/>
      <c r="B45" s="345"/>
      <c r="C45" s="350"/>
      <c r="D45" s="350"/>
      <c r="E45" s="350"/>
      <c r="F45" s="345"/>
      <c r="G45" s="350"/>
      <c r="H45" s="345"/>
      <c r="I45" s="350"/>
      <c r="J45" s="345"/>
      <c r="K45" s="350"/>
      <c r="L45" s="345"/>
      <c r="M45" s="345"/>
      <c r="N45" s="35"/>
      <c r="R45" s="20" t="s">
        <v>672</v>
      </c>
      <c r="S45" s="21">
        <f>SUM(S40:S44)</f>
        <v>8175133</v>
      </c>
      <c r="T45" s="21"/>
      <c r="U45" s="21">
        <f>SUM(U40:U44)</f>
        <v>2725044.333333333</v>
      </c>
      <c r="V45" s="37">
        <f>AVERAGE(V40:V44)</f>
        <v>0.52400000000000002</v>
      </c>
      <c r="W45" s="38">
        <f>AVERAGE(W40:W44)</f>
        <v>1.65</v>
      </c>
      <c r="X45" s="21">
        <f>SUM(X40:X44)</f>
        <v>2167672.3640000001</v>
      </c>
      <c r="Y45" s="38">
        <f>AVERAGE(Y40:Y44)</f>
        <v>0.28819999999999996</v>
      </c>
      <c r="Z45" s="38">
        <f>AVERAGE(Z40:Z44)</f>
        <v>78</v>
      </c>
      <c r="AA45" s="21">
        <f>SUM(AA40:AA44)</f>
        <v>2125534.58</v>
      </c>
      <c r="AB45" s="21"/>
      <c r="AC45" s="21"/>
    </row>
    <row r="46" spans="1:29" x14ac:dyDescent="0.2">
      <c r="A46" s="348"/>
      <c r="B46" s="345"/>
      <c r="C46" s="350"/>
      <c r="D46" s="350"/>
      <c r="E46" s="345"/>
      <c r="F46" s="345"/>
      <c r="G46" s="345"/>
      <c r="H46" s="345"/>
      <c r="I46" s="345"/>
      <c r="J46" s="345"/>
      <c r="K46" s="345"/>
      <c r="L46" s="345"/>
      <c r="M46" s="345"/>
    </row>
    <row r="47" spans="1:29" x14ac:dyDescent="0.2">
      <c r="A47" s="348"/>
      <c r="B47" s="345"/>
      <c r="C47" s="350"/>
      <c r="D47" s="350"/>
      <c r="E47" s="345"/>
      <c r="F47" s="345"/>
      <c r="G47" s="345"/>
      <c r="H47" s="345"/>
      <c r="I47" s="345"/>
      <c r="J47" s="345"/>
      <c r="K47" s="345"/>
      <c r="L47" s="345"/>
      <c r="M47" s="345"/>
      <c r="Y47" s="40"/>
    </row>
    <row r="48" spans="1:29" x14ac:dyDescent="0.2">
      <c r="C48" s="29"/>
      <c r="D48" s="29">
        <f>'VMT NYC'!T16*ResidDataAndCalcs!C15*'VMT NYC'!AH7/('VMT NYC'!AH7+'VMT NYC'!AH8+'VMT NYC'!AH9+'VMT NYC'!AH10)*8</f>
        <v>5.941132022192118</v>
      </c>
    </row>
    <row r="49" spans="1:14" x14ac:dyDescent="0.2">
      <c r="A49" s="14" t="s">
        <v>652</v>
      </c>
    </row>
    <row r="50" spans="1:14" x14ac:dyDescent="0.2">
      <c r="A50" s="14" t="s">
        <v>654</v>
      </c>
    </row>
    <row r="51" spans="1:14" x14ac:dyDescent="0.2">
      <c r="C51" s="43">
        <v>2005</v>
      </c>
      <c r="D51" s="43">
        <v>2010</v>
      </c>
      <c r="E51" s="43">
        <v>2015</v>
      </c>
      <c r="F51" s="43">
        <v>2020</v>
      </c>
      <c r="G51" s="43">
        <v>2025</v>
      </c>
      <c r="H51" s="43">
        <v>2030</v>
      </c>
      <c r="I51" s="43">
        <v>2035</v>
      </c>
      <c r="J51" s="43">
        <v>2040</v>
      </c>
      <c r="K51" s="43">
        <v>2045</v>
      </c>
      <c r="L51" s="43">
        <v>2050</v>
      </c>
      <c r="M51" s="43">
        <v>2055</v>
      </c>
      <c r="N51" s="18"/>
    </row>
    <row r="52" spans="1:14" x14ac:dyDescent="0.2">
      <c r="A52" s="41" t="s">
        <v>658</v>
      </c>
      <c r="B52" s="15" t="s">
        <v>659</v>
      </c>
      <c r="C52" s="35">
        <f>C18/(Population!D9/1000000)</f>
        <v>0</v>
      </c>
      <c r="D52" s="35">
        <f>D18/(Population!E9/1000000)</f>
        <v>0</v>
      </c>
      <c r="E52" s="35">
        <f>E18/(Population!F9/1000000)</f>
        <v>0</v>
      </c>
      <c r="F52" s="35">
        <f>F18/(Population!G9/1000000)</f>
        <v>0</v>
      </c>
      <c r="G52" s="35">
        <f>G18/(Population!H9/1000000)</f>
        <v>0</v>
      </c>
      <c r="H52" s="35">
        <f>H18/(Population!I9/1000000)</f>
        <v>0</v>
      </c>
      <c r="I52" s="35">
        <f>I18/(Population!J9/1000000)</f>
        <v>0</v>
      </c>
      <c r="J52" s="35">
        <f>J18/(Population!K9/1000000)</f>
        <v>0</v>
      </c>
      <c r="K52" s="35">
        <f>K18/(Population!L9/1000000)</f>
        <v>0</v>
      </c>
      <c r="L52" s="35">
        <f>L18/(Population!M9/1000000)</f>
        <v>0</v>
      </c>
      <c r="M52" s="35">
        <f>L52*'AEO14 DMD'!$M$34/'AEO14 DMD'!$L$34</f>
        <v>0</v>
      </c>
      <c r="N52" s="18"/>
    </row>
    <row r="53" spans="1:14" x14ac:dyDescent="0.2">
      <c r="A53" s="41" t="s">
        <v>336</v>
      </c>
      <c r="B53" s="15" t="s">
        <v>426</v>
      </c>
      <c r="C53" s="35">
        <f>(C19*10^-9)/('Population NYC'!D10*10^-6)</f>
        <v>1.7361862104906773</v>
      </c>
      <c r="D53" s="35">
        <f>(D19*10^-9)/('Population NYC'!E10*10^-6)</f>
        <v>1.7361862104906773</v>
      </c>
      <c r="E53" s="35">
        <f>(E19*10^-9)/('Population NYC'!F10*10^-6)</f>
        <v>1.7295690355766427</v>
      </c>
      <c r="F53" s="35">
        <f>(F19*10^-9)/('Population NYC'!G10*10^-6)</f>
        <v>1.7778136247701068</v>
      </c>
      <c r="G53" s="35">
        <f>(G19*10^-9)/('Population NYC'!H10*10^-6)</f>
        <v>2.9549247222700918</v>
      </c>
      <c r="H53" s="35">
        <f>(H19*10^-9)/('Population NYC'!I10*10^-6)</f>
        <v>2.9685285396670817</v>
      </c>
      <c r="I53" s="35">
        <f>(I19*10^-9)/('Population NYC'!J10*10^-6)</f>
        <v>2.9917686960165049</v>
      </c>
      <c r="J53" s="35">
        <f>(J19*10^-9)/('Population NYC'!K10*10^-6)</f>
        <v>3.008446669189675</v>
      </c>
      <c r="K53" s="35">
        <f>(K19*10^-9)/('Population NYC'!L10*10^-6)</f>
        <v>3.0069641249019288</v>
      </c>
      <c r="L53" s="35">
        <f>(L19*10^-9)/('Population NYC'!M10*10^-6)</f>
        <v>2.862806093416753</v>
      </c>
      <c r="M53" s="35">
        <f>L53*'AEO14 DMD'!$M$34/'AEO14 DMD'!$L$34</f>
        <v>2.862806093416753</v>
      </c>
      <c r="N53" s="26"/>
    </row>
    <row r="54" spans="1:14" x14ac:dyDescent="0.2">
      <c r="A54" s="41" t="s">
        <v>340</v>
      </c>
      <c r="B54" s="15" t="s">
        <v>427</v>
      </c>
      <c r="C54" s="35">
        <f>(C20*10^-9)/('Population NYC'!D11*10^-6)</f>
        <v>2.1730438350312533</v>
      </c>
      <c r="D54" s="35">
        <f>(D20*10^-9)/('Population NYC'!E11*10^-6)</f>
        <v>2.1730438350312533</v>
      </c>
      <c r="E54" s="35">
        <f>(E20*10^-9)/('Population NYC'!F11*10^-6)</f>
        <v>2.1467572828940553</v>
      </c>
      <c r="F54" s="35">
        <f>(F20*10^-9)/('Population NYC'!G11*10^-6)</f>
        <v>2.2321763098709635</v>
      </c>
      <c r="G54" s="35">
        <f>(G20*10^-9)/('Population NYC'!H11*10^-6)</f>
        <v>2.1159616809844004</v>
      </c>
      <c r="H54" s="35">
        <f>(H20*10^-9)/('Population NYC'!I11*10^-6)</f>
        <v>2.1094461480528617</v>
      </c>
      <c r="I54" s="35">
        <f>(I20*10^-9)/('Population NYC'!J11*10^-6)</f>
        <v>2.1113542062388264</v>
      </c>
      <c r="J54" s="35">
        <f>(J20*10^-9)/('Population NYC'!K11*10^-6)</f>
        <v>2.100094385291706</v>
      </c>
      <c r="K54" s="35">
        <f>(K20*10^-9)/('Population NYC'!L11*10^-6)</f>
        <v>2.0830675243473622</v>
      </c>
      <c r="L54" s="35">
        <f>(L20*10^-9)/('Population NYC'!M11*10^-6)</f>
        <v>2.0885547374453535</v>
      </c>
      <c r="M54" s="35">
        <f>L54*'AEO14 DMD'!$M$34/'AEO14 DMD'!$L$34</f>
        <v>2.0885547374453535</v>
      </c>
      <c r="N54" s="26"/>
    </row>
    <row r="55" spans="1:14" x14ac:dyDescent="0.2">
      <c r="A55" s="41" t="s">
        <v>343</v>
      </c>
      <c r="B55" s="15" t="s">
        <v>428</v>
      </c>
      <c r="C55" s="35">
        <f>(C21*10^-9)/('Population NYC'!D12*10^-6)</f>
        <v>1.9590800630748013</v>
      </c>
      <c r="D55" s="35">
        <f>(D21*10^-9)/('Population NYC'!E12*10^-6)</f>
        <v>1.9590800630748013</v>
      </c>
      <c r="E55" s="35">
        <f>(E21*10^-9)/('Population NYC'!F12*10^-6)</f>
        <v>1.8853009954176867</v>
      </c>
      <c r="F55" s="35">
        <f>(F21*10^-9)/('Population NYC'!G12*10^-6)</f>
        <v>1.918290474813082</v>
      </c>
      <c r="G55" s="35">
        <f>(G21*10^-9)/('Population NYC'!H12*10^-6)</f>
        <v>2.1507097162263302</v>
      </c>
      <c r="H55" s="35">
        <f>(H21*10^-9)/('Population NYC'!I12*10^-6)</f>
        <v>2.1652386579154541</v>
      </c>
      <c r="I55" s="35">
        <f>(I21*10^-9)/('Population NYC'!J12*10^-6)</f>
        <v>2.1946708390520309</v>
      </c>
      <c r="J55" s="35">
        <f>(J21*10^-9)/('Population NYC'!K12*10^-6)</f>
        <v>2.221240889634001</v>
      </c>
      <c r="K55" s="35">
        <f>(K21*10^-9)/('Population NYC'!L12*10^-6)</f>
        <v>2.2333180529756307</v>
      </c>
      <c r="L55" s="35">
        <f>(L21*10^-9)/('Population NYC'!M12*10^-6)</f>
        <v>2.2417983826375494</v>
      </c>
      <c r="M55" s="35">
        <f>L55*'AEO14 DMD'!$M$34/'AEO14 DMD'!$L$34</f>
        <v>2.2417983826375494</v>
      </c>
      <c r="N55" s="26"/>
    </row>
    <row r="56" spans="1:14" x14ac:dyDescent="0.2">
      <c r="A56" s="41" t="s">
        <v>345</v>
      </c>
      <c r="B56" s="15" t="s">
        <v>429</v>
      </c>
      <c r="C56" s="35">
        <f>(C22*10^-9)/('Population NYC'!D13*10^-6)</f>
        <v>4.331381879737652</v>
      </c>
      <c r="D56" s="35">
        <f>(D22*10^-9)/('Population NYC'!E13*10^-6)</f>
        <v>4.331381879737652</v>
      </c>
      <c r="E56" s="35">
        <f>(E22*10^-9)/('Population NYC'!F13*10^-6)</f>
        <v>4.3941205482275372</v>
      </c>
      <c r="F56" s="35">
        <f>(F22*10^-9)/('Population NYC'!G13*10^-6)</f>
        <v>4.3990436750492448</v>
      </c>
      <c r="G56" s="35">
        <f>(G22*10^-9)/('Population NYC'!H13*10^-6)</f>
        <v>4.4358130132479916</v>
      </c>
      <c r="H56" s="35">
        <f>(H22*10^-9)/('Population NYC'!I13*10^-6)</f>
        <v>4.4937782999061779</v>
      </c>
      <c r="I56" s="35">
        <f>(I22*10^-9)/('Population NYC'!J13*10^-6)</f>
        <v>4.5834789729871517</v>
      </c>
      <c r="J56" s="35">
        <f>(J22*10^-9)/('Population NYC'!K13*10^-6)</f>
        <v>4.64976956111345</v>
      </c>
      <c r="K56" s="35">
        <f>(K22*10^-9)/('Population NYC'!L13*10^-6)</f>
        <v>4.6790447025659248</v>
      </c>
      <c r="L56" s="35">
        <f>(L22*10^-9)/('Population NYC'!M13*10^-6)</f>
        <v>4.6944625666560116</v>
      </c>
      <c r="M56" s="35">
        <f>L56*'AEO14 DMD'!$M$34/'AEO14 DMD'!$L$34</f>
        <v>4.6944625666560116</v>
      </c>
      <c r="N56" s="26"/>
    </row>
    <row r="57" spans="1:14" x14ac:dyDescent="0.2">
      <c r="A57" s="41" t="s">
        <v>346</v>
      </c>
      <c r="B57" s="15" t="s">
        <v>430</v>
      </c>
      <c r="C57" s="35">
        <f>(C23*10^-9)/('Population NYC'!D14*10^-6)</f>
        <v>3.210353581259108</v>
      </c>
      <c r="D57" s="35">
        <f>(D23*10^-9)/('Population NYC'!E14*10^-6)</f>
        <v>3.210353581259108</v>
      </c>
      <c r="E57" s="35">
        <f>(E23*10^-9)/('Population NYC'!F14*10^-6)</f>
        <v>2.9619635575401628</v>
      </c>
      <c r="F57" s="35">
        <f>(F23*10^-9)/('Population NYC'!G14*10^-6)</f>
        <v>2.9688375001357814</v>
      </c>
      <c r="G57" s="35">
        <f>(G23*10^-9)/('Population NYC'!H14*10^-6)</f>
        <v>2.0037540493460035</v>
      </c>
      <c r="H57" s="35">
        <f>(H23*10^-9)/('Population NYC'!I14*10^-6)</f>
        <v>2.0376787079780465</v>
      </c>
      <c r="I57" s="35">
        <f>(I23*10^-9)/('Population NYC'!J14*10^-6)</f>
        <v>2.0727898687894366</v>
      </c>
      <c r="J57" s="35">
        <f>(J23*10^-9)/('Population NYC'!K14*10^-6)</f>
        <v>2.0996338505932695</v>
      </c>
      <c r="K57" s="35">
        <f>(K23*10^-9)/('Population NYC'!L14*10^-6)</f>
        <v>2.1154497867293074</v>
      </c>
      <c r="L57" s="35">
        <f>(L23*10^-9)/('Population NYC'!M14*10^-6)</f>
        <v>2.0843101986362504</v>
      </c>
      <c r="M57" s="35">
        <f>L57*'AEO14 DMD'!$M$34/'AEO14 DMD'!$L$34</f>
        <v>2.0843101986362504</v>
      </c>
      <c r="N57" s="26"/>
    </row>
    <row r="58" spans="1:14" x14ac:dyDescent="0.2">
      <c r="C58" s="35"/>
      <c r="D58" s="35"/>
      <c r="E58" s="35"/>
      <c r="F58" s="35"/>
      <c r="G58" s="35"/>
      <c r="H58" s="35"/>
      <c r="I58" s="35"/>
      <c r="J58" s="35"/>
      <c r="K58" s="35"/>
      <c r="L58" s="35"/>
      <c r="M58" s="35"/>
      <c r="N58" s="26"/>
    </row>
    <row r="59" spans="1:14" x14ac:dyDescent="0.2">
      <c r="C59" s="35"/>
      <c r="D59" s="35"/>
      <c r="E59" s="35"/>
      <c r="F59" s="35"/>
      <c r="G59" s="35"/>
      <c r="H59" s="35"/>
      <c r="I59" s="35"/>
      <c r="J59" s="35"/>
      <c r="K59" s="35"/>
      <c r="L59" s="35"/>
      <c r="M59" s="35"/>
      <c r="N59" s="26"/>
    </row>
    <row r="60" spans="1:14" x14ac:dyDescent="0.2">
      <c r="C60" s="35"/>
      <c r="D60" s="35"/>
      <c r="E60" s="35"/>
      <c r="F60" s="35"/>
      <c r="G60" s="35"/>
      <c r="H60" s="35"/>
      <c r="I60" s="35"/>
      <c r="J60" s="35"/>
      <c r="K60" s="35"/>
      <c r="L60" s="35"/>
      <c r="M60" s="35"/>
      <c r="N60" s="26"/>
    </row>
    <row r="61" spans="1:14" x14ac:dyDescent="0.2">
      <c r="C61" s="39">
        <f>SUM(C52:C60)</f>
        <v>13.410045569593491</v>
      </c>
      <c r="D61" s="39">
        <f>SUM(D52:D60)</f>
        <v>13.410045569593491</v>
      </c>
      <c r="E61" s="39">
        <f t="shared" ref="E61:M61" si="14">SUM(E52:E60)</f>
        <v>13.117711419656084</v>
      </c>
      <c r="F61" s="39">
        <f t="shared" si="14"/>
        <v>13.296161584639179</v>
      </c>
      <c r="G61" s="39">
        <f t="shared" si="14"/>
        <v>13.661163182074819</v>
      </c>
      <c r="H61" s="39">
        <f t="shared" si="14"/>
        <v>13.774670353519621</v>
      </c>
      <c r="I61" s="39">
        <f t="shared" si="14"/>
        <v>13.954062583083951</v>
      </c>
      <c r="J61" s="39">
        <f t="shared" si="14"/>
        <v>14.079185355822101</v>
      </c>
      <c r="K61" s="39">
        <f t="shared" si="14"/>
        <v>14.117844191520152</v>
      </c>
      <c r="L61" s="39">
        <f t="shared" si="14"/>
        <v>13.971931978791918</v>
      </c>
      <c r="M61" s="39">
        <f t="shared" si="14"/>
        <v>13.971931978791918</v>
      </c>
      <c r="N61" s="26"/>
    </row>
    <row r="62" spans="1:14" x14ac:dyDescent="0.2">
      <c r="D62" s="39">
        <f>D61/C61</f>
        <v>1</v>
      </c>
      <c r="E62" s="39">
        <f t="shared" ref="E62:M62" si="15">E61/D61</f>
        <v>0.97820036118294351</v>
      </c>
      <c r="F62" s="39">
        <f t="shared" si="15"/>
        <v>1.0136037574904795</v>
      </c>
      <c r="G62" s="39">
        <f t="shared" si="15"/>
        <v>1.0274516517501804</v>
      </c>
      <c r="H62" s="39">
        <f t="shared" si="15"/>
        <v>1.0083087486718363</v>
      </c>
      <c r="I62" s="39">
        <f t="shared" si="15"/>
        <v>1.0130233410281571</v>
      </c>
      <c r="J62" s="39">
        <f t="shared" si="15"/>
        <v>1.0089667630479049</v>
      </c>
      <c r="K62" s="39">
        <f t="shared" si="15"/>
        <v>1.0027458148125072</v>
      </c>
      <c r="L62" s="39">
        <f t="shared" si="15"/>
        <v>0.98966469591611761</v>
      </c>
      <c r="M62" s="39">
        <f t="shared" si="15"/>
        <v>1</v>
      </c>
      <c r="N62" s="26"/>
    </row>
    <row r="63" spans="1:14" x14ac:dyDescent="0.2">
      <c r="A63" s="41" t="s">
        <v>673</v>
      </c>
      <c r="N63" s="26"/>
    </row>
    <row r="64" spans="1:14" x14ac:dyDescent="0.2">
      <c r="A64" s="41" t="s">
        <v>674</v>
      </c>
      <c r="N64" s="26"/>
    </row>
    <row r="66" spans="1:14" x14ac:dyDescent="0.2">
      <c r="A66" s="42"/>
      <c r="B66" s="18" t="s">
        <v>675</v>
      </c>
      <c r="C66" s="18"/>
      <c r="D66" s="18"/>
      <c r="E66" s="18"/>
      <c r="F66" s="18"/>
      <c r="G66" s="18"/>
      <c r="H66" s="18"/>
      <c r="I66" s="18"/>
      <c r="J66" s="18"/>
      <c r="K66" s="18"/>
      <c r="L66" s="18"/>
      <c r="M66" s="18"/>
      <c r="N66" s="18"/>
    </row>
    <row r="67" spans="1:14" x14ac:dyDescent="0.2">
      <c r="A67" s="42"/>
      <c r="B67" s="15" t="s">
        <v>389</v>
      </c>
      <c r="C67" s="43">
        <v>2005</v>
      </c>
      <c r="D67" s="43">
        <v>2010</v>
      </c>
      <c r="E67" s="43">
        <v>2015</v>
      </c>
      <c r="F67" s="43">
        <v>2020</v>
      </c>
      <c r="G67" s="43">
        <v>2025</v>
      </c>
      <c r="H67" s="43">
        <v>2030</v>
      </c>
      <c r="I67" s="43">
        <v>2035</v>
      </c>
      <c r="J67" s="43">
        <v>2040</v>
      </c>
      <c r="K67" s="43">
        <v>2045</v>
      </c>
      <c r="L67" s="43">
        <v>2050</v>
      </c>
      <c r="M67" s="43">
        <v>2055</v>
      </c>
      <c r="N67" s="39"/>
    </row>
    <row r="68" spans="1:14" x14ac:dyDescent="0.2">
      <c r="A68" s="41" t="s">
        <v>658</v>
      </c>
      <c r="B68" s="15" t="s">
        <v>659</v>
      </c>
      <c r="C68" s="26">
        <f>C52*(Population!D9/1000000)</f>
        <v>0</v>
      </c>
      <c r="D68" s="26">
        <f>D52*(Population!E9/1000000)</f>
        <v>0</v>
      </c>
      <c r="E68" s="26">
        <f>E52*(Population!F9/1000000)</f>
        <v>0</v>
      </c>
      <c r="F68" s="26">
        <f>F52*(Population!G9/1000000)</f>
        <v>0</v>
      </c>
      <c r="G68" s="26">
        <f>G52*(Population!H9/1000000)</f>
        <v>0</v>
      </c>
      <c r="H68" s="26">
        <f>H52*(Population!I9/1000000)</f>
        <v>0</v>
      </c>
      <c r="I68" s="26">
        <f>I52*(Population!J9/1000000)</f>
        <v>0</v>
      </c>
      <c r="J68" s="26">
        <f>J52*(Population!K9/1000000)</f>
        <v>0</v>
      </c>
      <c r="K68" s="26">
        <f>K52*(Population!L9/1000000)</f>
        <v>0</v>
      </c>
      <c r="L68" s="26">
        <f>L52*(Population!M9/1000000)</f>
        <v>0</v>
      </c>
      <c r="M68" s="26">
        <f>M52*(Population!N9/1000000)</f>
        <v>0</v>
      </c>
    </row>
    <row r="69" spans="1:14" x14ac:dyDescent="0.2">
      <c r="A69" s="41" t="s">
        <v>336</v>
      </c>
      <c r="B69" s="15" t="s">
        <v>426</v>
      </c>
      <c r="C69" s="26">
        <f>C53*('Population NYC'!D10*10^-6)</f>
        <v>4.348625601415999</v>
      </c>
      <c r="D69" s="26">
        <f>D53*('Population NYC'!E10*10^-6)</f>
        <v>4.348625601415999</v>
      </c>
      <c r="E69" s="26">
        <f>E53*('Population NYC'!F10*10^-6)</f>
        <v>4.5345719904915924</v>
      </c>
      <c r="F69" s="26">
        <f>F53*('Population NYC'!G10*10^-6)</f>
        <v>4.7084540501496388</v>
      </c>
      <c r="G69" s="26">
        <f>G53*('Population NYC'!H10*10^-6)</f>
        <v>7.9819327850000006</v>
      </c>
      <c r="H69" s="26">
        <f>H53*('Population NYC'!I10*10^-6)</f>
        <v>8.1753543149999999</v>
      </c>
      <c r="I69" s="26">
        <f>I53*('Population NYC'!J10*10^-6)</f>
        <v>8.368775845</v>
      </c>
      <c r="J69" s="26">
        <f>J53*('Population NYC'!K10*10^-6)</f>
        <v>8.5455679750000009</v>
      </c>
      <c r="K69" s="26">
        <f>K53*('Population NYC'!L10*10^-6)</f>
        <v>8.7223601049999999</v>
      </c>
      <c r="L69" s="26">
        <f>L53*('Population NYC'!M10*10^-6)</f>
        <v>8.4801756700000013</v>
      </c>
      <c r="M69" s="26">
        <f>M53*('Population NYC'!N10*10^-6)</f>
        <v>8.6598824907436693</v>
      </c>
    </row>
    <row r="70" spans="1:14" x14ac:dyDescent="0.2">
      <c r="A70" s="41" t="s">
        <v>340</v>
      </c>
      <c r="B70" s="15" t="s">
        <v>427</v>
      </c>
      <c r="C70" s="26">
        <f>C54*('Population NYC'!D11*10^-6)</f>
        <v>3.0099004002524694</v>
      </c>
      <c r="D70" s="26">
        <f>D54*('Population NYC'!E11*10^-6)</f>
        <v>3.0099004002524694</v>
      </c>
      <c r="E70" s="26">
        <f>E54*('Population NYC'!F11*10^-6)</f>
        <v>3.0873783072096317</v>
      </c>
      <c r="F70" s="26">
        <f>F54*('Population NYC'!G11*10^-6)</f>
        <v>3.2294858990055912</v>
      </c>
      <c r="G70" s="26">
        <f>G54*('Population NYC'!H11*10^-6)</f>
        <v>3.1377447650000003</v>
      </c>
      <c r="H70" s="26">
        <f>H54*('Population NYC'!I11*10^-6)</f>
        <v>3.2042444800000003</v>
      </c>
      <c r="I70" s="26">
        <f>I54*('Population NYC'!J11*10^-6)</f>
        <v>3.2707441950000002</v>
      </c>
      <c r="J70" s="26">
        <f>J54*('Population NYC'!K11*10^-6)</f>
        <v>3.3165635575000003</v>
      </c>
      <c r="K70" s="26">
        <f>K54*('Population NYC'!L11*10^-6)</f>
        <v>3.3623829200000008</v>
      </c>
      <c r="L70" s="26">
        <f>L54*('Population NYC'!M11*10^-6)</f>
        <v>3.4457518400000002</v>
      </c>
      <c r="M70" s="26">
        <f>M54*('Population NYC'!N11*10^-6)</f>
        <v>3.5219104477433181</v>
      </c>
      <c r="N70" s="18"/>
    </row>
    <row r="71" spans="1:14" x14ac:dyDescent="0.2">
      <c r="A71" s="41" t="s">
        <v>343</v>
      </c>
      <c r="B71" s="15" t="s">
        <v>428</v>
      </c>
      <c r="C71" s="26">
        <f>C55*('Population NYC'!D12*10^-6)</f>
        <v>3.1068521768686241</v>
      </c>
      <c r="D71" s="26">
        <f>D55*('Population NYC'!E12*10^-6)</f>
        <v>3.1068521768686241</v>
      </c>
      <c r="E71" s="26">
        <f>E55*('Population NYC'!F12*10^-6)</f>
        <v>3.0848576891701072</v>
      </c>
      <c r="F71" s="26">
        <f>F55*('Population NYC'!G12*10^-6)</f>
        <v>3.1426988373672504</v>
      </c>
      <c r="G71" s="26">
        <f>G55*('Population NYC'!H12*10^-6)</f>
        <v>3.5648024300000003</v>
      </c>
      <c r="H71" s="26">
        <f>H55*('Population NYC'!I12*10^-6)</f>
        <v>3.6304989625000004</v>
      </c>
      <c r="I71" s="26">
        <f>I55*('Population NYC'!J12*10^-6)</f>
        <v>3.696195495</v>
      </c>
      <c r="J71" s="26">
        <f>J55*('Population NYC'!K12*10^-6)</f>
        <v>3.7574888499999997</v>
      </c>
      <c r="K71" s="26">
        <f>K55*('Population NYC'!L12*10^-6)</f>
        <v>3.8187822050000002</v>
      </c>
      <c r="L71" s="26">
        <f>L55*('Population NYC'!M12*10^-6)</f>
        <v>3.8747451000000002</v>
      </c>
      <c r="M71" s="26">
        <f>M55*('Population NYC'!N12*10^-6)</f>
        <v>3.9166558307827875</v>
      </c>
      <c r="N71" s="26"/>
    </row>
    <row r="72" spans="1:14" x14ac:dyDescent="0.2">
      <c r="A72" s="41" t="s">
        <v>345</v>
      </c>
      <c r="B72" s="15" t="s">
        <v>429</v>
      </c>
      <c r="C72" s="26">
        <f>C56*('Population NYC'!D13*10^-6)</f>
        <v>2.0302486284894297</v>
      </c>
      <c r="D72" s="26">
        <f>D56*('Population NYC'!E13*10^-6)</f>
        <v>2.0302486284894297</v>
      </c>
      <c r="E72" s="26">
        <f>E56*('Population NYC'!F13*10^-6)</f>
        <v>2.0796449789445806</v>
      </c>
      <c r="F72" s="26">
        <f>F56*('Population NYC'!G13*10^-6)</f>
        <v>2.143016121518615</v>
      </c>
      <c r="G72" s="26">
        <f>G56*('Population NYC'!H13*10^-6)</f>
        <v>2.1844249900000001</v>
      </c>
      <c r="H72" s="26">
        <f>H56*('Population NYC'!I13*10^-6)</f>
        <v>2.2367736550000004</v>
      </c>
      <c r="I72" s="26">
        <f>I56*('Population NYC'!J13*10^-6)</f>
        <v>2.2891223200000002</v>
      </c>
      <c r="J72" s="26">
        <f>J56*('Population NYC'!K13*10^-6)</f>
        <v>2.330041375</v>
      </c>
      <c r="K72" s="26">
        <f>K56*('Population NYC'!L13*10^-6)</f>
        <v>2.3709604300000007</v>
      </c>
      <c r="L72" s="26">
        <f>L56*('Population NYC'!M13*10^-6)</f>
        <v>2.4054032900000002</v>
      </c>
      <c r="M72" s="26">
        <f>M56*('Population NYC'!N13*10^-6)</f>
        <v>2.4323317530417454</v>
      </c>
    </row>
    <row r="73" spans="1:14" x14ac:dyDescent="0.2">
      <c r="A73" s="41" t="s">
        <v>346</v>
      </c>
      <c r="B73" s="15" t="s">
        <v>430</v>
      </c>
      <c r="C73" s="26">
        <f>C57*('Population NYC'!D14*10^-6)</f>
        <v>7.16140636149348</v>
      </c>
      <c r="D73" s="26">
        <f>D57*('Population NYC'!E14*10^-6)</f>
        <v>7.16140636149348</v>
      </c>
      <c r="E73" s="26">
        <f>E57*('Population NYC'!F14*10^-6)</f>
        <v>6.8764353559140909</v>
      </c>
      <c r="F73" s="26">
        <f>F57*('Population NYC'!G14*10^-6)</f>
        <v>6.9182671823789104</v>
      </c>
      <c r="G73" s="26">
        <f>G57*('Population NYC'!H14*10^-6)</f>
        <v>4.7126752349999999</v>
      </c>
      <c r="H73" s="26">
        <f>H57*('Population NYC'!I14*10^-6)</f>
        <v>4.8365343350000005</v>
      </c>
      <c r="I73" s="26">
        <f>I57*('Population NYC'!J14*10^-6)</f>
        <v>4.9603934350000012</v>
      </c>
      <c r="J73" s="26">
        <f>J57*('Population NYC'!K14*10^-6)</f>
        <v>5.0656795100000007</v>
      </c>
      <c r="K73" s="26">
        <f>K57*('Population NYC'!L14*10^-6)</f>
        <v>5.1709655850000003</v>
      </c>
      <c r="L73" s="26">
        <f>L57*('Population NYC'!M14*10^-6)</f>
        <v>5.1618581050000003</v>
      </c>
      <c r="M73" s="26">
        <f>M57*('Population NYC'!N14*10^-6)</f>
        <v>5.2297489842295661</v>
      </c>
    </row>
    <row r="74" spans="1:14" x14ac:dyDescent="0.2">
      <c r="C74" s="26"/>
      <c r="D74" s="26"/>
      <c r="E74" s="26"/>
      <c r="F74" s="26"/>
      <c r="G74" s="26"/>
      <c r="H74" s="26"/>
      <c r="I74" s="26"/>
      <c r="J74" s="26"/>
      <c r="K74" s="26"/>
      <c r="L74" s="26"/>
      <c r="M74" s="26"/>
      <c r="N74" s="18"/>
    </row>
    <row r="75" spans="1:14" x14ac:dyDescent="0.2">
      <c r="C75" s="26"/>
      <c r="D75" s="26"/>
      <c r="E75" s="26"/>
      <c r="F75" s="26"/>
      <c r="G75" s="26"/>
      <c r="H75" s="26"/>
      <c r="I75" s="26"/>
      <c r="J75" s="26"/>
      <c r="K75" s="26"/>
      <c r="L75" s="26"/>
      <c r="M75" s="26"/>
      <c r="N75" s="26"/>
    </row>
    <row r="76" spans="1:14" x14ac:dyDescent="0.2">
      <c r="C76" s="26"/>
      <c r="D76" s="26"/>
      <c r="E76" s="26"/>
      <c r="F76" s="26"/>
      <c r="G76" s="26"/>
      <c r="H76" s="26"/>
      <c r="I76" s="26"/>
      <c r="J76" s="26"/>
      <c r="K76" s="26"/>
      <c r="L76" s="26"/>
      <c r="M76" s="26"/>
    </row>
    <row r="77" spans="1:14" x14ac:dyDescent="0.2">
      <c r="A77" s="42"/>
      <c r="B77" s="15" t="s">
        <v>405</v>
      </c>
      <c r="C77" s="26">
        <f t="shared" ref="C77" si="16">SUM(C68:C76)</f>
        <v>19.657033168520002</v>
      </c>
      <c r="D77" s="26">
        <f>SUM(D68:D73)</f>
        <v>19.657033168520002</v>
      </c>
      <c r="E77" s="26">
        <f t="shared" ref="E77:M77" si="17">SUM(E68:E73)</f>
        <v>19.662888321730001</v>
      </c>
      <c r="F77" s="26">
        <f t="shared" si="17"/>
        <v>20.141922090420007</v>
      </c>
      <c r="G77" s="26">
        <f t="shared" si="17"/>
        <v>21.581580205000002</v>
      </c>
      <c r="H77" s="26">
        <f t="shared" si="17"/>
        <v>22.083405747499999</v>
      </c>
      <c r="I77" s="26">
        <f t="shared" si="17"/>
        <v>22.585231289999999</v>
      </c>
      <c r="J77" s="26">
        <f t="shared" si="17"/>
        <v>23.015341267499998</v>
      </c>
      <c r="K77" s="26">
        <f t="shared" si="17"/>
        <v>23.445451245000005</v>
      </c>
      <c r="L77" s="26">
        <f t="shared" si="17"/>
        <v>23.367934005000002</v>
      </c>
      <c r="M77" s="26">
        <f t="shared" si="17"/>
        <v>23.760529506541086</v>
      </c>
    </row>
    <row r="78" spans="1:14" x14ac:dyDescent="0.2">
      <c r="A78" s="42"/>
      <c r="B78" s="15" t="s">
        <v>676</v>
      </c>
      <c r="C78" s="26">
        <f t="shared" ref="C78:M78" si="18">C77/C12</f>
        <v>2.4044909322600625</v>
      </c>
      <c r="D78" s="26">
        <f t="shared" si="18"/>
        <v>2.4044909322600625</v>
      </c>
      <c r="E78" s="26">
        <f t="shared" si="18"/>
        <v>2.3157113862360723</v>
      </c>
      <c r="F78" s="26">
        <f t="shared" si="18"/>
        <v>2.3555128523322093</v>
      </c>
      <c r="G78" s="26">
        <f t="shared" si="18"/>
        <v>2.4846399596638222</v>
      </c>
      <c r="H78" s="26">
        <f t="shared" si="18"/>
        <v>2.5034959928702176</v>
      </c>
      <c r="I78" s="26">
        <f t="shared" si="18"/>
        <v>2.5311009318973281</v>
      </c>
      <c r="J78" s="26">
        <f t="shared" si="18"/>
        <v>2.5501353460249114</v>
      </c>
      <c r="K78" s="26">
        <f t="shared" si="18"/>
        <v>2.5551164351897437</v>
      </c>
      <c r="L78" s="26">
        <f t="shared" si="18"/>
        <v>2.5047768768312326</v>
      </c>
      <c r="M78" s="26">
        <f t="shared" si="18"/>
        <v>2.5049081950934244</v>
      </c>
      <c r="N78" s="18"/>
    </row>
    <row r="79" spans="1:14" x14ac:dyDescent="0.2">
      <c r="A79" s="42"/>
      <c r="C79" s="26"/>
      <c r="D79" s="26"/>
      <c r="E79" s="26"/>
      <c r="F79" s="26"/>
      <c r="G79" s="26"/>
      <c r="H79" s="26"/>
      <c r="I79" s="26"/>
      <c r="J79" s="26"/>
      <c r="K79" s="26"/>
      <c r="L79" s="26"/>
      <c r="M79" s="26"/>
      <c r="N79" s="26"/>
    </row>
    <row r="80" spans="1:14" x14ac:dyDescent="0.2">
      <c r="A80" s="14" t="s">
        <v>658</v>
      </c>
      <c r="B80" s="18"/>
    </row>
    <row r="81" spans="1:14" x14ac:dyDescent="0.2">
      <c r="A81" s="42"/>
      <c r="C81" s="43">
        <v>2005</v>
      </c>
      <c r="D81" s="43">
        <v>2010</v>
      </c>
      <c r="E81" s="43">
        <v>2015</v>
      </c>
      <c r="F81" s="43">
        <v>2020</v>
      </c>
      <c r="G81" s="43">
        <v>2025</v>
      </c>
      <c r="H81" s="43">
        <v>2030</v>
      </c>
      <c r="I81" s="43">
        <v>2035</v>
      </c>
      <c r="J81" s="43">
        <v>2040</v>
      </c>
      <c r="K81" s="43">
        <v>2045</v>
      </c>
      <c r="L81" s="43">
        <v>2050</v>
      </c>
      <c r="M81" s="43">
        <v>2055</v>
      </c>
    </row>
    <row r="82" spans="1:14" x14ac:dyDescent="0.2">
      <c r="A82" s="42" t="s">
        <v>677</v>
      </c>
      <c r="B82" s="15" t="s">
        <v>143</v>
      </c>
      <c r="C82" s="39">
        <f>C68</f>
        <v>0</v>
      </c>
      <c r="D82" s="39">
        <f t="shared" ref="D82:M82" si="19">D68</f>
        <v>0</v>
      </c>
      <c r="E82" s="39">
        <f t="shared" si="19"/>
        <v>0</v>
      </c>
      <c r="F82" s="39">
        <f t="shared" si="19"/>
        <v>0</v>
      </c>
      <c r="G82" s="39">
        <f t="shared" si="19"/>
        <v>0</v>
      </c>
      <c r="H82" s="39">
        <f t="shared" si="19"/>
        <v>0</v>
      </c>
      <c r="I82" s="39">
        <f t="shared" si="19"/>
        <v>0</v>
      </c>
      <c r="J82" s="39">
        <f t="shared" si="19"/>
        <v>0</v>
      </c>
      <c r="K82" s="39">
        <f t="shared" si="19"/>
        <v>0</v>
      </c>
      <c r="L82" s="39">
        <f t="shared" si="19"/>
        <v>0</v>
      </c>
      <c r="M82" s="39">
        <f t="shared" si="19"/>
        <v>0</v>
      </c>
      <c r="N82" s="18"/>
    </row>
    <row r="83" spans="1:14" x14ac:dyDescent="0.2">
      <c r="A83" s="42"/>
      <c r="C83" s="26"/>
      <c r="N83" s="26"/>
    </row>
    <row r="84" spans="1:14" x14ac:dyDescent="0.2">
      <c r="A84" s="14" t="s">
        <v>336</v>
      </c>
      <c r="B84" s="18"/>
    </row>
    <row r="85" spans="1:14" x14ac:dyDescent="0.2">
      <c r="A85" s="42"/>
      <c r="C85" s="43">
        <v>2005</v>
      </c>
      <c r="D85" s="43">
        <v>2010</v>
      </c>
      <c r="E85" s="43">
        <v>2015</v>
      </c>
      <c r="F85" s="43">
        <v>2020</v>
      </c>
      <c r="G85" s="43">
        <v>2025</v>
      </c>
      <c r="H85" s="43">
        <v>2030</v>
      </c>
      <c r="I85" s="43">
        <v>2035</v>
      </c>
      <c r="J85" s="43">
        <v>2040</v>
      </c>
      <c r="K85" s="43">
        <v>2045</v>
      </c>
      <c r="L85" s="43">
        <v>2050</v>
      </c>
      <c r="M85" s="43">
        <v>2055</v>
      </c>
    </row>
    <row r="86" spans="1:14" x14ac:dyDescent="0.2">
      <c r="A86" s="42" t="s">
        <v>677</v>
      </c>
      <c r="B86" s="15" t="s">
        <v>143</v>
      </c>
      <c r="C86" s="39">
        <f>C69</f>
        <v>4.348625601415999</v>
      </c>
      <c r="D86" s="39">
        <f>D69</f>
        <v>4.348625601415999</v>
      </c>
      <c r="E86" s="39">
        <f t="shared" ref="E86:M86" si="20">E69</f>
        <v>4.5345719904915924</v>
      </c>
      <c r="F86" s="39">
        <f t="shared" si="20"/>
        <v>4.7084540501496388</v>
      </c>
      <c r="G86" s="39">
        <f t="shared" si="20"/>
        <v>7.9819327850000006</v>
      </c>
      <c r="H86" s="39">
        <f t="shared" si="20"/>
        <v>8.1753543149999999</v>
      </c>
      <c r="I86" s="39">
        <f t="shared" si="20"/>
        <v>8.368775845</v>
      </c>
      <c r="J86" s="39">
        <f t="shared" si="20"/>
        <v>8.5455679750000009</v>
      </c>
      <c r="K86" s="39">
        <f t="shared" si="20"/>
        <v>8.7223601049999999</v>
      </c>
      <c r="L86" s="39">
        <f t="shared" si="20"/>
        <v>8.4801756700000013</v>
      </c>
      <c r="M86" s="39">
        <f t="shared" si="20"/>
        <v>8.6598824907436693</v>
      </c>
      <c r="N86" s="18"/>
    </row>
    <row r="87" spans="1:14" x14ac:dyDescent="0.2">
      <c r="A87" s="42"/>
      <c r="C87" s="26"/>
      <c r="N87" s="26"/>
    </row>
    <row r="88" spans="1:14" x14ac:dyDescent="0.2">
      <c r="A88" s="14" t="s">
        <v>340</v>
      </c>
      <c r="B88" s="18"/>
    </row>
    <row r="89" spans="1:14" x14ac:dyDescent="0.2">
      <c r="A89" s="42"/>
      <c r="C89" s="43">
        <v>2005</v>
      </c>
      <c r="D89" s="43">
        <v>2010</v>
      </c>
      <c r="E89" s="43">
        <v>2015</v>
      </c>
      <c r="F89" s="43">
        <v>2020</v>
      </c>
      <c r="G89" s="43">
        <v>2025</v>
      </c>
      <c r="H89" s="43">
        <v>2030</v>
      </c>
      <c r="I89" s="43">
        <v>2035</v>
      </c>
      <c r="J89" s="43">
        <v>2040</v>
      </c>
      <c r="K89" s="43">
        <v>2045</v>
      </c>
      <c r="L89" s="43">
        <v>2050</v>
      </c>
      <c r="M89" s="43">
        <v>2055</v>
      </c>
    </row>
    <row r="90" spans="1:14" x14ac:dyDescent="0.2">
      <c r="A90" s="42" t="s">
        <v>677</v>
      </c>
      <c r="B90" s="15" t="s">
        <v>143</v>
      </c>
      <c r="C90" s="39">
        <f>C70</f>
        <v>3.0099004002524694</v>
      </c>
      <c r="D90" s="39">
        <f t="shared" ref="D90:M90" si="21">D70</f>
        <v>3.0099004002524694</v>
      </c>
      <c r="E90" s="39">
        <f t="shared" si="21"/>
        <v>3.0873783072096317</v>
      </c>
      <c r="F90" s="39">
        <f t="shared" si="21"/>
        <v>3.2294858990055912</v>
      </c>
      <c r="G90" s="39">
        <f t="shared" si="21"/>
        <v>3.1377447650000003</v>
      </c>
      <c r="H90" s="39">
        <f t="shared" si="21"/>
        <v>3.2042444800000003</v>
      </c>
      <c r="I90" s="39">
        <f t="shared" si="21"/>
        <v>3.2707441950000002</v>
      </c>
      <c r="J90" s="39">
        <f t="shared" si="21"/>
        <v>3.3165635575000003</v>
      </c>
      <c r="K90" s="39">
        <f t="shared" si="21"/>
        <v>3.3623829200000008</v>
      </c>
      <c r="L90" s="39">
        <f t="shared" si="21"/>
        <v>3.4457518400000002</v>
      </c>
      <c r="M90" s="39">
        <f t="shared" si="21"/>
        <v>3.5219104477433181</v>
      </c>
      <c r="N90" s="18"/>
    </row>
    <row r="91" spans="1:14" x14ac:dyDescent="0.2">
      <c r="A91" s="42"/>
      <c r="C91" s="26"/>
      <c r="N91" s="26"/>
    </row>
    <row r="92" spans="1:14" x14ac:dyDescent="0.2">
      <c r="A92" s="14" t="s">
        <v>343</v>
      </c>
      <c r="B92" s="18"/>
    </row>
    <row r="93" spans="1:14" x14ac:dyDescent="0.2">
      <c r="A93" s="42"/>
      <c r="C93" s="43">
        <v>2005</v>
      </c>
      <c r="D93" s="43">
        <v>2010</v>
      </c>
      <c r="E93" s="43">
        <v>2015</v>
      </c>
      <c r="F93" s="43">
        <v>2020</v>
      </c>
      <c r="G93" s="43">
        <v>2025</v>
      </c>
      <c r="H93" s="43">
        <v>2030</v>
      </c>
      <c r="I93" s="43">
        <v>2035</v>
      </c>
      <c r="J93" s="43">
        <v>2040</v>
      </c>
      <c r="K93" s="43">
        <v>2045</v>
      </c>
      <c r="L93" s="43">
        <v>2050</v>
      </c>
      <c r="M93" s="43">
        <v>2055</v>
      </c>
    </row>
    <row r="94" spans="1:14" x14ac:dyDescent="0.2">
      <c r="A94" s="42" t="s">
        <v>677</v>
      </c>
      <c r="B94" s="15" t="s">
        <v>143</v>
      </c>
      <c r="C94" s="39">
        <f>C71</f>
        <v>3.1068521768686241</v>
      </c>
      <c r="D94" s="39">
        <f>D71</f>
        <v>3.1068521768686241</v>
      </c>
      <c r="E94" s="39">
        <f t="shared" ref="E94:M94" si="22">E71</f>
        <v>3.0848576891701072</v>
      </c>
      <c r="F94" s="39">
        <f t="shared" si="22"/>
        <v>3.1426988373672504</v>
      </c>
      <c r="G94" s="39">
        <f t="shared" si="22"/>
        <v>3.5648024300000003</v>
      </c>
      <c r="H94" s="39">
        <f t="shared" si="22"/>
        <v>3.6304989625000004</v>
      </c>
      <c r="I94" s="39">
        <f t="shared" si="22"/>
        <v>3.696195495</v>
      </c>
      <c r="J94" s="39">
        <f>J71</f>
        <v>3.7574888499999997</v>
      </c>
      <c r="K94" s="39">
        <f t="shared" si="22"/>
        <v>3.8187822050000002</v>
      </c>
      <c r="L94" s="39">
        <f t="shared" si="22"/>
        <v>3.8747451000000002</v>
      </c>
      <c r="M94" s="39">
        <f t="shared" si="22"/>
        <v>3.9166558307827875</v>
      </c>
      <c r="N94" s="18"/>
    </row>
    <row r="95" spans="1:14" x14ac:dyDescent="0.2">
      <c r="A95" s="42"/>
      <c r="C95" s="26"/>
      <c r="N95" s="26"/>
    </row>
    <row r="96" spans="1:14" x14ac:dyDescent="0.2">
      <c r="A96" s="14" t="s">
        <v>345</v>
      </c>
      <c r="B96" s="18"/>
    </row>
    <row r="97" spans="1:14" x14ac:dyDescent="0.2">
      <c r="A97" s="42"/>
      <c r="C97" s="43">
        <v>2005</v>
      </c>
      <c r="D97" s="43">
        <v>2010</v>
      </c>
      <c r="E97" s="43">
        <v>2015</v>
      </c>
      <c r="F97" s="43">
        <v>2020</v>
      </c>
      <c r="G97" s="43">
        <v>2025</v>
      </c>
      <c r="H97" s="43">
        <v>2030</v>
      </c>
      <c r="I97" s="43">
        <v>2035</v>
      </c>
      <c r="J97" s="43">
        <v>2040</v>
      </c>
      <c r="K97" s="43">
        <v>2045</v>
      </c>
      <c r="L97" s="43">
        <v>2050</v>
      </c>
      <c r="M97" s="43">
        <v>2055</v>
      </c>
    </row>
    <row r="98" spans="1:14" x14ac:dyDescent="0.2">
      <c r="A98" s="42" t="s">
        <v>677</v>
      </c>
      <c r="B98" s="15" t="s">
        <v>143</v>
      </c>
      <c r="C98" s="39">
        <f>C72</f>
        <v>2.0302486284894297</v>
      </c>
      <c r="D98" s="39">
        <f t="shared" ref="D98:M98" si="23">D72</f>
        <v>2.0302486284894297</v>
      </c>
      <c r="E98" s="39">
        <f t="shared" si="23"/>
        <v>2.0796449789445806</v>
      </c>
      <c r="F98" s="39">
        <f t="shared" si="23"/>
        <v>2.143016121518615</v>
      </c>
      <c r="G98" s="39">
        <f t="shared" si="23"/>
        <v>2.1844249900000001</v>
      </c>
      <c r="H98" s="39">
        <f t="shared" si="23"/>
        <v>2.2367736550000004</v>
      </c>
      <c r="I98" s="39">
        <f t="shared" si="23"/>
        <v>2.2891223200000002</v>
      </c>
      <c r="J98" s="39">
        <f t="shared" si="23"/>
        <v>2.330041375</v>
      </c>
      <c r="K98" s="39">
        <f t="shared" si="23"/>
        <v>2.3709604300000007</v>
      </c>
      <c r="L98" s="39">
        <f t="shared" si="23"/>
        <v>2.4054032900000002</v>
      </c>
      <c r="M98" s="39">
        <f t="shared" si="23"/>
        <v>2.4323317530417454</v>
      </c>
      <c r="N98" s="18"/>
    </row>
    <row r="99" spans="1:14" x14ac:dyDescent="0.2">
      <c r="A99" s="42"/>
      <c r="C99" s="26"/>
      <c r="N99" s="26"/>
    </row>
    <row r="100" spans="1:14" x14ac:dyDescent="0.2">
      <c r="A100" s="14" t="s">
        <v>346</v>
      </c>
      <c r="B100" s="18"/>
    </row>
    <row r="101" spans="1:14" x14ac:dyDescent="0.2">
      <c r="A101" s="42"/>
      <c r="C101" s="43">
        <v>2005</v>
      </c>
      <c r="D101" s="43">
        <v>2010</v>
      </c>
      <c r="E101" s="43">
        <v>2015</v>
      </c>
      <c r="F101" s="43">
        <v>2020</v>
      </c>
      <c r="G101" s="43">
        <v>2025</v>
      </c>
      <c r="H101" s="43">
        <v>2030</v>
      </c>
      <c r="I101" s="43">
        <v>2035</v>
      </c>
      <c r="J101" s="43">
        <v>2040</v>
      </c>
      <c r="K101" s="43">
        <v>2045</v>
      </c>
      <c r="L101" s="43">
        <v>2050</v>
      </c>
      <c r="M101" s="43">
        <v>2055</v>
      </c>
    </row>
    <row r="102" spans="1:14" x14ac:dyDescent="0.2">
      <c r="A102" s="42" t="s">
        <v>677</v>
      </c>
      <c r="B102" s="15" t="s">
        <v>143</v>
      </c>
      <c r="C102" s="39">
        <f>C73</f>
        <v>7.16140636149348</v>
      </c>
      <c r="D102" s="39">
        <f t="shared" ref="D102:M102" si="24">D73</f>
        <v>7.16140636149348</v>
      </c>
      <c r="E102" s="39">
        <f t="shared" si="24"/>
        <v>6.8764353559140909</v>
      </c>
      <c r="F102" s="39">
        <f t="shared" si="24"/>
        <v>6.9182671823789104</v>
      </c>
      <c r="G102" s="39">
        <f t="shared" si="24"/>
        <v>4.7126752349999999</v>
      </c>
      <c r="H102" s="39">
        <f t="shared" si="24"/>
        <v>4.8365343350000005</v>
      </c>
      <c r="I102" s="39">
        <f t="shared" si="24"/>
        <v>4.9603934350000012</v>
      </c>
      <c r="J102" s="39">
        <f t="shared" si="24"/>
        <v>5.0656795100000007</v>
      </c>
      <c r="K102" s="39">
        <f t="shared" si="24"/>
        <v>5.1709655850000003</v>
      </c>
      <c r="L102" s="39">
        <f t="shared" si="24"/>
        <v>5.1618581050000003</v>
      </c>
      <c r="M102" s="39">
        <f t="shared" si="24"/>
        <v>5.2297489842295661</v>
      </c>
      <c r="N102" s="18"/>
    </row>
    <row r="103" spans="1:14" x14ac:dyDescent="0.2">
      <c r="A103" s="42"/>
      <c r="C103" s="26"/>
      <c r="N103" s="26"/>
    </row>
    <row r="104" spans="1:14" x14ac:dyDescent="0.2">
      <c r="A104" s="14"/>
      <c r="B104" s="18"/>
    </row>
    <row r="105" spans="1:14" x14ac:dyDescent="0.2">
      <c r="A105" s="42"/>
      <c r="C105" s="43">
        <v>2005</v>
      </c>
      <c r="D105" s="43">
        <v>2010</v>
      </c>
      <c r="E105" s="43">
        <v>2015</v>
      </c>
      <c r="F105" s="43">
        <v>2020</v>
      </c>
      <c r="G105" s="43">
        <v>2025</v>
      </c>
      <c r="H105" s="43">
        <v>2030</v>
      </c>
      <c r="I105" s="43">
        <v>2035</v>
      </c>
      <c r="J105" s="43">
        <v>2040</v>
      </c>
      <c r="K105" s="43">
        <v>2045</v>
      </c>
      <c r="L105" s="43">
        <v>2050</v>
      </c>
      <c r="M105" s="43">
        <v>2055</v>
      </c>
    </row>
    <row r="106" spans="1:14" x14ac:dyDescent="0.2">
      <c r="A106" s="42" t="s">
        <v>677</v>
      </c>
      <c r="B106" s="15" t="s">
        <v>143</v>
      </c>
      <c r="C106" s="39">
        <f>C74</f>
        <v>0</v>
      </c>
      <c r="D106" s="39">
        <f t="shared" ref="D106:M106" si="25">D74</f>
        <v>0</v>
      </c>
      <c r="E106" s="39">
        <f t="shared" si="25"/>
        <v>0</v>
      </c>
      <c r="F106" s="39">
        <f t="shared" si="25"/>
        <v>0</v>
      </c>
      <c r="G106" s="39">
        <f t="shared" si="25"/>
        <v>0</v>
      </c>
      <c r="H106" s="39">
        <f t="shared" si="25"/>
        <v>0</v>
      </c>
      <c r="I106" s="39">
        <f t="shared" si="25"/>
        <v>0</v>
      </c>
      <c r="J106" s="39">
        <f t="shared" si="25"/>
        <v>0</v>
      </c>
      <c r="K106" s="39">
        <f t="shared" si="25"/>
        <v>0</v>
      </c>
      <c r="L106" s="39">
        <f t="shared" si="25"/>
        <v>0</v>
      </c>
      <c r="M106" s="39">
        <f t="shared" si="25"/>
        <v>0</v>
      </c>
    </row>
    <row r="107" spans="1:14" x14ac:dyDescent="0.2">
      <c r="A107" s="42"/>
      <c r="C107" s="26"/>
    </row>
    <row r="108" spans="1:14" x14ac:dyDescent="0.2">
      <c r="A108" s="14"/>
      <c r="B108" s="18"/>
    </row>
    <row r="109" spans="1:14" x14ac:dyDescent="0.2">
      <c r="A109" s="42"/>
      <c r="C109" s="43">
        <v>2005</v>
      </c>
      <c r="D109" s="43">
        <v>2010</v>
      </c>
      <c r="E109" s="43">
        <v>2015</v>
      </c>
      <c r="F109" s="43">
        <v>2020</v>
      </c>
      <c r="G109" s="43">
        <v>2025</v>
      </c>
      <c r="H109" s="43">
        <v>2030</v>
      </c>
      <c r="I109" s="43">
        <v>2035</v>
      </c>
      <c r="J109" s="43">
        <v>2040</v>
      </c>
      <c r="K109" s="43">
        <v>2045</v>
      </c>
      <c r="L109" s="43">
        <v>2050</v>
      </c>
      <c r="M109" s="43">
        <v>2055</v>
      </c>
    </row>
    <row r="110" spans="1:14" x14ac:dyDescent="0.2">
      <c r="A110" s="42" t="s">
        <v>677</v>
      </c>
      <c r="B110" s="15" t="s">
        <v>143</v>
      </c>
      <c r="C110" s="39">
        <f t="shared" ref="C110:M110" si="26">C75</f>
        <v>0</v>
      </c>
      <c r="D110" s="39">
        <f t="shared" si="26"/>
        <v>0</v>
      </c>
      <c r="E110" s="39">
        <f t="shared" si="26"/>
        <v>0</v>
      </c>
      <c r="F110" s="39">
        <f t="shared" si="26"/>
        <v>0</v>
      </c>
      <c r="G110" s="39">
        <f t="shared" si="26"/>
        <v>0</v>
      </c>
      <c r="H110" s="39">
        <f t="shared" si="26"/>
        <v>0</v>
      </c>
      <c r="I110" s="39">
        <f t="shared" si="26"/>
        <v>0</v>
      </c>
      <c r="J110" s="39">
        <f t="shared" si="26"/>
        <v>0</v>
      </c>
      <c r="K110" s="39">
        <f t="shared" si="26"/>
        <v>0</v>
      </c>
      <c r="L110" s="39">
        <f t="shared" si="26"/>
        <v>0</v>
      </c>
      <c r="M110" s="39">
        <f t="shared" si="26"/>
        <v>0</v>
      </c>
    </row>
    <row r="111" spans="1:14" x14ac:dyDescent="0.2">
      <c r="A111" s="42"/>
      <c r="C111" s="26"/>
    </row>
    <row r="112" spans="1:14" x14ac:dyDescent="0.2">
      <c r="A112" s="14"/>
      <c r="B112" s="18"/>
    </row>
    <row r="113" spans="1:13" x14ac:dyDescent="0.2">
      <c r="A113" s="42"/>
      <c r="C113" s="43">
        <v>2005</v>
      </c>
      <c r="D113" s="43">
        <v>2010</v>
      </c>
      <c r="E113" s="43">
        <v>2015</v>
      </c>
      <c r="F113" s="43">
        <v>2020</v>
      </c>
      <c r="G113" s="43">
        <v>2025</v>
      </c>
      <c r="H113" s="43">
        <v>2030</v>
      </c>
      <c r="I113" s="43">
        <v>2035</v>
      </c>
      <c r="J113" s="43">
        <v>2040</v>
      </c>
      <c r="K113" s="43">
        <v>2045</v>
      </c>
      <c r="L113" s="43">
        <v>2050</v>
      </c>
      <c r="M113" s="43">
        <v>2055</v>
      </c>
    </row>
    <row r="114" spans="1:13" x14ac:dyDescent="0.2">
      <c r="A114" s="42" t="s">
        <v>677</v>
      </c>
      <c r="B114" s="15" t="s">
        <v>143</v>
      </c>
      <c r="C114" s="39">
        <f t="shared" ref="C114:M114" si="27">C76</f>
        <v>0</v>
      </c>
      <c r="D114" s="39">
        <f t="shared" si="27"/>
        <v>0</v>
      </c>
      <c r="E114" s="39">
        <f t="shared" si="27"/>
        <v>0</v>
      </c>
      <c r="F114" s="39">
        <f t="shared" si="27"/>
        <v>0</v>
      </c>
      <c r="G114" s="39">
        <f t="shared" si="27"/>
        <v>0</v>
      </c>
      <c r="H114" s="39">
        <f t="shared" si="27"/>
        <v>0</v>
      </c>
      <c r="I114" s="39">
        <f t="shared" si="27"/>
        <v>0</v>
      </c>
      <c r="J114" s="39">
        <f t="shared" si="27"/>
        <v>0</v>
      </c>
      <c r="K114" s="39">
        <f t="shared" si="27"/>
        <v>0</v>
      </c>
      <c r="L114" s="39">
        <f t="shared" si="27"/>
        <v>0</v>
      </c>
      <c r="M114" s="39">
        <f t="shared" si="27"/>
        <v>0</v>
      </c>
    </row>
    <row r="115" spans="1:13" x14ac:dyDescent="0.2">
      <c r="A115" s="42"/>
      <c r="C115" s="26"/>
    </row>
    <row r="116" spans="1:13" x14ac:dyDescent="0.2">
      <c r="A116" s="14"/>
      <c r="B116" s="18" t="s">
        <v>425</v>
      </c>
    </row>
    <row r="117" spans="1:13" x14ac:dyDescent="0.2">
      <c r="A117" s="42"/>
      <c r="C117" s="43">
        <v>2005</v>
      </c>
      <c r="D117" s="43">
        <v>2010</v>
      </c>
      <c r="E117" s="43">
        <v>2015</v>
      </c>
      <c r="F117" s="43">
        <v>2020</v>
      </c>
      <c r="G117" s="43">
        <v>2025</v>
      </c>
      <c r="H117" s="43">
        <v>2030</v>
      </c>
      <c r="I117" s="43">
        <v>2035</v>
      </c>
      <c r="J117" s="43">
        <v>2040</v>
      </c>
      <c r="K117" s="43">
        <v>2045</v>
      </c>
      <c r="L117" s="43">
        <v>2050</v>
      </c>
      <c r="M117" s="43">
        <v>2055</v>
      </c>
    </row>
    <row r="118" spans="1:13" x14ac:dyDescent="0.2">
      <c r="A118" s="42" t="s">
        <v>677</v>
      </c>
      <c r="B118" s="15" t="s">
        <v>143</v>
      </c>
      <c r="C118" s="39">
        <f>C114+C110+C106+C102+C98+C94+C90+C86+C82</f>
        <v>19.657033168520002</v>
      </c>
      <c r="D118" s="39">
        <f t="shared" ref="D118:M118" si="28">D114+D110+D106+D102+D98+D94+D90+D86+D82</f>
        <v>19.657033168520002</v>
      </c>
      <c r="E118" s="39">
        <f t="shared" si="28"/>
        <v>19.662888321730001</v>
      </c>
      <c r="F118" s="39">
        <f t="shared" si="28"/>
        <v>20.141922090420003</v>
      </c>
      <c r="G118" s="39">
        <f t="shared" si="28"/>
        <v>21.581580205000002</v>
      </c>
      <c r="H118" s="39">
        <f t="shared" si="28"/>
        <v>22.083405747500002</v>
      </c>
      <c r="I118" s="39">
        <f t="shared" si="28"/>
        <v>22.585231290000003</v>
      </c>
      <c r="J118" s="39">
        <f t="shared" si="28"/>
        <v>23.015341267500002</v>
      </c>
      <c r="K118" s="39">
        <f t="shared" si="28"/>
        <v>23.445451245000001</v>
      </c>
      <c r="L118" s="39">
        <f t="shared" si="28"/>
        <v>23.367934005000002</v>
      </c>
      <c r="M118" s="39">
        <f t="shared" si="28"/>
        <v>23.760529506541086</v>
      </c>
    </row>
    <row r="119" spans="1:13" x14ac:dyDescent="0.2">
      <c r="A119" s="42"/>
      <c r="C119" s="26"/>
    </row>
  </sheetData>
  <hyperlinks>
    <hyperlink ref="AC5" r:id="rId1" xr:uid="{00000000-0004-0000-1B00-000000000000}"/>
    <hyperlink ref="AC4" r:id="rId2" xr:uid="{00000000-0004-0000-1B00-000001000000}"/>
    <hyperlink ref="AC6" r:id="rId3" xr:uid="{00000000-0004-0000-1B00-000002000000}"/>
    <hyperlink ref="AC7" r:id="rId4" xr:uid="{00000000-0004-0000-1B00-000003000000}"/>
    <hyperlink ref="AC8" r:id="rId5" xr:uid="{00000000-0004-0000-1B00-000004000000}"/>
    <hyperlink ref="AC9" r:id="rId6" xr:uid="{00000000-0004-0000-1B00-000005000000}"/>
    <hyperlink ref="AC10" r:id="rId7" xr:uid="{00000000-0004-0000-1B00-000006000000}"/>
    <hyperlink ref="AC11" r:id="rId8" xr:uid="{00000000-0004-0000-1B00-000007000000}"/>
    <hyperlink ref="AC14" r:id="rId9" xr:uid="{00000000-0004-0000-1B00-000008000000}"/>
    <hyperlink ref="AC15" r:id="rId10" xr:uid="{00000000-0004-0000-1B00-000009000000}"/>
    <hyperlink ref="AC16" r:id="rId11" xr:uid="{00000000-0004-0000-1B00-00000A000000}"/>
    <hyperlink ref="AC17" r:id="rId12" xr:uid="{00000000-0004-0000-1B00-00000B000000}"/>
    <hyperlink ref="Z20" r:id="rId13" xr:uid="{00000000-0004-0000-1B00-00000C000000}"/>
    <hyperlink ref="Z21" r:id="rId14" xr:uid="{00000000-0004-0000-1B00-00000D000000}"/>
    <hyperlink ref="Z22" r:id="rId15" xr:uid="{00000000-0004-0000-1B00-00000E000000}"/>
    <hyperlink ref="Z36" r:id="rId16" xr:uid="{00000000-0004-0000-1B00-00000F000000}"/>
    <hyperlink ref="Z35" r:id="rId17" display="Census Street Blog Post on NYC Car Ownershiop" xr:uid="{00000000-0004-0000-1B00-000010000000}"/>
    <hyperlink ref="Z37" r:id="rId18" xr:uid="{00000000-0004-0000-1B00-000011000000}"/>
  </hyperlinks>
  <pageMargins left="0.75" right="0.75" top="1" bottom="1" header="0.5" footer="0.5"/>
  <pageSetup orientation="portrait" r:id="rId19"/>
  <headerFooter alignWithMargins="0"/>
  <drawing r:id="rId20"/>
  <legacyDrawing r:id="rId2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8">
    <tabColor rgb="FFFFC000"/>
  </sheetPr>
  <dimension ref="A1:GH78"/>
  <sheetViews>
    <sheetView showFormulas="1" zoomScale="80" zoomScaleNormal="80" workbookViewId="0">
      <pane xSplit="6" ySplit="8" topLeftCell="DS30" activePane="bottomRight" state="frozen"/>
      <selection pane="topRight" activeCell="I43" sqref="I43"/>
      <selection pane="bottomLeft" activeCell="I43" sqref="I43"/>
      <selection pane="bottomRight" activeCell="DS30" sqref="DS30"/>
    </sheetView>
  </sheetViews>
  <sheetFormatPr defaultColWidth="9.140625" defaultRowHeight="12.75" x14ac:dyDescent="0.2"/>
  <cols>
    <col min="1" max="1" width="6.7109375" style="291" customWidth="1"/>
    <col min="2" max="2" width="17.28515625" style="291" bestFit="1" customWidth="1"/>
    <col min="3" max="3" width="31.28515625" style="291" bestFit="1" customWidth="1"/>
    <col min="4" max="4" width="15.85546875" style="262" bestFit="1" customWidth="1"/>
    <col min="5" max="5" width="10.5703125" style="262" bestFit="1" customWidth="1"/>
    <col min="6" max="6" width="11.28515625" style="262" bestFit="1" customWidth="1"/>
    <col min="7" max="7" width="12.140625" style="262" bestFit="1" customWidth="1"/>
    <col min="8" max="8" width="5.5703125" style="262" bestFit="1" customWidth="1"/>
    <col min="9" max="9" width="11.7109375" style="262" bestFit="1" customWidth="1"/>
    <col min="10" max="10" width="31.7109375" style="262" bestFit="1" customWidth="1"/>
    <col min="11" max="20" width="20.42578125" style="262" bestFit="1" customWidth="1"/>
    <col min="21" max="30" width="19.85546875" style="262" bestFit="1" customWidth="1"/>
    <col min="31" max="40" width="19.5703125" style="262" bestFit="1" customWidth="1"/>
    <col min="41" max="50" width="20.5703125" style="262" bestFit="1" customWidth="1"/>
    <col min="51" max="60" width="21.42578125" style="262" bestFit="1" customWidth="1"/>
    <col min="61" max="70" width="19.42578125" style="262" bestFit="1" customWidth="1"/>
    <col min="71" max="80" width="20.7109375" style="262" bestFit="1" customWidth="1"/>
    <col min="81" max="90" width="20.28515625" style="262" bestFit="1" customWidth="1"/>
    <col min="91" max="100" width="20.42578125" style="262" bestFit="1" customWidth="1"/>
    <col min="101" max="110" width="19.28515625" style="262" bestFit="1" customWidth="1"/>
    <col min="111" max="120" width="19.42578125" style="262" bestFit="1" customWidth="1"/>
    <col min="121" max="130" width="20.28515625" style="262" bestFit="1" customWidth="1"/>
    <col min="131" max="140" width="21.7109375" style="262" bestFit="1" customWidth="1"/>
    <col min="141" max="150" width="21.85546875" style="262" bestFit="1" customWidth="1"/>
    <col min="151" max="160" width="21.5703125" style="262" bestFit="1" customWidth="1"/>
    <col min="161" max="180" width="22.5703125" style="262" bestFit="1" customWidth="1"/>
    <col min="181" max="16384" width="9.140625" style="262"/>
  </cols>
  <sheetData>
    <row r="1" spans="1:190" x14ac:dyDescent="0.2">
      <c r="A1" s="290" t="s">
        <v>274</v>
      </c>
      <c r="B1" s="291" t="s">
        <v>66</v>
      </c>
      <c r="G1" s="322" t="s">
        <v>190</v>
      </c>
      <c r="H1" s="262" t="s">
        <v>190</v>
      </c>
      <c r="I1" s="262" t="s">
        <v>190</v>
      </c>
      <c r="J1" s="262" t="s">
        <v>190</v>
      </c>
      <c r="K1" s="322" t="s">
        <v>190</v>
      </c>
      <c r="L1" s="322" t="s">
        <v>190</v>
      </c>
      <c r="M1" s="322" t="s">
        <v>190</v>
      </c>
      <c r="N1" s="322" t="s">
        <v>190</v>
      </c>
      <c r="O1" s="322" t="s">
        <v>190</v>
      </c>
      <c r="P1" s="322" t="s">
        <v>190</v>
      </c>
      <c r="Q1" s="322" t="s">
        <v>190</v>
      </c>
      <c r="R1" s="322" t="s">
        <v>190</v>
      </c>
      <c r="S1" s="322" t="s">
        <v>190</v>
      </c>
      <c r="T1" s="322" t="s">
        <v>190</v>
      </c>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t="s">
        <v>190</v>
      </c>
      <c r="AZ1" s="322" t="s">
        <v>190</v>
      </c>
      <c r="BA1" s="322" t="s">
        <v>190</v>
      </c>
      <c r="BB1" s="322" t="s">
        <v>190</v>
      </c>
      <c r="BC1" s="322" t="s">
        <v>190</v>
      </c>
      <c r="BD1" s="322" t="s">
        <v>190</v>
      </c>
      <c r="BE1" s="322" t="s">
        <v>190</v>
      </c>
      <c r="BF1" s="322" t="s">
        <v>190</v>
      </c>
      <c r="BG1" s="322" t="s">
        <v>190</v>
      </c>
      <c r="BH1" s="322" t="s">
        <v>190</v>
      </c>
      <c r="BI1" s="322" t="s">
        <v>190</v>
      </c>
      <c r="BJ1" s="322" t="s">
        <v>190</v>
      </c>
      <c r="BK1" s="322" t="s">
        <v>190</v>
      </c>
      <c r="BL1" s="322" t="s">
        <v>190</v>
      </c>
      <c r="BM1" s="322" t="s">
        <v>190</v>
      </c>
      <c r="BN1" s="322" t="s">
        <v>190</v>
      </c>
      <c r="BO1" s="322" t="s">
        <v>190</v>
      </c>
      <c r="BP1" s="322" t="s">
        <v>190</v>
      </c>
      <c r="BQ1" s="322" t="s">
        <v>190</v>
      </c>
      <c r="BR1" s="322" t="s">
        <v>190</v>
      </c>
      <c r="BS1" s="322" t="s">
        <v>190</v>
      </c>
      <c r="BT1" s="322" t="s">
        <v>190</v>
      </c>
      <c r="BU1" s="322" t="s">
        <v>190</v>
      </c>
      <c r="BV1" s="322" t="s">
        <v>190</v>
      </c>
      <c r="BW1" s="322" t="s">
        <v>190</v>
      </c>
      <c r="BX1" s="322" t="s">
        <v>190</v>
      </c>
      <c r="BY1" s="322" t="s">
        <v>190</v>
      </c>
      <c r="BZ1" s="322" t="s">
        <v>190</v>
      </c>
      <c r="CA1" s="322" t="s">
        <v>190</v>
      </c>
      <c r="CB1" s="322" t="s">
        <v>190</v>
      </c>
      <c r="CC1" s="322" t="s">
        <v>190</v>
      </c>
      <c r="CD1" s="322" t="s">
        <v>190</v>
      </c>
      <c r="CE1" s="322" t="s">
        <v>190</v>
      </c>
      <c r="CF1" s="322" t="s">
        <v>190</v>
      </c>
      <c r="CG1" s="322" t="s">
        <v>190</v>
      </c>
      <c r="CH1" s="322" t="s">
        <v>190</v>
      </c>
      <c r="CI1" s="322" t="s">
        <v>190</v>
      </c>
      <c r="CJ1" s="322" t="s">
        <v>190</v>
      </c>
      <c r="CK1" s="322" t="s">
        <v>190</v>
      </c>
      <c r="CL1" s="322" t="s">
        <v>190</v>
      </c>
      <c r="CM1" s="322" t="s">
        <v>190</v>
      </c>
      <c r="CN1" s="322" t="s">
        <v>190</v>
      </c>
      <c r="CO1" s="322" t="s">
        <v>190</v>
      </c>
      <c r="CP1" s="322" t="s">
        <v>190</v>
      </c>
      <c r="CQ1" s="322" t="s">
        <v>190</v>
      </c>
      <c r="CR1" s="322" t="s">
        <v>190</v>
      </c>
      <c r="CS1" s="322" t="s">
        <v>190</v>
      </c>
      <c r="CT1" s="322" t="s">
        <v>190</v>
      </c>
      <c r="CU1" s="322" t="s">
        <v>190</v>
      </c>
      <c r="CV1" s="322" t="s">
        <v>190</v>
      </c>
      <c r="CW1" s="322" t="s">
        <v>190</v>
      </c>
      <c r="CX1" s="322" t="s">
        <v>190</v>
      </c>
      <c r="CY1" s="322" t="s">
        <v>190</v>
      </c>
      <c r="CZ1" s="322" t="s">
        <v>190</v>
      </c>
      <c r="DA1" s="322" t="s">
        <v>190</v>
      </c>
      <c r="DB1" s="322" t="s">
        <v>190</v>
      </c>
      <c r="DC1" s="322" t="s">
        <v>190</v>
      </c>
      <c r="DD1" s="322" t="s">
        <v>190</v>
      </c>
      <c r="DE1" s="322" t="s">
        <v>190</v>
      </c>
      <c r="DF1" s="322" t="s">
        <v>190</v>
      </c>
      <c r="DG1" s="322" t="s">
        <v>190</v>
      </c>
      <c r="DH1" s="322" t="s">
        <v>190</v>
      </c>
      <c r="DI1" s="322" t="s">
        <v>190</v>
      </c>
      <c r="DJ1" s="322" t="s">
        <v>190</v>
      </c>
      <c r="DK1" s="322" t="s">
        <v>190</v>
      </c>
      <c r="DL1" s="322" t="s">
        <v>190</v>
      </c>
      <c r="DM1" s="322" t="s">
        <v>190</v>
      </c>
      <c r="DN1" s="322" t="s">
        <v>190</v>
      </c>
      <c r="DO1" s="322" t="s">
        <v>190</v>
      </c>
      <c r="DP1" s="322" t="s">
        <v>190</v>
      </c>
      <c r="DQ1" s="322" t="s">
        <v>190</v>
      </c>
      <c r="DR1" s="322" t="s">
        <v>190</v>
      </c>
      <c r="DS1" s="322" t="s">
        <v>190</v>
      </c>
      <c r="DT1" s="322" t="s">
        <v>190</v>
      </c>
      <c r="DU1" s="322" t="s">
        <v>190</v>
      </c>
      <c r="DV1" s="322" t="s">
        <v>190</v>
      </c>
      <c r="DW1" s="322" t="s">
        <v>190</v>
      </c>
      <c r="DX1" s="322" t="s">
        <v>190</v>
      </c>
      <c r="DY1" s="322" t="s">
        <v>190</v>
      </c>
      <c r="DZ1" s="322" t="s">
        <v>190</v>
      </c>
      <c r="EA1" s="322" t="s">
        <v>190</v>
      </c>
      <c r="EB1" s="322" t="s">
        <v>190</v>
      </c>
      <c r="EC1" s="322" t="s">
        <v>190</v>
      </c>
      <c r="ED1" s="322" t="s">
        <v>190</v>
      </c>
      <c r="EE1" s="322" t="s">
        <v>190</v>
      </c>
      <c r="EF1" s="322" t="s">
        <v>190</v>
      </c>
      <c r="EG1" s="322" t="s">
        <v>190</v>
      </c>
      <c r="EH1" s="322" t="s">
        <v>190</v>
      </c>
      <c r="EI1" s="322" t="s">
        <v>190</v>
      </c>
      <c r="EJ1" s="322" t="s">
        <v>190</v>
      </c>
      <c r="EK1" s="322" t="s">
        <v>190</v>
      </c>
      <c r="EL1" s="322" t="s">
        <v>190</v>
      </c>
      <c r="EM1" s="322" t="s">
        <v>190</v>
      </c>
      <c r="EN1" s="322" t="s">
        <v>190</v>
      </c>
      <c r="EO1" s="322" t="s">
        <v>190</v>
      </c>
      <c r="EP1" s="322" t="s">
        <v>190</v>
      </c>
      <c r="EQ1" s="322" t="s">
        <v>190</v>
      </c>
      <c r="ER1" s="322" t="s">
        <v>190</v>
      </c>
      <c r="ES1" s="322" t="s">
        <v>190</v>
      </c>
      <c r="ET1" s="322" t="s">
        <v>190</v>
      </c>
      <c r="EU1" s="322" t="s">
        <v>190</v>
      </c>
      <c r="EV1" s="322" t="s">
        <v>190</v>
      </c>
      <c r="EW1" s="322" t="s">
        <v>190</v>
      </c>
      <c r="EX1" s="322" t="s">
        <v>190</v>
      </c>
      <c r="EY1" s="322" t="s">
        <v>190</v>
      </c>
      <c r="EZ1" s="322" t="s">
        <v>190</v>
      </c>
      <c r="FA1" s="322" t="s">
        <v>190</v>
      </c>
      <c r="FB1" s="322" t="s">
        <v>190</v>
      </c>
      <c r="FC1" s="322" t="s">
        <v>190</v>
      </c>
      <c r="FD1" s="322" t="s">
        <v>190</v>
      </c>
      <c r="FE1" s="322" t="s">
        <v>190</v>
      </c>
      <c r="FF1" s="322" t="s">
        <v>190</v>
      </c>
      <c r="FG1" s="322" t="s">
        <v>190</v>
      </c>
      <c r="FH1" s="322" t="s">
        <v>190</v>
      </c>
      <c r="FI1" s="322" t="s">
        <v>190</v>
      </c>
      <c r="FJ1" s="322" t="s">
        <v>190</v>
      </c>
      <c r="FK1" s="322" t="s">
        <v>190</v>
      </c>
      <c r="FL1" s="322" t="s">
        <v>190</v>
      </c>
      <c r="FM1" s="322" t="s">
        <v>190</v>
      </c>
      <c r="FN1" s="322" t="s">
        <v>190</v>
      </c>
      <c r="FO1" s="322" t="s">
        <v>190</v>
      </c>
      <c r="FP1" s="322" t="s">
        <v>190</v>
      </c>
      <c r="FQ1" s="322" t="s">
        <v>190</v>
      </c>
      <c r="FR1" s="322" t="s">
        <v>190</v>
      </c>
      <c r="FS1" s="322" t="s">
        <v>190</v>
      </c>
      <c r="FT1" s="322" t="s">
        <v>190</v>
      </c>
      <c r="FU1" s="322" t="s">
        <v>190</v>
      </c>
      <c r="FV1" s="322" t="s">
        <v>190</v>
      </c>
      <c r="FW1" s="322" t="s">
        <v>190</v>
      </c>
      <c r="FX1" s="322" t="s">
        <v>190</v>
      </c>
      <c r="FY1" s="322"/>
      <c r="FZ1" s="322"/>
      <c r="GA1" s="322"/>
      <c r="GB1" s="322"/>
      <c r="GC1" s="322"/>
      <c r="GD1" s="322"/>
      <c r="GE1" s="322"/>
      <c r="GF1" s="322"/>
      <c r="GG1" s="322"/>
      <c r="GH1" s="322"/>
    </row>
    <row r="2" spans="1:190" ht="17.25" customHeight="1" x14ac:dyDescent="0.2">
      <c r="G2" s="263"/>
      <c r="K2" s="263" t="s">
        <v>147</v>
      </c>
      <c r="L2" s="263" t="s">
        <v>147</v>
      </c>
      <c r="M2" s="263" t="s">
        <v>147</v>
      </c>
      <c r="N2" s="263" t="s">
        <v>147</v>
      </c>
      <c r="O2" s="263" t="s">
        <v>147</v>
      </c>
      <c r="P2" s="263" t="s">
        <v>147</v>
      </c>
      <c r="Q2" s="263" t="s">
        <v>147</v>
      </c>
      <c r="R2" s="263" t="s">
        <v>147</v>
      </c>
      <c r="S2" s="263" t="s">
        <v>147</v>
      </c>
      <c r="T2" s="263" t="s">
        <v>147</v>
      </c>
      <c r="U2" s="263" t="s">
        <v>151</v>
      </c>
      <c r="V2" s="263" t="s">
        <v>151</v>
      </c>
      <c r="W2" s="263" t="s">
        <v>151</v>
      </c>
      <c r="X2" s="263" t="s">
        <v>151</v>
      </c>
      <c r="Y2" s="263" t="s">
        <v>151</v>
      </c>
      <c r="Z2" s="263" t="s">
        <v>151</v>
      </c>
      <c r="AA2" s="263" t="s">
        <v>151</v>
      </c>
      <c r="AB2" s="263" t="s">
        <v>151</v>
      </c>
      <c r="AC2" s="263" t="s">
        <v>151</v>
      </c>
      <c r="AD2" s="263" t="s">
        <v>151</v>
      </c>
      <c r="AE2" s="263" t="s">
        <v>154</v>
      </c>
      <c r="AF2" s="263" t="s">
        <v>154</v>
      </c>
      <c r="AG2" s="263" t="s">
        <v>154</v>
      </c>
      <c r="AH2" s="263" t="s">
        <v>154</v>
      </c>
      <c r="AI2" s="263" t="s">
        <v>154</v>
      </c>
      <c r="AJ2" s="263" t="s">
        <v>154</v>
      </c>
      <c r="AK2" s="263" t="s">
        <v>154</v>
      </c>
      <c r="AL2" s="263" t="s">
        <v>154</v>
      </c>
      <c r="AM2" s="263" t="s">
        <v>154</v>
      </c>
      <c r="AN2" s="263" t="s">
        <v>154</v>
      </c>
      <c r="AO2" s="263" t="s">
        <v>156</v>
      </c>
      <c r="AP2" s="263" t="s">
        <v>156</v>
      </c>
      <c r="AQ2" s="263" t="s">
        <v>156</v>
      </c>
      <c r="AR2" s="263" t="s">
        <v>156</v>
      </c>
      <c r="AS2" s="263" t="s">
        <v>156</v>
      </c>
      <c r="AT2" s="263" t="s">
        <v>156</v>
      </c>
      <c r="AU2" s="263" t="s">
        <v>156</v>
      </c>
      <c r="AV2" s="263" t="s">
        <v>156</v>
      </c>
      <c r="AW2" s="263" t="s">
        <v>156</v>
      </c>
      <c r="AX2" s="263" t="s">
        <v>156</v>
      </c>
      <c r="AY2" s="263" t="s">
        <v>158</v>
      </c>
      <c r="AZ2" s="263" t="s">
        <v>158</v>
      </c>
      <c r="BA2" s="263" t="s">
        <v>158</v>
      </c>
      <c r="BB2" s="263" t="s">
        <v>158</v>
      </c>
      <c r="BC2" s="263" t="s">
        <v>158</v>
      </c>
      <c r="BD2" s="263" t="s">
        <v>158</v>
      </c>
      <c r="BE2" s="263" t="s">
        <v>158</v>
      </c>
      <c r="BF2" s="263" t="s">
        <v>158</v>
      </c>
      <c r="BG2" s="263" t="s">
        <v>158</v>
      </c>
      <c r="BH2" s="263" t="s">
        <v>158</v>
      </c>
      <c r="BI2" s="263" t="s">
        <v>160</v>
      </c>
      <c r="BJ2" s="263" t="s">
        <v>160</v>
      </c>
      <c r="BK2" s="263" t="s">
        <v>160</v>
      </c>
      <c r="BL2" s="263" t="s">
        <v>160</v>
      </c>
      <c r="BM2" s="263" t="s">
        <v>160</v>
      </c>
      <c r="BN2" s="263" t="s">
        <v>160</v>
      </c>
      <c r="BO2" s="263" t="s">
        <v>160</v>
      </c>
      <c r="BP2" s="263" t="s">
        <v>160</v>
      </c>
      <c r="BQ2" s="263" t="s">
        <v>160</v>
      </c>
      <c r="BR2" s="263" t="s">
        <v>160</v>
      </c>
      <c r="BS2" s="263" t="s">
        <v>166</v>
      </c>
      <c r="BT2" s="263" t="s">
        <v>166</v>
      </c>
      <c r="BU2" s="263" t="s">
        <v>166</v>
      </c>
      <c r="BV2" s="263" t="s">
        <v>166</v>
      </c>
      <c r="BW2" s="263" t="s">
        <v>166</v>
      </c>
      <c r="BX2" s="263" t="s">
        <v>166</v>
      </c>
      <c r="BY2" s="263" t="s">
        <v>166</v>
      </c>
      <c r="BZ2" s="263" t="s">
        <v>166</v>
      </c>
      <c r="CA2" s="263" t="s">
        <v>166</v>
      </c>
      <c r="CB2" s="263" t="s">
        <v>166</v>
      </c>
      <c r="CC2" s="263" t="s">
        <v>168</v>
      </c>
      <c r="CD2" s="263" t="s">
        <v>168</v>
      </c>
      <c r="CE2" s="263" t="s">
        <v>168</v>
      </c>
      <c r="CF2" s="263" t="s">
        <v>168</v>
      </c>
      <c r="CG2" s="263" t="s">
        <v>168</v>
      </c>
      <c r="CH2" s="263" t="s">
        <v>168</v>
      </c>
      <c r="CI2" s="263" t="s">
        <v>168</v>
      </c>
      <c r="CJ2" s="263" t="s">
        <v>168</v>
      </c>
      <c r="CK2" s="263" t="s">
        <v>168</v>
      </c>
      <c r="CL2" s="263" t="s">
        <v>168</v>
      </c>
      <c r="CM2" s="263" t="s">
        <v>162</v>
      </c>
      <c r="CN2" s="263" t="s">
        <v>162</v>
      </c>
      <c r="CO2" s="263" t="s">
        <v>162</v>
      </c>
      <c r="CP2" s="263" t="s">
        <v>162</v>
      </c>
      <c r="CQ2" s="263" t="s">
        <v>162</v>
      </c>
      <c r="CR2" s="263" t="s">
        <v>162</v>
      </c>
      <c r="CS2" s="263" t="s">
        <v>162</v>
      </c>
      <c r="CT2" s="263" t="s">
        <v>162</v>
      </c>
      <c r="CU2" s="263" t="s">
        <v>162</v>
      </c>
      <c r="CV2" s="263" t="s">
        <v>162</v>
      </c>
      <c r="CW2" s="263" t="s">
        <v>170</v>
      </c>
      <c r="CX2" s="263" t="s">
        <v>170</v>
      </c>
      <c r="CY2" s="263" t="s">
        <v>170</v>
      </c>
      <c r="CZ2" s="263" t="s">
        <v>170</v>
      </c>
      <c r="DA2" s="263" t="s">
        <v>170</v>
      </c>
      <c r="DB2" s="263" t="s">
        <v>170</v>
      </c>
      <c r="DC2" s="263" t="s">
        <v>170</v>
      </c>
      <c r="DD2" s="263" t="s">
        <v>170</v>
      </c>
      <c r="DE2" s="263" t="s">
        <v>170</v>
      </c>
      <c r="DF2" s="263" t="s">
        <v>170</v>
      </c>
      <c r="DG2" s="263" t="s">
        <v>172</v>
      </c>
      <c r="DH2" s="263" t="s">
        <v>172</v>
      </c>
      <c r="DI2" s="263" t="s">
        <v>172</v>
      </c>
      <c r="DJ2" s="263" t="s">
        <v>172</v>
      </c>
      <c r="DK2" s="263" t="s">
        <v>172</v>
      </c>
      <c r="DL2" s="263" t="s">
        <v>172</v>
      </c>
      <c r="DM2" s="263" t="s">
        <v>172</v>
      </c>
      <c r="DN2" s="263" t="s">
        <v>172</v>
      </c>
      <c r="DO2" s="263" t="s">
        <v>172</v>
      </c>
      <c r="DP2" s="263" t="s">
        <v>172</v>
      </c>
      <c r="DQ2" s="263" t="s">
        <v>164</v>
      </c>
      <c r="DR2" s="263" t="s">
        <v>164</v>
      </c>
      <c r="DS2" s="263" t="s">
        <v>164</v>
      </c>
      <c r="DT2" s="263" t="s">
        <v>164</v>
      </c>
      <c r="DU2" s="263" t="s">
        <v>164</v>
      </c>
      <c r="DV2" s="263" t="s">
        <v>164</v>
      </c>
      <c r="DW2" s="263" t="s">
        <v>164</v>
      </c>
      <c r="DX2" s="263" t="s">
        <v>164</v>
      </c>
      <c r="DY2" s="263" t="s">
        <v>164</v>
      </c>
      <c r="DZ2" s="263" t="s">
        <v>164</v>
      </c>
      <c r="EA2" s="263" t="str">
        <f t="shared" ref="EA2:FN2" si="0">CONCATENATE(K2,"T")</f>
        <v>CO2T</v>
      </c>
      <c r="EB2" s="263" t="str">
        <f t="shared" si="0"/>
        <v>CO2T</v>
      </c>
      <c r="EC2" s="263" t="str">
        <f t="shared" si="0"/>
        <v>CO2T</v>
      </c>
      <c r="ED2" s="263" t="str">
        <f t="shared" si="0"/>
        <v>CO2T</v>
      </c>
      <c r="EE2" s="263" t="str">
        <f t="shared" si="0"/>
        <v>CO2T</v>
      </c>
      <c r="EF2" s="263" t="str">
        <f t="shared" si="0"/>
        <v>CO2T</v>
      </c>
      <c r="EG2" s="263" t="str">
        <f t="shared" si="0"/>
        <v>CO2T</v>
      </c>
      <c r="EH2" s="263" t="str">
        <f t="shared" si="0"/>
        <v>CO2T</v>
      </c>
      <c r="EI2" s="263" t="str">
        <f t="shared" si="0"/>
        <v>CO2T</v>
      </c>
      <c r="EJ2" s="263" t="str">
        <f t="shared" si="0"/>
        <v>CO2T</v>
      </c>
      <c r="EK2" s="263" t="str">
        <f t="shared" si="0"/>
        <v>NOXT</v>
      </c>
      <c r="EL2" s="263" t="str">
        <f t="shared" si="0"/>
        <v>NOXT</v>
      </c>
      <c r="EM2" s="263" t="str">
        <f t="shared" si="0"/>
        <v>NOXT</v>
      </c>
      <c r="EN2" s="263" t="str">
        <f t="shared" si="0"/>
        <v>NOXT</v>
      </c>
      <c r="EO2" s="263" t="str">
        <f t="shared" si="0"/>
        <v>NOXT</v>
      </c>
      <c r="EP2" s="263" t="str">
        <f t="shared" si="0"/>
        <v>NOXT</v>
      </c>
      <c r="EQ2" s="263" t="str">
        <f t="shared" si="0"/>
        <v>NOXT</v>
      </c>
      <c r="ER2" s="263" t="str">
        <f t="shared" si="0"/>
        <v>NOXT</v>
      </c>
      <c r="ES2" s="263" t="str">
        <f t="shared" si="0"/>
        <v>NOXT</v>
      </c>
      <c r="ET2" s="263" t="str">
        <f t="shared" si="0"/>
        <v>NOXT</v>
      </c>
      <c r="EU2" s="263" t="str">
        <f t="shared" si="0"/>
        <v>SO2T</v>
      </c>
      <c r="EV2" s="263" t="str">
        <f t="shared" si="0"/>
        <v>SO2T</v>
      </c>
      <c r="EW2" s="263" t="str">
        <f t="shared" si="0"/>
        <v>SO2T</v>
      </c>
      <c r="EX2" s="263" t="str">
        <f t="shared" si="0"/>
        <v>SO2T</v>
      </c>
      <c r="EY2" s="263" t="str">
        <f t="shared" si="0"/>
        <v>SO2T</v>
      </c>
      <c r="EZ2" s="263" t="str">
        <f t="shared" si="0"/>
        <v>SO2T</v>
      </c>
      <c r="FA2" s="263" t="str">
        <f t="shared" si="0"/>
        <v>SO2T</v>
      </c>
      <c r="FB2" s="263" t="str">
        <f t="shared" si="0"/>
        <v>SO2T</v>
      </c>
      <c r="FC2" s="263" t="str">
        <f t="shared" si="0"/>
        <v>SO2T</v>
      </c>
      <c r="FD2" s="263" t="str">
        <f t="shared" si="0"/>
        <v>SO2T</v>
      </c>
      <c r="FE2" s="263" t="str">
        <f t="shared" si="0"/>
        <v>PM10T</v>
      </c>
      <c r="FF2" s="263" t="str">
        <f t="shared" si="0"/>
        <v>PM10T</v>
      </c>
      <c r="FG2" s="263" t="str">
        <f t="shared" si="0"/>
        <v>PM10T</v>
      </c>
      <c r="FH2" s="263" t="str">
        <f t="shared" si="0"/>
        <v>PM10T</v>
      </c>
      <c r="FI2" s="263" t="str">
        <f t="shared" si="0"/>
        <v>PM10T</v>
      </c>
      <c r="FJ2" s="263" t="str">
        <f t="shared" si="0"/>
        <v>PM10T</v>
      </c>
      <c r="FK2" s="263" t="str">
        <f t="shared" si="0"/>
        <v>PM10T</v>
      </c>
      <c r="FL2" s="263" t="str">
        <f t="shared" si="0"/>
        <v>PM10T</v>
      </c>
      <c r="FM2" s="263" t="str">
        <f t="shared" si="0"/>
        <v>PM10T</v>
      </c>
      <c r="FN2" s="263" t="str">
        <f t="shared" si="0"/>
        <v>PM10T</v>
      </c>
      <c r="FO2" s="263" t="str">
        <f t="shared" ref="FO2:FX2" si="1">CONCATENATE(AY2,"T")</f>
        <v>PM25T</v>
      </c>
      <c r="FP2" s="263" t="str">
        <f t="shared" si="1"/>
        <v>PM25T</v>
      </c>
      <c r="FQ2" s="263" t="str">
        <f t="shared" si="1"/>
        <v>PM25T</v>
      </c>
      <c r="FR2" s="263" t="str">
        <f t="shared" si="1"/>
        <v>PM25T</v>
      </c>
      <c r="FS2" s="263" t="str">
        <f t="shared" si="1"/>
        <v>PM25T</v>
      </c>
      <c r="FT2" s="263" t="str">
        <f t="shared" si="1"/>
        <v>PM25T</v>
      </c>
      <c r="FU2" s="263" t="str">
        <f t="shared" si="1"/>
        <v>PM25T</v>
      </c>
      <c r="FV2" s="263" t="str">
        <f t="shared" si="1"/>
        <v>PM25T</v>
      </c>
      <c r="FW2" s="263" t="str">
        <f t="shared" si="1"/>
        <v>PM25T</v>
      </c>
      <c r="FX2" s="263" t="str">
        <f t="shared" si="1"/>
        <v>PM25T</v>
      </c>
    </row>
    <row r="3" spans="1:190" x14ac:dyDescent="0.2">
      <c r="G3" s="263"/>
    </row>
    <row r="4" spans="1:190" ht="17.25" customHeight="1" x14ac:dyDescent="0.2">
      <c r="G4" s="263"/>
    </row>
    <row r="5" spans="1:190" ht="18" customHeight="1" x14ac:dyDescent="0.2">
      <c r="G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c r="DM5" s="263"/>
      <c r="DN5" s="263"/>
      <c r="DO5" s="263"/>
      <c r="DP5" s="263"/>
      <c r="DQ5" s="263"/>
      <c r="DR5" s="263"/>
      <c r="DS5" s="263"/>
      <c r="DT5" s="263"/>
      <c r="DU5" s="263"/>
      <c r="DV5" s="263"/>
      <c r="DW5" s="263"/>
      <c r="DX5" s="263"/>
      <c r="DY5" s="263"/>
      <c r="DZ5" s="263"/>
      <c r="EA5" s="263"/>
      <c r="EB5" s="263"/>
      <c r="EC5" s="263"/>
      <c r="ED5" s="263"/>
      <c r="EE5" s="263"/>
      <c r="EF5" s="263"/>
      <c r="EG5" s="263"/>
      <c r="EH5" s="263"/>
      <c r="EI5" s="263"/>
      <c r="EJ5" s="263"/>
      <c r="EK5" s="263"/>
      <c r="EL5" s="263"/>
      <c r="EM5" s="263"/>
      <c r="EN5" s="263"/>
      <c r="EO5" s="263"/>
      <c r="EP5" s="263"/>
      <c r="EQ5" s="263"/>
      <c r="ER5" s="263"/>
      <c r="ES5" s="263"/>
      <c r="ET5" s="263"/>
      <c r="EU5" s="263"/>
      <c r="EV5" s="263"/>
      <c r="EW5" s="263"/>
      <c r="EX5" s="263"/>
      <c r="EY5" s="263"/>
      <c r="EZ5" s="263"/>
      <c r="FA5" s="263"/>
      <c r="FB5" s="263"/>
      <c r="FC5" s="263"/>
      <c r="FD5" s="263"/>
      <c r="FE5" s="263"/>
      <c r="FF5" s="263"/>
      <c r="FG5" s="263"/>
      <c r="FH5" s="263"/>
      <c r="FI5" s="263"/>
      <c r="FJ5" s="263"/>
      <c r="FK5" s="263"/>
      <c r="FL5" s="263"/>
      <c r="FM5" s="263"/>
      <c r="FN5" s="263"/>
      <c r="FO5" s="263"/>
      <c r="FP5" s="263"/>
      <c r="FQ5" s="263"/>
      <c r="FR5" s="263"/>
      <c r="FS5" s="263"/>
      <c r="FT5" s="263"/>
      <c r="FU5" s="263"/>
      <c r="FV5" s="263"/>
      <c r="FW5" s="263"/>
      <c r="FX5" s="263"/>
    </row>
    <row r="7" spans="1:190" ht="17.25" customHeight="1" x14ac:dyDescent="0.2">
      <c r="F7" s="289" t="s">
        <v>3095</v>
      </c>
      <c r="G7" s="263"/>
    </row>
    <row r="8" spans="1:190" ht="15.75" customHeight="1" x14ac:dyDescent="0.2">
      <c r="A8" s="254" t="s">
        <v>389</v>
      </c>
      <c r="B8" s="254" t="s">
        <v>185</v>
      </c>
      <c r="C8" s="254" t="s">
        <v>3120</v>
      </c>
      <c r="D8" s="254" t="s">
        <v>3072</v>
      </c>
      <c r="E8" s="254" t="s">
        <v>3156</v>
      </c>
      <c r="F8" s="254" t="s">
        <v>3157</v>
      </c>
      <c r="G8" s="254" t="s">
        <v>3158</v>
      </c>
      <c r="H8" s="254" t="s">
        <v>3159</v>
      </c>
      <c r="I8" s="254" t="s">
        <v>3160</v>
      </c>
      <c r="J8" s="254" t="s">
        <v>3161</v>
      </c>
      <c r="K8" s="254" t="s">
        <v>3162</v>
      </c>
      <c r="L8" s="254" t="s">
        <v>3163</v>
      </c>
      <c r="M8" s="254" t="s">
        <v>3164</v>
      </c>
      <c r="N8" s="254" t="s">
        <v>3165</v>
      </c>
      <c r="O8" s="254" t="s">
        <v>3166</v>
      </c>
      <c r="P8" s="254" t="s">
        <v>3167</v>
      </c>
      <c r="Q8" s="254" t="s">
        <v>3168</v>
      </c>
      <c r="R8" s="254" t="s">
        <v>3169</v>
      </c>
      <c r="S8" s="254" t="s">
        <v>3170</v>
      </c>
      <c r="T8" s="254" t="s">
        <v>3171</v>
      </c>
      <c r="U8" s="254" t="s">
        <v>3172</v>
      </c>
      <c r="V8" s="254" t="s">
        <v>3173</v>
      </c>
      <c r="W8" s="254" t="s">
        <v>3174</v>
      </c>
      <c r="X8" s="254" t="s">
        <v>3175</v>
      </c>
      <c r="Y8" s="254" t="s">
        <v>3176</v>
      </c>
      <c r="Z8" s="254" t="s">
        <v>3177</v>
      </c>
      <c r="AA8" s="254" t="s">
        <v>3178</v>
      </c>
      <c r="AB8" s="254" t="s">
        <v>3179</v>
      </c>
      <c r="AC8" s="254" t="s">
        <v>3180</v>
      </c>
      <c r="AD8" s="254" t="s">
        <v>3181</v>
      </c>
      <c r="AE8" s="254" t="s">
        <v>3182</v>
      </c>
      <c r="AF8" s="254" t="s">
        <v>3183</v>
      </c>
      <c r="AG8" s="254" t="s">
        <v>3184</v>
      </c>
      <c r="AH8" s="254" t="s">
        <v>3185</v>
      </c>
      <c r="AI8" s="254" t="s">
        <v>3186</v>
      </c>
      <c r="AJ8" s="254" t="s">
        <v>3187</v>
      </c>
      <c r="AK8" s="254" t="s">
        <v>3188</v>
      </c>
      <c r="AL8" s="254" t="s">
        <v>3189</v>
      </c>
      <c r="AM8" s="254" t="s">
        <v>3190</v>
      </c>
      <c r="AN8" s="254" t="s">
        <v>3191</v>
      </c>
      <c r="AO8" s="254" t="s">
        <v>3192</v>
      </c>
      <c r="AP8" s="254" t="s">
        <v>3193</v>
      </c>
      <c r="AQ8" s="254" t="s">
        <v>3194</v>
      </c>
      <c r="AR8" s="254" t="s">
        <v>3195</v>
      </c>
      <c r="AS8" s="254" t="s">
        <v>3196</v>
      </c>
      <c r="AT8" s="254" t="s">
        <v>3197</v>
      </c>
      <c r="AU8" s="254" t="s">
        <v>3198</v>
      </c>
      <c r="AV8" s="254" t="s">
        <v>3199</v>
      </c>
      <c r="AW8" s="254" t="s">
        <v>3200</v>
      </c>
      <c r="AX8" s="254" t="s">
        <v>3201</v>
      </c>
      <c r="AY8" s="254" t="s">
        <v>3268</v>
      </c>
      <c r="AZ8" s="254" t="s">
        <v>3269</v>
      </c>
      <c r="BA8" s="254" t="s">
        <v>3270</v>
      </c>
      <c r="BB8" s="254" t="s">
        <v>3271</v>
      </c>
      <c r="BC8" s="254" t="s">
        <v>3272</v>
      </c>
      <c r="BD8" s="254" t="s">
        <v>3273</v>
      </c>
      <c r="BE8" s="254" t="s">
        <v>3274</v>
      </c>
      <c r="BF8" s="254" t="s">
        <v>3347</v>
      </c>
      <c r="BG8" s="254" t="s">
        <v>3275</v>
      </c>
      <c r="BH8" s="254" t="s">
        <v>3276</v>
      </c>
      <c r="BI8" s="254" t="s">
        <v>3277</v>
      </c>
      <c r="BJ8" s="254" t="s">
        <v>3278</v>
      </c>
      <c r="BK8" s="254" t="s">
        <v>3279</v>
      </c>
      <c r="BL8" s="254" t="s">
        <v>3280</v>
      </c>
      <c r="BM8" s="254" t="s">
        <v>3281</v>
      </c>
      <c r="BN8" s="254" t="s">
        <v>3282</v>
      </c>
      <c r="BO8" s="254" t="s">
        <v>3283</v>
      </c>
      <c r="BP8" s="254" t="s">
        <v>3284</v>
      </c>
      <c r="BQ8" s="254" t="s">
        <v>3285</v>
      </c>
      <c r="BR8" s="254" t="s">
        <v>3286</v>
      </c>
      <c r="BS8" s="254" t="s">
        <v>3287</v>
      </c>
      <c r="BT8" s="254" t="s">
        <v>3288</v>
      </c>
      <c r="BU8" s="254" t="s">
        <v>3289</v>
      </c>
      <c r="BV8" s="254" t="s">
        <v>3290</v>
      </c>
      <c r="BW8" s="254" t="s">
        <v>3291</v>
      </c>
      <c r="BX8" s="254" t="s">
        <v>3292</v>
      </c>
      <c r="BY8" s="254" t="s">
        <v>3293</v>
      </c>
      <c r="BZ8" s="254" t="s">
        <v>3294</v>
      </c>
      <c r="CA8" s="254" t="s">
        <v>3295</v>
      </c>
      <c r="CB8" s="254" t="s">
        <v>3296</v>
      </c>
      <c r="CC8" s="254" t="s">
        <v>3297</v>
      </c>
      <c r="CD8" s="254" t="s">
        <v>3298</v>
      </c>
      <c r="CE8" s="254" t="s">
        <v>3299</v>
      </c>
      <c r="CF8" s="254" t="s">
        <v>3300</v>
      </c>
      <c r="CG8" s="254" t="s">
        <v>3301</v>
      </c>
      <c r="CH8" s="254" t="s">
        <v>3302</v>
      </c>
      <c r="CI8" s="254" t="s">
        <v>3303</v>
      </c>
      <c r="CJ8" s="254" t="s">
        <v>3304</v>
      </c>
      <c r="CK8" s="254" t="s">
        <v>3305</v>
      </c>
      <c r="CL8" s="254" t="s">
        <v>3306</v>
      </c>
      <c r="CM8" s="254" t="s">
        <v>3307</v>
      </c>
      <c r="CN8" s="254" t="s">
        <v>3308</v>
      </c>
      <c r="CO8" s="254" t="s">
        <v>3309</v>
      </c>
      <c r="CP8" s="254" t="s">
        <v>3310</v>
      </c>
      <c r="CQ8" s="254" t="s">
        <v>3311</v>
      </c>
      <c r="CR8" s="254" t="s">
        <v>3312</v>
      </c>
      <c r="CS8" s="254" t="s">
        <v>3313</v>
      </c>
      <c r="CT8" s="254" t="s">
        <v>3314</v>
      </c>
      <c r="CU8" s="254" t="s">
        <v>3315</v>
      </c>
      <c r="CV8" s="254" t="s">
        <v>3316</v>
      </c>
      <c r="CW8" s="254" t="s">
        <v>3317</v>
      </c>
      <c r="CX8" s="254" t="s">
        <v>3318</v>
      </c>
      <c r="CY8" s="254" t="s">
        <v>3319</v>
      </c>
      <c r="CZ8" s="254" t="s">
        <v>3320</v>
      </c>
      <c r="DA8" s="254" t="s">
        <v>3321</v>
      </c>
      <c r="DB8" s="254" t="s">
        <v>3322</v>
      </c>
      <c r="DC8" s="254" t="s">
        <v>3323</v>
      </c>
      <c r="DD8" s="254" t="s">
        <v>3324</v>
      </c>
      <c r="DE8" s="254" t="s">
        <v>3325</v>
      </c>
      <c r="DF8" s="254" t="s">
        <v>3326</v>
      </c>
      <c r="DG8" s="254" t="s">
        <v>3327</v>
      </c>
      <c r="DH8" s="254" t="s">
        <v>3328</v>
      </c>
      <c r="DI8" s="254" t="s">
        <v>3329</v>
      </c>
      <c r="DJ8" s="254" t="s">
        <v>3330</v>
      </c>
      <c r="DK8" s="254" t="s">
        <v>3331</v>
      </c>
      <c r="DL8" s="254" t="s">
        <v>3332</v>
      </c>
      <c r="DM8" s="254" t="s">
        <v>3333</v>
      </c>
      <c r="DN8" s="254" t="s">
        <v>3334</v>
      </c>
      <c r="DO8" s="254" t="s">
        <v>3335</v>
      </c>
      <c r="DP8" s="254" t="s">
        <v>3336</v>
      </c>
      <c r="DQ8" s="254" t="s">
        <v>3337</v>
      </c>
      <c r="DR8" s="254" t="s">
        <v>3338</v>
      </c>
      <c r="DS8" s="254" t="s">
        <v>3339</v>
      </c>
      <c r="DT8" s="254" t="s">
        <v>3340</v>
      </c>
      <c r="DU8" s="254" t="s">
        <v>3341</v>
      </c>
      <c r="DV8" s="254" t="s">
        <v>3342</v>
      </c>
      <c r="DW8" s="254" t="s">
        <v>3343</v>
      </c>
      <c r="DX8" s="254" t="s">
        <v>3344</v>
      </c>
      <c r="DY8" s="254" t="s">
        <v>3345</v>
      </c>
      <c r="DZ8" s="254" t="s">
        <v>3346</v>
      </c>
      <c r="EA8" s="254" t="s">
        <v>3202</v>
      </c>
      <c r="EB8" s="254" t="s">
        <v>3203</v>
      </c>
      <c r="EC8" s="254" t="s">
        <v>3204</v>
      </c>
      <c r="ED8" s="254" t="s">
        <v>3205</v>
      </c>
      <c r="EE8" s="254" t="s">
        <v>3206</v>
      </c>
      <c r="EF8" s="254" t="s">
        <v>3207</v>
      </c>
      <c r="EG8" s="254" t="s">
        <v>3208</v>
      </c>
      <c r="EH8" s="254" t="s">
        <v>3209</v>
      </c>
      <c r="EI8" s="254" t="s">
        <v>3210</v>
      </c>
      <c r="EJ8" s="254" t="s">
        <v>3211</v>
      </c>
      <c r="EK8" s="254" t="s">
        <v>3212</v>
      </c>
      <c r="EL8" s="254" t="s">
        <v>3213</v>
      </c>
      <c r="EM8" s="254" t="s">
        <v>3214</v>
      </c>
      <c r="EN8" s="254" t="s">
        <v>3215</v>
      </c>
      <c r="EO8" s="254" t="s">
        <v>3216</v>
      </c>
      <c r="EP8" s="254" t="s">
        <v>3217</v>
      </c>
      <c r="EQ8" s="254" t="s">
        <v>3218</v>
      </c>
      <c r="ER8" s="254" t="s">
        <v>3219</v>
      </c>
      <c r="ES8" s="254" t="s">
        <v>3220</v>
      </c>
      <c r="ET8" s="254" t="s">
        <v>3221</v>
      </c>
      <c r="EU8" s="254" t="s">
        <v>3222</v>
      </c>
      <c r="EV8" s="254" t="s">
        <v>3223</v>
      </c>
      <c r="EW8" s="254" t="s">
        <v>3224</v>
      </c>
      <c r="EX8" s="254" t="s">
        <v>3225</v>
      </c>
      <c r="EY8" s="254" t="s">
        <v>3226</v>
      </c>
      <c r="EZ8" s="254" t="s">
        <v>3227</v>
      </c>
      <c r="FA8" s="254" t="s">
        <v>3228</v>
      </c>
      <c r="FB8" s="254" t="s">
        <v>3229</v>
      </c>
      <c r="FC8" s="254" t="s">
        <v>3230</v>
      </c>
      <c r="FD8" s="254" t="s">
        <v>3231</v>
      </c>
      <c r="FE8" s="254" t="s">
        <v>3232</v>
      </c>
      <c r="FF8" s="254" t="s">
        <v>3233</v>
      </c>
      <c r="FG8" s="254" t="s">
        <v>3234</v>
      </c>
      <c r="FH8" s="254" t="s">
        <v>3235</v>
      </c>
      <c r="FI8" s="254" t="s">
        <v>3236</v>
      </c>
      <c r="FJ8" s="254" t="s">
        <v>3237</v>
      </c>
      <c r="FK8" s="254" t="s">
        <v>3238</v>
      </c>
      <c r="FL8" s="254" t="s">
        <v>3239</v>
      </c>
      <c r="FM8" s="254" t="s">
        <v>3240</v>
      </c>
      <c r="FN8" s="254" t="s">
        <v>3241</v>
      </c>
      <c r="FO8" s="254" t="s">
        <v>3242</v>
      </c>
      <c r="FP8" s="254" t="s">
        <v>3243</v>
      </c>
      <c r="FQ8" s="254" t="s">
        <v>3244</v>
      </c>
      <c r="FR8" s="254" t="s">
        <v>3245</v>
      </c>
      <c r="FS8" s="254" t="s">
        <v>3246</v>
      </c>
      <c r="FT8" s="254" t="s">
        <v>3247</v>
      </c>
      <c r="FU8" s="254" t="s">
        <v>3248</v>
      </c>
      <c r="FV8" s="254" t="s">
        <v>3249</v>
      </c>
      <c r="FW8" s="254" t="s">
        <v>3250</v>
      </c>
      <c r="FX8" s="254" t="s">
        <v>3251</v>
      </c>
    </row>
    <row r="9" spans="1:190" ht="15.75" customHeight="1" x14ac:dyDescent="0.2">
      <c r="A9" s="325" t="s">
        <v>472</v>
      </c>
      <c r="B9" s="326"/>
      <c r="C9" s="326"/>
      <c r="D9" s="293"/>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3"/>
      <c r="AH9" s="293"/>
      <c r="AI9" s="293"/>
      <c r="AJ9" s="293"/>
      <c r="AK9" s="293"/>
      <c r="AL9" s="293"/>
      <c r="AM9" s="293"/>
      <c r="AN9" s="293"/>
      <c r="AO9" s="293"/>
      <c r="AP9" s="293"/>
      <c r="AQ9" s="293"/>
      <c r="AR9" s="293"/>
      <c r="AS9" s="293"/>
      <c r="AT9" s="293"/>
      <c r="AU9" s="293"/>
      <c r="AV9" s="293"/>
      <c r="AW9" s="293"/>
      <c r="AX9" s="293"/>
      <c r="AY9" s="293"/>
      <c r="AZ9" s="293"/>
      <c r="BA9" s="293"/>
      <c r="BB9" s="293"/>
      <c r="BC9" s="293"/>
      <c r="BD9" s="293"/>
      <c r="BE9" s="293"/>
      <c r="BF9" s="293"/>
      <c r="BG9" s="293"/>
      <c r="BH9" s="293"/>
      <c r="BI9" s="293"/>
      <c r="BJ9" s="293"/>
      <c r="BK9" s="293"/>
      <c r="BL9" s="293"/>
      <c r="BM9" s="293"/>
      <c r="BN9" s="293"/>
      <c r="BO9" s="293"/>
      <c r="BP9" s="293"/>
      <c r="BQ9" s="293"/>
      <c r="BR9" s="293"/>
      <c r="BS9" s="293"/>
      <c r="BT9" s="293"/>
      <c r="BU9" s="293"/>
      <c r="BV9" s="293"/>
      <c r="BW9" s="293"/>
      <c r="BX9" s="293"/>
      <c r="BY9" s="293"/>
      <c r="BZ9" s="293"/>
      <c r="CA9" s="293"/>
      <c r="CB9" s="293"/>
      <c r="CC9" s="293"/>
      <c r="CD9" s="293"/>
      <c r="CE9" s="293"/>
      <c r="CF9" s="293"/>
      <c r="CG9" s="293"/>
      <c r="CH9" s="293"/>
      <c r="CI9" s="293"/>
      <c r="CJ9" s="293"/>
      <c r="CK9" s="293"/>
      <c r="CL9" s="293"/>
      <c r="CM9" s="293"/>
      <c r="CN9" s="293"/>
      <c r="CO9" s="293"/>
      <c r="CP9" s="293"/>
      <c r="CQ9" s="293"/>
      <c r="CR9" s="293"/>
      <c r="CS9" s="293"/>
      <c r="CT9" s="293"/>
      <c r="CU9" s="293"/>
      <c r="CV9" s="293"/>
      <c r="CW9" s="293"/>
      <c r="CX9" s="293"/>
      <c r="CY9" s="293"/>
      <c r="CZ9" s="293"/>
      <c r="DA9" s="293"/>
      <c r="DB9" s="293"/>
      <c r="DC9" s="293"/>
      <c r="DD9" s="293"/>
      <c r="DE9" s="293"/>
      <c r="DF9" s="293"/>
      <c r="DG9" s="293"/>
      <c r="DH9" s="293"/>
      <c r="DI9" s="293"/>
      <c r="DJ9" s="293"/>
      <c r="DK9" s="293"/>
      <c r="DL9" s="293"/>
      <c r="DM9" s="293"/>
      <c r="DN9" s="293"/>
      <c r="DO9" s="293"/>
      <c r="DP9" s="293"/>
      <c r="DQ9" s="293"/>
      <c r="DR9" s="293"/>
      <c r="DS9" s="293"/>
      <c r="DT9" s="293"/>
      <c r="DU9" s="293"/>
      <c r="DV9" s="293"/>
      <c r="DW9" s="293"/>
      <c r="DX9" s="293"/>
      <c r="DY9" s="293"/>
      <c r="DZ9" s="293"/>
      <c r="EA9" s="327"/>
      <c r="EB9" s="327"/>
      <c r="EC9" s="327"/>
      <c r="ED9" s="327"/>
      <c r="EE9" s="327"/>
      <c r="EF9" s="327"/>
      <c r="EG9" s="327"/>
      <c r="EH9" s="327"/>
      <c r="EI9" s="327"/>
      <c r="EJ9" s="327"/>
      <c r="EK9" s="327"/>
      <c r="EL9" s="327"/>
      <c r="EM9" s="327"/>
      <c r="EN9" s="327"/>
      <c r="EO9" s="327"/>
      <c r="EP9" s="327"/>
      <c r="EQ9" s="327"/>
      <c r="ER9" s="327"/>
      <c r="ES9" s="327"/>
      <c r="ET9" s="327"/>
      <c r="EU9" s="327"/>
      <c r="EV9" s="327"/>
      <c r="EW9" s="327"/>
      <c r="EX9" s="327"/>
      <c r="EY9" s="327"/>
      <c r="EZ9" s="327"/>
      <c r="FA9" s="327"/>
      <c r="FB9" s="327"/>
      <c r="FC9" s="327"/>
      <c r="FD9" s="327"/>
      <c r="FE9" s="327"/>
      <c r="FF9" s="327"/>
      <c r="FG9" s="327"/>
      <c r="FH9" s="327"/>
      <c r="FI9" s="327"/>
      <c r="FJ9" s="327"/>
      <c r="FK9" s="327"/>
      <c r="FL9" s="327"/>
      <c r="FM9" s="327"/>
      <c r="FN9" s="327"/>
      <c r="FO9" s="327"/>
      <c r="FP9" s="327"/>
      <c r="FQ9" s="327"/>
      <c r="FR9" s="327"/>
      <c r="FS9" s="327"/>
      <c r="FT9" s="327"/>
      <c r="FU9" s="327"/>
      <c r="FV9" s="327"/>
      <c r="FW9" s="327"/>
      <c r="FX9" s="327"/>
    </row>
    <row r="10" spans="1:190" x14ac:dyDescent="0.2">
      <c r="A10" s="298" t="str">
        <f>IF(LEFT(TRIM(Technologies!B64),1)="*", _xlfn.CONCAT("*","R2"), "R2")</f>
        <v>R2</v>
      </c>
      <c r="B10" s="298" t="str">
        <f>TechData_existing!B7</f>
        <v>TLEMCGSL</v>
      </c>
      <c r="C10" s="298" t="str">
        <f>TechData_existing!C7</f>
        <v>TL.GSL.MC.Existing fleet</v>
      </c>
      <c r="D10" s="294" t="str">
        <f>TechData_existing!D7</f>
        <v>bn-vmt, bn-vmt/a</v>
      </c>
      <c r="E10" s="294" t="str">
        <f>TechData_existing!E7</f>
        <v>TLGSL</v>
      </c>
      <c r="F10" s="294" t="str">
        <f>TechData_existing!F7</f>
        <v>TL</v>
      </c>
      <c r="G10" s="294" t="s">
        <v>473</v>
      </c>
      <c r="H10" s="294" t="s">
        <v>474</v>
      </c>
      <c r="I10" s="294">
        <v>1</v>
      </c>
      <c r="J10" s="308" t="str">
        <f t="shared" ref="J10:J41" si="2">CONCATENATE(G10,"-",H10)</f>
        <v>Mini car-GSL</v>
      </c>
      <c r="K10" s="324">
        <f>$I10*IF($G10="Pickup", SUMIFS(NewEmisData!E:E, NewEmisData!$A:$A, "Pickup", NewEmisData!$B:$B, $A10, NewEmisData!$C:$C, $H10, NewEmisData!$D:$D, K$2), SUMIFS(NewEmisData!E:E, NewEmisData!$A:$A, "LDV", NewEmisData!$B:$B, $A10, NewEmisData!$C:$C, $H10, NewEmisData!$D:$D, K$2))</f>
        <v>477.08587282575797</v>
      </c>
      <c r="L10" s="324">
        <f>$I10*IF($G10="Pickup", SUMIFS(NewEmisData!F:F, NewEmisData!$A:$A, "Pickup", NewEmisData!$B:$B, $A10, NewEmisData!$C:$C, $H10, NewEmisData!$D:$D, L$2), SUMIFS(NewEmisData!F:F, NewEmisData!$A:$A, "LDV", NewEmisData!$B:$B, $A10, NewEmisData!$C:$C, $H10, NewEmisData!$D:$D, L$2))</f>
        <v>459.34104292251902</v>
      </c>
      <c r="M10" s="324">
        <f>$I10*IF($G10="Pickup", SUMIFS(NewEmisData!G:G, NewEmisData!$A:$A, "Pickup", NewEmisData!$B:$B, $A10, NewEmisData!$C:$C, $H10, NewEmisData!$D:$D, M$2), SUMIFS(NewEmisData!G:G, NewEmisData!$A:$A, "LDV", NewEmisData!$B:$B, $A10, NewEmisData!$C:$C, $H10, NewEmisData!$D:$D, M$2))</f>
        <v>447.45896927637102</v>
      </c>
      <c r="N10" s="324">
        <f>$I10*IF($G10="Pickup", SUMIFS(NewEmisData!H:H, NewEmisData!$A:$A, "Pickup", NewEmisData!$B:$B, $A10, NewEmisData!$C:$C, $H10, NewEmisData!$D:$D, N$2), SUMIFS(NewEmisData!H:H, NewEmisData!$A:$A, "LDV", NewEmisData!$B:$B, $A10, NewEmisData!$C:$C, $H10, NewEmisData!$D:$D, N$2))</f>
        <v>380.72392677964001</v>
      </c>
      <c r="O10" s="324">
        <f>$I10*IF($G10="Pickup", SUMIFS(NewEmisData!I:I, NewEmisData!$A:$A, "Pickup", NewEmisData!$B:$B, $A10, NewEmisData!$C:$C, $H10, NewEmisData!$D:$D, O$2), SUMIFS(NewEmisData!I:I, NewEmisData!$A:$A, "LDV", NewEmisData!$B:$B, $A10, NewEmisData!$C:$C, $H10, NewEmisData!$D:$D, O$2))</f>
        <v>329.54737069801098</v>
      </c>
      <c r="P10" s="324">
        <f>$I10*IF($G10="Pickup", SUMIFS(NewEmisData!J:J, NewEmisData!$A:$A, "Pickup", NewEmisData!$B:$B, $A10, NewEmisData!$C:$C, $H10, NewEmisData!$D:$D, P$2), SUMIFS(NewEmisData!J:J, NewEmisData!$A:$A, "LDV", NewEmisData!$B:$B, $A10, NewEmisData!$C:$C, $H10, NewEmisData!$D:$D, P$2))</f>
        <v>300.69829568412598</v>
      </c>
      <c r="Q10" s="324">
        <f>$I10*IF($G10="Pickup", SUMIFS(NewEmisData!K:K, NewEmisData!$A:$A, "Pickup", NewEmisData!$B:$B, $A10, NewEmisData!$C:$C, $H10, NewEmisData!$D:$D, Q$2), SUMIFS(NewEmisData!K:K, NewEmisData!$A:$A, "LDV", NewEmisData!$B:$B, $A10, NewEmisData!$C:$C, $H10, NewEmisData!$D:$D, Q$2))</f>
        <v>287.83799703632701</v>
      </c>
      <c r="R10" s="324">
        <f>$I10*IF($G10="Pickup", SUMIFS(NewEmisData!L:L, NewEmisData!$A:$A, "Pickup", NewEmisData!$B:$B, $A10, NewEmisData!$C:$C, $H10, NewEmisData!$D:$D, R$2), SUMIFS(NewEmisData!L:L, NewEmisData!$A:$A, "LDV", NewEmisData!$B:$B, $A10, NewEmisData!$C:$C, $H10, NewEmisData!$D:$D, R$2))</f>
        <v>283.26610797837998</v>
      </c>
      <c r="S10" s="324">
        <f>$I10*IF($G10="Pickup", SUMIFS(NewEmisData!M:M, NewEmisData!$A:$A, "Pickup", NewEmisData!$B:$B, $A10, NewEmisData!$C:$C, $H10, NewEmisData!$D:$D, S$2), SUMIFS(NewEmisData!M:M, NewEmisData!$A:$A, "LDV", NewEmisData!$B:$B, $A10, NewEmisData!$C:$C, $H10, NewEmisData!$D:$D, S$2))</f>
        <v>281.57834098528099</v>
      </c>
      <c r="T10" s="324">
        <f>S10</f>
        <v>281.57834098528099</v>
      </c>
      <c r="U10" s="324">
        <f>$I10*IF($G10="Pickup", SUMIFS(NewEmisData!E:E, NewEmisData!$A:$A, "Pickup", NewEmisData!$B:$B, $A10, NewEmisData!$C:$C, $H10, NewEmisData!$D:$D, U$2), SUMIFS(NewEmisData!E:E, NewEmisData!$A:$A, "LDV", NewEmisData!$B:$B, $A10, NewEmisData!$C:$C, $H10, NewEmisData!$D:$D, U$2))</f>
        <v>0.82339103642645395</v>
      </c>
      <c r="V10" s="324">
        <f>$I10*IF($G10="Pickup", SUMIFS(NewEmisData!F:F, NewEmisData!$A:$A, "Pickup", NewEmisData!$B:$B, $A10, NewEmisData!$C:$C, $H10, NewEmisData!$D:$D, V$2), SUMIFS(NewEmisData!F:F, NewEmisData!$A:$A, "LDV", NewEmisData!$B:$B, $A10, NewEmisData!$C:$C, $H10, NewEmisData!$D:$D, V$2))</f>
        <v>0.360872733315452</v>
      </c>
      <c r="W10" s="324">
        <f>$I10*IF($G10="Pickup", SUMIFS(NewEmisData!G:G, NewEmisData!$A:$A, "Pickup", NewEmisData!$B:$B, $A10, NewEmisData!$C:$C, $H10, NewEmisData!$D:$D, W$2), SUMIFS(NewEmisData!G:G, NewEmisData!$A:$A, "LDV", NewEmisData!$B:$B, $A10, NewEmisData!$C:$C, $H10, NewEmisData!$D:$D, W$2))</f>
        <v>0.21658171178065999</v>
      </c>
      <c r="X10" s="324">
        <f>$I10*IF($G10="Pickup", SUMIFS(NewEmisData!H:H, NewEmisData!$A:$A, "Pickup", NewEmisData!$B:$B, $A10, NewEmisData!$C:$C, $H10, NewEmisData!$D:$D, X$2), SUMIFS(NewEmisData!H:H, NewEmisData!$A:$A, "LDV", NewEmisData!$B:$B, $A10, NewEmisData!$C:$C, $H10, NewEmisData!$D:$D, X$2))</f>
        <v>0.14200533002195401</v>
      </c>
      <c r="Y10" s="324">
        <f>$I10*IF($G10="Pickup", SUMIFS(NewEmisData!I:I, NewEmisData!$A:$A, "Pickup", NewEmisData!$B:$B, $A10, NewEmisData!$C:$C, $H10, NewEmisData!$D:$D, Y$2), SUMIFS(NewEmisData!I:I, NewEmisData!$A:$A, "LDV", NewEmisData!$B:$B, $A10, NewEmisData!$C:$C, $H10, NewEmisData!$D:$D, Y$2))</f>
        <v>8.8016804659711706E-2</v>
      </c>
      <c r="Z10" s="324">
        <f>$I10*IF($G10="Pickup", SUMIFS(NewEmisData!J:J, NewEmisData!$A:$A, "Pickup", NewEmisData!$B:$B, $A10, NewEmisData!$C:$C, $H10, NewEmisData!$D:$D, Z$2), SUMIFS(NewEmisData!J:J, NewEmisData!$A:$A, "LDV", NewEmisData!$B:$B, $A10, NewEmisData!$C:$C, $H10, NewEmisData!$D:$D, Z$2))</f>
        <v>6.5736379947852003E-2</v>
      </c>
      <c r="AA10" s="324">
        <f>$I10*IF($G10="Pickup", SUMIFS(NewEmisData!K:K, NewEmisData!$A:$A, "Pickup", NewEmisData!$B:$B, $A10, NewEmisData!$C:$C, $H10, NewEmisData!$D:$D, AA$2), SUMIFS(NewEmisData!K:K, NewEmisData!$A:$A, "LDV", NewEmisData!$B:$B, $A10, NewEmisData!$C:$C, $H10, NewEmisData!$D:$D, AA$2))</f>
        <v>5.6635638117250503E-2</v>
      </c>
      <c r="AB10" s="324">
        <f>$I10*IF($G10="Pickup", SUMIFS(NewEmisData!L:L, NewEmisData!$A:$A, "Pickup", NewEmisData!$B:$B, $A10, NewEmisData!$C:$C, $H10, NewEmisData!$D:$D, AB$2), SUMIFS(NewEmisData!L:L, NewEmisData!$A:$A, "LDV", NewEmisData!$B:$B, $A10, NewEmisData!$C:$C, $H10, NewEmisData!$D:$D, AB$2))</f>
        <v>5.4115247223223299E-2</v>
      </c>
      <c r="AC10" s="324">
        <f>$I10*IF($G10="Pickup", SUMIFS(NewEmisData!M:M, NewEmisData!$A:$A, "Pickup", NewEmisData!$B:$B, $A10, NewEmisData!$C:$C, $H10, NewEmisData!$D:$D, AC$2), SUMIFS(NewEmisData!M:M, NewEmisData!$A:$A, "LDV", NewEmisData!$B:$B, $A10, NewEmisData!$C:$C, $H10, NewEmisData!$D:$D, AC$2))</f>
        <v>5.2826207223764E-2</v>
      </c>
      <c r="AD10" s="324">
        <f>AC10</f>
        <v>5.2826207223764E-2</v>
      </c>
      <c r="AE10" s="324">
        <f>$I10*IF($G10="Pickup", SUMIFS(NewEmisData!E:E, NewEmisData!$A:$A, "Pickup", NewEmisData!$B:$B, $A10, NewEmisData!$C:$C, $H10, NewEmisData!$D:$D, AE$2), SUMIFS(NewEmisData!E:E, NewEmisData!$A:$A, "LDV", NewEmisData!$B:$B, $A10, NewEmisData!$C:$C, $H10, NewEmisData!$D:$D, AE$2))</f>
        <v>8.2552586035919695E-3</v>
      </c>
      <c r="AF10" s="324">
        <f>$I10*IF($G10="Pickup", SUMIFS(NewEmisData!F:F, NewEmisData!$A:$A, "Pickup", NewEmisData!$B:$B, $A10, NewEmisData!$C:$C, $H10, NewEmisData!$D:$D, AF$2), SUMIFS(NewEmisData!F:F, NewEmisData!$A:$A, "LDV", NewEmisData!$B:$B, $A10, NewEmisData!$C:$C, $H10, NewEmisData!$D:$D, AF$2))</f>
        <v>7.9482131517538395E-3</v>
      </c>
      <c r="AG10" s="324">
        <f>$I10*IF($G10="Pickup", SUMIFS(NewEmisData!G:G, NewEmisData!$A:$A, "Pickup", NewEmisData!$B:$B, $A10, NewEmisData!$C:$C, $H10, NewEmisData!$D:$D, AG$2), SUMIFS(NewEmisData!G:G, NewEmisData!$A:$A, "LDV", NewEmisData!$B:$B, $A10, NewEmisData!$C:$C, $H10, NewEmisData!$D:$D, AG$2))</f>
        <v>6.4190305556059996E-3</v>
      </c>
      <c r="AH10" s="324">
        <f>$I10*IF($G10="Pickup", SUMIFS(NewEmisData!H:H, NewEmisData!$A:$A, "Pickup", NewEmisData!$B:$B, $A10, NewEmisData!$C:$C, $H10, NewEmisData!$D:$D, AH$2), SUMIFS(NewEmisData!H:H, NewEmisData!$A:$A, "LDV", NewEmisData!$B:$B, $A10, NewEmisData!$C:$C, $H10, NewEmisData!$D:$D, AH$2))</f>
        <v>5.4616828003907899E-3</v>
      </c>
      <c r="AI10" s="324">
        <f>$I10*IF($G10="Pickup", SUMIFS(NewEmisData!I:I, NewEmisData!$A:$A, "Pickup", NewEmisData!$B:$B, $A10, NewEmisData!$C:$C, $H10, NewEmisData!$D:$D, AI$2), SUMIFS(NewEmisData!I:I, NewEmisData!$A:$A, "LDV", NewEmisData!$B:$B, $A10, NewEmisData!$C:$C, $H10, NewEmisData!$D:$D, AI$2))</f>
        <v>4.7275285851957304E-3</v>
      </c>
      <c r="AJ10" s="324">
        <f>$I10*IF($G10="Pickup", SUMIFS(NewEmisData!J:J, NewEmisData!$A:$A, "Pickup", NewEmisData!$B:$B, $A10, NewEmisData!$C:$C, $H10, NewEmisData!$D:$D, AJ$2), SUMIFS(NewEmisData!J:J, NewEmisData!$A:$A, "LDV", NewEmisData!$B:$B, $A10, NewEmisData!$C:$C, $H10, NewEmisData!$D:$D, AJ$2))</f>
        <v>4.3136734611450098E-3</v>
      </c>
      <c r="AK10" s="324">
        <f>$I10*IF($G10="Pickup", SUMIFS(NewEmisData!K:K, NewEmisData!$A:$A, "Pickup", NewEmisData!$B:$B, $A10, NewEmisData!$C:$C, $H10, NewEmisData!$D:$D, AK$2), SUMIFS(NewEmisData!K:K, NewEmisData!$A:$A, "LDV", NewEmisData!$B:$B, $A10, NewEmisData!$C:$C, $H10, NewEmisData!$D:$D, AK$2))</f>
        <v>4.1291858052272803E-3</v>
      </c>
      <c r="AL10" s="324">
        <f>$I10*IF($G10="Pickup", SUMIFS(NewEmisData!L:L, NewEmisData!$A:$A, "Pickup", NewEmisData!$B:$B, $A10, NewEmisData!$C:$C, $H10, NewEmisData!$D:$D, AL$2), SUMIFS(NewEmisData!L:L, NewEmisData!$A:$A, "LDV", NewEmisData!$B:$B, $A10, NewEmisData!$C:$C, $H10, NewEmisData!$D:$D, AL$2))</f>
        <v>4.0635983922117898E-3</v>
      </c>
      <c r="AM10" s="324">
        <f>$I10*IF($G10="Pickup", SUMIFS(NewEmisData!M:M, NewEmisData!$A:$A, "Pickup", NewEmisData!$B:$B, $A10, NewEmisData!$C:$C, $H10, NewEmisData!$D:$D, AM$2), SUMIFS(NewEmisData!M:M, NewEmisData!$A:$A, "LDV", NewEmisData!$B:$B, $A10, NewEmisData!$C:$C, $H10, NewEmisData!$D:$D, AM$2))</f>
        <v>4.0393864318059199E-3</v>
      </c>
      <c r="AN10" s="324">
        <f>AM10</f>
        <v>4.0393864318059199E-3</v>
      </c>
      <c r="AO10" s="324">
        <f>$I10*IF($G10="Pickup", SUMIFS(NewEmisData!E:E, NewEmisData!$A:$A, "Pickup", NewEmisData!$B:$B, $A10, NewEmisData!$C:$C, $H10, NewEmisData!$D:$D, AO$2), SUMIFS(NewEmisData!E:E, NewEmisData!$A:$A, "LDV", NewEmisData!$B:$B, $A10, NewEmisData!$C:$C, $H10, NewEmisData!$D:$D, AO$2))</f>
        <v>8.1828643727713493E-2</v>
      </c>
      <c r="AP10" s="324">
        <f>$I10*IF($G10="Pickup", SUMIFS(NewEmisData!F:F, NewEmisData!$A:$A, "Pickup", NewEmisData!$B:$B, $A10, NewEmisData!$C:$C, $H10, NewEmisData!$D:$D, AP$2), SUMIFS(NewEmisData!F:F, NewEmisData!$A:$A, "LDV", NewEmisData!$B:$B, $A10, NewEmisData!$C:$C, $H10, NewEmisData!$D:$D, AP$2))</f>
        <v>7.6175839057221195E-2</v>
      </c>
      <c r="AQ10" s="324">
        <f>$I10*IF($G10="Pickup", SUMIFS(NewEmisData!G:G, NewEmisData!$A:$A, "Pickup", NewEmisData!$B:$B, $A10, NewEmisData!$C:$C, $H10, NewEmisData!$D:$D, AQ$2), SUMIFS(NewEmisData!G:G, NewEmisData!$A:$A, "LDV", NewEmisData!$B:$B, $A10, NewEmisData!$C:$C, $H10, NewEmisData!$D:$D, AQ$2))</f>
        <v>8.1302809072104507E-2</v>
      </c>
      <c r="AR10" s="324">
        <f>$I10*IF($G10="Pickup", SUMIFS(NewEmisData!H:H, NewEmisData!$A:$A, "Pickup", NewEmisData!$B:$B, $A10, NewEmisData!$C:$C, $H10, NewEmisData!$D:$D, AR$2), SUMIFS(NewEmisData!H:H, NewEmisData!$A:$A, "LDV", NewEmisData!$B:$B, $A10, NewEmisData!$C:$C, $H10, NewEmisData!$D:$D, AR$2))</f>
        <v>7.9561688690416299E-2</v>
      </c>
      <c r="AS10" s="324">
        <f>$I10*IF($G10="Pickup", SUMIFS(NewEmisData!I:I, NewEmisData!$A:$A, "Pickup", NewEmisData!$B:$B, $A10, NewEmisData!$C:$C, $H10, NewEmisData!$D:$D, AS$2), SUMIFS(NewEmisData!I:I, NewEmisData!$A:$A, "LDV", NewEmisData!$B:$B, $A10, NewEmisData!$C:$C, $H10, NewEmisData!$D:$D, AS$2))</f>
        <v>7.7910530261031605E-2</v>
      </c>
      <c r="AT10" s="324">
        <f>$I10*IF($G10="Pickup", SUMIFS(NewEmisData!J:J, NewEmisData!$A:$A, "Pickup", NewEmisData!$B:$B, $A10, NewEmisData!$C:$C, $H10, NewEmisData!$D:$D, AT$2), SUMIFS(NewEmisData!J:J, NewEmisData!$A:$A, "LDV", NewEmisData!$B:$B, $A10, NewEmisData!$C:$C, $H10, NewEmisData!$D:$D, AT$2))</f>
        <v>7.6590334474495605E-2</v>
      </c>
      <c r="AU10" s="324">
        <f>$I10*IF($G10="Pickup", SUMIFS(NewEmisData!K:K, NewEmisData!$A:$A, "Pickup", NewEmisData!$B:$B, $A10, NewEmisData!$C:$C, $H10, NewEmisData!$D:$D, AU$2), SUMIFS(NewEmisData!K:K, NewEmisData!$A:$A, "LDV", NewEmisData!$B:$B, $A10, NewEmisData!$C:$C, $H10, NewEmisData!$D:$D, AU$2))</f>
        <v>7.5767938917924701E-2</v>
      </c>
      <c r="AV10" s="324">
        <f>$I10*IF($G10="Pickup", SUMIFS(NewEmisData!L:L, NewEmisData!$A:$A, "Pickup", NewEmisData!$B:$B, $A10, NewEmisData!$C:$C, $H10, NewEmisData!$D:$D, AV$2), SUMIFS(NewEmisData!L:L, NewEmisData!$A:$A, "LDV", NewEmisData!$B:$B, $A10, NewEmisData!$C:$C, $H10, NewEmisData!$D:$D, AV$2))</f>
        <v>7.5353710070808794E-2</v>
      </c>
      <c r="AW10" s="324">
        <f>$I10*IF($G10="Pickup", SUMIFS(NewEmisData!M:M, NewEmisData!$A:$A, "Pickup", NewEmisData!$B:$B, $A10, NewEmisData!$C:$C, $H10, NewEmisData!$D:$D, AW$2), SUMIFS(NewEmisData!M:M, NewEmisData!$A:$A, "LDV", NewEmisData!$B:$B, $A10, NewEmisData!$C:$C, $H10, NewEmisData!$D:$D, AW$2))</f>
        <v>7.5117977052891499E-2</v>
      </c>
      <c r="AX10" s="324">
        <f>AW10</f>
        <v>7.5117977052891499E-2</v>
      </c>
      <c r="AY10" s="324">
        <f>$I10*IF($G10="Pickup", SUMIFS(NewEmisData!E:E, NewEmisData!$A:$A, "Pickup", NewEmisData!$B:$B, $A10, NewEmisData!$C:$C, $H10, NewEmisData!$D:$D, AY$2), SUMIFS(NewEmisData!E:E, NewEmisData!$A:$A, "LDV", NewEmisData!$B:$B, $A10, NewEmisData!$C:$C, $H10, NewEmisData!$D:$D, AY$2))</f>
        <v>2.1998193760633E-2</v>
      </c>
      <c r="AZ10" s="324">
        <f>$I10*IF($G10="Pickup", SUMIFS(NewEmisData!F:F, NewEmisData!$A:$A, "Pickup", NewEmisData!$B:$B, $A10, NewEmisData!$C:$C, $H10, NewEmisData!$D:$D, AZ$2), SUMIFS(NewEmisData!F:F, NewEmisData!$A:$A, "LDV", NewEmisData!$B:$B, $A10, NewEmisData!$C:$C, $H10, NewEmisData!$D:$D, AZ$2))</f>
        <v>1.6997575378008601E-2</v>
      </c>
      <c r="BA10" s="324">
        <f>$I10*IF($G10="Pickup", SUMIFS(NewEmisData!G:G, NewEmisData!$A:$A, "Pickup", NewEmisData!$B:$B, $A10, NewEmisData!$C:$C, $H10, NewEmisData!$D:$D, BA$2), SUMIFS(NewEmisData!G:G, NewEmisData!$A:$A, "LDV", NewEmisData!$B:$B, $A10, NewEmisData!$C:$C, $H10, NewEmisData!$D:$D, BA$2))</f>
        <v>1.6580879412419602E-2</v>
      </c>
      <c r="BB10" s="324">
        <f>$I10*IF($G10="Pickup", SUMIFS(NewEmisData!H:H, NewEmisData!$A:$A, "Pickup", NewEmisData!$B:$B, $A10, NewEmisData!$C:$C, $H10, NewEmisData!$D:$D, BB$2), SUMIFS(NewEmisData!H:H, NewEmisData!$A:$A, "LDV", NewEmisData!$B:$B, $A10, NewEmisData!$C:$C, $H10, NewEmisData!$D:$D, BB$2))</f>
        <v>1.5040645169031801E-2</v>
      </c>
      <c r="BC10" s="324">
        <f>$I10*IF($G10="Pickup", SUMIFS(NewEmisData!I:I, NewEmisData!$A:$A, "Pickup", NewEmisData!$B:$B, $A10, NewEmisData!$C:$C, $H10, NewEmisData!$D:$D, BC$2), SUMIFS(NewEmisData!I:I, NewEmisData!$A:$A, "LDV", NewEmisData!$B:$B, $A10, NewEmisData!$C:$C, $H10, NewEmisData!$D:$D, BC$2))</f>
        <v>1.35799610150696E-2</v>
      </c>
      <c r="BD10" s="324">
        <f>$I10*IF($G10="Pickup", SUMIFS(NewEmisData!J:J, NewEmisData!$A:$A, "Pickup", NewEmisData!$B:$B, $A10, NewEmisData!$C:$C, $H10, NewEmisData!$D:$D, BD$2), SUMIFS(NewEmisData!J:J, NewEmisData!$A:$A, "LDV", NewEmisData!$B:$B, $A10, NewEmisData!$C:$C, $H10, NewEmisData!$D:$D, BD$2))</f>
        <v>1.24120667817219E-2</v>
      </c>
      <c r="BE10" s="324">
        <f>$I10*IF($G10="Pickup", SUMIFS(NewEmisData!K:K, NewEmisData!$A:$A, "Pickup", NewEmisData!$B:$B, $A10, NewEmisData!$C:$C, $H10, NewEmisData!$D:$D, BE$2), SUMIFS(NewEmisData!K:K, NewEmisData!$A:$A, "LDV", NewEmisData!$B:$B, $A10, NewEmisData!$C:$C, $H10, NewEmisData!$D:$D, BE$2))</f>
        <v>1.16845073314224E-2</v>
      </c>
      <c r="BF10" s="324">
        <f>$I10*IF($G10="Pickup", SUMIFS(NewEmisData!L:L, NewEmisData!$A:$A, "Pickup", NewEmisData!$B:$B, $A10, NewEmisData!$C:$C, $H10, NewEmisData!$D:$D, BF$2), SUMIFS(NewEmisData!L:L, NewEmisData!$A:$A, "LDV", NewEmisData!$B:$B, $A10, NewEmisData!$C:$C, $H10, NewEmisData!$D:$D, BF$2))</f>
        <v>1.1318096390010799E-2</v>
      </c>
      <c r="BG10" s="324">
        <f>$I10*IF($G10="Pickup", SUMIFS(NewEmisData!M:M, NewEmisData!$A:$A, "Pickup", NewEmisData!$B:$B, $A10, NewEmisData!$C:$C, $H10, NewEmisData!$D:$D, BG$2), SUMIFS(NewEmisData!M:M, NewEmisData!$A:$A, "LDV", NewEmisData!$B:$B, $A10, NewEmisData!$C:$C, $H10, NewEmisData!$D:$D, BG$2))</f>
        <v>1.1109456757731499E-2</v>
      </c>
      <c r="BH10" s="324">
        <f>BG10</f>
        <v>1.1109456757731499E-2</v>
      </c>
      <c r="BI10" s="324">
        <f>$I10*IF($G10="Pickup", SUMIFS(NewEmisData!E:E, NewEmisData!$A:$A, "Pickup", NewEmisData!$B:$B, $A10, NewEmisData!$C:$C, $H10, NewEmisData!$D:$D, BI$2), SUMIFS(NewEmisData!E:E, NewEmisData!$A:$A, "LDV", NewEmisData!$B:$B, $A10, NewEmisData!$C:$C, $H10, NewEmisData!$D:$D, BI$2))</f>
        <v>6.6339830086865597</v>
      </c>
      <c r="BJ10" s="324">
        <f>$I10*IF($G10="Pickup", SUMIFS(NewEmisData!F:F, NewEmisData!$A:$A, "Pickup", NewEmisData!$B:$B, $A10, NewEmisData!$C:$C, $H10, NewEmisData!$D:$D, BJ$2), SUMIFS(NewEmisData!F:F, NewEmisData!$A:$A, "LDV", NewEmisData!$B:$B, $A10, NewEmisData!$C:$C, $H10, NewEmisData!$D:$D, BJ$2))</f>
        <v>3.9206205551931301</v>
      </c>
      <c r="BK10" s="324">
        <f>$I10*IF($G10="Pickup", SUMIFS(NewEmisData!G:G, NewEmisData!$A:$A, "Pickup", NewEmisData!$B:$B, $A10, NewEmisData!$C:$C, $H10, NewEmisData!$D:$D, BK$2), SUMIFS(NewEmisData!G:G, NewEmisData!$A:$A, "LDV", NewEmisData!$B:$B, $A10, NewEmisData!$C:$C, $H10, NewEmisData!$D:$D, BK$2))</f>
        <v>3.0174466275096199</v>
      </c>
      <c r="BL10" s="324">
        <f>$I10*IF($G10="Pickup", SUMIFS(NewEmisData!H:H, NewEmisData!$A:$A, "Pickup", NewEmisData!$B:$B, $A10, NewEmisData!$C:$C, $H10, NewEmisData!$D:$D, BL$2), SUMIFS(NewEmisData!H:H, NewEmisData!$A:$A, "LDV", NewEmisData!$B:$B, $A10, NewEmisData!$C:$C, $H10, NewEmisData!$D:$D, BL$2))</f>
        <v>2.3529221673804699</v>
      </c>
      <c r="BM10" s="324">
        <f>$I10*IF($G10="Pickup", SUMIFS(NewEmisData!I:I, NewEmisData!$A:$A, "Pickup", NewEmisData!$B:$B, $A10, NewEmisData!$C:$C, $H10, NewEmisData!$D:$D, BM$2), SUMIFS(NewEmisData!I:I, NewEmisData!$A:$A, "LDV", NewEmisData!$B:$B, $A10, NewEmisData!$C:$C, $H10, NewEmisData!$D:$D, BM$2))</f>
        <v>1.70384058027793</v>
      </c>
      <c r="BN10" s="324">
        <f>$I10*IF($G10="Pickup", SUMIFS(NewEmisData!J:J, NewEmisData!$A:$A, "Pickup", NewEmisData!$B:$B, $A10, NewEmisData!$C:$C, $H10, NewEmisData!$D:$D, BN$2), SUMIFS(NewEmisData!J:J, NewEmisData!$A:$A, "LDV", NewEmisData!$B:$B, $A10, NewEmisData!$C:$C, $H10, NewEmisData!$D:$D, BN$2))</f>
        <v>1.3463730618004399</v>
      </c>
      <c r="BO10" s="324">
        <f>$I10*IF($G10="Pickup", SUMIFS(NewEmisData!K:K, NewEmisData!$A:$A, "Pickup", NewEmisData!$B:$B, $A10, NewEmisData!$C:$C, $H10, NewEmisData!$D:$D, BO$2), SUMIFS(NewEmisData!K:K, NewEmisData!$A:$A, "LDV", NewEmisData!$B:$B, $A10, NewEmisData!$C:$C, $H10, NewEmisData!$D:$D, BO$2))</f>
        <v>1.1858346520835299</v>
      </c>
      <c r="BP10" s="324">
        <f>$I10*IF($G10="Pickup", SUMIFS(NewEmisData!L:L, NewEmisData!$A:$A, "Pickup", NewEmisData!$B:$B, $A10, NewEmisData!$C:$C, $H10, NewEmisData!$D:$D, BP$2), SUMIFS(NewEmisData!L:L, NewEmisData!$A:$A, "LDV", NewEmisData!$B:$B, $A10, NewEmisData!$C:$C, $H10, NewEmisData!$D:$D, BP$2))</f>
        <v>1.1335061554616499</v>
      </c>
      <c r="BQ10" s="324">
        <f>$I10*IF($G10="Pickup", SUMIFS(NewEmisData!M:M, NewEmisData!$A:$A, "Pickup", NewEmisData!$B:$B, $A10, NewEmisData!$C:$C, $H10, NewEmisData!$D:$D, BQ$2), SUMIFS(NewEmisData!M:M, NewEmisData!$A:$A, "LDV", NewEmisData!$B:$B, $A10, NewEmisData!$C:$C, $H10, NewEmisData!$D:$D, BQ$2))</f>
        <v>1.1009029054349999</v>
      </c>
      <c r="BR10" s="324">
        <f>BQ10</f>
        <v>1.1009029054349999</v>
      </c>
      <c r="BS10" s="324">
        <f>$I10*IF($G10="Pickup", SUMIFS(NewEmisData!E:E, NewEmisData!$A:$A, "Pickup", NewEmisData!$B:$B, $A10, NewEmisData!$C:$C, $H10, NewEmisData!$D:$D, BS$2), SUMIFS(NewEmisData!E:E, NewEmisData!$A:$A, "LDV", NewEmisData!$B:$B, $A10, NewEmisData!$C:$C, $H10, NewEmisData!$D:$D, BS$2))</f>
        <v>0.77473150733664098</v>
      </c>
      <c r="BT10" s="324">
        <f>$I10*IF($G10="Pickup", SUMIFS(NewEmisData!F:F, NewEmisData!$A:$A, "Pickup", NewEmisData!$B:$B, $A10, NewEmisData!$C:$C, $H10, NewEmisData!$D:$D, BT$2), SUMIFS(NewEmisData!F:F, NewEmisData!$A:$A, "LDV", NewEmisData!$B:$B, $A10, NewEmisData!$C:$C, $H10, NewEmisData!$D:$D, BT$2))</f>
        <v>0.41904908416840297</v>
      </c>
      <c r="BU10" s="324">
        <f>$I10*IF($G10="Pickup", SUMIFS(NewEmisData!G:G, NewEmisData!$A:$A, "Pickup", NewEmisData!$B:$B, $A10, NewEmisData!$C:$C, $H10, NewEmisData!$D:$D, BU$2), SUMIFS(NewEmisData!G:G, NewEmisData!$A:$A, "LDV", NewEmisData!$B:$B, $A10, NewEmisData!$C:$C, $H10, NewEmisData!$D:$D, BU$2))</f>
        <v>0.30982899515166501</v>
      </c>
      <c r="BV10" s="324">
        <f>$I10*IF($G10="Pickup", SUMIFS(NewEmisData!H:H, NewEmisData!$A:$A, "Pickup", NewEmisData!$B:$B, $A10, NewEmisData!$C:$C, $H10, NewEmisData!$D:$D, BV$2), SUMIFS(NewEmisData!H:H, NewEmisData!$A:$A, "LDV", NewEmisData!$B:$B, $A10, NewEmisData!$C:$C, $H10, NewEmisData!$D:$D, BV$2))</f>
        <v>0.25046259079934602</v>
      </c>
      <c r="BW10" s="324">
        <f>$I10*IF($G10="Pickup", SUMIFS(NewEmisData!I:I, NewEmisData!$A:$A, "Pickup", NewEmisData!$B:$B, $A10, NewEmisData!$C:$C, $H10, NewEmisData!$D:$D, BW$2), SUMIFS(NewEmisData!I:I, NewEmisData!$A:$A, "LDV", NewEmisData!$B:$B, $A10, NewEmisData!$C:$C, $H10, NewEmisData!$D:$D, BW$2))</f>
        <v>0.18616224227516101</v>
      </c>
      <c r="BX10" s="324">
        <f>$I10*IF($G10="Pickup", SUMIFS(NewEmisData!J:J, NewEmisData!$A:$A, "Pickup", NewEmisData!$B:$B, $A10, NewEmisData!$C:$C, $H10, NewEmisData!$D:$D, BX$2), SUMIFS(NewEmisData!J:J, NewEmisData!$A:$A, "LDV", NewEmisData!$B:$B, $A10, NewEmisData!$C:$C, $H10, NewEmisData!$D:$D, BX$2))</f>
        <v>0.15683046751729501</v>
      </c>
      <c r="BY10" s="324">
        <f>$I10*IF($G10="Pickup", SUMIFS(NewEmisData!K:K, NewEmisData!$A:$A, "Pickup", NewEmisData!$B:$B, $A10, NewEmisData!$C:$C, $H10, NewEmisData!$D:$D, BY$2), SUMIFS(NewEmisData!K:K, NewEmisData!$A:$A, "LDV", NewEmisData!$B:$B, $A10, NewEmisData!$C:$C, $H10, NewEmisData!$D:$D, BY$2))</f>
        <v>0.14094000257929501</v>
      </c>
      <c r="BZ10" s="324">
        <f>$I10*IF($G10="Pickup", SUMIFS(NewEmisData!L:L, NewEmisData!$A:$A, "Pickup", NewEmisData!$B:$B, $A10, NewEmisData!$C:$C, $H10, NewEmisData!$D:$D, BZ$2), SUMIFS(NewEmisData!L:L, NewEmisData!$A:$A, "LDV", NewEmisData!$B:$B, $A10, NewEmisData!$C:$C, $H10, NewEmisData!$D:$D, BZ$2))</f>
        <v>0.134774071356623</v>
      </c>
      <c r="CA10" s="324">
        <f>$I10*IF($G10="Pickup", SUMIFS(NewEmisData!M:M, NewEmisData!$A:$A, "Pickup", NewEmisData!$B:$B, $A10, NewEmisData!$C:$C, $H10, NewEmisData!$D:$D, CA$2), SUMIFS(NewEmisData!M:M, NewEmisData!$A:$A, "LDV", NewEmisData!$B:$B, $A10, NewEmisData!$C:$C, $H10, NewEmisData!$D:$D, CA$2))</f>
        <v>0.12984032725640701</v>
      </c>
      <c r="CB10" s="324">
        <f>CA10</f>
        <v>0.12984032725640701</v>
      </c>
      <c r="CC10" s="324">
        <f>$I10*IF($G10="Pickup", SUMIFS(NewEmisData!E:E, NewEmisData!$A:$A, "Pickup", NewEmisData!$B:$B, $A10, NewEmisData!$C:$C, $H10, NewEmisData!$D:$D, CC$2), SUMIFS(NewEmisData!E:E, NewEmisData!$A:$A, "LDV", NewEmisData!$B:$B, $A10, NewEmisData!$C:$C, $H10, NewEmisData!$D:$D, CC$2))</f>
        <v>4.52789246362666E-2</v>
      </c>
      <c r="CD10" s="324">
        <f>$I10*IF($G10="Pickup", SUMIFS(NewEmisData!F:F, NewEmisData!$A:$A, "Pickup", NewEmisData!$B:$B, $A10, NewEmisData!$C:$C, $H10, NewEmisData!$D:$D, CD$2), SUMIFS(NewEmisData!F:F, NewEmisData!$A:$A, "LDV", NewEmisData!$B:$B, $A10, NewEmisData!$C:$C, $H10, NewEmisData!$D:$D, CD$2))</f>
        <v>3.0659932051567799E-2</v>
      </c>
      <c r="CE10" s="324">
        <f>$I10*IF($G10="Pickup", SUMIFS(NewEmisData!G:G, NewEmisData!$A:$A, "Pickup", NewEmisData!$B:$B, $A10, NewEmisData!$C:$C, $H10, NewEmisData!$D:$D, CE$2), SUMIFS(NewEmisData!G:G, NewEmisData!$A:$A, "LDV", NewEmisData!$B:$B, $A10, NewEmisData!$C:$C, $H10, NewEmisData!$D:$D, CE$2))</f>
        <v>2.8386595157116199E-2</v>
      </c>
      <c r="CF10" s="324">
        <f>$I10*IF($G10="Pickup", SUMIFS(NewEmisData!H:H, NewEmisData!$A:$A, "Pickup", NewEmisData!$B:$B, $A10, NewEmisData!$C:$C, $H10, NewEmisData!$D:$D, CF$2), SUMIFS(NewEmisData!H:H, NewEmisData!$A:$A, "LDV", NewEmisData!$B:$B, $A10, NewEmisData!$C:$C, $H10, NewEmisData!$D:$D, CF$2))</f>
        <v>2.7093413499500101E-2</v>
      </c>
      <c r="CG10" s="324">
        <f>$I10*IF($G10="Pickup", SUMIFS(NewEmisData!I:I, NewEmisData!$A:$A, "Pickup", NewEmisData!$B:$B, $A10, NewEmisData!$C:$C, $H10, NewEmisData!$D:$D, CG$2), SUMIFS(NewEmisData!I:I, NewEmisData!$A:$A, "LDV", NewEmisData!$B:$B, $A10, NewEmisData!$C:$C, $H10, NewEmisData!$D:$D, CG$2))</f>
        <v>2.6239574855980601E-2</v>
      </c>
      <c r="CH10" s="324">
        <f>$I10*IF($G10="Pickup", SUMIFS(NewEmisData!J:J, NewEmisData!$A:$A, "Pickup", NewEmisData!$B:$B, $A10, NewEmisData!$C:$C, $H10, NewEmisData!$D:$D, CH$2), SUMIFS(NewEmisData!J:J, NewEmisData!$A:$A, "LDV", NewEmisData!$B:$B, $A10, NewEmisData!$C:$C, $H10, NewEmisData!$D:$D, CH$2))</f>
        <v>2.5564245202349602E-2</v>
      </c>
      <c r="CI10" s="324">
        <f>$I10*IF($G10="Pickup", SUMIFS(NewEmisData!K:K, NewEmisData!$A:$A, "Pickup", NewEmisData!$B:$B, $A10, NewEmisData!$C:$C, $H10, NewEmisData!$D:$D, CI$2), SUMIFS(NewEmisData!K:K, NewEmisData!$A:$A, "LDV", NewEmisData!$B:$B, $A10, NewEmisData!$C:$C, $H10, NewEmisData!$D:$D, CI$2))</f>
        <v>2.5562136009582501E-2</v>
      </c>
      <c r="CJ10" s="324">
        <f>$I10*IF($G10="Pickup", SUMIFS(NewEmisData!L:L, NewEmisData!$A:$A, "Pickup", NewEmisData!$B:$B, $A10, NewEmisData!$C:$C, $H10, NewEmisData!$D:$D, CJ$2), SUMIFS(NewEmisData!L:L, NewEmisData!$A:$A, "LDV", NewEmisData!$B:$B, $A10, NewEmisData!$C:$C, $H10, NewEmisData!$D:$D, CJ$2))</f>
        <v>2.5561539762266602E-2</v>
      </c>
      <c r="CK10" s="324">
        <f>$I10*IF($G10="Pickup", SUMIFS(NewEmisData!M:M, NewEmisData!$A:$A, "Pickup", NewEmisData!$B:$B, $A10, NewEmisData!$C:$C, $H10, NewEmisData!$D:$D, CK$2), SUMIFS(NewEmisData!M:M, NewEmisData!$A:$A, "LDV", NewEmisData!$B:$B, $A10, NewEmisData!$C:$C, $H10, NewEmisData!$D:$D, CK$2))</f>
        <v>2.5560994254839702E-2</v>
      </c>
      <c r="CL10" s="324">
        <f>CK10</f>
        <v>2.5560994254839702E-2</v>
      </c>
      <c r="CM10" s="324">
        <f>$I10*IF($G10="Pickup", SUMIFS(NewEmisData!E:E, NewEmisData!$A:$A, "Pickup", NewEmisData!$B:$B, $A10, NewEmisData!$C:$C, $H10, NewEmisData!$D:$D, CM$2), SUMIFS(NewEmisData!E:E, NewEmisData!$A:$A, "LDV", NewEmisData!$B:$B, $A10, NewEmisData!$C:$C, $H10, NewEmisData!$D:$D, CM$2))</f>
        <v>2.2616228111616499E-2</v>
      </c>
      <c r="CN10" s="324">
        <f>$I10*IF($G10="Pickup", SUMIFS(NewEmisData!F:F, NewEmisData!$A:$A, "Pickup", NewEmisData!$B:$B, $A10, NewEmisData!$C:$C, $H10, NewEmisData!$D:$D, CN$2), SUMIFS(NewEmisData!F:F, NewEmisData!$A:$A, "LDV", NewEmisData!$B:$B, $A10, NewEmisData!$C:$C, $H10, NewEmisData!$D:$D, CN$2))</f>
        <v>1.37039938381133E-2</v>
      </c>
      <c r="CO10" s="324">
        <f>$I10*IF($G10="Pickup", SUMIFS(NewEmisData!G:G, NewEmisData!$A:$A, "Pickup", NewEmisData!$B:$B, $A10, NewEmisData!$C:$C, $H10, NewEmisData!$D:$D, CO$2), SUMIFS(NewEmisData!G:G, NewEmisData!$A:$A, "LDV", NewEmisData!$B:$B, $A10, NewEmisData!$C:$C, $H10, NewEmisData!$D:$D, CO$2))</f>
        <v>1.11279535576189E-2</v>
      </c>
      <c r="CP10" s="324">
        <f>$I10*IF($G10="Pickup", SUMIFS(NewEmisData!H:H, NewEmisData!$A:$A, "Pickup", NewEmisData!$B:$B, $A10, NewEmisData!$C:$C, $H10, NewEmisData!$D:$D, CP$2), SUMIFS(NewEmisData!H:H, NewEmisData!$A:$A, "LDV", NewEmisData!$B:$B, $A10, NewEmisData!$C:$C, $H10, NewEmisData!$D:$D, CP$2))</f>
        <v>9.1642249406405796E-3</v>
      </c>
      <c r="CQ10" s="324">
        <f>$I10*IF($G10="Pickup", SUMIFS(NewEmisData!I:I, NewEmisData!$A:$A, "Pickup", NewEmisData!$B:$B, $A10, NewEmisData!$C:$C, $H10, NewEmisData!$D:$D, CQ$2), SUMIFS(NewEmisData!I:I, NewEmisData!$A:$A, "LDV", NewEmisData!$B:$B, $A10, NewEmisData!$C:$C, $H10, NewEmisData!$D:$D, CQ$2))</f>
        <v>8.2157407295701708E-3</v>
      </c>
      <c r="CR10" s="324">
        <f>$I10*IF($G10="Pickup", SUMIFS(NewEmisData!J:J, NewEmisData!$A:$A, "Pickup", NewEmisData!$B:$B, $A10, NewEmisData!$C:$C, $H10, NewEmisData!$D:$D, CR$2), SUMIFS(NewEmisData!J:J, NewEmisData!$A:$A, "LDV", NewEmisData!$B:$B, $A10, NewEmisData!$C:$C, $H10, NewEmisData!$D:$D, CR$2))</f>
        <v>7.8051702943740097E-3</v>
      </c>
      <c r="CS10" s="324">
        <f>$I10*IF($G10="Pickup", SUMIFS(NewEmisData!K:K, NewEmisData!$A:$A, "Pickup", NewEmisData!$B:$B, $A10, NewEmisData!$C:$C, $H10, NewEmisData!$D:$D, CS$2), SUMIFS(NewEmisData!K:K, NewEmisData!$A:$A, "LDV", NewEmisData!$B:$B, $A10, NewEmisData!$C:$C, $H10, NewEmisData!$D:$D, CS$2))</f>
        <v>7.7607552788062101E-3</v>
      </c>
      <c r="CT10" s="324">
        <f>$I10*IF($G10="Pickup", SUMIFS(NewEmisData!L:L, NewEmisData!$A:$A, "Pickup", NewEmisData!$B:$B, $A10, NewEmisData!$C:$C, $H10, NewEmisData!$D:$D, CT$2), SUMIFS(NewEmisData!L:L, NewEmisData!$A:$A, "LDV", NewEmisData!$B:$B, $A10, NewEmisData!$C:$C, $H10, NewEmisData!$D:$D, CT$2))</f>
        <v>7.6883348823828098E-3</v>
      </c>
      <c r="CU10" s="324">
        <f>$I10*IF($G10="Pickup", SUMIFS(NewEmisData!M:M, NewEmisData!$A:$A, "Pickup", NewEmisData!$B:$B, $A10, NewEmisData!$C:$C, $H10, NewEmisData!$D:$D, CU$2), SUMIFS(NewEmisData!M:M, NewEmisData!$A:$A, "LDV", NewEmisData!$B:$B, $A10, NewEmisData!$C:$C, $H10, NewEmisData!$D:$D, CU$2))</f>
        <v>7.6878848286885603E-3</v>
      </c>
      <c r="CV10" s="324">
        <f>CU10</f>
        <v>7.6878848286885603E-3</v>
      </c>
      <c r="CW10" s="324">
        <v>3.0448046675121709E-3</v>
      </c>
      <c r="CX10" s="324">
        <v>1.8865908720768221E-3</v>
      </c>
      <c r="CY10" s="324">
        <v>1.5570268485524494E-3</v>
      </c>
      <c r="CZ10" s="324">
        <v>1.2432183416122382E-3</v>
      </c>
      <c r="DA10" s="324">
        <v>9.252251866281976E-4</v>
      </c>
      <c r="DB10" s="324">
        <v>7.2309456596024934E-4</v>
      </c>
      <c r="DC10" s="324">
        <v>6.8940706870607876E-4</v>
      </c>
      <c r="DD10" s="324">
        <v>6.844148428615973E-4</v>
      </c>
      <c r="DE10" s="324">
        <v>6.8634617396886091E-4</v>
      </c>
      <c r="DF10" s="324">
        <v>6.8634617396886091E-4</v>
      </c>
      <c r="DG10" s="324">
        <f>$I10*IF($G10="Pickup", SUMIFS(NewEmisData!E:E, NewEmisData!$A:$A, "Pickup", NewEmisData!$B:$B, $A10, NewEmisData!$C:$C, $H10, NewEmisData!$D:$D, DG$2), SUMIFS(NewEmisData!E:E, NewEmisData!$A:$A, "LDV", NewEmisData!$B:$B, $A10, NewEmisData!$C:$C, $H10, NewEmisData!$D:$D, DG$2))</f>
        <v>0</v>
      </c>
      <c r="DH10" s="324">
        <f>$I10*IF($G10="Pickup", SUMIFS(NewEmisData!F:F, NewEmisData!$A:$A, "Pickup", NewEmisData!$B:$B, $A10, NewEmisData!$C:$C, $H10, NewEmisData!$D:$D, DH$2), SUMIFS(NewEmisData!F:F, NewEmisData!$A:$A, "LDV", NewEmisData!$B:$B, $A10, NewEmisData!$C:$C, $H10, NewEmisData!$D:$D, DH$2))</f>
        <v>0</v>
      </c>
      <c r="DI10" s="324">
        <f>$I10*IF($G10="Pickup", SUMIFS(NewEmisData!G:G, NewEmisData!$A:$A, "Pickup", NewEmisData!$B:$B, $A10, NewEmisData!$C:$C, $H10, NewEmisData!$D:$D, DI$2), SUMIFS(NewEmisData!G:G, NewEmisData!$A:$A, "LDV", NewEmisData!$B:$B, $A10, NewEmisData!$C:$C, $H10, NewEmisData!$D:$D, DI$2))</f>
        <v>0</v>
      </c>
      <c r="DJ10" s="324">
        <f>$I10*IF($G10="Pickup", SUMIFS(NewEmisData!H:H, NewEmisData!$A:$A, "Pickup", NewEmisData!$B:$B, $A10, NewEmisData!$C:$C, $H10, NewEmisData!$D:$D, DJ$2), SUMIFS(NewEmisData!H:H, NewEmisData!$A:$A, "LDV", NewEmisData!$B:$B, $A10, NewEmisData!$C:$C, $H10, NewEmisData!$D:$D, DJ$2))</f>
        <v>0</v>
      </c>
      <c r="DK10" s="324">
        <f>$I10*IF($G10="Pickup", SUMIFS(NewEmisData!I:I, NewEmisData!$A:$A, "Pickup", NewEmisData!$B:$B, $A10, NewEmisData!$C:$C, $H10, NewEmisData!$D:$D, DK$2), SUMIFS(NewEmisData!I:I, NewEmisData!$A:$A, "LDV", NewEmisData!$B:$B, $A10, NewEmisData!$C:$C, $H10, NewEmisData!$D:$D, DK$2))</f>
        <v>0</v>
      </c>
      <c r="DL10" s="324">
        <f>$I10*IF($G10="Pickup", SUMIFS(NewEmisData!J:J, NewEmisData!$A:$A, "Pickup", NewEmisData!$B:$B, $A10, NewEmisData!$C:$C, $H10, NewEmisData!$D:$D, DL$2), SUMIFS(NewEmisData!J:J, NewEmisData!$A:$A, "LDV", NewEmisData!$B:$B, $A10, NewEmisData!$C:$C, $H10, NewEmisData!$D:$D, DL$2))</f>
        <v>0</v>
      </c>
      <c r="DM10" s="324">
        <f>$I10*IF($G10="Pickup", SUMIFS(NewEmisData!K:K, NewEmisData!$A:$A, "Pickup", NewEmisData!$B:$B, $A10, NewEmisData!$C:$C, $H10, NewEmisData!$D:$D, DM$2), SUMIFS(NewEmisData!K:K, NewEmisData!$A:$A, "LDV", NewEmisData!$B:$B, $A10, NewEmisData!$C:$C, $H10, NewEmisData!$D:$D, DM$2))</f>
        <v>0</v>
      </c>
      <c r="DN10" s="324">
        <f>$I10*IF($G10="Pickup", SUMIFS(NewEmisData!L:L, NewEmisData!$A:$A, "Pickup", NewEmisData!$B:$B, $A10, NewEmisData!$C:$C, $H10, NewEmisData!$D:$D, DN$2), SUMIFS(NewEmisData!L:L, NewEmisData!$A:$A, "LDV", NewEmisData!$B:$B, $A10, NewEmisData!$C:$C, $H10, NewEmisData!$D:$D, DN$2))</f>
        <v>0</v>
      </c>
      <c r="DO10" s="324">
        <f>$I10*IF($G10="Pickup", SUMIFS(NewEmisData!M:M, NewEmisData!$A:$A, "Pickup", NewEmisData!$B:$B, $A10, NewEmisData!$C:$C, $H10, NewEmisData!$D:$D, DO$2), SUMIFS(NewEmisData!M:M, NewEmisData!$A:$A, "LDV", NewEmisData!$B:$B, $A10, NewEmisData!$C:$C, $H10, NewEmisData!$D:$D, DO$2))</f>
        <v>0</v>
      </c>
      <c r="DP10" s="324">
        <f>DO10</f>
        <v>0</v>
      </c>
      <c r="DQ10" s="324">
        <f>$I10*IF($G10="Pickup", SUMIFS(NewEmisData!E:E, NewEmisData!$A:$A, "Pickup", NewEmisData!$B:$B, $A10, NewEmisData!$C:$C, $H10, NewEmisData!$D:$D, DQ$2), SUMIFS(NewEmisData!E:E, NewEmisData!$A:$A, "LDV", NewEmisData!$B:$B, $A10, NewEmisData!$C:$C, $H10, NewEmisData!$D:$D, DQ$2))</f>
        <v>1.53337301393982E-2</v>
      </c>
      <c r="DR10" s="324">
        <f>$I10*IF($G10="Pickup", SUMIFS(NewEmisData!F:F, NewEmisData!$A:$A, "Pickup", NewEmisData!$B:$B, $A10, NewEmisData!$C:$C, $H10, NewEmisData!$D:$D, DR$2), SUMIFS(NewEmisData!F:F, NewEmisData!$A:$A, "LDV", NewEmisData!$B:$B, $A10, NewEmisData!$C:$C, $H10, NewEmisData!$D:$D, DR$2))</f>
        <v>8.5791399504283501E-3</v>
      </c>
      <c r="DS10" s="324">
        <f>$I10*IF($G10="Pickup", SUMIFS(NewEmisData!G:G, NewEmisData!$A:$A, "Pickup", NewEmisData!$B:$B, $A10, NewEmisData!$C:$C, $H10, NewEmisData!$D:$D, DS$2), SUMIFS(NewEmisData!G:G, NewEmisData!$A:$A, "LDV", NewEmisData!$B:$B, $A10, NewEmisData!$C:$C, $H10, NewEmisData!$D:$D, DS$2))</f>
        <v>6.82614050243104E-3</v>
      </c>
      <c r="DT10" s="324">
        <f>$I10*IF($G10="Pickup", SUMIFS(NewEmisData!H:H, NewEmisData!$A:$A, "Pickup", NewEmisData!$B:$B, $A10, NewEmisData!$C:$C, $H10, NewEmisData!$D:$D, DT$2), SUMIFS(NewEmisData!H:H, NewEmisData!$A:$A, "LDV", NewEmisData!$B:$B, $A10, NewEmisData!$C:$C, $H10, NewEmisData!$D:$D, DT$2))</f>
        <v>5.2306090144423403E-3</v>
      </c>
      <c r="DU10" s="324">
        <f>$I10*IF($G10="Pickup", SUMIFS(NewEmisData!I:I, NewEmisData!$A:$A, "Pickup", NewEmisData!$B:$B, $A10, NewEmisData!$C:$C, $H10, NewEmisData!$D:$D, DU$2), SUMIFS(NewEmisData!I:I, NewEmisData!$A:$A, "LDV", NewEmisData!$B:$B, $A10, NewEmisData!$C:$C, $H10, NewEmisData!$D:$D, DU$2))</f>
        <v>4.0991034424651901E-3</v>
      </c>
      <c r="DV10" s="324">
        <f>$I10*IF($G10="Pickup", SUMIFS(NewEmisData!J:J, NewEmisData!$A:$A, "Pickup", NewEmisData!$B:$B, $A10, NewEmisData!$C:$C, $H10, NewEmisData!$D:$D, DV$2), SUMIFS(NewEmisData!J:J, NewEmisData!$A:$A, "LDV", NewEmisData!$B:$B, $A10, NewEmisData!$C:$C, $H10, NewEmisData!$D:$D, DV$2))</f>
        <v>3.5909983676119801E-3</v>
      </c>
      <c r="DW10" s="324">
        <f>$I10*IF($G10="Pickup", SUMIFS(NewEmisData!K:K, NewEmisData!$A:$A, "Pickup", NewEmisData!$B:$B, $A10, NewEmisData!$C:$C, $H10, NewEmisData!$D:$D, DW$2), SUMIFS(NewEmisData!K:K, NewEmisData!$A:$A, "LDV", NewEmisData!$B:$B, $A10, NewEmisData!$C:$C, $H10, NewEmisData!$D:$D, DW$2))</f>
        <v>3.3016556899443999E-3</v>
      </c>
      <c r="DX10" s="324">
        <f>$I10*IF($G10="Pickup", SUMIFS(NewEmisData!L:L, NewEmisData!$A:$A, "Pickup", NewEmisData!$B:$B, $A10, NewEmisData!$C:$C, $H10, NewEmisData!$D:$D, DX$2), SUMIFS(NewEmisData!L:L, NewEmisData!$A:$A, "LDV", NewEmisData!$B:$B, $A10, NewEmisData!$C:$C, $H10, NewEmisData!$D:$D, DX$2))</f>
        <v>3.2097040973390598E-3</v>
      </c>
      <c r="DY10" s="324">
        <f>$I10*IF($G10="Pickup", SUMIFS(NewEmisData!M:M, NewEmisData!$A:$A, "Pickup", NewEmisData!$B:$B, $A10, NewEmisData!$C:$C, $H10, NewEmisData!$D:$D, DY$2), SUMIFS(NewEmisData!M:M, NewEmisData!$A:$A, "LDV", NewEmisData!$B:$B, $A10, NewEmisData!$C:$C, $H10, NewEmisData!$D:$D, DY$2))</f>
        <v>3.1631494921928599E-3</v>
      </c>
      <c r="DZ10" s="324">
        <f>DY10</f>
        <v>3.1631494921928599E-3</v>
      </c>
      <c r="EA10" s="324">
        <f>K10</f>
        <v>477.08587282575797</v>
      </c>
      <c r="EB10" s="324">
        <f t="shared" ref="EB10:FX10" si="3">L10</f>
        <v>459.34104292251902</v>
      </c>
      <c r="EC10" s="324">
        <f t="shared" si="3"/>
        <v>447.45896927637102</v>
      </c>
      <c r="ED10" s="324">
        <f t="shared" si="3"/>
        <v>380.72392677964001</v>
      </c>
      <c r="EE10" s="324">
        <f t="shared" si="3"/>
        <v>329.54737069801098</v>
      </c>
      <c r="EF10" s="324">
        <f t="shared" si="3"/>
        <v>300.69829568412598</v>
      </c>
      <c r="EG10" s="324">
        <f t="shared" si="3"/>
        <v>287.83799703632701</v>
      </c>
      <c r="EH10" s="324">
        <f t="shared" si="3"/>
        <v>283.26610797837998</v>
      </c>
      <c r="EI10" s="324">
        <f t="shared" si="3"/>
        <v>281.57834098528099</v>
      </c>
      <c r="EJ10" s="324">
        <f t="shared" si="3"/>
        <v>281.57834098528099</v>
      </c>
      <c r="EK10" s="324">
        <f t="shared" si="3"/>
        <v>0.82339103642645395</v>
      </c>
      <c r="EL10" s="324">
        <f t="shared" si="3"/>
        <v>0.360872733315452</v>
      </c>
      <c r="EM10" s="324">
        <f t="shared" si="3"/>
        <v>0.21658171178065999</v>
      </c>
      <c r="EN10" s="324">
        <f t="shared" si="3"/>
        <v>0.14200533002195401</v>
      </c>
      <c r="EO10" s="324">
        <f t="shared" si="3"/>
        <v>8.8016804659711706E-2</v>
      </c>
      <c r="EP10" s="324">
        <f t="shared" si="3"/>
        <v>6.5736379947852003E-2</v>
      </c>
      <c r="EQ10" s="324">
        <f t="shared" si="3"/>
        <v>5.6635638117250503E-2</v>
      </c>
      <c r="ER10" s="324">
        <f t="shared" si="3"/>
        <v>5.4115247223223299E-2</v>
      </c>
      <c r="ES10" s="324">
        <f t="shared" si="3"/>
        <v>5.2826207223764E-2</v>
      </c>
      <c r="ET10" s="324">
        <f t="shared" si="3"/>
        <v>5.2826207223764E-2</v>
      </c>
      <c r="EU10" s="324">
        <f t="shared" si="3"/>
        <v>8.2552586035919695E-3</v>
      </c>
      <c r="EV10" s="324">
        <f t="shared" si="3"/>
        <v>7.9482131517538395E-3</v>
      </c>
      <c r="EW10" s="324">
        <f t="shared" si="3"/>
        <v>6.4190305556059996E-3</v>
      </c>
      <c r="EX10" s="324">
        <f t="shared" si="3"/>
        <v>5.4616828003907899E-3</v>
      </c>
      <c r="EY10" s="324">
        <f t="shared" si="3"/>
        <v>4.7275285851957304E-3</v>
      </c>
      <c r="EZ10" s="324">
        <f t="shared" si="3"/>
        <v>4.3136734611450098E-3</v>
      </c>
      <c r="FA10" s="324">
        <f t="shared" si="3"/>
        <v>4.1291858052272803E-3</v>
      </c>
      <c r="FB10" s="324">
        <f t="shared" si="3"/>
        <v>4.0635983922117898E-3</v>
      </c>
      <c r="FC10" s="324">
        <f t="shared" si="3"/>
        <v>4.0393864318059199E-3</v>
      </c>
      <c r="FD10" s="324">
        <f t="shared" si="3"/>
        <v>4.0393864318059199E-3</v>
      </c>
      <c r="FE10" s="324">
        <f t="shared" si="3"/>
        <v>8.1828643727713493E-2</v>
      </c>
      <c r="FF10" s="324">
        <f t="shared" si="3"/>
        <v>7.6175839057221195E-2</v>
      </c>
      <c r="FG10" s="324">
        <f t="shared" si="3"/>
        <v>8.1302809072104507E-2</v>
      </c>
      <c r="FH10" s="324">
        <f t="shared" si="3"/>
        <v>7.9561688690416299E-2</v>
      </c>
      <c r="FI10" s="324">
        <f t="shared" si="3"/>
        <v>7.7910530261031605E-2</v>
      </c>
      <c r="FJ10" s="324">
        <f t="shared" si="3"/>
        <v>7.6590334474495605E-2</v>
      </c>
      <c r="FK10" s="324">
        <f t="shared" si="3"/>
        <v>7.5767938917924701E-2</v>
      </c>
      <c r="FL10" s="324">
        <f t="shared" si="3"/>
        <v>7.5353710070808794E-2</v>
      </c>
      <c r="FM10" s="324">
        <f t="shared" si="3"/>
        <v>7.5117977052891499E-2</v>
      </c>
      <c r="FN10" s="324">
        <f t="shared" si="3"/>
        <v>7.5117977052891499E-2</v>
      </c>
      <c r="FO10" s="324">
        <f t="shared" si="3"/>
        <v>2.1998193760633E-2</v>
      </c>
      <c r="FP10" s="324">
        <f t="shared" si="3"/>
        <v>1.6997575378008601E-2</v>
      </c>
      <c r="FQ10" s="324">
        <f t="shared" si="3"/>
        <v>1.6580879412419602E-2</v>
      </c>
      <c r="FR10" s="324">
        <f t="shared" si="3"/>
        <v>1.5040645169031801E-2</v>
      </c>
      <c r="FS10" s="324">
        <f t="shared" si="3"/>
        <v>1.35799610150696E-2</v>
      </c>
      <c r="FT10" s="324">
        <f t="shared" si="3"/>
        <v>1.24120667817219E-2</v>
      </c>
      <c r="FU10" s="324">
        <f t="shared" si="3"/>
        <v>1.16845073314224E-2</v>
      </c>
      <c r="FV10" s="324">
        <f t="shared" si="3"/>
        <v>1.1318096390010799E-2</v>
      </c>
      <c r="FW10" s="324">
        <f t="shared" si="3"/>
        <v>1.1109456757731499E-2</v>
      </c>
      <c r="FX10" s="324">
        <f t="shared" si="3"/>
        <v>1.1109456757731499E-2</v>
      </c>
    </row>
    <row r="11" spans="1:190" x14ac:dyDescent="0.2">
      <c r="A11" s="298" t="str">
        <f>_xlfn.CONCAT(IF(LEFT(TRIM(A10),1)="*", "*R", "R"), 1+RIGHT(TRIM(A10),1))</f>
        <v>R3</v>
      </c>
      <c r="B11" s="298" t="str">
        <f t="shared" ref="B11:F11" si="4">B10</f>
        <v>TLEMCGSL</v>
      </c>
      <c r="C11" s="298" t="str">
        <f t="shared" si="4"/>
        <v>TL.GSL.MC.Existing fleet</v>
      </c>
      <c r="D11" s="294" t="str">
        <f t="shared" si="4"/>
        <v>bn-vmt, bn-vmt/a</v>
      </c>
      <c r="E11" s="294" t="str">
        <f t="shared" si="4"/>
        <v>TLGSL</v>
      </c>
      <c r="F11" s="294" t="str">
        <f t="shared" si="4"/>
        <v>TL</v>
      </c>
      <c r="G11" s="294" t="s">
        <v>473</v>
      </c>
      <c r="H11" s="294" t="s">
        <v>474</v>
      </c>
      <c r="I11" s="294">
        <v>1</v>
      </c>
      <c r="J11" s="308" t="str">
        <f t="shared" si="2"/>
        <v>Mini car-GSL</v>
      </c>
      <c r="K11" s="324">
        <f>$I11*IF($G11="Pickup", SUMIFS(NewEmisData!E:E, NewEmisData!$A:$A, "Pickup", NewEmisData!$B:$B, $A11, NewEmisData!$C:$C, $H11, NewEmisData!$D:$D, K$2), SUMIFS(NewEmisData!E:E, NewEmisData!$A:$A, "LDV", NewEmisData!$B:$B, $A11, NewEmisData!$C:$C, $H11, NewEmisData!$D:$D, K$2))</f>
        <v>437.85746964693402</v>
      </c>
      <c r="L11" s="324">
        <f>$I11*IF($G11="Pickup", SUMIFS(NewEmisData!F:F, NewEmisData!$A:$A, "Pickup", NewEmisData!$B:$B, $A11, NewEmisData!$C:$C, $H11, NewEmisData!$D:$D, L$2), SUMIFS(NewEmisData!F:F, NewEmisData!$A:$A, "LDV", NewEmisData!$B:$B, $A11, NewEmisData!$C:$C, $H11, NewEmisData!$D:$D, L$2))</f>
        <v>424.609883045034</v>
      </c>
      <c r="M11" s="324">
        <f>$I11*IF($G11="Pickup", SUMIFS(NewEmisData!G:G, NewEmisData!$A:$A, "Pickup", NewEmisData!$B:$B, $A11, NewEmisData!$C:$C, $H11, NewEmisData!$D:$D, M$2), SUMIFS(NewEmisData!G:G, NewEmisData!$A:$A, "LDV", NewEmisData!$B:$B, $A11, NewEmisData!$C:$C, $H11, NewEmisData!$D:$D, M$2))</f>
        <v>389.26792072260798</v>
      </c>
      <c r="N11" s="324">
        <f>$I11*IF($G11="Pickup", SUMIFS(NewEmisData!H:H, NewEmisData!$A:$A, "Pickup", NewEmisData!$B:$B, $A11, NewEmisData!$C:$C, $H11, NewEmisData!$D:$D, N$2), SUMIFS(NewEmisData!H:H, NewEmisData!$A:$A, "LDV", NewEmisData!$B:$B, $A11, NewEmisData!$C:$C, $H11, NewEmisData!$D:$D, N$2))</f>
        <v>331.09003080375697</v>
      </c>
      <c r="O11" s="324">
        <f>$I11*IF($G11="Pickup", SUMIFS(NewEmisData!I:I, NewEmisData!$A:$A, "Pickup", NewEmisData!$B:$B, $A11, NewEmisData!$C:$C, $H11, NewEmisData!$D:$D, O$2), SUMIFS(NewEmisData!I:I, NewEmisData!$A:$A, "LDV", NewEmisData!$B:$B, $A11, NewEmisData!$C:$C, $H11, NewEmisData!$D:$D, O$2))</f>
        <v>286.46929869872997</v>
      </c>
      <c r="P11" s="324">
        <f>$I11*IF($G11="Pickup", SUMIFS(NewEmisData!J:J, NewEmisData!$A:$A, "Pickup", NewEmisData!$B:$B, $A11, NewEmisData!$C:$C, $H11, NewEmisData!$D:$D, P$2), SUMIFS(NewEmisData!J:J, NewEmisData!$A:$A, "LDV", NewEmisData!$B:$B, $A11, NewEmisData!$C:$C, $H11, NewEmisData!$D:$D, P$2))</f>
        <v>261.33080310252802</v>
      </c>
      <c r="Q11" s="324">
        <f>$I11*IF($G11="Pickup", SUMIFS(NewEmisData!K:K, NewEmisData!$A:$A, "Pickup", NewEmisData!$B:$B, $A11, NewEmisData!$C:$C, $H11, NewEmisData!$D:$D, Q$2), SUMIFS(NewEmisData!K:K, NewEmisData!$A:$A, "LDV", NewEmisData!$B:$B, $A11, NewEmisData!$C:$C, $H11, NewEmisData!$D:$D, Q$2))</f>
        <v>250.12665030232699</v>
      </c>
      <c r="R11" s="324">
        <f>$I11*IF($G11="Pickup", SUMIFS(NewEmisData!L:L, NewEmisData!$A:$A, "Pickup", NewEmisData!$B:$B, $A11, NewEmisData!$C:$C, $H11, NewEmisData!$D:$D, R$2), SUMIFS(NewEmisData!L:L, NewEmisData!$A:$A, "LDV", NewEmisData!$B:$B, $A11, NewEmisData!$C:$C, $H11, NewEmisData!$D:$D, R$2))</f>
        <v>246.146486551527</v>
      </c>
      <c r="S11" s="324">
        <f>$I11*IF($G11="Pickup", SUMIFS(NewEmisData!M:M, NewEmisData!$A:$A, "Pickup", NewEmisData!$B:$B, $A11, NewEmisData!$C:$C, $H11, NewEmisData!$D:$D, S$2), SUMIFS(NewEmisData!M:M, NewEmisData!$A:$A, "LDV", NewEmisData!$B:$B, $A11, NewEmisData!$C:$C, $H11, NewEmisData!$D:$D, S$2))</f>
        <v>244.677818234341</v>
      </c>
      <c r="T11" s="324">
        <f t="shared" ref="T11:T74" si="5">S11</f>
        <v>244.677818234341</v>
      </c>
      <c r="U11" s="324">
        <f>$I11*IF($G11="Pickup", SUMIFS(NewEmisData!E:E, NewEmisData!$A:$A, "Pickup", NewEmisData!$B:$B, $A11, NewEmisData!$C:$C, $H11, NewEmisData!$D:$D, U$2), SUMIFS(NewEmisData!E:E, NewEmisData!$A:$A, "LDV", NewEmisData!$B:$B, $A11, NewEmisData!$C:$C, $H11, NewEmisData!$D:$D, U$2))</f>
        <v>0.78000130642291299</v>
      </c>
      <c r="V11" s="324">
        <f>$I11*IF($G11="Pickup", SUMIFS(NewEmisData!F:F, NewEmisData!$A:$A, "Pickup", NewEmisData!$B:$B, $A11, NewEmisData!$C:$C, $H11, NewEmisData!$D:$D, V$2), SUMIFS(NewEmisData!F:F, NewEmisData!$A:$A, "LDV", NewEmisData!$B:$B, $A11, NewEmisData!$C:$C, $H11, NewEmisData!$D:$D, V$2))</f>
        <v>0.323605278282381</v>
      </c>
      <c r="W11" s="324">
        <f>$I11*IF($G11="Pickup", SUMIFS(NewEmisData!G:G, NewEmisData!$A:$A, "Pickup", NewEmisData!$B:$B, $A11, NewEmisData!$C:$C, $H11, NewEmisData!$D:$D, W$2), SUMIFS(NewEmisData!G:G, NewEmisData!$A:$A, "LDV", NewEmisData!$B:$B, $A11, NewEmisData!$C:$C, $H11, NewEmisData!$D:$D, W$2))</f>
        <v>0.19152446532377701</v>
      </c>
      <c r="X11" s="324">
        <f>$I11*IF($G11="Pickup", SUMIFS(NewEmisData!H:H, NewEmisData!$A:$A, "Pickup", NewEmisData!$B:$B, $A11, NewEmisData!$C:$C, $H11, NewEmisData!$D:$D, X$2), SUMIFS(NewEmisData!H:H, NewEmisData!$A:$A, "LDV", NewEmisData!$B:$B, $A11, NewEmisData!$C:$C, $H11, NewEmisData!$D:$D, X$2))</f>
        <v>0.12537127832280801</v>
      </c>
      <c r="Y11" s="324">
        <f>$I11*IF($G11="Pickup", SUMIFS(NewEmisData!I:I, NewEmisData!$A:$A, "Pickup", NewEmisData!$B:$B, $A11, NewEmisData!$C:$C, $H11, NewEmisData!$D:$D, Y$2), SUMIFS(NewEmisData!I:I, NewEmisData!$A:$A, "LDV", NewEmisData!$B:$B, $A11, NewEmisData!$C:$C, $H11, NewEmisData!$D:$D, Y$2))</f>
        <v>7.6671766649271E-2</v>
      </c>
      <c r="Z11" s="324">
        <f>$I11*IF($G11="Pickup", SUMIFS(NewEmisData!J:J, NewEmisData!$A:$A, "Pickup", NewEmisData!$B:$B, $A11, NewEmisData!$C:$C, $H11, NewEmisData!$D:$D, Z$2), SUMIFS(NewEmisData!J:J, NewEmisData!$A:$A, "LDV", NewEmisData!$B:$B, $A11, NewEmisData!$C:$C, $H11, NewEmisData!$D:$D, Z$2))</f>
        <v>5.7019026656941203E-2</v>
      </c>
      <c r="AA11" s="324">
        <f>$I11*IF($G11="Pickup", SUMIFS(NewEmisData!K:K, NewEmisData!$A:$A, "Pickup", NewEmisData!$B:$B, $A11, NewEmisData!$C:$C, $H11, NewEmisData!$D:$D, AA$2), SUMIFS(NewEmisData!K:K, NewEmisData!$A:$A, "LDV", NewEmisData!$B:$B, $A11, NewEmisData!$C:$C, $H11, NewEmisData!$D:$D, AA$2))</f>
        <v>4.8823281713844202E-2</v>
      </c>
      <c r="AB11" s="324">
        <f>$I11*IF($G11="Pickup", SUMIFS(NewEmisData!L:L, NewEmisData!$A:$A, "Pickup", NewEmisData!$B:$B, $A11, NewEmisData!$C:$C, $H11, NewEmisData!$D:$D, AB$2), SUMIFS(NewEmisData!L:L, NewEmisData!$A:$A, "LDV", NewEmisData!$B:$B, $A11, NewEmisData!$C:$C, $H11, NewEmisData!$D:$D, AB$2))</f>
        <v>4.6542407484685501E-2</v>
      </c>
      <c r="AC11" s="324">
        <f>$I11*IF($G11="Pickup", SUMIFS(NewEmisData!M:M, NewEmisData!$A:$A, "Pickup", NewEmisData!$B:$B, $A11, NewEmisData!$C:$C, $H11, NewEmisData!$D:$D, AC$2), SUMIFS(NewEmisData!M:M, NewEmisData!$A:$A, "LDV", NewEmisData!$B:$B, $A11, NewEmisData!$C:$C, $H11, NewEmisData!$D:$D, AC$2))</f>
        <v>4.5415311435121702E-2</v>
      </c>
      <c r="AD11" s="324">
        <f t="shared" ref="AD11:AD74" si="6">AC11</f>
        <v>4.5415311435121702E-2</v>
      </c>
      <c r="AE11" s="324">
        <f>$I11*IF($G11="Pickup", SUMIFS(NewEmisData!E:E, NewEmisData!$A:$A, "Pickup", NewEmisData!$B:$B, $A11, NewEmisData!$C:$C, $H11, NewEmisData!$D:$D, AE$2), SUMIFS(NewEmisData!E:E, NewEmisData!$A:$A, "LDV", NewEmisData!$B:$B, $A11, NewEmisData!$C:$C, $H11, NewEmisData!$D:$D, AE$2))</f>
        <v>7.5764719154140002E-3</v>
      </c>
      <c r="AF11" s="324">
        <f>$I11*IF($G11="Pickup", SUMIFS(NewEmisData!F:F, NewEmisData!$A:$A, "Pickup", NewEmisData!$B:$B, $A11, NewEmisData!$C:$C, $H11, NewEmisData!$D:$D, AF$2), SUMIFS(NewEmisData!F:F, NewEmisData!$A:$A, "LDV", NewEmisData!$B:$B, $A11, NewEmisData!$C:$C, $H11, NewEmisData!$D:$D, AF$2))</f>
        <v>7.3472400077695399E-3</v>
      </c>
      <c r="AG11" s="324">
        <f>$I11*IF($G11="Pickup", SUMIFS(NewEmisData!G:G, NewEmisData!$A:$A, "Pickup", NewEmisData!$B:$B, $A11, NewEmisData!$C:$C, $H11, NewEmisData!$D:$D, AG$2), SUMIFS(NewEmisData!G:G, NewEmisData!$A:$A, "LDV", NewEmisData!$B:$B, $A11, NewEmisData!$C:$C, $H11, NewEmisData!$D:$D, AG$2))</f>
        <v>5.5842494055705696E-3</v>
      </c>
      <c r="AH11" s="324">
        <f>$I11*IF($G11="Pickup", SUMIFS(NewEmisData!H:H, NewEmisData!$A:$A, "Pickup", NewEmisData!$B:$B, $A11, NewEmisData!$C:$C, $H11, NewEmisData!$D:$D, AH$2), SUMIFS(NewEmisData!H:H, NewEmisData!$A:$A, "LDV", NewEmisData!$B:$B, $A11, NewEmisData!$C:$C, $H11, NewEmisData!$D:$D, AH$2))</f>
        <v>4.7496587466809804E-3</v>
      </c>
      <c r="AI11" s="324">
        <f>$I11*IF($G11="Pickup", SUMIFS(NewEmisData!I:I, NewEmisData!$A:$A, "Pickup", NewEmisData!$B:$B, $A11, NewEmisData!$C:$C, $H11, NewEmisData!$D:$D, AI$2), SUMIFS(NewEmisData!I:I, NewEmisData!$A:$A, "LDV", NewEmisData!$B:$B, $A11, NewEmisData!$C:$C, $H11, NewEmisData!$D:$D, AI$2))</f>
        <v>4.1095518958717504E-3</v>
      </c>
      <c r="AJ11" s="324">
        <f>$I11*IF($G11="Pickup", SUMIFS(NewEmisData!J:J, NewEmisData!$A:$A, "Pickup", NewEmisData!$B:$B, $A11, NewEmisData!$C:$C, $H11, NewEmisData!$D:$D, AJ$2), SUMIFS(NewEmisData!J:J, NewEmisData!$A:$A, "LDV", NewEmisData!$B:$B, $A11, NewEmisData!$C:$C, $H11, NewEmisData!$D:$D, AJ$2))</f>
        <v>3.7489264773323799E-3</v>
      </c>
      <c r="AK11" s="324">
        <f>$I11*IF($G11="Pickup", SUMIFS(NewEmisData!K:K, NewEmisData!$A:$A, "Pickup", NewEmisData!$B:$B, $A11, NewEmisData!$C:$C, $H11, NewEmisData!$D:$D, AK$2), SUMIFS(NewEmisData!K:K, NewEmisData!$A:$A, "LDV", NewEmisData!$B:$B, $A11, NewEmisData!$C:$C, $H11, NewEmisData!$D:$D, AK$2))</f>
        <v>3.5881959766524201E-3</v>
      </c>
      <c r="AL11" s="324">
        <f>$I11*IF($G11="Pickup", SUMIFS(NewEmisData!L:L, NewEmisData!$A:$A, "Pickup", NewEmisData!$B:$B, $A11, NewEmisData!$C:$C, $H11, NewEmisData!$D:$D, AL$2), SUMIFS(NewEmisData!L:L, NewEmisData!$A:$A, "LDV", NewEmisData!$B:$B, $A11, NewEmisData!$C:$C, $H11, NewEmisData!$D:$D, AL$2))</f>
        <v>3.5311006464952199E-3</v>
      </c>
      <c r="AM11" s="324">
        <f>$I11*IF($G11="Pickup", SUMIFS(NewEmisData!M:M, NewEmisData!$A:$A, "Pickup", NewEmisData!$B:$B, $A11, NewEmisData!$C:$C, $H11, NewEmisData!$D:$D, AM$2), SUMIFS(NewEmisData!M:M, NewEmisData!$A:$A, "LDV", NewEmisData!$B:$B, $A11, NewEmisData!$C:$C, $H11, NewEmisData!$D:$D, AM$2))</f>
        <v>3.5100309709840301E-3</v>
      </c>
      <c r="AN11" s="324">
        <f t="shared" ref="AN11:AN74" si="7">AM11</f>
        <v>3.5100309709840301E-3</v>
      </c>
      <c r="AO11" s="324">
        <f>$I11*IF($G11="Pickup", SUMIFS(NewEmisData!E:E, NewEmisData!$A:$A, "Pickup", NewEmisData!$B:$B, $A11, NewEmisData!$C:$C, $H11, NewEmisData!$D:$D, AO$2), SUMIFS(NewEmisData!E:E, NewEmisData!$A:$A, "LDV", NewEmisData!$B:$B, $A11, NewEmisData!$C:$C, $H11, NewEmisData!$D:$D, AO$2))</f>
        <v>6.7831755328566196E-2</v>
      </c>
      <c r="AP11" s="324">
        <f>$I11*IF($G11="Pickup", SUMIFS(NewEmisData!F:F, NewEmisData!$A:$A, "Pickup", NewEmisData!$B:$B, $A11, NewEmisData!$C:$C, $H11, NewEmisData!$D:$D, AP$2), SUMIFS(NewEmisData!F:F, NewEmisData!$A:$A, "LDV", NewEmisData!$B:$B, $A11, NewEmisData!$C:$C, $H11, NewEmisData!$D:$D, AP$2))</f>
        <v>6.3250667156757298E-2</v>
      </c>
      <c r="AQ11" s="324">
        <f>$I11*IF($G11="Pickup", SUMIFS(NewEmisData!G:G, NewEmisData!$A:$A, "Pickup", NewEmisData!$B:$B, $A11, NewEmisData!$C:$C, $H11, NewEmisData!$D:$D, AQ$2), SUMIFS(NewEmisData!G:G, NewEmisData!$A:$A, "LDV", NewEmisData!$B:$B, $A11, NewEmisData!$C:$C, $H11, NewEmisData!$D:$D, AQ$2))</f>
        <v>6.2628417187727006E-2</v>
      </c>
      <c r="AR11" s="324">
        <f>$I11*IF($G11="Pickup", SUMIFS(NewEmisData!H:H, NewEmisData!$A:$A, "Pickup", NewEmisData!$B:$B, $A11, NewEmisData!$C:$C, $H11, NewEmisData!$D:$D, AR$2), SUMIFS(NewEmisData!H:H, NewEmisData!$A:$A, "LDV", NewEmisData!$B:$B, $A11, NewEmisData!$C:$C, $H11, NewEmisData!$D:$D, AR$2))</f>
        <v>6.1216981125607202E-2</v>
      </c>
      <c r="AS11" s="324">
        <f>$I11*IF($G11="Pickup", SUMIFS(NewEmisData!I:I, NewEmisData!$A:$A, "Pickup", NewEmisData!$B:$B, $A11, NewEmisData!$C:$C, $H11, NewEmisData!$D:$D, AS$2), SUMIFS(NewEmisData!I:I, NewEmisData!$A:$A, "LDV", NewEmisData!$B:$B, $A11, NewEmisData!$C:$C, $H11, NewEmisData!$D:$D, AS$2))</f>
        <v>5.9842025439809501E-2</v>
      </c>
      <c r="AT11" s="324">
        <f>$I11*IF($G11="Pickup", SUMIFS(NewEmisData!J:J, NewEmisData!$A:$A, "Pickup", NewEmisData!$B:$B, $A11, NewEmisData!$C:$C, $H11, NewEmisData!$D:$D, AT$2), SUMIFS(NewEmisData!J:J, NewEmisData!$A:$A, "LDV", NewEmisData!$B:$B, $A11, NewEmisData!$C:$C, $H11, NewEmisData!$D:$D, AT$2))</f>
        <v>5.8761885691048198E-2</v>
      </c>
      <c r="AU11" s="324">
        <f>$I11*IF($G11="Pickup", SUMIFS(NewEmisData!K:K, NewEmisData!$A:$A, "Pickup", NewEmisData!$B:$B, $A11, NewEmisData!$C:$C, $H11, NewEmisData!$D:$D, AU$2), SUMIFS(NewEmisData!K:K, NewEmisData!$A:$A, "LDV", NewEmisData!$B:$B, $A11, NewEmisData!$C:$C, $H11, NewEmisData!$D:$D, AU$2))</f>
        <v>5.8072078083983E-2</v>
      </c>
      <c r="AV11" s="324">
        <f>$I11*IF($G11="Pickup", SUMIFS(NewEmisData!L:L, NewEmisData!$A:$A, "Pickup", NewEmisData!$B:$B, $A11, NewEmisData!$C:$C, $H11, NewEmisData!$D:$D, AV$2), SUMIFS(NewEmisData!L:L, NewEmisData!$A:$A, "LDV", NewEmisData!$B:$B, $A11, NewEmisData!$C:$C, $H11, NewEmisData!$D:$D, AV$2))</f>
        <v>5.7726484266030297E-2</v>
      </c>
      <c r="AW11" s="324">
        <f>$I11*IF($G11="Pickup", SUMIFS(NewEmisData!M:M, NewEmisData!$A:$A, "Pickup", NewEmisData!$B:$B, $A11, NewEmisData!$C:$C, $H11, NewEmisData!$D:$D, AW$2), SUMIFS(NewEmisData!M:M, NewEmisData!$A:$A, "LDV", NewEmisData!$B:$B, $A11, NewEmisData!$C:$C, $H11, NewEmisData!$D:$D, AW$2))</f>
        <v>5.7530226905323702E-2</v>
      </c>
      <c r="AX11" s="324">
        <f t="shared" ref="AX11:AX74" si="8">AW11</f>
        <v>5.7530226905323702E-2</v>
      </c>
      <c r="AY11" s="324">
        <f>$I11*IF($G11="Pickup", SUMIFS(NewEmisData!E:E, NewEmisData!$A:$A, "Pickup", NewEmisData!$B:$B, $A11, NewEmisData!$C:$C, $H11, NewEmisData!$D:$D, AY$2), SUMIFS(NewEmisData!E:E, NewEmisData!$A:$A, "LDV", NewEmisData!$B:$B, $A11, NewEmisData!$C:$C, $H11, NewEmisData!$D:$D, AY$2))</f>
        <v>1.8324822567621701E-2</v>
      </c>
      <c r="AZ11" s="324">
        <f>$I11*IF($G11="Pickup", SUMIFS(NewEmisData!F:F, NewEmisData!$A:$A, "Pickup", NewEmisData!$B:$B, $A11, NewEmisData!$C:$C, $H11, NewEmisData!$D:$D, AZ$2), SUMIFS(NewEmisData!F:F, NewEmisData!$A:$A, "LDV", NewEmisData!$B:$B, $A11, NewEmisData!$C:$C, $H11, NewEmisData!$D:$D, AZ$2))</f>
        <v>1.4272294035055699E-2</v>
      </c>
      <c r="BA11" s="324">
        <f>$I11*IF($G11="Pickup", SUMIFS(NewEmisData!G:G, NewEmisData!$A:$A, "Pickup", NewEmisData!$B:$B, $A11, NewEmisData!$C:$C, $H11, NewEmisData!$D:$D, BA$2), SUMIFS(NewEmisData!G:G, NewEmisData!$A:$A, "LDV", NewEmisData!$B:$B, $A11, NewEmisData!$C:$C, $H11, NewEmisData!$D:$D, BA$2))</f>
        <v>1.3165752481838801E-2</v>
      </c>
      <c r="BB11" s="324">
        <f>$I11*IF($G11="Pickup", SUMIFS(NewEmisData!H:H, NewEmisData!$A:$A, "Pickup", NewEmisData!$B:$B, $A11, NewEmisData!$C:$C, $H11, NewEmisData!$D:$D, BB$2), SUMIFS(NewEmisData!H:H, NewEmisData!$A:$A, "LDV", NewEmisData!$B:$B, $A11, NewEmisData!$C:$C, $H11, NewEmisData!$D:$D, BB$2))</f>
        <v>1.1917194849656599E-2</v>
      </c>
      <c r="BC11" s="324">
        <f>$I11*IF($G11="Pickup", SUMIFS(NewEmisData!I:I, NewEmisData!$A:$A, "Pickup", NewEmisData!$B:$B, $A11, NewEmisData!$C:$C, $H11, NewEmisData!$D:$D, BC$2), SUMIFS(NewEmisData!I:I, NewEmisData!$A:$A, "LDV", NewEmisData!$B:$B, $A11, NewEmisData!$C:$C, $H11, NewEmisData!$D:$D, BC$2))</f>
        <v>1.0700861948252101E-2</v>
      </c>
      <c r="BD11" s="324">
        <f>$I11*IF($G11="Pickup", SUMIFS(NewEmisData!J:J, NewEmisData!$A:$A, "Pickup", NewEmisData!$B:$B, $A11, NewEmisData!$C:$C, $H11, NewEmisData!$D:$D, BD$2), SUMIFS(NewEmisData!J:J, NewEmisData!$A:$A, "LDV", NewEmisData!$B:$B, $A11, NewEmisData!$C:$C, $H11, NewEmisData!$D:$D, BD$2))</f>
        <v>9.7453521893521699E-3</v>
      </c>
      <c r="BE11" s="324">
        <f>$I11*IF($G11="Pickup", SUMIFS(NewEmisData!K:K, NewEmisData!$A:$A, "Pickup", NewEmisData!$B:$B, $A11, NewEmisData!$C:$C, $H11, NewEmisData!$D:$D, BE$2), SUMIFS(NewEmisData!K:K, NewEmisData!$A:$A, "LDV", NewEmisData!$B:$B, $A11, NewEmisData!$C:$C, $H11, NewEmisData!$D:$D, BE$2))</f>
        <v>9.1351470976244707E-3</v>
      </c>
      <c r="BF11" s="324">
        <f>$I11*IF($G11="Pickup", SUMIFS(NewEmisData!L:L, NewEmisData!$A:$A, "Pickup", NewEmisData!$B:$B, $A11, NewEmisData!$C:$C, $H11, NewEmisData!$D:$D, BF$2), SUMIFS(NewEmisData!L:L, NewEmisData!$A:$A, "LDV", NewEmisData!$B:$B, $A11, NewEmisData!$C:$C, $H11, NewEmisData!$D:$D, BF$2))</f>
        <v>8.8293874131557606E-3</v>
      </c>
      <c r="BG11" s="324">
        <f>$I11*IF($G11="Pickup", SUMIFS(NewEmisData!M:M, NewEmisData!$A:$A, "Pickup", NewEmisData!$B:$B, $A11, NewEmisData!$C:$C, $H11, NewEmisData!$D:$D, BG$2), SUMIFS(NewEmisData!M:M, NewEmisData!$A:$A, "LDV", NewEmisData!$B:$B, $A11, NewEmisData!$C:$C, $H11, NewEmisData!$D:$D, BG$2))</f>
        <v>8.6558174466142106E-3</v>
      </c>
      <c r="BH11" s="324">
        <f t="shared" ref="BH11:BH74" si="9">BG11</f>
        <v>8.6558174466142106E-3</v>
      </c>
      <c r="BI11" s="324">
        <f>$I11*IF($G11="Pickup", SUMIFS(NewEmisData!E:E, NewEmisData!$A:$A, "Pickup", NewEmisData!$B:$B, $A11, NewEmisData!$C:$C, $H11, NewEmisData!$D:$D, BI$2), SUMIFS(NewEmisData!E:E, NewEmisData!$A:$A, "LDV", NewEmisData!$B:$B, $A11, NewEmisData!$C:$C, $H11, NewEmisData!$D:$D, BI$2))</f>
        <v>5.6341971782511804</v>
      </c>
      <c r="BJ11" s="324">
        <f>$I11*IF($G11="Pickup", SUMIFS(NewEmisData!F:F, NewEmisData!$A:$A, "Pickup", NewEmisData!$B:$B, $A11, NewEmisData!$C:$C, $H11, NewEmisData!$D:$D, BJ$2), SUMIFS(NewEmisData!F:F, NewEmisData!$A:$A, "LDV", NewEmisData!$B:$B, $A11, NewEmisData!$C:$C, $H11, NewEmisData!$D:$D, BJ$2))</f>
        <v>3.2912080717511998</v>
      </c>
      <c r="BK11" s="324">
        <f>$I11*IF($G11="Pickup", SUMIFS(NewEmisData!G:G, NewEmisData!$A:$A, "Pickup", NewEmisData!$B:$B, $A11, NewEmisData!$C:$C, $H11, NewEmisData!$D:$D, BK$2), SUMIFS(NewEmisData!G:G, NewEmisData!$A:$A, "LDV", NewEmisData!$B:$B, $A11, NewEmisData!$C:$C, $H11, NewEmisData!$D:$D, BK$2))</f>
        <v>2.5038449092773698</v>
      </c>
      <c r="BL11" s="324">
        <f>$I11*IF($G11="Pickup", SUMIFS(NewEmisData!H:H, NewEmisData!$A:$A, "Pickup", NewEmisData!$B:$B, $A11, NewEmisData!$C:$C, $H11, NewEmisData!$D:$D, BL$2), SUMIFS(NewEmisData!H:H, NewEmisData!$A:$A, "LDV", NewEmisData!$B:$B, $A11, NewEmisData!$C:$C, $H11, NewEmisData!$D:$D, BL$2))</f>
        <v>1.9586302072503601</v>
      </c>
      <c r="BM11" s="324">
        <f>$I11*IF($G11="Pickup", SUMIFS(NewEmisData!I:I, NewEmisData!$A:$A, "Pickup", NewEmisData!$B:$B, $A11, NewEmisData!$C:$C, $H11, NewEmisData!$D:$D, BM$2), SUMIFS(NewEmisData!I:I, NewEmisData!$A:$A, "LDV", NewEmisData!$B:$B, $A11, NewEmisData!$C:$C, $H11, NewEmisData!$D:$D, BM$2))</f>
        <v>1.4188080704430199</v>
      </c>
      <c r="BN11" s="324">
        <f>$I11*IF($G11="Pickup", SUMIFS(NewEmisData!J:J, NewEmisData!$A:$A, "Pickup", NewEmisData!$B:$B, $A11, NewEmisData!$C:$C, $H11, NewEmisData!$D:$D, BN$2), SUMIFS(NewEmisData!J:J, NewEmisData!$A:$A, "LDV", NewEmisData!$B:$B, $A11, NewEmisData!$C:$C, $H11, NewEmisData!$D:$D, BN$2))</f>
        <v>1.12295829909247</v>
      </c>
      <c r="BO11" s="324">
        <f>$I11*IF($G11="Pickup", SUMIFS(NewEmisData!K:K, NewEmisData!$A:$A, "Pickup", NewEmisData!$B:$B, $A11, NewEmisData!$C:$C, $H11, NewEmisData!$D:$D, BO$2), SUMIFS(NewEmisData!K:K, NewEmisData!$A:$A, "LDV", NewEmisData!$B:$B, $A11, NewEmisData!$C:$C, $H11, NewEmisData!$D:$D, BO$2))</f>
        <v>0.98917470890575399</v>
      </c>
      <c r="BP11" s="324">
        <f>$I11*IF($G11="Pickup", SUMIFS(NewEmisData!L:L, NewEmisData!$A:$A, "Pickup", NewEmisData!$B:$B, $A11, NewEmisData!$C:$C, $H11, NewEmisData!$D:$D, BP$2), SUMIFS(NewEmisData!L:L, NewEmisData!$A:$A, "LDV", NewEmisData!$B:$B, $A11, NewEmisData!$C:$C, $H11, NewEmisData!$D:$D, BP$2))</f>
        <v>0.94587291374607996</v>
      </c>
      <c r="BQ11" s="324">
        <f>$I11*IF($G11="Pickup", SUMIFS(NewEmisData!M:M, NewEmisData!$A:$A, "Pickup", NewEmisData!$B:$B, $A11, NewEmisData!$C:$C, $H11, NewEmisData!$D:$D, BQ$2), SUMIFS(NewEmisData!M:M, NewEmisData!$A:$A, "LDV", NewEmisData!$B:$B, $A11, NewEmisData!$C:$C, $H11, NewEmisData!$D:$D, BQ$2))</f>
        <v>0.91886504762322097</v>
      </c>
      <c r="BR11" s="324">
        <f t="shared" ref="BR11:BR74" si="10">BQ11</f>
        <v>0.91886504762322097</v>
      </c>
      <c r="BS11" s="324">
        <f>$I11*IF($G11="Pickup", SUMIFS(NewEmisData!E:E, NewEmisData!$A:$A, "Pickup", NewEmisData!$B:$B, $A11, NewEmisData!$C:$C, $H11, NewEmisData!$D:$D, BS$2), SUMIFS(NewEmisData!E:E, NewEmisData!$A:$A, "LDV", NewEmisData!$B:$B, $A11, NewEmisData!$C:$C, $H11, NewEmisData!$D:$D, BS$2))</f>
        <v>0.64604041020523395</v>
      </c>
      <c r="BT11" s="324">
        <f>$I11*IF($G11="Pickup", SUMIFS(NewEmisData!F:F, NewEmisData!$A:$A, "Pickup", NewEmisData!$B:$B, $A11, NewEmisData!$C:$C, $H11, NewEmisData!$D:$D, BT$2), SUMIFS(NewEmisData!F:F, NewEmisData!$A:$A, "LDV", NewEmisData!$B:$B, $A11, NewEmisData!$C:$C, $H11, NewEmisData!$D:$D, BT$2))</f>
        <v>0.33711601886070303</v>
      </c>
      <c r="BU11" s="324">
        <f>$I11*IF($G11="Pickup", SUMIFS(NewEmisData!G:G, NewEmisData!$A:$A, "Pickup", NewEmisData!$B:$B, $A11, NewEmisData!$C:$C, $H11, NewEmisData!$D:$D, BU$2), SUMIFS(NewEmisData!G:G, NewEmisData!$A:$A, "LDV", NewEmisData!$B:$B, $A11, NewEmisData!$C:$C, $H11, NewEmisData!$D:$D, BU$2))</f>
        <v>0.24835485029207899</v>
      </c>
      <c r="BV11" s="324">
        <f>$I11*IF($G11="Pickup", SUMIFS(NewEmisData!H:H, NewEmisData!$A:$A, "Pickup", NewEmisData!$B:$B, $A11, NewEmisData!$C:$C, $H11, NewEmisData!$D:$D, BV$2), SUMIFS(NewEmisData!H:H, NewEmisData!$A:$A, "LDV", NewEmisData!$B:$B, $A11, NewEmisData!$C:$C, $H11, NewEmisData!$D:$D, BV$2))</f>
        <v>0.20063726173746699</v>
      </c>
      <c r="BW11" s="324">
        <f>$I11*IF($G11="Pickup", SUMIFS(NewEmisData!I:I, NewEmisData!$A:$A, "Pickup", NewEmisData!$B:$B, $A11, NewEmisData!$C:$C, $H11, NewEmisData!$D:$D, BW$2), SUMIFS(NewEmisData!I:I, NewEmisData!$A:$A, "LDV", NewEmisData!$B:$B, $A11, NewEmisData!$C:$C, $H11, NewEmisData!$D:$D, BW$2))</f>
        <v>0.148388069930526</v>
      </c>
      <c r="BX11" s="324">
        <f>$I11*IF($G11="Pickup", SUMIFS(NewEmisData!J:J, NewEmisData!$A:$A, "Pickup", NewEmisData!$B:$B, $A11, NewEmisData!$C:$C, $H11, NewEmisData!$D:$D, BX$2), SUMIFS(NewEmisData!J:J, NewEmisData!$A:$A, "LDV", NewEmisData!$B:$B, $A11, NewEmisData!$C:$C, $H11, NewEmisData!$D:$D, BX$2))</f>
        <v>0.12460657527841699</v>
      </c>
      <c r="BY11" s="324">
        <f>$I11*IF($G11="Pickup", SUMIFS(NewEmisData!K:K, NewEmisData!$A:$A, "Pickup", NewEmisData!$B:$B, $A11, NewEmisData!$C:$C, $H11, NewEmisData!$D:$D, BY$2), SUMIFS(NewEmisData!K:K, NewEmisData!$A:$A, "LDV", NewEmisData!$B:$B, $A11, NewEmisData!$C:$C, $H11, NewEmisData!$D:$D, BY$2))</f>
        <v>0.11177610097077099</v>
      </c>
      <c r="BZ11" s="324">
        <f>$I11*IF($G11="Pickup", SUMIFS(NewEmisData!L:L, NewEmisData!$A:$A, "Pickup", NewEmisData!$B:$B, $A11, NewEmisData!$C:$C, $H11, NewEmisData!$D:$D, BZ$2), SUMIFS(NewEmisData!L:L, NewEmisData!$A:$A, "LDV", NewEmisData!$B:$B, $A11, NewEmisData!$C:$C, $H11, NewEmisData!$D:$D, BZ$2))</f>
        <v>0.10678198489299399</v>
      </c>
      <c r="CA11" s="324">
        <f>$I11*IF($G11="Pickup", SUMIFS(NewEmisData!M:M, NewEmisData!$A:$A, "Pickup", NewEmisData!$B:$B, $A11, NewEmisData!$C:$C, $H11, NewEmisData!$D:$D, CA$2), SUMIFS(NewEmisData!M:M, NewEmisData!$A:$A, "LDV", NewEmisData!$B:$B, $A11, NewEmisData!$C:$C, $H11, NewEmisData!$D:$D, CA$2))</f>
        <v>0.102788686456563</v>
      </c>
      <c r="CB11" s="324">
        <f t="shared" ref="CB11:CB74" si="11">CA11</f>
        <v>0.102788686456563</v>
      </c>
      <c r="CC11" s="324">
        <f>$I11*IF($G11="Pickup", SUMIFS(NewEmisData!E:E, NewEmisData!$A:$A, "Pickup", NewEmisData!$B:$B, $A11, NewEmisData!$C:$C, $H11, NewEmisData!$D:$D, CC$2), SUMIFS(NewEmisData!E:E, NewEmisData!$A:$A, "LDV", NewEmisData!$B:$B, $A11, NewEmisData!$C:$C, $H11, NewEmisData!$D:$D, CC$2))</f>
        <v>4.5186599160421101E-2</v>
      </c>
      <c r="CD11" s="324">
        <f>$I11*IF($G11="Pickup", SUMIFS(NewEmisData!F:F, NewEmisData!$A:$A, "Pickup", NewEmisData!$B:$B, $A11, NewEmisData!$C:$C, $H11, NewEmisData!$D:$D, CD$2), SUMIFS(NewEmisData!F:F, NewEmisData!$A:$A, "LDV", NewEmisData!$B:$B, $A11, NewEmisData!$C:$C, $H11, NewEmisData!$D:$D, CD$2))</f>
        <v>3.0321042660064499E-2</v>
      </c>
      <c r="CE11" s="324">
        <f>$I11*IF($G11="Pickup", SUMIFS(NewEmisData!G:G, NewEmisData!$A:$A, "Pickup", NewEmisData!$B:$B, $A11, NewEmisData!$C:$C, $H11, NewEmisData!$D:$D, CE$2), SUMIFS(NewEmisData!G:G, NewEmisData!$A:$A, "LDV", NewEmisData!$B:$B, $A11, NewEmisData!$C:$C, $H11, NewEmisData!$D:$D, CE$2))</f>
        <v>2.5916716030162101E-2</v>
      </c>
      <c r="CF11" s="324">
        <f>$I11*IF($G11="Pickup", SUMIFS(NewEmisData!H:H, NewEmisData!$A:$A, "Pickup", NewEmisData!$B:$B, $A11, NewEmisData!$C:$C, $H11, NewEmisData!$D:$D, CF$2), SUMIFS(NewEmisData!H:H, NewEmisData!$A:$A, "LDV", NewEmisData!$B:$B, $A11, NewEmisData!$C:$C, $H11, NewEmisData!$D:$D, CF$2))</f>
        <v>2.4735955589537201E-2</v>
      </c>
      <c r="CG11" s="324">
        <f>$I11*IF($G11="Pickup", SUMIFS(NewEmisData!I:I, NewEmisData!$A:$A, "Pickup", NewEmisData!$B:$B, $A11, NewEmisData!$C:$C, $H11, NewEmisData!$D:$D, CG$2), SUMIFS(NewEmisData!I:I, NewEmisData!$A:$A, "LDV", NewEmisData!$B:$B, $A11, NewEmisData!$C:$C, $H11, NewEmisData!$D:$D, CG$2))</f>
        <v>2.39507418397766E-2</v>
      </c>
      <c r="CH11" s="324">
        <f>$I11*IF($G11="Pickup", SUMIFS(NewEmisData!J:J, NewEmisData!$A:$A, "Pickup", NewEmisData!$B:$B, $A11, NewEmisData!$C:$C, $H11, NewEmisData!$D:$D, CH$2), SUMIFS(NewEmisData!J:J, NewEmisData!$A:$A, "LDV", NewEmisData!$B:$B, $A11, NewEmisData!$C:$C, $H11, NewEmisData!$D:$D, CH$2))</f>
        <v>2.33343295652753E-2</v>
      </c>
      <c r="CI11" s="324">
        <f>$I11*IF($G11="Pickup", SUMIFS(NewEmisData!K:K, NewEmisData!$A:$A, "Pickup", NewEmisData!$B:$B, $A11, NewEmisData!$C:$C, $H11, NewEmisData!$D:$D, CI$2), SUMIFS(NewEmisData!K:K, NewEmisData!$A:$A, "LDV", NewEmisData!$B:$B, $A11, NewEmisData!$C:$C, $H11, NewEmisData!$D:$D, CI$2))</f>
        <v>2.33323778682475E-2</v>
      </c>
      <c r="CJ11" s="324">
        <f>$I11*IF($G11="Pickup", SUMIFS(NewEmisData!L:L, NewEmisData!$A:$A, "Pickup", NewEmisData!$B:$B, $A11, NewEmisData!$C:$C, $H11, NewEmisData!$D:$D, CJ$2), SUMIFS(NewEmisData!L:L, NewEmisData!$A:$A, "LDV", NewEmisData!$B:$B, $A11, NewEmisData!$C:$C, $H11, NewEmisData!$D:$D, CJ$2))</f>
        <v>2.3331868508858E-2</v>
      </c>
      <c r="CK11" s="324">
        <f>$I11*IF($G11="Pickup", SUMIFS(NewEmisData!M:M, NewEmisData!$A:$A, "Pickup", NewEmisData!$B:$B, $A11, NewEmisData!$C:$C, $H11, NewEmisData!$D:$D, CK$2), SUMIFS(NewEmisData!M:M, NewEmisData!$A:$A, "LDV", NewEmisData!$B:$B, $A11, NewEmisData!$C:$C, $H11, NewEmisData!$D:$D, CK$2))</f>
        <v>2.3331333840255802E-2</v>
      </c>
      <c r="CL11" s="324">
        <f t="shared" ref="CL11:CL74" si="12">CK11</f>
        <v>2.3331333840255802E-2</v>
      </c>
      <c r="CM11" s="324">
        <f>$I11*IF($G11="Pickup", SUMIFS(NewEmisData!E:E, NewEmisData!$A:$A, "Pickup", NewEmisData!$B:$B, $A11, NewEmisData!$C:$C, $H11, NewEmisData!$D:$D, CM$2), SUMIFS(NewEmisData!E:E, NewEmisData!$A:$A, "LDV", NewEmisData!$B:$B, $A11, NewEmisData!$C:$C, $H11, NewEmisData!$D:$D, CM$2))</f>
        <v>1.8999640989844298E-2</v>
      </c>
      <c r="CN11" s="324">
        <f>$I11*IF($G11="Pickup", SUMIFS(NewEmisData!F:F, NewEmisData!$A:$A, "Pickup", NewEmisData!$B:$B, $A11, NewEmisData!$C:$C, $H11, NewEmisData!$D:$D, CN$2), SUMIFS(NewEmisData!F:F, NewEmisData!$A:$A, "LDV", NewEmisData!$B:$B, $A11, NewEmisData!$C:$C, $H11, NewEmisData!$D:$D, CN$2))</f>
        <v>1.12934038283153E-2</v>
      </c>
      <c r="CO11" s="324">
        <f>$I11*IF($G11="Pickup", SUMIFS(NewEmisData!G:G, NewEmisData!$A:$A, "Pickup", NewEmisData!$B:$B, $A11, NewEmisData!$C:$C, $H11, NewEmisData!$D:$D, CO$2), SUMIFS(NewEmisData!G:G, NewEmisData!$A:$A, "LDV", NewEmisData!$B:$B, $A11, NewEmisData!$C:$C, $H11, NewEmisData!$D:$D, CO$2))</f>
        <v>8.9155864809614994E-3</v>
      </c>
      <c r="CP11" s="324">
        <f>$I11*IF($G11="Pickup", SUMIFS(NewEmisData!H:H, NewEmisData!$A:$A, "Pickup", NewEmisData!$B:$B, $A11, NewEmisData!$C:$C, $H11, NewEmisData!$D:$D, CP$2), SUMIFS(NewEmisData!H:H, NewEmisData!$A:$A, "LDV", NewEmisData!$B:$B, $A11, NewEmisData!$C:$C, $H11, NewEmisData!$D:$D, CP$2))</f>
        <v>7.3372921922104104E-3</v>
      </c>
      <c r="CQ11" s="324">
        <f>$I11*IF($G11="Pickup", SUMIFS(NewEmisData!I:I, NewEmisData!$A:$A, "Pickup", NewEmisData!$B:$B, $A11, NewEmisData!$C:$C, $H11, NewEmisData!$D:$D, CQ$2), SUMIFS(NewEmisData!I:I, NewEmisData!$A:$A, "LDV", NewEmisData!$B:$B, $A11, NewEmisData!$C:$C, $H11, NewEmisData!$D:$D, CQ$2))</f>
        <v>6.5724995115123896E-3</v>
      </c>
      <c r="CR11" s="324">
        <f>$I11*IF($G11="Pickup", SUMIFS(NewEmisData!J:J, NewEmisData!$A:$A, "Pickup", NewEmisData!$B:$B, $A11, NewEmisData!$C:$C, $H11, NewEmisData!$D:$D, CR$2), SUMIFS(NewEmisData!J:J, NewEmisData!$A:$A, "LDV", NewEmisData!$B:$B, $A11, NewEmisData!$C:$C, $H11, NewEmisData!$D:$D, CR$2))</f>
        <v>6.2407197852133098E-3</v>
      </c>
      <c r="CS11" s="324">
        <f>$I11*IF($G11="Pickup", SUMIFS(NewEmisData!K:K, NewEmisData!$A:$A, "Pickup", NewEmisData!$B:$B, $A11, NewEmisData!$C:$C, $H11, NewEmisData!$D:$D, CS$2), SUMIFS(NewEmisData!K:K, NewEmisData!$A:$A, "LDV", NewEmisData!$B:$B, $A11, NewEmisData!$C:$C, $H11, NewEmisData!$D:$D, CS$2))</f>
        <v>6.20457620974787E-3</v>
      </c>
      <c r="CT11" s="324">
        <f>$I11*IF($G11="Pickup", SUMIFS(NewEmisData!L:L, NewEmisData!$A:$A, "Pickup", NewEmisData!$B:$B, $A11, NewEmisData!$C:$C, $H11, NewEmisData!$D:$D, CT$2), SUMIFS(NewEmisData!L:L, NewEmisData!$A:$A, "LDV", NewEmisData!$B:$B, $A11, NewEmisData!$C:$C, $H11, NewEmisData!$D:$D, CT$2))</f>
        <v>6.1456645266433898E-3</v>
      </c>
      <c r="CU11" s="324">
        <f>$I11*IF($G11="Pickup", SUMIFS(NewEmisData!M:M, NewEmisData!$A:$A, "Pickup", NewEmisData!$B:$B, $A11, NewEmisData!$C:$C, $H11, NewEmisData!$D:$D, CU$2), SUMIFS(NewEmisData!M:M, NewEmisData!$A:$A, "LDV", NewEmisData!$B:$B, $A11, NewEmisData!$C:$C, $H11, NewEmisData!$D:$D, CU$2))</f>
        <v>6.1452936234844303E-3</v>
      </c>
      <c r="CV11" s="324">
        <f t="shared" ref="CV11:CV74" si="13">CU11</f>
        <v>6.1452936234844303E-3</v>
      </c>
      <c r="CW11" s="324">
        <v>3.0448046675121709E-3</v>
      </c>
      <c r="CX11" s="324">
        <v>1.8865908720768221E-3</v>
      </c>
      <c r="CY11" s="324">
        <v>1.5570268485524494E-3</v>
      </c>
      <c r="CZ11" s="324">
        <v>1.2432183416122382E-3</v>
      </c>
      <c r="DA11" s="324">
        <v>9.252251866281976E-4</v>
      </c>
      <c r="DB11" s="324">
        <v>7.2309456596024934E-4</v>
      </c>
      <c r="DC11" s="324">
        <v>6.8940706870607876E-4</v>
      </c>
      <c r="DD11" s="324">
        <v>6.844148428615973E-4</v>
      </c>
      <c r="DE11" s="324">
        <v>6.8634617396886091E-4</v>
      </c>
      <c r="DF11" s="324">
        <v>6.8634617396886091E-4</v>
      </c>
      <c r="DG11" s="324">
        <f>$I11*IF($G11="Pickup", SUMIFS(NewEmisData!E:E, NewEmisData!$A:$A, "Pickup", NewEmisData!$B:$B, $A11, NewEmisData!$C:$C, $H11, NewEmisData!$D:$D, DG$2), SUMIFS(NewEmisData!E:E, NewEmisData!$A:$A, "LDV", NewEmisData!$B:$B, $A11, NewEmisData!$C:$C, $H11, NewEmisData!$D:$D, DG$2))</f>
        <v>0</v>
      </c>
      <c r="DH11" s="324">
        <f>$I11*IF($G11="Pickup", SUMIFS(NewEmisData!F:F, NewEmisData!$A:$A, "Pickup", NewEmisData!$B:$B, $A11, NewEmisData!$C:$C, $H11, NewEmisData!$D:$D, DH$2), SUMIFS(NewEmisData!F:F, NewEmisData!$A:$A, "LDV", NewEmisData!$B:$B, $A11, NewEmisData!$C:$C, $H11, NewEmisData!$D:$D, DH$2))</f>
        <v>0</v>
      </c>
      <c r="DI11" s="324">
        <f>$I11*IF($G11="Pickup", SUMIFS(NewEmisData!G:G, NewEmisData!$A:$A, "Pickup", NewEmisData!$B:$B, $A11, NewEmisData!$C:$C, $H11, NewEmisData!$D:$D, DI$2), SUMIFS(NewEmisData!G:G, NewEmisData!$A:$A, "LDV", NewEmisData!$B:$B, $A11, NewEmisData!$C:$C, $H11, NewEmisData!$D:$D, DI$2))</f>
        <v>0</v>
      </c>
      <c r="DJ11" s="324">
        <f>$I11*IF($G11="Pickup", SUMIFS(NewEmisData!H:H, NewEmisData!$A:$A, "Pickup", NewEmisData!$B:$B, $A11, NewEmisData!$C:$C, $H11, NewEmisData!$D:$D, DJ$2), SUMIFS(NewEmisData!H:H, NewEmisData!$A:$A, "LDV", NewEmisData!$B:$B, $A11, NewEmisData!$C:$C, $H11, NewEmisData!$D:$D, DJ$2))</f>
        <v>0</v>
      </c>
      <c r="DK11" s="324">
        <f>$I11*IF($G11="Pickup", SUMIFS(NewEmisData!I:I, NewEmisData!$A:$A, "Pickup", NewEmisData!$B:$B, $A11, NewEmisData!$C:$C, $H11, NewEmisData!$D:$D, DK$2), SUMIFS(NewEmisData!I:I, NewEmisData!$A:$A, "LDV", NewEmisData!$B:$B, $A11, NewEmisData!$C:$C, $H11, NewEmisData!$D:$D, DK$2))</f>
        <v>0</v>
      </c>
      <c r="DL11" s="324">
        <f>$I11*IF($G11="Pickup", SUMIFS(NewEmisData!J:J, NewEmisData!$A:$A, "Pickup", NewEmisData!$B:$B, $A11, NewEmisData!$C:$C, $H11, NewEmisData!$D:$D, DL$2), SUMIFS(NewEmisData!J:J, NewEmisData!$A:$A, "LDV", NewEmisData!$B:$B, $A11, NewEmisData!$C:$C, $H11, NewEmisData!$D:$D, DL$2))</f>
        <v>0</v>
      </c>
      <c r="DM11" s="324">
        <f>$I11*IF($G11="Pickup", SUMIFS(NewEmisData!K:K, NewEmisData!$A:$A, "Pickup", NewEmisData!$B:$B, $A11, NewEmisData!$C:$C, $H11, NewEmisData!$D:$D, DM$2), SUMIFS(NewEmisData!K:K, NewEmisData!$A:$A, "LDV", NewEmisData!$B:$B, $A11, NewEmisData!$C:$C, $H11, NewEmisData!$D:$D, DM$2))</f>
        <v>0</v>
      </c>
      <c r="DN11" s="324">
        <f>$I11*IF($G11="Pickup", SUMIFS(NewEmisData!L:L, NewEmisData!$A:$A, "Pickup", NewEmisData!$B:$B, $A11, NewEmisData!$C:$C, $H11, NewEmisData!$D:$D, DN$2), SUMIFS(NewEmisData!L:L, NewEmisData!$A:$A, "LDV", NewEmisData!$B:$B, $A11, NewEmisData!$C:$C, $H11, NewEmisData!$D:$D, DN$2))</f>
        <v>0</v>
      </c>
      <c r="DO11" s="324">
        <f>$I11*IF($G11="Pickup", SUMIFS(NewEmisData!M:M, NewEmisData!$A:$A, "Pickup", NewEmisData!$B:$B, $A11, NewEmisData!$C:$C, $H11, NewEmisData!$D:$D, DO$2), SUMIFS(NewEmisData!M:M, NewEmisData!$A:$A, "LDV", NewEmisData!$B:$B, $A11, NewEmisData!$C:$C, $H11, NewEmisData!$D:$D, DO$2))</f>
        <v>0</v>
      </c>
      <c r="DP11" s="324">
        <f t="shared" ref="DP11:DP74" si="14">DO11</f>
        <v>0</v>
      </c>
      <c r="DQ11" s="324">
        <f>$I11*IF($G11="Pickup", SUMIFS(NewEmisData!E:E, NewEmisData!$A:$A, "Pickup", NewEmisData!$B:$B, $A11, NewEmisData!$C:$C, $H11, NewEmisData!$D:$D, DQ$2), SUMIFS(NewEmisData!E:E, NewEmisData!$A:$A, "LDV", NewEmisData!$B:$B, $A11, NewEmisData!$C:$C, $H11, NewEmisData!$D:$D, DQ$2))</f>
        <v>1.28100272800791E-2</v>
      </c>
      <c r="DR11" s="324">
        <f>$I11*IF($G11="Pickup", SUMIFS(NewEmisData!F:F, NewEmisData!$A:$A, "Pickup", NewEmisData!$B:$B, $A11, NewEmisData!$C:$C, $H11, NewEmisData!$D:$D, DR$2), SUMIFS(NewEmisData!F:F, NewEmisData!$A:$A, "LDV", NewEmisData!$B:$B, $A11, NewEmisData!$C:$C, $H11, NewEmisData!$D:$D, DR$2))</f>
        <v>6.9424260700293398E-3</v>
      </c>
      <c r="DS11" s="324">
        <f>$I11*IF($G11="Pickup", SUMIFS(NewEmisData!G:G, NewEmisData!$A:$A, "Pickup", NewEmisData!$B:$B, $A11, NewEmisData!$C:$C, $H11, NewEmisData!$D:$D, DS$2), SUMIFS(NewEmisData!G:G, NewEmisData!$A:$A, "LDV", NewEmisData!$B:$B, $A11, NewEmisData!$C:$C, $H11, NewEmisData!$D:$D, DS$2))</f>
        <v>5.5718062948972597E-3</v>
      </c>
      <c r="DT11" s="324">
        <f>$I11*IF($G11="Pickup", SUMIFS(NewEmisData!H:H, NewEmisData!$A:$A, "Pickup", NewEmisData!$B:$B, $A11, NewEmisData!$C:$C, $H11, NewEmisData!$D:$D, DT$2), SUMIFS(NewEmisData!H:H, NewEmisData!$A:$A, "LDV", NewEmisData!$B:$B, $A11, NewEmisData!$C:$C, $H11, NewEmisData!$D:$D, DT$2))</f>
        <v>4.2603417623007303E-3</v>
      </c>
      <c r="DU11" s="324">
        <f>$I11*IF($G11="Pickup", SUMIFS(NewEmisData!I:I, NewEmisData!$A:$A, "Pickup", NewEmisData!$B:$B, $A11, NewEmisData!$C:$C, $H11, NewEmisData!$D:$D, DU$2), SUMIFS(NewEmisData!I:I, NewEmisData!$A:$A, "LDV", NewEmisData!$B:$B, $A11, NewEmisData!$C:$C, $H11, NewEmisData!$D:$D, DU$2))</f>
        <v>3.31959498333436E-3</v>
      </c>
      <c r="DV11" s="324">
        <f>$I11*IF($G11="Pickup", SUMIFS(NewEmisData!J:J, NewEmisData!$A:$A, "Pickup", NewEmisData!$B:$B, $A11, NewEmisData!$C:$C, $H11, NewEmisData!$D:$D, DV$2), SUMIFS(NewEmisData!J:J, NewEmisData!$A:$A, "LDV", NewEmisData!$B:$B, $A11, NewEmisData!$C:$C, $H11, NewEmisData!$D:$D, DV$2))</f>
        <v>2.8901416801040899E-3</v>
      </c>
      <c r="DW11" s="324">
        <f>$I11*IF($G11="Pickup", SUMIFS(NewEmisData!K:K, NewEmisData!$A:$A, "Pickup", NewEmisData!$B:$B, $A11, NewEmisData!$C:$C, $H11, NewEmisData!$D:$D, DW$2), SUMIFS(NewEmisData!K:K, NewEmisData!$A:$A, "LDV", NewEmisData!$B:$B, $A11, NewEmisData!$C:$C, $H11, NewEmisData!$D:$D, DW$2))</f>
        <v>2.6480526244027302E-3</v>
      </c>
      <c r="DX11" s="324">
        <f>$I11*IF($G11="Pickup", SUMIFS(NewEmisData!L:L, NewEmisData!$A:$A, "Pickup", NewEmisData!$B:$B, $A11, NewEmisData!$C:$C, $H11, NewEmisData!$D:$D, DX$2), SUMIFS(NewEmisData!L:L, NewEmisData!$A:$A, "LDV", NewEmisData!$B:$B, $A11, NewEmisData!$C:$C, $H11, NewEmisData!$D:$D, DX$2))</f>
        <v>2.5707167297103401E-3</v>
      </c>
      <c r="DY11" s="324">
        <f>$I11*IF($G11="Pickup", SUMIFS(NewEmisData!M:M, NewEmisData!$A:$A, "Pickup", NewEmisData!$B:$B, $A11, NewEmisData!$C:$C, $H11, NewEmisData!$D:$D, DY$2), SUMIFS(NewEmisData!M:M, NewEmisData!$A:$A, "LDV", NewEmisData!$B:$B, $A11, NewEmisData!$C:$C, $H11, NewEmisData!$D:$D, DY$2))</f>
        <v>2.5319062605993902E-3</v>
      </c>
      <c r="DZ11" s="324">
        <f t="shared" ref="DZ11:DZ74" si="15">DY11</f>
        <v>2.5319062605993902E-3</v>
      </c>
      <c r="EA11" s="324">
        <f t="shared" ref="EA11:EA74" si="16">K11</f>
        <v>437.85746964693402</v>
      </c>
      <c r="EB11" s="324">
        <f t="shared" ref="EB11:EB74" si="17">L11</f>
        <v>424.609883045034</v>
      </c>
      <c r="EC11" s="324">
        <f t="shared" ref="EC11:EC74" si="18">M11</f>
        <v>389.26792072260798</v>
      </c>
      <c r="ED11" s="324">
        <f t="shared" ref="ED11:ED74" si="19">N11</f>
        <v>331.09003080375697</v>
      </c>
      <c r="EE11" s="324">
        <f t="shared" ref="EE11:EE74" si="20">O11</f>
        <v>286.46929869872997</v>
      </c>
      <c r="EF11" s="324">
        <f t="shared" ref="EF11:EF74" si="21">P11</f>
        <v>261.33080310252802</v>
      </c>
      <c r="EG11" s="324">
        <f t="shared" ref="EG11:EG74" si="22">Q11</f>
        <v>250.12665030232699</v>
      </c>
      <c r="EH11" s="324">
        <f t="shared" ref="EH11:EH74" si="23">R11</f>
        <v>246.146486551527</v>
      </c>
      <c r="EI11" s="324">
        <f t="shared" ref="EI11:EI74" si="24">S11</f>
        <v>244.677818234341</v>
      </c>
      <c r="EJ11" s="324">
        <f t="shared" ref="EJ11:EJ74" si="25">T11</f>
        <v>244.677818234341</v>
      </c>
      <c r="EK11" s="324">
        <f t="shared" ref="EK11:EK74" si="26">U11</f>
        <v>0.78000130642291299</v>
      </c>
      <c r="EL11" s="324">
        <f t="shared" ref="EL11:EL74" si="27">V11</f>
        <v>0.323605278282381</v>
      </c>
      <c r="EM11" s="324">
        <f t="shared" ref="EM11:EM74" si="28">W11</f>
        <v>0.19152446532377701</v>
      </c>
      <c r="EN11" s="324">
        <f t="shared" ref="EN11:EN74" si="29">X11</f>
        <v>0.12537127832280801</v>
      </c>
      <c r="EO11" s="324">
        <f t="shared" ref="EO11:EO74" si="30">Y11</f>
        <v>7.6671766649271E-2</v>
      </c>
      <c r="EP11" s="324">
        <f t="shared" ref="EP11:EP74" si="31">Z11</f>
        <v>5.7019026656941203E-2</v>
      </c>
      <c r="EQ11" s="324">
        <f t="shared" ref="EQ11:EQ74" si="32">AA11</f>
        <v>4.8823281713844202E-2</v>
      </c>
      <c r="ER11" s="324">
        <f t="shared" ref="ER11:ER74" si="33">AB11</f>
        <v>4.6542407484685501E-2</v>
      </c>
      <c r="ES11" s="324">
        <f t="shared" ref="ES11:ES74" si="34">AC11</f>
        <v>4.5415311435121702E-2</v>
      </c>
      <c r="ET11" s="324">
        <f t="shared" ref="ET11:ET74" si="35">AD11</f>
        <v>4.5415311435121702E-2</v>
      </c>
      <c r="EU11" s="324">
        <f t="shared" ref="EU11:EU74" si="36">AE11</f>
        <v>7.5764719154140002E-3</v>
      </c>
      <c r="EV11" s="324">
        <f t="shared" ref="EV11:EV74" si="37">AF11</f>
        <v>7.3472400077695399E-3</v>
      </c>
      <c r="EW11" s="324">
        <f t="shared" ref="EW11:EW74" si="38">AG11</f>
        <v>5.5842494055705696E-3</v>
      </c>
      <c r="EX11" s="324">
        <f t="shared" ref="EX11:EX74" si="39">AH11</f>
        <v>4.7496587466809804E-3</v>
      </c>
      <c r="EY11" s="324">
        <f t="shared" ref="EY11:EY74" si="40">AI11</f>
        <v>4.1095518958717504E-3</v>
      </c>
      <c r="EZ11" s="324">
        <f t="shared" ref="EZ11:EZ74" si="41">AJ11</f>
        <v>3.7489264773323799E-3</v>
      </c>
      <c r="FA11" s="324">
        <f t="shared" ref="FA11:FA74" si="42">AK11</f>
        <v>3.5881959766524201E-3</v>
      </c>
      <c r="FB11" s="324">
        <f t="shared" ref="FB11:FB74" si="43">AL11</f>
        <v>3.5311006464952199E-3</v>
      </c>
      <c r="FC11" s="324">
        <f t="shared" ref="FC11:FC74" si="44">AM11</f>
        <v>3.5100309709840301E-3</v>
      </c>
      <c r="FD11" s="324">
        <f t="shared" ref="FD11:FD74" si="45">AN11</f>
        <v>3.5100309709840301E-3</v>
      </c>
      <c r="FE11" s="324">
        <f t="shared" ref="FE11:FE74" si="46">AO11</f>
        <v>6.7831755328566196E-2</v>
      </c>
      <c r="FF11" s="324">
        <f t="shared" ref="FF11:FF74" si="47">AP11</f>
        <v>6.3250667156757298E-2</v>
      </c>
      <c r="FG11" s="324">
        <f t="shared" ref="FG11:FG74" si="48">AQ11</f>
        <v>6.2628417187727006E-2</v>
      </c>
      <c r="FH11" s="324">
        <f t="shared" ref="FH11:FH74" si="49">AR11</f>
        <v>6.1216981125607202E-2</v>
      </c>
      <c r="FI11" s="324">
        <f t="shared" ref="FI11:FI74" si="50">AS11</f>
        <v>5.9842025439809501E-2</v>
      </c>
      <c r="FJ11" s="324">
        <f t="shared" ref="FJ11:FJ74" si="51">AT11</f>
        <v>5.8761885691048198E-2</v>
      </c>
      <c r="FK11" s="324">
        <f t="shared" ref="FK11:FK74" si="52">AU11</f>
        <v>5.8072078083983E-2</v>
      </c>
      <c r="FL11" s="324">
        <f t="shared" ref="FL11:FL74" si="53">AV11</f>
        <v>5.7726484266030297E-2</v>
      </c>
      <c r="FM11" s="324">
        <f t="shared" ref="FM11:FM74" si="54">AW11</f>
        <v>5.7530226905323702E-2</v>
      </c>
      <c r="FN11" s="324">
        <f t="shared" ref="FN11:FN74" si="55">AX11</f>
        <v>5.7530226905323702E-2</v>
      </c>
      <c r="FO11" s="324">
        <f t="shared" ref="FO11:FO74" si="56">AY11</f>
        <v>1.8324822567621701E-2</v>
      </c>
      <c r="FP11" s="324">
        <f t="shared" ref="FP11:FP74" si="57">AZ11</f>
        <v>1.4272294035055699E-2</v>
      </c>
      <c r="FQ11" s="324">
        <f t="shared" ref="FQ11:FQ74" si="58">BA11</f>
        <v>1.3165752481838801E-2</v>
      </c>
      <c r="FR11" s="324">
        <f t="shared" ref="FR11:FR74" si="59">BB11</f>
        <v>1.1917194849656599E-2</v>
      </c>
      <c r="FS11" s="324">
        <f t="shared" ref="FS11:FS74" si="60">BC11</f>
        <v>1.0700861948252101E-2</v>
      </c>
      <c r="FT11" s="324">
        <f t="shared" ref="FT11:FT74" si="61">BD11</f>
        <v>9.7453521893521699E-3</v>
      </c>
      <c r="FU11" s="324">
        <f t="shared" ref="FU11:FU74" si="62">BE11</f>
        <v>9.1351470976244707E-3</v>
      </c>
      <c r="FV11" s="324">
        <f t="shared" ref="FV11:FV74" si="63">BF11</f>
        <v>8.8293874131557606E-3</v>
      </c>
      <c r="FW11" s="324">
        <f t="shared" ref="FW11:FW74" si="64">BG11</f>
        <v>8.6558174466142106E-3</v>
      </c>
      <c r="FX11" s="324">
        <f t="shared" ref="FX11:FX74" si="65">BH11</f>
        <v>8.6558174466142106E-3</v>
      </c>
    </row>
    <row r="12" spans="1:190" x14ac:dyDescent="0.2">
      <c r="A12" s="298" t="str">
        <f>_xlfn.CONCAT(IF(LEFT(TRIM(A11),1)="*", "*R", "R"), 1+RIGHT(TRIM(A11),1))</f>
        <v>R4</v>
      </c>
      <c r="B12" s="298" t="str">
        <f t="shared" ref="B12:B14" si="66">B11</f>
        <v>TLEMCGSL</v>
      </c>
      <c r="C12" s="298" t="str">
        <f t="shared" ref="C12:C14" si="67">C11</f>
        <v>TL.GSL.MC.Existing fleet</v>
      </c>
      <c r="D12" s="294" t="str">
        <f t="shared" ref="D12:D14" si="68">D11</f>
        <v>bn-vmt, bn-vmt/a</v>
      </c>
      <c r="E12" s="294" t="str">
        <f t="shared" ref="E12:E14" si="69">E11</f>
        <v>TLGSL</v>
      </c>
      <c r="F12" s="294" t="str">
        <f t="shared" ref="F12:F14" si="70">F11</f>
        <v>TL</v>
      </c>
      <c r="G12" s="294" t="s">
        <v>473</v>
      </c>
      <c r="H12" s="294" t="s">
        <v>474</v>
      </c>
      <c r="I12" s="294">
        <v>1</v>
      </c>
      <c r="J12" s="308" t="str">
        <f t="shared" si="2"/>
        <v>Mini car-GSL</v>
      </c>
      <c r="K12" s="324">
        <f>$I12*IF($G12="Pickup", SUMIFS(NewEmisData!E:E, NewEmisData!$A:$A, "Pickup", NewEmisData!$B:$B, $A12, NewEmisData!$C:$C, $H12, NewEmisData!$D:$D, K$2), SUMIFS(NewEmisData!E:E, NewEmisData!$A:$A, "LDV", NewEmisData!$B:$B, $A12, NewEmisData!$C:$C, $H12, NewEmisData!$D:$D, K$2))</f>
        <v>605.35194063093002</v>
      </c>
      <c r="L12" s="324">
        <f>$I12*IF($G12="Pickup", SUMIFS(NewEmisData!F:F, NewEmisData!$A:$A, "Pickup", NewEmisData!$B:$B, $A12, NewEmisData!$C:$C, $H12, NewEmisData!$D:$D, L$2), SUMIFS(NewEmisData!F:F, NewEmisData!$A:$A, "LDV", NewEmisData!$B:$B, $A12, NewEmisData!$C:$C, $H12, NewEmisData!$D:$D, L$2))</f>
        <v>575.43677827742204</v>
      </c>
      <c r="M12" s="324">
        <f>$I12*IF($G12="Pickup", SUMIFS(NewEmisData!G:G, NewEmisData!$A:$A, "Pickup", NewEmisData!$B:$B, $A12, NewEmisData!$C:$C, $H12, NewEmisData!$D:$D, M$2), SUMIFS(NewEmisData!G:G, NewEmisData!$A:$A, "LDV", NewEmisData!$B:$B, $A12, NewEmisData!$C:$C, $H12, NewEmisData!$D:$D, M$2))</f>
        <v>447.50306541281799</v>
      </c>
      <c r="N12" s="324">
        <f>$I12*IF($G12="Pickup", SUMIFS(NewEmisData!H:H, NewEmisData!$A:$A, "Pickup", NewEmisData!$B:$B, $A12, NewEmisData!$C:$C, $H12, NewEmisData!$D:$D, N$2), SUMIFS(NewEmisData!H:H, NewEmisData!$A:$A, "LDV", NewEmisData!$B:$B, $A12, NewEmisData!$C:$C, $H12, NewEmisData!$D:$D, N$2))</f>
        <v>380.32748601406797</v>
      </c>
      <c r="O12" s="324">
        <f>$I12*IF($G12="Pickup", SUMIFS(NewEmisData!I:I, NewEmisData!$A:$A, "Pickup", NewEmisData!$B:$B, $A12, NewEmisData!$C:$C, $H12, NewEmisData!$D:$D, O$2), SUMIFS(NewEmisData!I:I, NewEmisData!$A:$A, "LDV", NewEmisData!$B:$B, $A12, NewEmisData!$C:$C, $H12, NewEmisData!$D:$D, O$2))</f>
        <v>328.8508655947</v>
      </c>
      <c r="P12" s="324">
        <f>$I12*IF($G12="Pickup", SUMIFS(NewEmisData!J:J, NewEmisData!$A:$A, "Pickup", NewEmisData!$B:$B, $A12, NewEmisData!$C:$C, $H12, NewEmisData!$D:$D, P$2), SUMIFS(NewEmisData!J:J, NewEmisData!$A:$A, "LDV", NewEmisData!$B:$B, $A12, NewEmisData!$C:$C, $H12, NewEmisData!$D:$D, P$2))</f>
        <v>299.87343037562698</v>
      </c>
      <c r="Q12" s="324">
        <f>$I12*IF($G12="Pickup", SUMIFS(NewEmisData!K:K, NewEmisData!$A:$A, "Pickup", NewEmisData!$B:$B, $A12, NewEmisData!$C:$C, $H12, NewEmisData!$D:$D, Q$2), SUMIFS(NewEmisData!K:K, NewEmisData!$A:$A, "LDV", NewEmisData!$B:$B, $A12, NewEmisData!$C:$C, $H12, NewEmisData!$D:$D, Q$2))</f>
        <v>286.96645721008798</v>
      </c>
      <c r="R12" s="324">
        <f>$I12*IF($G12="Pickup", SUMIFS(NewEmisData!L:L, NewEmisData!$A:$A, "Pickup", NewEmisData!$B:$B, $A12, NewEmisData!$C:$C, $H12, NewEmisData!$D:$D, R$2), SUMIFS(NewEmisData!L:L, NewEmisData!$A:$A, "LDV", NewEmisData!$B:$B, $A12, NewEmisData!$C:$C, $H12, NewEmisData!$D:$D, R$2))</f>
        <v>282.38592098475101</v>
      </c>
      <c r="S12" s="324">
        <f>$I12*IF($G12="Pickup", SUMIFS(NewEmisData!M:M, NewEmisData!$A:$A, "Pickup", NewEmisData!$B:$B, $A12, NewEmisData!$C:$C, $H12, NewEmisData!$D:$D, S$2), SUMIFS(NewEmisData!M:M, NewEmisData!$A:$A, "LDV", NewEmisData!$B:$B, $A12, NewEmisData!$C:$C, $H12, NewEmisData!$D:$D, S$2))</f>
        <v>280.69816184937503</v>
      </c>
      <c r="T12" s="324">
        <f t="shared" si="5"/>
        <v>280.69816184937503</v>
      </c>
      <c r="U12" s="324">
        <f>$I12*IF($G12="Pickup", SUMIFS(NewEmisData!E:E, NewEmisData!$A:$A, "Pickup", NewEmisData!$B:$B, $A12, NewEmisData!$C:$C, $H12, NewEmisData!$D:$D, U$2), SUMIFS(NewEmisData!E:E, NewEmisData!$A:$A, "LDV", NewEmisData!$B:$B, $A12, NewEmisData!$C:$C, $H12, NewEmisData!$D:$D, U$2))</f>
        <v>0.73999493628111201</v>
      </c>
      <c r="V12" s="324">
        <f>$I12*IF($G12="Pickup", SUMIFS(NewEmisData!F:F, NewEmisData!$A:$A, "Pickup", NewEmisData!$B:$B, $A12, NewEmisData!$C:$C, $H12, NewEmisData!$D:$D, V$2), SUMIFS(NewEmisData!F:F, NewEmisData!$A:$A, "LDV", NewEmisData!$B:$B, $A12, NewEmisData!$C:$C, $H12, NewEmisData!$D:$D, V$2))</f>
        <v>0.35335240075773999</v>
      </c>
      <c r="W12" s="324">
        <f>$I12*IF($G12="Pickup", SUMIFS(NewEmisData!G:G, NewEmisData!$A:$A, "Pickup", NewEmisData!$B:$B, $A12, NewEmisData!$C:$C, $H12, NewEmisData!$D:$D, W$2), SUMIFS(NewEmisData!G:G, NewEmisData!$A:$A, "LDV", NewEmisData!$B:$B, $A12, NewEmisData!$C:$C, $H12, NewEmisData!$D:$D, W$2))</f>
        <v>0.18897755292818599</v>
      </c>
      <c r="X12" s="324">
        <f>$I12*IF($G12="Pickup", SUMIFS(NewEmisData!H:H, NewEmisData!$A:$A, "Pickup", NewEmisData!$B:$B, $A12, NewEmisData!$C:$C, $H12, NewEmisData!$D:$D, X$2), SUMIFS(NewEmisData!H:H, NewEmisData!$A:$A, "LDV", NewEmisData!$B:$B, $A12, NewEmisData!$C:$C, $H12, NewEmisData!$D:$D, X$2))</f>
        <v>0.12218817840455801</v>
      </c>
      <c r="Y12" s="324">
        <f>$I12*IF($G12="Pickup", SUMIFS(NewEmisData!I:I, NewEmisData!$A:$A, "Pickup", NewEmisData!$B:$B, $A12, NewEmisData!$C:$C, $H12, NewEmisData!$D:$D, Y$2), SUMIFS(NewEmisData!I:I, NewEmisData!$A:$A, "LDV", NewEmisData!$B:$B, $A12, NewEmisData!$C:$C, $H12, NewEmisData!$D:$D, Y$2))</f>
        <v>7.3060825114572805E-2</v>
      </c>
      <c r="Z12" s="324">
        <f>$I12*IF($G12="Pickup", SUMIFS(NewEmisData!J:J, NewEmisData!$A:$A, "Pickup", NewEmisData!$B:$B, $A12, NewEmisData!$C:$C, $H12, NewEmisData!$D:$D, Z$2), SUMIFS(NewEmisData!J:J, NewEmisData!$A:$A, "LDV", NewEmisData!$B:$B, $A12, NewEmisData!$C:$C, $H12, NewEmisData!$D:$D, Z$2))</f>
        <v>5.3764321341730301E-2</v>
      </c>
      <c r="AA12" s="324">
        <f>$I12*IF($G12="Pickup", SUMIFS(NewEmisData!K:K, NewEmisData!$A:$A, "Pickup", NewEmisData!$B:$B, $A12, NewEmisData!$C:$C, $H12, NewEmisData!$D:$D, AA$2), SUMIFS(NewEmisData!K:K, NewEmisData!$A:$A, "LDV", NewEmisData!$B:$B, $A12, NewEmisData!$C:$C, $H12, NewEmisData!$D:$D, AA$2))</f>
        <v>4.5765873698397498E-2</v>
      </c>
      <c r="AB12" s="324">
        <f>$I12*IF($G12="Pickup", SUMIFS(NewEmisData!L:L, NewEmisData!$A:$A, "Pickup", NewEmisData!$B:$B, $A12, NewEmisData!$C:$C, $H12, NewEmisData!$D:$D, AB$2), SUMIFS(NewEmisData!L:L, NewEmisData!$A:$A, "LDV", NewEmisData!$B:$B, $A12, NewEmisData!$C:$C, $H12, NewEmisData!$D:$D, AB$2))</f>
        <v>4.3548109073897001E-2</v>
      </c>
      <c r="AC12" s="324">
        <f>$I12*IF($G12="Pickup", SUMIFS(NewEmisData!M:M, NewEmisData!$A:$A, "Pickup", NewEmisData!$B:$B, $A12, NewEmisData!$C:$C, $H12, NewEmisData!$D:$D, AC$2), SUMIFS(NewEmisData!M:M, NewEmisData!$A:$A, "LDV", NewEmisData!$B:$B, $A12, NewEmisData!$C:$C, $H12, NewEmisData!$D:$D, AC$2))</f>
        <v>4.24609775043936E-2</v>
      </c>
      <c r="AD12" s="324">
        <f t="shared" si="6"/>
        <v>4.24609775043936E-2</v>
      </c>
      <c r="AE12" s="324">
        <f>$I12*IF($G12="Pickup", SUMIFS(NewEmisData!E:E, NewEmisData!$A:$A, "Pickup", NewEmisData!$B:$B, $A12, NewEmisData!$C:$C, $H12, NewEmisData!$D:$D, AE$2), SUMIFS(NewEmisData!E:E, NewEmisData!$A:$A, "LDV", NewEmisData!$B:$B, $A12, NewEmisData!$C:$C, $H12, NewEmisData!$D:$D, AE$2))</f>
        <v>1.04747160569124E-2</v>
      </c>
      <c r="AF12" s="324">
        <f>$I12*IF($G12="Pickup", SUMIFS(NewEmisData!F:F, NewEmisData!$A:$A, "Pickup", NewEmisData!$B:$B, $A12, NewEmisData!$C:$C, $H12, NewEmisData!$D:$D, AF$2), SUMIFS(NewEmisData!F:F, NewEmisData!$A:$A, "LDV", NewEmisData!$B:$B, $A12, NewEmisData!$C:$C, $H12, NewEmisData!$D:$D, AF$2))</f>
        <v>9.9570764799691708E-3</v>
      </c>
      <c r="AG12" s="324">
        <f>$I12*IF($G12="Pickup", SUMIFS(NewEmisData!G:G, NewEmisData!$A:$A, "Pickup", NewEmisData!$B:$B, $A12, NewEmisData!$C:$C, $H12, NewEmisData!$D:$D, AG$2), SUMIFS(NewEmisData!G:G, NewEmisData!$A:$A, "LDV", NewEmisData!$B:$B, $A12, NewEmisData!$C:$C, $H12, NewEmisData!$D:$D, AG$2))</f>
        <v>6.4196648888919499E-3</v>
      </c>
      <c r="AH12" s="324">
        <f>$I12*IF($G12="Pickup", SUMIFS(NewEmisData!H:H, NewEmisData!$A:$A, "Pickup", NewEmisData!$B:$B, $A12, NewEmisData!$C:$C, $H12, NewEmisData!$D:$D, AH$2), SUMIFS(NewEmisData!H:H, NewEmisData!$A:$A, "LDV", NewEmisData!$B:$B, $A12, NewEmisData!$C:$C, $H12, NewEmisData!$D:$D, AH$2))</f>
        <v>5.45599526494426E-3</v>
      </c>
      <c r="AI12" s="324">
        <f>$I12*IF($G12="Pickup", SUMIFS(NewEmisData!I:I, NewEmisData!$A:$A, "Pickup", NewEmisData!$B:$B, $A12, NewEmisData!$C:$C, $H12, NewEmisData!$D:$D, AI$2), SUMIFS(NewEmisData!I:I, NewEmisData!$A:$A, "LDV", NewEmisData!$B:$B, $A12, NewEmisData!$C:$C, $H12, NewEmisData!$D:$D, AI$2))</f>
        <v>4.7175365225731996E-3</v>
      </c>
      <c r="AJ12" s="324">
        <f>$I12*IF($G12="Pickup", SUMIFS(NewEmisData!J:J, NewEmisData!$A:$A, "Pickup", NewEmisData!$B:$B, $A12, NewEmisData!$C:$C, $H12, NewEmisData!$D:$D, AJ$2), SUMIFS(NewEmisData!J:J, NewEmisData!$A:$A, "LDV", NewEmisData!$B:$B, $A12, NewEmisData!$C:$C, $H12, NewEmisData!$D:$D, AJ$2))</f>
        <v>4.3018391726363297E-3</v>
      </c>
      <c r="AK12" s="324">
        <f>$I12*IF($G12="Pickup", SUMIFS(NewEmisData!K:K, NewEmisData!$A:$A, "Pickup", NewEmisData!$B:$B, $A12, NewEmisData!$C:$C, $H12, NewEmisData!$D:$D, AK$2), SUMIFS(NewEmisData!K:K, NewEmisData!$A:$A, "LDV", NewEmisData!$B:$B, $A12, NewEmisData!$C:$C, $H12, NewEmisData!$D:$D, AK$2))</f>
        <v>4.1166816404986702E-3</v>
      </c>
      <c r="AL12" s="324">
        <f>$I12*IF($G12="Pickup", SUMIFS(NewEmisData!L:L, NewEmisData!$A:$A, "Pickup", NewEmisData!$B:$B, $A12, NewEmisData!$C:$C, $H12, NewEmisData!$D:$D, AL$2), SUMIFS(NewEmisData!L:L, NewEmisData!$A:$A, "LDV", NewEmisData!$B:$B, $A12, NewEmisData!$C:$C, $H12, NewEmisData!$D:$D, AL$2))</f>
        <v>4.0509726462172697E-3</v>
      </c>
      <c r="AM12" s="324">
        <f>$I12*IF($G12="Pickup", SUMIFS(NewEmisData!M:M, NewEmisData!$A:$A, "Pickup", NewEmisData!$B:$B, $A12, NewEmisData!$C:$C, $H12, NewEmisData!$D:$D, AM$2), SUMIFS(NewEmisData!M:M, NewEmisData!$A:$A, "LDV", NewEmisData!$B:$B, $A12, NewEmisData!$C:$C, $H12, NewEmisData!$D:$D, AM$2))</f>
        <v>4.0267596573162799E-3</v>
      </c>
      <c r="AN12" s="324">
        <f t="shared" si="7"/>
        <v>4.0267596573162799E-3</v>
      </c>
      <c r="AO12" s="324">
        <f>$I12*IF($G12="Pickup", SUMIFS(NewEmisData!E:E, NewEmisData!$A:$A, "Pickup", NewEmisData!$B:$B, $A12, NewEmisData!$C:$C, $H12, NewEmisData!$D:$D, AO$2), SUMIFS(NewEmisData!E:E, NewEmisData!$A:$A, "LDV", NewEmisData!$B:$B, $A12, NewEmisData!$C:$C, $H12, NewEmisData!$D:$D, AO$2))</f>
        <v>0.112529836649977</v>
      </c>
      <c r="AP12" s="324">
        <f>$I12*IF($G12="Pickup", SUMIFS(NewEmisData!F:F, NewEmisData!$A:$A, "Pickup", NewEmisData!$B:$B, $A12, NewEmisData!$C:$C, $H12, NewEmisData!$D:$D, AP$2), SUMIFS(NewEmisData!F:F, NewEmisData!$A:$A, "LDV", NewEmisData!$B:$B, $A12, NewEmisData!$C:$C, $H12, NewEmisData!$D:$D, AP$2))</f>
        <v>0.103764807432247</v>
      </c>
      <c r="AQ12" s="324">
        <f>$I12*IF($G12="Pickup", SUMIFS(NewEmisData!G:G, NewEmisData!$A:$A, "Pickup", NewEmisData!$B:$B, $A12, NewEmisData!$C:$C, $H12, NewEmisData!$D:$D, AQ$2), SUMIFS(NewEmisData!G:G, NewEmisData!$A:$A, "LDV", NewEmisData!$B:$B, $A12, NewEmisData!$C:$C, $H12, NewEmisData!$D:$D, AQ$2))</f>
        <v>8.1904009889209095E-2</v>
      </c>
      <c r="AR12" s="324">
        <f>$I12*IF($G12="Pickup", SUMIFS(NewEmisData!H:H, NewEmisData!$A:$A, "Pickup", NewEmisData!$B:$B, $A12, NewEmisData!$C:$C, $H12, NewEmisData!$D:$D, AR$2), SUMIFS(NewEmisData!H:H, NewEmisData!$A:$A, "LDV", NewEmisData!$B:$B, $A12, NewEmisData!$C:$C, $H12, NewEmisData!$D:$D, AR$2))</f>
        <v>8.0372811122020202E-2</v>
      </c>
      <c r="AS12" s="324">
        <f>$I12*IF($G12="Pickup", SUMIFS(NewEmisData!I:I, NewEmisData!$A:$A, "Pickup", NewEmisData!$B:$B, $A12, NewEmisData!$C:$C, $H12, NewEmisData!$D:$D, AS$2), SUMIFS(NewEmisData!I:I, NewEmisData!$A:$A, "LDV", NewEmisData!$B:$B, $A12, NewEmisData!$C:$C, $H12, NewEmisData!$D:$D, AS$2))</f>
        <v>7.8826850839141593E-2</v>
      </c>
      <c r="AT12" s="324">
        <f>$I12*IF($G12="Pickup", SUMIFS(NewEmisData!J:J, NewEmisData!$A:$A, "Pickup", NewEmisData!$B:$B, $A12, NewEmisData!$C:$C, $H12, NewEmisData!$D:$D, AT$2), SUMIFS(NewEmisData!J:J, NewEmisData!$A:$A, "LDV", NewEmisData!$B:$B, $A12, NewEmisData!$C:$C, $H12, NewEmisData!$D:$D, AT$2))</f>
        <v>7.7629471627150906E-2</v>
      </c>
      <c r="AU12" s="324">
        <f>$I12*IF($G12="Pickup", SUMIFS(NewEmisData!K:K, NewEmisData!$A:$A, "Pickup", NewEmisData!$B:$B, $A12, NewEmisData!$C:$C, $H12, NewEmisData!$D:$D, AU$2), SUMIFS(NewEmisData!K:K, NewEmisData!$A:$A, "LDV", NewEmisData!$B:$B, $A12, NewEmisData!$C:$C, $H12, NewEmisData!$D:$D, AU$2))</f>
        <v>7.6869255276324197E-2</v>
      </c>
      <c r="AV12" s="324">
        <f>$I12*IF($G12="Pickup", SUMIFS(NewEmisData!L:L, NewEmisData!$A:$A, "Pickup", NewEmisData!$B:$B, $A12, NewEmisData!$C:$C, $H12, NewEmisData!$D:$D, AV$2), SUMIFS(NewEmisData!L:L, NewEmisData!$A:$A, "LDV", NewEmisData!$B:$B, $A12, NewEmisData!$C:$C, $H12, NewEmisData!$D:$D, AV$2))</f>
        <v>7.6489801218608905E-2</v>
      </c>
      <c r="AW12" s="324">
        <f>$I12*IF($G12="Pickup", SUMIFS(NewEmisData!M:M, NewEmisData!$A:$A, "Pickup", NewEmisData!$B:$B, $A12, NewEmisData!$C:$C, $H12, NewEmisData!$D:$D, AW$2), SUMIFS(NewEmisData!M:M, NewEmisData!$A:$A, "LDV", NewEmisData!$B:$B, $A12, NewEmisData!$C:$C, $H12, NewEmisData!$D:$D, AW$2))</f>
        <v>7.6275890012832595E-2</v>
      </c>
      <c r="AX12" s="324">
        <f t="shared" si="8"/>
        <v>7.6275890012832595E-2</v>
      </c>
      <c r="AY12" s="324">
        <f>$I12*IF($G12="Pickup", SUMIFS(NewEmisData!E:E, NewEmisData!$A:$A, "Pickup", NewEmisData!$B:$B, $A12, NewEmisData!$C:$C, $H12, NewEmisData!$D:$D, AY$2), SUMIFS(NewEmisData!E:E, NewEmisData!$A:$A, "LDV", NewEmisData!$B:$B, $A12, NewEmisData!$C:$C, $H12, NewEmisData!$D:$D, AY$2))</f>
        <v>2.93140110896879E-2</v>
      </c>
      <c r="AZ12" s="324">
        <f>$I12*IF($G12="Pickup", SUMIFS(NewEmisData!F:F, NewEmisData!$A:$A, "Pickup", NewEmisData!$B:$B, $A12, NewEmisData!$C:$C, $H12, NewEmisData!$D:$D, AZ$2), SUMIFS(NewEmisData!F:F, NewEmisData!$A:$A, "LDV", NewEmisData!$B:$B, $A12, NewEmisData!$C:$C, $H12, NewEmisData!$D:$D, AZ$2))</f>
        <v>2.15603319614842E-2</v>
      </c>
      <c r="BA12" s="324">
        <f>$I12*IF($G12="Pickup", SUMIFS(NewEmisData!G:G, NewEmisData!$A:$A, "Pickup", NewEmisData!$B:$B, $A12, NewEmisData!$C:$C, $H12, NewEmisData!$D:$D, BA$2), SUMIFS(NewEmisData!G:G, NewEmisData!$A:$A, "LDV", NewEmisData!$B:$B, $A12, NewEmisData!$C:$C, $H12, NewEmisData!$D:$D, BA$2))</f>
        <v>1.61359542510712E-2</v>
      </c>
      <c r="BB12" s="324">
        <f>$I12*IF($G12="Pickup", SUMIFS(NewEmisData!H:H, NewEmisData!$A:$A, "Pickup", NewEmisData!$B:$B, $A12, NewEmisData!$C:$C, $H12, NewEmisData!$D:$D, BB$2), SUMIFS(NewEmisData!H:H, NewEmisData!$A:$A, "LDV", NewEmisData!$B:$B, $A12, NewEmisData!$C:$C, $H12, NewEmisData!$D:$D, BB$2))</f>
        <v>1.4781439172223E-2</v>
      </c>
      <c r="BC12" s="324">
        <f>$I12*IF($G12="Pickup", SUMIFS(NewEmisData!I:I, NewEmisData!$A:$A, "Pickup", NewEmisData!$B:$B, $A12, NewEmisData!$C:$C, $H12, NewEmisData!$D:$D, BC$2), SUMIFS(NewEmisData!I:I, NewEmisData!$A:$A, "LDV", NewEmisData!$B:$B, $A12, NewEmisData!$C:$C, $H12, NewEmisData!$D:$D, BC$2))</f>
        <v>1.3413837806436801E-2</v>
      </c>
      <c r="BD12" s="324">
        <f>$I12*IF($G12="Pickup", SUMIFS(NewEmisData!J:J, NewEmisData!$A:$A, "Pickup", NewEmisData!$B:$B, $A12, NewEmisData!$C:$C, $H12, NewEmisData!$D:$D, BD$2), SUMIFS(NewEmisData!J:J, NewEmisData!$A:$A, "LDV", NewEmisData!$B:$B, $A12, NewEmisData!$C:$C, $H12, NewEmisData!$D:$D, BD$2))</f>
        <v>1.2354573478352299E-2</v>
      </c>
      <c r="BE12" s="324">
        <f>$I12*IF($G12="Pickup", SUMIFS(NewEmisData!K:K, NewEmisData!$A:$A, "Pickup", NewEmisData!$B:$B, $A12, NewEmisData!$C:$C, $H12, NewEmisData!$D:$D, BE$2), SUMIFS(NewEmisData!K:K, NewEmisData!$A:$A, "LDV", NewEmisData!$B:$B, $A12, NewEmisData!$C:$C, $H12, NewEmisData!$D:$D, BE$2))</f>
        <v>1.16820653404197E-2</v>
      </c>
      <c r="BF12" s="324">
        <f>$I12*IF($G12="Pickup", SUMIFS(NewEmisData!L:L, NewEmisData!$A:$A, "Pickup", NewEmisData!$B:$B, $A12, NewEmisData!$C:$C, $H12, NewEmisData!$D:$D, BF$2), SUMIFS(NewEmisData!L:L, NewEmisData!$A:$A, "LDV", NewEmisData!$B:$B, $A12, NewEmisData!$C:$C, $H12, NewEmisData!$D:$D, BF$2))</f>
        <v>1.13463459698093E-2</v>
      </c>
      <c r="BG12" s="324">
        <f>$I12*IF($G12="Pickup", SUMIFS(NewEmisData!M:M, NewEmisData!$A:$A, "Pickup", NewEmisData!$B:$B, $A12, NewEmisData!$C:$C, $H12, NewEmisData!$D:$D, BG$2), SUMIFS(NewEmisData!M:M, NewEmisData!$A:$A, "LDV", NewEmisData!$B:$B, $A12, NewEmisData!$C:$C, $H12, NewEmisData!$D:$D, BG$2))</f>
        <v>1.1157149268450401E-2</v>
      </c>
      <c r="BH12" s="324">
        <f t="shared" si="9"/>
        <v>1.1157149268450401E-2</v>
      </c>
      <c r="BI12" s="324">
        <f>$I12*IF($G12="Pickup", SUMIFS(NewEmisData!E:E, NewEmisData!$A:$A, "Pickup", NewEmisData!$B:$B, $A12, NewEmisData!$C:$C, $H12, NewEmisData!$D:$D, BI$2), SUMIFS(NewEmisData!E:E, NewEmisData!$A:$A, "LDV", NewEmisData!$B:$B, $A12, NewEmisData!$C:$C, $H12, NewEmisData!$D:$D, BI$2))</f>
        <v>7.7707306410078001</v>
      </c>
      <c r="BJ12" s="324">
        <f>$I12*IF($G12="Pickup", SUMIFS(NewEmisData!F:F, NewEmisData!$A:$A, "Pickup", NewEmisData!$B:$B, $A12, NewEmisData!$C:$C, $H12, NewEmisData!$D:$D, BJ$2), SUMIFS(NewEmisData!F:F, NewEmisData!$A:$A, "LDV", NewEmisData!$B:$B, $A12, NewEmisData!$C:$C, $H12, NewEmisData!$D:$D, BJ$2))</f>
        <v>4.4247869376442202</v>
      </c>
      <c r="BK12" s="324">
        <f>$I12*IF($G12="Pickup", SUMIFS(NewEmisData!G:G, NewEmisData!$A:$A, "Pickup", NewEmisData!$B:$B, $A12, NewEmisData!$C:$C, $H12, NewEmisData!$D:$D, BK$2), SUMIFS(NewEmisData!G:G, NewEmisData!$A:$A, "LDV", NewEmisData!$B:$B, $A12, NewEmisData!$C:$C, $H12, NewEmisData!$D:$D, BK$2))</f>
        <v>2.6540717659073501</v>
      </c>
      <c r="BL12" s="324">
        <f>$I12*IF($G12="Pickup", SUMIFS(NewEmisData!H:H, NewEmisData!$A:$A, "Pickup", NewEmisData!$B:$B, $A12, NewEmisData!$C:$C, $H12, NewEmisData!$D:$D, BL$2), SUMIFS(NewEmisData!H:H, NewEmisData!$A:$A, "LDV", NewEmisData!$B:$B, $A12, NewEmisData!$C:$C, $H12, NewEmisData!$D:$D, BL$2))</f>
        <v>2.0604732381170998</v>
      </c>
      <c r="BM12" s="324">
        <f>$I12*IF($G12="Pickup", SUMIFS(NewEmisData!I:I, NewEmisData!$A:$A, "Pickup", NewEmisData!$B:$B, $A12, NewEmisData!$C:$C, $H12, NewEmisData!$D:$D, BM$2), SUMIFS(NewEmisData!I:I, NewEmisData!$A:$A, "LDV", NewEmisData!$B:$B, $A12, NewEmisData!$C:$C, $H12, NewEmisData!$D:$D, BM$2))</f>
        <v>1.4768702583128299</v>
      </c>
      <c r="BN12" s="324">
        <f>$I12*IF($G12="Pickup", SUMIFS(NewEmisData!J:J, NewEmisData!$A:$A, "Pickup", NewEmisData!$B:$B, $A12, NewEmisData!$C:$C, $H12, NewEmisData!$D:$D, BN$2), SUMIFS(NewEmisData!J:J, NewEmisData!$A:$A, "LDV", NewEmisData!$B:$B, $A12, NewEmisData!$C:$C, $H12, NewEmisData!$D:$D, BN$2))</f>
        <v>1.1597745551704699</v>
      </c>
      <c r="BO12" s="324">
        <f>$I12*IF($G12="Pickup", SUMIFS(NewEmisData!K:K, NewEmisData!$A:$A, "Pickup", NewEmisData!$B:$B, $A12, NewEmisData!$C:$C, $H12, NewEmisData!$D:$D, BO$2), SUMIFS(NewEmisData!K:K, NewEmisData!$A:$A, "LDV", NewEmisData!$B:$B, $A12, NewEmisData!$C:$C, $H12, NewEmisData!$D:$D, BO$2))</f>
        <v>1.01795642585422</v>
      </c>
      <c r="BP12" s="324">
        <f>$I12*IF($G12="Pickup", SUMIFS(NewEmisData!L:L, NewEmisData!$A:$A, "Pickup", NewEmisData!$B:$B, $A12, NewEmisData!$C:$C, $H12, NewEmisData!$D:$D, BP$2), SUMIFS(NewEmisData!L:L, NewEmisData!$A:$A, "LDV", NewEmisData!$B:$B, $A12, NewEmisData!$C:$C, $H12, NewEmisData!$D:$D, BP$2))</f>
        <v>0.97243111781319103</v>
      </c>
      <c r="BQ12" s="324">
        <f>$I12*IF($G12="Pickup", SUMIFS(NewEmisData!M:M, NewEmisData!$A:$A, "Pickup", NewEmisData!$B:$B, $A12, NewEmisData!$C:$C, $H12, NewEmisData!$D:$D, BQ$2), SUMIFS(NewEmisData!M:M, NewEmisData!$A:$A, "LDV", NewEmisData!$B:$B, $A12, NewEmisData!$C:$C, $H12, NewEmisData!$D:$D, BQ$2))</f>
        <v>0.94396289100680397</v>
      </c>
      <c r="BR12" s="324">
        <f t="shared" si="10"/>
        <v>0.94396289100680397</v>
      </c>
      <c r="BS12" s="324">
        <f>$I12*IF($G12="Pickup", SUMIFS(NewEmisData!E:E, NewEmisData!$A:$A, "Pickup", NewEmisData!$B:$B, $A12, NewEmisData!$C:$C, $H12, NewEmisData!$D:$D, BS$2), SUMIFS(NewEmisData!E:E, NewEmisData!$A:$A, "LDV", NewEmisData!$B:$B, $A12, NewEmisData!$C:$C, $H12, NewEmisData!$D:$D, BS$2))</f>
        <v>0.868939523792984</v>
      </c>
      <c r="BT12" s="324">
        <f>$I12*IF($G12="Pickup", SUMIFS(NewEmisData!F:F, NewEmisData!$A:$A, "Pickup", NewEmisData!$B:$B, $A12, NewEmisData!$C:$C, $H12, NewEmisData!$D:$D, BT$2), SUMIFS(NewEmisData!F:F, NewEmisData!$A:$A, "LDV", NewEmisData!$B:$B, $A12, NewEmisData!$C:$C, $H12, NewEmisData!$D:$D, BT$2))</f>
        <v>0.46984846516954898</v>
      </c>
      <c r="BU12" s="324">
        <f>$I12*IF($G12="Pickup", SUMIFS(NewEmisData!G:G, NewEmisData!$A:$A, "Pickup", NewEmisData!$B:$B, $A12, NewEmisData!$C:$C, $H12, NewEmisData!$D:$D, BU$2), SUMIFS(NewEmisData!G:G, NewEmisData!$A:$A, "LDV", NewEmisData!$B:$B, $A12, NewEmisData!$C:$C, $H12, NewEmisData!$D:$D, BU$2))</f>
        <v>0.25380786816335299</v>
      </c>
      <c r="BV12" s="324">
        <f>$I12*IF($G12="Pickup", SUMIFS(NewEmisData!H:H, NewEmisData!$A:$A, "Pickup", NewEmisData!$B:$B, $A12, NewEmisData!$C:$C, $H12, NewEmisData!$D:$D, BV$2), SUMIFS(NewEmisData!H:H, NewEmisData!$A:$A, "LDV", NewEmisData!$B:$B, $A12, NewEmisData!$C:$C, $H12, NewEmisData!$D:$D, BV$2))</f>
        <v>0.20500079484657399</v>
      </c>
      <c r="BW12" s="324">
        <f>$I12*IF($G12="Pickup", SUMIFS(NewEmisData!I:I, NewEmisData!$A:$A, "Pickup", NewEmisData!$B:$B, $A12, NewEmisData!$C:$C, $H12, NewEmisData!$D:$D, BW$2), SUMIFS(NewEmisData!I:I, NewEmisData!$A:$A, "LDV", NewEmisData!$B:$B, $A12, NewEmisData!$C:$C, $H12, NewEmisData!$D:$D, BW$2))</f>
        <v>0.15182918417959501</v>
      </c>
      <c r="BX12" s="324">
        <f>$I12*IF($G12="Pickup", SUMIFS(NewEmisData!J:J, NewEmisData!$A:$A, "Pickup", NewEmisData!$B:$B, $A12, NewEmisData!$C:$C, $H12, NewEmisData!$D:$D, BX$2), SUMIFS(NewEmisData!J:J, NewEmisData!$A:$A, "LDV", NewEmisData!$B:$B, $A12, NewEmisData!$C:$C, $H12, NewEmisData!$D:$D, BX$2))</f>
        <v>0.12865137268893501</v>
      </c>
      <c r="BY12" s="324">
        <f>$I12*IF($G12="Pickup", SUMIFS(NewEmisData!K:K, NewEmisData!$A:$A, "Pickup", NewEmisData!$B:$B, $A12, NewEmisData!$C:$C, $H12, NewEmisData!$D:$D, BY$2), SUMIFS(NewEmisData!K:K, NewEmisData!$A:$A, "LDV", NewEmisData!$B:$B, $A12, NewEmisData!$C:$C, $H12, NewEmisData!$D:$D, BY$2))</f>
        <v>0.11591502454704899</v>
      </c>
      <c r="BZ12" s="324">
        <f>$I12*IF($G12="Pickup", SUMIFS(NewEmisData!L:L, NewEmisData!$A:$A, "Pickup", NewEmisData!$B:$B, $A12, NewEmisData!$C:$C, $H12, NewEmisData!$D:$D, BZ$2), SUMIFS(NewEmisData!L:L, NewEmisData!$A:$A, "LDV", NewEmisData!$B:$B, $A12, NewEmisData!$C:$C, $H12, NewEmisData!$D:$D, BZ$2))</f>
        <v>0.110951334785302</v>
      </c>
      <c r="CA12" s="324">
        <f>$I12*IF($G12="Pickup", SUMIFS(NewEmisData!M:M, NewEmisData!$A:$A, "Pickup", NewEmisData!$B:$B, $A12, NewEmisData!$C:$C, $H12, NewEmisData!$D:$D, CA$2), SUMIFS(NewEmisData!M:M, NewEmisData!$A:$A, "LDV", NewEmisData!$B:$B, $A12, NewEmisData!$C:$C, $H12, NewEmisData!$D:$D, CA$2))</f>
        <v>0.10699337260583799</v>
      </c>
      <c r="CB12" s="324">
        <f t="shared" si="11"/>
        <v>0.10699337260583799</v>
      </c>
      <c r="CC12" s="324">
        <f>$I12*IF($G12="Pickup", SUMIFS(NewEmisData!E:E, NewEmisData!$A:$A, "Pickup", NewEmisData!$B:$B, $A12, NewEmisData!$C:$C, $H12, NewEmisData!$D:$D, CC$2), SUMIFS(NewEmisData!E:E, NewEmisData!$A:$A, "LDV", NewEmisData!$B:$B, $A12, NewEmisData!$C:$C, $H12, NewEmisData!$D:$D, CC$2))</f>
        <v>5.1125583760404797E-2</v>
      </c>
      <c r="CD12" s="324">
        <f>$I12*IF($G12="Pickup", SUMIFS(NewEmisData!F:F, NewEmisData!$A:$A, "Pickup", NewEmisData!$B:$B, $A12, NewEmisData!$C:$C, $H12, NewEmisData!$D:$D, CD$2), SUMIFS(NewEmisData!F:F, NewEmisData!$A:$A, "LDV", NewEmisData!$B:$B, $A12, NewEmisData!$C:$C, $H12, NewEmisData!$D:$D, CD$2))</f>
        <v>3.7154393856404101E-2</v>
      </c>
      <c r="CE12" s="324">
        <f>$I12*IF($G12="Pickup", SUMIFS(NewEmisData!G:G, NewEmisData!$A:$A, "Pickup", NewEmisData!$B:$B, $A12, NewEmisData!$C:$C, $H12, NewEmisData!$D:$D, CE$2), SUMIFS(NewEmisData!G:G, NewEmisData!$A:$A, "LDV", NewEmisData!$B:$B, $A12, NewEmisData!$C:$C, $H12, NewEmisData!$D:$D, CE$2))</f>
        <v>2.8853651309577E-2</v>
      </c>
      <c r="CF12" s="324">
        <f>$I12*IF($G12="Pickup", SUMIFS(NewEmisData!H:H, NewEmisData!$A:$A, "Pickup", NewEmisData!$B:$B, $A12, NewEmisData!$C:$C, $H12, NewEmisData!$D:$D, CF$2), SUMIFS(NewEmisData!H:H, NewEmisData!$A:$A, "LDV", NewEmisData!$B:$B, $A12, NewEmisData!$C:$C, $H12, NewEmisData!$D:$D, CF$2))</f>
        <v>2.7537520644524499E-2</v>
      </c>
      <c r="CG12" s="324">
        <f>$I12*IF($G12="Pickup", SUMIFS(NewEmisData!I:I, NewEmisData!$A:$A, "Pickup", NewEmisData!$B:$B, $A12, NewEmisData!$C:$C, $H12, NewEmisData!$D:$D, CG$2), SUMIFS(NewEmisData!I:I, NewEmisData!$A:$A, "LDV", NewEmisData!$B:$B, $A12, NewEmisData!$C:$C, $H12, NewEmisData!$D:$D, CG$2))</f>
        <v>2.6666633761740999E-2</v>
      </c>
      <c r="CH12" s="324">
        <f>$I12*IF($G12="Pickup", SUMIFS(NewEmisData!J:J, NewEmisData!$A:$A, "Pickup", NewEmisData!$B:$B, $A12, NewEmisData!$C:$C, $H12, NewEmisData!$D:$D, CH$2), SUMIFS(NewEmisData!J:J, NewEmisData!$A:$A, "LDV", NewEmisData!$B:$B, $A12, NewEmisData!$C:$C, $H12, NewEmisData!$D:$D, CH$2))</f>
        <v>2.5980348711507999E-2</v>
      </c>
      <c r="CI12" s="324">
        <f>$I12*IF($G12="Pickup", SUMIFS(NewEmisData!K:K, NewEmisData!$A:$A, "Pickup", NewEmisData!$B:$B, $A12, NewEmisData!$C:$C, $H12, NewEmisData!$D:$D, CI$2), SUMIFS(NewEmisData!K:K, NewEmisData!$A:$A, "LDV", NewEmisData!$B:$B, $A12, NewEmisData!$C:$C, $H12, NewEmisData!$D:$D, CI$2))</f>
        <v>2.5978185303944301E-2</v>
      </c>
      <c r="CJ12" s="324">
        <f>$I12*IF($G12="Pickup", SUMIFS(NewEmisData!L:L, NewEmisData!$A:$A, "Pickup", NewEmisData!$B:$B, $A12, NewEmisData!$C:$C, $H12, NewEmisData!$D:$D, CJ$2), SUMIFS(NewEmisData!L:L, NewEmisData!$A:$A, "LDV", NewEmisData!$B:$B, $A12, NewEmisData!$C:$C, $H12, NewEmisData!$D:$D, CJ$2))</f>
        <v>2.5977588735828699E-2</v>
      </c>
      <c r="CK12" s="324">
        <f>$I12*IF($G12="Pickup", SUMIFS(NewEmisData!M:M, NewEmisData!$A:$A, "Pickup", NewEmisData!$B:$B, $A12, NewEmisData!$C:$C, $H12, NewEmisData!$D:$D, CK$2), SUMIFS(NewEmisData!M:M, NewEmisData!$A:$A, "LDV", NewEmisData!$B:$B, $A12, NewEmisData!$C:$C, $H12, NewEmisData!$D:$D, CK$2))</f>
        <v>2.5976994364069798E-2</v>
      </c>
      <c r="CL12" s="324">
        <f t="shared" si="12"/>
        <v>2.5976994364069798E-2</v>
      </c>
      <c r="CM12" s="324">
        <f>$I12*IF($G12="Pickup", SUMIFS(NewEmisData!E:E, NewEmisData!$A:$A, "Pickup", NewEmisData!$B:$B, $A12, NewEmisData!$C:$C, $H12, NewEmisData!$D:$D, CM$2), SUMIFS(NewEmisData!E:E, NewEmisData!$A:$A, "LDV", NewEmisData!$B:$B, $A12, NewEmisData!$C:$C, $H12, NewEmisData!$D:$D, CM$2))</f>
        <v>2.2752592498671498E-2</v>
      </c>
      <c r="CN12" s="324">
        <f>$I12*IF($G12="Pickup", SUMIFS(NewEmisData!F:F, NewEmisData!$A:$A, "Pickup", NewEmisData!$B:$B, $A12, NewEmisData!$C:$C, $H12, NewEmisData!$D:$D, CN$2), SUMIFS(NewEmisData!F:F, NewEmisData!$A:$A, "LDV", NewEmisData!$B:$B, $A12, NewEmisData!$C:$C, $H12, NewEmisData!$D:$D, CN$2))</f>
        <v>1.4156662086893E-2</v>
      </c>
      <c r="CO12" s="324">
        <f>$I12*IF($G12="Pickup", SUMIFS(NewEmisData!G:G, NewEmisData!$A:$A, "Pickup", NewEmisData!$B:$B, $A12, NewEmisData!$C:$C, $H12, NewEmisData!$D:$D, CO$2), SUMIFS(NewEmisData!G:G, NewEmisData!$A:$A, "LDV", NewEmisData!$B:$B, $A12, NewEmisData!$C:$C, $H12, NewEmisData!$D:$D, CO$2))</f>
        <v>9.29628541682684E-3</v>
      </c>
      <c r="CP12" s="324">
        <f>$I12*IF($G12="Pickup", SUMIFS(NewEmisData!H:H, NewEmisData!$A:$A, "Pickup", NewEmisData!$B:$B, $A12, NewEmisData!$C:$C, $H12, NewEmisData!$D:$D, CP$2), SUMIFS(NewEmisData!H:H, NewEmisData!$A:$A, "LDV", NewEmisData!$B:$B, $A12, NewEmisData!$C:$C, $H12, NewEmisData!$D:$D, CP$2))</f>
        <v>7.6962231490179996E-3</v>
      </c>
      <c r="CQ12" s="324">
        <f>$I12*IF($G12="Pickup", SUMIFS(NewEmisData!I:I, NewEmisData!$A:$A, "Pickup", NewEmisData!$B:$B, $A12, NewEmisData!$C:$C, $H12, NewEmisData!$D:$D, CQ$2), SUMIFS(NewEmisData!I:I, NewEmisData!$A:$A, "LDV", NewEmisData!$B:$B, $A12, NewEmisData!$C:$C, $H12, NewEmisData!$D:$D, CQ$2))</f>
        <v>6.9434858281499498E-3</v>
      </c>
      <c r="CR12" s="324">
        <f>$I12*IF($G12="Pickup", SUMIFS(NewEmisData!J:J, NewEmisData!$A:$A, "Pickup", NewEmisData!$B:$B, $A12, NewEmisData!$C:$C, $H12, NewEmisData!$D:$D, CR$2), SUMIFS(NewEmisData!J:J, NewEmisData!$A:$A, "LDV", NewEmisData!$B:$B, $A12, NewEmisData!$C:$C, $H12, NewEmisData!$D:$D, CR$2))</f>
        <v>6.6235501686008101E-3</v>
      </c>
      <c r="CS12" s="324">
        <f>$I12*IF($G12="Pickup", SUMIFS(NewEmisData!K:K, NewEmisData!$A:$A, "Pickup", NewEmisData!$B:$B, $A12, NewEmisData!$C:$C, $H12, NewEmisData!$D:$D, CS$2), SUMIFS(NewEmisData!K:K, NewEmisData!$A:$A, "LDV", NewEmisData!$B:$B, $A12, NewEmisData!$C:$C, $H12, NewEmisData!$D:$D, CS$2))</f>
        <v>6.5909545130035602E-3</v>
      </c>
      <c r="CT12" s="324">
        <f>$I12*IF($G12="Pickup", SUMIFS(NewEmisData!L:L, NewEmisData!$A:$A, "Pickup", NewEmisData!$B:$B, $A12, NewEmisData!$C:$C, $H12, NewEmisData!$D:$D, CT$2), SUMIFS(NewEmisData!L:L, NewEmisData!$A:$A, "LDV", NewEmisData!$B:$B, $A12, NewEmisData!$C:$C, $H12, NewEmisData!$D:$D, CT$2))</f>
        <v>6.5377802107072303E-3</v>
      </c>
      <c r="CU12" s="324">
        <f>$I12*IF($G12="Pickup", SUMIFS(NewEmisData!M:M, NewEmisData!$A:$A, "Pickup", NewEmisData!$B:$B, $A12, NewEmisData!$C:$C, $H12, NewEmisData!$D:$D, CU$2), SUMIFS(NewEmisData!M:M, NewEmisData!$A:$A, "LDV", NewEmisData!$B:$B, $A12, NewEmisData!$C:$C, $H12, NewEmisData!$D:$D, CU$2))</f>
        <v>6.5374275690386098E-3</v>
      </c>
      <c r="CV12" s="324">
        <f t="shared" si="13"/>
        <v>6.5374275690386098E-3</v>
      </c>
      <c r="CW12" s="324">
        <v>3.0448046675121709E-3</v>
      </c>
      <c r="CX12" s="324">
        <v>1.8865908720768221E-3</v>
      </c>
      <c r="CY12" s="324">
        <v>1.5570268485524494E-3</v>
      </c>
      <c r="CZ12" s="324">
        <v>1.2432183416122382E-3</v>
      </c>
      <c r="DA12" s="324">
        <v>9.252251866281976E-4</v>
      </c>
      <c r="DB12" s="324">
        <v>7.2309456596024934E-4</v>
      </c>
      <c r="DC12" s="324">
        <v>6.8940706870607876E-4</v>
      </c>
      <c r="DD12" s="324">
        <v>6.844148428615973E-4</v>
      </c>
      <c r="DE12" s="324">
        <v>6.8634617396886091E-4</v>
      </c>
      <c r="DF12" s="324">
        <v>6.8634617396886091E-4</v>
      </c>
      <c r="DG12" s="324">
        <f>$I12*IF($G12="Pickup", SUMIFS(NewEmisData!E:E, NewEmisData!$A:$A, "Pickup", NewEmisData!$B:$B, $A12, NewEmisData!$C:$C, $H12, NewEmisData!$D:$D, DG$2), SUMIFS(NewEmisData!E:E, NewEmisData!$A:$A, "LDV", NewEmisData!$B:$B, $A12, NewEmisData!$C:$C, $H12, NewEmisData!$D:$D, DG$2))</f>
        <v>0</v>
      </c>
      <c r="DH12" s="324">
        <f>$I12*IF($G12="Pickup", SUMIFS(NewEmisData!F:F, NewEmisData!$A:$A, "Pickup", NewEmisData!$B:$B, $A12, NewEmisData!$C:$C, $H12, NewEmisData!$D:$D, DH$2), SUMIFS(NewEmisData!F:F, NewEmisData!$A:$A, "LDV", NewEmisData!$B:$B, $A12, NewEmisData!$C:$C, $H12, NewEmisData!$D:$D, DH$2))</f>
        <v>0</v>
      </c>
      <c r="DI12" s="324">
        <f>$I12*IF($G12="Pickup", SUMIFS(NewEmisData!G:G, NewEmisData!$A:$A, "Pickup", NewEmisData!$B:$B, $A12, NewEmisData!$C:$C, $H12, NewEmisData!$D:$D, DI$2), SUMIFS(NewEmisData!G:G, NewEmisData!$A:$A, "LDV", NewEmisData!$B:$B, $A12, NewEmisData!$C:$C, $H12, NewEmisData!$D:$D, DI$2))</f>
        <v>0</v>
      </c>
      <c r="DJ12" s="324">
        <f>$I12*IF($G12="Pickup", SUMIFS(NewEmisData!H:H, NewEmisData!$A:$A, "Pickup", NewEmisData!$B:$B, $A12, NewEmisData!$C:$C, $H12, NewEmisData!$D:$D, DJ$2), SUMIFS(NewEmisData!H:H, NewEmisData!$A:$A, "LDV", NewEmisData!$B:$B, $A12, NewEmisData!$C:$C, $H12, NewEmisData!$D:$D, DJ$2))</f>
        <v>0</v>
      </c>
      <c r="DK12" s="324">
        <f>$I12*IF($G12="Pickup", SUMIFS(NewEmisData!I:I, NewEmisData!$A:$A, "Pickup", NewEmisData!$B:$B, $A12, NewEmisData!$C:$C, $H12, NewEmisData!$D:$D, DK$2), SUMIFS(NewEmisData!I:I, NewEmisData!$A:$A, "LDV", NewEmisData!$B:$B, $A12, NewEmisData!$C:$C, $H12, NewEmisData!$D:$D, DK$2))</f>
        <v>0</v>
      </c>
      <c r="DL12" s="324">
        <f>$I12*IF($G12="Pickup", SUMIFS(NewEmisData!J:J, NewEmisData!$A:$A, "Pickup", NewEmisData!$B:$B, $A12, NewEmisData!$C:$C, $H12, NewEmisData!$D:$D, DL$2), SUMIFS(NewEmisData!J:J, NewEmisData!$A:$A, "LDV", NewEmisData!$B:$B, $A12, NewEmisData!$C:$C, $H12, NewEmisData!$D:$D, DL$2))</f>
        <v>0</v>
      </c>
      <c r="DM12" s="324">
        <f>$I12*IF($G12="Pickup", SUMIFS(NewEmisData!K:K, NewEmisData!$A:$A, "Pickup", NewEmisData!$B:$B, $A12, NewEmisData!$C:$C, $H12, NewEmisData!$D:$D, DM$2), SUMIFS(NewEmisData!K:K, NewEmisData!$A:$A, "LDV", NewEmisData!$B:$B, $A12, NewEmisData!$C:$C, $H12, NewEmisData!$D:$D, DM$2))</f>
        <v>0</v>
      </c>
      <c r="DN12" s="324">
        <f>$I12*IF($G12="Pickup", SUMIFS(NewEmisData!L:L, NewEmisData!$A:$A, "Pickup", NewEmisData!$B:$B, $A12, NewEmisData!$C:$C, $H12, NewEmisData!$D:$D, DN$2), SUMIFS(NewEmisData!L:L, NewEmisData!$A:$A, "LDV", NewEmisData!$B:$B, $A12, NewEmisData!$C:$C, $H12, NewEmisData!$D:$D, DN$2))</f>
        <v>0</v>
      </c>
      <c r="DO12" s="324">
        <f>$I12*IF($G12="Pickup", SUMIFS(NewEmisData!M:M, NewEmisData!$A:$A, "Pickup", NewEmisData!$B:$B, $A12, NewEmisData!$C:$C, $H12, NewEmisData!$D:$D, DO$2), SUMIFS(NewEmisData!M:M, NewEmisData!$A:$A, "LDV", NewEmisData!$B:$B, $A12, NewEmisData!$C:$C, $H12, NewEmisData!$D:$D, DO$2))</f>
        <v>0</v>
      </c>
      <c r="DP12" s="324">
        <f t="shared" si="14"/>
        <v>0</v>
      </c>
      <c r="DQ12" s="324">
        <f>$I12*IF($G12="Pickup", SUMIFS(NewEmisData!E:E, NewEmisData!$A:$A, "Pickup", NewEmisData!$B:$B, $A12, NewEmisData!$C:$C, $H12, NewEmisData!$D:$D, DQ$2), SUMIFS(NewEmisData!E:E, NewEmisData!$A:$A, "LDV", NewEmisData!$B:$B, $A12, NewEmisData!$C:$C, $H12, NewEmisData!$D:$D, DQ$2))</f>
        <v>1.7231430999334701E-2</v>
      </c>
      <c r="DR12" s="324">
        <f>$I12*IF($G12="Pickup", SUMIFS(NewEmisData!F:F, NewEmisData!$A:$A, "Pickup", NewEmisData!$B:$B, $A12, NewEmisData!$C:$C, $H12, NewEmisData!$D:$D, DR$2), SUMIFS(NewEmisData!F:F, NewEmisData!$A:$A, "LDV", NewEmisData!$B:$B, $A12, NewEmisData!$C:$C, $H12, NewEmisData!$D:$D, DR$2))</f>
        <v>8.9963646277585099E-3</v>
      </c>
      <c r="DS12" s="324">
        <f>$I12*IF($G12="Pickup", SUMIFS(NewEmisData!G:G, NewEmisData!$A:$A, "Pickup", NewEmisData!$B:$B, $A12, NewEmisData!$C:$C, $H12, NewEmisData!$D:$D, DS$2), SUMIFS(NewEmisData!G:G, NewEmisData!$A:$A, "LDV", NewEmisData!$B:$B, $A12, NewEmisData!$C:$C, $H12, NewEmisData!$D:$D, DS$2))</f>
        <v>5.6961522615022698E-3</v>
      </c>
      <c r="DT12" s="324">
        <f>$I12*IF($G12="Pickup", SUMIFS(NewEmisData!H:H, NewEmisData!$A:$A, "Pickup", NewEmisData!$B:$B, $A12, NewEmisData!$C:$C, $H12, NewEmisData!$D:$D, DT$2), SUMIFS(NewEmisData!H:H, NewEmisData!$A:$A, "LDV", NewEmisData!$B:$B, $A12, NewEmisData!$C:$C, $H12, NewEmisData!$D:$D, DT$2))</f>
        <v>4.3151143502781096E-3</v>
      </c>
      <c r="DU12" s="324">
        <f>$I12*IF($G12="Pickup", SUMIFS(NewEmisData!I:I, NewEmisData!$A:$A, "Pickup", NewEmisData!$B:$B, $A12, NewEmisData!$C:$C, $H12, NewEmisData!$D:$D, DU$2), SUMIFS(NewEmisData!I:I, NewEmisData!$A:$A, "LDV", NewEmisData!$B:$B, $A12, NewEmisData!$C:$C, $H12, NewEmisData!$D:$D, DU$2))</f>
        <v>3.35028978849721E-3</v>
      </c>
      <c r="DV12" s="324">
        <f>$I12*IF($G12="Pickup", SUMIFS(NewEmisData!J:J, NewEmisData!$A:$A, "Pickup", NewEmisData!$B:$B, $A12, NewEmisData!$C:$C, $H12, NewEmisData!$D:$D, DV$2), SUMIFS(NewEmisData!J:J, NewEmisData!$A:$A, "LDV", NewEmisData!$B:$B, $A12, NewEmisData!$C:$C, $H12, NewEmisData!$D:$D, DV$2))</f>
        <v>2.9288858721300301E-3</v>
      </c>
      <c r="DW12" s="324">
        <f>$I12*IF($G12="Pickup", SUMIFS(NewEmisData!K:K, NewEmisData!$A:$A, "Pickup", NewEmisData!$B:$B, $A12, NewEmisData!$C:$C, $H12, NewEmisData!$D:$D, DW$2), SUMIFS(NewEmisData!K:K, NewEmisData!$A:$A, "LDV", NewEmisData!$B:$B, $A12, NewEmisData!$C:$C, $H12, NewEmisData!$D:$D, DW$2))</f>
        <v>2.6889748661232601E-3</v>
      </c>
      <c r="DX12" s="324">
        <f>$I12*IF($G12="Pickup", SUMIFS(NewEmisData!L:L, NewEmisData!$A:$A, "Pickup", NewEmisData!$B:$B, $A12, NewEmisData!$C:$C, $H12, NewEmisData!$D:$D, DX$2), SUMIFS(NewEmisData!L:L, NewEmisData!$A:$A, "LDV", NewEmisData!$B:$B, $A12, NewEmisData!$C:$C, $H12, NewEmisData!$D:$D, DX$2))</f>
        <v>2.6131014849391301E-3</v>
      </c>
      <c r="DY12" s="324">
        <f>$I12*IF($G12="Pickup", SUMIFS(NewEmisData!M:M, NewEmisData!$A:$A, "Pickup", NewEmisData!$B:$B, $A12, NewEmisData!$C:$C, $H12, NewEmisData!$D:$D, DY$2), SUMIFS(NewEmisData!M:M, NewEmisData!$A:$A, "LDV", NewEmisData!$B:$B, $A12, NewEmisData!$C:$C, $H12, NewEmisData!$D:$D, DY$2))</f>
        <v>2.5757099053792102E-3</v>
      </c>
      <c r="DZ12" s="324">
        <f t="shared" si="15"/>
        <v>2.5757099053792102E-3</v>
      </c>
      <c r="EA12" s="324">
        <f t="shared" si="16"/>
        <v>605.35194063093002</v>
      </c>
      <c r="EB12" s="324">
        <f t="shared" si="17"/>
        <v>575.43677827742204</v>
      </c>
      <c r="EC12" s="324">
        <f t="shared" si="18"/>
        <v>447.50306541281799</v>
      </c>
      <c r="ED12" s="324">
        <f t="shared" si="19"/>
        <v>380.32748601406797</v>
      </c>
      <c r="EE12" s="324">
        <f t="shared" si="20"/>
        <v>328.8508655947</v>
      </c>
      <c r="EF12" s="324">
        <f t="shared" si="21"/>
        <v>299.87343037562698</v>
      </c>
      <c r="EG12" s="324">
        <f t="shared" si="22"/>
        <v>286.96645721008798</v>
      </c>
      <c r="EH12" s="324">
        <f t="shared" si="23"/>
        <v>282.38592098475101</v>
      </c>
      <c r="EI12" s="324">
        <f t="shared" si="24"/>
        <v>280.69816184937503</v>
      </c>
      <c r="EJ12" s="324">
        <f t="shared" si="25"/>
        <v>280.69816184937503</v>
      </c>
      <c r="EK12" s="324">
        <f t="shared" si="26"/>
        <v>0.73999493628111201</v>
      </c>
      <c r="EL12" s="324">
        <f t="shared" si="27"/>
        <v>0.35335240075773999</v>
      </c>
      <c r="EM12" s="324">
        <f t="shared" si="28"/>
        <v>0.18897755292818599</v>
      </c>
      <c r="EN12" s="324">
        <f t="shared" si="29"/>
        <v>0.12218817840455801</v>
      </c>
      <c r="EO12" s="324">
        <f t="shared" si="30"/>
        <v>7.3060825114572805E-2</v>
      </c>
      <c r="EP12" s="324">
        <f t="shared" si="31"/>
        <v>5.3764321341730301E-2</v>
      </c>
      <c r="EQ12" s="324">
        <f t="shared" si="32"/>
        <v>4.5765873698397498E-2</v>
      </c>
      <c r="ER12" s="324">
        <f t="shared" si="33"/>
        <v>4.3548109073897001E-2</v>
      </c>
      <c r="ES12" s="324">
        <f t="shared" si="34"/>
        <v>4.24609775043936E-2</v>
      </c>
      <c r="ET12" s="324">
        <f t="shared" si="35"/>
        <v>4.24609775043936E-2</v>
      </c>
      <c r="EU12" s="324">
        <f t="shared" si="36"/>
        <v>1.04747160569124E-2</v>
      </c>
      <c r="EV12" s="324">
        <f t="shared" si="37"/>
        <v>9.9570764799691708E-3</v>
      </c>
      <c r="EW12" s="324">
        <f t="shared" si="38"/>
        <v>6.4196648888919499E-3</v>
      </c>
      <c r="EX12" s="324">
        <f t="shared" si="39"/>
        <v>5.45599526494426E-3</v>
      </c>
      <c r="EY12" s="324">
        <f t="shared" si="40"/>
        <v>4.7175365225731996E-3</v>
      </c>
      <c r="EZ12" s="324">
        <f t="shared" si="41"/>
        <v>4.3018391726363297E-3</v>
      </c>
      <c r="FA12" s="324">
        <f t="shared" si="42"/>
        <v>4.1166816404986702E-3</v>
      </c>
      <c r="FB12" s="324">
        <f t="shared" si="43"/>
        <v>4.0509726462172697E-3</v>
      </c>
      <c r="FC12" s="324">
        <f t="shared" si="44"/>
        <v>4.0267596573162799E-3</v>
      </c>
      <c r="FD12" s="324">
        <f t="shared" si="45"/>
        <v>4.0267596573162799E-3</v>
      </c>
      <c r="FE12" s="324">
        <f t="shared" si="46"/>
        <v>0.112529836649977</v>
      </c>
      <c r="FF12" s="324">
        <f t="shared" si="47"/>
        <v>0.103764807432247</v>
      </c>
      <c r="FG12" s="324">
        <f t="shared" si="48"/>
        <v>8.1904009889209095E-2</v>
      </c>
      <c r="FH12" s="324">
        <f t="shared" si="49"/>
        <v>8.0372811122020202E-2</v>
      </c>
      <c r="FI12" s="324">
        <f t="shared" si="50"/>
        <v>7.8826850839141593E-2</v>
      </c>
      <c r="FJ12" s="324">
        <f t="shared" si="51"/>
        <v>7.7629471627150906E-2</v>
      </c>
      <c r="FK12" s="324">
        <f t="shared" si="52"/>
        <v>7.6869255276324197E-2</v>
      </c>
      <c r="FL12" s="324">
        <f t="shared" si="53"/>
        <v>7.6489801218608905E-2</v>
      </c>
      <c r="FM12" s="324">
        <f t="shared" si="54"/>
        <v>7.6275890012832595E-2</v>
      </c>
      <c r="FN12" s="324">
        <f t="shared" si="55"/>
        <v>7.6275890012832595E-2</v>
      </c>
      <c r="FO12" s="324">
        <f t="shared" si="56"/>
        <v>2.93140110896879E-2</v>
      </c>
      <c r="FP12" s="324">
        <f t="shared" si="57"/>
        <v>2.15603319614842E-2</v>
      </c>
      <c r="FQ12" s="324">
        <f t="shared" si="58"/>
        <v>1.61359542510712E-2</v>
      </c>
      <c r="FR12" s="324">
        <f t="shared" si="59"/>
        <v>1.4781439172223E-2</v>
      </c>
      <c r="FS12" s="324">
        <f t="shared" si="60"/>
        <v>1.3413837806436801E-2</v>
      </c>
      <c r="FT12" s="324">
        <f t="shared" si="61"/>
        <v>1.2354573478352299E-2</v>
      </c>
      <c r="FU12" s="324">
        <f t="shared" si="62"/>
        <v>1.16820653404197E-2</v>
      </c>
      <c r="FV12" s="324">
        <f t="shared" si="63"/>
        <v>1.13463459698093E-2</v>
      </c>
      <c r="FW12" s="324">
        <f t="shared" si="64"/>
        <v>1.1157149268450401E-2</v>
      </c>
      <c r="FX12" s="324">
        <f t="shared" si="65"/>
        <v>1.1157149268450401E-2</v>
      </c>
    </row>
    <row r="13" spans="1:190" x14ac:dyDescent="0.2">
      <c r="A13" s="298" t="str">
        <f>_xlfn.CONCAT(IF(LEFT(TRIM(A12),1)="*", "*R", "R"), 1+RIGHT(TRIM(A12),1))</f>
        <v>R5</v>
      </c>
      <c r="B13" s="298" t="str">
        <f t="shared" si="66"/>
        <v>TLEMCGSL</v>
      </c>
      <c r="C13" s="298" t="str">
        <f t="shared" si="67"/>
        <v>TL.GSL.MC.Existing fleet</v>
      </c>
      <c r="D13" s="294" t="str">
        <f t="shared" si="68"/>
        <v>bn-vmt, bn-vmt/a</v>
      </c>
      <c r="E13" s="294" t="str">
        <f t="shared" si="69"/>
        <v>TLGSL</v>
      </c>
      <c r="F13" s="294" t="str">
        <f t="shared" si="70"/>
        <v>TL</v>
      </c>
      <c r="G13" s="294" t="s">
        <v>473</v>
      </c>
      <c r="H13" s="294" t="s">
        <v>474</v>
      </c>
      <c r="I13" s="294">
        <v>1</v>
      </c>
      <c r="J13" s="308" t="str">
        <f t="shared" si="2"/>
        <v>Mini car-GSL</v>
      </c>
      <c r="K13" s="324">
        <f>$I13*IF($G13="Pickup", SUMIFS(NewEmisData!E:E, NewEmisData!$A:$A, "Pickup", NewEmisData!$B:$B, $A13, NewEmisData!$C:$C, $H13, NewEmisData!$D:$D, K$2), SUMIFS(NewEmisData!E:E, NewEmisData!$A:$A, "LDV", NewEmisData!$B:$B, $A13, NewEmisData!$C:$C, $H13, NewEmisData!$D:$D, K$2))</f>
        <v>474.817101058422</v>
      </c>
      <c r="L13" s="324">
        <f>$I13*IF($G13="Pickup", SUMIFS(NewEmisData!F:F, NewEmisData!$A:$A, "Pickup", NewEmisData!$B:$B, $A13, NewEmisData!$C:$C, $H13, NewEmisData!$D:$D, L$2), SUMIFS(NewEmisData!F:F, NewEmisData!$A:$A, "LDV", NewEmisData!$B:$B, $A13, NewEmisData!$C:$C, $H13, NewEmisData!$D:$D, L$2))</f>
        <v>451.24703471572099</v>
      </c>
      <c r="M13" s="324">
        <f>$I13*IF($G13="Pickup", SUMIFS(NewEmisData!G:G, NewEmisData!$A:$A, "Pickup", NewEmisData!$B:$B, $A13, NewEmisData!$C:$C, $H13, NewEmisData!$D:$D, M$2), SUMIFS(NewEmisData!G:G, NewEmisData!$A:$A, "LDV", NewEmisData!$B:$B, $A13, NewEmisData!$C:$C, $H13, NewEmisData!$D:$D, M$2))</f>
        <v>359.55406391675598</v>
      </c>
      <c r="N13" s="324">
        <f>$I13*IF($G13="Pickup", SUMIFS(NewEmisData!H:H, NewEmisData!$A:$A, "Pickup", NewEmisData!$B:$B, $A13, NewEmisData!$C:$C, $H13, NewEmisData!$D:$D, N$2), SUMIFS(NewEmisData!H:H, NewEmisData!$A:$A, "LDV", NewEmisData!$B:$B, $A13, NewEmisData!$C:$C, $H13, NewEmisData!$D:$D, N$2))</f>
        <v>306.68867751853497</v>
      </c>
      <c r="O13" s="324">
        <f>$I13*IF($G13="Pickup", SUMIFS(NewEmisData!I:I, NewEmisData!$A:$A, "Pickup", NewEmisData!$B:$B, $A13, NewEmisData!$C:$C, $H13, NewEmisData!$D:$D, O$2), SUMIFS(NewEmisData!I:I, NewEmisData!$A:$A, "LDV", NewEmisData!$B:$B, $A13, NewEmisData!$C:$C, $H13, NewEmisData!$D:$D, O$2))</f>
        <v>266.05693149041099</v>
      </c>
      <c r="P13" s="324">
        <f>$I13*IF($G13="Pickup", SUMIFS(NewEmisData!J:J, NewEmisData!$A:$A, "Pickup", NewEmisData!$B:$B, $A13, NewEmisData!$C:$C, $H13, NewEmisData!$D:$D, P$2), SUMIFS(NewEmisData!J:J, NewEmisData!$A:$A, "LDV", NewEmisData!$B:$B, $A13, NewEmisData!$C:$C, $H13, NewEmisData!$D:$D, P$2))</f>
        <v>243.087176828883</v>
      </c>
      <c r="Q13" s="324">
        <f>$I13*IF($G13="Pickup", SUMIFS(NewEmisData!K:K, NewEmisData!$A:$A, "Pickup", NewEmisData!$B:$B, $A13, NewEmisData!$C:$C, $H13, NewEmisData!$D:$D, Q$2), SUMIFS(NewEmisData!K:K, NewEmisData!$A:$A, "LDV", NewEmisData!$B:$B, $A13, NewEmisData!$C:$C, $H13, NewEmisData!$D:$D, Q$2))</f>
        <v>232.82718030870799</v>
      </c>
      <c r="R13" s="324">
        <f>$I13*IF($G13="Pickup", SUMIFS(NewEmisData!L:L, NewEmisData!$A:$A, "Pickup", NewEmisData!$B:$B, $A13, NewEmisData!$C:$C, $H13, NewEmisData!$D:$D, R$2), SUMIFS(NewEmisData!L:L, NewEmisData!$A:$A, "LDV", NewEmisData!$B:$B, $A13, NewEmisData!$C:$C, $H13, NewEmisData!$D:$D, R$2))</f>
        <v>229.167353178653</v>
      </c>
      <c r="S13" s="324">
        <f>$I13*IF($G13="Pickup", SUMIFS(NewEmisData!M:M, NewEmisData!$A:$A, "Pickup", NewEmisData!$B:$B, $A13, NewEmisData!$C:$C, $H13, NewEmisData!$D:$D, S$2), SUMIFS(NewEmisData!M:M, NewEmisData!$A:$A, "LDV", NewEmisData!$B:$B, $A13, NewEmisData!$C:$C, $H13, NewEmisData!$D:$D, S$2))</f>
        <v>227.80956840287899</v>
      </c>
      <c r="T13" s="324">
        <f t="shared" si="5"/>
        <v>227.80956840287899</v>
      </c>
      <c r="U13" s="324">
        <f>$I13*IF($G13="Pickup", SUMIFS(NewEmisData!E:E, NewEmisData!$A:$A, "Pickup", NewEmisData!$B:$B, $A13, NewEmisData!$C:$C, $H13, NewEmisData!$D:$D, U$2), SUMIFS(NewEmisData!E:E, NewEmisData!$A:$A, "LDV", NewEmisData!$B:$B, $A13, NewEmisData!$C:$C, $H13, NewEmisData!$D:$D, U$2))</f>
        <v>0.70973077210402302</v>
      </c>
      <c r="V13" s="324">
        <f>$I13*IF($G13="Pickup", SUMIFS(NewEmisData!F:F, NewEmisData!$A:$A, "Pickup", NewEmisData!$B:$B, $A13, NewEmisData!$C:$C, $H13, NewEmisData!$D:$D, V$2), SUMIFS(NewEmisData!F:F, NewEmisData!$A:$A, "LDV", NewEmisData!$B:$B, $A13, NewEmisData!$C:$C, $H13, NewEmisData!$D:$D, V$2))</f>
        <v>0.32036907792622199</v>
      </c>
      <c r="W13" s="324">
        <f>$I13*IF($G13="Pickup", SUMIFS(NewEmisData!G:G, NewEmisData!$A:$A, "Pickup", NewEmisData!$B:$B, $A13, NewEmisData!$C:$C, $H13, NewEmisData!$D:$D, W$2), SUMIFS(NewEmisData!G:G, NewEmisData!$A:$A, "LDV", NewEmisData!$B:$B, $A13, NewEmisData!$C:$C, $H13, NewEmisData!$D:$D, W$2))</f>
        <v>0.23974719966536701</v>
      </c>
      <c r="X13" s="324">
        <f>$I13*IF($G13="Pickup", SUMIFS(NewEmisData!H:H, NewEmisData!$A:$A, "Pickup", NewEmisData!$B:$B, $A13, NewEmisData!$C:$C, $H13, NewEmisData!$D:$D, X$2), SUMIFS(NewEmisData!H:H, NewEmisData!$A:$A, "LDV", NewEmisData!$B:$B, $A13, NewEmisData!$C:$C, $H13, NewEmisData!$D:$D, X$2))</f>
        <v>0.160612501035788</v>
      </c>
      <c r="Y13" s="324">
        <f>$I13*IF($G13="Pickup", SUMIFS(NewEmisData!I:I, NewEmisData!$A:$A, "Pickup", NewEmisData!$B:$B, $A13, NewEmisData!$C:$C, $H13, NewEmisData!$D:$D, Y$2), SUMIFS(NewEmisData!I:I, NewEmisData!$A:$A, "LDV", NewEmisData!$B:$B, $A13, NewEmisData!$C:$C, $H13, NewEmisData!$D:$D, Y$2))</f>
        <v>0.10365613117262901</v>
      </c>
      <c r="Z13" s="324">
        <f>$I13*IF($G13="Pickup", SUMIFS(NewEmisData!J:J, NewEmisData!$A:$A, "Pickup", NewEmisData!$B:$B, $A13, NewEmisData!$C:$C, $H13, NewEmisData!$D:$D, Z$2), SUMIFS(NewEmisData!J:J, NewEmisData!$A:$A, "LDV", NewEmisData!$B:$B, $A13, NewEmisData!$C:$C, $H13, NewEmisData!$D:$D, Z$2))</f>
        <v>7.8799994555065797E-2</v>
      </c>
      <c r="AA13" s="324">
        <f>$I13*IF($G13="Pickup", SUMIFS(NewEmisData!K:K, NewEmisData!$A:$A, "Pickup", NewEmisData!$B:$B, $A13, NewEmisData!$C:$C, $H13, NewEmisData!$D:$D, AA$2), SUMIFS(NewEmisData!K:K, NewEmisData!$A:$A, "LDV", NewEmisData!$B:$B, $A13, NewEmisData!$C:$C, $H13, NewEmisData!$D:$D, AA$2))</f>
        <v>6.8646939612850705E-2</v>
      </c>
      <c r="AB13" s="324">
        <f>$I13*IF($G13="Pickup", SUMIFS(NewEmisData!L:L, NewEmisData!$A:$A, "Pickup", NewEmisData!$B:$B, $A13, NewEmisData!$C:$C, $H13, NewEmisData!$D:$D, AB$2), SUMIFS(NewEmisData!L:L, NewEmisData!$A:$A, "LDV", NewEmisData!$B:$B, $A13, NewEmisData!$C:$C, $H13, NewEmisData!$D:$D, AB$2))</f>
        <v>6.5824398729591893E-2</v>
      </c>
      <c r="AC13" s="324">
        <f>$I13*IF($G13="Pickup", SUMIFS(NewEmisData!M:M, NewEmisData!$A:$A, "Pickup", NewEmisData!$B:$B, $A13, NewEmisData!$C:$C, $H13, NewEmisData!$D:$D, AC$2), SUMIFS(NewEmisData!M:M, NewEmisData!$A:$A, "LDV", NewEmisData!$B:$B, $A13, NewEmisData!$C:$C, $H13, NewEmisData!$D:$D, AC$2))</f>
        <v>6.4340803704991095E-2</v>
      </c>
      <c r="AD13" s="324">
        <f t="shared" si="6"/>
        <v>6.4340803704991095E-2</v>
      </c>
      <c r="AE13" s="324">
        <f>$I13*IF($G13="Pickup", SUMIFS(NewEmisData!E:E, NewEmisData!$A:$A, "Pickup", NewEmisData!$B:$B, $A13, NewEmisData!$C:$C, $H13, NewEmisData!$D:$D, AE$2), SUMIFS(NewEmisData!E:E, NewEmisData!$A:$A, "LDV", NewEmisData!$B:$B, $A13, NewEmisData!$C:$C, $H13, NewEmisData!$D:$D, AE$2))</f>
        <v>8.2160020457903906E-3</v>
      </c>
      <c r="AF13" s="324">
        <f>$I13*IF($G13="Pickup", SUMIFS(NewEmisData!F:F, NewEmisData!$A:$A, "Pickup", NewEmisData!$B:$B, $A13, NewEmisData!$C:$C, $H13, NewEmisData!$D:$D, AF$2), SUMIFS(NewEmisData!F:F, NewEmisData!$A:$A, "LDV", NewEmisData!$B:$B, $A13, NewEmisData!$C:$C, $H13, NewEmisData!$D:$D, AF$2))</f>
        <v>7.80815598787189E-3</v>
      </c>
      <c r="AG13" s="324">
        <f>$I13*IF($G13="Pickup", SUMIFS(NewEmisData!G:G, NewEmisData!$A:$A, "Pickup", NewEmisData!$B:$B, $A13, NewEmisData!$C:$C, $H13, NewEmisData!$D:$D, AG$2), SUMIFS(NewEmisData!G:G, NewEmisData!$A:$A, "LDV", NewEmisData!$B:$B, $A13, NewEmisData!$C:$C, $H13, NewEmisData!$D:$D, AG$2))</f>
        <v>5.1579884513251097E-3</v>
      </c>
      <c r="AH13" s="324">
        <f>$I13*IF($G13="Pickup", SUMIFS(NewEmisData!H:H, NewEmisData!$A:$A, "Pickup", NewEmisData!$B:$B, $A13, NewEmisData!$C:$C, $H13, NewEmisData!$D:$D, AH$2), SUMIFS(NewEmisData!H:H, NewEmisData!$A:$A, "LDV", NewEmisData!$B:$B, $A13, NewEmisData!$C:$C, $H13, NewEmisData!$D:$D, AH$2))</f>
        <v>4.3996084263759998E-3</v>
      </c>
      <c r="AI13" s="324">
        <f>$I13*IF($G13="Pickup", SUMIFS(NewEmisData!I:I, NewEmisData!$A:$A, "Pickup", NewEmisData!$B:$B, $A13, NewEmisData!$C:$C, $H13, NewEmisData!$D:$D, AI$2), SUMIFS(NewEmisData!I:I, NewEmisData!$A:$A, "LDV", NewEmisData!$B:$B, $A13, NewEmisData!$C:$C, $H13, NewEmisData!$D:$D, AI$2))</f>
        <v>3.81672539575274E-3</v>
      </c>
      <c r="AJ13" s="324">
        <f>$I13*IF($G13="Pickup", SUMIFS(NewEmisData!J:J, NewEmisData!$A:$A, "Pickup", NewEmisData!$B:$B, $A13, NewEmisData!$C:$C, $H13, NewEmisData!$D:$D, AJ$2), SUMIFS(NewEmisData!J:J, NewEmisData!$A:$A, "LDV", NewEmisData!$B:$B, $A13, NewEmisData!$C:$C, $H13, NewEmisData!$D:$D, AJ$2))</f>
        <v>3.4872096414849999E-3</v>
      </c>
      <c r="AK13" s="324">
        <f>$I13*IF($G13="Pickup", SUMIFS(NewEmisData!K:K, NewEmisData!$A:$A, "Pickup", NewEmisData!$B:$B, $A13, NewEmisData!$C:$C, $H13, NewEmisData!$D:$D, AK$2), SUMIFS(NewEmisData!K:K, NewEmisData!$A:$A, "LDV", NewEmisData!$B:$B, $A13, NewEmisData!$C:$C, $H13, NewEmisData!$D:$D, AK$2))</f>
        <v>3.3400286224750798E-3</v>
      </c>
      <c r="AL13" s="324">
        <f>$I13*IF($G13="Pickup", SUMIFS(NewEmisData!L:L, NewEmisData!$A:$A, "Pickup", NewEmisData!$B:$B, $A13, NewEmisData!$C:$C, $H13, NewEmisData!$D:$D, AL$2), SUMIFS(NewEmisData!L:L, NewEmisData!$A:$A, "LDV", NewEmisData!$B:$B, $A13, NewEmisData!$C:$C, $H13, NewEmisData!$D:$D, AL$2))</f>
        <v>3.2875233288682799E-3</v>
      </c>
      <c r="AM13" s="324">
        <f>$I13*IF($G13="Pickup", SUMIFS(NewEmisData!M:M, NewEmisData!$A:$A, "Pickup", NewEmisData!$B:$B, $A13, NewEmisData!$C:$C, $H13, NewEmisData!$D:$D, AM$2), SUMIFS(NewEmisData!M:M, NewEmisData!$A:$A, "LDV", NewEmisData!$B:$B, $A13, NewEmisData!$C:$C, $H13, NewEmisData!$D:$D, AM$2))</f>
        <v>3.2680461258744399E-3</v>
      </c>
      <c r="AN13" s="324">
        <f t="shared" si="7"/>
        <v>3.2680461258744399E-3</v>
      </c>
      <c r="AO13" s="324">
        <f>$I13*IF($G13="Pickup", SUMIFS(NewEmisData!E:E, NewEmisData!$A:$A, "Pickup", NewEmisData!$B:$B, $A13, NewEmisData!$C:$C, $H13, NewEmisData!$D:$D, AO$2), SUMIFS(NewEmisData!E:E, NewEmisData!$A:$A, "LDV", NewEmisData!$B:$B, $A13, NewEmisData!$C:$C, $H13, NewEmisData!$D:$D, AO$2))</f>
        <v>7.6637268565666605E-2</v>
      </c>
      <c r="AP13" s="324">
        <f>$I13*IF($G13="Pickup", SUMIFS(NewEmisData!F:F, NewEmisData!$A:$A, "Pickup", NewEmisData!$B:$B, $A13, NewEmisData!$C:$C, $H13, NewEmisData!$D:$D, AP$2), SUMIFS(NewEmisData!F:F, NewEmisData!$A:$A, "LDV", NewEmisData!$B:$B, $A13, NewEmisData!$C:$C, $H13, NewEmisData!$D:$D, AP$2))</f>
        <v>7.17220347655846E-2</v>
      </c>
      <c r="AQ13" s="324">
        <f>$I13*IF($G13="Pickup", SUMIFS(NewEmisData!G:G, NewEmisData!$A:$A, "Pickup", NewEmisData!$B:$B, $A13, NewEmisData!$C:$C, $H13, NewEmisData!$D:$D, AQ$2), SUMIFS(NewEmisData!G:G, NewEmisData!$A:$A, "LDV", NewEmisData!$B:$B, $A13, NewEmisData!$C:$C, $H13, NewEmisData!$D:$D, AQ$2))</f>
        <v>5.3063354209187903E-2</v>
      </c>
      <c r="AR13" s="324">
        <f>$I13*IF($G13="Pickup", SUMIFS(NewEmisData!H:H, NewEmisData!$A:$A, "Pickup", NewEmisData!$B:$B, $A13, NewEmisData!$C:$C, $H13, NewEmisData!$D:$D, AR$2), SUMIFS(NewEmisData!H:H, NewEmisData!$A:$A, "LDV", NewEmisData!$B:$B, $A13, NewEmisData!$C:$C, $H13, NewEmisData!$D:$D, AR$2))</f>
        <v>5.1413159178765599E-2</v>
      </c>
      <c r="AS13" s="324">
        <f>$I13*IF($G13="Pickup", SUMIFS(NewEmisData!I:I, NewEmisData!$A:$A, "Pickup", NewEmisData!$B:$B, $A13, NewEmisData!$C:$C, $H13, NewEmisData!$D:$D, AS$2), SUMIFS(NewEmisData!I:I, NewEmisData!$A:$A, "LDV", NewEmisData!$B:$B, $A13, NewEmisData!$C:$C, $H13, NewEmisData!$D:$D, AS$2))</f>
        <v>4.9937748877796798E-2</v>
      </c>
      <c r="AT13" s="324">
        <f>$I13*IF($G13="Pickup", SUMIFS(NewEmisData!J:J, NewEmisData!$A:$A, "Pickup", NewEmisData!$B:$B, $A13, NewEmisData!$C:$C, $H13, NewEmisData!$D:$D, AT$2), SUMIFS(NewEmisData!J:J, NewEmisData!$A:$A, "LDV", NewEmisData!$B:$B, $A13, NewEmisData!$C:$C, $H13, NewEmisData!$D:$D, AT$2))</f>
        <v>4.8737436898882699E-2</v>
      </c>
      <c r="AU13" s="324">
        <f>$I13*IF($G13="Pickup", SUMIFS(NewEmisData!K:K, NewEmisData!$A:$A, "Pickup", NewEmisData!$B:$B, $A13, NewEmisData!$C:$C, $H13, NewEmisData!$D:$D, AU$2), SUMIFS(NewEmisData!K:K, NewEmisData!$A:$A, "LDV", NewEmisData!$B:$B, $A13, NewEmisData!$C:$C, $H13, NewEmisData!$D:$D, AU$2))</f>
        <v>4.7984590527250397E-2</v>
      </c>
      <c r="AV13" s="324">
        <f>$I13*IF($G13="Pickup", SUMIFS(NewEmisData!L:L, NewEmisData!$A:$A, "Pickup", NewEmisData!$B:$B, $A13, NewEmisData!$C:$C, $H13, NewEmisData!$D:$D, AV$2), SUMIFS(NewEmisData!L:L, NewEmisData!$A:$A, "LDV", NewEmisData!$B:$B, $A13, NewEmisData!$C:$C, $H13, NewEmisData!$D:$D, AV$2))</f>
        <v>4.76005320802948E-2</v>
      </c>
      <c r="AW13" s="324">
        <f>$I13*IF($G13="Pickup", SUMIFS(NewEmisData!M:M, NewEmisData!$A:$A, "Pickup", NewEmisData!$B:$B, $A13, NewEmisData!$C:$C, $H13, NewEmisData!$D:$D, AW$2), SUMIFS(NewEmisData!M:M, NewEmisData!$A:$A, "LDV", NewEmisData!$B:$B, $A13, NewEmisData!$C:$C, $H13, NewEmisData!$D:$D, AW$2))</f>
        <v>4.7377866603412998E-2</v>
      </c>
      <c r="AX13" s="324">
        <f t="shared" si="8"/>
        <v>4.7377866603412998E-2</v>
      </c>
      <c r="AY13" s="324">
        <f>$I13*IF($G13="Pickup", SUMIFS(NewEmisData!E:E, NewEmisData!$A:$A, "Pickup", NewEmisData!$B:$B, $A13, NewEmisData!$C:$C, $H13, NewEmisData!$D:$D, AY$2), SUMIFS(NewEmisData!E:E, NewEmisData!$A:$A, "LDV", NewEmisData!$B:$B, $A13, NewEmisData!$C:$C, $H13, NewEmisData!$D:$D, AY$2))</f>
        <v>1.9839679684136899E-2</v>
      </c>
      <c r="AZ13" s="324">
        <f>$I13*IF($G13="Pickup", SUMIFS(NewEmisData!F:F, NewEmisData!$A:$A, "Pickup", NewEmisData!$B:$B, $A13, NewEmisData!$C:$C, $H13, NewEmisData!$D:$D, AZ$2), SUMIFS(NewEmisData!F:F, NewEmisData!$A:$A, "LDV", NewEmisData!$B:$B, $A13, NewEmisData!$C:$C, $H13, NewEmisData!$D:$D, AZ$2))</f>
        <v>1.54915322396613E-2</v>
      </c>
      <c r="BA13" s="324">
        <f>$I13*IF($G13="Pickup", SUMIFS(NewEmisData!G:G, NewEmisData!$A:$A, "Pickup", NewEmisData!$B:$B, $A13, NewEmisData!$C:$C, $H13, NewEmisData!$D:$D, BA$2), SUMIFS(NewEmisData!G:G, NewEmisData!$A:$A, "LDV", NewEmisData!$B:$B, $A13, NewEmisData!$C:$C, $H13, NewEmisData!$D:$D, BA$2))</f>
        <v>1.24856485125612E-2</v>
      </c>
      <c r="BB13" s="324">
        <f>$I13*IF($G13="Pickup", SUMIFS(NewEmisData!H:H, NewEmisData!$A:$A, "Pickup", NewEmisData!$B:$B, $A13, NewEmisData!$C:$C, $H13, NewEmisData!$D:$D, BB$2), SUMIFS(NewEmisData!H:H, NewEmisData!$A:$A, "LDV", NewEmisData!$B:$B, $A13, NewEmisData!$C:$C, $H13, NewEmisData!$D:$D, BB$2))</f>
        <v>1.10258430769824E-2</v>
      </c>
      <c r="BC13" s="324">
        <f>$I13*IF($G13="Pickup", SUMIFS(NewEmisData!I:I, NewEmisData!$A:$A, "Pickup", NewEmisData!$B:$B, $A13, NewEmisData!$C:$C, $H13, NewEmisData!$D:$D, BC$2), SUMIFS(NewEmisData!I:I, NewEmisData!$A:$A, "LDV", NewEmisData!$B:$B, $A13, NewEmisData!$C:$C, $H13, NewEmisData!$D:$D, BC$2))</f>
        <v>9.7206839249302599E-3</v>
      </c>
      <c r="BD13" s="324">
        <f>$I13*IF($G13="Pickup", SUMIFS(NewEmisData!J:J, NewEmisData!$A:$A, "Pickup", NewEmisData!$B:$B, $A13, NewEmisData!$C:$C, $H13, NewEmisData!$D:$D, BD$2), SUMIFS(NewEmisData!J:J, NewEmisData!$A:$A, "LDV", NewEmisData!$B:$B, $A13, NewEmisData!$C:$C, $H13, NewEmisData!$D:$D, BD$2))</f>
        <v>8.6588886279032502E-3</v>
      </c>
      <c r="BE13" s="324">
        <f>$I13*IF($G13="Pickup", SUMIFS(NewEmisData!K:K, NewEmisData!$A:$A, "Pickup", NewEmisData!$B:$B, $A13, NewEmisData!$C:$C, $H13, NewEmisData!$D:$D, BE$2), SUMIFS(NewEmisData!K:K, NewEmisData!$A:$A, "LDV", NewEmisData!$B:$B, $A13, NewEmisData!$C:$C, $H13, NewEmisData!$D:$D, BE$2))</f>
        <v>7.9928948991222996E-3</v>
      </c>
      <c r="BF13" s="324">
        <f>$I13*IF($G13="Pickup", SUMIFS(NewEmisData!L:L, NewEmisData!$A:$A, "Pickup", NewEmisData!$B:$B, $A13, NewEmisData!$C:$C, $H13, NewEmisData!$D:$D, BF$2), SUMIFS(NewEmisData!L:L, NewEmisData!$A:$A, "LDV", NewEmisData!$B:$B, $A13, NewEmisData!$C:$C, $H13, NewEmisData!$D:$D, BF$2))</f>
        <v>7.65317007618625E-3</v>
      </c>
      <c r="BG13" s="324">
        <f>$I13*IF($G13="Pickup", SUMIFS(NewEmisData!M:M, NewEmisData!$A:$A, "Pickup", NewEmisData!$B:$B, $A13, NewEmisData!$C:$C, $H13, NewEmisData!$D:$D, BG$2), SUMIFS(NewEmisData!M:M, NewEmisData!$A:$A, "LDV", NewEmisData!$B:$B, $A13, NewEmisData!$C:$C, $H13, NewEmisData!$D:$D, BG$2))</f>
        <v>7.4561632981935697E-3</v>
      </c>
      <c r="BH13" s="324">
        <f t="shared" si="9"/>
        <v>7.4561632981935697E-3</v>
      </c>
      <c r="BI13" s="324">
        <f>$I13*IF($G13="Pickup", SUMIFS(NewEmisData!E:E, NewEmisData!$A:$A, "Pickup", NewEmisData!$B:$B, $A13, NewEmisData!$C:$C, $H13, NewEmisData!$D:$D, BI$2), SUMIFS(NewEmisData!E:E, NewEmisData!$A:$A, "LDV", NewEmisData!$B:$B, $A13, NewEmisData!$C:$C, $H13, NewEmisData!$D:$D, BI$2))</f>
        <v>6.4220034872518204</v>
      </c>
      <c r="BJ13" s="324">
        <f>$I13*IF($G13="Pickup", SUMIFS(NewEmisData!F:F, NewEmisData!$A:$A, "Pickup", NewEmisData!$B:$B, $A13, NewEmisData!$C:$C, $H13, NewEmisData!$D:$D, BJ$2), SUMIFS(NewEmisData!F:F, NewEmisData!$A:$A, "LDV", NewEmisData!$B:$B, $A13, NewEmisData!$C:$C, $H13, NewEmisData!$D:$D, BJ$2))</f>
        <v>3.8479800836345999</v>
      </c>
      <c r="BK13" s="324">
        <f>$I13*IF($G13="Pickup", SUMIFS(NewEmisData!G:G, NewEmisData!$A:$A, "Pickup", NewEmisData!$B:$B, $A13, NewEmisData!$C:$C, $H13, NewEmisData!$D:$D, BK$2), SUMIFS(NewEmisData!G:G, NewEmisData!$A:$A, "LDV", NewEmisData!$B:$B, $A13, NewEmisData!$C:$C, $H13, NewEmisData!$D:$D, BK$2))</f>
        <v>2.9970734916117499</v>
      </c>
      <c r="BL13" s="324">
        <f>$I13*IF($G13="Pickup", SUMIFS(NewEmisData!H:H, NewEmisData!$A:$A, "Pickup", NewEmisData!$B:$B, $A13, NewEmisData!$C:$C, $H13, NewEmisData!$D:$D, BL$2), SUMIFS(NewEmisData!H:H, NewEmisData!$A:$A, "LDV", NewEmisData!$B:$B, $A13, NewEmisData!$C:$C, $H13, NewEmisData!$D:$D, BL$2))</f>
        <v>2.36472323758924</v>
      </c>
      <c r="BM13" s="324">
        <f>$I13*IF($G13="Pickup", SUMIFS(NewEmisData!I:I, NewEmisData!$A:$A, "Pickup", NewEmisData!$B:$B, $A13, NewEmisData!$C:$C, $H13, NewEmisData!$D:$D, BM$2), SUMIFS(NewEmisData!I:I, NewEmisData!$A:$A, "LDV", NewEmisData!$B:$B, $A13, NewEmisData!$C:$C, $H13, NewEmisData!$D:$D, BM$2))</f>
        <v>1.7421472431707099</v>
      </c>
      <c r="BN13" s="324">
        <f>$I13*IF($G13="Pickup", SUMIFS(NewEmisData!J:J, NewEmisData!$A:$A, "Pickup", NewEmisData!$B:$B, $A13, NewEmisData!$C:$C, $H13, NewEmisData!$D:$D, BN$2), SUMIFS(NewEmisData!J:J, NewEmisData!$A:$A, "LDV", NewEmisData!$B:$B, $A13, NewEmisData!$C:$C, $H13, NewEmisData!$D:$D, BN$2))</f>
        <v>1.3931539503279999</v>
      </c>
      <c r="BO13" s="324">
        <f>$I13*IF($G13="Pickup", SUMIFS(NewEmisData!K:K, NewEmisData!$A:$A, "Pickup", NewEmisData!$B:$B, $A13, NewEmisData!$C:$C, $H13, NewEmisData!$D:$D, BO$2), SUMIFS(NewEmisData!K:K, NewEmisData!$A:$A, "LDV", NewEmisData!$B:$B, $A13, NewEmisData!$C:$C, $H13, NewEmisData!$D:$D, BO$2))</f>
        <v>1.2342051269933401</v>
      </c>
      <c r="BP13" s="324">
        <f>$I13*IF($G13="Pickup", SUMIFS(NewEmisData!L:L, NewEmisData!$A:$A, "Pickup", NewEmisData!$B:$B, $A13, NewEmisData!$C:$C, $H13, NewEmisData!$D:$D, BP$2), SUMIFS(NewEmisData!L:L, NewEmisData!$A:$A, "LDV", NewEmisData!$B:$B, $A13, NewEmisData!$C:$C, $H13, NewEmisData!$D:$D, BP$2))</f>
        <v>1.18127069132138</v>
      </c>
      <c r="BQ13" s="324">
        <f>$I13*IF($G13="Pickup", SUMIFS(NewEmisData!M:M, NewEmisData!$A:$A, "Pickup", NewEmisData!$B:$B, $A13, NewEmisData!$C:$C, $H13, NewEmisData!$D:$D, BQ$2), SUMIFS(NewEmisData!M:M, NewEmisData!$A:$A, "LDV", NewEmisData!$B:$B, $A13, NewEmisData!$C:$C, $H13, NewEmisData!$D:$D, BQ$2))</f>
        <v>1.1484293714755001</v>
      </c>
      <c r="BR13" s="324">
        <f t="shared" si="10"/>
        <v>1.1484293714755001</v>
      </c>
      <c r="BS13" s="324">
        <f>$I13*IF($G13="Pickup", SUMIFS(NewEmisData!E:E, NewEmisData!$A:$A, "Pickup", NewEmisData!$B:$B, $A13, NewEmisData!$C:$C, $H13, NewEmisData!$D:$D, BS$2), SUMIFS(NewEmisData!E:E, NewEmisData!$A:$A, "LDV", NewEmisData!$B:$B, $A13, NewEmisData!$C:$C, $H13, NewEmisData!$D:$D, BS$2))</f>
        <v>0.76625314114096599</v>
      </c>
      <c r="BT13" s="324">
        <f>$I13*IF($G13="Pickup", SUMIFS(NewEmisData!F:F, NewEmisData!$A:$A, "Pickup", NewEmisData!$B:$B, $A13, NewEmisData!$C:$C, $H13, NewEmisData!$D:$D, BT$2), SUMIFS(NewEmisData!F:F, NewEmisData!$A:$A, "LDV", NewEmisData!$B:$B, $A13, NewEmisData!$C:$C, $H13, NewEmisData!$D:$D, BT$2))</f>
        <v>0.42849019580384201</v>
      </c>
      <c r="BU13" s="324">
        <f>$I13*IF($G13="Pickup", SUMIFS(NewEmisData!G:G, NewEmisData!$A:$A, "Pickup", NewEmisData!$B:$B, $A13, NewEmisData!$C:$C, $H13, NewEmisData!$D:$D, BU$2), SUMIFS(NewEmisData!G:G, NewEmisData!$A:$A, "LDV", NewEmisData!$B:$B, $A13, NewEmisData!$C:$C, $H13, NewEmisData!$D:$D, BU$2))</f>
        <v>0.33923869580754101</v>
      </c>
      <c r="BV13" s="324">
        <f>$I13*IF($G13="Pickup", SUMIFS(NewEmisData!H:H, NewEmisData!$A:$A, "Pickup", NewEmisData!$B:$B, $A13, NewEmisData!$C:$C, $H13, NewEmisData!$D:$D, BV$2), SUMIFS(NewEmisData!H:H, NewEmisData!$A:$A, "LDV", NewEmisData!$B:$B, $A13, NewEmisData!$C:$C, $H13, NewEmisData!$D:$D, BV$2))</f>
        <v>0.274572609184357</v>
      </c>
      <c r="BW13" s="324">
        <f>$I13*IF($G13="Pickup", SUMIFS(NewEmisData!I:I, NewEmisData!$A:$A, "Pickup", NewEmisData!$B:$B, $A13, NewEmisData!$C:$C, $H13, NewEmisData!$D:$D, BW$2), SUMIFS(NewEmisData!I:I, NewEmisData!$A:$A, "LDV", NewEmisData!$B:$B, $A13, NewEmisData!$C:$C, $H13, NewEmisData!$D:$D, BW$2))</f>
        <v>0.20444446873760599</v>
      </c>
      <c r="BX13" s="324">
        <f>$I13*IF($G13="Pickup", SUMIFS(NewEmisData!J:J, NewEmisData!$A:$A, "Pickup", NewEmisData!$B:$B, $A13, NewEmisData!$C:$C, $H13, NewEmisData!$D:$D, BX$2), SUMIFS(NewEmisData!J:J, NewEmisData!$A:$A, "LDV", NewEmisData!$B:$B, $A13, NewEmisData!$C:$C, $H13, NewEmisData!$D:$D, BX$2))</f>
        <v>0.170176908378738</v>
      </c>
      <c r="BY13" s="324">
        <f>$I13*IF($G13="Pickup", SUMIFS(NewEmisData!K:K, NewEmisData!$A:$A, "Pickup", NewEmisData!$B:$B, $A13, NewEmisData!$C:$C, $H13, NewEmisData!$D:$D, BY$2), SUMIFS(NewEmisData!K:K, NewEmisData!$A:$A, "LDV", NewEmisData!$B:$B, $A13, NewEmisData!$C:$C, $H13, NewEmisData!$D:$D, BY$2))</f>
        <v>0.152045525981331</v>
      </c>
      <c r="BZ13" s="324">
        <f>$I13*IF($G13="Pickup", SUMIFS(NewEmisData!L:L, NewEmisData!$A:$A, "Pickup", NewEmisData!$B:$B, $A13, NewEmisData!$C:$C, $H13, NewEmisData!$D:$D, BZ$2), SUMIFS(NewEmisData!L:L, NewEmisData!$A:$A, "LDV", NewEmisData!$B:$B, $A13, NewEmisData!$C:$C, $H13, NewEmisData!$D:$D, BZ$2))</f>
        <v>0.14503696159912</v>
      </c>
      <c r="CA13" s="324">
        <f>$I13*IF($G13="Pickup", SUMIFS(NewEmisData!M:M, NewEmisData!$A:$A, "Pickup", NewEmisData!$B:$B, $A13, NewEmisData!$C:$C, $H13, NewEmisData!$D:$D, CA$2), SUMIFS(NewEmisData!M:M, NewEmisData!$A:$A, "LDV", NewEmisData!$B:$B, $A13, NewEmisData!$C:$C, $H13, NewEmisData!$D:$D, CA$2))</f>
        <v>0.139402683427791</v>
      </c>
      <c r="CB13" s="324">
        <f t="shared" si="11"/>
        <v>0.139402683427791</v>
      </c>
      <c r="CC13" s="324">
        <f>$I13*IF($G13="Pickup", SUMIFS(NewEmisData!E:E, NewEmisData!$A:$A, "Pickup", NewEmisData!$B:$B, $A13, NewEmisData!$C:$C, $H13, NewEmisData!$D:$D, CC$2), SUMIFS(NewEmisData!E:E, NewEmisData!$A:$A, "LDV", NewEmisData!$B:$B, $A13, NewEmisData!$C:$C, $H13, NewEmisData!$D:$D, CC$2))</f>
        <v>3.9065075142891502E-2</v>
      </c>
      <c r="CD13" s="324">
        <f>$I13*IF($G13="Pickup", SUMIFS(NewEmisData!F:F, NewEmisData!$A:$A, "Pickup", NewEmisData!$B:$B, $A13, NewEmisData!$C:$C, $H13, NewEmisData!$D:$D, CD$2), SUMIFS(NewEmisData!F:F, NewEmisData!$A:$A, "LDV", NewEmisData!$B:$B, $A13, NewEmisData!$C:$C, $H13, NewEmisData!$D:$D, CD$2))</f>
        <v>2.71884075109541E-2</v>
      </c>
      <c r="CE13" s="324">
        <f>$I13*IF($G13="Pickup", SUMIFS(NewEmisData!G:G, NewEmisData!$A:$A, "Pickup", NewEmisData!$B:$B, $A13, NewEmisData!$C:$C, $H13, NewEmisData!$D:$D, CE$2), SUMIFS(NewEmisData!G:G, NewEmisData!$A:$A, "LDV", NewEmisData!$B:$B, $A13, NewEmisData!$C:$C, $H13, NewEmisData!$D:$D, CE$2))</f>
        <v>2.35915905182916E-2</v>
      </c>
      <c r="CF13" s="324">
        <f>$I13*IF($G13="Pickup", SUMIFS(NewEmisData!H:H, NewEmisData!$A:$A, "Pickup", NewEmisData!$B:$B, $A13, NewEmisData!$C:$C, $H13, NewEmisData!$D:$D, CF$2), SUMIFS(NewEmisData!H:H, NewEmisData!$A:$A, "LDV", NewEmisData!$B:$B, $A13, NewEmisData!$C:$C, $H13, NewEmisData!$D:$D, CF$2))</f>
        <v>2.2519914122574401E-2</v>
      </c>
      <c r="CG13" s="324">
        <f>$I13*IF($G13="Pickup", SUMIFS(NewEmisData!I:I, NewEmisData!$A:$A, "Pickup", NewEmisData!$B:$B, $A13, NewEmisData!$C:$C, $H13, NewEmisData!$D:$D, CG$2), SUMIFS(NewEmisData!I:I, NewEmisData!$A:$A, "LDV", NewEmisData!$B:$B, $A13, NewEmisData!$C:$C, $H13, NewEmisData!$D:$D, CG$2))</f>
        <v>2.1807779866682201E-2</v>
      </c>
      <c r="CH13" s="324">
        <f>$I13*IF($G13="Pickup", SUMIFS(NewEmisData!J:J, NewEmisData!$A:$A, "Pickup", NewEmisData!$B:$B, $A13, NewEmisData!$C:$C, $H13, NewEmisData!$D:$D, CH$2), SUMIFS(NewEmisData!J:J, NewEmisData!$A:$A, "LDV", NewEmisData!$B:$B, $A13, NewEmisData!$C:$C, $H13, NewEmisData!$D:$D, CH$2))</f>
        <v>2.1246517083751901E-2</v>
      </c>
      <c r="CI13" s="324">
        <f>$I13*IF($G13="Pickup", SUMIFS(NewEmisData!K:K, NewEmisData!$A:$A, "Pickup", NewEmisData!$B:$B, $A13, NewEmisData!$C:$C, $H13, NewEmisData!$D:$D, CI$2), SUMIFS(NewEmisData!K:K, NewEmisData!$A:$A, "LDV", NewEmisData!$B:$B, $A13, NewEmisData!$C:$C, $H13, NewEmisData!$D:$D, CI$2))</f>
        <v>2.1244746441372499E-2</v>
      </c>
      <c r="CJ13" s="324">
        <f>$I13*IF($G13="Pickup", SUMIFS(NewEmisData!L:L, NewEmisData!$A:$A, "Pickup", NewEmisData!$B:$B, $A13, NewEmisData!$C:$C, $H13, NewEmisData!$D:$D, CJ$2), SUMIFS(NewEmisData!L:L, NewEmisData!$A:$A, "LDV", NewEmisData!$B:$B, $A13, NewEmisData!$C:$C, $H13, NewEmisData!$D:$D, CJ$2))</f>
        <v>2.1244238664552498E-2</v>
      </c>
      <c r="CK13" s="324">
        <f>$I13*IF($G13="Pickup", SUMIFS(NewEmisData!M:M, NewEmisData!$A:$A, "Pickup", NewEmisData!$B:$B, $A13, NewEmisData!$C:$C, $H13, NewEmisData!$D:$D, CK$2), SUMIFS(NewEmisData!M:M, NewEmisData!$A:$A, "LDV", NewEmisData!$B:$B, $A13, NewEmisData!$C:$C, $H13, NewEmisData!$D:$D, CK$2))</f>
        <v>2.1243800212783201E-2</v>
      </c>
      <c r="CL13" s="324">
        <f t="shared" si="12"/>
        <v>2.1243800212783201E-2</v>
      </c>
      <c r="CM13" s="324">
        <f>$I13*IF($G13="Pickup", SUMIFS(NewEmisData!E:E, NewEmisData!$A:$A, "Pickup", NewEmisData!$B:$B, $A13, NewEmisData!$C:$C, $H13, NewEmisData!$D:$D, CM$2), SUMIFS(NewEmisData!E:E, NewEmisData!$A:$A, "LDV", NewEmisData!$B:$B, $A13, NewEmisData!$C:$C, $H13, NewEmisData!$D:$D, CM$2))</f>
        <v>2.3400482606005499E-2</v>
      </c>
      <c r="CN13" s="324">
        <f>$I13*IF($G13="Pickup", SUMIFS(NewEmisData!F:F, NewEmisData!$A:$A, "Pickup", NewEmisData!$B:$B, $A13, NewEmisData!$C:$C, $H13, NewEmisData!$D:$D, CN$2), SUMIFS(NewEmisData!F:F, NewEmisData!$A:$A, "LDV", NewEmisData!$B:$B, $A13, NewEmisData!$C:$C, $H13, NewEmisData!$D:$D, CN$2))</f>
        <v>1.46264020139097E-2</v>
      </c>
      <c r="CO13" s="324">
        <f>$I13*IF($G13="Pickup", SUMIFS(NewEmisData!G:G, NewEmisData!$A:$A, "Pickup", NewEmisData!$B:$B, $A13, NewEmisData!$C:$C, $H13, NewEmisData!$D:$D, CO$2), SUMIFS(NewEmisData!G:G, NewEmisData!$A:$A, "LDV", NewEmisData!$B:$B, $A13, NewEmisData!$C:$C, $H13, NewEmisData!$D:$D, CO$2))</f>
        <v>1.17594755724597E-2</v>
      </c>
      <c r="CP13" s="324">
        <f>$I13*IF($G13="Pickup", SUMIFS(NewEmisData!H:H, NewEmisData!$A:$A, "Pickup", NewEmisData!$B:$B, $A13, NewEmisData!$C:$C, $H13, NewEmisData!$D:$D, CP$2), SUMIFS(NewEmisData!H:H, NewEmisData!$A:$A, "LDV", NewEmisData!$B:$B, $A13, NewEmisData!$C:$C, $H13, NewEmisData!$D:$D, CP$2))</f>
        <v>9.5913131178771704E-3</v>
      </c>
      <c r="CQ13" s="324">
        <f>$I13*IF($G13="Pickup", SUMIFS(NewEmisData!I:I, NewEmisData!$A:$A, "Pickup", NewEmisData!$B:$B, $A13, NewEmisData!$C:$C, $H13, NewEmisData!$D:$D, CQ$2), SUMIFS(NewEmisData!I:I, NewEmisData!$A:$A, "LDV", NewEmisData!$B:$B, $A13, NewEmisData!$C:$C, $H13, NewEmisData!$D:$D, CQ$2))</f>
        <v>8.49787062067325E-3</v>
      </c>
      <c r="CR13" s="324">
        <f>$I13*IF($G13="Pickup", SUMIFS(NewEmisData!J:J, NewEmisData!$A:$A, "Pickup", NewEmisData!$B:$B, $A13, NewEmisData!$C:$C, $H13, NewEmisData!$D:$D, CR$2), SUMIFS(NewEmisData!J:J, NewEmisData!$A:$A, "LDV", NewEmisData!$B:$B, $A13, NewEmisData!$C:$C, $H13, NewEmisData!$D:$D, CR$2))</f>
        <v>8.0109865110152001E-3</v>
      </c>
      <c r="CS13" s="324">
        <f>$I13*IF($G13="Pickup", SUMIFS(NewEmisData!K:K, NewEmisData!$A:$A, "Pickup", NewEmisData!$B:$B, $A13, NewEmisData!$C:$C, $H13, NewEmisData!$D:$D, CS$2), SUMIFS(NewEmisData!K:K, NewEmisData!$A:$A, "LDV", NewEmisData!$B:$B, $A13, NewEmisData!$C:$C, $H13, NewEmisData!$D:$D, CS$2))</f>
        <v>7.9536784391849198E-3</v>
      </c>
      <c r="CT13" s="324">
        <f>$I13*IF($G13="Pickup", SUMIFS(NewEmisData!L:L, NewEmisData!$A:$A, "Pickup", NewEmisData!$B:$B, $A13, NewEmisData!$C:$C, $H13, NewEmisData!$D:$D, CT$2), SUMIFS(NewEmisData!L:L, NewEmisData!$A:$A, "LDV", NewEmisData!$B:$B, $A13, NewEmisData!$C:$C, $H13, NewEmisData!$D:$D, CT$2))</f>
        <v>7.8603296078806496E-3</v>
      </c>
      <c r="CU13" s="324">
        <f>$I13*IF($G13="Pickup", SUMIFS(NewEmisData!M:M, NewEmisData!$A:$A, "Pickup", NewEmisData!$B:$B, $A13, NewEmisData!$C:$C, $H13, NewEmisData!$D:$D, CU$2), SUMIFS(NewEmisData!M:M, NewEmisData!$A:$A, "LDV", NewEmisData!$B:$B, $A13, NewEmisData!$C:$C, $H13, NewEmisData!$D:$D, CU$2))</f>
        <v>7.8597717488691193E-3</v>
      </c>
      <c r="CV13" s="324">
        <f t="shared" si="13"/>
        <v>7.8597717488691193E-3</v>
      </c>
      <c r="CW13" s="324">
        <v>3.0448046675121709E-3</v>
      </c>
      <c r="CX13" s="324">
        <v>1.8865908720768221E-3</v>
      </c>
      <c r="CY13" s="324">
        <v>1.5570268485524494E-3</v>
      </c>
      <c r="CZ13" s="324">
        <v>1.2432183416122382E-3</v>
      </c>
      <c r="DA13" s="324">
        <v>9.252251866281976E-4</v>
      </c>
      <c r="DB13" s="324">
        <v>7.2309456596024934E-4</v>
      </c>
      <c r="DC13" s="324">
        <v>6.8940706870607876E-4</v>
      </c>
      <c r="DD13" s="324">
        <v>6.844148428615973E-4</v>
      </c>
      <c r="DE13" s="324">
        <v>6.8634617396886091E-4</v>
      </c>
      <c r="DF13" s="324">
        <v>6.8634617396886091E-4</v>
      </c>
      <c r="DG13" s="324">
        <f>$I13*IF($G13="Pickup", SUMIFS(NewEmisData!E:E, NewEmisData!$A:$A, "Pickup", NewEmisData!$B:$B, $A13, NewEmisData!$C:$C, $H13, NewEmisData!$D:$D, DG$2), SUMIFS(NewEmisData!E:E, NewEmisData!$A:$A, "LDV", NewEmisData!$B:$B, $A13, NewEmisData!$C:$C, $H13, NewEmisData!$D:$D, DG$2))</f>
        <v>0</v>
      </c>
      <c r="DH13" s="324">
        <f>$I13*IF($G13="Pickup", SUMIFS(NewEmisData!F:F, NewEmisData!$A:$A, "Pickup", NewEmisData!$B:$B, $A13, NewEmisData!$C:$C, $H13, NewEmisData!$D:$D, DH$2), SUMIFS(NewEmisData!F:F, NewEmisData!$A:$A, "LDV", NewEmisData!$B:$B, $A13, NewEmisData!$C:$C, $H13, NewEmisData!$D:$D, DH$2))</f>
        <v>0</v>
      </c>
      <c r="DI13" s="324">
        <f>$I13*IF($G13="Pickup", SUMIFS(NewEmisData!G:G, NewEmisData!$A:$A, "Pickup", NewEmisData!$B:$B, $A13, NewEmisData!$C:$C, $H13, NewEmisData!$D:$D, DI$2), SUMIFS(NewEmisData!G:G, NewEmisData!$A:$A, "LDV", NewEmisData!$B:$B, $A13, NewEmisData!$C:$C, $H13, NewEmisData!$D:$D, DI$2))</f>
        <v>0</v>
      </c>
      <c r="DJ13" s="324">
        <f>$I13*IF($G13="Pickup", SUMIFS(NewEmisData!H:H, NewEmisData!$A:$A, "Pickup", NewEmisData!$B:$B, $A13, NewEmisData!$C:$C, $H13, NewEmisData!$D:$D, DJ$2), SUMIFS(NewEmisData!H:H, NewEmisData!$A:$A, "LDV", NewEmisData!$B:$B, $A13, NewEmisData!$C:$C, $H13, NewEmisData!$D:$D, DJ$2))</f>
        <v>0</v>
      </c>
      <c r="DK13" s="324">
        <f>$I13*IF($G13="Pickup", SUMIFS(NewEmisData!I:I, NewEmisData!$A:$A, "Pickup", NewEmisData!$B:$B, $A13, NewEmisData!$C:$C, $H13, NewEmisData!$D:$D, DK$2), SUMIFS(NewEmisData!I:I, NewEmisData!$A:$A, "LDV", NewEmisData!$B:$B, $A13, NewEmisData!$C:$C, $H13, NewEmisData!$D:$D, DK$2))</f>
        <v>0</v>
      </c>
      <c r="DL13" s="324">
        <f>$I13*IF($G13="Pickup", SUMIFS(NewEmisData!J:J, NewEmisData!$A:$A, "Pickup", NewEmisData!$B:$B, $A13, NewEmisData!$C:$C, $H13, NewEmisData!$D:$D, DL$2), SUMIFS(NewEmisData!J:J, NewEmisData!$A:$A, "LDV", NewEmisData!$B:$B, $A13, NewEmisData!$C:$C, $H13, NewEmisData!$D:$D, DL$2))</f>
        <v>0</v>
      </c>
      <c r="DM13" s="324">
        <f>$I13*IF($G13="Pickup", SUMIFS(NewEmisData!K:K, NewEmisData!$A:$A, "Pickup", NewEmisData!$B:$B, $A13, NewEmisData!$C:$C, $H13, NewEmisData!$D:$D, DM$2), SUMIFS(NewEmisData!K:K, NewEmisData!$A:$A, "LDV", NewEmisData!$B:$B, $A13, NewEmisData!$C:$C, $H13, NewEmisData!$D:$D, DM$2))</f>
        <v>0</v>
      </c>
      <c r="DN13" s="324">
        <f>$I13*IF($G13="Pickup", SUMIFS(NewEmisData!L:L, NewEmisData!$A:$A, "Pickup", NewEmisData!$B:$B, $A13, NewEmisData!$C:$C, $H13, NewEmisData!$D:$D, DN$2), SUMIFS(NewEmisData!L:L, NewEmisData!$A:$A, "LDV", NewEmisData!$B:$B, $A13, NewEmisData!$C:$C, $H13, NewEmisData!$D:$D, DN$2))</f>
        <v>0</v>
      </c>
      <c r="DO13" s="324">
        <f>$I13*IF($G13="Pickup", SUMIFS(NewEmisData!M:M, NewEmisData!$A:$A, "Pickup", NewEmisData!$B:$B, $A13, NewEmisData!$C:$C, $H13, NewEmisData!$D:$D, DO$2), SUMIFS(NewEmisData!M:M, NewEmisData!$A:$A, "LDV", NewEmisData!$B:$B, $A13, NewEmisData!$C:$C, $H13, NewEmisData!$D:$D, DO$2))</f>
        <v>0</v>
      </c>
      <c r="DP13" s="324">
        <f t="shared" si="14"/>
        <v>0</v>
      </c>
      <c r="DQ13" s="324">
        <f>$I13*IF($G13="Pickup", SUMIFS(NewEmisData!E:E, NewEmisData!$A:$A, "Pickup", NewEmisData!$B:$B, $A13, NewEmisData!$C:$C, $H13, NewEmisData!$D:$D, DQ$2), SUMIFS(NewEmisData!E:E, NewEmisData!$A:$A, "LDV", NewEmisData!$B:$B, $A13, NewEmisData!$C:$C, $H13, NewEmisData!$D:$D, DQ$2))</f>
        <v>1.5358627671248499E-2</v>
      </c>
      <c r="DR13" s="324">
        <f>$I13*IF($G13="Pickup", SUMIFS(NewEmisData!F:F, NewEmisData!$A:$A, "Pickup", NewEmisData!$B:$B, $A13, NewEmisData!$C:$C, $H13, NewEmisData!$D:$D, DR$2), SUMIFS(NewEmisData!F:F, NewEmisData!$A:$A, "LDV", NewEmisData!$B:$B, $A13, NewEmisData!$C:$C, $H13, NewEmisData!$D:$D, DR$2))</f>
        <v>9.2701502330196205E-3</v>
      </c>
      <c r="DS13" s="324">
        <f>$I13*IF($G13="Pickup", SUMIFS(NewEmisData!G:G, NewEmisData!$A:$A, "Pickup", NewEmisData!$B:$B, $A13, NewEmisData!$C:$C, $H13, NewEmisData!$D:$D, DS$2), SUMIFS(NewEmisData!G:G, NewEmisData!$A:$A, "LDV", NewEmisData!$B:$B, $A13, NewEmisData!$C:$C, $H13, NewEmisData!$D:$D, DS$2))</f>
        <v>7.3800443468092902E-3</v>
      </c>
      <c r="DT13" s="324">
        <f>$I13*IF($G13="Pickup", SUMIFS(NewEmisData!H:H, NewEmisData!$A:$A, "Pickup", NewEmisData!$B:$B, $A13, NewEmisData!$C:$C, $H13, NewEmisData!$D:$D, DT$2), SUMIFS(NewEmisData!H:H, NewEmisData!$A:$A, "LDV", NewEmisData!$B:$B, $A13, NewEmisData!$C:$C, $H13, NewEmisData!$D:$D, DT$2))</f>
        <v>5.7500359883598503E-3</v>
      </c>
      <c r="DU13" s="324">
        <f>$I13*IF($G13="Pickup", SUMIFS(NewEmisData!I:I, NewEmisData!$A:$A, "Pickup", NewEmisData!$B:$B, $A13, NewEmisData!$C:$C, $H13, NewEmisData!$D:$D, DU$2), SUMIFS(NewEmisData!I:I, NewEmisData!$A:$A, "LDV", NewEmisData!$B:$B, $A13, NewEmisData!$C:$C, $H13, NewEmisData!$D:$D, DU$2))</f>
        <v>4.5486358185720301E-3</v>
      </c>
      <c r="DV13" s="324">
        <f>$I13*IF($G13="Pickup", SUMIFS(NewEmisData!J:J, NewEmisData!$A:$A, "Pickup", NewEmisData!$B:$B, $A13, NewEmisData!$C:$C, $H13, NewEmisData!$D:$D, DV$2), SUMIFS(NewEmisData!J:J, NewEmisData!$A:$A, "LDV", NewEmisData!$B:$B, $A13, NewEmisData!$C:$C, $H13, NewEmisData!$D:$D, DV$2))</f>
        <v>3.9745008012961004E-3</v>
      </c>
      <c r="DW13" s="324">
        <f>$I13*IF($G13="Pickup", SUMIFS(NewEmisData!K:K, NewEmisData!$A:$A, "Pickup", NewEmisData!$B:$B, $A13, NewEmisData!$C:$C, $H13, NewEmisData!$D:$D, DW$2), SUMIFS(NewEmisData!K:K, NewEmisData!$A:$A, "LDV", NewEmisData!$B:$B, $A13, NewEmisData!$C:$C, $H13, NewEmisData!$D:$D, DW$2))</f>
        <v>3.6505775807205302E-3</v>
      </c>
      <c r="DX13" s="324">
        <f>$I13*IF($G13="Pickup", SUMIFS(NewEmisData!L:L, NewEmisData!$A:$A, "Pickup", NewEmisData!$B:$B, $A13, NewEmisData!$C:$C, $H13, NewEmisData!$D:$D, DX$2), SUMIFS(NewEmisData!L:L, NewEmisData!$A:$A, "LDV", NewEmisData!$B:$B, $A13, NewEmisData!$C:$C, $H13, NewEmisData!$D:$D, DX$2))</f>
        <v>3.5463484367939599E-3</v>
      </c>
      <c r="DY13" s="324">
        <f>$I13*IF($G13="Pickup", SUMIFS(NewEmisData!M:M, NewEmisData!$A:$A, "Pickup", NewEmisData!$B:$B, $A13, NewEmisData!$C:$C, $H13, NewEmisData!$D:$D, DY$2), SUMIFS(NewEmisData!M:M, NewEmisData!$A:$A, "LDV", NewEmisData!$B:$B, $A13, NewEmisData!$C:$C, $H13, NewEmisData!$D:$D, DY$2))</f>
        <v>3.4918759359810199E-3</v>
      </c>
      <c r="DZ13" s="324">
        <f t="shared" si="15"/>
        <v>3.4918759359810199E-3</v>
      </c>
      <c r="EA13" s="324">
        <f t="shared" si="16"/>
        <v>474.817101058422</v>
      </c>
      <c r="EB13" s="324">
        <f t="shared" si="17"/>
        <v>451.24703471572099</v>
      </c>
      <c r="EC13" s="324">
        <f t="shared" si="18"/>
        <v>359.55406391675598</v>
      </c>
      <c r="ED13" s="324">
        <f t="shared" si="19"/>
        <v>306.68867751853497</v>
      </c>
      <c r="EE13" s="324">
        <f t="shared" si="20"/>
        <v>266.05693149041099</v>
      </c>
      <c r="EF13" s="324">
        <f t="shared" si="21"/>
        <v>243.087176828883</v>
      </c>
      <c r="EG13" s="324">
        <f t="shared" si="22"/>
        <v>232.82718030870799</v>
      </c>
      <c r="EH13" s="324">
        <f t="shared" si="23"/>
        <v>229.167353178653</v>
      </c>
      <c r="EI13" s="324">
        <f t="shared" si="24"/>
        <v>227.80956840287899</v>
      </c>
      <c r="EJ13" s="324">
        <f t="shared" si="25"/>
        <v>227.80956840287899</v>
      </c>
      <c r="EK13" s="324">
        <f t="shared" si="26"/>
        <v>0.70973077210402302</v>
      </c>
      <c r="EL13" s="324">
        <f t="shared" si="27"/>
        <v>0.32036907792622199</v>
      </c>
      <c r="EM13" s="324">
        <f t="shared" si="28"/>
        <v>0.23974719966536701</v>
      </c>
      <c r="EN13" s="324">
        <f t="shared" si="29"/>
        <v>0.160612501035788</v>
      </c>
      <c r="EO13" s="324">
        <f t="shared" si="30"/>
        <v>0.10365613117262901</v>
      </c>
      <c r="EP13" s="324">
        <f t="shared" si="31"/>
        <v>7.8799994555065797E-2</v>
      </c>
      <c r="EQ13" s="324">
        <f t="shared" si="32"/>
        <v>6.8646939612850705E-2</v>
      </c>
      <c r="ER13" s="324">
        <f t="shared" si="33"/>
        <v>6.5824398729591893E-2</v>
      </c>
      <c r="ES13" s="324">
        <f t="shared" si="34"/>
        <v>6.4340803704991095E-2</v>
      </c>
      <c r="ET13" s="324">
        <f t="shared" si="35"/>
        <v>6.4340803704991095E-2</v>
      </c>
      <c r="EU13" s="324">
        <f t="shared" si="36"/>
        <v>8.2160020457903906E-3</v>
      </c>
      <c r="EV13" s="324">
        <f t="shared" si="37"/>
        <v>7.80815598787189E-3</v>
      </c>
      <c r="EW13" s="324">
        <f t="shared" si="38"/>
        <v>5.1579884513251097E-3</v>
      </c>
      <c r="EX13" s="324">
        <f t="shared" si="39"/>
        <v>4.3996084263759998E-3</v>
      </c>
      <c r="EY13" s="324">
        <f t="shared" si="40"/>
        <v>3.81672539575274E-3</v>
      </c>
      <c r="EZ13" s="324">
        <f t="shared" si="41"/>
        <v>3.4872096414849999E-3</v>
      </c>
      <c r="FA13" s="324">
        <f t="shared" si="42"/>
        <v>3.3400286224750798E-3</v>
      </c>
      <c r="FB13" s="324">
        <f t="shared" si="43"/>
        <v>3.2875233288682799E-3</v>
      </c>
      <c r="FC13" s="324">
        <f t="shared" si="44"/>
        <v>3.2680461258744399E-3</v>
      </c>
      <c r="FD13" s="324">
        <f t="shared" si="45"/>
        <v>3.2680461258744399E-3</v>
      </c>
      <c r="FE13" s="324">
        <f t="shared" si="46"/>
        <v>7.6637268565666605E-2</v>
      </c>
      <c r="FF13" s="324">
        <f t="shared" si="47"/>
        <v>7.17220347655846E-2</v>
      </c>
      <c r="FG13" s="324">
        <f t="shared" si="48"/>
        <v>5.3063354209187903E-2</v>
      </c>
      <c r="FH13" s="324">
        <f t="shared" si="49"/>
        <v>5.1413159178765599E-2</v>
      </c>
      <c r="FI13" s="324">
        <f t="shared" si="50"/>
        <v>4.9937748877796798E-2</v>
      </c>
      <c r="FJ13" s="324">
        <f t="shared" si="51"/>
        <v>4.8737436898882699E-2</v>
      </c>
      <c r="FK13" s="324">
        <f t="shared" si="52"/>
        <v>4.7984590527250397E-2</v>
      </c>
      <c r="FL13" s="324">
        <f t="shared" si="53"/>
        <v>4.76005320802948E-2</v>
      </c>
      <c r="FM13" s="324">
        <f t="shared" si="54"/>
        <v>4.7377866603412998E-2</v>
      </c>
      <c r="FN13" s="324">
        <f t="shared" si="55"/>
        <v>4.7377866603412998E-2</v>
      </c>
      <c r="FO13" s="324">
        <f t="shared" si="56"/>
        <v>1.9839679684136899E-2</v>
      </c>
      <c r="FP13" s="324">
        <f t="shared" si="57"/>
        <v>1.54915322396613E-2</v>
      </c>
      <c r="FQ13" s="324">
        <f t="shared" si="58"/>
        <v>1.24856485125612E-2</v>
      </c>
      <c r="FR13" s="324">
        <f t="shared" si="59"/>
        <v>1.10258430769824E-2</v>
      </c>
      <c r="FS13" s="324">
        <f t="shared" si="60"/>
        <v>9.7206839249302599E-3</v>
      </c>
      <c r="FT13" s="324">
        <f t="shared" si="61"/>
        <v>8.6588886279032502E-3</v>
      </c>
      <c r="FU13" s="324">
        <f t="shared" si="62"/>
        <v>7.9928948991222996E-3</v>
      </c>
      <c r="FV13" s="324">
        <f t="shared" si="63"/>
        <v>7.65317007618625E-3</v>
      </c>
      <c r="FW13" s="324">
        <f t="shared" si="64"/>
        <v>7.4561632981935697E-3</v>
      </c>
      <c r="FX13" s="324">
        <f t="shared" si="65"/>
        <v>7.4561632981935697E-3</v>
      </c>
    </row>
    <row r="14" spans="1:190" x14ac:dyDescent="0.2">
      <c r="A14" s="298" t="str">
        <f>_xlfn.CONCAT(IF(LEFT(TRIM(A13),1)="*", "*R", "R"), 1+RIGHT(TRIM(A13),1))</f>
        <v>R6</v>
      </c>
      <c r="B14" s="298" t="str">
        <f t="shared" si="66"/>
        <v>TLEMCGSL</v>
      </c>
      <c r="C14" s="298" t="str">
        <f t="shared" si="67"/>
        <v>TL.GSL.MC.Existing fleet</v>
      </c>
      <c r="D14" s="294" t="str">
        <f t="shared" si="68"/>
        <v>bn-vmt, bn-vmt/a</v>
      </c>
      <c r="E14" s="294" t="str">
        <f t="shared" si="69"/>
        <v>TLGSL</v>
      </c>
      <c r="F14" s="294" t="str">
        <f t="shared" si="70"/>
        <v>TL</v>
      </c>
      <c r="G14" s="294" t="s">
        <v>473</v>
      </c>
      <c r="H14" s="294" t="s">
        <v>474</v>
      </c>
      <c r="I14" s="294">
        <v>1</v>
      </c>
      <c r="J14" s="308" t="str">
        <f t="shared" si="2"/>
        <v>Mini car-GSL</v>
      </c>
      <c r="K14" s="324">
        <f>$I14*IF($G14="Pickup", SUMIFS(NewEmisData!E:E, NewEmisData!$A:$A, "Pickup", NewEmisData!$B:$B, $A14, NewEmisData!$C:$C, $H14, NewEmisData!$D:$D, K$2), SUMIFS(NewEmisData!E:E, NewEmisData!$A:$A, "LDV", NewEmisData!$B:$B, $A14, NewEmisData!$C:$C, $H14, NewEmisData!$D:$D, K$2))</f>
        <v>465.43339574540698</v>
      </c>
      <c r="L14" s="324">
        <f>$I14*IF($G14="Pickup", SUMIFS(NewEmisData!F:F, NewEmisData!$A:$A, "Pickup", NewEmisData!$B:$B, $A14, NewEmisData!$C:$C, $H14, NewEmisData!$D:$D, L$2), SUMIFS(NewEmisData!F:F, NewEmisData!$A:$A, "LDV", NewEmisData!$B:$B, $A14, NewEmisData!$C:$C, $H14, NewEmisData!$D:$D, L$2))</f>
        <v>447.45086858043499</v>
      </c>
      <c r="M14" s="324">
        <f>$I14*IF($G14="Pickup", SUMIFS(NewEmisData!G:G, NewEmisData!$A:$A, "Pickup", NewEmisData!$B:$B, $A14, NewEmisData!$C:$C, $H14, NewEmisData!$D:$D, M$2), SUMIFS(NewEmisData!G:G, NewEmisData!$A:$A, "LDV", NewEmisData!$B:$B, $A14, NewEmisData!$C:$C, $H14, NewEmisData!$D:$D, M$2))</f>
        <v>371.68579631799702</v>
      </c>
      <c r="N14" s="324">
        <f>$I14*IF($G14="Pickup", SUMIFS(NewEmisData!H:H, NewEmisData!$A:$A, "Pickup", NewEmisData!$B:$B, $A14, NewEmisData!$C:$C, $H14, NewEmisData!$D:$D, N$2), SUMIFS(NewEmisData!H:H, NewEmisData!$A:$A, "LDV", NewEmisData!$B:$B, $A14, NewEmisData!$C:$C, $H14, NewEmisData!$D:$D, N$2))</f>
        <v>316.68783468886801</v>
      </c>
      <c r="O14" s="324">
        <f>$I14*IF($G14="Pickup", SUMIFS(NewEmisData!I:I, NewEmisData!$A:$A, "Pickup", NewEmisData!$B:$B, $A14, NewEmisData!$C:$C, $H14, NewEmisData!$D:$D, O$2), SUMIFS(NewEmisData!I:I, NewEmisData!$A:$A, "LDV", NewEmisData!$B:$B, $A14, NewEmisData!$C:$C, $H14, NewEmisData!$D:$D, O$2))</f>
        <v>274.45359564691302</v>
      </c>
      <c r="P14" s="324">
        <f>$I14*IF($G14="Pickup", SUMIFS(NewEmisData!J:J, NewEmisData!$A:$A, "Pickup", NewEmisData!$B:$B, $A14, NewEmisData!$C:$C, $H14, NewEmisData!$D:$D, P$2), SUMIFS(NewEmisData!J:J, NewEmisData!$A:$A, "LDV", NewEmisData!$B:$B, $A14, NewEmisData!$C:$C, $H14, NewEmisData!$D:$D, P$2))</f>
        <v>250.610452801164</v>
      </c>
      <c r="Q14" s="324">
        <f>$I14*IF($G14="Pickup", SUMIFS(NewEmisData!K:K, NewEmisData!$A:$A, "Pickup", NewEmisData!$B:$B, $A14, NewEmisData!$C:$C, $H14, NewEmisData!$D:$D, Q$2), SUMIFS(NewEmisData!K:K, NewEmisData!$A:$A, "LDV", NewEmisData!$B:$B, $A14, NewEmisData!$C:$C, $H14, NewEmisData!$D:$D, Q$2))</f>
        <v>239.96929474207201</v>
      </c>
      <c r="R14" s="324">
        <f>$I14*IF($G14="Pickup", SUMIFS(NewEmisData!L:L, NewEmisData!$A:$A, "Pickup", NewEmisData!$B:$B, $A14, NewEmisData!$C:$C, $H14, NewEmisData!$D:$D, R$2), SUMIFS(NewEmisData!L:L, NewEmisData!$A:$A, "LDV", NewEmisData!$B:$B, $A14, NewEmisData!$C:$C, $H14, NewEmisData!$D:$D, R$2))</f>
        <v>236.17949059358199</v>
      </c>
      <c r="S14" s="324">
        <f>$I14*IF($G14="Pickup", SUMIFS(NewEmisData!M:M, NewEmisData!$A:$A, "Pickup", NewEmisData!$B:$B, $A14, NewEmisData!$C:$C, $H14, NewEmisData!$D:$D, S$2), SUMIFS(NewEmisData!M:M, NewEmisData!$A:$A, "LDV", NewEmisData!$B:$B, $A14, NewEmisData!$C:$C, $H14, NewEmisData!$D:$D, S$2))</f>
        <v>234.77621268414799</v>
      </c>
      <c r="T14" s="324">
        <f t="shared" si="5"/>
        <v>234.77621268414799</v>
      </c>
      <c r="U14" s="324">
        <f>$I14*IF($G14="Pickup", SUMIFS(NewEmisData!E:E, NewEmisData!$A:$A, "Pickup", NewEmisData!$B:$B, $A14, NewEmisData!$C:$C, $H14, NewEmisData!$D:$D, U$2), SUMIFS(NewEmisData!E:E, NewEmisData!$A:$A, "LDV", NewEmisData!$B:$B, $A14, NewEmisData!$C:$C, $H14, NewEmisData!$D:$D, U$2))</f>
        <v>0.76817370125590101</v>
      </c>
      <c r="V14" s="324">
        <f>$I14*IF($G14="Pickup", SUMIFS(NewEmisData!F:F, NewEmisData!$A:$A, "Pickup", NewEmisData!$B:$B, $A14, NewEmisData!$C:$C, $H14, NewEmisData!$D:$D, V$2), SUMIFS(NewEmisData!F:F, NewEmisData!$A:$A, "LDV", NewEmisData!$B:$B, $A14, NewEmisData!$C:$C, $H14, NewEmisData!$D:$D, V$2))</f>
        <v>0.34255400012381199</v>
      </c>
      <c r="W14" s="324">
        <f>$I14*IF($G14="Pickup", SUMIFS(NewEmisData!G:G, NewEmisData!$A:$A, "Pickup", NewEmisData!$B:$B, $A14, NewEmisData!$C:$C, $H14, NewEmisData!$D:$D, W$2), SUMIFS(NewEmisData!G:G, NewEmisData!$A:$A, "LDV", NewEmisData!$B:$B, $A14, NewEmisData!$C:$C, $H14, NewEmisData!$D:$D, W$2))</f>
        <v>0.22026197441968301</v>
      </c>
      <c r="X14" s="324">
        <f>$I14*IF($G14="Pickup", SUMIFS(NewEmisData!H:H, NewEmisData!$A:$A, "Pickup", NewEmisData!$B:$B, $A14, NewEmisData!$C:$C, $H14, NewEmisData!$D:$D, X$2), SUMIFS(NewEmisData!H:H, NewEmisData!$A:$A, "LDV", NewEmisData!$B:$B, $A14, NewEmisData!$C:$C, $H14, NewEmisData!$D:$D, X$2))</f>
        <v>0.146130223505477</v>
      </c>
      <c r="Y14" s="324">
        <f>$I14*IF($G14="Pickup", SUMIFS(NewEmisData!I:I, NewEmisData!$A:$A, "Pickup", NewEmisData!$B:$B, $A14, NewEmisData!$C:$C, $H14, NewEmisData!$D:$D, Y$2), SUMIFS(NewEmisData!I:I, NewEmisData!$A:$A, "LDV", NewEmisData!$B:$B, $A14, NewEmisData!$C:$C, $H14, NewEmisData!$D:$D, Y$2))</f>
        <v>9.25204446820201E-2</v>
      </c>
      <c r="Z14" s="324">
        <f>$I14*IF($G14="Pickup", SUMIFS(NewEmisData!J:J, NewEmisData!$A:$A, "Pickup", NewEmisData!$B:$B, $A14, NewEmisData!$C:$C, $H14, NewEmisData!$D:$D, Z$2), SUMIFS(NewEmisData!J:J, NewEmisData!$A:$A, "LDV", NewEmisData!$B:$B, $A14, NewEmisData!$C:$C, $H14, NewEmisData!$D:$D, Z$2))</f>
        <v>6.9646332093205393E-2</v>
      </c>
      <c r="AA14" s="324">
        <f>$I14*IF($G14="Pickup", SUMIFS(NewEmisData!K:K, NewEmisData!$A:$A, "Pickup", NewEmisData!$B:$B, $A14, NewEmisData!$C:$C, $H14, NewEmisData!$D:$D, AA$2), SUMIFS(NewEmisData!K:K, NewEmisData!$A:$A, "LDV", NewEmisData!$B:$B, $A14, NewEmisData!$C:$C, $H14, NewEmisData!$D:$D, AA$2))</f>
        <v>6.0285539426727999E-2</v>
      </c>
      <c r="AB14" s="324">
        <f>$I14*IF($G14="Pickup", SUMIFS(NewEmisData!L:L, NewEmisData!$A:$A, "Pickup", NewEmisData!$B:$B, $A14, NewEmisData!$C:$C, $H14, NewEmisData!$D:$D, AB$2), SUMIFS(NewEmisData!L:L, NewEmisData!$A:$A, "LDV", NewEmisData!$B:$B, $A14, NewEmisData!$C:$C, $H14, NewEmisData!$D:$D, AB$2))</f>
        <v>5.7685517085836899E-2</v>
      </c>
      <c r="AC14" s="324">
        <f>$I14*IF($G14="Pickup", SUMIFS(NewEmisData!M:M, NewEmisData!$A:$A, "Pickup", NewEmisData!$B:$B, $A14, NewEmisData!$C:$C, $H14, NewEmisData!$D:$D, AC$2), SUMIFS(NewEmisData!M:M, NewEmisData!$A:$A, "LDV", NewEmisData!$B:$B, $A14, NewEmisData!$C:$C, $H14, NewEmisData!$D:$D, AC$2))</f>
        <v>5.6336256806388998E-2</v>
      </c>
      <c r="AD14" s="324">
        <f t="shared" si="6"/>
        <v>5.6336256806388998E-2</v>
      </c>
      <c r="AE14" s="324">
        <f>$I14*IF($G14="Pickup", SUMIFS(NewEmisData!E:E, NewEmisData!$A:$A, "Pickup", NewEmisData!$B:$B, $A14, NewEmisData!$C:$C, $H14, NewEmisData!$D:$D, AE$2), SUMIFS(NewEmisData!E:E, NewEmisData!$A:$A, "LDV", NewEmisData!$B:$B, $A14, NewEmisData!$C:$C, $H14, NewEmisData!$D:$D, AE$2))</f>
        <v>8.0536316527093799E-3</v>
      </c>
      <c r="AF14" s="324">
        <f>$I14*IF($G14="Pickup", SUMIFS(NewEmisData!F:F, NewEmisData!$A:$A, "Pickup", NewEmisData!$B:$B, $A14, NewEmisData!$C:$C, $H14, NewEmisData!$D:$D, AF$2), SUMIFS(NewEmisData!F:F, NewEmisData!$A:$A, "LDV", NewEmisData!$B:$B, $A14, NewEmisData!$C:$C, $H14, NewEmisData!$D:$D, AF$2))</f>
        <v>7.7424694052717798E-3</v>
      </c>
      <c r="AG14" s="324">
        <f>$I14*IF($G14="Pickup", SUMIFS(NewEmisData!G:G, NewEmisData!$A:$A, "Pickup", NewEmisData!$B:$B, $A14, NewEmisData!$C:$C, $H14, NewEmisData!$D:$D, AG$2), SUMIFS(NewEmisData!G:G, NewEmisData!$A:$A, "LDV", NewEmisData!$B:$B, $A14, NewEmisData!$C:$C, $H14, NewEmisData!$D:$D, AG$2))</f>
        <v>5.3320257089092297E-3</v>
      </c>
      <c r="AH14" s="324">
        <f>$I14*IF($G14="Pickup", SUMIFS(NewEmisData!H:H, NewEmisData!$A:$A, "Pickup", NewEmisData!$B:$B, $A14, NewEmisData!$C:$C, $H14, NewEmisData!$D:$D, AH$2), SUMIFS(NewEmisData!H:H, NewEmisData!$A:$A, "LDV", NewEmisData!$B:$B, $A14, NewEmisData!$C:$C, $H14, NewEmisData!$D:$D, AH$2))</f>
        <v>4.5430510168157703E-3</v>
      </c>
      <c r="AI14" s="324">
        <f>$I14*IF($G14="Pickup", SUMIFS(NewEmisData!I:I, NewEmisData!$A:$A, "Pickup", NewEmisData!$B:$B, $A14, NewEmisData!$C:$C, $H14, NewEmisData!$D:$D, AI$2), SUMIFS(NewEmisData!I:I, NewEmisData!$A:$A, "LDV", NewEmisData!$B:$B, $A14, NewEmisData!$C:$C, $H14, NewEmisData!$D:$D, AI$2))</f>
        <v>3.9371785778053803E-3</v>
      </c>
      <c r="AJ14" s="324">
        <f>$I14*IF($G14="Pickup", SUMIFS(NewEmisData!J:J, NewEmisData!$A:$A, "Pickup", NewEmisData!$B:$B, $A14, NewEmisData!$C:$C, $H14, NewEmisData!$D:$D, AJ$2), SUMIFS(NewEmisData!J:J, NewEmisData!$A:$A, "LDV", NewEmisData!$B:$B, $A14, NewEmisData!$C:$C, $H14, NewEmisData!$D:$D, AJ$2))</f>
        <v>3.5951364530025401E-3</v>
      </c>
      <c r="AK14" s="324">
        <f>$I14*IF($G14="Pickup", SUMIFS(NewEmisData!K:K, NewEmisData!$A:$A, "Pickup", NewEmisData!$B:$B, $A14, NewEmisData!$C:$C, $H14, NewEmisData!$D:$D, AK$2), SUMIFS(NewEmisData!K:K, NewEmisData!$A:$A, "LDV", NewEmisData!$B:$B, $A14, NewEmisData!$C:$C, $H14, NewEmisData!$D:$D, AK$2))</f>
        <v>3.4424852382502098E-3</v>
      </c>
      <c r="AL14" s="324">
        <f>$I14*IF($G14="Pickup", SUMIFS(NewEmisData!L:L, NewEmisData!$A:$A, "Pickup", NewEmisData!$B:$B, $A14, NewEmisData!$C:$C, $H14, NewEmisData!$D:$D, AL$2), SUMIFS(NewEmisData!L:L, NewEmisData!$A:$A, "LDV", NewEmisData!$B:$B, $A14, NewEmisData!$C:$C, $H14, NewEmisData!$D:$D, AL$2))</f>
        <v>3.38811619026995E-3</v>
      </c>
      <c r="AM14" s="324">
        <f>$I14*IF($G14="Pickup", SUMIFS(NewEmisData!M:M, NewEmisData!$A:$A, "Pickup", NewEmisData!$B:$B, $A14, NewEmisData!$C:$C, $H14, NewEmisData!$D:$D, AM$2), SUMIFS(NewEmisData!M:M, NewEmisData!$A:$A, "LDV", NewEmisData!$B:$B, $A14, NewEmisData!$C:$C, $H14, NewEmisData!$D:$D, AM$2))</f>
        <v>3.36798790618778E-3</v>
      </c>
      <c r="AN14" s="324">
        <f t="shared" si="7"/>
        <v>3.36798790618778E-3</v>
      </c>
      <c r="AO14" s="324">
        <f>$I14*IF($G14="Pickup", SUMIFS(NewEmisData!E:E, NewEmisData!$A:$A, "Pickup", NewEmisData!$B:$B, $A14, NewEmisData!$C:$C, $H14, NewEmisData!$D:$D, AO$2), SUMIFS(NewEmisData!E:E, NewEmisData!$A:$A, "LDV", NewEmisData!$B:$B, $A14, NewEmisData!$C:$C, $H14, NewEmisData!$D:$D, AO$2))</f>
        <v>7.6317156939691294E-2</v>
      </c>
      <c r="AP14" s="324">
        <f>$I14*IF($G14="Pickup", SUMIFS(NewEmisData!F:F, NewEmisData!$A:$A, "Pickup", NewEmisData!$B:$B, $A14, NewEmisData!$C:$C, $H14, NewEmisData!$D:$D, AP$2), SUMIFS(NewEmisData!F:F, NewEmisData!$A:$A, "LDV", NewEmisData!$B:$B, $A14, NewEmisData!$C:$C, $H14, NewEmisData!$D:$D, AP$2))</f>
        <v>7.1544642944165196E-2</v>
      </c>
      <c r="AQ14" s="324">
        <f>$I14*IF($G14="Pickup", SUMIFS(NewEmisData!G:G, NewEmisData!$A:$A, "Pickup", NewEmisData!$B:$B, $A14, NewEmisData!$C:$C, $H14, NewEmisData!$D:$D, AQ$2), SUMIFS(NewEmisData!G:G, NewEmisData!$A:$A, "LDV", NewEmisData!$B:$B, $A14, NewEmisData!$C:$C, $H14, NewEmisData!$D:$D, AQ$2))</f>
        <v>5.8249743312617203E-2</v>
      </c>
      <c r="AR14" s="324">
        <f>$I14*IF($G14="Pickup", SUMIFS(NewEmisData!H:H, NewEmisData!$A:$A, "Pickup", NewEmisData!$B:$B, $A14, NewEmisData!$C:$C, $H14, NewEmisData!$D:$D, AR$2), SUMIFS(NewEmisData!H:H, NewEmisData!$A:$A, "LDV", NewEmisData!$B:$B, $A14, NewEmisData!$C:$C, $H14, NewEmisData!$D:$D, AR$2))</f>
        <v>5.6730049378736901E-2</v>
      </c>
      <c r="AS14" s="324">
        <f>$I14*IF($G14="Pickup", SUMIFS(NewEmisData!I:I, NewEmisData!$A:$A, "Pickup", NewEmisData!$B:$B, $A14, NewEmisData!$C:$C, $H14, NewEmisData!$D:$D, AS$2), SUMIFS(NewEmisData!I:I, NewEmisData!$A:$A, "LDV", NewEmisData!$B:$B, $A14, NewEmisData!$C:$C, $H14, NewEmisData!$D:$D, AS$2))</f>
        <v>5.5297861804990203E-2</v>
      </c>
      <c r="AT14" s="324">
        <f>$I14*IF($G14="Pickup", SUMIFS(NewEmisData!J:J, NewEmisData!$A:$A, "Pickup", NewEmisData!$B:$B, $A14, NewEmisData!$C:$C, $H14, NewEmisData!$D:$D, AT$2), SUMIFS(NewEmisData!J:J, NewEmisData!$A:$A, "LDV", NewEmisData!$B:$B, $A14, NewEmisData!$C:$C, $H14, NewEmisData!$D:$D, AT$2))</f>
        <v>5.4156352090813403E-2</v>
      </c>
      <c r="AU14" s="324">
        <f>$I14*IF($G14="Pickup", SUMIFS(NewEmisData!K:K, NewEmisData!$A:$A, "Pickup", NewEmisData!$B:$B, $A14, NewEmisData!$C:$C, $H14, NewEmisData!$D:$D, AU$2), SUMIFS(NewEmisData!K:K, NewEmisData!$A:$A, "LDV", NewEmisData!$B:$B, $A14, NewEmisData!$C:$C, $H14, NewEmisData!$D:$D, AU$2))</f>
        <v>5.3430662266944498E-2</v>
      </c>
      <c r="AV14" s="324">
        <f>$I14*IF($G14="Pickup", SUMIFS(NewEmisData!L:L, NewEmisData!$A:$A, "Pickup", NewEmisData!$B:$B, $A14, NewEmisData!$C:$C, $H14, NewEmisData!$D:$D, AV$2), SUMIFS(NewEmisData!L:L, NewEmisData!$A:$A, "LDV", NewEmisData!$B:$B, $A14, NewEmisData!$C:$C, $H14, NewEmisData!$D:$D, AV$2))</f>
        <v>5.3062743786751999E-2</v>
      </c>
      <c r="AW14" s="324">
        <f>$I14*IF($G14="Pickup", SUMIFS(NewEmisData!M:M, NewEmisData!$A:$A, "Pickup", NewEmisData!$B:$B, $A14, NewEmisData!$C:$C, $H14, NewEmisData!$D:$D, AW$2), SUMIFS(NewEmisData!M:M, NewEmisData!$A:$A, "LDV", NewEmisData!$B:$B, $A14, NewEmisData!$C:$C, $H14, NewEmisData!$D:$D, AW$2))</f>
        <v>5.2850768620488903E-2</v>
      </c>
      <c r="AX14" s="324">
        <f t="shared" si="8"/>
        <v>5.2850768620488903E-2</v>
      </c>
      <c r="AY14" s="324">
        <f>$I14*IF($G14="Pickup", SUMIFS(NewEmisData!E:E, NewEmisData!$A:$A, "Pickup", NewEmisData!$B:$B, $A14, NewEmisData!$C:$C, $H14, NewEmisData!$D:$D, AY$2), SUMIFS(NewEmisData!E:E, NewEmisData!$A:$A, "LDV", NewEmisData!$B:$B, $A14, NewEmisData!$C:$C, $H14, NewEmisData!$D:$D, AY$2))</f>
        <v>2.00368746679381E-2</v>
      </c>
      <c r="AZ14" s="324">
        <f>$I14*IF($G14="Pickup", SUMIFS(NewEmisData!F:F, NewEmisData!$A:$A, "Pickup", NewEmisData!$B:$B, $A14, NewEmisData!$C:$C, $H14, NewEmisData!$D:$D, AZ$2), SUMIFS(NewEmisData!F:F, NewEmisData!$A:$A, "LDV", NewEmisData!$B:$B, $A14, NewEmisData!$C:$C, $H14, NewEmisData!$D:$D, AZ$2))</f>
        <v>1.58149288879222E-2</v>
      </c>
      <c r="BA14" s="324">
        <f>$I14*IF($G14="Pickup", SUMIFS(NewEmisData!G:G, NewEmisData!$A:$A, "Pickup", NewEmisData!$B:$B, $A14, NewEmisData!$C:$C, $H14, NewEmisData!$D:$D, BA$2), SUMIFS(NewEmisData!G:G, NewEmisData!$A:$A, "LDV", NewEmisData!$B:$B, $A14, NewEmisData!$C:$C, $H14, NewEmisData!$D:$D, BA$2))</f>
        <v>1.2889012730210401E-2</v>
      </c>
      <c r="BB14" s="324">
        <f>$I14*IF($G14="Pickup", SUMIFS(NewEmisData!H:H, NewEmisData!$A:$A, "Pickup", NewEmisData!$B:$B, $A14, NewEmisData!$C:$C, $H14, NewEmisData!$D:$D, BB$2), SUMIFS(NewEmisData!H:H, NewEmisData!$A:$A, "LDV", NewEmisData!$B:$B, $A14, NewEmisData!$C:$C, $H14, NewEmisData!$D:$D, BB$2))</f>
        <v>1.1544674905883E-2</v>
      </c>
      <c r="BC14" s="324">
        <f>$I14*IF($G14="Pickup", SUMIFS(NewEmisData!I:I, NewEmisData!$A:$A, "Pickup", NewEmisData!$B:$B, $A14, NewEmisData!$C:$C, $H14, NewEmisData!$D:$D, BC$2), SUMIFS(NewEmisData!I:I, NewEmisData!$A:$A, "LDV", NewEmisData!$B:$B, $A14, NewEmisData!$C:$C, $H14, NewEmisData!$D:$D, BC$2))</f>
        <v>1.0277724336371899E-2</v>
      </c>
      <c r="BD14" s="324">
        <f>$I14*IF($G14="Pickup", SUMIFS(NewEmisData!J:J, NewEmisData!$A:$A, "Pickup", NewEmisData!$B:$B, $A14, NewEmisData!$C:$C, $H14, NewEmisData!$D:$D, BD$2), SUMIFS(NewEmisData!J:J, NewEmisData!$A:$A, "LDV", NewEmisData!$B:$B, $A14, NewEmisData!$C:$C, $H14, NewEmisData!$D:$D, BD$2))</f>
        <v>9.2679749278735592E-3</v>
      </c>
      <c r="BE14" s="324">
        <f>$I14*IF($G14="Pickup", SUMIFS(NewEmisData!K:K, NewEmisData!$A:$A, "Pickup", NewEmisData!$B:$B, $A14, NewEmisData!$C:$C, $H14, NewEmisData!$D:$D, BE$2), SUMIFS(NewEmisData!K:K, NewEmisData!$A:$A, "LDV", NewEmisData!$B:$B, $A14, NewEmisData!$C:$C, $H14, NewEmisData!$D:$D, BE$2))</f>
        <v>8.6259896432645099E-3</v>
      </c>
      <c r="BF14" s="324">
        <f>$I14*IF($G14="Pickup", SUMIFS(NewEmisData!L:L, NewEmisData!$A:$A, "Pickup", NewEmisData!$B:$B, $A14, NewEmisData!$C:$C, $H14, NewEmisData!$D:$D, BF$2), SUMIFS(NewEmisData!L:L, NewEmisData!$A:$A, "LDV", NewEmisData!$B:$B, $A14, NewEmisData!$C:$C, $H14, NewEmisData!$D:$D, BF$2))</f>
        <v>8.3004876330209296E-3</v>
      </c>
      <c r="BG14" s="324">
        <f>$I14*IF($G14="Pickup", SUMIFS(NewEmisData!M:M, NewEmisData!$A:$A, "Pickup", NewEmisData!$B:$B, $A14, NewEmisData!$C:$C, $H14, NewEmisData!$D:$D, BG$2), SUMIFS(NewEmisData!M:M, NewEmisData!$A:$A, "LDV", NewEmisData!$B:$B, $A14, NewEmisData!$C:$C, $H14, NewEmisData!$D:$D, BG$2))</f>
        <v>8.1129702157430005E-3</v>
      </c>
      <c r="BH14" s="324">
        <f t="shared" si="9"/>
        <v>8.1129702157430005E-3</v>
      </c>
      <c r="BI14" s="324">
        <f>$I14*IF($G14="Pickup", SUMIFS(NewEmisData!E:E, NewEmisData!$A:$A, "Pickup", NewEmisData!$B:$B, $A14, NewEmisData!$C:$C, $H14, NewEmisData!$D:$D, BI$2), SUMIFS(NewEmisData!E:E, NewEmisData!$A:$A, "LDV", NewEmisData!$B:$B, $A14, NewEmisData!$C:$C, $H14, NewEmisData!$D:$D, BI$2))</f>
        <v>6.1599528865440298</v>
      </c>
      <c r="BJ14" s="324">
        <f>$I14*IF($G14="Pickup", SUMIFS(NewEmisData!F:F, NewEmisData!$A:$A, "Pickup", NewEmisData!$B:$B, $A14, NewEmisData!$C:$C, $H14, NewEmisData!$D:$D, BJ$2), SUMIFS(NewEmisData!F:F, NewEmisData!$A:$A, "LDV", NewEmisData!$B:$B, $A14, NewEmisData!$C:$C, $H14, NewEmisData!$D:$D, BJ$2))</f>
        <v>3.7475170679561298</v>
      </c>
      <c r="BK14" s="324">
        <f>$I14*IF($G14="Pickup", SUMIFS(NewEmisData!G:G, NewEmisData!$A:$A, "Pickup", NewEmisData!$B:$B, $A14, NewEmisData!$C:$C, $H14, NewEmisData!$D:$D, BK$2), SUMIFS(NewEmisData!G:G, NewEmisData!$A:$A, "LDV", NewEmisData!$B:$B, $A14, NewEmisData!$C:$C, $H14, NewEmisData!$D:$D, BK$2))</f>
        <v>2.80366463620466</v>
      </c>
      <c r="BL14" s="324">
        <f>$I14*IF($G14="Pickup", SUMIFS(NewEmisData!H:H, NewEmisData!$A:$A, "Pickup", NewEmisData!$B:$B, $A14, NewEmisData!$C:$C, $H14, NewEmisData!$D:$D, BL$2), SUMIFS(NewEmisData!H:H, NewEmisData!$A:$A, "LDV", NewEmisData!$B:$B, $A14, NewEmisData!$C:$C, $H14, NewEmisData!$D:$D, BL$2))</f>
        <v>2.2038088113149099</v>
      </c>
      <c r="BM14" s="324">
        <f>$I14*IF($G14="Pickup", SUMIFS(NewEmisData!I:I, NewEmisData!$A:$A, "Pickup", NewEmisData!$B:$B, $A14, NewEmisData!$C:$C, $H14, NewEmisData!$D:$D, BM$2), SUMIFS(NewEmisData!I:I, NewEmisData!$A:$A, "LDV", NewEmisData!$B:$B, $A14, NewEmisData!$C:$C, $H14, NewEmisData!$D:$D, BM$2))</f>
        <v>1.6110244723417799</v>
      </c>
      <c r="BN14" s="324">
        <f>$I14*IF($G14="Pickup", SUMIFS(NewEmisData!J:J, NewEmisData!$A:$A, "Pickup", NewEmisData!$B:$B, $A14, NewEmisData!$C:$C, $H14, NewEmisData!$D:$D, BN$2), SUMIFS(NewEmisData!J:J, NewEmisData!$A:$A, "LDV", NewEmisData!$B:$B, $A14, NewEmisData!$C:$C, $H14, NewEmisData!$D:$D, BN$2))</f>
        <v>1.2813570878169001</v>
      </c>
      <c r="BO14" s="324">
        <f>$I14*IF($G14="Pickup", SUMIFS(NewEmisData!K:K, NewEmisData!$A:$A, "Pickup", NewEmisData!$B:$B, $A14, NewEmisData!$C:$C, $H14, NewEmisData!$D:$D, BO$2), SUMIFS(NewEmisData!K:K, NewEmisData!$A:$A, "LDV", NewEmisData!$B:$B, $A14, NewEmisData!$C:$C, $H14, NewEmisData!$D:$D, BO$2))</f>
        <v>1.1316455644238499</v>
      </c>
      <c r="BP14" s="324">
        <f>$I14*IF($G14="Pickup", SUMIFS(NewEmisData!L:L, NewEmisData!$A:$A, "Pickup", NewEmisData!$B:$B, $A14, NewEmisData!$C:$C, $H14, NewEmisData!$D:$D, BP$2), SUMIFS(NewEmisData!L:L, NewEmisData!$A:$A, "LDV", NewEmisData!$B:$B, $A14, NewEmisData!$C:$C, $H14, NewEmisData!$D:$D, BP$2))</f>
        <v>1.0822537615630099</v>
      </c>
      <c r="BQ14" s="324">
        <f>$I14*IF($G14="Pickup", SUMIFS(NewEmisData!M:M, NewEmisData!$A:$A, "Pickup", NewEmisData!$B:$B, $A14, NewEmisData!$C:$C, $H14, NewEmisData!$D:$D, BQ$2), SUMIFS(NewEmisData!M:M, NewEmisData!$A:$A, "LDV", NewEmisData!$B:$B, $A14, NewEmisData!$C:$C, $H14, NewEmisData!$D:$D, BQ$2))</f>
        <v>1.05143374218492</v>
      </c>
      <c r="BR14" s="324">
        <f t="shared" si="10"/>
        <v>1.05143374218492</v>
      </c>
      <c r="BS14" s="324">
        <f>$I14*IF($G14="Pickup", SUMIFS(NewEmisData!E:E, NewEmisData!$A:$A, "Pickup", NewEmisData!$B:$B, $A14, NewEmisData!$C:$C, $H14, NewEmisData!$D:$D, BS$2), SUMIFS(NewEmisData!E:E, NewEmisData!$A:$A, "LDV", NewEmisData!$B:$B, $A14, NewEmisData!$C:$C, $H14, NewEmisData!$D:$D, BS$2))</f>
        <v>0.72787250280402604</v>
      </c>
      <c r="BT14" s="324">
        <f>$I14*IF($G14="Pickup", SUMIFS(NewEmisData!F:F, NewEmisData!$A:$A, "Pickup", NewEmisData!$B:$B, $A14, NewEmisData!$C:$C, $H14, NewEmisData!$D:$D, BT$2), SUMIFS(NewEmisData!F:F, NewEmisData!$A:$A, "LDV", NewEmisData!$B:$B, $A14, NewEmisData!$C:$C, $H14, NewEmisData!$D:$D, BT$2))</f>
        <v>0.40987916241045302</v>
      </c>
      <c r="BU14" s="324">
        <f>$I14*IF($G14="Pickup", SUMIFS(NewEmisData!G:G, NewEmisData!$A:$A, "Pickup", NewEmisData!$B:$B, $A14, NewEmisData!$C:$C, $H14, NewEmisData!$D:$D, BU$2), SUMIFS(NewEmisData!G:G, NewEmisData!$A:$A, "LDV", NewEmisData!$B:$B, $A14, NewEmisData!$C:$C, $H14, NewEmisData!$D:$D, BU$2))</f>
        <v>0.30765788839279401</v>
      </c>
      <c r="BV14" s="324">
        <f>$I14*IF($G14="Pickup", SUMIFS(NewEmisData!H:H, NewEmisData!$A:$A, "Pickup", NewEmisData!$B:$B, $A14, NewEmisData!$C:$C, $H14, NewEmisData!$D:$D, BV$2), SUMIFS(NewEmisData!H:H, NewEmisData!$A:$A, "LDV", NewEmisData!$B:$B, $A14, NewEmisData!$C:$C, $H14, NewEmisData!$D:$D, BV$2))</f>
        <v>0.248891607461663</v>
      </c>
      <c r="BW14" s="324">
        <f>$I14*IF($G14="Pickup", SUMIFS(NewEmisData!I:I, NewEmisData!$A:$A, "Pickup", NewEmisData!$B:$B, $A14, NewEmisData!$C:$C, $H14, NewEmisData!$D:$D, BW$2), SUMIFS(NewEmisData!I:I, NewEmisData!$A:$A, "LDV", NewEmisData!$B:$B, $A14, NewEmisData!$C:$C, $H14, NewEmisData!$D:$D, BW$2))</f>
        <v>0.184861723618618</v>
      </c>
      <c r="BX14" s="324">
        <f>$I14*IF($G14="Pickup", SUMIFS(NewEmisData!J:J, NewEmisData!$A:$A, "Pickup", NewEmisData!$B:$B, $A14, NewEmisData!$C:$C, $H14, NewEmisData!$D:$D, BX$2), SUMIFS(NewEmisData!J:J, NewEmisData!$A:$A, "LDV", NewEmisData!$B:$B, $A14, NewEmisData!$C:$C, $H14, NewEmisData!$D:$D, BX$2))</f>
        <v>0.15433193284657201</v>
      </c>
      <c r="BY14" s="324">
        <f>$I14*IF($G14="Pickup", SUMIFS(NewEmisData!K:K, NewEmisData!$A:$A, "Pickup", NewEmisData!$B:$B, $A14, NewEmisData!$C:$C, $H14, NewEmisData!$D:$D, BY$2), SUMIFS(NewEmisData!K:K, NewEmisData!$A:$A, "LDV", NewEmisData!$B:$B, $A14, NewEmisData!$C:$C, $H14, NewEmisData!$D:$D, BY$2))</f>
        <v>0.138091436876464</v>
      </c>
      <c r="BZ14" s="324">
        <f>$I14*IF($G14="Pickup", SUMIFS(NewEmisData!L:L, NewEmisData!$A:$A, "Pickup", NewEmisData!$B:$B, $A14, NewEmisData!$C:$C, $H14, NewEmisData!$D:$D, BZ$2), SUMIFS(NewEmisData!L:L, NewEmisData!$A:$A, "LDV", NewEmisData!$B:$B, $A14, NewEmisData!$C:$C, $H14, NewEmisData!$D:$D, BZ$2))</f>
        <v>0.131790780313154</v>
      </c>
      <c r="CA14" s="324">
        <f>$I14*IF($G14="Pickup", SUMIFS(NewEmisData!M:M, NewEmisData!$A:$A, "Pickup", NewEmisData!$B:$B, $A14, NewEmisData!$C:$C, $H14, NewEmisData!$D:$D, CA$2), SUMIFS(NewEmisData!M:M, NewEmisData!$A:$A, "LDV", NewEmisData!$B:$B, $A14, NewEmisData!$C:$C, $H14, NewEmisData!$D:$D, CA$2))</f>
        <v>0.126731765091218</v>
      </c>
      <c r="CB14" s="324">
        <f t="shared" si="11"/>
        <v>0.126731765091218</v>
      </c>
      <c r="CC14" s="324">
        <f>$I14*IF($G14="Pickup", SUMIFS(NewEmisData!E:E, NewEmisData!$A:$A, "Pickup", NewEmisData!$B:$B, $A14, NewEmisData!$C:$C, $H14, NewEmisData!$D:$D, CC$2), SUMIFS(NewEmisData!E:E, NewEmisData!$A:$A, "LDV", NewEmisData!$B:$B, $A14, NewEmisData!$C:$C, $H14, NewEmisData!$D:$D, CC$2))</f>
        <v>4.3011353420759103E-2</v>
      </c>
      <c r="CD14" s="324">
        <f>$I14*IF($G14="Pickup", SUMIFS(NewEmisData!F:F, NewEmisData!$A:$A, "Pickup", NewEmisData!$B:$B, $A14, NewEmisData!$C:$C, $H14, NewEmisData!$D:$D, CD$2), SUMIFS(NewEmisData!F:F, NewEmisData!$A:$A, "LDV", NewEmisData!$B:$B, $A14, NewEmisData!$C:$C, $H14, NewEmisData!$D:$D, CD$2))</f>
        <v>2.94035814612091E-2</v>
      </c>
      <c r="CE14" s="324">
        <f>$I14*IF($G14="Pickup", SUMIFS(NewEmisData!G:G, NewEmisData!$A:$A, "Pickup", NewEmisData!$B:$B, $A14, NewEmisData!$C:$C, $H14, NewEmisData!$D:$D, CE$2), SUMIFS(NewEmisData!G:G, NewEmisData!$A:$A, "LDV", NewEmisData!$B:$B, $A14, NewEmisData!$C:$C, $H14, NewEmisData!$D:$D, CE$2))</f>
        <v>2.4328512322630801E-2</v>
      </c>
      <c r="CF14" s="324">
        <f>$I14*IF($G14="Pickup", SUMIFS(NewEmisData!H:H, NewEmisData!$A:$A, "Pickup", NewEmisData!$B:$B, $A14, NewEmisData!$C:$C, $H14, NewEmisData!$D:$D, CF$2), SUMIFS(NewEmisData!H:H, NewEmisData!$A:$A, "LDV", NewEmisData!$B:$B, $A14, NewEmisData!$C:$C, $H14, NewEmisData!$D:$D, CF$2))</f>
        <v>2.3221814353353801E-2</v>
      </c>
      <c r="CG14" s="324">
        <f>$I14*IF($G14="Pickup", SUMIFS(NewEmisData!I:I, NewEmisData!$A:$A, "Pickup", NewEmisData!$B:$B, $A14, NewEmisData!$C:$C, $H14, NewEmisData!$D:$D, CG$2), SUMIFS(NewEmisData!I:I, NewEmisData!$A:$A, "LDV", NewEmisData!$B:$B, $A14, NewEmisData!$C:$C, $H14, NewEmisData!$D:$D, CG$2))</f>
        <v>2.24852392313552E-2</v>
      </c>
      <c r="CH14" s="324">
        <f>$I14*IF($G14="Pickup", SUMIFS(NewEmisData!J:J, NewEmisData!$A:$A, "Pickup", NewEmisData!$B:$B, $A14, NewEmisData!$C:$C, $H14, NewEmisData!$D:$D, CH$2), SUMIFS(NewEmisData!J:J, NewEmisData!$A:$A, "LDV", NewEmisData!$B:$B, $A14, NewEmisData!$C:$C, $H14, NewEmisData!$D:$D, CH$2))</f>
        <v>2.1906542608859401E-2</v>
      </c>
      <c r="CI14" s="324">
        <f>$I14*IF($G14="Pickup", SUMIFS(NewEmisData!K:K, NewEmisData!$A:$A, "Pickup", NewEmisData!$B:$B, $A14, NewEmisData!$C:$C, $H14, NewEmisData!$D:$D, CI$2), SUMIFS(NewEmisData!K:K, NewEmisData!$A:$A, "LDV", NewEmisData!$B:$B, $A14, NewEmisData!$C:$C, $H14, NewEmisData!$D:$D, CI$2))</f>
        <v>2.1904736458690802E-2</v>
      </c>
      <c r="CJ14" s="324">
        <f>$I14*IF($G14="Pickup", SUMIFS(NewEmisData!L:L, NewEmisData!$A:$A, "Pickup", NewEmisData!$B:$B, $A14, NewEmisData!$C:$C, $H14, NewEmisData!$D:$D, CJ$2), SUMIFS(NewEmisData!L:L, NewEmisData!$A:$A, "LDV", NewEmisData!$B:$B, $A14, NewEmisData!$C:$C, $H14, NewEmisData!$D:$D, CJ$2))</f>
        <v>2.19042402298237E-2</v>
      </c>
      <c r="CK14" s="324">
        <f>$I14*IF($G14="Pickup", SUMIFS(NewEmisData!M:M, NewEmisData!$A:$A, "Pickup", NewEmisData!$B:$B, $A14, NewEmisData!$C:$C, $H14, NewEmisData!$D:$D, CK$2), SUMIFS(NewEmisData!M:M, NewEmisData!$A:$A, "LDV", NewEmisData!$B:$B, $A14, NewEmisData!$C:$C, $H14, NewEmisData!$D:$D, CK$2))</f>
        <v>2.1903771981857799E-2</v>
      </c>
      <c r="CL14" s="324">
        <f t="shared" si="12"/>
        <v>2.1903771981857799E-2</v>
      </c>
      <c r="CM14" s="324">
        <f>$I14*IF($G14="Pickup", SUMIFS(NewEmisData!E:E, NewEmisData!$A:$A, "Pickup", NewEmisData!$B:$B, $A14, NewEmisData!$C:$C, $H14, NewEmisData!$D:$D, CM$2), SUMIFS(NewEmisData!E:E, NewEmisData!$A:$A, "LDV", NewEmisData!$B:$B, $A14, NewEmisData!$C:$C, $H14, NewEmisData!$D:$D, CM$2))</f>
        <v>2.1906211645892699E-2</v>
      </c>
      <c r="CN14" s="324">
        <f>$I14*IF($G14="Pickup", SUMIFS(NewEmisData!F:F, NewEmisData!$A:$A, "Pickup", NewEmisData!$B:$B, $A14, NewEmisData!$C:$C, $H14, NewEmisData!$D:$D, CN$2), SUMIFS(NewEmisData!F:F, NewEmisData!$A:$A, "LDV", NewEmisData!$B:$B, $A14, NewEmisData!$C:$C, $H14, NewEmisData!$D:$D, CN$2))</f>
        <v>1.38171562279483E-2</v>
      </c>
      <c r="CO14" s="324">
        <f>$I14*IF($G14="Pickup", SUMIFS(NewEmisData!G:G, NewEmisData!$A:$A, "Pickup", NewEmisData!$B:$B, $A14, NewEmisData!$C:$C, $H14, NewEmisData!$D:$D, CO$2), SUMIFS(NewEmisData!G:G, NewEmisData!$A:$A, "LDV", NewEmisData!$B:$B, $A14, NewEmisData!$C:$C, $H14, NewEmisData!$D:$D, CO$2))</f>
        <v>1.08300618523644E-2</v>
      </c>
      <c r="CP14" s="324">
        <f>$I14*IF($G14="Pickup", SUMIFS(NewEmisData!H:H, NewEmisData!$A:$A, "Pickup", NewEmisData!$B:$B, $A14, NewEmisData!$C:$C, $H14, NewEmisData!$D:$D, CP$2), SUMIFS(NewEmisData!H:H, NewEmisData!$A:$A, "LDV", NewEmisData!$B:$B, $A14, NewEmisData!$C:$C, $H14, NewEmisData!$D:$D, CP$2))</f>
        <v>8.8590497727664592E-3</v>
      </c>
      <c r="CQ14" s="324">
        <f>$I14*IF($G14="Pickup", SUMIFS(NewEmisData!I:I, NewEmisData!$A:$A, "Pickup", NewEmisData!$B:$B, $A14, NewEmisData!$C:$C, $H14, NewEmisData!$D:$D, CQ$2), SUMIFS(NewEmisData!I:I, NewEmisData!$A:$A, "LDV", NewEmisData!$B:$B, $A14, NewEmisData!$C:$C, $H14, NewEmisData!$D:$D, CQ$2))</f>
        <v>7.8772882665567503E-3</v>
      </c>
      <c r="CR14" s="324">
        <f>$I14*IF($G14="Pickup", SUMIFS(NewEmisData!J:J, NewEmisData!$A:$A, "Pickup", NewEmisData!$B:$B, $A14, NewEmisData!$C:$C, $H14, NewEmisData!$D:$D, CR$2), SUMIFS(NewEmisData!J:J, NewEmisData!$A:$A, "LDV", NewEmisData!$B:$B, $A14, NewEmisData!$C:$C, $H14, NewEmisData!$D:$D, CR$2))</f>
        <v>7.4435823260364103E-3</v>
      </c>
      <c r="CS14" s="324">
        <f>$I14*IF($G14="Pickup", SUMIFS(NewEmisData!K:K, NewEmisData!$A:$A, "Pickup", NewEmisData!$B:$B, $A14, NewEmisData!$C:$C, $H14, NewEmisData!$D:$D, CS$2), SUMIFS(NewEmisData!K:K, NewEmisData!$A:$A, "LDV", NewEmisData!$B:$B, $A14, NewEmisData!$C:$C, $H14, NewEmisData!$D:$D, CS$2))</f>
        <v>7.3936885133113802E-3</v>
      </c>
      <c r="CT14" s="324">
        <f>$I14*IF($G14="Pickup", SUMIFS(NewEmisData!L:L, NewEmisData!$A:$A, "Pickup", NewEmisData!$B:$B, $A14, NewEmisData!$C:$C, $H14, NewEmisData!$D:$D, CT$2), SUMIFS(NewEmisData!L:L, NewEmisData!$A:$A, "LDV", NewEmisData!$B:$B, $A14, NewEmisData!$C:$C, $H14, NewEmisData!$D:$D, CT$2))</f>
        <v>7.3123849031120399E-3</v>
      </c>
      <c r="CU14" s="324">
        <f>$I14*IF($G14="Pickup", SUMIFS(NewEmisData!M:M, NewEmisData!$A:$A, "Pickup", NewEmisData!$B:$B, $A14, NewEmisData!$C:$C, $H14, NewEmisData!$D:$D, CU$2), SUMIFS(NewEmisData!M:M, NewEmisData!$A:$A, "LDV", NewEmisData!$B:$B, $A14, NewEmisData!$C:$C, $H14, NewEmisData!$D:$D, CU$2))</f>
        <v>7.31189121492953E-3</v>
      </c>
      <c r="CV14" s="324">
        <f t="shared" si="13"/>
        <v>7.31189121492953E-3</v>
      </c>
      <c r="CW14" s="324">
        <v>3.0448046675121709E-3</v>
      </c>
      <c r="CX14" s="324">
        <v>1.8865908720768221E-3</v>
      </c>
      <c r="CY14" s="324">
        <v>1.5570268485524494E-3</v>
      </c>
      <c r="CZ14" s="324">
        <v>1.2432183416122382E-3</v>
      </c>
      <c r="DA14" s="324">
        <v>9.252251866281976E-4</v>
      </c>
      <c r="DB14" s="324">
        <v>7.2309456596024934E-4</v>
      </c>
      <c r="DC14" s="324">
        <v>6.8940706870607876E-4</v>
      </c>
      <c r="DD14" s="324">
        <v>6.844148428615973E-4</v>
      </c>
      <c r="DE14" s="324">
        <v>6.8634617396886091E-4</v>
      </c>
      <c r="DF14" s="324">
        <v>6.8634617396886091E-4</v>
      </c>
      <c r="DG14" s="324">
        <f>$I14*IF($G14="Pickup", SUMIFS(NewEmisData!E:E, NewEmisData!$A:$A, "Pickup", NewEmisData!$B:$B, $A14, NewEmisData!$C:$C, $H14, NewEmisData!$D:$D, DG$2), SUMIFS(NewEmisData!E:E, NewEmisData!$A:$A, "LDV", NewEmisData!$B:$B, $A14, NewEmisData!$C:$C, $H14, NewEmisData!$D:$D, DG$2))</f>
        <v>0</v>
      </c>
      <c r="DH14" s="324">
        <f>$I14*IF($G14="Pickup", SUMIFS(NewEmisData!F:F, NewEmisData!$A:$A, "Pickup", NewEmisData!$B:$B, $A14, NewEmisData!$C:$C, $H14, NewEmisData!$D:$D, DH$2), SUMIFS(NewEmisData!F:F, NewEmisData!$A:$A, "LDV", NewEmisData!$B:$B, $A14, NewEmisData!$C:$C, $H14, NewEmisData!$D:$D, DH$2))</f>
        <v>0</v>
      </c>
      <c r="DI14" s="324">
        <f>$I14*IF($G14="Pickup", SUMIFS(NewEmisData!G:G, NewEmisData!$A:$A, "Pickup", NewEmisData!$B:$B, $A14, NewEmisData!$C:$C, $H14, NewEmisData!$D:$D, DI$2), SUMIFS(NewEmisData!G:G, NewEmisData!$A:$A, "LDV", NewEmisData!$B:$B, $A14, NewEmisData!$C:$C, $H14, NewEmisData!$D:$D, DI$2))</f>
        <v>0</v>
      </c>
      <c r="DJ14" s="324">
        <f>$I14*IF($G14="Pickup", SUMIFS(NewEmisData!H:H, NewEmisData!$A:$A, "Pickup", NewEmisData!$B:$B, $A14, NewEmisData!$C:$C, $H14, NewEmisData!$D:$D, DJ$2), SUMIFS(NewEmisData!H:H, NewEmisData!$A:$A, "LDV", NewEmisData!$B:$B, $A14, NewEmisData!$C:$C, $H14, NewEmisData!$D:$D, DJ$2))</f>
        <v>0</v>
      </c>
      <c r="DK14" s="324">
        <f>$I14*IF($G14="Pickup", SUMIFS(NewEmisData!I:I, NewEmisData!$A:$A, "Pickup", NewEmisData!$B:$B, $A14, NewEmisData!$C:$C, $H14, NewEmisData!$D:$D, DK$2), SUMIFS(NewEmisData!I:I, NewEmisData!$A:$A, "LDV", NewEmisData!$B:$B, $A14, NewEmisData!$C:$C, $H14, NewEmisData!$D:$D, DK$2))</f>
        <v>0</v>
      </c>
      <c r="DL14" s="324">
        <f>$I14*IF($G14="Pickup", SUMIFS(NewEmisData!J:J, NewEmisData!$A:$A, "Pickup", NewEmisData!$B:$B, $A14, NewEmisData!$C:$C, $H14, NewEmisData!$D:$D, DL$2), SUMIFS(NewEmisData!J:J, NewEmisData!$A:$A, "LDV", NewEmisData!$B:$B, $A14, NewEmisData!$C:$C, $H14, NewEmisData!$D:$D, DL$2))</f>
        <v>0</v>
      </c>
      <c r="DM14" s="324">
        <f>$I14*IF($G14="Pickup", SUMIFS(NewEmisData!K:K, NewEmisData!$A:$A, "Pickup", NewEmisData!$B:$B, $A14, NewEmisData!$C:$C, $H14, NewEmisData!$D:$D, DM$2), SUMIFS(NewEmisData!K:K, NewEmisData!$A:$A, "LDV", NewEmisData!$B:$B, $A14, NewEmisData!$C:$C, $H14, NewEmisData!$D:$D, DM$2))</f>
        <v>0</v>
      </c>
      <c r="DN14" s="324">
        <f>$I14*IF($G14="Pickup", SUMIFS(NewEmisData!L:L, NewEmisData!$A:$A, "Pickup", NewEmisData!$B:$B, $A14, NewEmisData!$C:$C, $H14, NewEmisData!$D:$D, DN$2), SUMIFS(NewEmisData!L:L, NewEmisData!$A:$A, "LDV", NewEmisData!$B:$B, $A14, NewEmisData!$C:$C, $H14, NewEmisData!$D:$D, DN$2))</f>
        <v>0</v>
      </c>
      <c r="DO14" s="324">
        <f>$I14*IF($G14="Pickup", SUMIFS(NewEmisData!M:M, NewEmisData!$A:$A, "Pickup", NewEmisData!$B:$B, $A14, NewEmisData!$C:$C, $H14, NewEmisData!$D:$D, DO$2), SUMIFS(NewEmisData!M:M, NewEmisData!$A:$A, "LDV", NewEmisData!$B:$B, $A14, NewEmisData!$C:$C, $H14, NewEmisData!$D:$D, DO$2))</f>
        <v>0</v>
      </c>
      <c r="DP14" s="324">
        <f t="shared" si="14"/>
        <v>0</v>
      </c>
      <c r="DQ14" s="324">
        <f>$I14*IF($G14="Pickup", SUMIFS(NewEmisData!E:E, NewEmisData!$A:$A, "Pickup", NewEmisData!$B:$B, $A14, NewEmisData!$C:$C, $H14, NewEmisData!$D:$D, DQ$2), SUMIFS(NewEmisData!E:E, NewEmisData!$A:$A, "LDV", NewEmisData!$B:$B, $A14, NewEmisData!$C:$C, $H14, NewEmisData!$D:$D, DQ$2))</f>
        <v>1.45246052556386E-2</v>
      </c>
      <c r="DR14" s="324">
        <f>$I14*IF($G14="Pickup", SUMIFS(NewEmisData!F:F, NewEmisData!$A:$A, "Pickup", NewEmisData!$B:$B, $A14, NewEmisData!$C:$C, $H14, NewEmisData!$D:$D, DR$2), SUMIFS(NewEmisData!F:F, NewEmisData!$A:$A, "LDV", NewEmisData!$B:$B, $A14, NewEmisData!$C:$C, $H14, NewEmisData!$D:$D, DR$2))</f>
        <v>8.5576317868897907E-3</v>
      </c>
      <c r="DS14" s="324">
        <f>$I14*IF($G14="Pickup", SUMIFS(NewEmisData!G:G, NewEmisData!$A:$A, "Pickup", NewEmisData!$B:$B, $A14, NewEmisData!$C:$C, $H14, NewEmisData!$D:$D, DS$2), SUMIFS(NewEmisData!G:G, NewEmisData!$A:$A, "LDV", NewEmisData!$B:$B, $A14, NewEmisData!$C:$C, $H14, NewEmisData!$D:$D, DS$2))</f>
        <v>6.6798910124453298E-3</v>
      </c>
      <c r="DT14" s="324">
        <f>$I14*IF($G14="Pickup", SUMIFS(NewEmisData!H:H, NewEmisData!$A:$A, "Pickup", NewEmisData!$B:$B, $A14, NewEmisData!$C:$C, $H14, NewEmisData!$D:$D, DT$2), SUMIFS(NewEmisData!H:H, NewEmisData!$A:$A, "LDV", NewEmisData!$B:$B, $A14, NewEmisData!$C:$C, $H14, NewEmisData!$D:$D, DT$2))</f>
        <v>5.1684543516808098E-3</v>
      </c>
      <c r="DU14" s="324">
        <f>$I14*IF($G14="Pickup", SUMIFS(NewEmisData!I:I, NewEmisData!$A:$A, "Pickup", NewEmisData!$B:$B, $A14, NewEmisData!$C:$C, $H14, NewEmisData!$D:$D, DU$2), SUMIFS(NewEmisData!I:I, NewEmisData!$A:$A, "LDV", NewEmisData!$B:$B, $A14, NewEmisData!$C:$C, $H14, NewEmisData!$D:$D, DU$2))</f>
        <v>4.0637666627415803E-3</v>
      </c>
      <c r="DV14" s="324">
        <f>$I14*IF($G14="Pickup", SUMIFS(NewEmisData!J:J, NewEmisData!$A:$A, "Pickup", NewEmisData!$B:$B, $A14, NewEmisData!$C:$C, $H14, NewEmisData!$D:$D, DV$2), SUMIFS(NewEmisData!J:J, NewEmisData!$A:$A, "LDV", NewEmisData!$B:$B, $A14, NewEmisData!$C:$C, $H14, NewEmisData!$D:$D, DV$2))</f>
        <v>3.5439556352963399E-3</v>
      </c>
      <c r="DW14" s="324">
        <f>$I14*IF($G14="Pickup", SUMIFS(NewEmisData!K:K, NewEmisData!$A:$A, "Pickup", NewEmisData!$B:$B, $A14, NewEmisData!$C:$C, $H14, NewEmisData!$D:$D, DW$2), SUMIFS(NewEmisData!K:K, NewEmisData!$A:$A, "LDV", NewEmisData!$B:$B, $A14, NewEmisData!$C:$C, $H14, NewEmisData!$D:$D, DW$2))</f>
        <v>3.25169320270512E-3</v>
      </c>
      <c r="DX14" s="324">
        <f>$I14*IF($G14="Pickup", SUMIFS(NewEmisData!L:L, NewEmisData!$A:$A, "Pickup", NewEmisData!$B:$B, $A14, NewEmisData!$C:$C, $H14, NewEmisData!$D:$D, DX$2), SUMIFS(NewEmisData!L:L, NewEmisData!$A:$A, "LDV", NewEmisData!$B:$B, $A14, NewEmisData!$C:$C, $H14, NewEmisData!$D:$D, DX$2))</f>
        <v>3.1576560516429699E-3</v>
      </c>
      <c r="DY14" s="324">
        <f>$I14*IF($G14="Pickup", SUMIFS(NewEmisData!M:M, NewEmisData!$A:$A, "Pickup", NewEmisData!$B:$B, $A14, NewEmisData!$C:$C, $H14, NewEmisData!$D:$D, DY$2), SUMIFS(NewEmisData!M:M, NewEmisData!$A:$A, "LDV", NewEmisData!$B:$B, $A14, NewEmisData!$C:$C, $H14, NewEmisData!$D:$D, DY$2))</f>
        <v>3.1088285848124E-3</v>
      </c>
      <c r="DZ14" s="324">
        <f t="shared" si="15"/>
        <v>3.1088285848124E-3</v>
      </c>
      <c r="EA14" s="324">
        <f t="shared" si="16"/>
        <v>465.43339574540698</v>
      </c>
      <c r="EB14" s="324">
        <f t="shared" si="17"/>
        <v>447.45086858043499</v>
      </c>
      <c r="EC14" s="324">
        <f t="shared" si="18"/>
        <v>371.68579631799702</v>
      </c>
      <c r="ED14" s="324">
        <f t="shared" si="19"/>
        <v>316.68783468886801</v>
      </c>
      <c r="EE14" s="324">
        <f t="shared" si="20"/>
        <v>274.45359564691302</v>
      </c>
      <c r="EF14" s="324">
        <f t="shared" si="21"/>
        <v>250.610452801164</v>
      </c>
      <c r="EG14" s="324">
        <f t="shared" si="22"/>
        <v>239.96929474207201</v>
      </c>
      <c r="EH14" s="324">
        <f t="shared" si="23"/>
        <v>236.17949059358199</v>
      </c>
      <c r="EI14" s="324">
        <f t="shared" si="24"/>
        <v>234.77621268414799</v>
      </c>
      <c r="EJ14" s="324">
        <f t="shared" si="25"/>
        <v>234.77621268414799</v>
      </c>
      <c r="EK14" s="324">
        <f t="shared" si="26"/>
        <v>0.76817370125590101</v>
      </c>
      <c r="EL14" s="324">
        <f t="shared" si="27"/>
        <v>0.34255400012381199</v>
      </c>
      <c r="EM14" s="324">
        <f t="shared" si="28"/>
        <v>0.22026197441968301</v>
      </c>
      <c r="EN14" s="324">
        <f t="shared" si="29"/>
        <v>0.146130223505477</v>
      </c>
      <c r="EO14" s="324">
        <f t="shared" si="30"/>
        <v>9.25204446820201E-2</v>
      </c>
      <c r="EP14" s="324">
        <f t="shared" si="31"/>
        <v>6.9646332093205393E-2</v>
      </c>
      <c r="EQ14" s="324">
        <f t="shared" si="32"/>
        <v>6.0285539426727999E-2</v>
      </c>
      <c r="ER14" s="324">
        <f t="shared" si="33"/>
        <v>5.7685517085836899E-2</v>
      </c>
      <c r="ES14" s="324">
        <f t="shared" si="34"/>
        <v>5.6336256806388998E-2</v>
      </c>
      <c r="ET14" s="324">
        <f t="shared" si="35"/>
        <v>5.6336256806388998E-2</v>
      </c>
      <c r="EU14" s="324">
        <f t="shared" si="36"/>
        <v>8.0536316527093799E-3</v>
      </c>
      <c r="EV14" s="324">
        <f t="shared" si="37"/>
        <v>7.7424694052717798E-3</v>
      </c>
      <c r="EW14" s="324">
        <f t="shared" si="38"/>
        <v>5.3320257089092297E-3</v>
      </c>
      <c r="EX14" s="324">
        <f t="shared" si="39"/>
        <v>4.5430510168157703E-3</v>
      </c>
      <c r="EY14" s="324">
        <f t="shared" si="40"/>
        <v>3.9371785778053803E-3</v>
      </c>
      <c r="EZ14" s="324">
        <f t="shared" si="41"/>
        <v>3.5951364530025401E-3</v>
      </c>
      <c r="FA14" s="324">
        <f t="shared" si="42"/>
        <v>3.4424852382502098E-3</v>
      </c>
      <c r="FB14" s="324">
        <f t="shared" si="43"/>
        <v>3.38811619026995E-3</v>
      </c>
      <c r="FC14" s="324">
        <f t="shared" si="44"/>
        <v>3.36798790618778E-3</v>
      </c>
      <c r="FD14" s="324">
        <f t="shared" si="45"/>
        <v>3.36798790618778E-3</v>
      </c>
      <c r="FE14" s="324">
        <f t="shared" si="46"/>
        <v>7.6317156939691294E-2</v>
      </c>
      <c r="FF14" s="324">
        <f t="shared" si="47"/>
        <v>7.1544642944165196E-2</v>
      </c>
      <c r="FG14" s="324">
        <f t="shared" si="48"/>
        <v>5.8249743312617203E-2</v>
      </c>
      <c r="FH14" s="324">
        <f t="shared" si="49"/>
        <v>5.6730049378736901E-2</v>
      </c>
      <c r="FI14" s="324">
        <f t="shared" si="50"/>
        <v>5.5297861804990203E-2</v>
      </c>
      <c r="FJ14" s="324">
        <f t="shared" si="51"/>
        <v>5.4156352090813403E-2</v>
      </c>
      <c r="FK14" s="324">
        <f t="shared" si="52"/>
        <v>5.3430662266944498E-2</v>
      </c>
      <c r="FL14" s="324">
        <f t="shared" si="53"/>
        <v>5.3062743786751999E-2</v>
      </c>
      <c r="FM14" s="324">
        <f t="shared" si="54"/>
        <v>5.2850768620488903E-2</v>
      </c>
      <c r="FN14" s="324">
        <f t="shared" si="55"/>
        <v>5.2850768620488903E-2</v>
      </c>
      <c r="FO14" s="324">
        <f t="shared" si="56"/>
        <v>2.00368746679381E-2</v>
      </c>
      <c r="FP14" s="324">
        <f t="shared" si="57"/>
        <v>1.58149288879222E-2</v>
      </c>
      <c r="FQ14" s="324">
        <f t="shared" si="58"/>
        <v>1.2889012730210401E-2</v>
      </c>
      <c r="FR14" s="324">
        <f t="shared" si="59"/>
        <v>1.1544674905883E-2</v>
      </c>
      <c r="FS14" s="324">
        <f t="shared" si="60"/>
        <v>1.0277724336371899E-2</v>
      </c>
      <c r="FT14" s="324">
        <f t="shared" si="61"/>
        <v>9.2679749278735592E-3</v>
      </c>
      <c r="FU14" s="324">
        <f t="shared" si="62"/>
        <v>8.6259896432645099E-3</v>
      </c>
      <c r="FV14" s="324">
        <f t="shared" si="63"/>
        <v>8.3004876330209296E-3</v>
      </c>
      <c r="FW14" s="324">
        <f t="shared" si="64"/>
        <v>8.1129702157430005E-3</v>
      </c>
      <c r="FX14" s="324">
        <f t="shared" si="65"/>
        <v>8.1129702157430005E-3</v>
      </c>
    </row>
    <row r="15" spans="1:190" x14ac:dyDescent="0.2">
      <c r="A15" s="298" t="str">
        <f>IF(LEFT(TRIM(Technologies!B65),1)="*", _xlfn.CONCAT("*","R2"), "R2")</f>
        <v>R2</v>
      </c>
      <c r="B15" s="298" t="str">
        <f>TechData_existing!B8</f>
        <v>TLECGSL</v>
      </c>
      <c r="C15" s="298" t="str">
        <f>TechData_existing!C8</f>
        <v>TL.GSL.C.Existing fleet</v>
      </c>
      <c r="D15" s="294" t="str">
        <f>TechData_existing!D8</f>
        <v>bn-vmt, bn-vmt/a</v>
      </c>
      <c r="E15" s="294" t="str">
        <f>TechData_existing!E8</f>
        <v>TLGSL</v>
      </c>
      <c r="F15" s="294" t="str">
        <f>TechData_existing!F8</f>
        <v>TL</v>
      </c>
      <c r="G15" s="294" t="s">
        <v>475</v>
      </c>
      <c r="H15" s="294" t="s">
        <v>474</v>
      </c>
      <c r="I15" s="294">
        <v>1</v>
      </c>
      <c r="J15" s="308" t="str">
        <f t="shared" si="2"/>
        <v>Compact car-GSL</v>
      </c>
      <c r="K15" s="324">
        <f>$I15*IF($G15="Pickup", SUMIFS(NewEmisData!E:E, NewEmisData!$A:$A, "Pickup", NewEmisData!$B:$B, $A15, NewEmisData!$C:$C, $H15, NewEmisData!$D:$D, K$2), SUMIFS(NewEmisData!E:E, NewEmisData!$A:$A, "LDV", NewEmisData!$B:$B, $A15, NewEmisData!$C:$C, $H15, NewEmisData!$D:$D, K$2))</f>
        <v>477.08587282575797</v>
      </c>
      <c r="L15" s="324">
        <f>$I15*IF($G15="Pickup", SUMIFS(NewEmisData!F:F, NewEmisData!$A:$A, "Pickup", NewEmisData!$B:$B, $A15, NewEmisData!$C:$C, $H15, NewEmisData!$D:$D, L$2), SUMIFS(NewEmisData!F:F, NewEmisData!$A:$A, "LDV", NewEmisData!$B:$B, $A15, NewEmisData!$C:$C, $H15, NewEmisData!$D:$D, L$2))</f>
        <v>459.34104292251902</v>
      </c>
      <c r="M15" s="324">
        <f>$I15*IF($G15="Pickup", SUMIFS(NewEmisData!G:G, NewEmisData!$A:$A, "Pickup", NewEmisData!$B:$B, $A15, NewEmisData!$C:$C, $H15, NewEmisData!$D:$D, M$2), SUMIFS(NewEmisData!G:G, NewEmisData!$A:$A, "LDV", NewEmisData!$B:$B, $A15, NewEmisData!$C:$C, $H15, NewEmisData!$D:$D, M$2))</f>
        <v>447.45896927637102</v>
      </c>
      <c r="N15" s="324">
        <f>$I15*IF($G15="Pickup", SUMIFS(NewEmisData!H:H, NewEmisData!$A:$A, "Pickup", NewEmisData!$B:$B, $A15, NewEmisData!$C:$C, $H15, NewEmisData!$D:$D, N$2), SUMIFS(NewEmisData!H:H, NewEmisData!$A:$A, "LDV", NewEmisData!$B:$B, $A15, NewEmisData!$C:$C, $H15, NewEmisData!$D:$D, N$2))</f>
        <v>380.72392677964001</v>
      </c>
      <c r="O15" s="324">
        <f>$I15*IF($G15="Pickup", SUMIFS(NewEmisData!I:I, NewEmisData!$A:$A, "Pickup", NewEmisData!$B:$B, $A15, NewEmisData!$C:$C, $H15, NewEmisData!$D:$D, O$2), SUMIFS(NewEmisData!I:I, NewEmisData!$A:$A, "LDV", NewEmisData!$B:$B, $A15, NewEmisData!$C:$C, $H15, NewEmisData!$D:$D, O$2))</f>
        <v>329.54737069801098</v>
      </c>
      <c r="P15" s="324">
        <f>$I15*IF($G15="Pickup", SUMIFS(NewEmisData!J:J, NewEmisData!$A:$A, "Pickup", NewEmisData!$B:$B, $A15, NewEmisData!$C:$C, $H15, NewEmisData!$D:$D, P$2), SUMIFS(NewEmisData!J:J, NewEmisData!$A:$A, "LDV", NewEmisData!$B:$B, $A15, NewEmisData!$C:$C, $H15, NewEmisData!$D:$D, P$2))</f>
        <v>300.69829568412598</v>
      </c>
      <c r="Q15" s="324">
        <f>$I15*IF($G15="Pickup", SUMIFS(NewEmisData!K:K, NewEmisData!$A:$A, "Pickup", NewEmisData!$B:$B, $A15, NewEmisData!$C:$C, $H15, NewEmisData!$D:$D, Q$2), SUMIFS(NewEmisData!K:K, NewEmisData!$A:$A, "LDV", NewEmisData!$B:$B, $A15, NewEmisData!$C:$C, $H15, NewEmisData!$D:$D, Q$2))</f>
        <v>287.83799703632701</v>
      </c>
      <c r="R15" s="324">
        <f>$I15*IF($G15="Pickup", SUMIFS(NewEmisData!L:L, NewEmisData!$A:$A, "Pickup", NewEmisData!$B:$B, $A15, NewEmisData!$C:$C, $H15, NewEmisData!$D:$D, R$2), SUMIFS(NewEmisData!L:L, NewEmisData!$A:$A, "LDV", NewEmisData!$B:$B, $A15, NewEmisData!$C:$C, $H15, NewEmisData!$D:$D, R$2))</f>
        <v>283.26610797837998</v>
      </c>
      <c r="S15" s="324">
        <f>$I15*IF($G15="Pickup", SUMIFS(NewEmisData!M:M, NewEmisData!$A:$A, "Pickup", NewEmisData!$B:$B, $A15, NewEmisData!$C:$C, $H15, NewEmisData!$D:$D, S$2), SUMIFS(NewEmisData!M:M, NewEmisData!$A:$A, "LDV", NewEmisData!$B:$B, $A15, NewEmisData!$C:$C, $H15, NewEmisData!$D:$D, S$2))</f>
        <v>281.57834098528099</v>
      </c>
      <c r="T15" s="324">
        <f t="shared" si="5"/>
        <v>281.57834098528099</v>
      </c>
      <c r="U15" s="324">
        <f>$I15*IF($G15="Pickup", SUMIFS(NewEmisData!E:E, NewEmisData!$A:$A, "Pickup", NewEmisData!$B:$B, $A15, NewEmisData!$C:$C, $H15, NewEmisData!$D:$D, U$2), SUMIFS(NewEmisData!E:E, NewEmisData!$A:$A, "LDV", NewEmisData!$B:$B, $A15, NewEmisData!$C:$C, $H15, NewEmisData!$D:$D, U$2))</f>
        <v>0.82339103642645395</v>
      </c>
      <c r="V15" s="324">
        <f>$I15*IF($G15="Pickup", SUMIFS(NewEmisData!F:F, NewEmisData!$A:$A, "Pickup", NewEmisData!$B:$B, $A15, NewEmisData!$C:$C, $H15, NewEmisData!$D:$D, V$2), SUMIFS(NewEmisData!F:F, NewEmisData!$A:$A, "LDV", NewEmisData!$B:$B, $A15, NewEmisData!$C:$C, $H15, NewEmisData!$D:$D, V$2))</f>
        <v>0.360872733315452</v>
      </c>
      <c r="W15" s="324">
        <f>$I15*IF($G15="Pickup", SUMIFS(NewEmisData!G:G, NewEmisData!$A:$A, "Pickup", NewEmisData!$B:$B, $A15, NewEmisData!$C:$C, $H15, NewEmisData!$D:$D, W$2), SUMIFS(NewEmisData!G:G, NewEmisData!$A:$A, "LDV", NewEmisData!$B:$B, $A15, NewEmisData!$C:$C, $H15, NewEmisData!$D:$D, W$2))</f>
        <v>0.21658171178065999</v>
      </c>
      <c r="X15" s="324">
        <f>$I15*IF($G15="Pickup", SUMIFS(NewEmisData!H:H, NewEmisData!$A:$A, "Pickup", NewEmisData!$B:$B, $A15, NewEmisData!$C:$C, $H15, NewEmisData!$D:$D, X$2), SUMIFS(NewEmisData!H:H, NewEmisData!$A:$A, "LDV", NewEmisData!$B:$B, $A15, NewEmisData!$C:$C, $H15, NewEmisData!$D:$D, X$2))</f>
        <v>0.14200533002195401</v>
      </c>
      <c r="Y15" s="324">
        <f>$I15*IF($G15="Pickup", SUMIFS(NewEmisData!I:I, NewEmisData!$A:$A, "Pickup", NewEmisData!$B:$B, $A15, NewEmisData!$C:$C, $H15, NewEmisData!$D:$D, Y$2), SUMIFS(NewEmisData!I:I, NewEmisData!$A:$A, "LDV", NewEmisData!$B:$B, $A15, NewEmisData!$C:$C, $H15, NewEmisData!$D:$D, Y$2))</f>
        <v>8.8016804659711706E-2</v>
      </c>
      <c r="Z15" s="324">
        <f>$I15*IF($G15="Pickup", SUMIFS(NewEmisData!J:J, NewEmisData!$A:$A, "Pickup", NewEmisData!$B:$B, $A15, NewEmisData!$C:$C, $H15, NewEmisData!$D:$D, Z$2), SUMIFS(NewEmisData!J:J, NewEmisData!$A:$A, "LDV", NewEmisData!$B:$B, $A15, NewEmisData!$C:$C, $H15, NewEmisData!$D:$D, Z$2))</f>
        <v>6.5736379947852003E-2</v>
      </c>
      <c r="AA15" s="324">
        <f>$I15*IF($G15="Pickup", SUMIFS(NewEmisData!K:K, NewEmisData!$A:$A, "Pickup", NewEmisData!$B:$B, $A15, NewEmisData!$C:$C, $H15, NewEmisData!$D:$D, AA$2), SUMIFS(NewEmisData!K:K, NewEmisData!$A:$A, "LDV", NewEmisData!$B:$B, $A15, NewEmisData!$C:$C, $H15, NewEmisData!$D:$D, AA$2))</f>
        <v>5.6635638117250503E-2</v>
      </c>
      <c r="AB15" s="324">
        <f>$I15*IF($G15="Pickup", SUMIFS(NewEmisData!L:L, NewEmisData!$A:$A, "Pickup", NewEmisData!$B:$B, $A15, NewEmisData!$C:$C, $H15, NewEmisData!$D:$D, AB$2), SUMIFS(NewEmisData!L:L, NewEmisData!$A:$A, "LDV", NewEmisData!$B:$B, $A15, NewEmisData!$C:$C, $H15, NewEmisData!$D:$D, AB$2))</f>
        <v>5.4115247223223299E-2</v>
      </c>
      <c r="AC15" s="324">
        <f>$I15*IF($G15="Pickup", SUMIFS(NewEmisData!M:M, NewEmisData!$A:$A, "Pickup", NewEmisData!$B:$B, $A15, NewEmisData!$C:$C, $H15, NewEmisData!$D:$D, AC$2), SUMIFS(NewEmisData!M:M, NewEmisData!$A:$A, "LDV", NewEmisData!$B:$B, $A15, NewEmisData!$C:$C, $H15, NewEmisData!$D:$D, AC$2))</f>
        <v>5.2826207223764E-2</v>
      </c>
      <c r="AD15" s="324">
        <f t="shared" si="6"/>
        <v>5.2826207223764E-2</v>
      </c>
      <c r="AE15" s="324">
        <f>$I15*IF($G15="Pickup", SUMIFS(NewEmisData!E:E, NewEmisData!$A:$A, "Pickup", NewEmisData!$B:$B, $A15, NewEmisData!$C:$C, $H15, NewEmisData!$D:$D, AE$2), SUMIFS(NewEmisData!E:E, NewEmisData!$A:$A, "LDV", NewEmisData!$B:$B, $A15, NewEmisData!$C:$C, $H15, NewEmisData!$D:$D, AE$2))</f>
        <v>8.2552586035919695E-3</v>
      </c>
      <c r="AF15" s="324">
        <f>$I15*IF($G15="Pickup", SUMIFS(NewEmisData!F:F, NewEmisData!$A:$A, "Pickup", NewEmisData!$B:$B, $A15, NewEmisData!$C:$C, $H15, NewEmisData!$D:$D, AF$2), SUMIFS(NewEmisData!F:F, NewEmisData!$A:$A, "LDV", NewEmisData!$B:$B, $A15, NewEmisData!$C:$C, $H15, NewEmisData!$D:$D, AF$2))</f>
        <v>7.9482131517538395E-3</v>
      </c>
      <c r="AG15" s="324">
        <f>$I15*IF($G15="Pickup", SUMIFS(NewEmisData!G:G, NewEmisData!$A:$A, "Pickup", NewEmisData!$B:$B, $A15, NewEmisData!$C:$C, $H15, NewEmisData!$D:$D, AG$2), SUMIFS(NewEmisData!G:G, NewEmisData!$A:$A, "LDV", NewEmisData!$B:$B, $A15, NewEmisData!$C:$C, $H15, NewEmisData!$D:$D, AG$2))</f>
        <v>6.4190305556059996E-3</v>
      </c>
      <c r="AH15" s="324">
        <f>$I15*IF($G15="Pickup", SUMIFS(NewEmisData!H:H, NewEmisData!$A:$A, "Pickup", NewEmisData!$B:$B, $A15, NewEmisData!$C:$C, $H15, NewEmisData!$D:$D, AH$2), SUMIFS(NewEmisData!H:H, NewEmisData!$A:$A, "LDV", NewEmisData!$B:$B, $A15, NewEmisData!$C:$C, $H15, NewEmisData!$D:$D, AH$2))</f>
        <v>5.4616828003907899E-3</v>
      </c>
      <c r="AI15" s="324">
        <f>$I15*IF($G15="Pickup", SUMIFS(NewEmisData!I:I, NewEmisData!$A:$A, "Pickup", NewEmisData!$B:$B, $A15, NewEmisData!$C:$C, $H15, NewEmisData!$D:$D, AI$2), SUMIFS(NewEmisData!I:I, NewEmisData!$A:$A, "LDV", NewEmisData!$B:$B, $A15, NewEmisData!$C:$C, $H15, NewEmisData!$D:$D, AI$2))</f>
        <v>4.7275285851957304E-3</v>
      </c>
      <c r="AJ15" s="324">
        <f>$I15*IF($G15="Pickup", SUMIFS(NewEmisData!J:J, NewEmisData!$A:$A, "Pickup", NewEmisData!$B:$B, $A15, NewEmisData!$C:$C, $H15, NewEmisData!$D:$D, AJ$2), SUMIFS(NewEmisData!J:J, NewEmisData!$A:$A, "LDV", NewEmisData!$B:$B, $A15, NewEmisData!$C:$C, $H15, NewEmisData!$D:$D, AJ$2))</f>
        <v>4.3136734611450098E-3</v>
      </c>
      <c r="AK15" s="324">
        <f>$I15*IF($G15="Pickup", SUMIFS(NewEmisData!K:K, NewEmisData!$A:$A, "Pickup", NewEmisData!$B:$B, $A15, NewEmisData!$C:$C, $H15, NewEmisData!$D:$D, AK$2), SUMIFS(NewEmisData!K:K, NewEmisData!$A:$A, "LDV", NewEmisData!$B:$B, $A15, NewEmisData!$C:$C, $H15, NewEmisData!$D:$D, AK$2))</f>
        <v>4.1291858052272803E-3</v>
      </c>
      <c r="AL15" s="324">
        <f>$I15*IF($G15="Pickup", SUMIFS(NewEmisData!L:L, NewEmisData!$A:$A, "Pickup", NewEmisData!$B:$B, $A15, NewEmisData!$C:$C, $H15, NewEmisData!$D:$D, AL$2), SUMIFS(NewEmisData!L:L, NewEmisData!$A:$A, "LDV", NewEmisData!$B:$B, $A15, NewEmisData!$C:$C, $H15, NewEmisData!$D:$D, AL$2))</f>
        <v>4.0635983922117898E-3</v>
      </c>
      <c r="AM15" s="324">
        <f>$I15*IF($G15="Pickup", SUMIFS(NewEmisData!M:M, NewEmisData!$A:$A, "Pickup", NewEmisData!$B:$B, $A15, NewEmisData!$C:$C, $H15, NewEmisData!$D:$D, AM$2), SUMIFS(NewEmisData!M:M, NewEmisData!$A:$A, "LDV", NewEmisData!$B:$B, $A15, NewEmisData!$C:$C, $H15, NewEmisData!$D:$D, AM$2))</f>
        <v>4.0393864318059199E-3</v>
      </c>
      <c r="AN15" s="324">
        <f t="shared" si="7"/>
        <v>4.0393864318059199E-3</v>
      </c>
      <c r="AO15" s="324">
        <f>$I15*IF($G15="Pickup", SUMIFS(NewEmisData!E:E, NewEmisData!$A:$A, "Pickup", NewEmisData!$B:$B, $A15, NewEmisData!$C:$C, $H15, NewEmisData!$D:$D, AO$2), SUMIFS(NewEmisData!E:E, NewEmisData!$A:$A, "LDV", NewEmisData!$B:$B, $A15, NewEmisData!$C:$C, $H15, NewEmisData!$D:$D, AO$2))</f>
        <v>8.1828643727713493E-2</v>
      </c>
      <c r="AP15" s="324">
        <f>$I15*IF($G15="Pickup", SUMIFS(NewEmisData!F:F, NewEmisData!$A:$A, "Pickup", NewEmisData!$B:$B, $A15, NewEmisData!$C:$C, $H15, NewEmisData!$D:$D, AP$2), SUMIFS(NewEmisData!F:F, NewEmisData!$A:$A, "LDV", NewEmisData!$B:$B, $A15, NewEmisData!$C:$C, $H15, NewEmisData!$D:$D, AP$2))</f>
        <v>7.6175839057221195E-2</v>
      </c>
      <c r="AQ15" s="324">
        <f>$I15*IF($G15="Pickup", SUMIFS(NewEmisData!G:G, NewEmisData!$A:$A, "Pickup", NewEmisData!$B:$B, $A15, NewEmisData!$C:$C, $H15, NewEmisData!$D:$D, AQ$2), SUMIFS(NewEmisData!G:G, NewEmisData!$A:$A, "LDV", NewEmisData!$B:$B, $A15, NewEmisData!$C:$C, $H15, NewEmisData!$D:$D, AQ$2))</f>
        <v>8.1302809072104507E-2</v>
      </c>
      <c r="AR15" s="324">
        <f>$I15*IF($G15="Pickup", SUMIFS(NewEmisData!H:H, NewEmisData!$A:$A, "Pickup", NewEmisData!$B:$B, $A15, NewEmisData!$C:$C, $H15, NewEmisData!$D:$D, AR$2), SUMIFS(NewEmisData!H:H, NewEmisData!$A:$A, "LDV", NewEmisData!$B:$B, $A15, NewEmisData!$C:$C, $H15, NewEmisData!$D:$D, AR$2))</f>
        <v>7.9561688690416299E-2</v>
      </c>
      <c r="AS15" s="324">
        <f>$I15*IF($G15="Pickup", SUMIFS(NewEmisData!I:I, NewEmisData!$A:$A, "Pickup", NewEmisData!$B:$B, $A15, NewEmisData!$C:$C, $H15, NewEmisData!$D:$D, AS$2), SUMIFS(NewEmisData!I:I, NewEmisData!$A:$A, "LDV", NewEmisData!$B:$B, $A15, NewEmisData!$C:$C, $H15, NewEmisData!$D:$D, AS$2))</f>
        <v>7.7910530261031605E-2</v>
      </c>
      <c r="AT15" s="324">
        <f>$I15*IF($G15="Pickup", SUMIFS(NewEmisData!J:J, NewEmisData!$A:$A, "Pickup", NewEmisData!$B:$B, $A15, NewEmisData!$C:$C, $H15, NewEmisData!$D:$D, AT$2), SUMIFS(NewEmisData!J:J, NewEmisData!$A:$A, "LDV", NewEmisData!$B:$B, $A15, NewEmisData!$C:$C, $H15, NewEmisData!$D:$D, AT$2))</f>
        <v>7.6590334474495605E-2</v>
      </c>
      <c r="AU15" s="324">
        <f>$I15*IF($G15="Pickup", SUMIFS(NewEmisData!K:K, NewEmisData!$A:$A, "Pickup", NewEmisData!$B:$B, $A15, NewEmisData!$C:$C, $H15, NewEmisData!$D:$D, AU$2), SUMIFS(NewEmisData!K:K, NewEmisData!$A:$A, "LDV", NewEmisData!$B:$B, $A15, NewEmisData!$C:$C, $H15, NewEmisData!$D:$D, AU$2))</f>
        <v>7.5767938917924701E-2</v>
      </c>
      <c r="AV15" s="324">
        <f>$I15*IF($G15="Pickup", SUMIFS(NewEmisData!L:L, NewEmisData!$A:$A, "Pickup", NewEmisData!$B:$B, $A15, NewEmisData!$C:$C, $H15, NewEmisData!$D:$D, AV$2), SUMIFS(NewEmisData!L:L, NewEmisData!$A:$A, "LDV", NewEmisData!$B:$B, $A15, NewEmisData!$C:$C, $H15, NewEmisData!$D:$D, AV$2))</f>
        <v>7.5353710070808794E-2</v>
      </c>
      <c r="AW15" s="324">
        <f>$I15*IF($G15="Pickup", SUMIFS(NewEmisData!M:M, NewEmisData!$A:$A, "Pickup", NewEmisData!$B:$B, $A15, NewEmisData!$C:$C, $H15, NewEmisData!$D:$D, AW$2), SUMIFS(NewEmisData!M:M, NewEmisData!$A:$A, "LDV", NewEmisData!$B:$B, $A15, NewEmisData!$C:$C, $H15, NewEmisData!$D:$D, AW$2))</f>
        <v>7.5117977052891499E-2</v>
      </c>
      <c r="AX15" s="324">
        <f t="shared" si="8"/>
        <v>7.5117977052891499E-2</v>
      </c>
      <c r="AY15" s="324">
        <f>$I15*IF($G15="Pickup", SUMIFS(NewEmisData!E:E, NewEmisData!$A:$A, "Pickup", NewEmisData!$B:$B, $A15, NewEmisData!$C:$C, $H15, NewEmisData!$D:$D, AY$2), SUMIFS(NewEmisData!E:E, NewEmisData!$A:$A, "LDV", NewEmisData!$B:$B, $A15, NewEmisData!$C:$C, $H15, NewEmisData!$D:$D, AY$2))</f>
        <v>2.1998193760633E-2</v>
      </c>
      <c r="AZ15" s="324">
        <f>$I15*IF($G15="Pickup", SUMIFS(NewEmisData!F:F, NewEmisData!$A:$A, "Pickup", NewEmisData!$B:$B, $A15, NewEmisData!$C:$C, $H15, NewEmisData!$D:$D, AZ$2), SUMIFS(NewEmisData!F:F, NewEmisData!$A:$A, "LDV", NewEmisData!$B:$B, $A15, NewEmisData!$C:$C, $H15, NewEmisData!$D:$D, AZ$2))</f>
        <v>1.6997575378008601E-2</v>
      </c>
      <c r="BA15" s="324">
        <f>$I15*IF($G15="Pickup", SUMIFS(NewEmisData!G:G, NewEmisData!$A:$A, "Pickup", NewEmisData!$B:$B, $A15, NewEmisData!$C:$C, $H15, NewEmisData!$D:$D, BA$2), SUMIFS(NewEmisData!G:G, NewEmisData!$A:$A, "LDV", NewEmisData!$B:$B, $A15, NewEmisData!$C:$C, $H15, NewEmisData!$D:$D, BA$2))</f>
        <v>1.6580879412419602E-2</v>
      </c>
      <c r="BB15" s="324">
        <f>$I15*IF($G15="Pickup", SUMIFS(NewEmisData!H:H, NewEmisData!$A:$A, "Pickup", NewEmisData!$B:$B, $A15, NewEmisData!$C:$C, $H15, NewEmisData!$D:$D, BB$2), SUMIFS(NewEmisData!H:H, NewEmisData!$A:$A, "LDV", NewEmisData!$B:$B, $A15, NewEmisData!$C:$C, $H15, NewEmisData!$D:$D, BB$2))</f>
        <v>1.5040645169031801E-2</v>
      </c>
      <c r="BC15" s="324">
        <f>$I15*IF($G15="Pickup", SUMIFS(NewEmisData!I:I, NewEmisData!$A:$A, "Pickup", NewEmisData!$B:$B, $A15, NewEmisData!$C:$C, $H15, NewEmisData!$D:$D, BC$2), SUMIFS(NewEmisData!I:I, NewEmisData!$A:$A, "LDV", NewEmisData!$B:$B, $A15, NewEmisData!$C:$C, $H15, NewEmisData!$D:$D, BC$2))</f>
        <v>1.35799610150696E-2</v>
      </c>
      <c r="BD15" s="324">
        <f>$I15*IF($G15="Pickup", SUMIFS(NewEmisData!J:J, NewEmisData!$A:$A, "Pickup", NewEmisData!$B:$B, $A15, NewEmisData!$C:$C, $H15, NewEmisData!$D:$D, BD$2), SUMIFS(NewEmisData!J:J, NewEmisData!$A:$A, "LDV", NewEmisData!$B:$B, $A15, NewEmisData!$C:$C, $H15, NewEmisData!$D:$D, BD$2))</f>
        <v>1.24120667817219E-2</v>
      </c>
      <c r="BE15" s="324">
        <f>$I15*IF($G15="Pickup", SUMIFS(NewEmisData!K:K, NewEmisData!$A:$A, "Pickup", NewEmisData!$B:$B, $A15, NewEmisData!$C:$C, $H15, NewEmisData!$D:$D, BE$2), SUMIFS(NewEmisData!K:K, NewEmisData!$A:$A, "LDV", NewEmisData!$B:$B, $A15, NewEmisData!$C:$C, $H15, NewEmisData!$D:$D, BE$2))</f>
        <v>1.16845073314224E-2</v>
      </c>
      <c r="BF15" s="324">
        <f>$I15*IF($G15="Pickup", SUMIFS(NewEmisData!L:L, NewEmisData!$A:$A, "Pickup", NewEmisData!$B:$B, $A15, NewEmisData!$C:$C, $H15, NewEmisData!$D:$D, BF$2), SUMIFS(NewEmisData!L:L, NewEmisData!$A:$A, "LDV", NewEmisData!$B:$B, $A15, NewEmisData!$C:$C, $H15, NewEmisData!$D:$D, BF$2))</f>
        <v>1.1318096390010799E-2</v>
      </c>
      <c r="BG15" s="324">
        <f>$I15*IF($G15="Pickup", SUMIFS(NewEmisData!M:M, NewEmisData!$A:$A, "Pickup", NewEmisData!$B:$B, $A15, NewEmisData!$C:$C, $H15, NewEmisData!$D:$D, BG$2), SUMIFS(NewEmisData!M:M, NewEmisData!$A:$A, "LDV", NewEmisData!$B:$B, $A15, NewEmisData!$C:$C, $H15, NewEmisData!$D:$D, BG$2))</f>
        <v>1.1109456757731499E-2</v>
      </c>
      <c r="BH15" s="324">
        <f t="shared" si="9"/>
        <v>1.1109456757731499E-2</v>
      </c>
      <c r="BI15" s="324">
        <f>$I15*IF($G15="Pickup", SUMIFS(NewEmisData!E:E, NewEmisData!$A:$A, "Pickup", NewEmisData!$B:$B, $A15, NewEmisData!$C:$C, $H15, NewEmisData!$D:$D, BI$2), SUMIFS(NewEmisData!E:E, NewEmisData!$A:$A, "LDV", NewEmisData!$B:$B, $A15, NewEmisData!$C:$C, $H15, NewEmisData!$D:$D, BI$2))</f>
        <v>6.6339830086865597</v>
      </c>
      <c r="BJ15" s="324">
        <f>$I15*IF($G15="Pickup", SUMIFS(NewEmisData!F:F, NewEmisData!$A:$A, "Pickup", NewEmisData!$B:$B, $A15, NewEmisData!$C:$C, $H15, NewEmisData!$D:$D, BJ$2), SUMIFS(NewEmisData!F:F, NewEmisData!$A:$A, "LDV", NewEmisData!$B:$B, $A15, NewEmisData!$C:$C, $H15, NewEmisData!$D:$D, BJ$2))</f>
        <v>3.9206205551931301</v>
      </c>
      <c r="BK15" s="324">
        <f>$I15*IF($G15="Pickup", SUMIFS(NewEmisData!G:G, NewEmisData!$A:$A, "Pickup", NewEmisData!$B:$B, $A15, NewEmisData!$C:$C, $H15, NewEmisData!$D:$D, BK$2), SUMIFS(NewEmisData!G:G, NewEmisData!$A:$A, "LDV", NewEmisData!$B:$B, $A15, NewEmisData!$C:$C, $H15, NewEmisData!$D:$D, BK$2))</f>
        <v>3.0174466275096199</v>
      </c>
      <c r="BL15" s="324">
        <f>$I15*IF($G15="Pickup", SUMIFS(NewEmisData!H:H, NewEmisData!$A:$A, "Pickup", NewEmisData!$B:$B, $A15, NewEmisData!$C:$C, $H15, NewEmisData!$D:$D, BL$2), SUMIFS(NewEmisData!H:H, NewEmisData!$A:$A, "LDV", NewEmisData!$B:$B, $A15, NewEmisData!$C:$C, $H15, NewEmisData!$D:$D, BL$2))</f>
        <v>2.3529221673804699</v>
      </c>
      <c r="BM15" s="324">
        <f>$I15*IF($G15="Pickup", SUMIFS(NewEmisData!I:I, NewEmisData!$A:$A, "Pickup", NewEmisData!$B:$B, $A15, NewEmisData!$C:$C, $H15, NewEmisData!$D:$D, BM$2), SUMIFS(NewEmisData!I:I, NewEmisData!$A:$A, "LDV", NewEmisData!$B:$B, $A15, NewEmisData!$C:$C, $H15, NewEmisData!$D:$D, BM$2))</f>
        <v>1.70384058027793</v>
      </c>
      <c r="BN15" s="324">
        <f>$I15*IF($G15="Pickup", SUMIFS(NewEmisData!J:J, NewEmisData!$A:$A, "Pickup", NewEmisData!$B:$B, $A15, NewEmisData!$C:$C, $H15, NewEmisData!$D:$D, BN$2), SUMIFS(NewEmisData!J:J, NewEmisData!$A:$A, "LDV", NewEmisData!$B:$B, $A15, NewEmisData!$C:$C, $H15, NewEmisData!$D:$D, BN$2))</f>
        <v>1.3463730618004399</v>
      </c>
      <c r="BO15" s="324">
        <f>$I15*IF($G15="Pickup", SUMIFS(NewEmisData!K:K, NewEmisData!$A:$A, "Pickup", NewEmisData!$B:$B, $A15, NewEmisData!$C:$C, $H15, NewEmisData!$D:$D, BO$2), SUMIFS(NewEmisData!K:K, NewEmisData!$A:$A, "LDV", NewEmisData!$B:$B, $A15, NewEmisData!$C:$C, $H15, NewEmisData!$D:$D, BO$2))</f>
        <v>1.1858346520835299</v>
      </c>
      <c r="BP15" s="324">
        <f>$I15*IF($G15="Pickup", SUMIFS(NewEmisData!L:L, NewEmisData!$A:$A, "Pickup", NewEmisData!$B:$B, $A15, NewEmisData!$C:$C, $H15, NewEmisData!$D:$D, BP$2), SUMIFS(NewEmisData!L:L, NewEmisData!$A:$A, "LDV", NewEmisData!$B:$B, $A15, NewEmisData!$C:$C, $H15, NewEmisData!$D:$D, BP$2))</f>
        <v>1.1335061554616499</v>
      </c>
      <c r="BQ15" s="324">
        <f>$I15*IF($G15="Pickup", SUMIFS(NewEmisData!M:M, NewEmisData!$A:$A, "Pickup", NewEmisData!$B:$B, $A15, NewEmisData!$C:$C, $H15, NewEmisData!$D:$D, BQ$2), SUMIFS(NewEmisData!M:M, NewEmisData!$A:$A, "LDV", NewEmisData!$B:$B, $A15, NewEmisData!$C:$C, $H15, NewEmisData!$D:$D, BQ$2))</f>
        <v>1.1009029054349999</v>
      </c>
      <c r="BR15" s="324">
        <f t="shared" si="10"/>
        <v>1.1009029054349999</v>
      </c>
      <c r="BS15" s="324">
        <f>$I15*IF($G15="Pickup", SUMIFS(NewEmisData!E:E, NewEmisData!$A:$A, "Pickup", NewEmisData!$B:$B, $A15, NewEmisData!$C:$C, $H15, NewEmisData!$D:$D, BS$2), SUMIFS(NewEmisData!E:E, NewEmisData!$A:$A, "LDV", NewEmisData!$B:$B, $A15, NewEmisData!$C:$C, $H15, NewEmisData!$D:$D, BS$2))</f>
        <v>0.77473150733664098</v>
      </c>
      <c r="BT15" s="324">
        <f>$I15*IF($G15="Pickup", SUMIFS(NewEmisData!F:F, NewEmisData!$A:$A, "Pickup", NewEmisData!$B:$B, $A15, NewEmisData!$C:$C, $H15, NewEmisData!$D:$D, BT$2), SUMIFS(NewEmisData!F:F, NewEmisData!$A:$A, "LDV", NewEmisData!$B:$B, $A15, NewEmisData!$C:$C, $H15, NewEmisData!$D:$D, BT$2))</f>
        <v>0.41904908416840297</v>
      </c>
      <c r="BU15" s="324">
        <f>$I15*IF($G15="Pickup", SUMIFS(NewEmisData!G:G, NewEmisData!$A:$A, "Pickup", NewEmisData!$B:$B, $A15, NewEmisData!$C:$C, $H15, NewEmisData!$D:$D, BU$2), SUMIFS(NewEmisData!G:G, NewEmisData!$A:$A, "LDV", NewEmisData!$B:$B, $A15, NewEmisData!$C:$C, $H15, NewEmisData!$D:$D, BU$2))</f>
        <v>0.30982899515166501</v>
      </c>
      <c r="BV15" s="324">
        <f>$I15*IF($G15="Pickup", SUMIFS(NewEmisData!H:H, NewEmisData!$A:$A, "Pickup", NewEmisData!$B:$B, $A15, NewEmisData!$C:$C, $H15, NewEmisData!$D:$D, BV$2), SUMIFS(NewEmisData!H:H, NewEmisData!$A:$A, "LDV", NewEmisData!$B:$B, $A15, NewEmisData!$C:$C, $H15, NewEmisData!$D:$D, BV$2))</f>
        <v>0.25046259079934602</v>
      </c>
      <c r="BW15" s="324">
        <f>$I15*IF($G15="Pickup", SUMIFS(NewEmisData!I:I, NewEmisData!$A:$A, "Pickup", NewEmisData!$B:$B, $A15, NewEmisData!$C:$C, $H15, NewEmisData!$D:$D, BW$2), SUMIFS(NewEmisData!I:I, NewEmisData!$A:$A, "LDV", NewEmisData!$B:$B, $A15, NewEmisData!$C:$C, $H15, NewEmisData!$D:$D, BW$2))</f>
        <v>0.18616224227516101</v>
      </c>
      <c r="BX15" s="324">
        <f>$I15*IF($G15="Pickup", SUMIFS(NewEmisData!J:J, NewEmisData!$A:$A, "Pickup", NewEmisData!$B:$B, $A15, NewEmisData!$C:$C, $H15, NewEmisData!$D:$D, BX$2), SUMIFS(NewEmisData!J:J, NewEmisData!$A:$A, "LDV", NewEmisData!$B:$B, $A15, NewEmisData!$C:$C, $H15, NewEmisData!$D:$D, BX$2))</f>
        <v>0.15683046751729501</v>
      </c>
      <c r="BY15" s="324">
        <f>$I15*IF($G15="Pickup", SUMIFS(NewEmisData!K:K, NewEmisData!$A:$A, "Pickup", NewEmisData!$B:$B, $A15, NewEmisData!$C:$C, $H15, NewEmisData!$D:$D, BY$2), SUMIFS(NewEmisData!K:K, NewEmisData!$A:$A, "LDV", NewEmisData!$B:$B, $A15, NewEmisData!$C:$C, $H15, NewEmisData!$D:$D, BY$2))</f>
        <v>0.14094000257929501</v>
      </c>
      <c r="BZ15" s="324">
        <f>$I15*IF($G15="Pickup", SUMIFS(NewEmisData!L:L, NewEmisData!$A:$A, "Pickup", NewEmisData!$B:$B, $A15, NewEmisData!$C:$C, $H15, NewEmisData!$D:$D, BZ$2), SUMIFS(NewEmisData!L:L, NewEmisData!$A:$A, "LDV", NewEmisData!$B:$B, $A15, NewEmisData!$C:$C, $H15, NewEmisData!$D:$D, BZ$2))</f>
        <v>0.134774071356623</v>
      </c>
      <c r="CA15" s="324">
        <f>$I15*IF($G15="Pickup", SUMIFS(NewEmisData!M:M, NewEmisData!$A:$A, "Pickup", NewEmisData!$B:$B, $A15, NewEmisData!$C:$C, $H15, NewEmisData!$D:$D, CA$2), SUMIFS(NewEmisData!M:M, NewEmisData!$A:$A, "LDV", NewEmisData!$B:$B, $A15, NewEmisData!$C:$C, $H15, NewEmisData!$D:$D, CA$2))</f>
        <v>0.12984032725640701</v>
      </c>
      <c r="CB15" s="324">
        <f t="shared" si="11"/>
        <v>0.12984032725640701</v>
      </c>
      <c r="CC15" s="324">
        <f>$I15*IF($G15="Pickup", SUMIFS(NewEmisData!E:E, NewEmisData!$A:$A, "Pickup", NewEmisData!$B:$B, $A15, NewEmisData!$C:$C, $H15, NewEmisData!$D:$D, CC$2), SUMIFS(NewEmisData!E:E, NewEmisData!$A:$A, "LDV", NewEmisData!$B:$B, $A15, NewEmisData!$C:$C, $H15, NewEmisData!$D:$D, CC$2))</f>
        <v>4.52789246362666E-2</v>
      </c>
      <c r="CD15" s="324">
        <f>$I15*IF($G15="Pickup", SUMIFS(NewEmisData!F:F, NewEmisData!$A:$A, "Pickup", NewEmisData!$B:$B, $A15, NewEmisData!$C:$C, $H15, NewEmisData!$D:$D, CD$2), SUMIFS(NewEmisData!F:F, NewEmisData!$A:$A, "LDV", NewEmisData!$B:$B, $A15, NewEmisData!$C:$C, $H15, NewEmisData!$D:$D, CD$2))</f>
        <v>3.0659932051567799E-2</v>
      </c>
      <c r="CE15" s="324">
        <f>$I15*IF($G15="Pickup", SUMIFS(NewEmisData!G:G, NewEmisData!$A:$A, "Pickup", NewEmisData!$B:$B, $A15, NewEmisData!$C:$C, $H15, NewEmisData!$D:$D, CE$2), SUMIFS(NewEmisData!G:G, NewEmisData!$A:$A, "LDV", NewEmisData!$B:$B, $A15, NewEmisData!$C:$C, $H15, NewEmisData!$D:$D, CE$2))</f>
        <v>2.8386595157116199E-2</v>
      </c>
      <c r="CF15" s="324">
        <f>$I15*IF($G15="Pickup", SUMIFS(NewEmisData!H:H, NewEmisData!$A:$A, "Pickup", NewEmisData!$B:$B, $A15, NewEmisData!$C:$C, $H15, NewEmisData!$D:$D, CF$2), SUMIFS(NewEmisData!H:H, NewEmisData!$A:$A, "LDV", NewEmisData!$B:$B, $A15, NewEmisData!$C:$C, $H15, NewEmisData!$D:$D, CF$2))</f>
        <v>2.7093413499500101E-2</v>
      </c>
      <c r="CG15" s="324">
        <f>$I15*IF($G15="Pickup", SUMIFS(NewEmisData!I:I, NewEmisData!$A:$A, "Pickup", NewEmisData!$B:$B, $A15, NewEmisData!$C:$C, $H15, NewEmisData!$D:$D, CG$2), SUMIFS(NewEmisData!I:I, NewEmisData!$A:$A, "LDV", NewEmisData!$B:$B, $A15, NewEmisData!$C:$C, $H15, NewEmisData!$D:$D, CG$2))</f>
        <v>2.6239574855980601E-2</v>
      </c>
      <c r="CH15" s="324">
        <f>$I15*IF($G15="Pickup", SUMIFS(NewEmisData!J:J, NewEmisData!$A:$A, "Pickup", NewEmisData!$B:$B, $A15, NewEmisData!$C:$C, $H15, NewEmisData!$D:$D, CH$2), SUMIFS(NewEmisData!J:J, NewEmisData!$A:$A, "LDV", NewEmisData!$B:$B, $A15, NewEmisData!$C:$C, $H15, NewEmisData!$D:$D, CH$2))</f>
        <v>2.5564245202349602E-2</v>
      </c>
      <c r="CI15" s="324">
        <f>$I15*IF($G15="Pickup", SUMIFS(NewEmisData!K:K, NewEmisData!$A:$A, "Pickup", NewEmisData!$B:$B, $A15, NewEmisData!$C:$C, $H15, NewEmisData!$D:$D, CI$2), SUMIFS(NewEmisData!K:K, NewEmisData!$A:$A, "LDV", NewEmisData!$B:$B, $A15, NewEmisData!$C:$C, $H15, NewEmisData!$D:$D, CI$2))</f>
        <v>2.5562136009582501E-2</v>
      </c>
      <c r="CJ15" s="324">
        <f>$I15*IF($G15="Pickup", SUMIFS(NewEmisData!L:L, NewEmisData!$A:$A, "Pickup", NewEmisData!$B:$B, $A15, NewEmisData!$C:$C, $H15, NewEmisData!$D:$D, CJ$2), SUMIFS(NewEmisData!L:L, NewEmisData!$A:$A, "LDV", NewEmisData!$B:$B, $A15, NewEmisData!$C:$C, $H15, NewEmisData!$D:$D, CJ$2))</f>
        <v>2.5561539762266602E-2</v>
      </c>
      <c r="CK15" s="324">
        <f>$I15*IF($G15="Pickup", SUMIFS(NewEmisData!M:M, NewEmisData!$A:$A, "Pickup", NewEmisData!$B:$B, $A15, NewEmisData!$C:$C, $H15, NewEmisData!$D:$D, CK$2), SUMIFS(NewEmisData!M:M, NewEmisData!$A:$A, "LDV", NewEmisData!$B:$B, $A15, NewEmisData!$C:$C, $H15, NewEmisData!$D:$D, CK$2))</f>
        <v>2.5560994254839702E-2</v>
      </c>
      <c r="CL15" s="324">
        <f t="shared" si="12"/>
        <v>2.5560994254839702E-2</v>
      </c>
      <c r="CM15" s="324">
        <f>$I15*IF($G15="Pickup", SUMIFS(NewEmisData!E:E, NewEmisData!$A:$A, "Pickup", NewEmisData!$B:$B, $A15, NewEmisData!$C:$C, $H15, NewEmisData!$D:$D, CM$2), SUMIFS(NewEmisData!E:E, NewEmisData!$A:$A, "LDV", NewEmisData!$B:$B, $A15, NewEmisData!$C:$C, $H15, NewEmisData!$D:$D, CM$2))</f>
        <v>2.2616228111616499E-2</v>
      </c>
      <c r="CN15" s="324">
        <f>$I15*IF($G15="Pickup", SUMIFS(NewEmisData!F:F, NewEmisData!$A:$A, "Pickup", NewEmisData!$B:$B, $A15, NewEmisData!$C:$C, $H15, NewEmisData!$D:$D, CN$2), SUMIFS(NewEmisData!F:F, NewEmisData!$A:$A, "LDV", NewEmisData!$B:$B, $A15, NewEmisData!$C:$C, $H15, NewEmisData!$D:$D, CN$2))</f>
        <v>1.37039938381133E-2</v>
      </c>
      <c r="CO15" s="324">
        <f>$I15*IF($G15="Pickup", SUMIFS(NewEmisData!G:G, NewEmisData!$A:$A, "Pickup", NewEmisData!$B:$B, $A15, NewEmisData!$C:$C, $H15, NewEmisData!$D:$D, CO$2), SUMIFS(NewEmisData!G:G, NewEmisData!$A:$A, "LDV", NewEmisData!$B:$B, $A15, NewEmisData!$C:$C, $H15, NewEmisData!$D:$D, CO$2))</f>
        <v>1.11279535576189E-2</v>
      </c>
      <c r="CP15" s="324">
        <f>$I15*IF($G15="Pickup", SUMIFS(NewEmisData!H:H, NewEmisData!$A:$A, "Pickup", NewEmisData!$B:$B, $A15, NewEmisData!$C:$C, $H15, NewEmisData!$D:$D, CP$2), SUMIFS(NewEmisData!H:H, NewEmisData!$A:$A, "LDV", NewEmisData!$B:$B, $A15, NewEmisData!$C:$C, $H15, NewEmisData!$D:$D, CP$2))</f>
        <v>9.1642249406405796E-3</v>
      </c>
      <c r="CQ15" s="324">
        <f>$I15*IF($G15="Pickup", SUMIFS(NewEmisData!I:I, NewEmisData!$A:$A, "Pickup", NewEmisData!$B:$B, $A15, NewEmisData!$C:$C, $H15, NewEmisData!$D:$D, CQ$2), SUMIFS(NewEmisData!I:I, NewEmisData!$A:$A, "LDV", NewEmisData!$B:$B, $A15, NewEmisData!$C:$C, $H15, NewEmisData!$D:$D, CQ$2))</f>
        <v>8.2157407295701708E-3</v>
      </c>
      <c r="CR15" s="324">
        <f>$I15*IF($G15="Pickup", SUMIFS(NewEmisData!J:J, NewEmisData!$A:$A, "Pickup", NewEmisData!$B:$B, $A15, NewEmisData!$C:$C, $H15, NewEmisData!$D:$D, CR$2), SUMIFS(NewEmisData!J:J, NewEmisData!$A:$A, "LDV", NewEmisData!$B:$B, $A15, NewEmisData!$C:$C, $H15, NewEmisData!$D:$D, CR$2))</f>
        <v>7.8051702943740097E-3</v>
      </c>
      <c r="CS15" s="324">
        <f>$I15*IF($G15="Pickup", SUMIFS(NewEmisData!K:K, NewEmisData!$A:$A, "Pickup", NewEmisData!$B:$B, $A15, NewEmisData!$C:$C, $H15, NewEmisData!$D:$D, CS$2), SUMIFS(NewEmisData!K:K, NewEmisData!$A:$A, "LDV", NewEmisData!$B:$B, $A15, NewEmisData!$C:$C, $H15, NewEmisData!$D:$D, CS$2))</f>
        <v>7.7607552788062101E-3</v>
      </c>
      <c r="CT15" s="324">
        <f>$I15*IF($G15="Pickup", SUMIFS(NewEmisData!L:L, NewEmisData!$A:$A, "Pickup", NewEmisData!$B:$B, $A15, NewEmisData!$C:$C, $H15, NewEmisData!$D:$D, CT$2), SUMIFS(NewEmisData!L:L, NewEmisData!$A:$A, "LDV", NewEmisData!$B:$B, $A15, NewEmisData!$C:$C, $H15, NewEmisData!$D:$D, CT$2))</f>
        <v>7.6883348823828098E-3</v>
      </c>
      <c r="CU15" s="324">
        <f>$I15*IF($G15="Pickup", SUMIFS(NewEmisData!M:M, NewEmisData!$A:$A, "Pickup", NewEmisData!$B:$B, $A15, NewEmisData!$C:$C, $H15, NewEmisData!$D:$D, CU$2), SUMIFS(NewEmisData!M:M, NewEmisData!$A:$A, "LDV", NewEmisData!$B:$B, $A15, NewEmisData!$C:$C, $H15, NewEmisData!$D:$D, CU$2))</f>
        <v>7.6878848286885603E-3</v>
      </c>
      <c r="CV15" s="324">
        <f t="shared" si="13"/>
        <v>7.6878848286885603E-3</v>
      </c>
      <c r="CW15" s="324">
        <v>3.0448046675121709E-3</v>
      </c>
      <c r="CX15" s="324">
        <v>1.8865908720768221E-3</v>
      </c>
      <c r="CY15" s="324">
        <v>1.5570268485524494E-3</v>
      </c>
      <c r="CZ15" s="324">
        <v>1.2432183416122382E-3</v>
      </c>
      <c r="DA15" s="324">
        <v>9.252251866281976E-4</v>
      </c>
      <c r="DB15" s="324">
        <v>7.2309456596024934E-4</v>
      </c>
      <c r="DC15" s="324">
        <v>6.8940706870607876E-4</v>
      </c>
      <c r="DD15" s="324">
        <v>6.844148428615973E-4</v>
      </c>
      <c r="DE15" s="324">
        <v>6.8634617396886091E-4</v>
      </c>
      <c r="DF15" s="324">
        <v>6.8634617396886091E-4</v>
      </c>
      <c r="DG15" s="324">
        <f>$I15*IF($G15="Pickup", SUMIFS(NewEmisData!E:E, NewEmisData!$A:$A, "Pickup", NewEmisData!$B:$B, $A15, NewEmisData!$C:$C, $H15, NewEmisData!$D:$D, DG$2), SUMIFS(NewEmisData!E:E, NewEmisData!$A:$A, "LDV", NewEmisData!$B:$B, $A15, NewEmisData!$C:$C, $H15, NewEmisData!$D:$D, DG$2))</f>
        <v>0</v>
      </c>
      <c r="DH15" s="324">
        <f>$I15*IF($G15="Pickup", SUMIFS(NewEmisData!F:F, NewEmisData!$A:$A, "Pickup", NewEmisData!$B:$B, $A15, NewEmisData!$C:$C, $H15, NewEmisData!$D:$D, DH$2), SUMIFS(NewEmisData!F:F, NewEmisData!$A:$A, "LDV", NewEmisData!$B:$B, $A15, NewEmisData!$C:$C, $H15, NewEmisData!$D:$D, DH$2))</f>
        <v>0</v>
      </c>
      <c r="DI15" s="324">
        <f>$I15*IF($G15="Pickup", SUMIFS(NewEmisData!G:G, NewEmisData!$A:$A, "Pickup", NewEmisData!$B:$B, $A15, NewEmisData!$C:$C, $H15, NewEmisData!$D:$D, DI$2), SUMIFS(NewEmisData!G:G, NewEmisData!$A:$A, "LDV", NewEmisData!$B:$B, $A15, NewEmisData!$C:$C, $H15, NewEmisData!$D:$D, DI$2))</f>
        <v>0</v>
      </c>
      <c r="DJ15" s="324">
        <f>$I15*IF($G15="Pickup", SUMIFS(NewEmisData!H:H, NewEmisData!$A:$A, "Pickup", NewEmisData!$B:$B, $A15, NewEmisData!$C:$C, $H15, NewEmisData!$D:$D, DJ$2), SUMIFS(NewEmisData!H:H, NewEmisData!$A:$A, "LDV", NewEmisData!$B:$B, $A15, NewEmisData!$C:$C, $H15, NewEmisData!$D:$D, DJ$2))</f>
        <v>0</v>
      </c>
      <c r="DK15" s="324">
        <f>$I15*IF($G15="Pickup", SUMIFS(NewEmisData!I:I, NewEmisData!$A:$A, "Pickup", NewEmisData!$B:$B, $A15, NewEmisData!$C:$C, $H15, NewEmisData!$D:$D, DK$2), SUMIFS(NewEmisData!I:I, NewEmisData!$A:$A, "LDV", NewEmisData!$B:$B, $A15, NewEmisData!$C:$C, $H15, NewEmisData!$D:$D, DK$2))</f>
        <v>0</v>
      </c>
      <c r="DL15" s="324">
        <f>$I15*IF($G15="Pickup", SUMIFS(NewEmisData!J:J, NewEmisData!$A:$A, "Pickup", NewEmisData!$B:$B, $A15, NewEmisData!$C:$C, $H15, NewEmisData!$D:$D, DL$2), SUMIFS(NewEmisData!J:J, NewEmisData!$A:$A, "LDV", NewEmisData!$B:$B, $A15, NewEmisData!$C:$C, $H15, NewEmisData!$D:$D, DL$2))</f>
        <v>0</v>
      </c>
      <c r="DM15" s="324">
        <f>$I15*IF($G15="Pickup", SUMIFS(NewEmisData!K:K, NewEmisData!$A:$A, "Pickup", NewEmisData!$B:$B, $A15, NewEmisData!$C:$C, $H15, NewEmisData!$D:$D, DM$2), SUMIFS(NewEmisData!K:K, NewEmisData!$A:$A, "LDV", NewEmisData!$B:$B, $A15, NewEmisData!$C:$C, $H15, NewEmisData!$D:$D, DM$2))</f>
        <v>0</v>
      </c>
      <c r="DN15" s="324">
        <f>$I15*IF($G15="Pickup", SUMIFS(NewEmisData!L:L, NewEmisData!$A:$A, "Pickup", NewEmisData!$B:$B, $A15, NewEmisData!$C:$C, $H15, NewEmisData!$D:$D, DN$2), SUMIFS(NewEmisData!L:L, NewEmisData!$A:$A, "LDV", NewEmisData!$B:$B, $A15, NewEmisData!$C:$C, $H15, NewEmisData!$D:$D, DN$2))</f>
        <v>0</v>
      </c>
      <c r="DO15" s="324">
        <f>$I15*IF($G15="Pickup", SUMIFS(NewEmisData!M:M, NewEmisData!$A:$A, "Pickup", NewEmisData!$B:$B, $A15, NewEmisData!$C:$C, $H15, NewEmisData!$D:$D, DO$2), SUMIFS(NewEmisData!M:M, NewEmisData!$A:$A, "LDV", NewEmisData!$B:$B, $A15, NewEmisData!$C:$C, $H15, NewEmisData!$D:$D, DO$2))</f>
        <v>0</v>
      </c>
      <c r="DP15" s="324">
        <f t="shared" si="14"/>
        <v>0</v>
      </c>
      <c r="DQ15" s="324">
        <f>$I15*IF($G15="Pickup", SUMIFS(NewEmisData!E:E, NewEmisData!$A:$A, "Pickup", NewEmisData!$B:$B, $A15, NewEmisData!$C:$C, $H15, NewEmisData!$D:$D, DQ$2), SUMIFS(NewEmisData!E:E, NewEmisData!$A:$A, "LDV", NewEmisData!$B:$B, $A15, NewEmisData!$C:$C, $H15, NewEmisData!$D:$D, DQ$2))</f>
        <v>1.53337301393982E-2</v>
      </c>
      <c r="DR15" s="324">
        <f>$I15*IF($G15="Pickup", SUMIFS(NewEmisData!F:F, NewEmisData!$A:$A, "Pickup", NewEmisData!$B:$B, $A15, NewEmisData!$C:$C, $H15, NewEmisData!$D:$D, DR$2), SUMIFS(NewEmisData!F:F, NewEmisData!$A:$A, "LDV", NewEmisData!$B:$B, $A15, NewEmisData!$C:$C, $H15, NewEmisData!$D:$D, DR$2))</f>
        <v>8.5791399504283501E-3</v>
      </c>
      <c r="DS15" s="324">
        <f>$I15*IF($G15="Pickup", SUMIFS(NewEmisData!G:G, NewEmisData!$A:$A, "Pickup", NewEmisData!$B:$B, $A15, NewEmisData!$C:$C, $H15, NewEmisData!$D:$D, DS$2), SUMIFS(NewEmisData!G:G, NewEmisData!$A:$A, "LDV", NewEmisData!$B:$B, $A15, NewEmisData!$C:$C, $H15, NewEmisData!$D:$D, DS$2))</f>
        <v>6.82614050243104E-3</v>
      </c>
      <c r="DT15" s="324">
        <f>$I15*IF($G15="Pickup", SUMIFS(NewEmisData!H:H, NewEmisData!$A:$A, "Pickup", NewEmisData!$B:$B, $A15, NewEmisData!$C:$C, $H15, NewEmisData!$D:$D, DT$2), SUMIFS(NewEmisData!H:H, NewEmisData!$A:$A, "LDV", NewEmisData!$B:$B, $A15, NewEmisData!$C:$C, $H15, NewEmisData!$D:$D, DT$2))</f>
        <v>5.2306090144423403E-3</v>
      </c>
      <c r="DU15" s="324">
        <f>$I15*IF($G15="Pickup", SUMIFS(NewEmisData!I:I, NewEmisData!$A:$A, "Pickup", NewEmisData!$B:$B, $A15, NewEmisData!$C:$C, $H15, NewEmisData!$D:$D, DU$2), SUMIFS(NewEmisData!I:I, NewEmisData!$A:$A, "LDV", NewEmisData!$B:$B, $A15, NewEmisData!$C:$C, $H15, NewEmisData!$D:$D, DU$2))</f>
        <v>4.0991034424651901E-3</v>
      </c>
      <c r="DV15" s="324">
        <f>$I15*IF($G15="Pickup", SUMIFS(NewEmisData!J:J, NewEmisData!$A:$A, "Pickup", NewEmisData!$B:$B, $A15, NewEmisData!$C:$C, $H15, NewEmisData!$D:$D, DV$2), SUMIFS(NewEmisData!J:J, NewEmisData!$A:$A, "LDV", NewEmisData!$B:$B, $A15, NewEmisData!$C:$C, $H15, NewEmisData!$D:$D, DV$2))</f>
        <v>3.5909983676119801E-3</v>
      </c>
      <c r="DW15" s="324">
        <f>$I15*IF($G15="Pickup", SUMIFS(NewEmisData!K:K, NewEmisData!$A:$A, "Pickup", NewEmisData!$B:$B, $A15, NewEmisData!$C:$C, $H15, NewEmisData!$D:$D, DW$2), SUMIFS(NewEmisData!K:K, NewEmisData!$A:$A, "LDV", NewEmisData!$B:$B, $A15, NewEmisData!$C:$C, $H15, NewEmisData!$D:$D, DW$2))</f>
        <v>3.3016556899443999E-3</v>
      </c>
      <c r="DX15" s="324">
        <f>$I15*IF($G15="Pickup", SUMIFS(NewEmisData!L:L, NewEmisData!$A:$A, "Pickup", NewEmisData!$B:$B, $A15, NewEmisData!$C:$C, $H15, NewEmisData!$D:$D, DX$2), SUMIFS(NewEmisData!L:L, NewEmisData!$A:$A, "LDV", NewEmisData!$B:$B, $A15, NewEmisData!$C:$C, $H15, NewEmisData!$D:$D, DX$2))</f>
        <v>3.2097040973390598E-3</v>
      </c>
      <c r="DY15" s="324">
        <f>$I15*IF($G15="Pickup", SUMIFS(NewEmisData!M:M, NewEmisData!$A:$A, "Pickup", NewEmisData!$B:$B, $A15, NewEmisData!$C:$C, $H15, NewEmisData!$D:$D, DY$2), SUMIFS(NewEmisData!M:M, NewEmisData!$A:$A, "LDV", NewEmisData!$B:$B, $A15, NewEmisData!$C:$C, $H15, NewEmisData!$D:$D, DY$2))</f>
        <v>3.1631494921928599E-3</v>
      </c>
      <c r="DZ15" s="324">
        <f t="shared" si="15"/>
        <v>3.1631494921928599E-3</v>
      </c>
      <c r="EA15" s="324">
        <f t="shared" si="16"/>
        <v>477.08587282575797</v>
      </c>
      <c r="EB15" s="324">
        <f t="shared" si="17"/>
        <v>459.34104292251902</v>
      </c>
      <c r="EC15" s="324">
        <f t="shared" si="18"/>
        <v>447.45896927637102</v>
      </c>
      <c r="ED15" s="324">
        <f t="shared" si="19"/>
        <v>380.72392677964001</v>
      </c>
      <c r="EE15" s="324">
        <f t="shared" si="20"/>
        <v>329.54737069801098</v>
      </c>
      <c r="EF15" s="324">
        <f t="shared" si="21"/>
        <v>300.69829568412598</v>
      </c>
      <c r="EG15" s="324">
        <f t="shared" si="22"/>
        <v>287.83799703632701</v>
      </c>
      <c r="EH15" s="324">
        <f t="shared" si="23"/>
        <v>283.26610797837998</v>
      </c>
      <c r="EI15" s="324">
        <f t="shared" si="24"/>
        <v>281.57834098528099</v>
      </c>
      <c r="EJ15" s="324">
        <f t="shared" si="25"/>
        <v>281.57834098528099</v>
      </c>
      <c r="EK15" s="324">
        <f t="shared" si="26"/>
        <v>0.82339103642645395</v>
      </c>
      <c r="EL15" s="324">
        <f t="shared" si="27"/>
        <v>0.360872733315452</v>
      </c>
      <c r="EM15" s="324">
        <f t="shared" si="28"/>
        <v>0.21658171178065999</v>
      </c>
      <c r="EN15" s="324">
        <f t="shared" si="29"/>
        <v>0.14200533002195401</v>
      </c>
      <c r="EO15" s="324">
        <f t="shared" si="30"/>
        <v>8.8016804659711706E-2</v>
      </c>
      <c r="EP15" s="324">
        <f t="shared" si="31"/>
        <v>6.5736379947852003E-2</v>
      </c>
      <c r="EQ15" s="324">
        <f t="shared" si="32"/>
        <v>5.6635638117250503E-2</v>
      </c>
      <c r="ER15" s="324">
        <f t="shared" si="33"/>
        <v>5.4115247223223299E-2</v>
      </c>
      <c r="ES15" s="324">
        <f t="shared" si="34"/>
        <v>5.2826207223764E-2</v>
      </c>
      <c r="ET15" s="324">
        <f t="shared" si="35"/>
        <v>5.2826207223764E-2</v>
      </c>
      <c r="EU15" s="324">
        <f t="shared" si="36"/>
        <v>8.2552586035919695E-3</v>
      </c>
      <c r="EV15" s="324">
        <f t="shared" si="37"/>
        <v>7.9482131517538395E-3</v>
      </c>
      <c r="EW15" s="324">
        <f t="shared" si="38"/>
        <v>6.4190305556059996E-3</v>
      </c>
      <c r="EX15" s="324">
        <f t="shared" si="39"/>
        <v>5.4616828003907899E-3</v>
      </c>
      <c r="EY15" s="324">
        <f t="shared" si="40"/>
        <v>4.7275285851957304E-3</v>
      </c>
      <c r="EZ15" s="324">
        <f t="shared" si="41"/>
        <v>4.3136734611450098E-3</v>
      </c>
      <c r="FA15" s="324">
        <f t="shared" si="42"/>
        <v>4.1291858052272803E-3</v>
      </c>
      <c r="FB15" s="324">
        <f t="shared" si="43"/>
        <v>4.0635983922117898E-3</v>
      </c>
      <c r="FC15" s="324">
        <f t="shared" si="44"/>
        <v>4.0393864318059199E-3</v>
      </c>
      <c r="FD15" s="324">
        <f t="shared" si="45"/>
        <v>4.0393864318059199E-3</v>
      </c>
      <c r="FE15" s="324">
        <f t="shared" si="46"/>
        <v>8.1828643727713493E-2</v>
      </c>
      <c r="FF15" s="324">
        <f t="shared" si="47"/>
        <v>7.6175839057221195E-2</v>
      </c>
      <c r="FG15" s="324">
        <f t="shared" si="48"/>
        <v>8.1302809072104507E-2</v>
      </c>
      <c r="FH15" s="324">
        <f t="shared" si="49"/>
        <v>7.9561688690416299E-2</v>
      </c>
      <c r="FI15" s="324">
        <f t="shared" si="50"/>
        <v>7.7910530261031605E-2</v>
      </c>
      <c r="FJ15" s="324">
        <f t="shared" si="51"/>
        <v>7.6590334474495605E-2</v>
      </c>
      <c r="FK15" s="324">
        <f t="shared" si="52"/>
        <v>7.5767938917924701E-2</v>
      </c>
      <c r="FL15" s="324">
        <f t="shared" si="53"/>
        <v>7.5353710070808794E-2</v>
      </c>
      <c r="FM15" s="324">
        <f t="shared" si="54"/>
        <v>7.5117977052891499E-2</v>
      </c>
      <c r="FN15" s="324">
        <f t="shared" si="55"/>
        <v>7.5117977052891499E-2</v>
      </c>
      <c r="FO15" s="324">
        <f t="shared" si="56"/>
        <v>2.1998193760633E-2</v>
      </c>
      <c r="FP15" s="324">
        <f t="shared" si="57"/>
        <v>1.6997575378008601E-2</v>
      </c>
      <c r="FQ15" s="324">
        <f t="shared" si="58"/>
        <v>1.6580879412419602E-2</v>
      </c>
      <c r="FR15" s="324">
        <f t="shared" si="59"/>
        <v>1.5040645169031801E-2</v>
      </c>
      <c r="FS15" s="324">
        <f t="shared" si="60"/>
        <v>1.35799610150696E-2</v>
      </c>
      <c r="FT15" s="324">
        <f t="shared" si="61"/>
        <v>1.24120667817219E-2</v>
      </c>
      <c r="FU15" s="324">
        <f t="shared" si="62"/>
        <v>1.16845073314224E-2</v>
      </c>
      <c r="FV15" s="324">
        <f t="shared" si="63"/>
        <v>1.1318096390010799E-2</v>
      </c>
      <c r="FW15" s="324">
        <f t="shared" si="64"/>
        <v>1.1109456757731499E-2</v>
      </c>
      <c r="FX15" s="324">
        <f t="shared" si="65"/>
        <v>1.1109456757731499E-2</v>
      </c>
    </row>
    <row r="16" spans="1:190" x14ac:dyDescent="0.2">
      <c r="A16" s="298" t="str">
        <f>_xlfn.CONCAT(IF(LEFT(TRIM(A15),1)="*", "*R", "R"), 1+RIGHT(TRIM(A15),1))</f>
        <v>R3</v>
      </c>
      <c r="B16" s="298" t="str">
        <f t="shared" ref="B16:B19" si="71">B15</f>
        <v>TLECGSL</v>
      </c>
      <c r="C16" s="298" t="str">
        <f t="shared" ref="C16:C19" si="72">C15</f>
        <v>TL.GSL.C.Existing fleet</v>
      </c>
      <c r="D16" s="294" t="str">
        <f t="shared" ref="D16:D19" si="73">D15</f>
        <v>bn-vmt, bn-vmt/a</v>
      </c>
      <c r="E16" s="294" t="str">
        <f t="shared" ref="E16:E19" si="74">E15</f>
        <v>TLGSL</v>
      </c>
      <c r="F16" s="294" t="str">
        <f t="shared" ref="F16:F19" si="75">F15</f>
        <v>TL</v>
      </c>
      <c r="G16" s="294" t="s">
        <v>475</v>
      </c>
      <c r="H16" s="294" t="s">
        <v>474</v>
      </c>
      <c r="I16" s="294">
        <v>1</v>
      </c>
      <c r="J16" s="308" t="str">
        <f t="shared" si="2"/>
        <v>Compact car-GSL</v>
      </c>
      <c r="K16" s="324">
        <f>$I16*IF($G16="Pickup", SUMIFS(NewEmisData!E:E, NewEmisData!$A:$A, "Pickup", NewEmisData!$B:$B, $A16, NewEmisData!$C:$C, $H16, NewEmisData!$D:$D, K$2), SUMIFS(NewEmisData!E:E, NewEmisData!$A:$A, "LDV", NewEmisData!$B:$B, $A16, NewEmisData!$C:$C, $H16, NewEmisData!$D:$D, K$2))</f>
        <v>437.85746964693402</v>
      </c>
      <c r="L16" s="324">
        <f>$I16*IF($G16="Pickup", SUMIFS(NewEmisData!F:F, NewEmisData!$A:$A, "Pickup", NewEmisData!$B:$B, $A16, NewEmisData!$C:$C, $H16, NewEmisData!$D:$D, L$2), SUMIFS(NewEmisData!F:F, NewEmisData!$A:$A, "LDV", NewEmisData!$B:$B, $A16, NewEmisData!$C:$C, $H16, NewEmisData!$D:$D, L$2))</f>
        <v>424.609883045034</v>
      </c>
      <c r="M16" s="324">
        <f>$I16*IF($G16="Pickup", SUMIFS(NewEmisData!G:G, NewEmisData!$A:$A, "Pickup", NewEmisData!$B:$B, $A16, NewEmisData!$C:$C, $H16, NewEmisData!$D:$D, M$2), SUMIFS(NewEmisData!G:G, NewEmisData!$A:$A, "LDV", NewEmisData!$B:$B, $A16, NewEmisData!$C:$C, $H16, NewEmisData!$D:$D, M$2))</f>
        <v>389.26792072260798</v>
      </c>
      <c r="N16" s="324">
        <f>$I16*IF($G16="Pickup", SUMIFS(NewEmisData!H:H, NewEmisData!$A:$A, "Pickup", NewEmisData!$B:$B, $A16, NewEmisData!$C:$C, $H16, NewEmisData!$D:$D, N$2), SUMIFS(NewEmisData!H:H, NewEmisData!$A:$A, "LDV", NewEmisData!$B:$B, $A16, NewEmisData!$C:$C, $H16, NewEmisData!$D:$D, N$2))</f>
        <v>331.09003080375697</v>
      </c>
      <c r="O16" s="324">
        <f>$I16*IF($G16="Pickup", SUMIFS(NewEmisData!I:I, NewEmisData!$A:$A, "Pickup", NewEmisData!$B:$B, $A16, NewEmisData!$C:$C, $H16, NewEmisData!$D:$D, O$2), SUMIFS(NewEmisData!I:I, NewEmisData!$A:$A, "LDV", NewEmisData!$B:$B, $A16, NewEmisData!$C:$C, $H16, NewEmisData!$D:$D, O$2))</f>
        <v>286.46929869872997</v>
      </c>
      <c r="P16" s="324">
        <f>$I16*IF($G16="Pickup", SUMIFS(NewEmisData!J:J, NewEmisData!$A:$A, "Pickup", NewEmisData!$B:$B, $A16, NewEmisData!$C:$C, $H16, NewEmisData!$D:$D, P$2), SUMIFS(NewEmisData!J:J, NewEmisData!$A:$A, "LDV", NewEmisData!$B:$B, $A16, NewEmisData!$C:$C, $H16, NewEmisData!$D:$D, P$2))</f>
        <v>261.33080310252802</v>
      </c>
      <c r="Q16" s="324">
        <f>$I16*IF($G16="Pickup", SUMIFS(NewEmisData!K:K, NewEmisData!$A:$A, "Pickup", NewEmisData!$B:$B, $A16, NewEmisData!$C:$C, $H16, NewEmisData!$D:$D, Q$2), SUMIFS(NewEmisData!K:K, NewEmisData!$A:$A, "LDV", NewEmisData!$B:$B, $A16, NewEmisData!$C:$C, $H16, NewEmisData!$D:$D, Q$2))</f>
        <v>250.12665030232699</v>
      </c>
      <c r="R16" s="324">
        <f>$I16*IF($G16="Pickup", SUMIFS(NewEmisData!L:L, NewEmisData!$A:$A, "Pickup", NewEmisData!$B:$B, $A16, NewEmisData!$C:$C, $H16, NewEmisData!$D:$D, R$2), SUMIFS(NewEmisData!L:L, NewEmisData!$A:$A, "LDV", NewEmisData!$B:$B, $A16, NewEmisData!$C:$C, $H16, NewEmisData!$D:$D, R$2))</f>
        <v>246.146486551527</v>
      </c>
      <c r="S16" s="324">
        <f>$I16*IF($G16="Pickup", SUMIFS(NewEmisData!M:M, NewEmisData!$A:$A, "Pickup", NewEmisData!$B:$B, $A16, NewEmisData!$C:$C, $H16, NewEmisData!$D:$D, S$2), SUMIFS(NewEmisData!M:M, NewEmisData!$A:$A, "LDV", NewEmisData!$B:$B, $A16, NewEmisData!$C:$C, $H16, NewEmisData!$D:$D, S$2))</f>
        <v>244.677818234341</v>
      </c>
      <c r="T16" s="324">
        <f t="shared" si="5"/>
        <v>244.677818234341</v>
      </c>
      <c r="U16" s="324">
        <f>$I16*IF($G16="Pickup", SUMIFS(NewEmisData!E:E, NewEmisData!$A:$A, "Pickup", NewEmisData!$B:$B, $A16, NewEmisData!$C:$C, $H16, NewEmisData!$D:$D, U$2), SUMIFS(NewEmisData!E:E, NewEmisData!$A:$A, "LDV", NewEmisData!$B:$B, $A16, NewEmisData!$C:$C, $H16, NewEmisData!$D:$D, U$2))</f>
        <v>0.78000130642291299</v>
      </c>
      <c r="V16" s="324">
        <f>$I16*IF($G16="Pickup", SUMIFS(NewEmisData!F:F, NewEmisData!$A:$A, "Pickup", NewEmisData!$B:$B, $A16, NewEmisData!$C:$C, $H16, NewEmisData!$D:$D, V$2), SUMIFS(NewEmisData!F:F, NewEmisData!$A:$A, "LDV", NewEmisData!$B:$B, $A16, NewEmisData!$C:$C, $H16, NewEmisData!$D:$D, V$2))</f>
        <v>0.323605278282381</v>
      </c>
      <c r="W16" s="324">
        <f>$I16*IF($G16="Pickup", SUMIFS(NewEmisData!G:G, NewEmisData!$A:$A, "Pickup", NewEmisData!$B:$B, $A16, NewEmisData!$C:$C, $H16, NewEmisData!$D:$D, W$2), SUMIFS(NewEmisData!G:G, NewEmisData!$A:$A, "LDV", NewEmisData!$B:$B, $A16, NewEmisData!$C:$C, $H16, NewEmisData!$D:$D, W$2))</f>
        <v>0.19152446532377701</v>
      </c>
      <c r="X16" s="324">
        <f>$I16*IF($G16="Pickup", SUMIFS(NewEmisData!H:H, NewEmisData!$A:$A, "Pickup", NewEmisData!$B:$B, $A16, NewEmisData!$C:$C, $H16, NewEmisData!$D:$D, X$2), SUMIFS(NewEmisData!H:H, NewEmisData!$A:$A, "LDV", NewEmisData!$B:$B, $A16, NewEmisData!$C:$C, $H16, NewEmisData!$D:$D, X$2))</f>
        <v>0.12537127832280801</v>
      </c>
      <c r="Y16" s="324">
        <f>$I16*IF($G16="Pickup", SUMIFS(NewEmisData!I:I, NewEmisData!$A:$A, "Pickup", NewEmisData!$B:$B, $A16, NewEmisData!$C:$C, $H16, NewEmisData!$D:$D, Y$2), SUMIFS(NewEmisData!I:I, NewEmisData!$A:$A, "LDV", NewEmisData!$B:$B, $A16, NewEmisData!$C:$C, $H16, NewEmisData!$D:$D, Y$2))</f>
        <v>7.6671766649271E-2</v>
      </c>
      <c r="Z16" s="324">
        <f>$I16*IF($G16="Pickup", SUMIFS(NewEmisData!J:J, NewEmisData!$A:$A, "Pickup", NewEmisData!$B:$B, $A16, NewEmisData!$C:$C, $H16, NewEmisData!$D:$D, Z$2), SUMIFS(NewEmisData!J:J, NewEmisData!$A:$A, "LDV", NewEmisData!$B:$B, $A16, NewEmisData!$C:$C, $H16, NewEmisData!$D:$D, Z$2))</f>
        <v>5.7019026656941203E-2</v>
      </c>
      <c r="AA16" s="324">
        <f>$I16*IF($G16="Pickup", SUMIFS(NewEmisData!K:K, NewEmisData!$A:$A, "Pickup", NewEmisData!$B:$B, $A16, NewEmisData!$C:$C, $H16, NewEmisData!$D:$D, AA$2), SUMIFS(NewEmisData!K:K, NewEmisData!$A:$A, "LDV", NewEmisData!$B:$B, $A16, NewEmisData!$C:$C, $H16, NewEmisData!$D:$D, AA$2))</f>
        <v>4.8823281713844202E-2</v>
      </c>
      <c r="AB16" s="324">
        <f>$I16*IF($G16="Pickup", SUMIFS(NewEmisData!L:L, NewEmisData!$A:$A, "Pickup", NewEmisData!$B:$B, $A16, NewEmisData!$C:$C, $H16, NewEmisData!$D:$D, AB$2), SUMIFS(NewEmisData!L:L, NewEmisData!$A:$A, "LDV", NewEmisData!$B:$B, $A16, NewEmisData!$C:$C, $H16, NewEmisData!$D:$D, AB$2))</f>
        <v>4.6542407484685501E-2</v>
      </c>
      <c r="AC16" s="324">
        <f>$I16*IF($G16="Pickup", SUMIFS(NewEmisData!M:M, NewEmisData!$A:$A, "Pickup", NewEmisData!$B:$B, $A16, NewEmisData!$C:$C, $H16, NewEmisData!$D:$D, AC$2), SUMIFS(NewEmisData!M:M, NewEmisData!$A:$A, "LDV", NewEmisData!$B:$B, $A16, NewEmisData!$C:$C, $H16, NewEmisData!$D:$D, AC$2))</f>
        <v>4.5415311435121702E-2</v>
      </c>
      <c r="AD16" s="324">
        <f t="shared" si="6"/>
        <v>4.5415311435121702E-2</v>
      </c>
      <c r="AE16" s="324">
        <f>$I16*IF($G16="Pickup", SUMIFS(NewEmisData!E:E, NewEmisData!$A:$A, "Pickup", NewEmisData!$B:$B, $A16, NewEmisData!$C:$C, $H16, NewEmisData!$D:$D, AE$2), SUMIFS(NewEmisData!E:E, NewEmisData!$A:$A, "LDV", NewEmisData!$B:$B, $A16, NewEmisData!$C:$C, $H16, NewEmisData!$D:$D, AE$2))</f>
        <v>7.5764719154140002E-3</v>
      </c>
      <c r="AF16" s="324">
        <f>$I16*IF($G16="Pickup", SUMIFS(NewEmisData!F:F, NewEmisData!$A:$A, "Pickup", NewEmisData!$B:$B, $A16, NewEmisData!$C:$C, $H16, NewEmisData!$D:$D, AF$2), SUMIFS(NewEmisData!F:F, NewEmisData!$A:$A, "LDV", NewEmisData!$B:$B, $A16, NewEmisData!$C:$C, $H16, NewEmisData!$D:$D, AF$2))</f>
        <v>7.3472400077695399E-3</v>
      </c>
      <c r="AG16" s="324">
        <f>$I16*IF($G16="Pickup", SUMIFS(NewEmisData!G:G, NewEmisData!$A:$A, "Pickup", NewEmisData!$B:$B, $A16, NewEmisData!$C:$C, $H16, NewEmisData!$D:$D, AG$2), SUMIFS(NewEmisData!G:G, NewEmisData!$A:$A, "LDV", NewEmisData!$B:$B, $A16, NewEmisData!$C:$C, $H16, NewEmisData!$D:$D, AG$2))</f>
        <v>5.5842494055705696E-3</v>
      </c>
      <c r="AH16" s="324">
        <f>$I16*IF($G16="Pickup", SUMIFS(NewEmisData!H:H, NewEmisData!$A:$A, "Pickup", NewEmisData!$B:$B, $A16, NewEmisData!$C:$C, $H16, NewEmisData!$D:$D, AH$2), SUMIFS(NewEmisData!H:H, NewEmisData!$A:$A, "LDV", NewEmisData!$B:$B, $A16, NewEmisData!$C:$C, $H16, NewEmisData!$D:$D, AH$2))</f>
        <v>4.7496587466809804E-3</v>
      </c>
      <c r="AI16" s="324">
        <f>$I16*IF($G16="Pickup", SUMIFS(NewEmisData!I:I, NewEmisData!$A:$A, "Pickup", NewEmisData!$B:$B, $A16, NewEmisData!$C:$C, $H16, NewEmisData!$D:$D, AI$2), SUMIFS(NewEmisData!I:I, NewEmisData!$A:$A, "LDV", NewEmisData!$B:$B, $A16, NewEmisData!$C:$C, $H16, NewEmisData!$D:$D, AI$2))</f>
        <v>4.1095518958717504E-3</v>
      </c>
      <c r="AJ16" s="324">
        <f>$I16*IF($G16="Pickup", SUMIFS(NewEmisData!J:J, NewEmisData!$A:$A, "Pickup", NewEmisData!$B:$B, $A16, NewEmisData!$C:$C, $H16, NewEmisData!$D:$D, AJ$2), SUMIFS(NewEmisData!J:J, NewEmisData!$A:$A, "LDV", NewEmisData!$B:$B, $A16, NewEmisData!$C:$C, $H16, NewEmisData!$D:$D, AJ$2))</f>
        <v>3.7489264773323799E-3</v>
      </c>
      <c r="AK16" s="324">
        <f>$I16*IF($G16="Pickup", SUMIFS(NewEmisData!K:K, NewEmisData!$A:$A, "Pickup", NewEmisData!$B:$B, $A16, NewEmisData!$C:$C, $H16, NewEmisData!$D:$D, AK$2), SUMIFS(NewEmisData!K:K, NewEmisData!$A:$A, "LDV", NewEmisData!$B:$B, $A16, NewEmisData!$C:$C, $H16, NewEmisData!$D:$D, AK$2))</f>
        <v>3.5881959766524201E-3</v>
      </c>
      <c r="AL16" s="324">
        <f>$I16*IF($G16="Pickup", SUMIFS(NewEmisData!L:L, NewEmisData!$A:$A, "Pickup", NewEmisData!$B:$B, $A16, NewEmisData!$C:$C, $H16, NewEmisData!$D:$D, AL$2), SUMIFS(NewEmisData!L:L, NewEmisData!$A:$A, "LDV", NewEmisData!$B:$B, $A16, NewEmisData!$C:$C, $H16, NewEmisData!$D:$D, AL$2))</f>
        <v>3.5311006464952199E-3</v>
      </c>
      <c r="AM16" s="324">
        <f>$I16*IF($G16="Pickup", SUMIFS(NewEmisData!M:M, NewEmisData!$A:$A, "Pickup", NewEmisData!$B:$B, $A16, NewEmisData!$C:$C, $H16, NewEmisData!$D:$D, AM$2), SUMIFS(NewEmisData!M:M, NewEmisData!$A:$A, "LDV", NewEmisData!$B:$B, $A16, NewEmisData!$C:$C, $H16, NewEmisData!$D:$D, AM$2))</f>
        <v>3.5100309709840301E-3</v>
      </c>
      <c r="AN16" s="324">
        <f t="shared" si="7"/>
        <v>3.5100309709840301E-3</v>
      </c>
      <c r="AO16" s="324">
        <f>$I16*IF($G16="Pickup", SUMIFS(NewEmisData!E:E, NewEmisData!$A:$A, "Pickup", NewEmisData!$B:$B, $A16, NewEmisData!$C:$C, $H16, NewEmisData!$D:$D, AO$2), SUMIFS(NewEmisData!E:E, NewEmisData!$A:$A, "LDV", NewEmisData!$B:$B, $A16, NewEmisData!$C:$C, $H16, NewEmisData!$D:$D, AO$2))</f>
        <v>6.7831755328566196E-2</v>
      </c>
      <c r="AP16" s="324">
        <f>$I16*IF($G16="Pickup", SUMIFS(NewEmisData!F:F, NewEmisData!$A:$A, "Pickup", NewEmisData!$B:$B, $A16, NewEmisData!$C:$C, $H16, NewEmisData!$D:$D, AP$2), SUMIFS(NewEmisData!F:F, NewEmisData!$A:$A, "LDV", NewEmisData!$B:$B, $A16, NewEmisData!$C:$C, $H16, NewEmisData!$D:$D, AP$2))</f>
        <v>6.3250667156757298E-2</v>
      </c>
      <c r="AQ16" s="324">
        <f>$I16*IF($G16="Pickup", SUMIFS(NewEmisData!G:G, NewEmisData!$A:$A, "Pickup", NewEmisData!$B:$B, $A16, NewEmisData!$C:$C, $H16, NewEmisData!$D:$D, AQ$2), SUMIFS(NewEmisData!G:G, NewEmisData!$A:$A, "LDV", NewEmisData!$B:$B, $A16, NewEmisData!$C:$C, $H16, NewEmisData!$D:$D, AQ$2))</f>
        <v>6.2628417187727006E-2</v>
      </c>
      <c r="AR16" s="324">
        <f>$I16*IF($G16="Pickup", SUMIFS(NewEmisData!H:H, NewEmisData!$A:$A, "Pickup", NewEmisData!$B:$B, $A16, NewEmisData!$C:$C, $H16, NewEmisData!$D:$D, AR$2), SUMIFS(NewEmisData!H:H, NewEmisData!$A:$A, "LDV", NewEmisData!$B:$B, $A16, NewEmisData!$C:$C, $H16, NewEmisData!$D:$D, AR$2))</f>
        <v>6.1216981125607202E-2</v>
      </c>
      <c r="AS16" s="324">
        <f>$I16*IF($G16="Pickup", SUMIFS(NewEmisData!I:I, NewEmisData!$A:$A, "Pickup", NewEmisData!$B:$B, $A16, NewEmisData!$C:$C, $H16, NewEmisData!$D:$D, AS$2), SUMIFS(NewEmisData!I:I, NewEmisData!$A:$A, "LDV", NewEmisData!$B:$B, $A16, NewEmisData!$C:$C, $H16, NewEmisData!$D:$D, AS$2))</f>
        <v>5.9842025439809501E-2</v>
      </c>
      <c r="AT16" s="324">
        <f>$I16*IF($G16="Pickup", SUMIFS(NewEmisData!J:J, NewEmisData!$A:$A, "Pickup", NewEmisData!$B:$B, $A16, NewEmisData!$C:$C, $H16, NewEmisData!$D:$D, AT$2), SUMIFS(NewEmisData!J:J, NewEmisData!$A:$A, "LDV", NewEmisData!$B:$B, $A16, NewEmisData!$C:$C, $H16, NewEmisData!$D:$D, AT$2))</f>
        <v>5.8761885691048198E-2</v>
      </c>
      <c r="AU16" s="324">
        <f>$I16*IF($G16="Pickup", SUMIFS(NewEmisData!K:K, NewEmisData!$A:$A, "Pickup", NewEmisData!$B:$B, $A16, NewEmisData!$C:$C, $H16, NewEmisData!$D:$D, AU$2), SUMIFS(NewEmisData!K:K, NewEmisData!$A:$A, "LDV", NewEmisData!$B:$B, $A16, NewEmisData!$C:$C, $H16, NewEmisData!$D:$D, AU$2))</f>
        <v>5.8072078083983E-2</v>
      </c>
      <c r="AV16" s="324">
        <f>$I16*IF($G16="Pickup", SUMIFS(NewEmisData!L:L, NewEmisData!$A:$A, "Pickup", NewEmisData!$B:$B, $A16, NewEmisData!$C:$C, $H16, NewEmisData!$D:$D, AV$2), SUMIFS(NewEmisData!L:L, NewEmisData!$A:$A, "LDV", NewEmisData!$B:$B, $A16, NewEmisData!$C:$C, $H16, NewEmisData!$D:$D, AV$2))</f>
        <v>5.7726484266030297E-2</v>
      </c>
      <c r="AW16" s="324">
        <f>$I16*IF($G16="Pickup", SUMIFS(NewEmisData!M:M, NewEmisData!$A:$A, "Pickup", NewEmisData!$B:$B, $A16, NewEmisData!$C:$C, $H16, NewEmisData!$D:$D, AW$2), SUMIFS(NewEmisData!M:M, NewEmisData!$A:$A, "LDV", NewEmisData!$B:$B, $A16, NewEmisData!$C:$C, $H16, NewEmisData!$D:$D, AW$2))</f>
        <v>5.7530226905323702E-2</v>
      </c>
      <c r="AX16" s="324">
        <f t="shared" si="8"/>
        <v>5.7530226905323702E-2</v>
      </c>
      <c r="AY16" s="324">
        <f>$I16*IF($G16="Pickup", SUMIFS(NewEmisData!E:E, NewEmisData!$A:$A, "Pickup", NewEmisData!$B:$B, $A16, NewEmisData!$C:$C, $H16, NewEmisData!$D:$D, AY$2), SUMIFS(NewEmisData!E:E, NewEmisData!$A:$A, "LDV", NewEmisData!$B:$B, $A16, NewEmisData!$C:$C, $H16, NewEmisData!$D:$D, AY$2))</f>
        <v>1.8324822567621701E-2</v>
      </c>
      <c r="AZ16" s="324">
        <f>$I16*IF($G16="Pickup", SUMIFS(NewEmisData!F:F, NewEmisData!$A:$A, "Pickup", NewEmisData!$B:$B, $A16, NewEmisData!$C:$C, $H16, NewEmisData!$D:$D, AZ$2), SUMIFS(NewEmisData!F:F, NewEmisData!$A:$A, "LDV", NewEmisData!$B:$B, $A16, NewEmisData!$C:$C, $H16, NewEmisData!$D:$D, AZ$2))</f>
        <v>1.4272294035055699E-2</v>
      </c>
      <c r="BA16" s="324">
        <f>$I16*IF($G16="Pickup", SUMIFS(NewEmisData!G:G, NewEmisData!$A:$A, "Pickup", NewEmisData!$B:$B, $A16, NewEmisData!$C:$C, $H16, NewEmisData!$D:$D, BA$2), SUMIFS(NewEmisData!G:G, NewEmisData!$A:$A, "LDV", NewEmisData!$B:$B, $A16, NewEmisData!$C:$C, $H16, NewEmisData!$D:$D, BA$2))</f>
        <v>1.3165752481838801E-2</v>
      </c>
      <c r="BB16" s="324">
        <f>$I16*IF($G16="Pickup", SUMIFS(NewEmisData!H:H, NewEmisData!$A:$A, "Pickup", NewEmisData!$B:$B, $A16, NewEmisData!$C:$C, $H16, NewEmisData!$D:$D, BB$2), SUMIFS(NewEmisData!H:H, NewEmisData!$A:$A, "LDV", NewEmisData!$B:$B, $A16, NewEmisData!$C:$C, $H16, NewEmisData!$D:$D, BB$2))</f>
        <v>1.1917194849656599E-2</v>
      </c>
      <c r="BC16" s="324">
        <f>$I16*IF($G16="Pickup", SUMIFS(NewEmisData!I:I, NewEmisData!$A:$A, "Pickup", NewEmisData!$B:$B, $A16, NewEmisData!$C:$C, $H16, NewEmisData!$D:$D, BC$2), SUMIFS(NewEmisData!I:I, NewEmisData!$A:$A, "LDV", NewEmisData!$B:$B, $A16, NewEmisData!$C:$C, $H16, NewEmisData!$D:$D, BC$2))</f>
        <v>1.0700861948252101E-2</v>
      </c>
      <c r="BD16" s="324">
        <f>$I16*IF($G16="Pickup", SUMIFS(NewEmisData!J:J, NewEmisData!$A:$A, "Pickup", NewEmisData!$B:$B, $A16, NewEmisData!$C:$C, $H16, NewEmisData!$D:$D, BD$2), SUMIFS(NewEmisData!J:J, NewEmisData!$A:$A, "LDV", NewEmisData!$B:$B, $A16, NewEmisData!$C:$C, $H16, NewEmisData!$D:$D, BD$2))</f>
        <v>9.7453521893521699E-3</v>
      </c>
      <c r="BE16" s="324">
        <f>$I16*IF($G16="Pickup", SUMIFS(NewEmisData!K:K, NewEmisData!$A:$A, "Pickup", NewEmisData!$B:$B, $A16, NewEmisData!$C:$C, $H16, NewEmisData!$D:$D, BE$2), SUMIFS(NewEmisData!K:K, NewEmisData!$A:$A, "LDV", NewEmisData!$B:$B, $A16, NewEmisData!$C:$C, $H16, NewEmisData!$D:$D, BE$2))</f>
        <v>9.1351470976244707E-3</v>
      </c>
      <c r="BF16" s="324">
        <f>$I16*IF($G16="Pickup", SUMIFS(NewEmisData!L:L, NewEmisData!$A:$A, "Pickup", NewEmisData!$B:$B, $A16, NewEmisData!$C:$C, $H16, NewEmisData!$D:$D, BF$2), SUMIFS(NewEmisData!L:L, NewEmisData!$A:$A, "LDV", NewEmisData!$B:$B, $A16, NewEmisData!$C:$C, $H16, NewEmisData!$D:$D, BF$2))</f>
        <v>8.8293874131557606E-3</v>
      </c>
      <c r="BG16" s="324">
        <f>$I16*IF($G16="Pickup", SUMIFS(NewEmisData!M:M, NewEmisData!$A:$A, "Pickup", NewEmisData!$B:$B, $A16, NewEmisData!$C:$C, $H16, NewEmisData!$D:$D, BG$2), SUMIFS(NewEmisData!M:M, NewEmisData!$A:$A, "LDV", NewEmisData!$B:$B, $A16, NewEmisData!$C:$C, $H16, NewEmisData!$D:$D, BG$2))</f>
        <v>8.6558174466142106E-3</v>
      </c>
      <c r="BH16" s="324">
        <f t="shared" si="9"/>
        <v>8.6558174466142106E-3</v>
      </c>
      <c r="BI16" s="324">
        <f>$I16*IF($G16="Pickup", SUMIFS(NewEmisData!E:E, NewEmisData!$A:$A, "Pickup", NewEmisData!$B:$B, $A16, NewEmisData!$C:$C, $H16, NewEmisData!$D:$D, BI$2), SUMIFS(NewEmisData!E:E, NewEmisData!$A:$A, "LDV", NewEmisData!$B:$B, $A16, NewEmisData!$C:$C, $H16, NewEmisData!$D:$D, BI$2))</f>
        <v>5.6341971782511804</v>
      </c>
      <c r="BJ16" s="324">
        <f>$I16*IF($G16="Pickup", SUMIFS(NewEmisData!F:F, NewEmisData!$A:$A, "Pickup", NewEmisData!$B:$B, $A16, NewEmisData!$C:$C, $H16, NewEmisData!$D:$D, BJ$2), SUMIFS(NewEmisData!F:F, NewEmisData!$A:$A, "LDV", NewEmisData!$B:$B, $A16, NewEmisData!$C:$C, $H16, NewEmisData!$D:$D, BJ$2))</f>
        <v>3.2912080717511998</v>
      </c>
      <c r="BK16" s="324">
        <f>$I16*IF($G16="Pickup", SUMIFS(NewEmisData!G:G, NewEmisData!$A:$A, "Pickup", NewEmisData!$B:$B, $A16, NewEmisData!$C:$C, $H16, NewEmisData!$D:$D, BK$2), SUMIFS(NewEmisData!G:G, NewEmisData!$A:$A, "LDV", NewEmisData!$B:$B, $A16, NewEmisData!$C:$C, $H16, NewEmisData!$D:$D, BK$2))</f>
        <v>2.5038449092773698</v>
      </c>
      <c r="BL16" s="324">
        <f>$I16*IF($G16="Pickup", SUMIFS(NewEmisData!H:H, NewEmisData!$A:$A, "Pickup", NewEmisData!$B:$B, $A16, NewEmisData!$C:$C, $H16, NewEmisData!$D:$D, BL$2), SUMIFS(NewEmisData!H:H, NewEmisData!$A:$A, "LDV", NewEmisData!$B:$B, $A16, NewEmisData!$C:$C, $H16, NewEmisData!$D:$D, BL$2))</f>
        <v>1.9586302072503601</v>
      </c>
      <c r="BM16" s="324">
        <f>$I16*IF($G16="Pickup", SUMIFS(NewEmisData!I:I, NewEmisData!$A:$A, "Pickup", NewEmisData!$B:$B, $A16, NewEmisData!$C:$C, $H16, NewEmisData!$D:$D, BM$2), SUMIFS(NewEmisData!I:I, NewEmisData!$A:$A, "LDV", NewEmisData!$B:$B, $A16, NewEmisData!$C:$C, $H16, NewEmisData!$D:$D, BM$2))</f>
        <v>1.4188080704430199</v>
      </c>
      <c r="BN16" s="324">
        <f>$I16*IF($G16="Pickup", SUMIFS(NewEmisData!J:J, NewEmisData!$A:$A, "Pickup", NewEmisData!$B:$B, $A16, NewEmisData!$C:$C, $H16, NewEmisData!$D:$D, BN$2), SUMIFS(NewEmisData!J:J, NewEmisData!$A:$A, "LDV", NewEmisData!$B:$B, $A16, NewEmisData!$C:$C, $H16, NewEmisData!$D:$D, BN$2))</f>
        <v>1.12295829909247</v>
      </c>
      <c r="BO16" s="324">
        <f>$I16*IF($G16="Pickup", SUMIFS(NewEmisData!K:K, NewEmisData!$A:$A, "Pickup", NewEmisData!$B:$B, $A16, NewEmisData!$C:$C, $H16, NewEmisData!$D:$D, BO$2), SUMIFS(NewEmisData!K:K, NewEmisData!$A:$A, "LDV", NewEmisData!$B:$B, $A16, NewEmisData!$C:$C, $H16, NewEmisData!$D:$D, BO$2))</f>
        <v>0.98917470890575399</v>
      </c>
      <c r="BP16" s="324">
        <f>$I16*IF($G16="Pickup", SUMIFS(NewEmisData!L:L, NewEmisData!$A:$A, "Pickup", NewEmisData!$B:$B, $A16, NewEmisData!$C:$C, $H16, NewEmisData!$D:$D, BP$2), SUMIFS(NewEmisData!L:L, NewEmisData!$A:$A, "LDV", NewEmisData!$B:$B, $A16, NewEmisData!$C:$C, $H16, NewEmisData!$D:$D, BP$2))</f>
        <v>0.94587291374607996</v>
      </c>
      <c r="BQ16" s="324">
        <f>$I16*IF($G16="Pickup", SUMIFS(NewEmisData!M:M, NewEmisData!$A:$A, "Pickup", NewEmisData!$B:$B, $A16, NewEmisData!$C:$C, $H16, NewEmisData!$D:$D, BQ$2), SUMIFS(NewEmisData!M:M, NewEmisData!$A:$A, "LDV", NewEmisData!$B:$B, $A16, NewEmisData!$C:$C, $H16, NewEmisData!$D:$D, BQ$2))</f>
        <v>0.91886504762322097</v>
      </c>
      <c r="BR16" s="324">
        <f t="shared" si="10"/>
        <v>0.91886504762322097</v>
      </c>
      <c r="BS16" s="324">
        <f>$I16*IF($G16="Pickup", SUMIFS(NewEmisData!E:E, NewEmisData!$A:$A, "Pickup", NewEmisData!$B:$B, $A16, NewEmisData!$C:$C, $H16, NewEmisData!$D:$D, BS$2), SUMIFS(NewEmisData!E:E, NewEmisData!$A:$A, "LDV", NewEmisData!$B:$B, $A16, NewEmisData!$C:$C, $H16, NewEmisData!$D:$D, BS$2))</f>
        <v>0.64604041020523395</v>
      </c>
      <c r="BT16" s="324">
        <f>$I16*IF($G16="Pickup", SUMIFS(NewEmisData!F:F, NewEmisData!$A:$A, "Pickup", NewEmisData!$B:$B, $A16, NewEmisData!$C:$C, $H16, NewEmisData!$D:$D, BT$2), SUMIFS(NewEmisData!F:F, NewEmisData!$A:$A, "LDV", NewEmisData!$B:$B, $A16, NewEmisData!$C:$C, $H16, NewEmisData!$D:$D, BT$2))</f>
        <v>0.33711601886070303</v>
      </c>
      <c r="BU16" s="324">
        <f>$I16*IF($G16="Pickup", SUMIFS(NewEmisData!G:G, NewEmisData!$A:$A, "Pickup", NewEmisData!$B:$B, $A16, NewEmisData!$C:$C, $H16, NewEmisData!$D:$D, BU$2), SUMIFS(NewEmisData!G:G, NewEmisData!$A:$A, "LDV", NewEmisData!$B:$B, $A16, NewEmisData!$C:$C, $H16, NewEmisData!$D:$D, BU$2))</f>
        <v>0.24835485029207899</v>
      </c>
      <c r="BV16" s="324">
        <f>$I16*IF($G16="Pickup", SUMIFS(NewEmisData!H:H, NewEmisData!$A:$A, "Pickup", NewEmisData!$B:$B, $A16, NewEmisData!$C:$C, $H16, NewEmisData!$D:$D, BV$2), SUMIFS(NewEmisData!H:H, NewEmisData!$A:$A, "LDV", NewEmisData!$B:$B, $A16, NewEmisData!$C:$C, $H16, NewEmisData!$D:$D, BV$2))</f>
        <v>0.20063726173746699</v>
      </c>
      <c r="BW16" s="324">
        <f>$I16*IF($G16="Pickup", SUMIFS(NewEmisData!I:I, NewEmisData!$A:$A, "Pickup", NewEmisData!$B:$B, $A16, NewEmisData!$C:$C, $H16, NewEmisData!$D:$D, BW$2), SUMIFS(NewEmisData!I:I, NewEmisData!$A:$A, "LDV", NewEmisData!$B:$B, $A16, NewEmisData!$C:$C, $H16, NewEmisData!$D:$D, BW$2))</f>
        <v>0.148388069930526</v>
      </c>
      <c r="BX16" s="324">
        <f>$I16*IF($G16="Pickup", SUMIFS(NewEmisData!J:J, NewEmisData!$A:$A, "Pickup", NewEmisData!$B:$B, $A16, NewEmisData!$C:$C, $H16, NewEmisData!$D:$D, BX$2), SUMIFS(NewEmisData!J:J, NewEmisData!$A:$A, "LDV", NewEmisData!$B:$B, $A16, NewEmisData!$C:$C, $H16, NewEmisData!$D:$D, BX$2))</f>
        <v>0.12460657527841699</v>
      </c>
      <c r="BY16" s="324">
        <f>$I16*IF($G16="Pickup", SUMIFS(NewEmisData!K:K, NewEmisData!$A:$A, "Pickup", NewEmisData!$B:$B, $A16, NewEmisData!$C:$C, $H16, NewEmisData!$D:$D, BY$2), SUMIFS(NewEmisData!K:K, NewEmisData!$A:$A, "LDV", NewEmisData!$B:$B, $A16, NewEmisData!$C:$C, $H16, NewEmisData!$D:$D, BY$2))</f>
        <v>0.11177610097077099</v>
      </c>
      <c r="BZ16" s="324">
        <f>$I16*IF($G16="Pickup", SUMIFS(NewEmisData!L:L, NewEmisData!$A:$A, "Pickup", NewEmisData!$B:$B, $A16, NewEmisData!$C:$C, $H16, NewEmisData!$D:$D, BZ$2), SUMIFS(NewEmisData!L:L, NewEmisData!$A:$A, "LDV", NewEmisData!$B:$B, $A16, NewEmisData!$C:$C, $H16, NewEmisData!$D:$D, BZ$2))</f>
        <v>0.10678198489299399</v>
      </c>
      <c r="CA16" s="324">
        <f>$I16*IF($G16="Pickup", SUMIFS(NewEmisData!M:M, NewEmisData!$A:$A, "Pickup", NewEmisData!$B:$B, $A16, NewEmisData!$C:$C, $H16, NewEmisData!$D:$D, CA$2), SUMIFS(NewEmisData!M:M, NewEmisData!$A:$A, "LDV", NewEmisData!$B:$B, $A16, NewEmisData!$C:$C, $H16, NewEmisData!$D:$D, CA$2))</f>
        <v>0.102788686456563</v>
      </c>
      <c r="CB16" s="324">
        <f t="shared" si="11"/>
        <v>0.102788686456563</v>
      </c>
      <c r="CC16" s="324">
        <f>$I16*IF($G16="Pickup", SUMIFS(NewEmisData!E:E, NewEmisData!$A:$A, "Pickup", NewEmisData!$B:$B, $A16, NewEmisData!$C:$C, $H16, NewEmisData!$D:$D, CC$2), SUMIFS(NewEmisData!E:E, NewEmisData!$A:$A, "LDV", NewEmisData!$B:$B, $A16, NewEmisData!$C:$C, $H16, NewEmisData!$D:$D, CC$2))</f>
        <v>4.5186599160421101E-2</v>
      </c>
      <c r="CD16" s="324">
        <f>$I16*IF($G16="Pickup", SUMIFS(NewEmisData!F:F, NewEmisData!$A:$A, "Pickup", NewEmisData!$B:$B, $A16, NewEmisData!$C:$C, $H16, NewEmisData!$D:$D, CD$2), SUMIFS(NewEmisData!F:F, NewEmisData!$A:$A, "LDV", NewEmisData!$B:$B, $A16, NewEmisData!$C:$C, $H16, NewEmisData!$D:$D, CD$2))</f>
        <v>3.0321042660064499E-2</v>
      </c>
      <c r="CE16" s="324">
        <f>$I16*IF($G16="Pickup", SUMIFS(NewEmisData!G:G, NewEmisData!$A:$A, "Pickup", NewEmisData!$B:$B, $A16, NewEmisData!$C:$C, $H16, NewEmisData!$D:$D, CE$2), SUMIFS(NewEmisData!G:G, NewEmisData!$A:$A, "LDV", NewEmisData!$B:$B, $A16, NewEmisData!$C:$C, $H16, NewEmisData!$D:$D, CE$2))</f>
        <v>2.5916716030162101E-2</v>
      </c>
      <c r="CF16" s="324">
        <f>$I16*IF($G16="Pickup", SUMIFS(NewEmisData!H:H, NewEmisData!$A:$A, "Pickup", NewEmisData!$B:$B, $A16, NewEmisData!$C:$C, $H16, NewEmisData!$D:$D, CF$2), SUMIFS(NewEmisData!H:H, NewEmisData!$A:$A, "LDV", NewEmisData!$B:$B, $A16, NewEmisData!$C:$C, $H16, NewEmisData!$D:$D, CF$2))</f>
        <v>2.4735955589537201E-2</v>
      </c>
      <c r="CG16" s="324">
        <f>$I16*IF($G16="Pickup", SUMIFS(NewEmisData!I:I, NewEmisData!$A:$A, "Pickup", NewEmisData!$B:$B, $A16, NewEmisData!$C:$C, $H16, NewEmisData!$D:$D, CG$2), SUMIFS(NewEmisData!I:I, NewEmisData!$A:$A, "LDV", NewEmisData!$B:$B, $A16, NewEmisData!$C:$C, $H16, NewEmisData!$D:$D, CG$2))</f>
        <v>2.39507418397766E-2</v>
      </c>
      <c r="CH16" s="324">
        <f>$I16*IF($G16="Pickup", SUMIFS(NewEmisData!J:J, NewEmisData!$A:$A, "Pickup", NewEmisData!$B:$B, $A16, NewEmisData!$C:$C, $H16, NewEmisData!$D:$D, CH$2), SUMIFS(NewEmisData!J:J, NewEmisData!$A:$A, "LDV", NewEmisData!$B:$B, $A16, NewEmisData!$C:$C, $H16, NewEmisData!$D:$D, CH$2))</f>
        <v>2.33343295652753E-2</v>
      </c>
      <c r="CI16" s="324">
        <f>$I16*IF($G16="Pickup", SUMIFS(NewEmisData!K:K, NewEmisData!$A:$A, "Pickup", NewEmisData!$B:$B, $A16, NewEmisData!$C:$C, $H16, NewEmisData!$D:$D, CI$2), SUMIFS(NewEmisData!K:K, NewEmisData!$A:$A, "LDV", NewEmisData!$B:$B, $A16, NewEmisData!$C:$C, $H16, NewEmisData!$D:$D, CI$2))</f>
        <v>2.33323778682475E-2</v>
      </c>
      <c r="CJ16" s="324">
        <f>$I16*IF($G16="Pickup", SUMIFS(NewEmisData!L:L, NewEmisData!$A:$A, "Pickup", NewEmisData!$B:$B, $A16, NewEmisData!$C:$C, $H16, NewEmisData!$D:$D, CJ$2), SUMIFS(NewEmisData!L:L, NewEmisData!$A:$A, "LDV", NewEmisData!$B:$B, $A16, NewEmisData!$C:$C, $H16, NewEmisData!$D:$D, CJ$2))</f>
        <v>2.3331868508858E-2</v>
      </c>
      <c r="CK16" s="324">
        <f>$I16*IF($G16="Pickup", SUMIFS(NewEmisData!M:M, NewEmisData!$A:$A, "Pickup", NewEmisData!$B:$B, $A16, NewEmisData!$C:$C, $H16, NewEmisData!$D:$D, CK$2), SUMIFS(NewEmisData!M:M, NewEmisData!$A:$A, "LDV", NewEmisData!$B:$B, $A16, NewEmisData!$C:$C, $H16, NewEmisData!$D:$D, CK$2))</f>
        <v>2.3331333840255802E-2</v>
      </c>
      <c r="CL16" s="324">
        <f t="shared" si="12"/>
        <v>2.3331333840255802E-2</v>
      </c>
      <c r="CM16" s="324">
        <f>$I16*IF($G16="Pickup", SUMIFS(NewEmisData!E:E, NewEmisData!$A:$A, "Pickup", NewEmisData!$B:$B, $A16, NewEmisData!$C:$C, $H16, NewEmisData!$D:$D, CM$2), SUMIFS(NewEmisData!E:E, NewEmisData!$A:$A, "LDV", NewEmisData!$B:$B, $A16, NewEmisData!$C:$C, $H16, NewEmisData!$D:$D, CM$2))</f>
        <v>1.8999640989844298E-2</v>
      </c>
      <c r="CN16" s="324">
        <f>$I16*IF($G16="Pickup", SUMIFS(NewEmisData!F:F, NewEmisData!$A:$A, "Pickup", NewEmisData!$B:$B, $A16, NewEmisData!$C:$C, $H16, NewEmisData!$D:$D, CN$2), SUMIFS(NewEmisData!F:F, NewEmisData!$A:$A, "LDV", NewEmisData!$B:$B, $A16, NewEmisData!$C:$C, $H16, NewEmisData!$D:$D, CN$2))</f>
        <v>1.12934038283153E-2</v>
      </c>
      <c r="CO16" s="324">
        <f>$I16*IF($G16="Pickup", SUMIFS(NewEmisData!G:G, NewEmisData!$A:$A, "Pickup", NewEmisData!$B:$B, $A16, NewEmisData!$C:$C, $H16, NewEmisData!$D:$D, CO$2), SUMIFS(NewEmisData!G:G, NewEmisData!$A:$A, "LDV", NewEmisData!$B:$B, $A16, NewEmisData!$C:$C, $H16, NewEmisData!$D:$D, CO$2))</f>
        <v>8.9155864809614994E-3</v>
      </c>
      <c r="CP16" s="324">
        <f>$I16*IF($G16="Pickup", SUMIFS(NewEmisData!H:H, NewEmisData!$A:$A, "Pickup", NewEmisData!$B:$B, $A16, NewEmisData!$C:$C, $H16, NewEmisData!$D:$D, CP$2), SUMIFS(NewEmisData!H:H, NewEmisData!$A:$A, "LDV", NewEmisData!$B:$B, $A16, NewEmisData!$C:$C, $H16, NewEmisData!$D:$D, CP$2))</f>
        <v>7.3372921922104104E-3</v>
      </c>
      <c r="CQ16" s="324">
        <f>$I16*IF($G16="Pickup", SUMIFS(NewEmisData!I:I, NewEmisData!$A:$A, "Pickup", NewEmisData!$B:$B, $A16, NewEmisData!$C:$C, $H16, NewEmisData!$D:$D, CQ$2), SUMIFS(NewEmisData!I:I, NewEmisData!$A:$A, "LDV", NewEmisData!$B:$B, $A16, NewEmisData!$C:$C, $H16, NewEmisData!$D:$D, CQ$2))</f>
        <v>6.5724995115123896E-3</v>
      </c>
      <c r="CR16" s="324">
        <f>$I16*IF($G16="Pickup", SUMIFS(NewEmisData!J:J, NewEmisData!$A:$A, "Pickup", NewEmisData!$B:$B, $A16, NewEmisData!$C:$C, $H16, NewEmisData!$D:$D, CR$2), SUMIFS(NewEmisData!J:J, NewEmisData!$A:$A, "LDV", NewEmisData!$B:$B, $A16, NewEmisData!$C:$C, $H16, NewEmisData!$D:$D, CR$2))</f>
        <v>6.2407197852133098E-3</v>
      </c>
      <c r="CS16" s="324">
        <f>$I16*IF($G16="Pickup", SUMIFS(NewEmisData!K:K, NewEmisData!$A:$A, "Pickup", NewEmisData!$B:$B, $A16, NewEmisData!$C:$C, $H16, NewEmisData!$D:$D, CS$2), SUMIFS(NewEmisData!K:K, NewEmisData!$A:$A, "LDV", NewEmisData!$B:$B, $A16, NewEmisData!$C:$C, $H16, NewEmisData!$D:$D, CS$2))</f>
        <v>6.20457620974787E-3</v>
      </c>
      <c r="CT16" s="324">
        <f>$I16*IF($G16="Pickup", SUMIFS(NewEmisData!L:L, NewEmisData!$A:$A, "Pickup", NewEmisData!$B:$B, $A16, NewEmisData!$C:$C, $H16, NewEmisData!$D:$D, CT$2), SUMIFS(NewEmisData!L:L, NewEmisData!$A:$A, "LDV", NewEmisData!$B:$B, $A16, NewEmisData!$C:$C, $H16, NewEmisData!$D:$D, CT$2))</f>
        <v>6.1456645266433898E-3</v>
      </c>
      <c r="CU16" s="324">
        <f>$I16*IF($G16="Pickup", SUMIFS(NewEmisData!M:M, NewEmisData!$A:$A, "Pickup", NewEmisData!$B:$B, $A16, NewEmisData!$C:$C, $H16, NewEmisData!$D:$D, CU$2), SUMIFS(NewEmisData!M:M, NewEmisData!$A:$A, "LDV", NewEmisData!$B:$B, $A16, NewEmisData!$C:$C, $H16, NewEmisData!$D:$D, CU$2))</f>
        <v>6.1452936234844303E-3</v>
      </c>
      <c r="CV16" s="324">
        <f t="shared" si="13"/>
        <v>6.1452936234844303E-3</v>
      </c>
      <c r="CW16" s="324">
        <v>3.0448046675121709E-3</v>
      </c>
      <c r="CX16" s="324">
        <v>1.8865908720768221E-3</v>
      </c>
      <c r="CY16" s="324">
        <v>1.5570268485524494E-3</v>
      </c>
      <c r="CZ16" s="324">
        <v>1.2432183416122382E-3</v>
      </c>
      <c r="DA16" s="324">
        <v>9.252251866281976E-4</v>
      </c>
      <c r="DB16" s="324">
        <v>7.2309456596024934E-4</v>
      </c>
      <c r="DC16" s="324">
        <v>6.8940706870607876E-4</v>
      </c>
      <c r="DD16" s="324">
        <v>6.844148428615973E-4</v>
      </c>
      <c r="DE16" s="324">
        <v>6.8634617396886091E-4</v>
      </c>
      <c r="DF16" s="324">
        <v>6.8634617396886091E-4</v>
      </c>
      <c r="DG16" s="324">
        <f>$I16*IF($G16="Pickup", SUMIFS(NewEmisData!E:E, NewEmisData!$A:$A, "Pickup", NewEmisData!$B:$B, $A16, NewEmisData!$C:$C, $H16, NewEmisData!$D:$D, DG$2), SUMIFS(NewEmisData!E:E, NewEmisData!$A:$A, "LDV", NewEmisData!$B:$B, $A16, NewEmisData!$C:$C, $H16, NewEmisData!$D:$D, DG$2))</f>
        <v>0</v>
      </c>
      <c r="DH16" s="324">
        <f>$I16*IF($G16="Pickup", SUMIFS(NewEmisData!F:F, NewEmisData!$A:$A, "Pickup", NewEmisData!$B:$B, $A16, NewEmisData!$C:$C, $H16, NewEmisData!$D:$D, DH$2), SUMIFS(NewEmisData!F:F, NewEmisData!$A:$A, "LDV", NewEmisData!$B:$B, $A16, NewEmisData!$C:$C, $H16, NewEmisData!$D:$D, DH$2))</f>
        <v>0</v>
      </c>
      <c r="DI16" s="324">
        <f>$I16*IF($G16="Pickup", SUMIFS(NewEmisData!G:G, NewEmisData!$A:$A, "Pickup", NewEmisData!$B:$B, $A16, NewEmisData!$C:$C, $H16, NewEmisData!$D:$D, DI$2), SUMIFS(NewEmisData!G:G, NewEmisData!$A:$A, "LDV", NewEmisData!$B:$B, $A16, NewEmisData!$C:$C, $H16, NewEmisData!$D:$D, DI$2))</f>
        <v>0</v>
      </c>
      <c r="DJ16" s="324">
        <f>$I16*IF($G16="Pickup", SUMIFS(NewEmisData!H:H, NewEmisData!$A:$A, "Pickup", NewEmisData!$B:$B, $A16, NewEmisData!$C:$C, $H16, NewEmisData!$D:$D, DJ$2), SUMIFS(NewEmisData!H:H, NewEmisData!$A:$A, "LDV", NewEmisData!$B:$B, $A16, NewEmisData!$C:$C, $H16, NewEmisData!$D:$D, DJ$2))</f>
        <v>0</v>
      </c>
      <c r="DK16" s="324">
        <f>$I16*IF($G16="Pickup", SUMIFS(NewEmisData!I:I, NewEmisData!$A:$A, "Pickup", NewEmisData!$B:$B, $A16, NewEmisData!$C:$C, $H16, NewEmisData!$D:$D, DK$2), SUMIFS(NewEmisData!I:I, NewEmisData!$A:$A, "LDV", NewEmisData!$B:$B, $A16, NewEmisData!$C:$C, $H16, NewEmisData!$D:$D, DK$2))</f>
        <v>0</v>
      </c>
      <c r="DL16" s="324">
        <f>$I16*IF($G16="Pickup", SUMIFS(NewEmisData!J:J, NewEmisData!$A:$A, "Pickup", NewEmisData!$B:$B, $A16, NewEmisData!$C:$C, $H16, NewEmisData!$D:$D, DL$2), SUMIFS(NewEmisData!J:J, NewEmisData!$A:$A, "LDV", NewEmisData!$B:$B, $A16, NewEmisData!$C:$C, $H16, NewEmisData!$D:$D, DL$2))</f>
        <v>0</v>
      </c>
      <c r="DM16" s="324">
        <f>$I16*IF($G16="Pickup", SUMIFS(NewEmisData!K:K, NewEmisData!$A:$A, "Pickup", NewEmisData!$B:$B, $A16, NewEmisData!$C:$C, $H16, NewEmisData!$D:$D, DM$2), SUMIFS(NewEmisData!K:K, NewEmisData!$A:$A, "LDV", NewEmisData!$B:$B, $A16, NewEmisData!$C:$C, $H16, NewEmisData!$D:$D, DM$2))</f>
        <v>0</v>
      </c>
      <c r="DN16" s="324">
        <f>$I16*IF($G16="Pickup", SUMIFS(NewEmisData!L:L, NewEmisData!$A:$A, "Pickup", NewEmisData!$B:$B, $A16, NewEmisData!$C:$C, $H16, NewEmisData!$D:$D, DN$2), SUMIFS(NewEmisData!L:L, NewEmisData!$A:$A, "LDV", NewEmisData!$B:$B, $A16, NewEmisData!$C:$C, $H16, NewEmisData!$D:$D, DN$2))</f>
        <v>0</v>
      </c>
      <c r="DO16" s="324">
        <f>$I16*IF($G16="Pickup", SUMIFS(NewEmisData!M:M, NewEmisData!$A:$A, "Pickup", NewEmisData!$B:$B, $A16, NewEmisData!$C:$C, $H16, NewEmisData!$D:$D, DO$2), SUMIFS(NewEmisData!M:M, NewEmisData!$A:$A, "LDV", NewEmisData!$B:$B, $A16, NewEmisData!$C:$C, $H16, NewEmisData!$D:$D, DO$2))</f>
        <v>0</v>
      </c>
      <c r="DP16" s="324">
        <f t="shared" si="14"/>
        <v>0</v>
      </c>
      <c r="DQ16" s="324">
        <f>$I16*IF($G16="Pickup", SUMIFS(NewEmisData!E:E, NewEmisData!$A:$A, "Pickup", NewEmisData!$B:$B, $A16, NewEmisData!$C:$C, $H16, NewEmisData!$D:$D, DQ$2), SUMIFS(NewEmisData!E:E, NewEmisData!$A:$A, "LDV", NewEmisData!$B:$B, $A16, NewEmisData!$C:$C, $H16, NewEmisData!$D:$D, DQ$2))</f>
        <v>1.28100272800791E-2</v>
      </c>
      <c r="DR16" s="324">
        <f>$I16*IF($G16="Pickup", SUMIFS(NewEmisData!F:F, NewEmisData!$A:$A, "Pickup", NewEmisData!$B:$B, $A16, NewEmisData!$C:$C, $H16, NewEmisData!$D:$D, DR$2), SUMIFS(NewEmisData!F:F, NewEmisData!$A:$A, "LDV", NewEmisData!$B:$B, $A16, NewEmisData!$C:$C, $H16, NewEmisData!$D:$D, DR$2))</f>
        <v>6.9424260700293398E-3</v>
      </c>
      <c r="DS16" s="324">
        <f>$I16*IF($G16="Pickup", SUMIFS(NewEmisData!G:G, NewEmisData!$A:$A, "Pickup", NewEmisData!$B:$B, $A16, NewEmisData!$C:$C, $H16, NewEmisData!$D:$D, DS$2), SUMIFS(NewEmisData!G:G, NewEmisData!$A:$A, "LDV", NewEmisData!$B:$B, $A16, NewEmisData!$C:$C, $H16, NewEmisData!$D:$D, DS$2))</f>
        <v>5.5718062948972597E-3</v>
      </c>
      <c r="DT16" s="324">
        <f>$I16*IF($G16="Pickup", SUMIFS(NewEmisData!H:H, NewEmisData!$A:$A, "Pickup", NewEmisData!$B:$B, $A16, NewEmisData!$C:$C, $H16, NewEmisData!$D:$D, DT$2), SUMIFS(NewEmisData!H:H, NewEmisData!$A:$A, "LDV", NewEmisData!$B:$B, $A16, NewEmisData!$C:$C, $H16, NewEmisData!$D:$D, DT$2))</f>
        <v>4.2603417623007303E-3</v>
      </c>
      <c r="DU16" s="324">
        <f>$I16*IF($G16="Pickup", SUMIFS(NewEmisData!I:I, NewEmisData!$A:$A, "Pickup", NewEmisData!$B:$B, $A16, NewEmisData!$C:$C, $H16, NewEmisData!$D:$D, DU$2), SUMIFS(NewEmisData!I:I, NewEmisData!$A:$A, "LDV", NewEmisData!$B:$B, $A16, NewEmisData!$C:$C, $H16, NewEmisData!$D:$D, DU$2))</f>
        <v>3.31959498333436E-3</v>
      </c>
      <c r="DV16" s="324">
        <f>$I16*IF($G16="Pickup", SUMIFS(NewEmisData!J:J, NewEmisData!$A:$A, "Pickup", NewEmisData!$B:$B, $A16, NewEmisData!$C:$C, $H16, NewEmisData!$D:$D, DV$2), SUMIFS(NewEmisData!J:J, NewEmisData!$A:$A, "LDV", NewEmisData!$B:$B, $A16, NewEmisData!$C:$C, $H16, NewEmisData!$D:$D, DV$2))</f>
        <v>2.8901416801040899E-3</v>
      </c>
      <c r="DW16" s="324">
        <f>$I16*IF($G16="Pickup", SUMIFS(NewEmisData!K:K, NewEmisData!$A:$A, "Pickup", NewEmisData!$B:$B, $A16, NewEmisData!$C:$C, $H16, NewEmisData!$D:$D, DW$2), SUMIFS(NewEmisData!K:K, NewEmisData!$A:$A, "LDV", NewEmisData!$B:$B, $A16, NewEmisData!$C:$C, $H16, NewEmisData!$D:$D, DW$2))</f>
        <v>2.6480526244027302E-3</v>
      </c>
      <c r="DX16" s="324">
        <f>$I16*IF($G16="Pickup", SUMIFS(NewEmisData!L:L, NewEmisData!$A:$A, "Pickup", NewEmisData!$B:$B, $A16, NewEmisData!$C:$C, $H16, NewEmisData!$D:$D, DX$2), SUMIFS(NewEmisData!L:L, NewEmisData!$A:$A, "LDV", NewEmisData!$B:$B, $A16, NewEmisData!$C:$C, $H16, NewEmisData!$D:$D, DX$2))</f>
        <v>2.5707167297103401E-3</v>
      </c>
      <c r="DY16" s="324">
        <f>$I16*IF($G16="Pickup", SUMIFS(NewEmisData!M:M, NewEmisData!$A:$A, "Pickup", NewEmisData!$B:$B, $A16, NewEmisData!$C:$C, $H16, NewEmisData!$D:$D, DY$2), SUMIFS(NewEmisData!M:M, NewEmisData!$A:$A, "LDV", NewEmisData!$B:$B, $A16, NewEmisData!$C:$C, $H16, NewEmisData!$D:$D, DY$2))</f>
        <v>2.5319062605993902E-3</v>
      </c>
      <c r="DZ16" s="324">
        <f t="shared" si="15"/>
        <v>2.5319062605993902E-3</v>
      </c>
      <c r="EA16" s="324">
        <f t="shared" si="16"/>
        <v>437.85746964693402</v>
      </c>
      <c r="EB16" s="324">
        <f t="shared" si="17"/>
        <v>424.609883045034</v>
      </c>
      <c r="EC16" s="324">
        <f t="shared" si="18"/>
        <v>389.26792072260798</v>
      </c>
      <c r="ED16" s="324">
        <f t="shared" si="19"/>
        <v>331.09003080375697</v>
      </c>
      <c r="EE16" s="324">
        <f t="shared" si="20"/>
        <v>286.46929869872997</v>
      </c>
      <c r="EF16" s="324">
        <f t="shared" si="21"/>
        <v>261.33080310252802</v>
      </c>
      <c r="EG16" s="324">
        <f t="shared" si="22"/>
        <v>250.12665030232699</v>
      </c>
      <c r="EH16" s="324">
        <f t="shared" si="23"/>
        <v>246.146486551527</v>
      </c>
      <c r="EI16" s="324">
        <f t="shared" si="24"/>
        <v>244.677818234341</v>
      </c>
      <c r="EJ16" s="324">
        <f t="shared" si="25"/>
        <v>244.677818234341</v>
      </c>
      <c r="EK16" s="324">
        <f t="shared" si="26"/>
        <v>0.78000130642291299</v>
      </c>
      <c r="EL16" s="324">
        <f t="shared" si="27"/>
        <v>0.323605278282381</v>
      </c>
      <c r="EM16" s="324">
        <f t="shared" si="28"/>
        <v>0.19152446532377701</v>
      </c>
      <c r="EN16" s="324">
        <f t="shared" si="29"/>
        <v>0.12537127832280801</v>
      </c>
      <c r="EO16" s="324">
        <f t="shared" si="30"/>
        <v>7.6671766649271E-2</v>
      </c>
      <c r="EP16" s="324">
        <f t="shared" si="31"/>
        <v>5.7019026656941203E-2</v>
      </c>
      <c r="EQ16" s="324">
        <f t="shared" si="32"/>
        <v>4.8823281713844202E-2</v>
      </c>
      <c r="ER16" s="324">
        <f t="shared" si="33"/>
        <v>4.6542407484685501E-2</v>
      </c>
      <c r="ES16" s="324">
        <f t="shared" si="34"/>
        <v>4.5415311435121702E-2</v>
      </c>
      <c r="ET16" s="324">
        <f t="shared" si="35"/>
        <v>4.5415311435121702E-2</v>
      </c>
      <c r="EU16" s="324">
        <f t="shared" si="36"/>
        <v>7.5764719154140002E-3</v>
      </c>
      <c r="EV16" s="324">
        <f t="shared" si="37"/>
        <v>7.3472400077695399E-3</v>
      </c>
      <c r="EW16" s="324">
        <f t="shared" si="38"/>
        <v>5.5842494055705696E-3</v>
      </c>
      <c r="EX16" s="324">
        <f t="shared" si="39"/>
        <v>4.7496587466809804E-3</v>
      </c>
      <c r="EY16" s="324">
        <f t="shared" si="40"/>
        <v>4.1095518958717504E-3</v>
      </c>
      <c r="EZ16" s="324">
        <f t="shared" si="41"/>
        <v>3.7489264773323799E-3</v>
      </c>
      <c r="FA16" s="324">
        <f t="shared" si="42"/>
        <v>3.5881959766524201E-3</v>
      </c>
      <c r="FB16" s="324">
        <f t="shared" si="43"/>
        <v>3.5311006464952199E-3</v>
      </c>
      <c r="FC16" s="324">
        <f t="shared" si="44"/>
        <v>3.5100309709840301E-3</v>
      </c>
      <c r="FD16" s="324">
        <f t="shared" si="45"/>
        <v>3.5100309709840301E-3</v>
      </c>
      <c r="FE16" s="324">
        <f t="shared" si="46"/>
        <v>6.7831755328566196E-2</v>
      </c>
      <c r="FF16" s="324">
        <f t="shared" si="47"/>
        <v>6.3250667156757298E-2</v>
      </c>
      <c r="FG16" s="324">
        <f t="shared" si="48"/>
        <v>6.2628417187727006E-2</v>
      </c>
      <c r="FH16" s="324">
        <f t="shared" si="49"/>
        <v>6.1216981125607202E-2</v>
      </c>
      <c r="FI16" s="324">
        <f t="shared" si="50"/>
        <v>5.9842025439809501E-2</v>
      </c>
      <c r="FJ16" s="324">
        <f t="shared" si="51"/>
        <v>5.8761885691048198E-2</v>
      </c>
      <c r="FK16" s="324">
        <f t="shared" si="52"/>
        <v>5.8072078083983E-2</v>
      </c>
      <c r="FL16" s="324">
        <f t="shared" si="53"/>
        <v>5.7726484266030297E-2</v>
      </c>
      <c r="FM16" s="324">
        <f t="shared" si="54"/>
        <v>5.7530226905323702E-2</v>
      </c>
      <c r="FN16" s="324">
        <f t="shared" si="55"/>
        <v>5.7530226905323702E-2</v>
      </c>
      <c r="FO16" s="324">
        <f t="shared" si="56"/>
        <v>1.8324822567621701E-2</v>
      </c>
      <c r="FP16" s="324">
        <f t="shared" si="57"/>
        <v>1.4272294035055699E-2</v>
      </c>
      <c r="FQ16" s="324">
        <f t="shared" si="58"/>
        <v>1.3165752481838801E-2</v>
      </c>
      <c r="FR16" s="324">
        <f t="shared" si="59"/>
        <v>1.1917194849656599E-2</v>
      </c>
      <c r="FS16" s="324">
        <f t="shared" si="60"/>
        <v>1.0700861948252101E-2</v>
      </c>
      <c r="FT16" s="324">
        <f t="shared" si="61"/>
        <v>9.7453521893521699E-3</v>
      </c>
      <c r="FU16" s="324">
        <f t="shared" si="62"/>
        <v>9.1351470976244707E-3</v>
      </c>
      <c r="FV16" s="324">
        <f t="shared" si="63"/>
        <v>8.8293874131557606E-3</v>
      </c>
      <c r="FW16" s="324">
        <f t="shared" si="64"/>
        <v>8.6558174466142106E-3</v>
      </c>
      <c r="FX16" s="324">
        <f t="shared" si="65"/>
        <v>8.6558174466142106E-3</v>
      </c>
    </row>
    <row r="17" spans="1:180" x14ac:dyDescent="0.2">
      <c r="A17" s="298" t="str">
        <f>_xlfn.CONCAT(IF(LEFT(TRIM(A16),1)="*", "*R", "R"), 1+RIGHT(TRIM(A16),1))</f>
        <v>R4</v>
      </c>
      <c r="B17" s="298" t="str">
        <f t="shared" si="71"/>
        <v>TLECGSL</v>
      </c>
      <c r="C17" s="298" t="str">
        <f t="shared" si="72"/>
        <v>TL.GSL.C.Existing fleet</v>
      </c>
      <c r="D17" s="294" t="str">
        <f t="shared" si="73"/>
        <v>bn-vmt, bn-vmt/a</v>
      </c>
      <c r="E17" s="294" t="str">
        <f t="shared" si="74"/>
        <v>TLGSL</v>
      </c>
      <c r="F17" s="294" t="str">
        <f t="shared" si="75"/>
        <v>TL</v>
      </c>
      <c r="G17" s="294" t="s">
        <v>475</v>
      </c>
      <c r="H17" s="294" t="s">
        <v>474</v>
      </c>
      <c r="I17" s="294">
        <v>1</v>
      </c>
      <c r="J17" s="308" t="str">
        <f t="shared" si="2"/>
        <v>Compact car-GSL</v>
      </c>
      <c r="K17" s="324">
        <f>$I17*IF($G17="Pickup", SUMIFS(NewEmisData!E:E, NewEmisData!$A:$A, "Pickup", NewEmisData!$B:$B, $A17, NewEmisData!$C:$C, $H17, NewEmisData!$D:$D, K$2), SUMIFS(NewEmisData!E:E, NewEmisData!$A:$A, "LDV", NewEmisData!$B:$B, $A17, NewEmisData!$C:$C, $H17, NewEmisData!$D:$D, K$2))</f>
        <v>605.35194063093002</v>
      </c>
      <c r="L17" s="324">
        <f>$I17*IF($G17="Pickup", SUMIFS(NewEmisData!F:F, NewEmisData!$A:$A, "Pickup", NewEmisData!$B:$B, $A17, NewEmisData!$C:$C, $H17, NewEmisData!$D:$D, L$2), SUMIFS(NewEmisData!F:F, NewEmisData!$A:$A, "LDV", NewEmisData!$B:$B, $A17, NewEmisData!$C:$C, $H17, NewEmisData!$D:$D, L$2))</f>
        <v>575.43677827742204</v>
      </c>
      <c r="M17" s="324">
        <f>$I17*IF($G17="Pickup", SUMIFS(NewEmisData!G:G, NewEmisData!$A:$A, "Pickup", NewEmisData!$B:$B, $A17, NewEmisData!$C:$C, $H17, NewEmisData!$D:$D, M$2), SUMIFS(NewEmisData!G:G, NewEmisData!$A:$A, "LDV", NewEmisData!$B:$B, $A17, NewEmisData!$C:$C, $H17, NewEmisData!$D:$D, M$2))</f>
        <v>447.50306541281799</v>
      </c>
      <c r="N17" s="324">
        <f>$I17*IF($G17="Pickup", SUMIFS(NewEmisData!H:H, NewEmisData!$A:$A, "Pickup", NewEmisData!$B:$B, $A17, NewEmisData!$C:$C, $H17, NewEmisData!$D:$D, N$2), SUMIFS(NewEmisData!H:H, NewEmisData!$A:$A, "LDV", NewEmisData!$B:$B, $A17, NewEmisData!$C:$C, $H17, NewEmisData!$D:$D, N$2))</f>
        <v>380.32748601406797</v>
      </c>
      <c r="O17" s="324">
        <f>$I17*IF($G17="Pickup", SUMIFS(NewEmisData!I:I, NewEmisData!$A:$A, "Pickup", NewEmisData!$B:$B, $A17, NewEmisData!$C:$C, $H17, NewEmisData!$D:$D, O$2), SUMIFS(NewEmisData!I:I, NewEmisData!$A:$A, "LDV", NewEmisData!$B:$B, $A17, NewEmisData!$C:$C, $H17, NewEmisData!$D:$D, O$2))</f>
        <v>328.8508655947</v>
      </c>
      <c r="P17" s="324">
        <f>$I17*IF($G17="Pickup", SUMIFS(NewEmisData!J:J, NewEmisData!$A:$A, "Pickup", NewEmisData!$B:$B, $A17, NewEmisData!$C:$C, $H17, NewEmisData!$D:$D, P$2), SUMIFS(NewEmisData!J:J, NewEmisData!$A:$A, "LDV", NewEmisData!$B:$B, $A17, NewEmisData!$C:$C, $H17, NewEmisData!$D:$D, P$2))</f>
        <v>299.87343037562698</v>
      </c>
      <c r="Q17" s="324">
        <f>$I17*IF($G17="Pickup", SUMIFS(NewEmisData!K:K, NewEmisData!$A:$A, "Pickup", NewEmisData!$B:$B, $A17, NewEmisData!$C:$C, $H17, NewEmisData!$D:$D, Q$2), SUMIFS(NewEmisData!K:K, NewEmisData!$A:$A, "LDV", NewEmisData!$B:$B, $A17, NewEmisData!$C:$C, $H17, NewEmisData!$D:$D, Q$2))</f>
        <v>286.96645721008798</v>
      </c>
      <c r="R17" s="324">
        <f>$I17*IF($G17="Pickup", SUMIFS(NewEmisData!L:L, NewEmisData!$A:$A, "Pickup", NewEmisData!$B:$B, $A17, NewEmisData!$C:$C, $H17, NewEmisData!$D:$D, R$2), SUMIFS(NewEmisData!L:L, NewEmisData!$A:$A, "LDV", NewEmisData!$B:$B, $A17, NewEmisData!$C:$C, $H17, NewEmisData!$D:$D, R$2))</f>
        <v>282.38592098475101</v>
      </c>
      <c r="S17" s="324">
        <f>$I17*IF($G17="Pickup", SUMIFS(NewEmisData!M:M, NewEmisData!$A:$A, "Pickup", NewEmisData!$B:$B, $A17, NewEmisData!$C:$C, $H17, NewEmisData!$D:$D, S$2), SUMIFS(NewEmisData!M:M, NewEmisData!$A:$A, "LDV", NewEmisData!$B:$B, $A17, NewEmisData!$C:$C, $H17, NewEmisData!$D:$D, S$2))</f>
        <v>280.69816184937503</v>
      </c>
      <c r="T17" s="324">
        <f t="shared" si="5"/>
        <v>280.69816184937503</v>
      </c>
      <c r="U17" s="324">
        <f>$I17*IF($G17="Pickup", SUMIFS(NewEmisData!E:E, NewEmisData!$A:$A, "Pickup", NewEmisData!$B:$B, $A17, NewEmisData!$C:$C, $H17, NewEmisData!$D:$D, U$2), SUMIFS(NewEmisData!E:E, NewEmisData!$A:$A, "LDV", NewEmisData!$B:$B, $A17, NewEmisData!$C:$C, $H17, NewEmisData!$D:$D, U$2))</f>
        <v>0.73999493628111201</v>
      </c>
      <c r="V17" s="324">
        <f>$I17*IF($G17="Pickup", SUMIFS(NewEmisData!F:F, NewEmisData!$A:$A, "Pickup", NewEmisData!$B:$B, $A17, NewEmisData!$C:$C, $H17, NewEmisData!$D:$D, V$2), SUMIFS(NewEmisData!F:F, NewEmisData!$A:$A, "LDV", NewEmisData!$B:$B, $A17, NewEmisData!$C:$C, $H17, NewEmisData!$D:$D, V$2))</f>
        <v>0.35335240075773999</v>
      </c>
      <c r="W17" s="324">
        <f>$I17*IF($G17="Pickup", SUMIFS(NewEmisData!G:G, NewEmisData!$A:$A, "Pickup", NewEmisData!$B:$B, $A17, NewEmisData!$C:$C, $H17, NewEmisData!$D:$D, W$2), SUMIFS(NewEmisData!G:G, NewEmisData!$A:$A, "LDV", NewEmisData!$B:$B, $A17, NewEmisData!$C:$C, $H17, NewEmisData!$D:$D, W$2))</f>
        <v>0.18897755292818599</v>
      </c>
      <c r="X17" s="324">
        <f>$I17*IF($G17="Pickup", SUMIFS(NewEmisData!H:H, NewEmisData!$A:$A, "Pickup", NewEmisData!$B:$B, $A17, NewEmisData!$C:$C, $H17, NewEmisData!$D:$D, X$2), SUMIFS(NewEmisData!H:H, NewEmisData!$A:$A, "LDV", NewEmisData!$B:$B, $A17, NewEmisData!$C:$C, $H17, NewEmisData!$D:$D, X$2))</f>
        <v>0.12218817840455801</v>
      </c>
      <c r="Y17" s="324">
        <f>$I17*IF($G17="Pickup", SUMIFS(NewEmisData!I:I, NewEmisData!$A:$A, "Pickup", NewEmisData!$B:$B, $A17, NewEmisData!$C:$C, $H17, NewEmisData!$D:$D, Y$2), SUMIFS(NewEmisData!I:I, NewEmisData!$A:$A, "LDV", NewEmisData!$B:$B, $A17, NewEmisData!$C:$C, $H17, NewEmisData!$D:$D, Y$2))</f>
        <v>7.3060825114572805E-2</v>
      </c>
      <c r="Z17" s="324">
        <f>$I17*IF($G17="Pickup", SUMIFS(NewEmisData!J:J, NewEmisData!$A:$A, "Pickup", NewEmisData!$B:$B, $A17, NewEmisData!$C:$C, $H17, NewEmisData!$D:$D, Z$2), SUMIFS(NewEmisData!J:J, NewEmisData!$A:$A, "LDV", NewEmisData!$B:$B, $A17, NewEmisData!$C:$C, $H17, NewEmisData!$D:$D, Z$2))</f>
        <v>5.3764321341730301E-2</v>
      </c>
      <c r="AA17" s="324">
        <f>$I17*IF($G17="Pickup", SUMIFS(NewEmisData!K:K, NewEmisData!$A:$A, "Pickup", NewEmisData!$B:$B, $A17, NewEmisData!$C:$C, $H17, NewEmisData!$D:$D, AA$2), SUMIFS(NewEmisData!K:K, NewEmisData!$A:$A, "LDV", NewEmisData!$B:$B, $A17, NewEmisData!$C:$C, $H17, NewEmisData!$D:$D, AA$2))</f>
        <v>4.5765873698397498E-2</v>
      </c>
      <c r="AB17" s="324">
        <f>$I17*IF($G17="Pickup", SUMIFS(NewEmisData!L:L, NewEmisData!$A:$A, "Pickup", NewEmisData!$B:$B, $A17, NewEmisData!$C:$C, $H17, NewEmisData!$D:$D, AB$2), SUMIFS(NewEmisData!L:L, NewEmisData!$A:$A, "LDV", NewEmisData!$B:$B, $A17, NewEmisData!$C:$C, $H17, NewEmisData!$D:$D, AB$2))</f>
        <v>4.3548109073897001E-2</v>
      </c>
      <c r="AC17" s="324">
        <f>$I17*IF($G17="Pickup", SUMIFS(NewEmisData!M:M, NewEmisData!$A:$A, "Pickup", NewEmisData!$B:$B, $A17, NewEmisData!$C:$C, $H17, NewEmisData!$D:$D, AC$2), SUMIFS(NewEmisData!M:M, NewEmisData!$A:$A, "LDV", NewEmisData!$B:$B, $A17, NewEmisData!$C:$C, $H17, NewEmisData!$D:$D, AC$2))</f>
        <v>4.24609775043936E-2</v>
      </c>
      <c r="AD17" s="324">
        <f t="shared" si="6"/>
        <v>4.24609775043936E-2</v>
      </c>
      <c r="AE17" s="324">
        <f>$I17*IF($G17="Pickup", SUMIFS(NewEmisData!E:E, NewEmisData!$A:$A, "Pickup", NewEmisData!$B:$B, $A17, NewEmisData!$C:$C, $H17, NewEmisData!$D:$D, AE$2), SUMIFS(NewEmisData!E:E, NewEmisData!$A:$A, "LDV", NewEmisData!$B:$B, $A17, NewEmisData!$C:$C, $H17, NewEmisData!$D:$D, AE$2))</f>
        <v>1.04747160569124E-2</v>
      </c>
      <c r="AF17" s="324">
        <f>$I17*IF($G17="Pickup", SUMIFS(NewEmisData!F:F, NewEmisData!$A:$A, "Pickup", NewEmisData!$B:$B, $A17, NewEmisData!$C:$C, $H17, NewEmisData!$D:$D, AF$2), SUMIFS(NewEmisData!F:F, NewEmisData!$A:$A, "LDV", NewEmisData!$B:$B, $A17, NewEmisData!$C:$C, $H17, NewEmisData!$D:$D, AF$2))</f>
        <v>9.9570764799691708E-3</v>
      </c>
      <c r="AG17" s="324">
        <f>$I17*IF($G17="Pickup", SUMIFS(NewEmisData!G:G, NewEmisData!$A:$A, "Pickup", NewEmisData!$B:$B, $A17, NewEmisData!$C:$C, $H17, NewEmisData!$D:$D, AG$2), SUMIFS(NewEmisData!G:G, NewEmisData!$A:$A, "LDV", NewEmisData!$B:$B, $A17, NewEmisData!$C:$C, $H17, NewEmisData!$D:$D, AG$2))</f>
        <v>6.4196648888919499E-3</v>
      </c>
      <c r="AH17" s="324">
        <f>$I17*IF($G17="Pickup", SUMIFS(NewEmisData!H:H, NewEmisData!$A:$A, "Pickup", NewEmisData!$B:$B, $A17, NewEmisData!$C:$C, $H17, NewEmisData!$D:$D, AH$2), SUMIFS(NewEmisData!H:H, NewEmisData!$A:$A, "LDV", NewEmisData!$B:$B, $A17, NewEmisData!$C:$C, $H17, NewEmisData!$D:$D, AH$2))</f>
        <v>5.45599526494426E-3</v>
      </c>
      <c r="AI17" s="324">
        <f>$I17*IF($G17="Pickup", SUMIFS(NewEmisData!I:I, NewEmisData!$A:$A, "Pickup", NewEmisData!$B:$B, $A17, NewEmisData!$C:$C, $H17, NewEmisData!$D:$D, AI$2), SUMIFS(NewEmisData!I:I, NewEmisData!$A:$A, "LDV", NewEmisData!$B:$B, $A17, NewEmisData!$C:$C, $H17, NewEmisData!$D:$D, AI$2))</f>
        <v>4.7175365225731996E-3</v>
      </c>
      <c r="AJ17" s="324">
        <f>$I17*IF($G17="Pickup", SUMIFS(NewEmisData!J:J, NewEmisData!$A:$A, "Pickup", NewEmisData!$B:$B, $A17, NewEmisData!$C:$C, $H17, NewEmisData!$D:$D, AJ$2), SUMIFS(NewEmisData!J:J, NewEmisData!$A:$A, "LDV", NewEmisData!$B:$B, $A17, NewEmisData!$C:$C, $H17, NewEmisData!$D:$D, AJ$2))</f>
        <v>4.3018391726363297E-3</v>
      </c>
      <c r="AK17" s="324">
        <f>$I17*IF($G17="Pickup", SUMIFS(NewEmisData!K:K, NewEmisData!$A:$A, "Pickup", NewEmisData!$B:$B, $A17, NewEmisData!$C:$C, $H17, NewEmisData!$D:$D, AK$2), SUMIFS(NewEmisData!K:K, NewEmisData!$A:$A, "LDV", NewEmisData!$B:$B, $A17, NewEmisData!$C:$C, $H17, NewEmisData!$D:$D, AK$2))</f>
        <v>4.1166816404986702E-3</v>
      </c>
      <c r="AL17" s="324">
        <f>$I17*IF($G17="Pickup", SUMIFS(NewEmisData!L:L, NewEmisData!$A:$A, "Pickup", NewEmisData!$B:$B, $A17, NewEmisData!$C:$C, $H17, NewEmisData!$D:$D, AL$2), SUMIFS(NewEmisData!L:L, NewEmisData!$A:$A, "LDV", NewEmisData!$B:$B, $A17, NewEmisData!$C:$C, $H17, NewEmisData!$D:$D, AL$2))</f>
        <v>4.0509726462172697E-3</v>
      </c>
      <c r="AM17" s="324">
        <f>$I17*IF($G17="Pickup", SUMIFS(NewEmisData!M:M, NewEmisData!$A:$A, "Pickup", NewEmisData!$B:$B, $A17, NewEmisData!$C:$C, $H17, NewEmisData!$D:$D, AM$2), SUMIFS(NewEmisData!M:M, NewEmisData!$A:$A, "LDV", NewEmisData!$B:$B, $A17, NewEmisData!$C:$C, $H17, NewEmisData!$D:$D, AM$2))</f>
        <v>4.0267596573162799E-3</v>
      </c>
      <c r="AN17" s="324">
        <f t="shared" si="7"/>
        <v>4.0267596573162799E-3</v>
      </c>
      <c r="AO17" s="324">
        <f>$I17*IF($G17="Pickup", SUMIFS(NewEmisData!E:E, NewEmisData!$A:$A, "Pickup", NewEmisData!$B:$B, $A17, NewEmisData!$C:$C, $H17, NewEmisData!$D:$D, AO$2), SUMIFS(NewEmisData!E:E, NewEmisData!$A:$A, "LDV", NewEmisData!$B:$B, $A17, NewEmisData!$C:$C, $H17, NewEmisData!$D:$D, AO$2))</f>
        <v>0.112529836649977</v>
      </c>
      <c r="AP17" s="324">
        <f>$I17*IF($G17="Pickup", SUMIFS(NewEmisData!F:F, NewEmisData!$A:$A, "Pickup", NewEmisData!$B:$B, $A17, NewEmisData!$C:$C, $H17, NewEmisData!$D:$D, AP$2), SUMIFS(NewEmisData!F:F, NewEmisData!$A:$A, "LDV", NewEmisData!$B:$B, $A17, NewEmisData!$C:$C, $H17, NewEmisData!$D:$D, AP$2))</f>
        <v>0.103764807432247</v>
      </c>
      <c r="AQ17" s="324">
        <f>$I17*IF($G17="Pickup", SUMIFS(NewEmisData!G:G, NewEmisData!$A:$A, "Pickup", NewEmisData!$B:$B, $A17, NewEmisData!$C:$C, $H17, NewEmisData!$D:$D, AQ$2), SUMIFS(NewEmisData!G:G, NewEmisData!$A:$A, "LDV", NewEmisData!$B:$B, $A17, NewEmisData!$C:$C, $H17, NewEmisData!$D:$D, AQ$2))</f>
        <v>8.1904009889209095E-2</v>
      </c>
      <c r="AR17" s="324">
        <f>$I17*IF($G17="Pickup", SUMIFS(NewEmisData!H:H, NewEmisData!$A:$A, "Pickup", NewEmisData!$B:$B, $A17, NewEmisData!$C:$C, $H17, NewEmisData!$D:$D, AR$2), SUMIFS(NewEmisData!H:H, NewEmisData!$A:$A, "LDV", NewEmisData!$B:$B, $A17, NewEmisData!$C:$C, $H17, NewEmisData!$D:$D, AR$2))</f>
        <v>8.0372811122020202E-2</v>
      </c>
      <c r="AS17" s="324">
        <f>$I17*IF($G17="Pickup", SUMIFS(NewEmisData!I:I, NewEmisData!$A:$A, "Pickup", NewEmisData!$B:$B, $A17, NewEmisData!$C:$C, $H17, NewEmisData!$D:$D, AS$2), SUMIFS(NewEmisData!I:I, NewEmisData!$A:$A, "LDV", NewEmisData!$B:$B, $A17, NewEmisData!$C:$C, $H17, NewEmisData!$D:$D, AS$2))</f>
        <v>7.8826850839141593E-2</v>
      </c>
      <c r="AT17" s="324">
        <f>$I17*IF($G17="Pickup", SUMIFS(NewEmisData!J:J, NewEmisData!$A:$A, "Pickup", NewEmisData!$B:$B, $A17, NewEmisData!$C:$C, $H17, NewEmisData!$D:$D, AT$2), SUMIFS(NewEmisData!J:J, NewEmisData!$A:$A, "LDV", NewEmisData!$B:$B, $A17, NewEmisData!$C:$C, $H17, NewEmisData!$D:$D, AT$2))</f>
        <v>7.7629471627150906E-2</v>
      </c>
      <c r="AU17" s="324">
        <f>$I17*IF($G17="Pickup", SUMIFS(NewEmisData!K:K, NewEmisData!$A:$A, "Pickup", NewEmisData!$B:$B, $A17, NewEmisData!$C:$C, $H17, NewEmisData!$D:$D, AU$2), SUMIFS(NewEmisData!K:K, NewEmisData!$A:$A, "LDV", NewEmisData!$B:$B, $A17, NewEmisData!$C:$C, $H17, NewEmisData!$D:$D, AU$2))</f>
        <v>7.6869255276324197E-2</v>
      </c>
      <c r="AV17" s="324">
        <f>$I17*IF($G17="Pickup", SUMIFS(NewEmisData!L:L, NewEmisData!$A:$A, "Pickup", NewEmisData!$B:$B, $A17, NewEmisData!$C:$C, $H17, NewEmisData!$D:$D, AV$2), SUMIFS(NewEmisData!L:L, NewEmisData!$A:$A, "LDV", NewEmisData!$B:$B, $A17, NewEmisData!$C:$C, $H17, NewEmisData!$D:$D, AV$2))</f>
        <v>7.6489801218608905E-2</v>
      </c>
      <c r="AW17" s="324">
        <f>$I17*IF($G17="Pickup", SUMIFS(NewEmisData!M:M, NewEmisData!$A:$A, "Pickup", NewEmisData!$B:$B, $A17, NewEmisData!$C:$C, $H17, NewEmisData!$D:$D, AW$2), SUMIFS(NewEmisData!M:M, NewEmisData!$A:$A, "LDV", NewEmisData!$B:$B, $A17, NewEmisData!$C:$C, $H17, NewEmisData!$D:$D, AW$2))</f>
        <v>7.6275890012832595E-2</v>
      </c>
      <c r="AX17" s="324">
        <f t="shared" si="8"/>
        <v>7.6275890012832595E-2</v>
      </c>
      <c r="AY17" s="324">
        <f>$I17*IF($G17="Pickup", SUMIFS(NewEmisData!E:E, NewEmisData!$A:$A, "Pickup", NewEmisData!$B:$B, $A17, NewEmisData!$C:$C, $H17, NewEmisData!$D:$D, AY$2), SUMIFS(NewEmisData!E:E, NewEmisData!$A:$A, "LDV", NewEmisData!$B:$B, $A17, NewEmisData!$C:$C, $H17, NewEmisData!$D:$D, AY$2))</f>
        <v>2.93140110896879E-2</v>
      </c>
      <c r="AZ17" s="324">
        <f>$I17*IF($G17="Pickup", SUMIFS(NewEmisData!F:F, NewEmisData!$A:$A, "Pickup", NewEmisData!$B:$B, $A17, NewEmisData!$C:$C, $H17, NewEmisData!$D:$D, AZ$2), SUMIFS(NewEmisData!F:F, NewEmisData!$A:$A, "LDV", NewEmisData!$B:$B, $A17, NewEmisData!$C:$C, $H17, NewEmisData!$D:$D, AZ$2))</f>
        <v>2.15603319614842E-2</v>
      </c>
      <c r="BA17" s="324">
        <f>$I17*IF($G17="Pickup", SUMIFS(NewEmisData!G:G, NewEmisData!$A:$A, "Pickup", NewEmisData!$B:$B, $A17, NewEmisData!$C:$C, $H17, NewEmisData!$D:$D, BA$2), SUMIFS(NewEmisData!G:G, NewEmisData!$A:$A, "LDV", NewEmisData!$B:$B, $A17, NewEmisData!$C:$C, $H17, NewEmisData!$D:$D, BA$2))</f>
        <v>1.61359542510712E-2</v>
      </c>
      <c r="BB17" s="324">
        <f>$I17*IF($G17="Pickup", SUMIFS(NewEmisData!H:H, NewEmisData!$A:$A, "Pickup", NewEmisData!$B:$B, $A17, NewEmisData!$C:$C, $H17, NewEmisData!$D:$D, BB$2), SUMIFS(NewEmisData!H:H, NewEmisData!$A:$A, "LDV", NewEmisData!$B:$B, $A17, NewEmisData!$C:$C, $H17, NewEmisData!$D:$D, BB$2))</f>
        <v>1.4781439172223E-2</v>
      </c>
      <c r="BC17" s="324">
        <f>$I17*IF($G17="Pickup", SUMIFS(NewEmisData!I:I, NewEmisData!$A:$A, "Pickup", NewEmisData!$B:$B, $A17, NewEmisData!$C:$C, $H17, NewEmisData!$D:$D, BC$2), SUMIFS(NewEmisData!I:I, NewEmisData!$A:$A, "LDV", NewEmisData!$B:$B, $A17, NewEmisData!$C:$C, $H17, NewEmisData!$D:$D, BC$2))</f>
        <v>1.3413837806436801E-2</v>
      </c>
      <c r="BD17" s="324">
        <f>$I17*IF($G17="Pickup", SUMIFS(NewEmisData!J:J, NewEmisData!$A:$A, "Pickup", NewEmisData!$B:$B, $A17, NewEmisData!$C:$C, $H17, NewEmisData!$D:$D, BD$2), SUMIFS(NewEmisData!J:J, NewEmisData!$A:$A, "LDV", NewEmisData!$B:$B, $A17, NewEmisData!$C:$C, $H17, NewEmisData!$D:$D, BD$2))</f>
        <v>1.2354573478352299E-2</v>
      </c>
      <c r="BE17" s="324">
        <f>$I17*IF($G17="Pickup", SUMIFS(NewEmisData!K:K, NewEmisData!$A:$A, "Pickup", NewEmisData!$B:$B, $A17, NewEmisData!$C:$C, $H17, NewEmisData!$D:$D, BE$2), SUMIFS(NewEmisData!K:K, NewEmisData!$A:$A, "LDV", NewEmisData!$B:$B, $A17, NewEmisData!$C:$C, $H17, NewEmisData!$D:$D, BE$2))</f>
        <v>1.16820653404197E-2</v>
      </c>
      <c r="BF17" s="324">
        <f>$I17*IF($G17="Pickup", SUMIFS(NewEmisData!L:L, NewEmisData!$A:$A, "Pickup", NewEmisData!$B:$B, $A17, NewEmisData!$C:$C, $H17, NewEmisData!$D:$D, BF$2), SUMIFS(NewEmisData!L:L, NewEmisData!$A:$A, "LDV", NewEmisData!$B:$B, $A17, NewEmisData!$C:$C, $H17, NewEmisData!$D:$D, BF$2))</f>
        <v>1.13463459698093E-2</v>
      </c>
      <c r="BG17" s="324">
        <f>$I17*IF($G17="Pickup", SUMIFS(NewEmisData!M:M, NewEmisData!$A:$A, "Pickup", NewEmisData!$B:$B, $A17, NewEmisData!$C:$C, $H17, NewEmisData!$D:$D, BG$2), SUMIFS(NewEmisData!M:M, NewEmisData!$A:$A, "LDV", NewEmisData!$B:$B, $A17, NewEmisData!$C:$C, $H17, NewEmisData!$D:$D, BG$2))</f>
        <v>1.1157149268450401E-2</v>
      </c>
      <c r="BH17" s="324">
        <f t="shared" si="9"/>
        <v>1.1157149268450401E-2</v>
      </c>
      <c r="BI17" s="324">
        <f>$I17*IF($G17="Pickup", SUMIFS(NewEmisData!E:E, NewEmisData!$A:$A, "Pickup", NewEmisData!$B:$B, $A17, NewEmisData!$C:$C, $H17, NewEmisData!$D:$D, BI$2), SUMIFS(NewEmisData!E:E, NewEmisData!$A:$A, "LDV", NewEmisData!$B:$B, $A17, NewEmisData!$C:$C, $H17, NewEmisData!$D:$D, BI$2))</f>
        <v>7.7707306410078001</v>
      </c>
      <c r="BJ17" s="324">
        <f>$I17*IF($G17="Pickup", SUMIFS(NewEmisData!F:F, NewEmisData!$A:$A, "Pickup", NewEmisData!$B:$B, $A17, NewEmisData!$C:$C, $H17, NewEmisData!$D:$D, BJ$2), SUMIFS(NewEmisData!F:F, NewEmisData!$A:$A, "LDV", NewEmisData!$B:$B, $A17, NewEmisData!$C:$C, $H17, NewEmisData!$D:$D, BJ$2))</f>
        <v>4.4247869376442202</v>
      </c>
      <c r="BK17" s="324">
        <f>$I17*IF($G17="Pickup", SUMIFS(NewEmisData!G:G, NewEmisData!$A:$A, "Pickup", NewEmisData!$B:$B, $A17, NewEmisData!$C:$C, $H17, NewEmisData!$D:$D, BK$2), SUMIFS(NewEmisData!G:G, NewEmisData!$A:$A, "LDV", NewEmisData!$B:$B, $A17, NewEmisData!$C:$C, $H17, NewEmisData!$D:$D, BK$2))</f>
        <v>2.6540717659073501</v>
      </c>
      <c r="BL17" s="324">
        <f>$I17*IF($G17="Pickup", SUMIFS(NewEmisData!H:H, NewEmisData!$A:$A, "Pickup", NewEmisData!$B:$B, $A17, NewEmisData!$C:$C, $H17, NewEmisData!$D:$D, BL$2), SUMIFS(NewEmisData!H:H, NewEmisData!$A:$A, "LDV", NewEmisData!$B:$B, $A17, NewEmisData!$C:$C, $H17, NewEmisData!$D:$D, BL$2))</f>
        <v>2.0604732381170998</v>
      </c>
      <c r="BM17" s="324">
        <f>$I17*IF($G17="Pickup", SUMIFS(NewEmisData!I:I, NewEmisData!$A:$A, "Pickup", NewEmisData!$B:$B, $A17, NewEmisData!$C:$C, $H17, NewEmisData!$D:$D, BM$2), SUMIFS(NewEmisData!I:I, NewEmisData!$A:$A, "LDV", NewEmisData!$B:$B, $A17, NewEmisData!$C:$C, $H17, NewEmisData!$D:$D, BM$2))</f>
        <v>1.4768702583128299</v>
      </c>
      <c r="BN17" s="324">
        <f>$I17*IF($G17="Pickup", SUMIFS(NewEmisData!J:J, NewEmisData!$A:$A, "Pickup", NewEmisData!$B:$B, $A17, NewEmisData!$C:$C, $H17, NewEmisData!$D:$D, BN$2), SUMIFS(NewEmisData!J:J, NewEmisData!$A:$A, "LDV", NewEmisData!$B:$B, $A17, NewEmisData!$C:$C, $H17, NewEmisData!$D:$D, BN$2))</f>
        <v>1.1597745551704699</v>
      </c>
      <c r="BO17" s="324">
        <f>$I17*IF($G17="Pickup", SUMIFS(NewEmisData!K:K, NewEmisData!$A:$A, "Pickup", NewEmisData!$B:$B, $A17, NewEmisData!$C:$C, $H17, NewEmisData!$D:$D, BO$2), SUMIFS(NewEmisData!K:K, NewEmisData!$A:$A, "LDV", NewEmisData!$B:$B, $A17, NewEmisData!$C:$C, $H17, NewEmisData!$D:$D, BO$2))</f>
        <v>1.01795642585422</v>
      </c>
      <c r="BP17" s="324">
        <f>$I17*IF($G17="Pickup", SUMIFS(NewEmisData!L:L, NewEmisData!$A:$A, "Pickup", NewEmisData!$B:$B, $A17, NewEmisData!$C:$C, $H17, NewEmisData!$D:$D, BP$2), SUMIFS(NewEmisData!L:L, NewEmisData!$A:$A, "LDV", NewEmisData!$B:$B, $A17, NewEmisData!$C:$C, $H17, NewEmisData!$D:$D, BP$2))</f>
        <v>0.97243111781319103</v>
      </c>
      <c r="BQ17" s="324">
        <f>$I17*IF($G17="Pickup", SUMIFS(NewEmisData!M:M, NewEmisData!$A:$A, "Pickup", NewEmisData!$B:$B, $A17, NewEmisData!$C:$C, $H17, NewEmisData!$D:$D, BQ$2), SUMIFS(NewEmisData!M:M, NewEmisData!$A:$A, "LDV", NewEmisData!$B:$B, $A17, NewEmisData!$C:$C, $H17, NewEmisData!$D:$D, BQ$2))</f>
        <v>0.94396289100680397</v>
      </c>
      <c r="BR17" s="324">
        <f t="shared" si="10"/>
        <v>0.94396289100680397</v>
      </c>
      <c r="BS17" s="324">
        <f>$I17*IF($G17="Pickup", SUMIFS(NewEmisData!E:E, NewEmisData!$A:$A, "Pickup", NewEmisData!$B:$B, $A17, NewEmisData!$C:$C, $H17, NewEmisData!$D:$D, BS$2), SUMIFS(NewEmisData!E:E, NewEmisData!$A:$A, "LDV", NewEmisData!$B:$B, $A17, NewEmisData!$C:$C, $H17, NewEmisData!$D:$D, BS$2))</f>
        <v>0.868939523792984</v>
      </c>
      <c r="BT17" s="324">
        <f>$I17*IF($G17="Pickup", SUMIFS(NewEmisData!F:F, NewEmisData!$A:$A, "Pickup", NewEmisData!$B:$B, $A17, NewEmisData!$C:$C, $H17, NewEmisData!$D:$D, BT$2), SUMIFS(NewEmisData!F:F, NewEmisData!$A:$A, "LDV", NewEmisData!$B:$B, $A17, NewEmisData!$C:$C, $H17, NewEmisData!$D:$D, BT$2))</f>
        <v>0.46984846516954898</v>
      </c>
      <c r="BU17" s="324">
        <f>$I17*IF($G17="Pickup", SUMIFS(NewEmisData!G:G, NewEmisData!$A:$A, "Pickup", NewEmisData!$B:$B, $A17, NewEmisData!$C:$C, $H17, NewEmisData!$D:$D, BU$2), SUMIFS(NewEmisData!G:G, NewEmisData!$A:$A, "LDV", NewEmisData!$B:$B, $A17, NewEmisData!$C:$C, $H17, NewEmisData!$D:$D, BU$2))</f>
        <v>0.25380786816335299</v>
      </c>
      <c r="BV17" s="324">
        <f>$I17*IF($G17="Pickup", SUMIFS(NewEmisData!H:H, NewEmisData!$A:$A, "Pickup", NewEmisData!$B:$B, $A17, NewEmisData!$C:$C, $H17, NewEmisData!$D:$D, BV$2), SUMIFS(NewEmisData!H:H, NewEmisData!$A:$A, "LDV", NewEmisData!$B:$B, $A17, NewEmisData!$C:$C, $H17, NewEmisData!$D:$D, BV$2))</f>
        <v>0.20500079484657399</v>
      </c>
      <c r="BW17" s="324">
        <f>$I17*IF($G17="Pickup", SUMIFS(NewEmisData!I:I, NewEmisData!$A:$A, "Pickup", NewEmisData!$B:$B, $A17, NewEmisData!$C:$C, $H17, NewEmisData!$D:$D, BW$2), SUMIFS(NewEmisData!I:I, NewEmisData!$A:$A, "LDV", NewEmisData!$B:$B, $A17, NewEmisData!$C:$C, $H17, NewEmisData!$D:$D, BW$2))</f>
        <v>0.15182918417959501</v>
      </c>
      <c r="BX17" s="324">
        <f>$I17*IF($G17="Pickup", SUMIFS(NewEmisData!J:J, NewEmisData!$A:$A, "Pickup", NewEmisData!$B:$B, $A17, NewEmisData!$C:$C, $H17, NewEmisData!$D:$D, BX$2), SUMIFS(NewEmisData!J:J, NewEmisData!$A:$A, "LDV", NewEmisData!$B:$B, $A17, NewEmisData!$C:$C, $H17, NewEmisData!$D:$D, BX$2))</f>
        <v>0.12865137268893501</v>
      </c>
      <c r="BY17" s="324">
        <f>$I17*IF($G17="Pickup", SUMIFS(NewEmisData!K:K, NewEmisData!$A:$A, "Pickup", NewEmisData!$B:$B, $A17, NewEmisData!$C:$C, $H17, NewEmisData!$D:$D, BY$2), SUMIFS(NewEmisData!K:K, NewEmisData!$A:$A, "LDV", NewEmisData!$B:$B, $A17, NewEmisData!$C:$C, $H17, NewEmisData!$D:$D, BY$2))</f>
        <v>0.11591502454704899</v>
      </c>
      <c r="BZ17" s="324">
        <f>$I17*IF($G17="Pickup", SUMIFS(NewEmisData!L:L, NewEmisData!$A:$A, "Pickup", NewEmisData!$B:$B, $A17, NewEmisData!$C:$C, $H17, NewEmisData!$D:$D, BZ$2), SUMIFS(NewEmisData!L:L, NewEmisData!$A:$A, "LDV", NewEmisData!$B:$B, $A17, NewEmisData!$C:$C, $H17, NewEmisData!$D:$D, BZ$2))</f>
        <v>0.110951334785302</v>
      </c>
      <c r="CA17" s="324">
        <f>$I17*IF($G17="Pickup", SUMIFS(NewEmisData!M:M, NewEmisData!$A:$A, "Pickup", NewEmisData!$B:$B, $A17, NewEmisData!$C:$C, $H17, NewEmisData!$D:$D, CA$2), SUMIFS(NewEmisData!M:M, NewEmisData!$A:$A, "LDV", NewEmisData!$B:$B, $A17, NewEmisData!$C:$C, $H17, NewEmisData!$D:$D, CA$2))</f>
        <v>0.10699337260583799</v>
      </c>
      <c r="CB17" s="324">
        <f t="shared" si="11"/>
        <v>0.10699337260583799</v>
      </c>
      <c r="CC17" s="324">
        <f>$I17*IF($G17="Pickup", SUMIFS(NewEmisData!E:E, NewEmisData!$A:$A, "Pickup", NewEmisData!$B:$B, $A17, NewEmisData!$C:$C, $H17, NewEmisData!$D:$D, CC$2), SUMIFS(NewEmisData!E:E, NewEmisData!$A:$A, "LDV", NewEmisData!$B:$B, $A17, NewEmisData!$C:$C, $H17, NewEmisData!$D:$D, CC$2))</f>
        <v>5.1125583760404797E-2</v>
      </c>
      <c r="CD17" s="324">
        <f>$I17*IF($G17="Pickup", SUMIFS(NewEmisData!F:F, NewEmisData!$A:$A, "Pickup", NewEmisData!$B:$B, $A17, NewEmisData!$C:$C, $H17, NewEmisData!$D:$D, CD$2), SUMIFS(NewEmisData!F:F, NewEmisData!$A:$A, "LDV", NewEmisData!$B:$B, $A17, NewEmisData!$C:$C, $H17, NewEmisData!$D:$D, CD$2))</f>
        <v>3.7154393856404101E-2</v>
      </c>
      <c r="CE17" s="324">
        <f>$I17*IF($G17="Pickup", SUMIFS(NewEmisData!G:G, NewEmisData!$A:$A, "Pickup", NewEmisData!$B:$B, $A17, NewEmisData!$C:$C, $H17, NewEmisData!$D:$D, CE$2), SUMIFS(NewEmisData!G:G, NewEmisData!$A:$A, "LDV", NewEmisData!$B:$B, $A17, NewEmisData!$C:$C, $H17, NewEmisData!$D:$D, CE$2))</f>
        <v>2.8853651309577E-2</v>
      </c>
      <c r="CF17" s="324">
        <f>$I17*IF($G17="Pickup", SUMIFS(NewEmisData!H:H, NewEmisData!$A:$A, "Pickup", NewEmisData!$B:$B, $A17, NewEmisData!$C:$C, $H17, NewEmisData!$D:$D, CF$2), SUMIFS(NewEmisData!H:H, NewEmisData!$A:$A, "LDV", NewEmisData!$B:$B, $A17, NewEmisData!$C:$C, $H17, NewEmisData!$D:$D, CF$2))</f>
        <v>2.7537520644524499E-2</v>
      </c>
      <c r="CG17" s="324">
        <f>$I17*IF($G17="Pickup", SUMIFS(NewEmisData!I:I, NewEmisData!$A:$A, "Pickup", NewEmisData!$B:$B, $A17, NewEmisData!$C:$C, $H17, NewEmisData!$D:$D, CG$2), SUMIFS(NewEmisData!I:I, NewEmisData!$A:$A, "LDV", NewEmisData!$B:$B, $A17, NewEmisData!$C:$C, $H17, NewEmisData!$D:$D, CG$2))</f>
        <v>2.6666633761740999E-2</v>
      </c>
      <c r="CH17" s="324">
        <f>$I17*IF($G17="Pickup", SUMIFS(NewEmisData!J:J, NewEmisData!$A:$A, "Pickup", NewEmisData!$B:$B, $A17, NewEmisData!$C:$C, $H17, NewEmisData!$D:$D, CH$2), SUMIFS(NewEmisData!J:J, NewEmisData!$A:$A, "LDV", NewEmisData!$B:$B, $A17, NewEmisData!$C:$C, $H17, NewEmisData!$D:$D, CH$2))</f>
        <v>2.5980348711507999E-2</v>
      </c>
      <c r="CI17" s="324">
        <f>$I17*IF($G17="Pickup", SUMIFS(NewEmisData!K:K, NewEmisData!$A:$A, "Pickup", NewEmisData!$B:$B, $A17, NewEmisData!$C:$C, $H17, NewEmisData!$D:$D, CI$2), SUMIFS(NewEmisData!K:K, NewEmisData!$A:$A, "LDV", NewEmisData!$B:$B, $A17, NewEmisData!$C:$C, $H17, NewEmisData!$D:$D, CI$2))</f>
        <v>2.5978185303944301E-2</v>
      </c>
      <c r="CJ17" s="324">
        <f>$I17*IF($G17="Pickup", SUMIFS(NewEmisData!L:L, NewEmisData!$A:$A, "Pickup", NewEmisData!$B:$B, $A17, NewEmisData!$C:$C, $H17, NewEmisData!$D:$D, CJ$2), SUMIFS(NewEmisData!L:L, NewEmisData!$A:$A, "LDV", NewEmisData!$B:$B, $A17, NewEmisData!$C:$C, $H17, NewEmisData!$D:$D, CJ$2))</f>
        <v>2.5977588735828699E-2</v>
      </c>
      <c r="CK17" s="324">
        <f>$I17*IF($G17="Pickup", SUMIFS(NewEmisData!M:M, NewEmisData!$A:$A, "Pickup", NewEmisData!$B:$B, $A17, NewEmisData!$C:$C, $H17, NewEmisData!$D:$D, CK$2), SUMIFS(NewEmisData!M:M, NewEmisData!$A:$A, "LDV", NewEmisData!$B:$B, $A17, NewEmisData!$C:$C, $H17, NewEmisData!$D:$D, CK$2))</f>
        <v>2.5976994364069798E-2</v>
      </c>
      <c r="CL17" s="324">
        <f t="shared" si="12"/>
        <v>2.5976994364069798E-2</v>
      </c>
      <c r="CM17" s="324">
        <f>$I17*IF($G17="Pickup", SUMIFS(NewEmisData!E:E, NewEmisData!$A:$A, "Pickup", NewEmisData!$B:$B, $A17, NewEmisData!$C:$C, $H17, NewEmisData!$D:$D, CM$2), SUMIFS(NewEmisData!E:E, NewEmisData!$A:$A, "LDV", NewEmisData!$B:$B, $A17, NewEmisData!$C:$C, $H17, NewEmisData!$D:$D, CM$2))</f>
        <v>2.2752592498671498E-2</v>
      </c>
      <c r="CN17" s="324">
        <f>$I17*IF($G17="Pickup", SUMIFS(NewEmisData!F:F, NewEmisData!$A:$A, "Pickup", NewEmisData!$B:$B, $A17, NewEmisData!$C:$C, $H17, NewEmisData!$D:$D, CN$2), SUMIFS(NewEmisData!F:F, NewEmisData!$A:$A, "LDV", NewEmisData!$B:$B, $A17, NewEmisData!$C:$C, $H17, NewEmisData!$D:$D, CN$2))</f>
        <v>1.4156662086893E-2</v>
      </c>
      <c r="CO17" s="324">
        <f>$I17*IF($G17="Pickup", SUMIFS(NewEmisData!G:G, NewEmisData!$A:$A, "Pickup", NewEmisData!$B:$B, $A17, NewEmisData!$C:$C, $H17, NewEmisData!$D:$D, CO$2), SUMIFS(NewEmisData!G:G, NewEmisData!$A:$A, "LDV", NewEmisData!$B:$B, $A17, NewEmisData!$C:$C, $H17, NewEmisData!$D:$D, CO$2))</f>
        <v>9.29628541682684E-3</v>
      </c>
      <c r="CP17" s="324">
        <f>$I17*IF($G17="Pickup", SUMIFS(NewEmisData!H:H, NewEmisData!$A:$A, "Pickup", NewEmisData!$B:$B, $A17, NewEmisData!$C:$C, $H17, NewEmisData!$D:$D, CP$2), SUMIFS(NewEmisData!H:H, NewEmisData!$A:$A, "LDV", NewEmisData!$B:$B, $A17, NewEmisData!$C:$C, $H17, NewEmisData!$D:$D, CP$2))</f>
        <v>7.6962231490179996E-3</v>
      </c>
      <c r="CQ17" s="324">
        <f>$I17*IF($G17="Pickup", SUMIFS(NewEmisData!I:I, NewEmisData!$A:$A, "Pickup", NewEmisData!$B:$B, $A17, NewEmisData!$C:$C, $H17, NewEmisData!$D:$D, CQ$2), SUMIFS(NewEmisData!I:I, NewEmisData!$A:$A, "LDV", NewEmisData!$B:$B, $A17, NewEmisData!$C:$C, $H17, NewEmisData!$D:$D, CQ$2))</f>
        <v>6.9434858281499498E-3</v>
      </c>
      <c r="CR17" s="324">
        <f>$I17*IF($G17="Pickup", SUMIFS(NewEmisData!J:J, NewEmisData!$A:$A, "Pickup", NewEmisData!$B:$B, $A17, NewEmisData!$C:$C, $H17, NewEmisData!$D:$D, CR$2), SUMIFS(NewEmisData!J:J, NewEmisData!$A:$A, "LDV", NewEmisData!$B:$B, $A17, NewEmisData!$C:$C, $H17, NewEmisData!$D:$D, CR$2))</f>
        <v>6.6235501686008101E-3</v>
      </c>
      <c r="CS17" s="324">
        <f>$I17*IF($G17="Pickup", SUMIFS(NewEmisData!K:K, NewEmisData!$A:$A, "Pickup", NewEmisData!$B:$B, $A17, NewEmisData!$C:$C, $H17, NewEmisData!$D:$D, CS$2), SUMIFS(NewEmisData!K:K, NewEmisData!$A:$A, "LDV", NewEmisData!$B:$B, $A17, NewEmisData!$C:$C, $H17, NewEmisData!$D:$D, CS$2))</f>
        <v>6.5909545130035602E-3</v>
      </c>
      <c r="CT17" s="324">
        <f>$I17*IF($G17="Pickup", SUMIFS(NewEmisData!L:L, NewEmisData!$A:$A, "Pickup", NewEmisData!$B:$B, $A17, NewEmisData!$C:$C, $H17, NewEmisData!$D:$D, CT$2), SUMIFS(NewEmisData!L:L, NewEmisData!$A:$A, "LDV", NewEmisData!$B:$B, $A17, NewEmisData!$C:$C, $H17, NewEmisData!$D:$D, CT$2))</f>
        <v>6.5377802107072303E-3</v>
      </c>
      <c r="CU17" s="324">
        <f>$I17*IF($G17="Pickup", SUMIFS(NewEmisData!M:M, NewEmisData!$A:$A, "Pickup", NewEmisData!$B:$B, $A17, NewEmisData!$C:$C, $H17, NewEmisData!$D:$D, CU$2), SUMIFS(NewEmisData!M:M, NewEmisData!$A:$A, "LDV", NewEmisData!$B:$B, $A17, NewEmisData!$C:$C, $H17, NewEmisData!$D:$D, CU$2))</f>
        <v>6.5374275690386098E-3</v>
      </c>
      <c r="CV17" s="324">
        <f t="shared" si="13"/>
        <v>6.5374275690386098E-3</v>
      </c>
      <c r="CW17" s="324">
        <v>3.0448046675121709E-3</v>
      </c>
      <c r="CX17" s="324">
        <v>1.8865908720768221E-3</v>
      </c>
      <c r="CY17" s="324">
        <v>1.5570268485524494E-3</v>
      </c>
      <c r="CZ17" s="324">
        <v>1.2432183416122382E-3</v>
      </c>
      <c r="DA17" s="324">
        <v>9.252251866281976E-4</v>
      </c>
      <c r="DB17" s="324">
        <v>7.2309456596024934E-4</v>
      </c>
      <c r="DC17" s="324">
        <v>6.8940706870607876E-4</v>
      </c>
      <c r="DD17" s="324">
        <v>6.844148428615973E-4</v>
      </c>
      <c r="DE17" s="324">
        <v>6.8634617396886091E-4</v>
      </c>
      <c r="DF17" s="324">
        <v>6.8634617396886091E-4</v>
      </c>
      <c r="DG17" s="324">
        <f>$I17*IF($G17="Pickup", SUMIFS(NewEmisData!E:E, NewEmisData!$A:$A, "Pickup", NewEmisData!$B:$B, $A17, NewEmisData!$C:$C, $H17, NewEmisData!$D:$D, DG$2), SUMIFS(NewEmisData!E:E, NewEmisData!$A:$A, "LDV", NewEmisData!$B:$B, $A17, NewEmisData!$C:$C, $H17, NewEmisData!$D:$D, DG$2))</f>
        <v>0</v>
      </c>
      <c r="DH17" s="324">
        <f>$I17*IF($G17="Pickup", SUMIFS(NewEmisData!F:F, NewEmisData!$A:$A, "Pickup", NewEmisData!$B:$B, $A17, NewEmisData!$C:$C, $H17, NewEmisData!$D:$D, DH$2), SUMIFS(NewEmisData!F:F, NewEmisData!$A:$A, "LDV", NewEmisData!$B:$B, $A17, NewEmisData!$C:$C, $H17, NewEmisData!$D:$D, DH$2))</f>
        <v>0</v>
      </c>
      <c r="DI17" s="324">
        <f>$I17*IF($G17="Pickup", SUMIFS(NewEmisData!G:G, NewEmisData!$A:$A, "Pickup", NewEmisData!$B:$B, $A17, NewEmisData!$C:$C, $H17, NewEmisData!$D:$D, DI$2), SUMIFS(NewEmisData!G:G, NewEmisData!$A:$A, "LDV", NewEmisData!$B:$B, $A17, NewEmisData!$C:$C, $H17, NewEmisData!$D:$D, DI$2))</f>
        <v>0</v>
      </c>
      <c r="DJ17" s="324">
        <f>$I17*IF($G17="Pickup", SUMIFS(NewEmisData!H:H, NewEmisData!$A:$A, "Pickup", NewEmisData!$B:$B, $A17, NewEmisData!$C:$C, $H17, NewEmisData!$D:$D, DJ$2), SUMIFS(NewEmisData!H:H, NewEmisData!$A:$A, "LDV", NewEmisData!$B:$B, $A17, NewEmisData!$C:$C, $H17, NewEmisData!$D:$D, DJ$2))</f>
        <v>0</v>
      </c>
      <c r="DK17" s="324">
        <f>$I17*IF($G17="Pickup", SUMIFS(NewEmisData!I:I, NewEmisData!$A:$A, "Pickup", NewEmisData!$B:$B, $A17, NewEmisData!$C:$C, $H17, NewEmisData!$D:$D, DK$2), SUMIFS(NewEmisData!I:I, NewEmisData!$A:$A, "LDV", NewEmisData!$B:$B, $A17, NewEmisData!$C:$C, $H17, NewEmisData!$D:$D, DK$2))</f>
        <v>0</v>
      </c>
      <c r="DL17" s="324">
        <f>$I17*IF($G17="Pickup", SUMIFS(NewEmisData!J:J, NewEmisData!$A:$A, "Pickup", NewEmisData!$B:$B, $A17, NewEmisData!$C:$C, $H17, NewEmisData!$D:$D, DL$2), SUMIFS(NewEmisData!J:J, NewEmisData!$A:$A, "LDV", NewEmisData!$B:$B, $A17, NewEmisData!$C:$C, $H17, NewEmisData!$D:$D, DL$2))</f>
        <v>0</v>
      </c>
      <c r="DM17" s="324">
        <f>$I17*IF($G17="Pickup", SUMIFS(NewEmisData!K:K, NewEmisData!$A:$A, "Pickup", NewEmisData!$B:$B, $A17, NewEmisData!$C:$C, $H17, NewEmisData!$D:$D, DM$2), SUMIFS(NewEmisData!K:K, NewEmisData!$A:$A, "LDV", NewEmisData!$B:$B, $A17, NewEmisData!$C:$C, $H17, NewEmisData!$D:$D, DM$2))</f>
        <v>0</v>
      </c>
      <c r="DN17" s="324">
        <f>$I17*IF($G17="Pickup", SUMIFS(NewEmisData!L:L, NewEmisData!$A:$A, "Pickup", NewEmisData!$B:$B, $A17, NewEmisData!$C:$C, $H17, NewEmisData!$D:$D, DN$2), SUMIFS(NewEmisData!L:L, NewEmisData!$A:$A, "LDV", NewEmisData!$B:$B, $A17, NewEmisData!$C:$C, $H17, NewEmisData!$D:$D, DN$2))</f>
        <v>0</v>
      </c>
      <c r="DO17" s="324">
        <f>$I17*IF($G17="Pickup", SUMIFS(NewEmisData!M:M, NewEmisData!$A:$A, "Pickup", NewEmisData!$B:$B, $A17, NewEmisData!$C:$C, $H17, NewEmisData!$D:$D, DO$2), SUMIFS(NewEmisData!M:M, NewEmisData!$A:$A, "LDV", NewEmisData!$B:$B, $A17, NewEmisData!$C:$C, $H17, NewEmisData!$D:$D, DO$2))</f>
        <v>0</v>
      </c>
      <c r="DP17" s="324">
        <f t="shared" si="14"/>
        <v>0</v>
      </c>
      <c r="DQ17" s="324">
        <f>$I17*IF($G17="Pickup", SUMIFS(NewEmisData!E:E, NewEmisData!$A:$A, "Pickup", NewEmisData!$B:$B, $A17, NewEmisData!$C:$C, $H17, NewEmisData!$D:$D, DQ$2), SUMIFS(NewEmisData!E:E, NewEmisData!$A:$A, "LDV", NewEmisData!$B:$B, $A17, NewEmisData!$C:$C, $H17, NewEmisData!$D:$D, DQ$2))</f>
        <v>1.7231430999334701E-2</v>
      </c>
      <c r="DR17" s="324">
        <f>$I17*IF($G17="Pickup", SUMIFS(NewEmisData!F:F, NewEmisData!$A:$A, "Pickup", NewEmisData!$B:$B, $A17, NewEmisData!$C:$C, $H17, NewEmisData!$D:$D, DR$2), SUMIFS(NewEmisData!F:F, NewEmisData!$A:$A, "LDV", NewEmisData!$B:$B, $A17, NewEmisData!$C:$C, $H17, NewEmisData!$D:$D, DR$2))</f>
        <v>8.9963646277585099E-3</v>
      </c>
      <c r="DS17" s="324">
        <f>$I17*IF($G17="Pickup", SUMIFS(NewEmisData!G:G, NewEmisData!$A:$A, "Pickup", NewEmisData!$B:$B, $A17, NewEmisData!$C:$C, $H17, NewEmisData!$D:$D, DS$2), SUMIFS(NewEmisData!G:G, NewEmisData!$A:$A, "LDV", NewEmisData!$B:$B, $A17, NewEmisData!$C:$C, $H17, NewEmisData!$D:$D, DS$2))</f>
        <v>5.6961522615022698E-3</v>
      </c>
      <c r="DT17" s="324">
        <f>$I17*IF($G17="Pickup", SUMIFS(NewEmisData!H:H, NewEmisData!$A:$A, "Pickup", NewEmisData!$B:$B, $A17, NewEmisData!$C:$C, $H17, NewEmisData!$D:$D, DT$2), SUMIFS(NewEmisData!H:H, NewEmisData!$A:$A, "LDV", NewEmisData!$B:$B, $A17, NewEmisData!$C:$C, $H17, NewEmisData!$D:$D, DT$2))</f>
        <v>4.3151143502781096E-3</v>
      </c>
      <c r="DU17" s="324">
        <f>$I17*IF($G17="Pickup", SUMIFS(NewEmisData!I:I, NewEmisData!$A:$A, "Pickup", NewEmisData!$B:$B, $A17, NewEmisData!$C:$C, $H17, NewEmisData!$D:$D, DU$2), SUMIFS(NewEmisData!I:I, NewEmisData!$A:$A, "LDV", NewEmisData!$B:$B, $A17, NewEmisData!$C:$C, $H17, NewEmisData!$D:$D, DU$2))</f>
        <v>3.35028978849721E-3</v>
      </c>
      <c r="DV17" s="324">
        <f>$I17*IF($G17="Pickup", SUMIFS(NewEmisData!J:J, NewEmisData!$A:$A, "Pickup", NewEmisData!$B:$B, $A17, NewEmisData!$C:$C, $H17, NewEmisData!$D:$D, DV$2), SUMIFS(NewEmisData!J:J, NewEmisData!$A:$A, "LDV", NewEmisData!$B:$B, $A17, NewEmisData!$C:$C, $H17, NewEmisData!$D:$D, DV$2))</f>
        <v>2.9288858721300301E-3</v>
      </c>
      <c r="DW17" s="324">
        <f>$I17*IF($G17="Pickup", SUMIFS(NewEmisData!K:K, NewEmisData!$A:$A, "Pickup", NewEmisData!$B:$B, $A17, NewEmisData!$C:$C, $H17, NewEmisData!$D:$D, DW$2), SUMIFS(NewEmisData!K:K, NewEmisData!$A:$A, "LDV", NewEmisData!$B:$B, $A17, NewEmisData!$C:$C, $H17, NewEmisData!$D:$D, DW$2))</f>
        <v>2.6889748661232601E-3</v>
      </c>
      <c r="DX17" s="324">
        <f>$I17*IF($G17="Pickup", SUMIFS(NewEmisData!L:L, NewEmisData!$A:$A, "Pickup", NewEmisData!$B:$B, $A17, NewEmisData!$C:$C, $H17, NewEmisData!$D:$D, DX$2), SUMIFS(NewEmisData!L:L, NewEmisData!$A:$A, "LDV", NewEmisData!$B:$B, $A17, NewEmisData!$C:$C, $H17, NewEmisData!$D:$D, DX$2))</f>
        <v>2.6131014849391301E-3</v>
      </c>
      <c r="DY17" s="324">
        <f>$I17*IF($G17="Pickup", SUMIFS(NewEmisData!M:M, NewEmisData!$A:$A, "Pickup", NewEmisData!$B:$B, $A17, NewEmisData!$C:$C, $H17, NewEmisData!$D:$D, DY$2), SUMIFS(NewEmisData!M:M, NewEmisData!$A:$A, "LDV", NewEmisData!$B:$B, $A17, NewEmisData!$C:$C, $H17, NewEmisData!$D:$D, DY$2))</f>
        <v>2.5757099053792102E-3</v>
      </c>
      <c r="DZ17" s="324">
        <f t="shared" si="15"/>
        <v>2.5757099053792102E-3</v>
      </c>
      <c r="EA17" s="324">
        <f t="shared" si="16"/>
        <v>605.35194063093002</v>
      </c>
      <c r="EB17" s="324">
        <f t="shared" si="17"/>
        <v>575.43677827742204</v>
      </c>
      <c r="EC17" s="324">
        <f t="shared" si="18"/>
        <v>447.50306541281799</v>
      </c>
      <c r="ED17" s="324">
        <f t="shared" si="19"/>
        <v>380.32748601406797</v>
      </c>
      <c r="EE17" s="324">
        <f t="shared" si="20"/>
        <v>328.8508655947</v>
      </c>
      <c r="EF17" s="324">
        <f t="shared" si="21"/>
        <v>299.87343037562698</v>
      </c>
      <c r="EG17" s="324">
        <f t="shared" si="22"/>
        <v>286.96645721008798</v>
      </c>
      <c r="EH17" s="324">
        <f t="shared" si="23"/>
        <v>282.38592098475101</v>
      </c>
      <c r="EI17" s="324">
        <f t="shared" si="24"/>
        <v>280.69816184937503</v>
      </c>
      <c r="EJ17" s="324">
        <f t="shared" si="25"/>
        <v>280.69816184937503</v>
      </c>
      <c r="EK17" s="324">
        <f t="shared" si="26"/>
        <v>0.73999493628111201</v>
      </c>
      <c r="EL17" s="324">
        <f t="shared" si="27"/>
        <v>0.35335240075773999</v>
      </c>
      <c r="EM17" s="324">
        <f t="shared" si="28"/>
        <v>0.18897755292818599</v>
      </c>
      <c r="EN17" s="324">
        <f t="shared" si="29"/>
        <v>0.12218817840455801</v>
      </c>
      <c r="EO17" s="324">
        <f t="shared" si="30"/>
        <v>7.3060825114572805E-2</v>
      </c>
      <c r="EP17" s="324">
        <f t="shared" si="31"/>
        <v>5.3764321341730301E-2</v>
      </c>
      <c r="EQ17" s="324">
        <f t="shared" si="32"/>
        <v>4.5765873698397498E-2</v>
      </c>
      <c r="ER17" s="324">
        <f t="shared" si="33"/>
        <v>4.3548109073897001E-2</v>
      </c>
      <c r="ES17" s="324">
        <f t="shared" si="34"/>
        <v>4.24609775043936E-2</v>
      </c>
      <c r="ET17" s="324">
        <f t="shared" si="35"/>
        <v>4.24609775043936E-2</v>
      </c>
      <c r="EU17" s="324">
        <f t="shared" si="36"/>
        <v>1.04747160569124E-2</v>
      </c>
      <c r="EV17" s="324">
        <f t="shared" si="37"/>
        <v>9.9570764799691708E-3</v>
      </c>
      <c r="EW17" s="324">
        <f t="shared" si="38"/>
        <v>6.4196648888919499E-3</v>
      </c>
      <c r="EX17" s="324">
        <f t="shared" si="39"/>
        <v>5.45599526494426E-3</v>
      </c>
      <c r="EY17" s="324">
        <f t="shared" si="40"/>
        <v>4.7175365225731996E-3</v>
      </c>
      <c r="EZ17" s="324">
        <f t="shared" si="41"/>
        <v>4.3018391726363297E-3</v>
      </c>
      <c r="FA17" s="324">
        <f t="shared" si="42"/>
        <v>4.1166816404986702E-3</v>
      </c>
      <c r="FB17" s="324">
        <f t="shared" si="43"/>
        <v>4.0509726462172697E-3</v>
      </c>
      <c r="FC17" s="324">
        <f t="shared" si="44"/>
        <v>4.0267596573162799E-3</v>
      </c>
      <c r="FD17" s="324">
        <f t="shared" si="45"/>
        <v>4.0267596573162799E-3</v>
      </c>
      <c r="FE17" s="324">
        <f t="shared" si="46"/>
        <v>0.112529836649977</v>
      </c>
      <c r="FF17" s="324">
        <f t="shared" si="47"/>
        <v>0.103764807432247</v>
      </c>
      <c r="FG17" s="324">
        <f t="shared" si="48"/>
        <v>8.1904009889209095E-2</v>
      </c>
      <c r="FH17" s="324">
        <f t="shared" si="49"/>
        <v>8.0372811122020202E-2</v>
      </c>
      <c r="FI17" s="324">
        <f t="shared" si="50"/>
        <v>7.8826850839141593E-2</v>
      </c>
      <c r="FJ17" s="324">
        <f t="shared" si="51"/>
        <v>7.7629471627150906E-2</v>
      </c>
      <c r="FK17" s="324">
        <f t="shared" si="52"/>
        <v>7.6869255276324197E-2</v>
      </c>
      <c r="FL17" s="324">
        <f t="shared" si="53"/>
        <v>7.6489801218608905E-2</v>
      </c>
      <c r="FM17" s="324">
        <f t="shared" si="54"/>
        <v>7.6275890012832595E-2</v>
      </c>
      <c r="FN17" s="324">
        <f t="shared" si="55"/>
        <v>7.6275890012832595E-2</v>
      </c>
      <c r="FO17" s="324">
        <f t="shared" si="56"/>
        <v>2.93140110896879E-2</v>
      </c>
      <c r="FP17" s="324">
        <f t="shared" si="57"/>
        <v>2.15603319614842E-2</v>
      </c>
      <c r="FQ17" s="324">
        <f t="shared" si="58"/>
        <v>1.61359542510712E-2</v>
      </c>
      <c r="FR17" s="324">
        <f t="shared" si="59"/>
        <v>1.4781439172223E-2</v>
      </c>
      <c r="FS17" s="324">
        <f t="shared" si="60"/>
        <v>1.3413837806436801E-2</v>
      </c>
      <c r="FT17" s="324">
        <f t="shared" si="61"/>
        <v>1.2354573478352299E-2</v>
      </c>
      <c r="FU17" s="324">
        <f t="shared" si="62"/>
        <v>1.16820653404197E-2</v>
      </c>
      <c r="FV17" s="324">
        <f t="shared" si="63"/>
        <v>1.13463459698093E-2</v>
      </c>
      <c r="FW17" s="324">
        <f t="shared" si="64"/>
        <v>1.1157149268450401E-2</v>
      </c>
      <c r="FX17" s="324">
        <f t="shared" si="65"/>
        <v>1.1157149268450401E-2</v>
      </c>
    </row>
    <row r="18" spans="1:180" x14ac:dyDescent="0.2">
      <c r="A18" s="298" t="str">
        <f>_xlfn.CONCAT(IF(LEFT(TRIM(A17),1)="*", "*R", "R"), 1+RIGHT(TRIM(A17),1))</f>
        <v>R5</v>
      </c>
      <c r="B18" s="298" t="str">
        <f t="shared" si="71"/>
        <v>TLECGSL</v>
      </c>
      <c r="C18" s="298" t="str">
        <f t="shared" si="72"/>
        <v>TL.GSL.C.Existing fleet</v>
      </c>
      <c r="D18" s="294" t="str">
        <f t="shared" si="73"/>
        <v>bn-vmt, bn-vmt/a</v>
      </c>
      <c r="E18" s="294" t="str">
        <f t="shared" si="74"/>
        <v>TLGSL</v>
      </c>
      <c r="F18" s="294" t="str">
        <f t="shared" si="75"/>
        <v>TL</v>
      </c>
      <c r="G18" s="294" t="s">
        <v>475</v>
      </c>
      <c r="H18" s="294" t="s">
        <v>474</v>
      </c>
      <c r="I18" s="294">
        <v>1</v>
      </c>
      <c r="J18" s="308" t="str">
        <f t="shared" si="2"/>
        <v>Compact car-GSL</v>
      </c>
      <c r="K18" s="324">
        <f>$I18*IF($G18="Pickup", SUMIFS(NewEmisData!E:E, NewEmisData!$A:$A, "Pickup", NewEmisData!$B:$B, $A18, NewEmisData!$C:$C, $H18, NewEmisData!$D:$D, K$2), SUMIFS(NewEmisData!E:E, NewEmisData!$A:$A, "LDV", NewEmisData!$B:$B, $A18, NewEmisData!$C:$C, $H18, NewEmisData!$D:$D, K$2))</f>
        <v>474.817101058422</v>
      </c>
      <c r="L18" s="324">
        <f>$I18*IF($G18="Pickup", SUMIFS(NewEmisData!F:F, NewEmisData!$A:$A, "Pickup", NewEmisData!$B:$B, $A18, NewEmisData!$C:$C, $H18, NewEmisData!$D:$D, L$2), SUMIFS(NewEmisData!F:F, NewEmisData!$A:$A, "LDV", NewEmisData!$B:$B, $A18, NewEmisData!$C:$C, $H18, NewEmisData!$D:$D, L$2))</f>
        <v>451.24703471572099</v>
      </c>
      <c r="M18" s="324">
        <f>$I18*IF($G18="Pickup", SUMIFS(NewEmisData!G:G, NewEmisData!$A:$A, "Pickup", NewEmisData!$B:$B, $A18, NewEmisData!$C:$C, $H18, NewEmisData!$D:$D, M$2), SUMIFS(NewEmisData!G:G, NewEmisData!$A:$A, "LDV", NewEmisData!$B:$B, $A18, NewEmisData!$C:$C, $H18, NewEmisData!$D:$D, M$2))</f>
        <v>359.55406391675598</v>
      </c>
      <c r="N18" s="324">
        <f>$I18*IF($G18="Pickup", SUMIFS(NewEmisData!H:H, NewEmisData!$A:$A, "Pickup", NewEmisData!$B:$B, $A18, NewEmisData!$C:$C, $H18, NewEmisData!$D:$D, N$2), SUMIFS(NewEmisData!H:H, NewEmisData!$A:$A, "LDV", NewEmisData!$B:$B, $A18, NewEmisData!$C:$C, $H18, NewEmisData!$D:$D, N$2))</f>
        <v>306.68867751853497</v>
      </c>
      <c r="O18" s="324">
        <f>$I18*IF($G18="Pickup", SUMIFS(NewEmisData!I:I, NewEmisData!$A:$A, "Pickup", NewEmisData!$B:$B, $A18, NewEmisData!$C:$C, $H18, NewEmisData!$D:$D, O$2), SUMIFS(NewEmisData!I:I, NewEmisData!$A:$A, "LDV", NewEmisData!$B:$B, $A18, NewEmisData!$C:$C, $H18, NewEmisData!$D:$D, O$2))</f>
        <v>266.05693149041099</v>
      </c>
      <c r="P18" s="324">
        <f>$I18*IF($G18="Pickup", SUMIFS(NewEmisData!J:J, NewEmisData!$A:$A, "Pickup", NewEmisData!$B:$B, $A18, NewEmisData!$C:$C, $H18, NewEmisData!$D:$D, P$2), SUMIFS(NewEmisData!J:J, NewEmisData!$A:$A, "LDV", NewEmisData!$B:$B, $A18, NewEmisData!$C:$C, $H18, NewEmisData!$D:$D, P$2))</f>
        <v>243.087176828883</v>
      </c>
      <c r="Q18" s="324">
        <f>$I18*IF($G18="Pickup", SUMIFS(NewEmisData!K:K, NewEmisData!$A:$A, "Pickup", NewEmisData!$B:$B, $A18, NewEmisData!$C:$C, $H18, NewEmisData!$D:$D, Q$2), SUMIFS(NewEmisData!K:K, NewEmisData!$A:$A, "LDV", NewEmisData!$B:$B, $A18, NewEmisData!$C:$C, $H18, NewEmisData!$D:$D, Q$2))</f>
        <v>232.82718030870799</v>
      </c>
      <c r="R18" s="324">
        <f>$I18*IF($G18="Pickup", SUMIFS(NewEmisData!L:L, NewEmisData!$A:$A, "Pickup", NewEmisData!$B:$B, $A18, NewEmisData!$C:$C, $H18, NewEmisData!$D:$D, R$2), SUMIFS(NewEmisData!L:L, NewEmisData!$A:$A, "LDV", NewEmisData!$B:$B, $A18, NewEmisData!$C:$C, $H18, NewEmisData!$D:$D, R$2))</f>
        <v>229.167353178653</v>
      </c>
      <c r="S18" s="324">
        <f>$I18*IF($G18="Pickup", SUMIFS(NewEmisData!M:M, NewEmisData!$A:$A, "Pickup", NewEmisData!$B:$B, $A18, NewEmisData!$C:$C, $H18, NewEmisData!$D:$D, S$2), SUMIFS(NewEmisData!M:M, NewEmisData!$A:$A, "LDV", NewEmisData!$B:$B, $A18, NewEmisData!$C:$C, $H18, NewEmisData!$D:$D, S$2))</f>
        <v>227.80956840287899</v>
      </c>
      <c r="T18" s="324">
        <f t="shared" si="5"/>
        <v>227.80956840287899</v>
      </c>
      <c r="U18" s="324">
        <f>$I18*IF($G18="Pickup", SUMIFS(NewEmisData!E:E, NewEmisData!$A:$A, "Pickup", NewEmisData!$B:$B, $A18, NewEmisData!$C:$C, $H18, NewEmisData!$D:$D, U$2), SUMIFS(NewEmisData!E:E, NewEmisData!$A:$A, "LDV", NewEmisData!$B:$B, $A18, NewEmisData!$C:$C, $H18, NewEmisData!$D:$D, U$2))</f>
        <v>0.70973077210402302</v>
      </c>
      <c r="V18" s="324">
        <f>$I18*IF($G18="Pickup", SUMIFS(NewEmisData!F:F, NewEmisData!$A:$A, "Pickup", NewEmisData!$B:$B, $A18, NewEmisData!$C:$C, $H18, NewEmisData!$D:$D, V$2), SUMIFS(NewEmisData!F:F, NewEmisData!$A:$A, "LDV", NewEmisData!$B:$B, $A18, NewEmisData!$C:$C, $H18, NewEmisData!$D:$D, V$2))</f>
        <v>0.32036907792622199</v>
      </c>
      <c r="W18" s="324">
        <f>$I18*IF($G18="Pickup", SUMIFS(NewEmisData!G:G, NewEmisData!$A:$A, "Pickup", NewEmisData!$B:$B, $A18, NewEmisData!$C:$C, $H18, NewEmisData!$D:$D, W$2), SUMIFS(NewEmisData!G:G, NewEmisData!$A:$A, "LDV", NewEmisData!$B:$B, $A18, NewEmisData!$C:$C, $H18, NewEmisData!$D:$D, W$2))</f>
        <v>0.23974719966536701</v>
      </c>
      <c r="X18" s="324">
        <f>$I18*IF($G18="Pickup", SUMIFS(NewEmisData!H:H, NewEmisData!$A:$A, "Pickup", NewEmisData!$B:$B, $A18, NewEmisData!$C:$C, $H18, NewEmisData!$D:$D, X$2), SUMIFS(NewEmisData!H:H, NewEmisData!$A:$A, "LDV", NewEmisData!$B:$B, $A18, NewEmisData!$C:$C, $H18, NewEmisData!$D:$D, X$2))</f>
        <v>0.160612501035788</v>
      </c>
      <c r="Y18" s="324">
        <f>$I18*IF($G18="Pickup", SUMIFS(NewEmisData!I:I, NewEmisData!$A:$A, "Pickup", NewEmisData!$B:$B, $A18, NewEmisData!$C:$C, $H18, NewEmisData!$D:$D, Y$2), SUMIFS(NewEmisData!I:I, NewEmisData!$A:$A, "LDV", NewEmisData!$B:$B, $A18, NewEmisData!$C:$C, $H18, NewEmisData!$D:$D, Y$2))</f>
        <v>0.10365613117262901</v>
      </c>
      <c r="Z18" s="324">
        <f>$I18*IF($G18="Pickup", SUMIFS(NewEmisData!J:J, NewEmisData!$A:$A, "Pickup", NewEmisData!$B:$B, $A18, NewEmisData!$C:$C, $H18, NewEmisData!$D:$D, Z$2), SUMIFS(NewEmisData!J:J, NewEmisData!$A:$A, "LDV", NewEmisData!$B:$B, $A18, NewEmisData!$C:$C, $H18, NewEmisData!$D:$D, Z$2))</f>
        <v>7.8799994555065797E-2</v>
      </c>
      <c r="AA18" s="324">
        <f>$I18*IF($G18="Pickup", SUMIFS(NewEmisData!K:K, NewEmisData!$A:$A, "Pickup", NewEmisData!$B:$B, $A18, NewEmisData!$C:$C, $H18, NewEmisData!$D:$D, AA$2), SUMIFS(NewEmisData!K:K, NewEmisData!$A:$A, "LDV", NewEmisData!$B:$B, $A18, NewEmisData!$C:$C, $H18, NewEmisData!$D:$D, AA$2))</f>
        <v>6.8646939612850705E-2</v>
      </c>
      <c r="AB18" s="324">
        <f>$I18*IF($G18="Pickup", SUMIFS(NewEmisData!L:L, NewEmisData!$A:$A, "Pickup", NewEmisData!$B:$B, $A18, NewEmisData!$C:$C, $H18, NewEmisData!$D:$D, AB$2), SUMIFS(NewEmisData!L:L, NewEmisData!$A:$A, "LDV", NewEmisData!$B:$B, $A18, NewEmisData!$C:$C, $H18, NewEmisData!$D:$D, AB$2))</f>
        <v>6.5824398729591893E-2</v>
      </c>
      <c r="AC18" s="324">
        <f>$I18*IF($G18="Pickup", SUMIFS(NewEmisData!M:M, NewEmisData!$A:$A, "Pickup", NewEmisData!$B:$B, $A18, NewEmisData!$C:$C, $H18, NewEmisData!$D:$D, AC$2), SUMIFS(NewEmisData!M:M, NewEmisData!$A:$A, "LDV", NewEmisData!$B:$B, $A18, NewEmisData!$C:$C, $H18, NewEmisData!$D:$D, AC$2))</f>
        <v>6.4340803704991095E-2</v>
      </c>
      <c r="AD18" s="324">
        <f t="shared" si="6"/>
        <v>6.4340803704991095E-2</v>
      </c>
      <c r="AE18" s="324">
        <f>$I18*IF($G18="Pickup", SUMIFS(NewEmisData!E:E, NewEmisData!$A:$A, "Pickup", NewEmisData!$B:$B, $A18, NewEmisData!$C:$C, $H18, NewEmisData!$D:$D, AE$2), SUMIFS(NewEmisData!E:E, NewEmisData!$A:$A, "LDV", NewEmisData!$B:$B, $A18, NewEmisData!$C:$C, $H18, NewEmisData!$D:$D, AE$2))</f>
        <v>8.2160020457903906E-3</v>
      </c>
      <c r="AF18" s="324">
        <f>$I18*IF($G18="Pickup", SUMIFS(NewEmisData!F:F, NewEmisData!$A:$A, "Pickup", NewEmisData!$B:$B, $A18, NewEmisData!$C:$C, $H18, NewEmisData!$D:$D, AF$2), SUMIFS(NewEmisData!F:F, NewEmisData!$A:$A, "LDV", NewEmisData!$B:$B, $A18, NewEmisData!$C:$C, $H18, NewEmisData!$D:$D, AF$2))</f>
        <v>7.80815598787189E-3</v>
      </c>
      <c r="AG18" s="324">
        <f>$I18*IF($G18="Pickup", SUMIFS(NewEmisData!G:G, NewEmisData!$A:$A, "Pickup", NewEmisData!$B:$B, $A18, NewEmisData!$C:$C, $H18, NewEmisData!$D:$D, AG$2), SUMIFS(NewEmisData!G:G, NewEmisData!$A:$A, "LDV", NewEmisData!$B:$B, $A18, NewEmisData!$C:$C, $H18, NewEmisData!$D:$D, AG$2))</f>
        <v>5.1579884513251097E-3</v>
      </c>
      <c r="AH18" s="324">
        <f>$I18*IF($G18="Pickup", SUMIFS(NewEmisData!H:H, NewEmisData!$A:$A, "Pickup", NewEmisData!$B:$B, $A18, NewEmisData!$C:$C, $H18, NewEmisData!$D:$D, AH$2), SUMIFS(NewEmisData!H:H, NewEmisData!$A:$A, "LDV", NewEmisData!$B:$B, $A18, NewEmisData!$C:$C, $H18, NewEmisData!$D:$D, AH$2))</f>
        <v>4.3996084263759998E-3</v>
      </c>
      <c r="AI18" s="324">
        <f>$I18*IF($G18="Pickup", SUMIFS(NewEmisData!I:I, NewEmisData!$A:$A, "Pickup", NewEmisData!$B:$B, $A18, NewEmisData!$C:$C, $H18, NewEmisData!$D:$D, AI$2), SUMIFS(NewEmisData!I:I, NewEmisData!$A:$A, "LDV", NewEmisData!$B:$B, $A18, NewEmisData!$C:$C, $H18, NewEmisData!$D:$D, AI$2))</f>
        <v>3.81672539575274E-3</v>
      </c>
      <c r="AJ18" s="324">
        <f>$I18*IF($G18="Pickup", SUMIFS(NewEmisData!J:J, NewEmisData!$A:$A, "Pickup", NewEmisData!$B:$B, $A18, NewEmisData!$C:$C, $H18, NewEmisData!$D:$D, AJ$2), SUMIFS(NewEmisData!J:J, NewEmisData!$A:$A, "LDV", NewEmisData!$B:$B, $A18, NewEmisData!$C:$C, $H18, NewEmisData!$D:$D, AJ$2))</f>
        <v>3.4872096414849999E-3</v>
      </c>
      <c r="AK18" s="324">
        <f>$I18*IF($G18="Pickup", SUMIFS(NewEmisData!K:K, NewEmisData!$A:$A, "Pickup", NewEmisData!$B:$B, $A18, NewEmisData!$C:$C, $H18, NewEmisData!$D:$D, AK$2), SUMIFS(NewEmisData!K:K, NewEmisData!$A:$A, "LDV", NewEmisData!$B:$B, $A18, NewEmisData!$C:$C, $H18, NewEmisData!$D:$D, AK$2))</f>
        <v>3.3400286224750798E-3</v>
      </c>
      <c r="AL18" s="324">
        <f>$I18*IF($G18="Pickup", SUMIFS(NewEmisData!L:L, NewEmisData!$A:$A, "Pickup", NewEmisData!$B:$B, $A18, NewEmisData!$C:$C, $H18, NewEmisData!$D:$D, AL$2), SUMIFS(NewEmisData!L:L, NewEmisData!$A:$A, "LDV", NewEmisData!$B:$B, $A18, NewEmisData!$C:$C, $H18, NewEmisData!$D:$D, AL$2))</f>
        <v>3.2875233288682799E-3</v>
      </c>
      <c r="AM18" s="324">
        <f>$I18*IF($G18="Pickup", SUMIFS(NewEmisData!M:M, NewEmisData!$A:$A, "Pickup", NewEmisData!$B:$B, $A18, NewEmisData!$C:$C, $H18, NewEmisData!$D:$D, AM$2), SUMIFS(NewEmisData!M:M, NewEmisData!$A:$A, "LDV", NewEmisData!$B:$B, $A18, NewEmisData!$C:$C, $H18, NewEmisData!$D:$D, AM$2))</f>
        <v>3.2680461258744399E-3</v>
      </c>
      <c r="AN18" s="324">
        <f t="shared" si="7"/>
        <v>3.2680461258744399E-3</v>
      </c>
      <c r="AO18" s="324">
        <f>$I18*IF($G18="Pickup", SUMIFS(NewEmisData!E:E, NewEmisData!$A:$A, "Pickup", NewEmisData!$B:$B, $A18, NewEmisData!$C:$C, $H18, NewEmisData!$D:$D, AO$2), SUMIFS(NewEmisData!E:E, NewEmisData!$A:$A, "LDV", NewEmisData!$B:$B, $A18, NewEmisData!$C:$C, $H18, NewEmisData!$D:$D, AO$2))</f>
        <v>7.6637268565666605E-2</v>
      </c>
      <c r="AP18" s="324">
        <f>$I18*IF($G18="Pickup", SUMIFS(NewEmisData!F:F, NewEmisData!$A:$A, "Pickup", NewEmisData!$B:$B, $A18, NewEmisData!$C:$C, $H18, NewEmisData!$D:$D, AP$2), SUMIFS(NewEmisData!F:F, NewEmisData!$A:$A, "LDV", NewEmisData!$B:$B, $A18, NewEmisData!$C:$C, $H18, NewEmisData!$D:$D, AP$2))</f>
        <v>7.17220347655846E-2</v>
      </c>
      <c r="AQ18" s="324">
        <f>$I18*IF($G18="Pickup", SUMIFS(NewEmisData!G:G, NewEmisData!$A:$A, "Pickup", NewEmisData!$B:$B, $A18, NewEmisData!$C:$C, $H18, NewEmisData!$D:$D, AQ$2), SUMIFS(NewEmisData!G:G, NewEmisData!$A:$A, "LDV", NewEmisData!$B:$B, $A18, NewEmisData!$C:$C, $H18, NewEmisData!$D:$D, AQ$2))</f>
        <v>5.3063354209187903E-2</v>
      </c>
      <c r="AR18" s="324">
        <f>$I18*IF($G18="Pickup", SUMIFS(NewEmisData!H:H, NewEmisData!$A:$A, "Pickup", NewEmisData!$B:$B, $A18, NewEmisData!$C:$C, $H18, NewEmisData!$D:$D, AR$2), SUMIFS(NewEmisData!H:H, NewEmisData!$A:$A, "LDV", NewEmisData!$B:$B, $A18, NewEmisData!$C:$C, $H18, NewEmisData!$D:$D, AR$2))</f>
        <v>5.1413159178765599E-2</v>
      </c>
      <c r="AS18" s="324">
        <f>$I18*IF($G18="Pickup", SUMIFS(NewEmisData!I:I, NewEmisData!$A:$A, "Pickup", NewEmisData!$B:$B, $A18, NewEmisData!$C:$C, $H18, NewEmisData!$D:$D, AS$2), SUMIFS(NewEmisData!I:I, NewEmisData!$A:$A, "LDV", NewEmisData!$B:$B, $A18, NewEmisData!$C:$C, $H18, NewEmisData!$D:$D, AS$2))</f>
        <v>4.9937748877796798E-2</v>
      </c>
      <c r="AT18" s="324">
        <f>$I18*IF($G18="Pickup", SUMIFS(NewEmisData!J:J, NewEmisData!$A:$A, "Pickup", NewEmisData!$B:$B, $A18, NewEmisData!$C:$C, $H18, NewEmisData!$D:$D, AT$2), SUMIFS(NewEmisData!J:J, NewEmisData!$A:$A, "LDV", NewEmisData!$B:$B, $A18, NewEmisData!$C:$C, $H18, NewEmisData!$D:$D, AT$2))</f>
        <v>4.8737436898882699E-2</v>
      </c>
      <c r="AU18" s="324">
        <f>$I18*IF($G18="Pickup", SUMIFS(NewEmisData!K:K, NewEmisData!$A:$A, "Pickup", NewEmisData!$B:$B, $A18, NewEmisData!$C:$C, $H18, NewEmisData!$D:$D, AU$2), SUMIFS(NewEmisData!K:K, NewEmisData!$A:$A, "LDV", NewEmisData!$B:$B, $A18, NewEmisData!$C:$C, $H18, NewEmisData!$D:$D, AU$2))</f>
        <v>4.7984590527250397E-2</v>
      </c>
      <c r="AV18" s="324">
        <f>$I18*IF($G18="Pickup", SUMIFS(NewEmisData!L:L, NewEmisData!$A:$A, "Pickup", NewEmisData!$B:$B, $A18, NewEmisData!$C:$C, $H18, NewEmisData!$D:$D, AV$2), SUMIFS(NewEmisData!L:L, NewEmisData!$A:$A, "LDV", NewEmisData!$B:$B, $A18, NewEmisData!$C:$C, $H18, NewEmisData!$D:$D, AV$2))</f>
        <v>4.76005320802948E-2</v>
      </c>
      <c r="AW18" s="324">
        <f>$I18*IF($G18="Pickup", SUMIFS(NewEmisData!M:M, NewEmisData!$A:$A, "Pickup", NewEmisData!$B:$B, $A18, NewEmisData!$C:$C, $H18, NewEmisData!$D:$D, AW$2), SUMIFS(NewEmisData!M:M, NewEmisData!$A:$A, "LDV", NewEmisData!$B:$B, $A18, NewEmisData!$C:$C, $H18, NewEmisData!$D:$D, AW$2))</f>
        <v>4.7377866603412998E-2</v>
      </c>
      <c r="AX18" s="324">
        <f t="shared" si="8"/>
        <v>4.7377866603412998E-2</v>
      </c>
      <c r="AY18" s="324">
        <f>$I18*IF($G18="Pickup", SUMIFS(NewEmisData!E:E, NewEmisData!$A:$A, "Pickup", NewEmisData!$B:$B, $A18, NewEmisData!$C:$C, $H18, NewEmisData!$D:$D, AY$2), SUMIFS(NewEmisData!E:E, NewEmisData!$A:$A, "LDV", NewEmisData!$B:$B, $A18, NewEmisData!$C:$C, $H18, NewEmisData!$D:$D, AY$2))</f>
        <v>1.9839679684136899E-2</v>
      </c>
      <c r="AZ18" s="324">
        <f>$I18*IF($G18="Pickup", SUMIFS(NewEmisData!F:F, NewEmisData!$A:$A, "Pickup", NewEmisData!$B:$B, $A18, NewEmisData!$C:$C, $H18, NewEmisData!$D:$D, AZ$2), SUMIFS(NewEmisData!F:F, NewEmisData!$A:$A, "LDV", NewEmisData!$B:$B, $A18, NewEmisData!$C:$C, $H18, NewEmisData!$D:$D, AZ$2))</f>
        <v>1.54915322396613E-2</v>
      </c>
      <c r="BA18" s="324">
        <f>$I18*IF($G18="Pickup", SUMIFS(NewEmisData!G:G, NewEmisData!$A:$A, "Pickup", NewEmisData!$B:$B, $A18, NewEmisData!$C:$C, $H18, NewEmisData!$D:$D, BA$2), SUMIFS(NewEmisData!G:G, NewEmisData!$A:$A, "LDV", NewEmisData!$B:$B, $A18, NewEmisData!$C:$C, $H18, NewEmisData!$D:$D, BA$2))</f>
        <v>1.24856485125612E-2</v>
      </c>
      <c r="BB18" s="324">
        <f>$I18*IF($G18="Pickup", SUMIFS(NewEmisData!H:H, NewEmisData!$A:$A, "Pickup", NewEmisData!$B:$B, $A18, NewEmisData!$C:$C, $H18, NewEmisData!$D:$D, BB$2), SUMIFS(NewEmisData!H:H, NewEmisData!$A:$A, "LDV", NewEmisData!$B:$B, $A18, NewEmisData!$C:$C, $H18, NewEmisData!$D:$D, BB$2))</f>
        <v>1.10258430769824E-2</v>
      </c>
      <c r="BC18" s="324">
        <f>$I18*IF($G18="Pickup", SUMIFS(NewEmisData!I:I, NewEmisData!$A:$A, "Pickup", NewEmisData!$B:$B, $A18, NewEmisData!$C:$C, $H18, NewEmisData!$D:$D, BC$2), SUMIFS(NewEmisData!I:I, NewEmisData!$A:$A, "LDV", NewEmisData!$B:$B, $A18, NewEmisData!$C:$C, $H18, NewEmisData!$D:$D, BC$2))</f>
        <v>9.7206839249302599E-3</v>
      </c>
      <c r="BD18" s="324">
        <f>$I18*IF($G18="Pickup", SUMIFS(NewEmisData!J:J, NewEmisData!$A:$A, "Pickup", NewEmisData!$B:$B, $A18, NewEmisData!$C:$C, $H18, NewEmisData!$D:$D, BD$2), SUMIFS(NewEmisData!J:J, NewEmisData!$A:$A, "LDV", NewEmisData!$B:$B, $A18, NewEmisData!$C:$C, $H18, NewEmisData!$D:$D, BD$2))</f>
        <v>8.6588886279032502E-3</v>
      </c>
      <c r="BE18" s="324">
        <f>$I18*IF($G18="Pickup", SUMIFS(NewEmisData!K:K, NewEmisData!$A:$A, "Pickup", NewEmisData!$B:$B, $A18, NewEmisData!$C:$C, $H18, NewEmisData!$D:$D, BE$2), SUMIFS(NewEmisData!K:K, NewEmisData!$A:$A, "LDV", NewEmisData!$B:$B, $A18, NewEmisData!$C:$C, $H18, NewEmisData!$D:$D, BE$2))</f>
        <v>7.9928948991222996E-3</v>
      </c>
      <c r="BF18" s="324">
        <f>$I18*IF($G18="Pickup", SUMIFS(NewEmisData!L:L, NewEmisData!$A:$A, "Pickup", NewEmisData!$B:$B, $A18, NewEmisData!$C:$C, $H18, NewEmisData!$D:$D, BF$2), SUMIFS(NewEmisData!L:L, NewEmisData!$A:$A, "LDV", NewEmisData!$B:$B, $A18, NewEmisData!$C:$C, $H18, NewEmisData!$D:$D, BF$2))</f>
        <v>7.65317007618625E-3</v>
      </c>
      <c r="BG18" s="324">
        <f>$I18*IF($G18="Pickup", SUMIFS(NewEmisData!M:M, NewEmisData!$A:$A, "Pickup", NewEmisData!$B:$B, $A18, NewEmisData!$C:$C, $H18, NewEmisData!$D:$D, BG$2), SUMIFS(NewEmisData!M:M, NewEmisData!$A:$A, "LDV", NewEmisData!$B:$B, $A18, NewEmisData!$C:$C, $H18, NewEmisData!$D:$D, BG$2))</f>
        <v>7.4561632981935697E-3</v>
      </c>
      <c r="BH18" s="324">
        <f t="shared" si="9"/>
        <v>7.4561632981935697E-3</v>
      </c>
      <c r="BI18" s="324">
        <f>$I18*IF($G18="Pickup", SUMIFS(NewEmisData!E:E, NewEmisData!$A:$A, "Pickup", NewEmisData!$B:$B, $A18, NewEmisData!$C:$C, $H18, NewEmisData!$D:$D, BI$2), SUMIFS(NewEmisData!E:E, NewEmisData!$A:$A, "LDV", NewEmisData!$B:$B, $A18, NewEmisData!$C:$C, $H18, NewEmisData!$D:$D, BI$2))</f>
        <v>6.4220034872518204</v>
      </c>
      <c r="BJ18" s="324">
        <f>$I18*IF($G18="Pickup", SUMIFS(NewEmisData!F:F, NewEmisData!$A:$A, "Pickup", NewEmisData!$B:$B, $A18, NewEmisData!$C:$C, $H18, NewEmisData!$D:$D, BJ$2), SUMIFS(NewEmisData!F:F, NewEmisData!$A:$A, "LDV", NewEmisData!$B:$B, $A18, NewEmisData!$C:$C, $H18, NewEmisData!$D:$D, BJ$2))</f>
        <v>3.8479800836345999</v>
      </c>
      <c r="BK18" s="324">
        <f>$I18*IF($G18="Pickup", SUMIFS(NewEmisData!G:G, NewEmisData!$A:$A, "Pickup", NewEmisData!$B:$B, $A18, NewEmisData!$C:$C, $H18, NewEmisData!$D:$D, BK$2), SUMIFS(NewEmisData!G:G, NewEmisData!$A:$A, "LDV", NewEmisData!$B:$B, $A18, NewEmisData!$C:$C, $H18, NewEmisData!$D:$D, BK$2))</f>
        <v>2.9970734916117499</v>
      </c>
      <c r="BL18" s="324">
        <f>$I18*IF($G18="Pickup", SUMIFS(NewEmisData!H:H, NewEmisData!$A:$A, "Pickup", NewEmisData!$B:$B, $A18, NewEmisData!$C:$C, $H18, NewEmisData!$D:$D, BL$2), SUMIFS(NewEmisData!H:H, NewEmisData!$A:$A, "LDV", NewEmisData!$B:$B, $A18, NewEmisData!$C:$C, $H18, NewEmisData!$D:$D, BL$2))</f>
        <v>2.36472323758924</v>
      </c>
      <c r="BM18" s="324">
        <f>$I18*IF($G18="Pickup", SUMIFS(NewEmisData!I:I, NewEmisData!$A:$A, "Pickup", NewEmisData!$B:$B, $A18, NewEmisData!$C:$C, $H18, NewEmisData!$D:$D, BM$2), SUMIFS(NewEmisData!I:I, NewEmisData!$A:$A, "LDV", NewEmisData!$B:$B, $A18, NewEmisData!$C:$C, $H18, NewEmisData!$D:$D, BM$2))</f>
        <v>1.7421472431707099</v>
      </c>
      <c r="BN18" s="324">
        <f>$I18*IF($G18="Pickup", SUMIFS(NewEmisData!J:J, NewEmisData!$A:$A, "Pickup", NewEmisData!$B:$B, $A18, NewEmisData!$C:$C, $H18, NewEmisData!$D:$D, BN$2), SUMIFS(NewEmisData!J:J, NewEmisData!$A:$A, "LDV", NewEmisData!$B:$B, $A18, NewEmisData!$C:$C, $H18, NewEmisData!$D:$D, BN$2))</f>
        <v>1.3931539503279999</v>
      </c>
      <c r="BO18" s="324">
        <f>$I18*IF($G18="Pickup", SUMIFS(NewEmisData!K:K, NewEmisData!$A:$A, "Pickup", NewEmisData!$B:$B, $A18, NewEmisData!$C:$C, $H18, NewEmisData!$D:$D, BO$2), SUMIFS(NewEmisData!K:K, NewEmisData!$A:$A, "LDV", NewEmisData!$B:$B, $A18, NewEmisData!$C:$C, $H18, NewEmisData!$D:$D, BO$2))</f>
        <v>1.2342051269933401</v>
      </c>
      <c r="BP18" s="324">
        <f>$I18*IF($G18="Pickup", SUMIFS(NewEmisData!L:L, NewEmisData!$A:$A, "Pickup", NewEmisData!$B:$B, $A18, NewEmisData!$C:$C, $H18, NewEmisData!$D:$D, BP$2), SUMIFS(NewEmisData!L:L, NewEmisData!$A:$A, "LDV", NewEmisData!$B:$B, $A18, NewEmisData!$C:$C, $H18, NewEmisData!$D:$D, BP$2))</f>
        <v>1.18127069132138</v>
      </c>
      <c r="BQ18" s="324">
        <f>$I18*IF($G18="Pickup", SUMIFS(NewEmisData!M:M, NewEmisData!$A:$A, "Pickup", NewEmisData!$B:$B, $A18, NewEmisData!$C:$C, $H18, NewEmisData!$D:$D, BQ$2), SUMIFS(NewEmisData!M:M, NewEmisData!$A:$A, "LDV", NewEmisData!$B:$B, $A18, NewEmisData!$C:$C, $H18, NewEmisData!$D:$D, BQ$2))</f>
        <v>1.1484293714755001</v>
      </c>
      <c r="BR18" s="324">
        <f t="shared" si="10"/>
        <v>1.1484293714755001</v>
      </c>
      <c r="BS18" s="324">
        <f>$I18*IF($G18="Pickup", SUMIFS(NewEmisData!E:E, NewEmisData!$A:$A, "Pickup", NewEmisData!$B:$B, $A18, NewEmisData!$C:$C, $H18, NewEmisData!$D:$D, BS$2), SUMIFS(NewEmisData!E:E, NewEmisData!$A:$A, "LDV", NewEmisData!$B:$B, $A18, NewEmisData!$C:$C, $H18, NewEmisData!$D:$D, BS$2))</f>
        <v>0.76625314114096599</v>
      </c>
      <c r="BT18" s="324">
        <f>$I18*IF($G18="Pickup", SUMIFS(NewEmisData!F:F, NewEmisData!$A:$A, "Pickup", NewEmisData!$B:$B, $A18, NewEmisData!$C:$C, $H18, NewEmisData!$D:$D, BT$2), SUMIFS(NewEmisData!F:F, NewEmisData!$A:$A, "LDV", NewEmisData!$B:$B, $A18, NewEmisData!$C:$C, $H18, NewEmisData!$D:$D, BT$2))</f>
        <v>0.42849019580384201</v>
      </c>
      <c r="BU18" s="324">
        <f>$I18*IF($G18="Pickup", SUMIFS(NewEmisData!G:G, NewEmisData!$A:$A, "Pickup", NewEmisData!$B:$B, $A18, NewEmisData!$C:$C, $H18, NewEmisData!$D:$D, BU$2), SUMIFS(NewEmisData!G:G, NewEmisData!$A:$A, "LDV", NewEmisData!$B:$B, $A18, NewEmisData!$C:$C, $H18, NewEmisData!$D:$D, BU$2))</f>
        <v>0.33923869580754101</v>
      </c>
      <c r="BV18" s="324">
        <f>$I18*IF($G18="Pickup", SUMIFS(NewEmisData!H:H, NewEmisData!$A:$A, "Pickup", NewEmisData!$B:$B, $A18, NewEmisData!$C:$C, $H18, NewEmisData!$D:$D, BV$2), SUMIFS(NewEmisData!H:H, NewEmisData!$A:$A, "LDV", NewEmisData!$B:$B, $A18, NewEmisData!$C:$C, $H18, NewEmisData!$D:$D, BV$2))</f>
        <v>0.274572609184357</v>
      </c>
      <c r="BW18" s="324">
        <f>$I18*IF($G18="Pickup", SUMIFS(NewEmisData!I:I, NewEmisData!$A:$A, "Pickup", NewEmisData!$B:$B, $A18, NewEmisData!$C:$C, $H18, NewEmisData!$D:$D, BW$2), SUMIFS(NewEmisData!I:I, NewEmisData!$A:$A, "LDV", NewEmisData!$B:$B, $A18, NewEmisData!$C:$C, $H18, NewEmisData!$D:$D, BW$2))</f>
        <v>0.20444446873760599</v>
      </c>
      <c r="BX18" s="324">
        <f>$I18*IF($G18="Pickup", SUMIFS(NewEmisData!J:J, NewEmisData!$A:$A, "Pickup", NewEmisData!$B:$B, $A18, NewEmisData!$C:$C, $H18, NewEmisData!$D:$D, BX$2), SUMIFS(NewEmisData!J:J, NewEmisData!$A:$A, "LDV", NewEmisData!$B:$B, $A18, NewEmisData!$C:$C, $H18, NewEmisData!$D:$D, BX$2))</f>
        <v>0.170176908378738</v>
      </c>
      <c r="BY18" s="324">
        <f>$I18*IF($G18="Pickup", SUMIFS(NewEmisData!K:K, NewEmisData!$A:$A, "Pickup", NewEmisData!$B:$B, $A18, NewEmisData!$C:$C, $H18, NewEmisData!$D:$D, BY$2), SUMIFS(NewEmisData!K:K, NewEmisData!$A:$A, "LDV", NewEmisData!$B:$B, $A18, NewEmisData!$C:$C, $H18, NewEmisData!$D:$D, BY$2))</f>
        <v>0.152045525981331</v>
      </c>
      <c r="BZ18" s="324">
        <f>$I18*IF($G18="Pickup", SUMIFS(NewEmisData!L:L, NewEmisData!$A:$A, "Pickup", NewEmisData!$B:$B, $A18, NewEmisData!$C:$C, $H18, NewEmisData!$D:$D, BZ$2), SUMIFS(NewEmisData!L:L, NewEmisData!$A:$A, "LDV", NewEmisData!$B:$B, $A18, NewEmisData!$C:$C, $H18, NewEmisData!$D:$D, BZ$2))</f>
        <v>0.14503696159912</v>
      </c>
      <c r="CA18" s="324">
        <f>$I18*IF($G18="Pickup", SUMIFS(NewEmisData!M:M, NewEmisData!$A:$A, "Pickup", NewEmisData!$B:$B, $A18, NewEmisData!$C:$C, $H18, NewEmisData!$D:$D, CA$2), SUMIFS(NewEmisData!M:M, NewEmisData!$A:$A, "LDV", NewEmisData!$B:$B, $A18, NewEmisData!$C:$C, $H18, NewEmisData!$D:$D, CA$2))</f>
        <v>0.139402683427791</v>
      </c>
      <c r="CB18" s="324">
        <f t="shared" si="11"/>
        <v>0.139402683427791</v>
      </c>
      <c r="CC18" s="324">
        <f>$I18*IF($G18="Pickup", SUMIFS(NewEmisData!E:E, NewEmisData!$A:$A, "Pickup", NewEmisData!$B:$B, $A18, NewEmisData!$C:$C, $H18, NewEmisData!$D:$D, CC$2), SUMIFS(NewEmisData!E:E, NewEmisData!$A:$A, "LDV", NewEmisData!$B:$B, $A18, NewEmisData!$C:$C, $H18, NewEmisData!$D:$D, CC$2))</f>
        <v>3.9065075142891502E-2</v>
      </c>
      <c r="CD18" s="324">
        <f>$I18*IF($G18="Pickup", SUMIFS(NewEmisData!F:F, NewEmisData!$A:$A, "Pickup", NewEmisData!$B:$B, $A18, NewEmisData!$C:$C, $H18, NewEmisData!$D:$D, CD$2), SUMIFS(NewEmisData!F:F, NewEmisData!$A:$A, "LDV", NewEmisData!$B:$B, $A18, NewEmisData!$C:$C, $H18, NewEmisData!$D:$D, CD$2))</f>
        <v>2.71884075109541E-2</v>
      </c>
      <c r="CE18" s="324">
        <f>$I18*IF($G18="Pickup", SUMIFS(NewEmisData!G:G, NewEmisData!$A:$A, "Pickup", NewEmisData!$B:$B, $A18, NewEmisData!$C:$C, $H18, NewEmisData!$D:$D, CE$2), SUMIFS(NewEmisData!G:G, NewEmisData!$A:$A, "LDV", NewEmisData!$B:$B, $A18, NewEmisData!$C:$C, $H18, NewEmisData!$D:$D, CE$2))</f>
        <v>2.35915905182916E-2</v>
      </c>
      <c r="CF18" s="324">
        <f>$I18*IF($G18="Pickup", SUMIFS(NewEmisData!H:H, NewEmisData!$A:$A, "Pickup", NewEmisData!$B:$B, $A18, NewEmisData!$C:$C, $H18, NewEmisData!$D:$D, CF$2), SUMIFS(NewEmisData!H:H, NewEmisData!$A:$A, "LDV", NewEmisData!$B:$B, $A18, NewEmisData!$C:$C, $H18, NewEmisData!$D:$D, CF$2))</f>
        <v>2.2519914122574401E-2</v>
      </c>
      <c r="CG18" s="324">
        <f>$I18*IF($G18="Pickup", SUMIFS(NewEmisData!I:I, NewEmisData!$A:$A, "Pickup", NewEmisData!$B:$B, $A18, NewEmisData!$C:$C, $H18, NewEmisData!$D:$D, CG$2), SUMIFS(NewEmisData!I:I, NewEmisData!$A:$A, "LDV", NewEmisData!$B:$B, $A18, NewEmisData!$C:$C, $H18, NewEmisData!$D:$D, CG$2))</f>
        <v>2.1807779866682201E-2</v>
      </c>
      <c r="CH18" s="324">
        <f>$I18*IF($G18="Pickup", SUMIFS(NewEmisData!J:J, NewEmisData!$A:$A, "Pickup", NewEmisData!$B:$B, $A18, NewEmisData!$C:$C, $H18, NewEmisData!$D:$D, CH$2), SUMIFS(NewEmisData!J:J, NewEmisData!$A:$A, "LDV", NewEmisData!$B:$B, $A18, NewEmisData!$C:$C, $H18, NewEmisData!$D:$D, CH$2))</f>
        <v>2.1246517083751901E-2</v>
      </c>
      <c r="CI18" s="324">
        <f>$I18*IF($G18="Pickup", SUMIFS(NewEmisData!K:K, NewEmisData!$A:$A, "Pickup", NewEmisData!$B:$B, $A18, NewEmisData!$C:$C, $H18, NewEmisData!$D:$D, CI$2), SUMIFS(NewEmisData!K:K, NewEmisData!$A:$A, "LDV", NewEmisData!$B:$B, $A18, NewEmisData!$C:$C, $H18, NewEmisData!$D:$D, CI$2))</f>
        <v>2.1244746441372499E-2</v>
      </c>
      <c r="CJ18" s="324">
        <f>$I18*IF($G18="Pickup", SUMIFS(NewEmisData!L:L, NewEmisData!$A:$A, "Pickup", NewEmisData!$B:$B, $A18, NewEmisData!$C:$C, $H18, NewEmisData!$D:$D, CJ$2), SUMIFS(NewEmisData!L:L, NewEmisData!$A:$A, "LDV", NewEmisData!$B:$B, $A18, NewEmisData!$C:$C, $H18, NewEmisData!$D:$D, CJ$2))</f>
        <v>2.1244238664552498E-2</v>
      </c>
      <c r="CK18" s="324">
        <f>$I18*IF($G18="Pickup", SUMIFS(NewEmisData!M:M, NewEmisData!$A:$A, "Pickup", NewEmisData!$B:$B, $A18, NewEmisData!$C:$C, $H18, NewEmisData!$D:$D, CK$2), SUMIFS(NewEmisData!M:M, NewEmisData!$A:$A, "LDV", NewEmisData!$B:$B, $A18, NewEmisData!$C:$C, $H18, NewEmisData!$D:$D, CK$2))</f>
        <v>2.1243800212783201E-2</v>
      </c>
      <c r="CL18" s="324">
        <f t="shared" si="12"/>
        <v>2.1243800212783201E-2</v>
      </c>
      <c r="CM18" s="324">
        <f>$I18*IF($G18="Pickup", SUMIFS(NewEmisData!E:E, NewEmisData!$A:$A, "Pickup", NewEmisData!$B:$B, $A18, NewEmisData!$C:$C, $H18, NewEmisData!$D:$D, CM$2), SUMIFS(NewEmisData!E:E, NewEmisData!$A:$A, "LDV", NewEmisData!$B:$B, $A18, NewEmisData!$C:$C, $H18, NewEmisData!$D:$D, CM$2))</f>
        <v>2.3400482606005499E-2</v>
      </c>
      <c r="CN18" s="324">
        <f>$I18*IF($G18="Pickup", SUMIFS(NewEmisData!F:F, NewEmisData!$A:$A, "Pickup", NewEmisData!$B:$B, $A18, NewEmisData!$C:$C, $H18, NewEmisData!$D:$D, CN$2), SUMIFS(NewEmisData!F:F, NewEmisData!$A:$A, "LDV", NewEmisData!$B:$B, $A18, NewEmisData!$C:$C, $H18, NewEmisData!$D:$D, CN$2))</f>
        <v>1.46264020139097E-2</v>
      </c>
      <c r="CO18" s="324">
        <f>$I18*IF($G18="Pickup", SUMIFS(NewEmisData!G:G, NewEmisData!$A:$A, "Pickup", NewEmisData!$B:$B, $A18, NewEmisData!$C:$C, $H18, NewEmisData!$D:$D, CO$2), SUMIFS(NewEmisData!G:G, NewEmisData!$A:$A, "LDV", NewEmisData!$B:$B, $A18, NewEmisData!$C:$C, $H18, NewEmisData!$D:$D, CO$2))</f>
        <v>1.17594755724597E-2</v>
      </c>
      <c r="CP18" s="324">
        <f>$I18*IF($G18="Pickup", SUMIFS(NewEmisData!H:H, NewEmisData!$A:$A, "Pickup", NewEmisData!$B:$B, $A18, NewEmisData!$C:$C, $H18, NewEmisData!$D:$D, CP$2), SUMIFS(NewEmisData!H:H, NewEmisData!$A:$A, "LDV", NewEmisData!$B:$B, $A18, NewEmisData!$C:$C, $H18, NewEmisData!$D:$D, CP$2))</f>
        <v>9.5913131178771704E-3</v>
      </c>
      <c r="CQ18" s="324">
        <f>$I18*IF($G18="Pickup", SUMIFS(NewEmisData!I:I, NewEmisData!$A:$A, "Pickup", NewEmisData!$B:$B, $A18, NewEmisData!$C:$C, $H18, NewEmisData!$D:$D, CQ$2), SUMIFS(NewEmisData!I:I, NewEmisData!$A:$A, "LDV", NewEmisData!$B:$B, $A18, NewEmisData!$C:$C, $H18, NewEmisData!$D:$D, CQ$2))</f>
        <v>8.49787062067325E-3</v>
      </c>
      <c r="CR18" s="324">
        <f>$I18*IF($G18="Pickup", SUMIFS(NewEmisData!J:J, NewEmisData!$A:$A, "Pickup", NewEmisData!$B:$B, $A18, NewEmisData!$C:$C, $H18, NewEmisData!$D:$D, CR$2), SUMIFS(NewEmisData!J:J, NewEmisData!$A:$A, "LDV", NewEmisData!$B:$B, $A18, NewEmisData!$C:$C, $H18, NewEmisData!$D:$D, CR$2))</f>
        <v>8.0109865110152001E-3</v>
      </c>
      <c r="CS18" s="324">
        <f>$I18*IF($G18="Pickup", SUMIFS(NewEmisData!K:K, NewEmisData!$A:$A, "Pickup", NewEmisData!$B:$B, $A18, NewEmisData!$C:$C, $H18, NewEmisData!$D:$D, CS$2), SUMIFS(NewEmisData!K:K, NewEmisData!$A:$A, "LDV", NewEmisData!$B:$B, $A18, NewEmisData!$C:$C, $H18, NewEmisData!$D:$D, CS$2))</f>
        <v>7.9536784391849198E-3</v>
      </c>
      <c r="CT18" s="324">
        <f>$I18*IF($G18="Pickup", SUMIFS(NewEmisData!L:L, NewEmisData!$A:$A, "Pickup", NewEmisData!$B:$B, $A18, NewEmisData!$C:$C, $H18, NewEmisData!$D:$D, CT$2), SUMIFS(NewEmisData!L:L, NewEmisData!$A:$A, "LDV", NewEmisData!$B:$B, $A18, NewEmisData!$C:$C, $H18, NewEmisData!$D:$D, CT$2))</f>
        <v>7.8603296078806496E-3</v>
      </c>
      <c r="CU18" s="324">
        <f>$I18*IF($G18="Pickup", SUMIFS(NewEmisData!M:M, NewEmisData!$A:$A, "Pickup", NewEmisData!$B:$B, $A18, NewEmisData!$C:$C, $H18, NewEmisData!$D:$D, CU$2), SUMIFS(NewEmisData!M:M, NewEmisData!$A:$A, "LDV", NewEmisData!$B:$B, $A18, NewEmisData!$C:$C, $H18, NewEmisData!$D:$D, CU$2))</f>
        <v>7.8597717488691193E-3</v>
      </c>
      <c r="CV18" s="324">
        <f t="shared" si="13"/>
        <v>7.8597717488691193E-3</v>
      </c>
      <c r="CW18" s="324">
        <v>3.0448046675121709E-3</v>
      </c>
      <c r="CX18" s="324">
        <v>1.8865908720768221E-3</v>
      </c>
      <c r="CY18" s="324">
        <v>1.5570268485524494E-3</v>
      </c>
      <c r="CZ18" s="324">
        <v>1.2432183416122382E-3</v>
      </c>
      <c r="DA18" s="324">
        <v>9.252251866281976E-4</v>
      </c>
      <c r="DB18" s="324">
        <v>7.2309456596024934E-4</v>
      </c>
      <c r="DC18" s="324">
        <v>6.8940706870607876E-4</v>
      </c>
      <c r="DD18" s="324">
        <v>6.844148428615973E-4</v>
      </c>
      <c r="DE18" s="324">
        <v>6.8634617396886091E-4</v>
      </c>
      <c r="DF18" s="324">
        <v>6.8634617396886091E-4</v>
      </c>
      <c r="DG18" s="324">
        <f>$I18*IF($G18="Pickup", SUMIFS(NewEmisData!E:E, NewEmisData!$A:$A, "Pickup", NewEmisData!$B:$B, $A18, NewEmisData!$C:$C, $H18, NewEmisData!$D:$D, DG$2), SUMIFS(NewEmisData!E:E, NewEmisData!$A:$A, "LDV", NewEmisData!$B:$B, $A18, NewEmisData!$C:$C, $H18, NewEmisData!$D:$D, DG$2))</f>
        <v>0</v>
      </c>
      <c r="DH18" s="324">
        <f>$I18*IF($G18="Pickup", SUMIFS(NewEmisData!F:F, NewEmisData!$A:$A, "Pickup", NewEmisData!$B:$B, $A18, NewEmisData!$C:$C, $H18, NewEmisData!$D:$D, DH$2), SUMIFS(NewEmisData!F:F, NewEmisData!$A:$A, "LDV", NewEmisData!$B:$B, $A18, NewEmisData!$C:$C, $H18, NewEmisData!$D:$D, DH$2))</f>
        <v>0</v>
      </c>
      <c r="DI18" s="324">
        <f>$I18*IF($G18="Pickup", SUMIFS(NewEmisData!G:G, NewEmisData!$A:$A, "Pickup", NewEmisData!$B:$B, $A18, NewEmisData!$C:$C, $H18, NewEmisData!$D:$D, DI$2), SUMIFS(NewEmisData!G:G, NewEmisData!$A:$A, "LDV", NewEmisData!$B:$B, $A18, NewEmisData!$C:$C, $H18, NewEmisData!$D:$D, DI$2))</f>
        <v>0</v>
      </c>
      <c r="DJ18" s="324">
        <f>$I18*IF($G18="Pickup", SUMIFS(NewEmisData!H:H, NewEmisData!$A:$A, "Pickup", NewEmisData!$B:$B, $A18, NewEmisData!$C:$C, $H18, NewEmisData!$D:$D, DJ$2), SUMIFS(NewEmisData!H:H, NewEmisData!$A:$A, "LDV", NewEmisData!$B:$B, $A18, NewEmisData!$C:$C, $H18, NewEmisData!$D:$D, DJ$2))</f>
        <v>0</v>
      </c>
      <c r="DK18" s="324">
        <f>$I18*IF($G18="Pickup", SUMIFS(NewEmisData!I:I, NewEmisData!$A:$A, "Pickup", NewEmisData!$B:$B, $A18, NewEmisData!$C:$C, $H18, NewEmisData!$D:$D, DK$2), SUMIFS(NewEmisData!I:I, NewEmisData!$A:$A, "LDV", NewEmisData!$B:$B, $A18, NewEmisData!$C:$C, $H18, NewEmisData!$D:$D, DK$2))</f>
        <v>0</v>
      </c>
      <c r="DL18" s="324">
        <f>$I18*IF($G18="Pickup", SUMIFS(NewEmisData!J:J, NewEmisData!$A:$A, "Pickup", NewEmisData!$B:$B, $A18, NewEmisData!$C:$C, $H18, NewEmisData!$D:$D, DL$2), SUMIFS(NewEmisData!J:J, NewEmisData!$A:$A, "LDV", NewEmisData!$B:$B, $A18, NewEmisData!$C:$C, $H18, NewEmisData!$D:$D, DL$2))</f>
        <v>0</v>
      </c>
      <c r="DM18" s="324">
        <f>$I18*IF($G18="Pickup", SUMIFS(NewEmisData!K:K, NewEmisData!$A:$A, "Pickup", NewEmisData!$B:$B, $A18, NewEmisData!$C:$C, $H18, NewEmisData!$D:$D, DM$2), SUMIFS(NewEmisData!K:K, NewEmisData!$A:$A, "LDV", NewEmisData!$B:$B, $A18, NewEmisData!$C:$C, $H18, NewEmisData!$D:$D, DM$2))</f>
        <v>0</v>
      </c>
      <c r="DN18" s="324">
        <f>$I18*IF($G18="Pickup", SUMIFS(NewEmisData!L:L, NewEmisData!$A:$A, "Pickup", NewEmisData!$B:$B, $A18, NewEmisData!$C:$C, $H18, NewEmisData!$D:$D, DN$2), SUMIFS(NewEmisData!L:L, NewEmisData!$A:$A, "LDV", NewEmisData!$B:$B, $A18, NewEmisData!$C:$C, $H18, NewEmisData!$D:$D, DN$2))</f>
        <v>0</v>
      </c>
      <c r="DO18" s="324">
        <f>$I18*IF($G18="Pickup", SUMIFS(NewEmisData!M:M, NewEmisData!$A:$A, "Pickup", NewEmisData!$B:$B, $A18, NewEmisData!$C:$C, $H18, NewEmisData!$D:$D, DO$2), SUMIFS(NewEmisData!M:M, NewEmisData!$A:$A, "LDV", NewEmisData!$B:$B, $A18, NewEmisData!$C:$C, $H18, NewEmisData!$D:$D, DO$2))</f>
        <v>0</v>
      </c>
      <c r="DP18" s="324">
        <f t="shared" si="14"/>
        <v>0</v>
      </c>
      <c r="DQ18" s="324">
        <f>$I18*IF($G18="Pickup", SUMIFS(NewEmisData!E:E, NewEmisData!$A:$A, "Pickup", NewEmisData!$B:$B, $A18, NewEmisData!$C:$C, $H18, NewEmisData!$D:$D, DQ$2), SUMIFS(NewEmisData!E:E, NewEmisData!$A:$A, "LDV", NewEmisData!$B:$B, $A18, NewEmisData!$C:$C, $H18, NewEmisData!$D:$D, DQ$2))</f>
        <v>1.5358627671248499E-2</v>
      </c>
      <c r="DR18" s="324">
        <f>$I18*IF($G18="Pickup", SUMIFS(NewEmisData!F:F, NewEmisData!$A:$A, "Pickup", NewEmisData!$B:$B, $A18, NewEmisData!$C:$C, $H18, NewEmisData!$D:$D, DR$2), SUMIFS(NewEmisData!F:F, NewEmisData!$A:$A, "LDV", NewEmisData!$B:$B, $A18, NewEmisData!$C:$C, $H18, NewEmisData!$D:$D, DR$2))</f>
        <v>9.2701502330196205E-3</v>
      </c>
      <c r="DS18" s="324">
        <f>$I18*IF($G18="Pickup", SUMIFS(NewEmisData!G:G, NewEmisData!$A:$A, "Pickup", NewEmisData!$B:$B, $A18, NewEmisData!$C:$C, $H18, NewEmisData!$D:$D, DS$2), SUMIFS(NewEmisData!G:G, NewEmisData!$A:$A, "LDV", NewEmisData!$B:$B, $A18, NewEmisData!$C:$C, $H18, NewEmisData!$D:$D, DS$2))</f>
        <v>7.3800443468092902E-3</v>
      </c>
      <c r="DT18" s="324">
        <f>$I18*IF($G18="Pickup", SUMIFS(NewEmisData!H:H, NewEmisData!$A:$A, "Pickup", NewEmisData!$B:$B, $A18, NewEmisData!$C:$C, $H18, NewEmisData!$D:$D, DT$2), SUMIFS(NewEmisData!H:H, NewEmisData!$A:$A, "LDV", NewEmisData!$B:$B, $A18, NewEmisData!$C:$C, $H18, NewEmisData!$D:$D, DT$2))</f>
        <v>5.7500359883598503E-3</v>
      </c>
      <c r="DU18" s="324">
        <f>$I18*IF($G18="Pickup", SUMIFS(NewEmisData!I:I, NewEmisData!$A:$A, "Pickup", NewEmisData!$B:$B, $A18, NewEmisData!$C:$C, $H18, NewEmisData!$D:$D, DU$2), SUMIFS(NewEmisData!I:I, NewEmisData!$A:$A, "LDV", NewEmisData!$B:$B, $A18, NewEmisData!$C:$C, $H18, NewEmisData!$D:$D, DU$2))</f>
        <v>4.5486358185720301E-3</v>
      </c>
      <c r="DV18" s="324">
        <f>$I18*IF($G18="Pickup", SUMIFS(NewEmisData!J:J, NewEmisData!$A:$A, "Pickup", NewEmisData!$B:$B, $A18, NewEmisData!$C:$C, $H18, NewEmisData!$D:$D, DV$2), SUMIFS(NewEmisData!J:J, NewEmisData!$A:$A, "LDV", NewEmisData!$B:$B, $A18, NewEmisData!$C:$C, $H18, NewEmisData!$D:$D, DV$2))</f>
        <v>3.9745008012961004E-3</v>
      </c>
      <c r="DW18" s="324">
        <f>$I18*IF($G18="Pickup", SUMIFS(NewEmisData!K:K, NewEmisData!$A:$A, "Pickup", NewEmisData!$B:$B, $A18, NewEmisData!$C:$C, $H18, NewEmisData!$D:$D, DW$2), SUMIFS(NewEmisData!K:K, NewEmisData!$A:$A, "LDV", NewEmisData!$B:$B, $A18, NewEmisData!$C:$C, $H18, NewEmisData!$D:$D, DW$2))</f>
        <v>3.6505775807205302E-3</v>
      </c>
      <c r="DX18" s="324">
        <f>$I18*IF($G18="Pickup", SUMIFS(NewEmisData!L:L, NewEmisData!$A:$A, "Pickup", NewEmisData!$B:$B, $A18, NewEmisData!$C:$C, $H18, NewEmisData!$D:$D, DX$2), SUMIFS(NewEmisData!L:L, NewEmisData!$A:$A, "LDV", NewEmisData!$B:$B, $A18, NewEmisData!$C:$C, $H18, NewEmisData!$D:$D, DX$2))</f>
        <v>3.5463484367939599E-3</v>
      </c>
      <c r="DY18" s="324">
        <f>$I18*IF($G18="Pickup", SUMIFS(NewEmisData!M:M, NewEmisData!$A:$A, "Pickup", NewEmisData!$B:$B, $A18, NewEmisData!$C:$C, $H18, NewEmisData!$D:$D, DY$2), SUMIFS(NewEmisData!M:M, NewEmisData!$A:$A, "LDV", NewEmisData!$B:$B, $A18, NewEmisData!$C:$C, $H18, NewEmisData!$D:$D, DY$2))</f>
        <v>3.4918759359810199E-3</v>
      </c>
      <c r="DZ18" s="324">
        <f t="shared" si="15"/>
        <v>3.4918759359810199E-3</v>
      </c>
      <c r="EA18" s="324">
        <f t="shared" si="16"/>
        <v>474.817101058422</v>
      </c>
      <c r="EB18" s="324">
        <f t="shared" si="17"/>
        <v>451.24703471572099</v>
      </c>
      <c r="EC18" s="324">
        <f t="shared" si="18"/>
        <v>359.55406391675598</v>
      </c>
      <c r="ED18" s="324">
        <f t="shared" si="19"/>
        <v>306.68867751853497</v>
      </c>
      <c r="EE18" s="324">
        <f t="shared" si="20"/>
        <v>266.05693149041099</v>
      </c>
      <c r="EF18" s="324">
        <f t="shared" si="21"/>
        <v>243.087176828883</v>
      </c>
      <c r="EG18" s="324">
        <f t="shared" si="22"/>
        <v>232.82718030870799</v>
      </c>
      <c r="EH18" s="324">
        <f t="shared" si="23"/>
        <v>229.167353178653</v>
      </c>
      <c r="EI18" s="324">
        <f t="shared" si="24"/>
        <v>227.80956840287899</v>
      </c>
      <c r="EJ18" s="324">
        <f t="shared" si="25"/>
        <v>227.80956840287899</v>
      </c>
      <c r="EK18" s="324">
        <f t="shared" si="26"/>
        <v>0.70973077210402302</v>
      </c>
      <c r="EL18" s="324">
        <f t="shared" si="27"/>
        <v>0.32036907792622199</v>
      </c>
      <c r="EM18" s="324">
        <f t="shared" si="28"/>
        <v>0.23974719966536701</v>
      </c>
      <c r="EN18" s="324">
        <f t="shared" si="29"/>
        <v>0.160612501035788</v>
      </c>
      <c r="EO18" s="324">
        <f t="shared" si="30"/>
        <v>0.10365613117262901</v>
      </c>
      <c r="EP18" s="324">
        <f t="shared" si="31"/>
        <v>7.8799994555065797E-2</v>
      </c>
      <c r="EQ18" s="324">
        <f t="shared" si="32"/>
        <v>6.8646939612850705E-2</v>
      </c>
      <c r="ER18" s="324">
        <f t="shared" si="33"/>
        <v>6.5824398729591893E-2</v>
      </c>
      <c r="ES18" s="324">
        <f t="shared" si="34"/>
        <v>6.4340803704991095E-2</v>
      </c>
      <c r="ET18" s="324">
        <f t="shared" si="35"/>
        <v>6.4340803704991095E-2</v>
      </c>
      <c r="EU18" s="324">
        <f t="shared" si="36"/>
        <v>8.2160020457903906E-3</v>
      </c>
      <c r="EV18" s="324">
        <f t="shared" si="37"/>
        <v>7.80815598787189E-3</v>
      </c>
      <c r="EW18" s="324">
        <f t="shared" si="38"/>
        <v>5.1579884513251097E-3</v>
      </c>
      <c r="EX18" s="324">
        <f t="shared" si="39"/>
        <v>4.3996084263759998E-3</v>
      </c>
      <c r="EY18" s="324">
        <f t="shared" si="40"/>
        <v>3.81672539575274E-3</v>
      </c>
      <c r="EZ18" s="324">
        <f t="shared" si="41"/>
        <v>3.4872096414849999E-3</v>
      </c>
      <c r="FA18" s="324">
        <f t="shared" si="42"/>
        <v>3.3400286224750798E-3</v>
      </c>
      <c r="FB18" s="324">
        <f t="shared" si="43"/>
        <v>3.2875233288682799E-3</v>
      </c>
      <c r="FC18" s="324">
        <f t="shared" si="44"/>
        <v>3.2680461258744399E-3</v>
      </c>
      <c r="FD18" s="324">
        <f t="shared" si="45"/>
        <v>3.2680461258744399E-3</v>
      </c>
      <c r="FE18" s="324">
        <f t="shared" si="46"/>
        <v>7.6637268565666605E-2</v>
      </c>
      <c r="FF18" s="324">
        <f t="shared" si="47"/>
        <v>7.17220347655846E-2</v>
      </c>
      <c r="FG18" s="324">
        <f t="shared" si="48"/>
        <v>5.3063354209187903E-2</v>
      </c>
      <c r="FH18" s="324">
        <f t="shared" si="49"/>
        <v>5.1413159178765599E-2</v>
      </c>
      <c r="FI18" s="324">
        <f t="shared" si="50"/>
        <v>4.9937748877796798E-2</v>
      </c>
      <c r="FJ18" s="324">
        <f t="shared" si="51"/>
        <v>4.8737436898882699E-2</v>
      </c>
      <c r="FK18" s="324">
        <f t="shared" si="52"/>
        <v>4.7984590527250397E-2</v>
      </c>
      <c r="FL18" s="324">
        <f t="shared" si="53"/>
        <v>4.76005320802948E-2</v>
      </c>
      <c r="FM18" s="324">
        <f t="shared" si="54"/>
        <v>4.7377866603412998E-2</v>
      </c>
      <c r="FN18" s="324">
        <f t="shared" si="55"/>
        <v>4.7377866603412998E-2</v>
      </c>
      <c r="FO18" s="324">
        <f t="shared" si="56"/>
        <v>1.9839679684136899E-2</v>
      </c>
      <c r="FP18" s="324">
        <f t="shared" si="57"/>
        <v>1.54915322396613E-2</v>
      </c>
      <c r="FQ18" s="324">
        <f t="shared" si="58"/>
        <v>1.24856485125612E-2</v>
      </c>
      <c r="FR18" s="324">
        <f t="shared" si="59"/>
        <v>1.10258430769824E-2</v>
      </c>
      <c r="FS18" s="324">
        <f t="shared" si="60"/>
        <v>9.7206839249302599E-3</v>
      </c>
      <c r="FT18" s="324">
        <f t="shared" si="61"/>
        <v>8.6588886279032502E-3</v>
      </c>
      <c r="FU18" s="324">
        <f t="shared" si="62"/>
        <v>7.9928948991222996E-3</v>
      </c>
      <c r="FV18" s="324">
        <f t="shared" si="63"/>
        <v>7.65317007618625E-3</v>
      </c>
      <c r="FW18" s="324">
        <f t="shared" si="64"/>
        <v>7.4561632981935697E-3</v>
      </c>
      <c r="FX18" s="324">
        <f t="shared" si="65"/>
        <v>7.4561632981935697E-3</v>
      </c>
    </row>
    <row r="19" spans="1:180" x14ac:dyDescent="0.2">
      <c r="A19" s="298" t="str">
        <f>_xlfn.CONCAT(IF(LEFT(TRIM(A18),1)="*", "*R", "R"), 1+RIGHT(TRIM(A18),1))</f>
        <v>R6</v>
      </c>
      <c r="B19" s="298" t="str">
        <f t="shared" si="71"/>
        <v>TLECGSL</v>
      </c>
      <c r="C19" s="298" t="str">
        <f t="shared" si="72"/>
        <v>TL.GSL.C.Existing fleet</v>
      </c>
      <c r="D19" s="294" t="str">
        <f t="shared" si="73"/>
        <v>bn-vmt, bn-vmt/a</v>
      </c>
      <c r="E19" s="294" t="str">
        <f t="shared" si="74"/>
        <v>TLGSL</v>
      </c>
      <c r="F19" s="294" t="str">
        <f t="shared" si="75"/>
        <v>TL</v>
      </c>
      <c r="G19" s="294" t="s">
        <v>475</v>
      </c>
      <c r="H19" s="294" t="s">
        <v>474</v>
      </c>
      <c r="I19" s="294">
        <v>1</v>
      </c>
      <c r="J19" s="308" t="str">
        <f t="shared" si="2"/>
        <v>Compact car-GSL</v>
      </c>
      <c r="K19" s="324">
        <f>$I19*IF($G19="Pickup", SUMIFS(NewEmisData!E:E, NewEmisData!$A:$A, "Pickup", NewEmisData!$B:$B, $A19, NewEmisData!$C:$C, $H19, NewEmisData!$D:$D, K$2), SUMIFS(NewEmisData!E:E, NewEmisData!$A:$A, "LDV", NewEmisData!$B:$B, $A19, NewEmisData!$C:$C, $H19, NewEmisData!$D:$D, K$2))</f>
        <v>465.43339574540698</v>
      </c>
      <c r="L19" s="324">
        <f>$I19*IF($G19="Pickup", SUMIFS(NewEmisData!F:F, NewEmisData!$A:$A, "Pickup", NewEmisData!$B:$B, $A19, NewEmisData!$C:$C, $H19, NewEmisData!$D:$D, L$2), SUMIFS(NewEmisData!F:F, NewEmisData!$A:$A, "LDV", NewEmisData!$B:$B, $A19, NewEmisData!$C:$C, $H19, NewEmisData!$D:$D, L$2))</f>
        <v>447.45086858043499</v>
      </c>
      <c r="M19" s="324">
        <f>$I19*IF($G19="Pickup", SUMIFS(NewEmisData!G:G, NewEmisData!$A:$A, "Pickup", NewEmisData!$B:$B, $A19, NewEmisData!$C:$C, $H19, NewEmisData!$D:$D, M$2), SUMIFS(NewEmisData!G:G, NewEmisData!$A:$A, "LDV", NewEmisData!$B:$B, $A19, NewEmisData!$C:$C, $H19, NewEmisData!$D:$D, M$2))</f>
        <v>371.68579631799702</v>
      </c>
      <c r="N19" s="324">
        <f>$I19*IF($G19="Pickup", SUMIFS(NewEmisData!H:H, NewEmisData!$A:$A, "Pickup", NewEmisData!$B:$B, $A19, NewEmisData!$C:$C, $H19, NewEmisData!$D:$D, N$2), SUMIFS(NewEmisData!H:H, NewEmisData!$A:$A, "LDV", NewEmisData!$B:$B, $A19, NewEmisData!$C:$C, $H19, NewEmisData!$D:$D, N$2))</f>
        <v>316.68783468886801</v>
      </c>
      <c r="O19" s="324">
        <f>$I19*IF($G19="Pickup", SUMIFS(NewEmisData!I:I, NewEmisData!$A:$A, "Pickup", NewEmisData!$B:$B, $A19, NewEmisData!$C:$C, $H19, NewEmisData!$D:$D, O$2), SUMIFS(NewEmisData!I:I, NewEmisData!$A:$A, "LDV", NewEmisData!$B:$B, $A19, NewEmisData!$C:$C, $H19, NewEmisData!$D:$D, O$2))</f>
        <v>274.45359564691302</v>
      </c>
      <c r="P19" s="324">
        <f>$I19*IF($G19="Pickup", SUMIFS(NewEmisData!J:J, NewEmisData!$A:$A, "Pickup", NewEmisData!$B:$B, $A19, NewEmisData!$C:$C, $H19, NewEmisData!$D:$D, P$2), SUMIFS(NewEmisData!J:J, NewEmisData!$A:$A, "LDV", NewEmisData!$B:$B, $A19, NewEmisData!$C:$C, $H19, NewEmisData!$D:$D, P$2))</f>
        <v>250.610452801164</v>
      </c>
      <c r="Q19" s="324">
        <f>$I19*IF($G19="Pickup", SUMIFS(NewEmisData!K:K, NewEmisData!$A:$A, "Pickup", NewEmisData!$B:$B, $A19, NewEmisData!$C:$C, $H19, NewEmisData!$D:$D, Q$2), SUMIFS(NewEmisData!K:K, NewEmisData!$A:$A, "LDV", NewEmisData!$B:$B, $A19, NewEmisData!$C:$C, $H19, NewEmisData!$D:$D, Q$2))</f>
        <v>239.96929474207201</v>
      </c>
      <c r="R19" s="324">
        <f>$I19*IF($G19="Pickup", SUMIFS(NewEmisData!L:L, NewEmisData!$A:$A, "Pickup", NewEmisData!$B:$B, $A19, NewEmisData!$C:$C, $H19, NewEmisData!$D:$D, R$2), SUMIFS(NewEmisData!L:L, NewEmisData!$A:$A, "LDV", NewEmisData!$B:$B, $A19, NewEmisData!$C:$C, $H19, NewEmisData!$D:$D, R$2))</f>
        <v>236.17949059358199</v>
      </c>
      <c r="S19" s="324">
        <f>$I19*IF($G19="Pickup", SUMIFS(NewEmisData!M:M, NewEmisData!$A:$A, "Pickup", NewEmisData!$B:$B, $A19, NewEmisData!$C:$C, $H19, NewEmisData!$D:$D, S$2), SUMIFS(NewEmisData!M:M, NewEmisData!$A:$A, "LDV", NewEmisData!$B:$B, $A19, NewEmisData!$C:$C, $H19, NewEmisData!$D:$D, S$2))</f>
        <v>234.77621268414799</v>
      </c>
      <c r="T19" s="324">
        <f t="shared" si="5"/>
        <v>234.77621268414799</v>
      </c>
      <c r="U19" s="324">
        <f>$I19*IF($G19="Pickup", SUMIFS(NewEmisData!E:E, NewEmisData!$A:$A, "Pickup", NewEmisData!$B:$B, $A19, NewEmisData!$C:$C, $H19, NewEmisData!$D:$D, U$2), SUMIFS(NewEmisData!E:E, NewEmisData!$A:$A, "LDV", NewEmisData!$B:$B, $A19, NewEmisData!$C:$C, $H19, NewEmisData!$D:$D, U$2))</f>
        <v>0.76817370125590101</v>
      </c>
      <c r="V19" s="324">
        <f>$I19*IF($G19="Pickup", SUMIFS(NewEmisData!F:F, NewEmisData!$A:$A, "Pickup", NewEmisData!$B:$B, $A19, NewEmisData!$C:$C, $H19, NewEmisData!$D:$D, V$2), SUMIFS(NewEmisData!F:F, NewEmisData!$A:$A, "LDV", NewEmisData!$B:$B, $A19, NewEmisData!$C:$C, $H19, NewEmisData!$D:$D, V$2))</f>
        <v>0.34255400012381199</v>
      </c>
      <c r="W19" s="324">
        <f>$I19*IF($G19="Pickup", SUMIFS(NewEmisData!G:G, NewEmisData!$A:$A, "Pickup", NewEmisData!$B:$B, $A19, NewEmisData!$C:$C, $H19, NewEmisData!$D:$D, W$2), SUMIFS(NewEmisData!G:G, NewEmisData!$A:$A, "LDV", NewEmisData!$B:$B, $A19, NewEmisData!$C:$C, $H19, NewEmisData!$D:$D, W$2))</f>
        <v>0.22026197441968301</v>
      </c>
      <c r="X19" s="324">
        <f>$I19*IF($G19="Pickup", SUMIFS(NewEmisData!H:H, NewEmisData!$A:$A, "Pickup", NewEmisData!$B:$B, $A19, NewEmisData!$C:$C, $H19, NewEmisData!$D:$D, X$2), SUMIFS(NewEmisData!H:H, NewEmisData!$A:$A, "LDV", NewEmisData!$B:$B, $A19, NewEmisData!$C:$C, $H19, NewEmisData!$D:$D, X$2))</f>
        <v>0.146130223505477</v>
      </c>
      <c r="Y19" s="324">
        <f>$I19*IF($G19="Pickup", SUMIFS(NewEmisData!I:I, NewEmisData!$A:$A, "Pickup", NewEmisData!$B:$B, $A19, NewEmisData!$C:$C, $H19, NewEmisData!$D:$D, Y$2), SUMIFS(NewEmisData!I:I, NewEmisData!$A:$A, "LDV", NewEmisData!$B:$B, $A19, NewEmisData!$C:$C, $H19, NewEmisData!$D:$D, Y$2))</f>
        <v>9.25204446820201E-2</v>
      </c>
      <c r="Z19" s="324">
        <f>$I19*IF($G19="Pickup", SUMIFS(NewEmisData!J:J, NewEmisData!$A:$A, "Pickup", NewEmisData!$B:$B, $A19, NewEmisData!$C:$C, $H19, NewEmisData!$D:$D, Z$2), SUMIFS(NewEmisData!J:J, NewEmisData!$A:$A, "LDV", NewEmisData!$B:$B, $A19, NewEmisData!$C:$C, $H19, NewEmisData!$D:$D, Z$2))</f>
        <v>6.9646332093205393E-2</v>
      </c>
      <c r="AA19" s="324">
        <f>$I19*IF($G19="Pickup", SUMIFS(NewEmisData!K:K, NewEmisData!$A:$A, "Pickup", NewEmisData!$B:$B, $A19, NewEmisData!$C:$C, $H19, NewEmisData!$D:$D, AA$2), SUMIFS(NewEmisData!K:K, NewEmisData!$A:$A, "LDV", NewEmisData!$B:$B, $A19, NewEmisData!$C:$C, $H19, NewEmisData!$D:$D, AA$2))</f>
        <v>6.0285539426727999E-2</v>
      </c>
      <c r="AB19" s="324">
        <f>$I19*IF($G19="Pickup", SUMIFS(NewEmisData!L:L, NewEmisData!$A:$A, "Pickup", NewEmisData!$B:$B, $A19, NewEmisData!$C:$C, $H19, NewEmisData!$D:$D, AB$2), SUMIFS(NewEmisData!L:L, NewEmisData!$A:$A, "LDV", NewEmisData!$B:$B, $A19, NewEmisData!$C:$C, $H19, NewEmisData!$D:$D, AB$2))</f>
        <v>5.7685517085836899E-2</v>
      </c>
      <c r="AC19" s="324">
        <f>$I19*IF($G19="Pickup", SUMIFS(NewEmisData!M:M, NewEmisData!$A:$A, "Pickup", NewEmisData!$B:$B, $A19, NewEmisData!$C:$C, $H19, NewEmisData!$D:$D, AC$2), SUMIFS(NewEmisData!M:M, NewEmisData!$A:$A, "LDV", NewEmisData!$B:$B, $A19, NewEmisData!$C:$C, $H19, NewEmisData!$D:$D, AC$2))</f>
        <v>5.6336256806388998E-2</v>
      </c>
      <c r="AD19" s="324">
        <f t="shared" si="6"/>
        <v>5.6336256806388998E-2</v>
      </c>
      <c r="AE19" s="324">
        <f>$I19*IF($G19="Pickup", SUMIFS(NewEmisData!E:E, NewEmisData!$A:$A, "Pickup", NewEmisData!$B:$B, $A19, NewEmisData!$C:$C, $H19, NewEmisData!$D:$D, AE$2), SUMIFS(NewEmisData!E:E, NewEmisData!$A:$A, "LDV", NewEmisData!$B:$B, $A19, NewEmisData!$C:$C, $H19, NewEmisData!$D:$D, AE$2))</f>
        <v>8.0536316527093799E-3</v>
      </c>
      <c r="AF19" s="324">
        <f>$I19*IF($G19="Pickup", SUMIFS(NewEmisData!F:F, NewEmisData!$A:$A, "Pickup", NewEmisData!$B:$B, $A19, NewEmisData!$C:$C, $H19, NewEmisData!$D:$D, AF$2), SUMIFS(NewEmisData!F:F, NewEmisData!$A:$A, "LDV", NewEmisData!$B:$B, $A19, NewEmisData!$C:$C, $H19, NewEmisData!$D:$D, AF$2))</f>
        <v>7.7424694052717798E-3</v>
      </c>
      <c r="AG19" s="324">
        <f>$I19*IF($G19="Pickup", SUMIFS(NewEmisData!G:G, NewEmisData!$A:$A, "Pickup", NewEmisData!$B:$B, $A19, NewEmisData!$C:$C, $H19, NewEmisData!$D:$D, AG$2), SUMIFS(NewEmisData!G:G, NewEmisData!$A:$A, "LDV", NewEmisData!$B:$B, $A19, NewEmisData!$C:$C, $H19, NewEmisData!$D:$D, AG$2))</f>
        <v>5.3320257089092297E-3</v>
      </c>
      <c r="AH19" s="324">
        <f>$I19*IF($G19="Pickup", SUMIFS(NewEmisData!H:H, NewEmisData!$A:$A, "Pickup", NewEmisData!$B:$B, $A19, NewEmisData!$C:$C, $H19, NewEmisData!$D:$D, AH$2), SUMIFS(NewEmisData!H:H, NewEmisData!$A:$A, "LDV", NewEmisData!$B:$B, $A19, NewEmisData!$C:$C, $H19, NewEmisData!$D:$D, AH$2))</f>
        <v>4.5430510168157703E-3</v>
      </c>
      <c r="AI19" s="324">
        <f>$I19*IF($G19="Pickup", SUMIFS(NewEmisData!I:I, NewEmisData!$A:$A, "Pickup", NewEmisData!$B:$B, $A19, NewEmisData!$C:$C, $H19, NewEmisData!$D:$D, AI$2), SUMIFS(NewEmisData!I:I, NewEmisData!$A:$A, "LDV", NewEmisData!$B:$B, $A19, NewEmisData!$C:$C, $H19, NewEmisData!$D:$D, AI$2))</f>
        <v>3.9371785778053803E-3</v>
      </c>
      <c r="AJ19" s="324">
        <f>$I19*IF($G19="Pickup", SUMIFS(NewEmisData!J:J, NewEmisData!$A:$A, "Pickup", NewEmisData!$B:$B, $A19, NewEmisData!$C:$C, $H19, NewEmisData!$D:$D, AJ$2), SUMIFS(NewEmisData!J:J, NewEmisData!$A:$A, "LDV", NewEmisData!$B:$B, $A19, NewEmisData!$C:$C, $H19, NewEmisData!$D:$D, AJ$2))</f>
        <v>3.5951364530025401E-3</v>
      </c>
      <c r="AK19" s="324">
        <f>$I19*IF($G19="Pickup", SUMIFS(NewEmisData!K:K, NewEmisData!$A:$A, "Pickup", NewEmisData!$B:$B, $A19, NewEmisData!$C:$C, $H19, NewEmisData!$D:$D, AK$2), SUMIFS(NewEmisData!K:K, NewEmisData!$A:$A, "LDV", NewEmisData!$B:$B, $A19, NewEmisData!$C:$C, $H19, NewEmisData!$D:$D, AK$2))</f>
        <v>3.4424852382502098E-3</v>
      </c>
      <c r="AL19" s="324">
        <f>$I19*IF($G19="Pickup", SUMIFS(NewEmisData!L:L, NewEmisData!$A:$A, "Pickup", NewEmisData!$B:$B, $A19, NewEmisData!$C:$C, $H19, NewEmisData!$D:$D, AL$2), SUMIFS(NewEmisData!L:L, NewEmisData!$A:$A, "LDV", NewEmisData!$B:$B, $A19, NewEmisData!$C:$C, $H19, NewEmisData!$D:$D, AL$2))</f>
        <v>3.38811619026995E-3</v>
      </c>
      <c r="AM19" s="324">
        <f>$I19*IF($G19="Pickup", SUMIFS(NewEmisData!M:M, NewEmisData!$A:$A, "Pickup", NewEmisData!$B:$B, $A19, NewEmisData!$C:$C, $H19, NewEmisData!$D:$D, AM$2), SUMIFS(NewEmisData!M:M, NewEmisData!$A:$A, "LDV", NewEmisData!$B:$B, $A19, NewEmisData!$C:$C, $H19, NewEmisData!$D:$D, AM$2))</f>
        <v>3.36798790618778E-3</v>
      </c>
      <c r="AN19" s="324">
        <f t="shared" si="7"/>
        <v>3.36798790618778E-3</v>
      </c>
      <c r="AO19" s="324">
        <f>$I19*IF($G19="Pickup", SUMIFS(NewEmisData!E:E, NewEmisData!$A:$A, "Pickup", NewEmisData!$B:$B, $A19, NewEmisData!$C:$C, $H19, NewEmisData!$D:$D, AO$2), SUMIFS(NewEmisData!E:E, NewEmisData!$A:$A, "LDV", NewEmisData!$B:$B, $A19, NewEmisData!$C:$C, $H19, NewEmisData!$D:$D, AO$2))</f>
        <v>7.6317156939691294E-2</v>
      </c>
      <c r="AP19" s="324">
        <f>$I19*IF($G19="Pickup", SUMIFS(NewEmisData!F:F, NewEmisData!$A:$A, "Pickup", NewEmisData!$B:$B, $A19, NewEmisData!$C:$C, $H19, NewEmisData!$D:$D, AP$2), SUMIFS(NewEmisData!F:F, NewEmisData!$A:$A, "LDV", NewEmisData!$B:$B, $A19, NewEmisData!$C:$C, $H19, NewEmisData!$D:$D, AP$2))</f>
        <v>7.1544642944165196E-2</v>
      </c>
      <c r="AQ19" s="324">
        <f>$I19*IF($G19="Pickup", SUMIFS(NewEmisData!G:G, NewEmisData!$A:$A, "Pickup", NewEmisData!$B:$B, $A19, NewEmisData!$C:$C, $H19, NewEmisData!$D:$D, AQ$2), SUMIFS(NewEmisData!G:G, NewEmisData!$A:$A, "LDV", NewEmisData!$B:$B, $A19, NewEmisData!$C:$C, $H19, NewEmisData!$D:$D, AQ$2))</f>
        <v>5.8249743312617203E-2</v>
      </c>
      <c r="AR19" s="324">
        <f>$I19*IF($G19="Pickup", SUMIFS(NewEmisData!H:H, NewEmisData!$A:$A, "Pickup", NewEmisData!$B:$B, $A19, NewEmisData!$C:$C, $H19, NewEmisData!$D:$D, AR$2), SUMIFS(NewEmisData!H:H, NewEmisData!$A:$A, "LDV", NewEmisData!$B:$B, $A19, NewEmisData!$C:$C, $H19, NewEmisData!$D:$D, AR$2))</f>
        <v>5.6730049378736901E-2</v>
      </c>
      <c r="AS19" s="324">
        <f>$I19*IF($G19="Pickup", SUMIFS(NewEmisData!I:I, NewEmisData!$A:$A, "Pickup", NewEmisData!$B:$B, $A19, NewEmisData!$C:$C, $H19, NewEmisData!$D:$D, AS$2), SUMIFS(NewEmisData!I:I, NewEmisData!$A:$A, "LDV", NewEmisData!$B:$B, $A19, NewEmisData!$C:$C, $H19, NewEmisData!$D:$D, AS$2))</f>
        <v>5.5297861804990203E-2</v>
      </c>
      <c r="AT19" s="324">
        <f>$I19*IF($G19="Pickup", SUMIFS(NewEmisData!J:J, NewEmisData!$A:$A, "Pickup", NewEmisData!$B:$B, $A19, NewEmisData!$C:$C, $H19, NewEmisData!$D:$D, AT$2), SUMIFS(NewEmisData!J:J, NewEmisData!$A:$A, "LDV", NewEmisData!$B:$B, $A19, NewEmisData!$C:$C, $H19, NewEmisData!$D:$D, AT$2))</f>
        <v>5.4156352090813403E-2</v>
      </c>
      <c r="AU19" s="324">
        <f>$I19*IF($G19="Pickup", SUMIFS(NewEmisData!K:K, NewEmisData!$A:$A, "Pickup", NewEmisData!$B:$B, $A19, NewEmisData!$C:$C, $H19, NewEmisData!$D:$D, AU$2), SUMIFS(NewEmisData!K:K, NewEmisData!$A:$A, "LDV", NewEmisData!$B:$B, $A19, NewEmisData!$C:$C, $H19, NewEmisData!$D:$D, AU$2))</f>
        <v>5.3430662266944498E-2</v>
      </c>
      <c r="AV19" s="324">
        <f>$I19*IF($G19="Pickup", SUMIFS(NewEmisData!L:L, NewEmisData!$A:$A, "Pickup", NewEmisData!$B:$B, $A19, NewEmisData!$C:$C, $H19, NewEmisData!$D:$D, AV$2), SUMIFS(NewEmisData!L:L, NewEmisData!$A:$A, "LDV", NewEmisData!$B:$B, $A19, NewEmisData!$C:$C, $H19, NewEmisData!$D:$D, AV$2))</f>
        <v>5.3062743786751999E-2</v>
      </c>
      <c r="AW19" s="324">
        <f>$I19*IF($G19="Pickup", SUMIFS(NewEmisData!M:M, NewEmisData!$A:$A, "Pickup", NewEmisData!$B:$B, $A19, NewEmisData!$C:$C, $H19, NewEmisData!$D:$D, AW$2), SUMIFS(NewEmisData!M:M, NewEmisData!$A:$A, "LDV", NewEmisData!$B:$B, $A19, NewEmisData!$C:$C, $H19, NewEmisData!$D:$D, AW$2))</f>
        <v>5.2850768620488903E-2</v>
      </c>
      <c r="AX19" s="324">
        <f t="shared" si="8"/>
        <v>5.2850768620488903E-2</v>
      </c>
      <c r="AY19" s="324">
        <f>$I19*IF($G19="Pickup", SUMIFS(NewEmisData!E:E, NewEmisData!$A:$A, "Pickup", NewEmisData!$B:$B, $A19, NewEmisData!$C:$C, $H19, NewEmisData!$D:$D, AY$2), SUMIFS(NewEmisData!E:E, NewEmisData!$A:$A, "LDV", NewEmisData!$B:$B, $A19, NewEmisData!$C:$C, $H19, NewEmisData!$D:$D, AY$2))</f>
        <v>2.00368746679381E-2</v>
      </c>
      <c r="AZ19" s="324">
        <f>$I19*IF($G19="Pickup", SUMIFS(NewEmisData!F:F, NewEmisData!$A:$A, "Pickup", NewEmisData!$B:$B, $A19, NewEmisData!$C:$C, $H19, NewEmisData!$D:$D, AZ$2), SUMIFS(NewEmisData!F:F, NewEmisData!$A:$A, "LDV", NewEmisData!$B:$B, $A19, NewEmisData!$C:$C, $H19, NewEmisData!$D:$D, AZ$2))</f>
        <v>1.58149288879222E-2</v>
      </c>
      <c r="BA19" s="324">
        <f>$I19*IF($G19="Pickup", SUMIFS(NewEmisData!G:G, NewEmisData!$A:$A, "Pickup", NewEmisData!$B:$B, $A19, NewEmisData!$C:$C, $H19, NewEmisData!$D:$D, BA$2), SUMIFS(NewEmisData!G:G, NewEmisData!$A:$A, "LDV", NewEmisData!$B:$B, $A19, NewEmisData!$C:$C, $H19, NewEmisData!$D:$D, BA$2))</f>
        <v>1.2889012730210401E-2</v>
      </c>
      <c r="BB19" s="324">
        <f>$I19*IF($G19="Pickup", SUMIFS(NewEmisData!H:H, NewEmisData!$A:$A, "Pickup", NewEmisData!$B:$B, $A19, NewEmisData!$C:$C, $H19, NewEmisData!$D:$D, BB$2), SUMIFS(NewEmisData!H:H, NewEmisData!$A:$A, "LDV", NewEmisData!$B:$B, $A19, NewEmisData!$C:$C, $H19, NewEmisData!$D:$D, BB$2))</f>
        <v>1.1544674905883E-2</v>
      </c>
      <c r="BC19" s="324">
        <f>$I19*IF($G19="Pickup", SUMIFS(NewEmisData!I:I, NewEmisData!$A:$A, "Pickup", NewEmisData!$B:$B, $A19, NewEmisData!$C:$C, $H19, NewEmisData!$D:$D, BC$2), SUMIFS(NewEmisData!I:I, NewEmisData!$A:$A, "LDV", NewEmisData!$B:$B, $A19, NewEmisData!$C:$C, $H19, NewEmisData!$D:$D, BC$2))</f>
        <v>1.0277724336371899E-2</v>
      </c>
      <c r="BD19" s="324">
        <f>$I19*IF($G19="Pickup", SUMIFS(NewEmisData!J:J, NewEmisData!$A:$A, "Pickup", NewEmisData!$B:$B, $A19, NewEmisData!$C:$C, $H19, NewEmisData!$D:$D, BD$2), SUMIFS(NewEmisData!J:J, NewEmisData!$A:$A, "LDV", NewEmisData!$B:$B, $A19, NewEmisData!$C:$C, $H19, NewEmisData!$D:$D, BD$2))</f>
        <v>9.2679749278735592E-3</v>
      </c>
      <c r="BE19" s="324">
        <f>$I19*IF($G19="Pickup", SUMIFS(NewEmisData!K:K, NewEmisData!$A:$A, "Pickup", NewEmisData!$B:$B, $A19, NewEmisData!$C:$C, $H19, NewEmisData!$D:$D, BE$2), SUMIFS(NewEmisData!K:K, NewEmisData!$A:$A, "LDV", NewEmisData!$B:$B, $A19, NewEmisData!$C:$C, $H19, NewEmisData!$D:$D, BE$2))</f>
        <v>8.6259896432645099E-3</v>
      </c>
      <c r="BF19" s="324">
        <f>$I19*IF($G19="Pickup", SUMIFS(NewEmisData!L:L, NewEmisData!$A:$A, "Pickup", NewEmisData!$B:$B, $A19, NewEmisData!$C:$C, $H19, NewEmisData!$D:$D, BF$2), SUMIFS(NewEmisData!L:L, NewEmisData!$A:$A, "LDV", NewEmisData!$B:$B, $A19, NewEmisData!$C:$C, $H19, NewEmisData!$D:$D, BF$2))</f>
        <v>8.3004876330209296E-3</v>
      </c>
      <c r="BG19" s="324">
        <f>$I19*IF($G19="Pickup", SUMIFS(NewEmisData!M:M, NewEmisData!$A:$A, "Pickup", NewEmisData!$B:$B, $A19, NewEmisData!$C:$C, $H19, NewEmisData!$D:$D, BG$2), SUMIFS(NewEmisData!M:M, NewEmisData!$A:$A, "LDV", NewEmisData!$B:$B, $A19, NewEmisData!$C:$C, $H19, NewEmisData!$D:$D, BG$2))</f>
        <v>8.1129702157430005E-3</v>
      </c>
      <c r="BH19" s="324">
        <f t="shared" si="9"/>
        <v>8.1129702157430005E-3</v>
      </c>
      <c r="BI19" s="324">
        <f>$I19*IF($G19="Pickup", SUMIFS(NewEmisData!E:E, NewEmisData!$A:$A, "Pickup", NewEmisData!$B:$B, $A19, NewEmisData!$C:$C, $H19, NewEmisData!$D:$D, BI$2), SUMIFS(NewEmisData!E:E, NewEmisData!$A:$A, "LDV", NewEmisData!$B:$B, $A19, NewEmisData!$C:$C, $H19, NewEmisData!$D:$D, BI$2))</f>
        <v>6.1599528865440298</v>
      </c>
      <c r="BJ19" s="324">
        <f>$I19*IF($G19="Pickup", SUMIFS(NewEmisData!F:F, NewEmisData!$A:$A, "Pickup", NewEmisData!$B:$B, $A19, NewEmisData!$C:$C, $H19, NewEmisData!$D:$D, BJ$2), SUMIFS(NewEmisData!F:F, NewEmisData!$A:$A, "LDV", NewEmisData!$B:$B, $A19, NewEmisData!$C:$C, $H19, NewEmisData!$D:$D, BJ$2))</f>
        <v>3.7475170679561298</v>
      </c>
      <c r="BK19" s="324">
        <f>$I19*IF($G19="Pickup", SUMIFS(NewEmisData!G:G, NewEmisData!$A:$A, "Pickup", NewEmisData!$B:$B, $A19, NewEmisData!$C:$C, $H19, NewEmisData!$D:$D, BK$2), SUMIFS(NewEmisData!G:G, NewEmisData!$A:$A, "LDV", NewEmisData!$B:$B, $A19, NewEmisData!$C:$C, $H19, NewEmisData!$D:$D, BK$2))</f>
        <v>2.80366463620466</v>
      </c>
      <c r="BL19" s="324">
        <f>$I19*IF($G19="Pickup", SUMIFS(NewEmisData!H:H, NewEmisData!$A:$A, "Pickup", NewEmisData!$B:$B, $A19, NewEmisData!$C:$C, $H19, NewEmisData!$D:$D, BL$2), SUMIFS(NewEmisData!H:H, NewEmisData!$A:$A, "LDV", NewEmisData!$B:$B, $A19, NewEmisData!$C:$C, $H19, NewEmisData!$D:$D, BL$2))</f>
        <v>2.2038088113149099</v>
      </c>
      <c r="BM19" s="324">
        <f>$I19*IF($G19="Pickup", SUMIFS(NewEmisData!I:I, NewEmisData!$A:$A, "Pickup", NewEmisData!$B:$B, $A19, NewEmisData!$C:$C, $H19, NewEmisData!$D:$D, BM$2), SUMIFS(NewEmisData!I:I, NewEmisData!$A:$A, "LDV", NewEmisData!$B:$B, $A19, NewEmisData!$C:$C, $H19, NewEmisData!$D:$D, BM$2))</f>
        <v>1.6110244723417799</v>
      </c>
      <c r="BN19" s="324">
        <f>$I19*IF($G19="Pickup", SUMIFS(NewEmisData!J:J, NewEmisData!$A:$A, "Pickup", NewEmisData!$B:$B, $A19, NewEmisData!$C:$C, $H19, NewEmisData!$D:$D, BN$2), SUMIFS(NewEmisData!J:J, NewEmisData!$A:$A, "LDV", NewEmisData!$B:$B, $A19, NewEmisData!$C:$C, $H19, NewEmisData!$D:$D, BN$2))</f>
        <v>1.2813570878169001</v>
      </c>
      <c r="BO19" s="324">
        <f>$I19*IF($G19="Pickup", SUMIFS(NewEmisData!K:K, NewEmisData!$A:$A, "Pickup", NewEmisData!$B:$B, $A19, NewEmisData!$C:$C, $H19, NewEmisData!$D:$D, BO$2), SUMIFS(NewEmisData!K:K, NewEmisData!$A:$A, "LDV", NewEmisData!$B:$B, $A19, NewEmisData!$C:$C, $H19, NewEmisData!$D:$D, BO$2))</f>
        <v>1.1316455644238499</v>
      </c>
      <c r="BP19" s="324">
        <f>$I19*IF($G19="Pickup", SUMIFS(NewEmisData!L:L, NewEmisData!$A:$A, "Pickup", NewEmisData!$B:$B, $A19, NewEmisData!$C:$C, $H19, NewEmisData!$D:$D, BP$2), SUMIFS(NewEmisData!L:L, NewEmisData!$A:$A, "LDV", NewEmisData!$B:$B, $A19, NewEmisData!$C:$C, $H19, NewEmisData!$D:$D, BP$2))</f>
        <v>1.0822537615630099</v>
      </c>
      <c r="BQ19" s="324">
        <f>$I19*IF($G19="Pickup", SUMIFS(NewEmisData!M:M, NewEmisData!$A:$A, "Pickup", NewEmisData!$B:$B, $A19, NewEmisData!$C:$C, $H19, NewEmisData!$D:$D, BQ$2), SUMIFS(NewEmisData!M:M, NewEmisData!$A:$A, "LDV", NewEmisData!$B:$B, $A19, NewEmisData!$C:$C, $H19, NewEmisData!$D:$D, BQ$2))</f>
        <v>1.05143374218492</v>
      </c>
      <c r="BR19" s="324">
        <f t="shared" si="10"/>
        <v>1.05143374218492</v>
      </c>
      <c r="BS19" s="324">
        <f>$I19*IF($G19="Pickup", SUMIFS(NewEmisData!E:E, NewEmisData!$A:$A, "Pickup", NewEmisData!$B:$B, $A19, NewEmisData!$C:$C, $H19, NewEmisData!$D:$D, BS$2), SUMIFS(NewEmisData!E:E, NewEmisData!$A:$A, "LDV", NewEmisData!$B:$B, $A19, NewEmisData!$C:$C, $H19, NewEmisData!$D:$D, BS$2))</f>
        <v>0.72787250280402604</v>
      </c>
      <c r="BT19" s="324">
        <f>$I19*IF($G19="Pickup", SUMIFS(NewEmisData!F:F, NewEmisData!$A:$A, "Pickup", NewEmisData!$B:$B, $A19, NewEmisData!$C:$C, $H19, NewEmisData!$D:$D, BT$2), SUMIFS(NewEmisData!F:F, NewEmisData!$A:$A, "LDV", NewEmisData!$B:$B, $A19, NewEmisData!$C:$C, $H19, NewEmisData!$D:$D, BT$2))</f>
        <v>0.40987916241045302</v>
      </c>
      <c r="BU19" s="324">
        <f>$I19*IF($G19="Pickup", SUMIFS(NewEmisData!G:G, NewEmisData!$A:$A, "Pickup", NewEmisData!$B:$B, $A19, NewEmisData!$C:$C, $H19, NewEmisData!$D:$D, BU$2), SUMIFS(NewEmisData!G:G, NewEmisData!$A:$A, "LDV", NewEmisData!$B:$B, $A19, NewEmisData!$C:$C, $H19, NewEmisData!$D:$D, BU$2))</f>
        <v>0.30765788839279401</v>
      </c>
      <c r="BV19" s="324">
        <f>$I19*IF($G19="Pickup", SUMIFS(NewEmisData!H:H, NewEmisData!$A:$A, "Pickup", NewEmisData!$B:$B, $A19, NewEmisData!$C:$C, $H19, NewEmisData!$D:$D, BV$2), SUMIFS(NewEmisData!H:H, NewEmisData!$A:$A, "LDV", NewEmisData!$B:$B, $A19, NewEmisData!$C:$C, $H19, NewEmisData!$D:$D, BV$2))</f>
        <v>0.248891607461663</v>
      </c>
      <c r="BW19" s="324">
        <f>$I19*IF($G19="Pickup", SUMIFS(NewEmisData!I:I, NewEmisData!$A:$A, "Pickup", NewEmisData!$B:$B, $A19, NewEmisData!$C:$C, $H19, NewEmisData!$D:$D, BW$2), SUMIFS(NewEmisData!I:I, NewEmisData!$A:$A, "LDV", NewEmisData!$B:$B, $A19, NewEmisData!$C:$C, $H19, NewEmisData!$D:$D, BW$2))</f>
        <v>0.184861723618618</v>
      </c>
      <c r="BX19" s="324">
        <f>$I19*IF($G19="Pickup", SUMIFS(NewEmisData!J:J, NewEmisData!$A:$A, "Pickup", NewEmisData!$B:$B, $A19, NewEmisData!$C:$C, $H19, NewEmisData!$D:$D, BX$2), SUMIFS(NewEmisData!J:J, NewEmisData!$A:$A, "LDV", NewEmisData!$B:$B, $A19, NewEmisData!$C:$C, $H19, NewEmisData!$D:$D, BX$2))</f>
        <v>0.15433193284657201</v>
      </c>
      <c r="BY19" s="324">
        <f>$I19*IF($G19="Pickup", SUMIFS(NewEmisData!K:K, NewEmisData!$A:$A, "Pickup", NewEmisData!$B:$B, $A19, NewEmisData!$C:$C, $H19, NewEmisData!$D:$D, BY$2), SUMIFS(NewEmisData!K:K, NewEmisData!$A:$A, "LDV", NewEmisData!$B:$B, $A19, NewEmisData!$C:$C, $H19, NewEmisData!$D:$D, BY$2))</f>
        <v>0.138091436876464</v>
      </c>
      <c r="BZ19" s="324">
        <f>$I19*IF($G19="Pickup", SUMIFS(NewEmisData!L:L, NewEmisData!$A:$A, "Pickup", NewEmisData!$B:$B, $A19, NewEmisData!$C:$C, $H19, NewEmisData!$D:$D, BZ$2), SUMIFS(NewEmisData!L:L, NewEmisData!$A:$A, "LDV", NewEmisData!$B:$B, $A19, NewEmisData!$C:$C, $H19, NewEmisData!$D:$D, BZ$2))</f>
        <v>0.131790780313154</v>
      </c>
      <c r="CA19" s="324">
        <f>$I19*IF($G19="Pickup", SUMIFS(NewEmisData!M:M, NewEmisData!$A:$A, "Pickup", NewEmisData!$B:$B, $A19, NewEmisData!$C:$C, $H19, NewEmisData!$D:$D, CA$2), SUMIFS(NewEmisData!M:M, NewEmisData!$A:$A, "LDV", NewEmisData!$B:$B, $A19, NewEmisData!$C:$C, $H19, NewEmisData!$D:$D, CA$2))</f>
        <v>0.126731765091218</v>
      </c>
      <c r="CB19" s="324">
        <f t="shared" si="11"/>
        <v>0.126731765091218</v>
      </c>
      <c r="CC19" s="324">
        <f>$I19*IF($G19="Pickup", SUMIFS(NewEmisData!E:E, NewEmisData!$A:$A, "Pickup", NewEmisData!$B:$B, $A19, NewEmisData!$C:$C, $H19, NewEmisData!$D:$D, CC$2), SUMIFS(NewEmisData!E:E, NewEmisData!$A:$A, "LDV", NewEmisData!$B:$B, $A19, NewEmisData!$C:$C, $H19, NewEmisData!$D:$D, CC$2))</f>
        <v>4.3011353420759103E-2</v>
      </c>
      <c r="CD19" s="324">
        <f>$I19*IF($G19="Pickup", SUMIFS(NewEmisData!F:F, NewEmisData!$A:$A, "Pickup", NewEmisData!$B:$B, $A19, NewEmisData!$C:$C, $H19, NewEmisData!$D:$D, CD$2), SUMIFS(NewEmisData!F:F, NewEmisData!$A:$A, "LDV", NewEmisData!$B:$B, $A19, NewEmisData!$C:$C, $H19, NewEmisData!$D:$D, CD$2))</f>
        <v>2.94035814612091E-2</v>
      </c>
      <c r="CE19" s="324">
        <f>$I19*IF($G19="Pickup", SUMIFS(NewEmisData!G:G, NewEmisData!$A:$A, "Pickup", NewEmisData!$B:$B, $A19, NewEmisData!$C:$C, $H19, NewEmisData!$D:$D, CE$2), SUMIFS(NewEmisData!G:G, NewEmisData!$A:$A, "LDV", NewEmisData!$B:$B, $A19, NewEmisData!$C:$C, $H19, NewEmisData!$D:$D, CE$2))</f>
        <v>2.4328512322630801E-2</v>
      </c>
      <c r="CF19" s="324">
        <f>$I19*IF($G19="Pickup", SUMIFS(NewEmisData!H:H, NewEmisData!$A:$A, "Pickup", NewEmisData!$B:$B, $A19, NewEmisData!$C:$C, $H19, NewEmisData!$D:$D, CF$2), SUMIFS(NewEmisData!H:H, NewEmisData!$A:$A, "LDV", NewEmisData!$B:$B, $A19, NewEmisData!$C:$C, $H19, NewEmisData!$D:$D, CF$2))</f>
        <v>2.3221814353353801E-2</v>
      </c>
      <c r="CG19" s="324">
        <f>$I19*IF($G19="Pickup", SUMIFS(NewEmisData!I:I, NewEmisData!$A:$A, "Pickup", NewEmisData!$B:$B, $A19, NewEmisData!$C:$C, $H19, NewEmisData!$D:$D, CG$2), SUMIFS(NewEmisData!I:I, NewEmisData!$A:$A, "LDV", NewEmisData!$B:$B, $A19, NewEmisData!$C:$C, $H19, NewEmisData!$D:$D, CG$2))</f>
        <v>2.24852392313552E-2</v>
      </c>
      <c r="CH19" s="324">
        <f>$I19*IF($G19="Pickup", SUMIFS(NewEmisData!J:J, NewEmisData!$A:$A, "Pickup", NewEmisData!$B:$B, $A19, NewEmisData!$C:$C, $H19, NewEmisData!$D:$D, CH$2), SUMIFS(NewEmisData!J:J, NewEmisData!$A:$A, "LDV", NewEmisData!$B:$B, $A19, NewEmisData!$C:$C, $H19, NewEmisData!$D:$D, CH$2))</f>
        <v>2.1906542608859401E-2</v>
      </c>
      <c r="CI19" s="324">
        <f>$I19*IF($G19="Pickup", SUMIFS(NewEmisData!K:K, NewEmisData!$A:$A, "Pickup", NewEmisData!$B:$B, $A19, NewEmisData!$C:$C, $H19, NewEmisData!$D:$D, CI$2), SUMIFS(NewEmisData!K:K, NewEmisData!$A:$A, "LDV", NewEmisData!$B:$B, $A19, NewEmisData!$C:$C, $H19, NewEmisData!$D:$D, CI$2))</f>
        <v>2.1904736458690802E-2</v>
      </c>
      <c r="CJ19" s="324">
        <f>$I19*IF($G19="Pickup", SUMIFS(NewEmisData!L:L, NewEmisData!$A:$A, "Pickup", NewEmisData!$B:$B, $A19, NewEmisData!$C:$C, $H19, NewEmisData!$D:$D, CJ$2), SUMIFS(NewEmisData!L:L, NewEmisData!$A:$A, "LDV", NewEmisData!$B:$B, $A19, NewEmisData!$C:$C, $H19, NewEmisData!$D:$D, CJ$2))</f>
        <v>2.19042402298237E-2</v>
      </c>
      <c r="CK19" s="324">
        <f>$I19*IF($G19="Pickup", SUMIFS(NewEmisData!M:M, NewEmisData!$A:$A, "Pickup", NewEmisData!$B:$B, $A19, NewEmisData!$C:$C, $H19, NewEmisData!$D:$D, CK$2), SUMIFS(NewEmisData!M:M, NewEmisData!$A:$A, "LDV", NewEmisData!$B:$B, $A19, NewEmisData!$C:$C, $H19, NewEmisData!$D:$D, CK$2))</f>
        <v>2.1903771981857799E-2</v>
      </c>
      <c r="CL19" s="324">
        <f t="shared" si="12"/>
        <v>2.1903771981857799E-2</v>
      </c>
      <c r="CM19" s="324">
        <f>$I19*IF($G19="Pickup", SUMIFS(NewEmisData!E:E, NewEmisData!$A:$A, "Pickup", NewEmisData!$B:$B, $A19, NewEmisData!$C:$C, $H19, NewEmisData!$D:$D, CM$2), SUMIFS(NewEmisData!E:E, NewEmisData!$A:$A, "LDV", NewEmisData!$B:$B, $A19, NewEmisData!$C:$C, $H19, NewEmisData!$D:$D, CM$2))</f>
        <v>2.1906211645892699E-2</v>
      </c>
      <c r="CN19" s="324">
        <f>$I19*IF($G19="Pickup", SUMIFS(NewEmisData!F:F, NewEmisData!$A:$A, "Pickup", NewEmisData!$B:$B, $A19, NewEmisData!$C:$C, $H19, NewEmisData!$D:$D, CN$2), SUMIFS(NewEmisData!F:F, NewEmisData!$A:$A, "LDV", NewEmisData!$B:$B, $A19, NewEmisData!$C:$C, $H19, NewEmisData!$D:$D, CN$2))</f>
        <v>1.38171562279483E-2</v>
      </c>
      <c r="CO19" s="324">
        <f>$I19*IF($G19="Pickup", SUMIFS(NewEmisData!G:G, NewEmisData!$A:$A, "Pickup", NewEmisData!$B:$B, $A19, NewEmisData!$C:$C, $H19, NewEmisData!$D:$D, CO$2), SUMIFS(NewEmisData!G:G, NewEmisData!$A:$A, "LDV", NewEmisData!$B:$B, $A19, NewEmisData!$C:$C, $H19, NewEmisData!$D:$D, CO$2))</f>
        <v>1.08300618523644E-2</v>
      </c>
      <c r="CP19" s="324">
        <f>$I19*IF($G19="Pickup", SUMIFS(NewEmisData!H:H, NewEmisData!$A:$A, "Pickup", NewEmisData!$B:$B, $A19, NewEmisData!$C:$C, $H19, NewEmisData!$D:$D, CP$2), SUMIFS(NewEmisData!H:H, NewEmisData!$A:$A, "LDV", NewEmisData!$B:$B, $A19, NewEmisData!$C:$C, $H19, NewEmisData!$D:$D, CP$2))</f>
        <v>8.8590497727664592E-3</v>
      </c>
      <c r="CQ19" s="324">
        <f>$I19*IF($G19="Pickup", SUMIFS(NewEmisData!I:I, NewEmisData!$A:$A, "Pickup", NewEmisData!$B:$B, $A19, NewEmisData!$C:$C, $H19, NewEmisData!$D:$D, CQ$2), SUMIFS(NewEmisData!I:I, NewEmisData!$A:$A, "LDV", NewEmisData!$B:$B, $A19, NewEmisData!$C:$C, $H19, NewEmisData!$D:$D, CQ$2))</f>
        <v>7.8772882665567503E-3</v>
      </c>
      <c r="CR19" s="324">
        <f>$I19*IF($G19="Pickup", SUMIFS(NewEmisData!J:J, NewEmisData!$A:$A, "Pickup", NewEmisData!$B:$B, $A19, NewEmisData!$C:$C, $H19, NewEmisData!$D:$D, CR$2), SUMIFS(NewEmisData!J:J, NewEmisData!$A:$A, "LDV", NewEmisData!$B:$B, $A19, NewEmisData!$C:$C, $H19, NewEmisData!$D:$D, CR$2))</f>
        <v>7.4435823260364103E-3</v>
      </c>
      <c r="CS19" s="324">
        <f>$I19*IF($G19="Pickup", SUMIFS(NewEmisData!K:K, NewEmisData!$A:$A, "Pickup", NewEmisData!$B:$B, $A19, NewEmisData!$C:$C, $H19, NewEmisData!$D:$D, CS$2), SUMIFS(NewEmisData!K:K, NewEmisData!$A:$A, "LDV", NewEmisData!$B:$B, $A19, NewEmisData!$C:$C, $H19, NewEmisData!$D:$D, CS$2))</f>
        <v>7.3936885133113802E-3</v>
      </c>
      <c r="CT19" s="324">
        <f>$I19*IF($G19="Pickup", SUMIFS(NewEmisData!L:L, NewEmisData!$A:$A, "Pickup", NewEmisData!$B:$B, $A19, NewEmisData!$C:$C, $H19, NewEmisData!$D:$D, CT$2), SUMIFS(NewEmisData!L:L, NewEmisData!$A:$A, "LDV", NewEmisData!$B:$B, $A19, NewEmisData!$C:$C, $H19, NewEmisData!$D:$D, CT$2))</f>
        <v>7.3123849031120399E-3</v>
      </c>
      <c r="CU19" s="324">
        <f>$I19*IF($G19="Pickup", SUMIFS(NewEmisData!M:M, NewEmisData!$A:$A, "Pickup", NewEmisData!$B:$B, $A19, NewEmisData!$C:$C, $H19, NewEmisData!$D:$D, CU$2), SUMIFS(NewEmisData!M:M, NewEmisData!$A:$A, "LDV", NewEmisData!$B:$B, $A19, NewEmisData!$C:$C, $H19, NewEmisData!$D:$D, CU$2))</f>
        <v>7.31189121492953E-3</v>
      </c>
      <c r="CV19" s="324">
        <f t="shared" si="13"/>
        <v>7.31189121492953E-3</v>
      </c>
      <c r="CW19" s="324">
        <v>3.0448046675121709E-3</v>
      </c>
      <c r="CX19" s="324">
        <v>1.8865908720768221E-3</v>
      </c>
      <c r="CY19" s="324">
        <v>1.5570268485524494E-3</v>
      </c>
      <c r="CZ19" s="324">
        <v>1.2432183416122382E-3</v>
      </c>
      <c r="DA19" s="324">
        <v>9.252251866281976E-4</v>
      </c>
      <c r="DB19" s="324">
        <v>7.2309456596024934E-4</v>
      </c>
      <c r="DC19" s="324">
        <v>6.8940706870607876E-4</v>
      </c>
      <c r="DD19" s="324">
        <v>6.844148428615973E-4</v>
      </c>
      <c r="DE19" s="324">
        <v>6.8634617396886091E-4</v>
      </c>
      <c r="DF19" s="324">
        <v>6.8634617396886091E-4</v>
      </c>
      <c r="DG19" s="324">
        <f>$I19*IF($G19="Pickup", SUMIFS(NewEmisData!E:E, NewEmisData!$A:$A, "Pickup", NewEmisData!$B:$B, $A19, NewEmisData!$C:$C, $H19, NewEmisData!$D:$D, DG$2), SUMIFS(NewEmisData!E:E, NewEmisData!$A:$A, "LDV", NewEmisData!$B:$B, $A19, NewEmisData!$C:$C, $H19, NewEmisData!$D:$D, DG$2))</f>
        <v>0</v>
      </c>
      <c r="DH19" s="324">
        <f>$I19*IF($G19="Pickup", SUMIFS(NewEmisData!F:F, NewEmisData!$A:$A, "Pickup", NewEmisData!$B:$B, $A19, NewEmisData!$C:$C, $H19, NewEmisData!$D:$D, DH$2), SUMIFS(NewEmisData!F:F, NewEmisData!$A:$A, "LDV", NewEmisData!$B:$B, $A19, NewEmisData!$C:$C, $H19, NewEmisData!$D:$D, DH$2))</f>
        <v>0</v>
      </c>
      <c r="DI19" s="324">
        <f>$I19*IF($G19="Pickup", SUMIFS(NewEmisData!G:G, NewEmisData!$A:$A, "Pickup", NewEmisData!$B:$B, $A19, NewEmisData!$C:$C, $H19, NewEmisData!$D:$D, DI$2), SUMIFS(NewEmisData!G:G, NewEmisData!$A:$A, "LDV", NewEmisData!$B:$B, $A19, NewEmisData!$C:$C, $H19, NewEmisData!$D:$D, DI$2))</f>
        <v>0</v>
      </c>
      <c r="DJ19" s="324">
        <f>$I19*IF($G19="Pickup", SUMIFS(NewEmisData!H:H, NewEmisData!$A:$A, "Pickup", NewEmisData!$B:$B, $A19, NewEmisData!$C:$C, $H19, NewEmisData!$D:$D, DJ$2), SUMIFS(NewEmisData!H:H, NewEmisData!$A:$A, "LDV", NewEmisData!$B:$B, $A19, NewEmisData!$C:$C, $H19, NewEmisData!$D:$D, DJ$2))</f>
        <v>0</v>
      </c>
      <c r="DK19" s="324">
        <f>$I19*IF($G19="Pickup", SUMIFS(NewEmisData!I:I, NewEmisData!$A:$A, "Pickup", NewEmisData!$B:$B, $A19, NewEmisData!$C:$C, $H19, NewEmisData!$D:$D, DK$2), SUMIFS(NewEmisData!I:I, NewEmisData!$A:$A, "LDV", NewEmisData!$B:$B, $A19, NewEmisData!$C:$C, $H19, NewEmisData!$D:$D, DK$2))</f>
        <v>0</v>
      </c>
      <c r="DL19" s="324">
        <f>$I19*IF($G19="Pickup", SUMIFS(NewEmisData!J:J, NewEmisData!$A:$A, "Pickup", NewEmisData!$B:$B, $A19, NewEmisData!$C:$C, $H19, NewEmisData!$D:$D, DL$2), SUMIFS(NewEmisData!J:J, NewEmisData!$A:$A, "LDV", NewEmisData!$B:$B, $A19, NewEmisData!$C:$C, $H19, NewEmisData!$D:$D, DL$2))</f>
        <v>0</v>
      </c>
      <c r="DM19" s="324">
        <f>$I19*IF($G19="Pickup", SUMIFS(NewEmisData!K:K, NewEmisData!$A:$A, "Pickup", NewEmisData!$B:$B, $A19, NewEmisData!$C:$C, $H19, NewEmisData!$D:$D, DM$2), SUMIFS(NewEmisData!K:K, NewEmisData!$A:$A, "LDV", NewEmisData!$B:$B, $A19, NewEmisData!$C:$C, $H19, NewEmisData!$D:$D, DM$2))</f>
        <v>0</v>
      </c>
      <c r="DN19" s="324">
        <f>$I19*IF($G19="Pickup", SUMIFS(NewEmisData!L:L, NewEmisData!$A:$A, "Pickup", NewEmisData!$B:$B, $A19, NewEmisData!$C:$C, $H19, NewEmisData!$D:$D, DN$2), SUMIFS(NewEmisData!L:L, NewEmisData!$A:$A, "LDV", NewEmisData!$B:$B, $A19, NewEmisData!$C:$C, $H19, NewEmisData!$D:$D, DN$2))</f>
        <v>0</v>
      </c>
      <c r="DO19" s="324">
        <f>$I19*IF($G19="Pickup", SUMIFS(NewEmisData!M:M, NewEmisData!$A:$A, "Pickup", NewEmisData!$B:$B, $A19, NewEmisData!$C:$C, $H19, NewEmisData!$D:$D, DO$2), SUMIFS(NewEmisData!M:M, NewEmisData!$A:$A, "LDV", NewEmisData!$B:$B, $A19, NewEmisData!$C:$C, $H19, NewEmisData!$D:$D, DO$2))</f>
        <v>0</v>
      </c>
      <c r="DP19" s="324">
        <f t="shared" si="14"/>
        <v>0</v>
      </c>
      <c r="DQ19" s="324">
        <f>$I19*IF($G19="Pickup", SUMIFS(NewEmisData!E:E, NewEmisData!$A:$A, "Pickup", NewEmisData!$B:$B, $A19, NewEmisData!$C:$C, $H19, NewEmisData!$D:$D, DQ$2), SUMIFS(NewEmisData!E:E, NewEmisData!$A:$A, "LDV", NewEmisData!$B:$B, $A19, NewEmisData!$C:$C, $H19, NewEmisData!$D:$D, DQ$2))</f>
        <v>1.45246052556386E-2</v>
      </c>
      <c r="DR19" s="324">
        <f>$I19*IF($G19="Pickup", SUMIFS(NewEmisData!F:F, NewEmisData!$A:$A, "Pickup", NewEmisData!$B:$B, $A19, NewEmisData!$C:$C, $H19, NewEmisData!$D:$D, DR$2), SUMIFS(NewEmisData!F:F, NewEmisData!$A:$A, "LDV", NewEmisData!$B:$B, $A19, NewEmisData!$C:$C, $H19, NewEmisData!$D:$D, DR$2))</f>
        <v>8.5576317868897907E-3</v>
      </c>
      <c r="DS19" s="324">
        <f>$I19*IF($G19="Pickup", SUMIFS(NewEmisData!G:G, NewEmisData!$A:$A, "Pickup", NewEmisData!$B:$B, $A19, NewEmisData!$C:$C, $H19, NewEmisData!$D:$D, DS$2), SUMIFS(NewEmisData!G:G, NewEmisData!$A:$A, "LDV", NewEmisData!$B:$B, $A19, NewEmisData!$C:$C, $H19, NewEmisData!$D:$D, DS$2))</f>
        <v>6.6798910124453298E-3</v>
      </c>
      <c r="DT19" s="324">
        <f>$I19*IF($G19="Pickup", SUMIFS(NewEmisData!H:H, NewEmisData!$A:$A, "Pickup", NewEmisData!$B:$B, $A19, NewEmisData!$C:$C, $H19, NewEmisData!$D:$D, DT$2), SUMIFS(NewEmisData!H:H, NewEmisData!$A:$A, "LDV", NewEmisData!$B:$B, $A19, NewEmisData!$C:$C, $H19, NewEmisData!$D:$D, DT$2))</f>
        <v>5.1684543516808098E-3</v>
      </c>
      <c r="DU19" s="324">
        <f>$I19*IF($G19="Pickup", SUMIFS(NewEmisData!I:I, NewEmisData!$A:$A, "Pickup", NewEmisData!$B:$B, $A19, NewEmisData!$C:$C, $H19, NewEmisData!$D:$D, DU$2), SUMIFS(NewEmisData!I:I, NewEmisData!$A:$A, "LDV", NewEmisData!$B:$B, $A19, NewEmisData!$C:$C, $H19, NewEmisData!$D:$D, DU$2))</f>
        <v>4.0637666627415803E-3</v>
      </c>
      <c r="DV19" s="324">
        <f>$I19*IF($G19="Pickup", SUMIFS(NewEmisData!J:J, NewEmisData!$A:$A, "Pickup", NewEmisData!$B:$B, $A19, NewEmisData!$C:$C, $H19, NewEmisData!$D:$D, DV$2), SUMIFS(NewEmisData!J:J, NewEmisData!$A:$A, "LDV", NewEmisData!$B:$B, $A19, NewEmisData!$C:$C, $H19, NewEmisData!$D:$D, DV$2))</f>
        <v>3.5439556352963399E-3</v>
      </c>
      <c r="DW19" s="324">
        <f>$I19*IF($G19="Pickup", SUMIFS(NewEmisData!K:K, NewEmisData!$A:$A, "Pickup", NewEmisData!$B:$B, $A19, NewEmisData!$C:$C, $H19, NewEmisData!$D:$D, DW$2), SUMIFS(NewEmisData!K:K, NewEmisData!$A:$A, "LDV", NewEmisData!$B:$B, $A19, NewEmisData!$C:$C, $H19, NewEmisData!$D:$D, DW$2))</f>
        <v>3.25169320270512E-3</v>
      </c>
      <c r="DX19" s="324">
        <f>$I19*IF($G19="Pickup", SUMIFS(NewEmisData!L:L, NewEmisData!$A:$A, "Pickup", NewEmisData!$B:$B, $A19, NewEmisData!$C:$C, $H19, NewEmisData!$D:$D, DX$2), SUMIFS(NewEmisData!L:L, NewEmisData!$A:$A, "LDV", NewEmisData!$B:$B, $A19, NewEmisData!$C:$C, $H19, NewEmisData!$D:$D, DX$2))</f>
        <v>3.1576560516429699E-3</v>
      </c>
      <c r="DY19" s="324">
        <f>$I19*IF($G19="Pickup", SUMIFS(NewEmisData!M:M, NewEmisData!$A:$A, "Pickup", NewEmisData!$B:$B, $A19, NewEmisData!$C:$C, $H19, NewEmisData!$D:$D, DY$2), SUMIFS(NewEmisData!M:M, NewEmisData!$A:$A, "LDV", NewEmisData!$B:$B, $A19, NewEmisData!$C:$C, $H19, NewEmisData!$D:$D, DY$2))</f>
        <v>3.1088285848124E-3</v>
      </c>
      <c r="DZ19" s="324">
        <f t="shared" si="15"/>
        <v>3.1088285848124E-3</v>
      </c>
      <c r="EA19" s="324">
        <f t="shared" si="16"/>
        <v>465.43339574540698</v>
      </c>
      <c r="EB19" s="324">
        <f t="shared" si="17"/>
        <v>447.45086858043499</v>
      </c>
      <c r="EC19" s="324">
        <f t="shared" si="18"/>
        <v>371.68579631799702</v>
      </c>
      <c r="ED19" s="324">
        <f t="shared" si="19"/>
        <v>316.68783468886801</v>
      </c>
      <c r="EE19" s="324">
        <f t="shared" si="20"/>
        <v>274.45359564691302</v>
      </c>
      <c r="EF19" s="324">
        <f t="shared" si="21"/>
        <v>250.610452801164</v>
      </c>
      <c r="EG19" s="324">
        <f t="shared" si="22"/>
        <v>239.96929474207201</v>
      </c>
      <c r="EH19" s="324">
        <f t="shared" si="23"/>
        <v>236.17949059358199</v>
      </c>
      <c r="EI19" s="324">
        <f t="shared" si="24"/>
        <v>234.77621268414799</v>
      </c>
      <c r="EJ19" s="324">
        <f t="shared" si="25"/>
        <v>234.77621268414799</v>
      </c>
      <c r="EK19" s="324">
        <f t="shared" si="26"/>
        <v>0.76817370125590101</v>
      </c>
      <c r="EL19" s="324">
        <f t="shared" si="27"/>
        <v>0.34255400012381199</v>
      </c>
      <c r="EM19" s="324">
        <f t="shared" si="28"/>
        <v>0.22026197441968301</v>
      </c>
      <c r="EN19" s="324">
        <f t="shared" si="29"/>
        <v>0.146130223505477</v>
      </c>
      <c r="EO19" s="324">
        <f t="shared" si="30"/>
        <v>9.25204446820201E-2</v>
      </c>
      <c r="EP19" s="324">
        <f t="shared" si="31"/>
        <v>6.9646332093205393E-2</v>
      </c>
      <c r="EQ19" s="324">
        <f t="shared" si="32"/>
        <v>6.0285539426727999E-2</v>
      </c>
      <c r="ER19" s="324">
        <f t="shared" si="33"/>
        <v>5.7685517085836899E-2</v>
      </c>
      <c r="ES19" s="324">
        <f t="shared" si="34"/>
        <v>5.6336256806388998E-2</v>
      </c>
      <c r="ET19" s="324">
        <f t="shared" si="35"/>
        <v>5.6336256806388998E-2</v>
      </c>
      <c r="EU19" s="324">
        <f t="shared" si="36"/>
        <v>8.0536316527093799E-3</v>
      </c>
      <c r="EV19" s="324">
        <f t="shared" si="37"/>
        <v>7.7424694052717798E-3</v>
      </c>
      <c r="EW19" s="324">
        <f t="shared" si="38"/>
        <v>5.3320257089092297E-3</v>
      </c>
      <c r="EX19" s="324">
        <f t="shared" si="39"/>
        <v>4.5430510168157703E-3</v>
      </c>
      <c r="EY19" s="324">
        <f t="shared" si="40"/>
        <v>3.9371785778053803E-3</v>
      </c>
      <c r="EZ19" s="324">
        <f t="shared" si="41"/>
        <v>3.5951364530025401E-3</v>
      </c>
      <c r="FA19" s="324">
        <f t="shared" si="42"/>
        <v>3.4424852382502098E-3</v>
      </c>
      <c r="FB19" s="324">
        <f t="shared" si="43"/>
        <v>3.38811619026995E-3</v>
      </c>
      <c r="FC19" s="324">
        <f t="shared" si="44"/>
        <v>3.36798790618778E-3</v>
      </c>
      <c r="FD19" s="324">
        <f t="shared" si="45"/>
        <v>3.36798790618778E-3</v>
      </c>
      <c r="FE19" s="324">
        <f t="shared" si="46"/>
        <v>7.6317156939691294E-2</v>
      </c>
      <c r="FF19" s="324">
        <f t="shared" si="47"/>
        <v>7.1544642944165196E-2</v>
      </c>
      <c r="FG19" s="324">
        <f t="shared" si="48"/>
        <v>5.8249743312617203E-2</v>
      </c>
      <c r="FH19" s="324">
        <f t="shared" si="49"/>
        <v>5.6730049378736901E-2</v>
      </c>
      <c r="FI19" s="324">
        <f t="shared" si="50"/>
        <v>5.5297861804990203E-2</v>
      </c>
      <c r="FJ19" s="324">
        <f t="shared" si="51"/>
        <v>5.4156352090813403E-2</v>
      </c>
      <c r="FK19" s="324">
        <f t="shared" si="52"/>
        <v>5.3430662266944498E-2</v>
      </c>
      <c r="FL19" s="324">
        <f t="shared" si="53"/>
        <v>5.3062743786751999E-2</v>
      </c>
      <c r="FM19" s="324">
        <f t="shared" si="54"/>
        <v>5.2850768620488903E-2</v>
      </c>
      <c r="FN19" s="324">
        <f t="shared" si="55"/>
        <v>5.2850768620488903E-2</v>
      </c>
      <c r="FO19" s="324">
        <f t="shared" si="56"/>
        <v>2.00368746679381E-2</v>
      </c>
      <c r="FP19" s="324">
        <f t="shared" si="57"/>
        <v>1.58149288879222E-2</v>
      </c>
      <c r="FQ19" s="324">
        <f t="shared" si="58"/>
        <v>1.2889012730210401E-2</v>
      </c>
      <c r="FR19" s="324">
        <f t="shared" si="59"/>
        <v>1.1544674905883E-2</v>
      </c>
      <c r="FS19" s="324">
        <f t="shared" si="60"/>
        <v>1.0277724336371899E-2</v>
      </c>
      <c r="FT19" s="324">
        <f t="shared" si="61"/>
        <v>9.2679749278735592E-3</v>
      </c>
      <c r="FU19" s="324">
        <f t="shared" si="62"/>
        <v>8.6259896432645099E-3</v>
      </c>
      <c r="FV19" s="324">
        <f t="shared" si="63"/>
        <v>8.3004876330209296E-3</v>
      </c>
      <c r="FW19" s="324">
        <f t="shared" si="64"/>
        <v>8.1129702157430005E-3</v>
      </c>
      <c r="FX19" s="324">
        <f t="shared" si="65"/>
        <v>8.1129702157430005E-3</v>
      </c>
    </row>
    <row r="20" spans="1:180" x14ac:dyDescent="0.2">
      <c r="A20" s="298" t="str">
        <f>IF(LEFT(TRIM(Technologies!B66),1)="*", _xlfn.CONCAT("*","R2"), "R2")</f>
        <v>R2</v>
      </c>
      <c r="B20" s="298" t="str">
        <f>TechData_existing!B9</f>
        <v>TLEFDSL</v>
      </c>
      <c r="C20" s="298" t="str">
        <f>TechData_existing!C9</f>
        <v>TL.DSL.F.Existing fleet</v>
      </c>
      <c r="D20" s="294" t="str">
        <f>TechData_existing!D9</f>
        <v>bn-vmt, bn-vmt/a</v>
      </c>
      <c r="E20" s="294" t="str">
        <f>TechData_existing!E9</f>
        <v>TRNDSL</v>
      </c>
      <c r="F20" s="294" t="str">
        <f>TechData_existing!F9</f>
        <v>TL</v>
      </c>
      <c r="G20" s="294" t="s">
        <v>476</v>
      </c>
      <c r="H20" s="294" t="s">
        <v>477</v>
      </c>
      <c r="I20" s="294">
        <v>1</v>
      </c>
      <c r="J20" s="308" t="str">
        <f t="shared" si="2"/>
        <v>Full size car-DSL</v>
      </c>
      <c r="K20" s="324">
        <f>$I20*IF($G20="Pickup", SUMIFS(NewEmisData!E:E, NewEmisData!$A:$A, "Pickup", NewEmisData!$B:$B, $A20, NewEmisData!$C:$C, $H20, NewEmisData!$D:$D, K$2), SUMIFS(NewEmisData!E:E, NewEmisData!$A:$A, "LDV", NewEmisData!$B:$B, $A20, NewEmisData!$C:$C, $H20, NewEmisData!$D:$D, K$2))</f>
        <v>476.09443428903302</v>
      </c>
      <c r="L20" s="324">
        <f>$I20*IF($G20="Pickup", SUMIFS(NewEmisData!F:F, NewEmisData!$A:$A, "Pickup", NewEmisData!$B:$B, $A20, NewEmisData!$C:$C, $H20, NewEmisData!$D:$D, L$2), SUMIFS(NewEmisData!F:F, NewEmisData!$A:$A, "LDV", NewEmisData!$B:$B, $A20, NewEmisData!$C:$C, $H20, NewEmisData!$D:$D, L$2))</f>
        <v>429.18807065940501</v>
      </c>
      <c r="M20" s="324">
        <f>$I20*IF($G20="Pickup", SUMIFS(NewEmisData!G:G, NewEmisData!$A:$A, "Pickup", NewEmisData!$B:$B, $A20, NewEmisData!$C:$C, $H20, NewEmisData!$D:$D, M$2), SUMIFS(NewEmisData!G:G, NewEmisData!$A:$A, "LDV", NewEmisData!$B:$B, $A20, NewEmisData!$C:$C, $H20, NewEmisData!$D:$D, M$2))</f>
        <v>391.319233082962</v>
      </c>
      <c r="N20" s="324">
        <f>$I20*IF($G20="Pickup", SUMIFS(NewEmisData!H:H, NewEmisData!$A:$A, "Pickup", NewEmisData!$B:$B, $A20, NewEmisData!$C:$C, $H20, NewEmisData!$D:$D, N$2), SUMIFS(NewEmisData!H:H, NewEmisData!$A:$A, "LDV", NewEmisData!$B:$B, $A20, NewEmisData!$C:$C, $H20, NewEmisData!$D:$D, N$2))</f>
        <v>328.42956729245498</v>
      </c>
      <c r="O20" s="324">
        <f>$I20*IF($G20="Pickup", SUMIFS(NewEmisData!I:I, NewEmisData!$A:$A, "Pickup", NewEmisData!$B:$B, $A20, NewEmisData!$C:$C, $H20, NewEmisData!$D:$D, O$2), SUMIFS(NewEmisData!I:I, NewEmisData!$A:$A, "LDV", NewEmisData!$B:$B, $A20, NewEmisData!$C:$C, $H20, NewEmisData!$D:$D, O$2))</f>
        <v>299.62284839363502</v>
      </c>
      <c r="P20" s="324">
        <f>$I20*IF($G20="Pickup", SUMIFS(NewEmisData!J:J, NewEmisData!$A:$A, "Pickup", NewEmisData!$B:$B, $A20, NewEmisData!$C:$C, $H20, NewEmisData!$D:$D, P$2), SUMIFS(NewEmisData!J:J, NewEmisData!$A:$A, "LDV", NewEmisData!$B:$B, $A20, NewEmisData!$C:$C, $H20, NewEmisData!$D:$D, P$2))</f>
        <v>287.52510197421901</v>
      </c>
      <c r="Q20" s="324">
        <f>$I20*IF($G20="Pickup", SUMIFS(NewEmisData!K:K, NewEmisData!$A:$A, "Pickup", NewEmisData!$B:$B, $A20, NewEmisData!$C:$C, $H20, NewEmisData!$D:$D, Q$2), SUMIFS(NewEmisData!K:K, NewEmisData!$A:$A, "LDV", NewEmisData!$B:$B, $A20, NewEmisData!$C:$C, $H20, NewEmisData!$D:$D, Q$2))</f>
        <v>280.23148169863998</v>
      </c>
      <c r="R20" s="324">
        <f>$I20*IF($G20="Pickup", SUMIFS(NewEmisData!L:L, NewEmisData!$A:$A, "Pickup", NewEmisData!$B:$B, $A20, NewEmisData!$C:$C, $H20, NewEmisData!$D:$D, R$2), SUMIFS(NewEmisData!L:L, NewEmisData!$A:$A, "LDV", NewEmisData!$B:$B, $A20, NewEmisData!$C:$C, $H20, NewEmisData!$D:$D, R$2))</f>
        <v>277.54586040118801</v>
      </c>
      <c r="S20" s="324">
        <f>$I20*IF($G20="Pickup", SUMIFS(NewEmisData!M:M, NewEmisData!$A:$A, "Pickup", NewEmisData!$B:$B, $A20, NewEmisData!$C:$C, $H20, NewEmisData!$D:$D, S$2), SUMIFS(NewEmisData!M:M, NewEmisData!$A:$A, "LDV", NewEmisData!$B:$B, $A20, NewEmisData!$C:$C, $H20, NewEmisData!$D:$D, S$2))</f>
        <v>277.49863288375599</v>
      </c>
      <c r="T20" s="324">
        <f t="shared" si="5"/>
        <v>277.49863288375599</v>
      </c>
      <c r="U20" s="324">
        <f>$I20*IF($G20="Pickup", SUMIFS(NewEmisData!E:E, NewEmisData!$A:$A, "Pickup", NewEmisData!$B:$B, $A20, NewEmisData!$C:$C, $H20, NewEmisData!$D:$D, U$2), SUMIFS(NewEmisData!E:E, NewEmisData!$A:$A, "LDV", NewEmisData!$B:$B, $A20, NewEmisData!$C:$C, $H20, NewEmisData!$D:$D, U$2))</f>
        <v>2.0049311260151099</v>
      </c>
      <c r="V20" s="324">
        <f>$I20*IF($G20="Pickup", SUMIFS(NewEmisData!F:F, NewEmisData!$A:$A, "Pickup", NewEmisData!$B:$B, $A20, NewEmisData!$C:$C, $H20, NewEmisData!$D:$D, V$2), SUMIFS(NewEmisData!F:F, NewEmisData!$A:$A, "LDV", NewEmisData!$B:$B, $A20, NewEmisData!$C:$C, $H20, NewEmisData!$D:$D, V$2))</f>
        <v>0.760827545002146</v>
      </c>
      <c r="W20" s="324">
        <f>$I20*IF($G20="Pickup", SUMIFS(NewEmisData!G:G, NewEmisData!$A:$A, "Pickup", NewEmisData!$B:$B, $A20, NewEmisData!$C:$C, $H20, NewEmisData!$D:$D, W$2), SUMIFS(NewEmisData!G:G, NewEmisData!$A:$A, "LDV", NewEmisData!$B:$B, $A20, NewEmisData!$C:$C, $H20, NewEmisData!$D:$D, W$2))</f>
        <v>0.12767197241808201</v>
      </c>
      <c r="X20" s="324">
        <f>$I20*IF($G20="Pickup", SUMIFS(NewEmisData!H:H, NewEmisData!$A:$A, "Pickup", NewEmisData!$B:$B, $A20, NewEmisData!$C:$C, $H20, NewEmisData!$D:$D, X$2), SUMIFS(NewEmisData!H:H, NewEmisData!$A:$A, "LDV", NewEmisData!$B:$B, $A20, NewEmisData!$C:$C, $H20, NewEmisData!$D:$D, X$2))</f>
        <v>7.2512734058825107E-2</v>
      </c>
      <c r="Y20" s="324">
        <f>$I20*IF($G20="Pickup", SUMIFS(NewEmisData!I:I, NewEmisData!$A:$A, "Pickup", NewEmisData!$B:$B, $A20, NewEmisData!$C:$C, $H20, NewEmisData!$D:$D, Y$2), SUMIFS(NewEmisData!I:I, NewEmisData!$A:$A, "LDV", NewEmisData!$B:$B, $A20, NewEmisData!$C:$C, $H20, NewEmisData!$D:$D, Y$2))</f>
        <v>4.5465409268618202E-2</v>
      </c>
      <c r="Z20" s="324">
        <f>$I20*IF($G20="Pickup", SUMIFS(NewEmisData!J:J, NewEmisData!$A:$A, "Pickup", NewEmisData!$B:$B, $A20, NewEmisData!$C:$C, $H20, NewEmisData!$D:$D, Z$2), SUMIFS(NewEmisData!J:J, NewEmisData!$A:$A, "LDV", NewEmisData!$B:$B, $A20, NewEmisData!$C:$C, $H20, NewEmisData!$D:$D, Z$2))</f>
        <v>4.03828422132856E-2</v>
      </c>
      <c r="AA20" s="324">
        <f>$I20*IF($G20="Pickup", SUMIFS(NewEmisData!K:K, NewEmisData!$A:$A, "Pickup", NewEmisData!$B:$B, $A20, NewEmisData!$C:$C, $H20, NewEmisData!$D:$D, AA$2), SUMIFS(NewEmisData!K:K, NewEmisData!$A:$A, "LDV", NewEmisData!$B:$B, $A20, NewEmisData!$C:$C, $H20, NewEmisData!$D:$D, AA$2))</f>
        <v>3.69457071662685E-2</v>
      </c>
      <c r="AB20" s="324">
        <f>$I20*IF($G20="Pickup", SUMIFS(NewEmisData!L:L, NewEmisData!$A:$A, "Pickup", NewEmisData!$B:$B, $A20, NewEmisData!$C:$C, $H20, NewEmisData!$D:$D, AB$2), SUMIFS(NewEmisData!L:L, NewEmisData!$A:$A, "LDV", NewEmisData!$B:$B, $A20, NewEmisData!$C:$C, $H20, NewEmisData!$D:$D, AB$2))</f>
        <v>3.54479042046821E-2</v>
      </c>
      <c r="AC20" s="324">
        <f>$I20*IF($G20="Pickup", SUMIFS(NewEmisData!M:M, NewEmisData!$A:$A, "Pickup", NewEmisData!$B:$B, $A20, NewEmisData!$C:$C, $H20, NewEmisData!$D:$D, AC$2), SUMIFS(NewEmisData!M:M, NewEmisData!$A:$A, "LDV", NewEmisData!$B:$B, $A20, NewEmisData!$C:$C, $H20, NewEmisData!$D:$D, AC$2))</f>
        <v>3.5796031702760897E-2</v>
      </c>
      <c r="AD20" s="324">
        <f t="shared" si="6"/>
        <v>3.5796031702760897E-2</v>
      </c>
      <c r="AE20" s="324">
        <f>$I20*IF($G20="Pickup", SUMIFS(NewEmisData!E:E, NewEmisData!$A:$A, "Pickup", NewEmisData!$B:$B, $A20, NewEmisData!$C:$C, $H20, NewEmisData!$D:$D, AE$2), SUMIFS(NewEmisData!E:E, NewEmisData!$A:$A, "LDV", NewEmisData!$B:$B, $A20, NewEmisData!$C:$C, $H20, NewEmisData!$D:$D, AE$2))</f>
        <v>1.1835152385958499E-2</v>
      </c>
      <c r="AF20" s="324">
        <f>$I20*IF($G20="Pickup", SUMIFS(NewEmisData!F:F, NewEmisData!$A:$A, "Pickup", NewEmisData!$B:$B, $A20, NewEmisData!$C:$C, $H20, NewEmisData!$D:$D, AF$2), SUMIFS(NewEmisData!F:F, NewEmisData!$A:$A, "LDV", NewEmisData!$B:$B, $A20, NewEmisData!$C:$C, $H20, NewEmisData!$D:$D, AF$2))</f>
        <v>1.02303341802871E-2</v>
      </c>
      <c r="AG20" s="324">
        <f>$I20*IF($G20="Pickup", SUMIFS(NewEmisData!G:G, NewEmisData!$A:$A, "Pickup", NewEmisData!$B:$B, $A20, NewEmisData!$C:$C, $H20, NewEmisData!$D:$D, AG$2), SUMIFS(NewEmisData!G:G, NewEmisData!$A:$A, "LDV", NewEmisData!$B:$B, $A20, NewEmisData!$C:$C, $H20, NewEmisData!$D:$D, AG$2))</f>
        <v>3.28141775067963E-3</v>
      </c>
      <c r="AH20" s="324">
        <f>$I20*IF($G20="Pickup", SUMIFS(NewEmisData!H:H, NewEmisData!$A:$A, "Pickup", NewEmisData!$B:$B, $A20, NewEmisData!$C:$C, $H20, NewEmisData!$D:$D, AH$2), SUMIFS(NewEmisData!H:H, NewEmisData!$A:$A, "LDV", NewEmisData!$B:$B, $A20, NewEmisData!$C:$C, $H20, NewEmisData!$D:$D, AH$2))</f>
        <v>2.7429174181074199E-3</v>
      </c>
      <c r="AI20" s="324">
        <f>$I20*IF($G20="Pickup", SUMIFS(NewEmisData!I:I, NewEmisData!$A:$A, "Pickup", NewEmisData!$B:$B, $A20, NewEmisData!$C:$C, $H20, NewEmisData!$D:$D, AI$2), SUMIFS(NewEmisData!I:I, NewEmisData!$A:$A, "LDV", NewEmisData!$B:$B, $A20, NewEmisData!$C:$C, $H20, NewEmisData!$D:$D, AI$2))</f>
        <v>2.4986761140543901E-3</v>
      </c>
      <c r="AJ20" s="324">
        <f>$I20*IF($G20="Pickup", SUMIFS(NewEmisData!J:J, NewEmisData!$A:$A, "Pickup", NewEmisData!$B:$B, $A20, NewEmisData!$C:$C, $H20, NewEmisData!$D:$D, AJ$2), SUMIFS(NewEmisData!J:J, NewEmisData!$A:$A, "LDV", NewEmisData!$B:$B, $A20, NewEmisData!$C:$C, $H20, NewEmisData!$D:$D, AJ$2))</f>
        <v>2.3977288527187398E-3</v>
      </c>
      <c r="AK20" s="324">
        <f>$I20*IF($G20="Pickup", SUMIFS(NewEmisData!K:K, NewEmisData!$A:$A, "Pickup", NewEmisData!$B:$B, $A20, NewEmisData!$C:$C, $H20, NewEmisData!$D:$D, AK$2), SUMIFS(NewEmisData!K:K, NewEmisData!$A:$A, "LDV", NewEmisData!$B:$B, $A20, NewEmisData!$C:$C, $H20, NewEmisData!$D:$D, AK$2))</f>
        <v>2.3363239635992802E-3</v>
      </c>
      <c r="AL20" s="324">
        <f>$I20*IF($G20="Pickup", SUMIFS(NewEmisData!L:L, NewEmisData!$A:$A, "Pickup", NewEmisData!$B:$B, $A20, NewEmisData!$C:$C, $H20, NewEmisData!$D:$D, AL$2), SUMIFS(NewEmisData!L:L, NewEmisData!$A:$A, "LDV", NewEmisData!$B:$B, $A20, NewEmisData!$C:$C, $H20, NewEmisData!$D:$D, AL$2))</f>
        <v>2.3139342639780401E-3</v>
      </c>
      <c r="AM20" s="324">
        <f>$I20*IF($G20="Pickup", SUMIFS(NewEmisData!M:M, NewEmisData!$A:$A, "Pickup", NewEmisData!$B:$B, $A20, NewEmisData!$C:$C, $H20, NewEmisData!$D:$D, AM$2), SUMIFS(NewEmisData!M:M, NewEmisData!$A:$A, "LDV", NewEmisData!$B:$B, $A20, NewEmisData!$C:$C, $H20, NewEmisData!$D:$D, AM$2))</f>
        <v>2.31353960902861E-3</v>
      </c>
      <c r="AN20" s="324">
        <f t="shared" si="7"/>
        <v>2.31353960902861E-3</v>
      </c>
      <c r="AO20" s="324">
        <f>$I20*IF($G20="Pickup", SUMIFS(NewEmisData!E:E, NewEmisData!$A:$A, "Pickup", NewEmisData!$B:$B, $A20, NewEmisData!$C:$C, $H20, NewEmisData!$D:$D, AO$2), SUMIFS(NewEmisData!E:E, NewEmisData!$A:$A, "LDV", NewEmisData!$B:$B, $A20, NewEmisData!$C:$C, $H20, NewEmisData!$D:$D, AO$2))</f>
        <v>0.14754888588672199</v>
      </c>
      <c r="AP20" s="324">
        <f>$I20*IF($G20="Pickup", SUMIFS(NewEmisData!F:F, NewEmisData!$A:$A, "Pickup", NewEmisData!$B:$B, $A20, NewEmisData!$C:$C, $H20, NewEmisData!$D:$D, AP$2), SUMIFS(NewEmisData!F:F, NewEmisData!$A:$A, "LDV", NewEmisData!$B:$B, $A20, NewEmisData!$C:$C, $H20, NewEmisData!$D:$D, AP$2))</f>
        <v>8.9170669812866296E-2</v>
      </c>
      <c r="AQ20" s="324">
        <f>$I20*IF($G20="Pickup", SUMIFS(NewEmisData!G:G, NewEmisData!$A:$A, "Pickup", NewEmisData!$B:$B, $A20, NewEmisData!$C:$C, $H20, NewEmisData!$D:$D, AQ$2), SUMIFS(NewEmisData!G:G, NewEmisData!$A:$A, "LDV", NewEmisData!$B:$B, $A20, NewEmisData!$C:$C, $H20, NewEmisData!$D:$D, AQ$2))</f>
        <v>7.8105554369183802E-2</v>
      </c>
      <c r="AR20" s="324">
        <f>$I20*IF($G20="Pickup", SUMIFS(NewEmisData!H:H, NewEmisData!$A:$A, "Pickup", NewEmisData!$B:$B, $A20, NewEmisData!$C:$C, $H20, NewEmisData!$D:$D, AR$2), SUMIFS(NewEmisData!H:H, NewEmisData!$A:$A, "LDV", NewEmisData!$B:$B, $A20, NewEmisData!$C:$C, $H20, NewEmisData!$D:$D, AR$2))</f>
        <v>7.6972409553025797E-2</v>
      </c>
      <c r="AS20" s="324">
        <f>$I20*IF($G20="Pickup", SUMIFS(NewEmisData!I:I, NewEmisData!$A:$A, "Pickup", NewEmisData!$B:$B, $A20, NewEmisData!$C:$C, $H20, NewEmisData!$D:$D, AS$2), SUMIFS(NewEmisData!I:I, NewEmisData!$A:$A, "LDV", NewEmisData!$B:$B, $A20, NewEmisData!$C:$C, $H20, NewEmisData!$D:$D, AS$2))</f>
        <v>7.6836875081772907E-2</v>
      </c>
      <c r="AT20" s="324">
        <f>$I20*IF($G20="Pickup", SUMIFS(NewEmisData!J:J, NewEmisData!$A:$A, "Pickup", NewEmisData!$B:$B, $A20, NewEmisData!$C:$C, $H20, NewEmisData!$D:$D, AT$2), SUMIFS(NewEmisData!J:J, NewEmisData!$A:$A, "LDV", NewEmisData!$B:$B, $A20, NewEmisData!$C:$C, $H20, NewEmisData!$D:$D, AT$2))</f>
        <v>7.69074432910445E-2</v>
      </c>
      <c r="AU20" s="324">
        <f>$I20*IF($G20="Pickup", SUMIFS(NewEmisData!K:K, NewEmisData!$A:$A, "Pickup", NewEmisData!$B:$B, $A20, NewEmisData!$C:$C, $H20, NewEmisData!$D:$D, AU$2), SUMIFS(NewEmisData!K:K, NewEmisData!$A:$A, "LDV", NewEmisData!$B:$B, $A20, NewEmisData!$C:$C, $H20, NewEmisData!$D:$D, AU$2))</f>
        <v>7.6900843368497895E-2</v>
      </c>
      <c r="AV20" s="324">
        <f>$I20*IF($G20="Pickup", SUMIFS(NewEmisData!L:L, NewEmisData!$A:$A, "Pickup", NewEmisData!$B:$B, $A20, NewEmisData!$C:$C, $H20, NewEmisData!$D:$D, AV$2), SUMIFS(NewEmisData!L:L, NewEmisData!$A:$A, "LDV", NewEmisData!$B:$B, $A20, NewEmisData!$C:$C, $H20, NewEmisData!$D:$D, AV$2))</f>
        <v>7.6888545887976001E-2</v>
      </c>
      <c r="AW20" s="324">
        <f>$I20*IF($G20="Pickup", SUMIFS(NewEmisData!M:M, NewEmisData!$A:$A, "Pickup", NewEmisData!$B:$B, $A20, NewEmisData!$C:$C, $H20, NewEmisData!$D:$D, AW$2), SUMIFS(NewEmisData!M:M, NewEmisData!$A:$A, "LDV", NewEmisData!$B:$B, $A20, NewEmisData!$C:$C, $H20, NewEmisData!$D:$D, AW$2))</f>
        <v>7.6936569612579206E-2</v>
      </c>
      <c r="AX20" s="324">
        <f t="shared" si="8"/>
        <v>7.6936569612579206E-2</v>
      </c>
      <c r="AY20" s="324">
        <f>$I20*IF($G20="Pickup", SUMIFS(NewEmisData!E:E, NewEmisData!$A:$A, "Pickup", NewEmisData!$B:$B, $A20, NewEmisData!$C:$C, $H20, NewEmisData!$D:$D, AY$2), SUMIFS(NewEmisData!E:E, NewEmisData!$A:$A, "LDV", NewEmisData!$B:$B, $A20, NewEmisData!$C:$C, $H20, NewEmisData!$D:$D, AY$2))</f>
        <v>8.2994776464736103E-2</v>
      </c>
      <c r="AZ20" s="324">
        <f>$I20*IF($G20="Pickup", SUMIFS(NewEmisData!F:F, NewEmisData!$A:$A, "Pickup", NewEmisData!$B:$B, $A20, NewEmisData!$C:$C, $H20, NewEmisData!$D:$D, AZ$2), SUMIFS(NewEmisData!F:F, NewEmisData!$A:$A, "LDV", NewEmisData!$B:$B, $A20, NewEmisData!$C:$C, $H20, NewEmisData!$D:$D, AZ$2))</f>
        <v>2.9286960169176E-2</v>
      </c>
      <c r="BA20" s="324">
        <f>$I20*IF($G20="Pickup", SUMIFS(NewEmisData!G:G, NewEmisData!$A:$A, "Pickup", NewEmisData!$B:$B, $A20, NewEmisData!$C:$C, $H20, NewEmisData!$D:$D, BA$2), SUMIFS(NewEmisData!G:G, NewEmisData!$A:$A, "LDV", NewEmisData!$B:$B, $A20, NewEmisData!$C:$C, $H20, NewEmisData!$D:$D, BA$2))</f>
        <v>1.3924604157418001E-2</v>
      </c>
      <c r="BB20" s="324">
        <f>$I20*IF($G20="Pickup", SUMIFS(NewEmisData!H:H, NewEmisData!$A:$A, "Pickup", NewEmisData!$B:$B, $A20, NewEmisData!$C:$C, $H20, NewEmisData!$D:$D, BB$2), SUMIFS(NewEmisData!H:H, NewEmisData!$A:$A, "LDV", NewEmisData!$B:$B, $A20, NewEmisData!$C:$C, $H20, NewEmisData!$D:$D, BB$2))</f>
        <v>1.28820995888716E-2</v>
      </c>
      <c r="BC20" s="324">
        <f>$I20*IF($G20="Pickup", SUMIFS(NewEmisData!I:I, NewEmisData!$A:$A, "Pickup", NewEmisData!$B:$B, $A20, NewEmisData!$C:$C, $H20, NewEmisData!$D:$D, BC$2), SUMIFS(NewEmisData!I:I, NewEmisData!$A:$A, "LDV", NewEmisData!$B:$B, $A20, NewEmisData!$C:$C, $H20, NewEmisData!$D:$D, BC$2))</f>
        <v>1.2757306095682401E-2</v>
      </c>
      <c r="BD20" s="324">
        <f>$I20*IF($G20="Pickup", SUMIFS(NewEmisData!J:J, NewEmisData!$A:$A, "Pickup", NewEmisData!$B:$B, $A20, NewEmisData!$C:$C, $H20, NewEmisData!$D:$D, BD$2), SUMIFS(NewEmisData!J:J, NewEmisData!$A:$A, "LDV", NewEmisData!$B:$B, $A20, NewEmisData!$C:$C, $H20, NewEmisData!$D:$D, BD$2))</f>
        <v>1.28223162487622E-2</v>
      </c>
      <c r="BE20" s="324">
        <f>$I20*IF($G20="Pickup", SUMIFS(NewEmisData!K:K, NewEmisData!$A:$A, "Pickup", NewEmisData!$B:$B, $A20, NewEmisData!$C:$C, $H20, NewEmisData!$D:$D, BE$2), SUMIFS(NewEmisData!K:K, NewEmisData!$A:$A, "LDV", NewEmisData!$B:$B, $A20, NewEmisData!$C:$C, $H20, NewEmisData!$D:$D, BE$2))</f>
        <v>1.28161744328164E-2</v>
      </c>
      <c r="BF20" s="324">
        <f>$I20*IF($G20="Pickup", SUMIFS(NewEmisData!L:L, NewEmisData!$A:$A, "Pickup", NewEmisData!$B:$B, $A20, NewEmisData!$C:$C, $H20, NewEmisData!$D:$D, BF$2), SUMIFS(NewEmisData!L:L, NewEmisData!$A:$A, "LDV", NewEmisData!$B:$B, $A20, NewEmisData!$C:$C, $H20, NewEmisData!$D:$D, BF$2))</f>
        <v>1.28049681705815E-2</v>
      </c>
      <c r="BG20" s="324">
        <f>$I20*IF($G20="Pickup", SUMIFS(NewEmisData!M:M, NewEmisData!$A:$A, "Pickup", NewEmisData!$B:$B, $A20, NewEmisData!$C:$C, $H20, NewEmisData!$D:$D, BG$2), SUMIFS(NewEmisData!M:M, NewEmisData!$A:$A, "LDV", NewEmisData!$B:$B, $A20, NewEmisData!$C:$C, $H20, NewEmisData!$D:$D, BG$2))</f>
        <v>1.2849092483120999E-2</v>
      </c>
      <c r="BH20" s="324">
        <f t="shared" si="9"/>
        <v>1.2849092483120999E-2</v>
      </c>
      <c r="BI20" s="324">
        <f>$I20*IF($G20="Pickup", SUMIFS(NewEmisData!E:E, NewEmisData!$A:$A, "Pickup", NewEmisData!$B:$B, $A20, NewEmisData!$C:$C, $H20, NewEmisData!$D:$D, BI$2), SUMIFS(NewEmisData!E:E, NewEmisData!$A:$A, "LDV", NewEmisData!$B:$B, $A20, NewEmisData!$C:$C, $H20, NewEmisData!$D:$D, BI$2))</f>
        <v>39.775858774743803</v>
      </c>
      <c r="BJ20" s="324">
        <f>$I20*IF($G20="Pickup", SUMIFS(NewEmisData!F:F, NewEmisData!$A:$A, "Pickup", NewEmisData!$B:$B, $A20, NewEmisData!$C:$C, $H20, NewEmisData!$D:$D, BJ$2), SUMIFS(NewEmisData!F:F, NewEmisData!$A:$A, "LDV", NewEmisData!$B:$B, $A20, NewEmisData!$C:$C, $H20, NewEmisData!$D:$D, BJ$2))</f>
        <v>10.678234156384899</v>
      </c>
      <c r="BK20" s="324">
        <f>$I20*IF($G20="Pickup", SUMIFS(NewEmisData!G:G, NewEmisData!$A:$A, "Pickup", NewEmisData!$B:$B, $A20, NewEmisData!$C:$C, $H20, NewEmisData!$D:$D, BK$2), SUMIFS(NewEmisData!G:G, NewEmisData!$A:$A, "LDV", NewEmisData!$B:$B, $A20, NewEmisData!$C:$C, $H20, NewEmisData!$D:$D, BK$2))</f>
        <v>1.86758643046957</v>
      </c>
      <c r="BL20" s="324">
        <f>$I20*IF($G20="Pickup", SUMIFS(NewEmisData!H:H, NewEmisData!$A:$A, "Pickup", NewEmisData!$B:$B, $A20, NewEmisData!$C:$C, $H20, NewEmisData!$D:$D, BL$2), SUMIFS(NewEmisData!H:H, NewEmisData!$A:$A, "LDV", NewEmisData!$B:$B, $A20, NewEmisData!$C:$C, $H20, NewEmisData!$D:$D, BL$2))</f>
        <v>1.42362076026303</v>
      </c>
      <c r="BM20" s="324">
        <f>$I20*IF($G20="Pickup", SUMIFS(NewEmisData!I:I, NewEmisData!$A:$A, "Pickup", NewEmisData!$B:$B, $A20, NewEmisData!$C:$C, $H20, NewEmisData!$D:$D, BM$2), SUMIFS(NewEmisData!I:I, NewEmisData!$A:$A, "LDV", NewEmisData!$B:$B, $A20, NewEmisData!$C:$C, $H20, NewEmisData!$D:$D, BM$2))</f>
        <v>1.22553039938669</v>
      </c>
      <c r="BN20" s="324">
        <f>$I20*IF($G20="Pickup", SUMIFS(NewEmisData!J:J, NewEmisData!$A:$A, "Pickup", NewEmisData!$B:$B, $A20, NewEmisData!$C:$C, $H20, NewEmisData!$D:$D, BN$2), SUMIFS(NewEmisData!J:J, NewEmisData!$A:$A, "LDV", NewEmisData!$B:$B, $A20, NewEmisData!$C:$C, $H20, NewEmisData!$D:$D, BN$2))</f>
        <v>1.16750761763039</v>
      </c>
      <c r="BO20" s="324">
        <f>$I20*IF($G20="Pickup", SUMIFS(NewEmisData!K:K, NewEmisData!$A:$A, "Pickup", NewEmisData!$B:$B, $A20, NewEmisData!$C:$C, $H20, NewEmisData!$D:$D, BO$2), SUMIFS(NewEmisData!K:K, NewEmisData!$A:$A, "LDV", NewEmisData!$B:$B, $A20, NewEmisData!$C:$C, $H20, NewEmisData!$D:$D, BO$2))</f>
        <v>1.1062247677672601</v>
      </c>
      <c r="BP20" s="324">
        <f>$I20*IF($G20="Pickup", SUMIFS(NewEmisData!L:L, NewEmisData!$A:$A, "Pickup", NewEmisData!$B:$B, $A20, NewEmisData!$C:$C, $H20, NewEmisData!$D:$D, BP$2), SUMIFS(NewEmisData!L:L, NewEmisData!$A:$A, "LDV", NewEmisData!$B:$B, $A20, NewEmisData!$C:$C, $H20, NewEmisData!$D:$D, BP$2))</f>
        <v>1.0761548737814799</v>
      </c>
      <c r="BQ20" s="324">
        <f>$I20*IF($G20="Pickup", SUMIFS(NewEmisData!M:M, NewEmisData!$A:$A, "Pickup", NewEmisData!$B:$B, $A20, NewEmisData!$C:$C, $H20, NewEmisData!$D:$D, BQ$2), SUMIFS(NewEmisData!M:M, NewEmisData!$A:$A, "LDV", NewEmisData!$B:$B, $A20, NewEmisData!$C:$C, $H20, NewEmisData!$D:$D, BQ$2))</f>
        <v>1.0829580064973601</v>
      </c>
      <c r="BR20" s="324">
        <f t="shared" si="10"/>
        <v>1.0829580064973601</v>
      </c>
      <c r="BS20" s="324">
        <f>$I20*IF($G20="Pickup", SUMIFS(NewEmisData!E:E, NewEmisData!$A:$A, "Pickup", NewEmisData!$B:$B, $A20, NewEmisData!$C:$C, $H20, NewEmisData!$D:$D, BS$2), SUMIFS(NewEmisData!E:E, NewEmisData!$A:$A, "LDV", NewEmisData!$B:$B, $A20, NewEmisData!$C:$C, $H20, NewEmisData!$D:$D, BS$2))</f>
        <v>3.6839474572804698</v>
      </c>
      <c r="BT20" s="324">
        <f>$I20*IF($G20="Pickup", SUMIFS(NewEmisData!F:F, NewEmisData!$A:$A, "Pickup", NewEmisData!$B:$B, $A20, NewEmisData!$C:$C, $H20, NewEmisData!$D:$D, BT$2), SUMIFS(NewEmisData!F:F, NewEmisData!$A:$A, "LDV", NewEmisData!$B:$B, $A20, NewEmisData!$C:$C, $H20, NewEmisData!$D:$D, BT$2))</f>
        <v>0.98577392935792796</v>
      </c>
      <c r="BU20" s="324">
        <f>$I20*IF($G20="Pickup", SUMIFS(NewEmisData!G:G, NewEmisData!$A:$A, "Pickup", NewEmisData!$B:$B, $A20, NewEmisData!$C:$C, $H20, NewEmisData!$D:$D, BU$2), SUMIFS(NewEmisData!G:G, NewEmisData!$A:$A, "LDV", NewEmisData!$B:$B, $A20, NewEmisData!$C:$C, $H20, NewEmisData!$D:$D, BU$2))</f>
        <v>0.13920001825041101</v>
      </c>
      <c r="BV20" s="324">
        <f>$I20*IF($G20="Pickup", SUMIFS(NewEmisData!H:H, NewEmisData!$A:$A, "Pickup", NewEmisData!$B:$B, $A20, NewEmisData!$C:$C, $H20, NewEmisData!$D:$D, BV$2), SUMIFS(NewEmisData!H:H, NewEmisData!$A:$A, "LDV", NewEmisData!$B:$B, $A20, NewEmisData!$C:$C, $H20, NewEmisData!$D:$D, BV$2))</f>
        <v>9.6471078701038201E-2</v>
      </c>
      <c r="BW20" s="324">
        <f>$I20*IF($G20="Pickup", SUMIFS(NewEmisData!I:I, NewEmisData!$A:$A, "Pickup", NewEmisData!$B:$B, $A20, NewEmisData!$C:$C, $H20, NewEmisData!$D:$D, BW$2), SUMIFS(NewEmisData!I:I, NewEmisData!$A:$A, "LDV", NewEmisData!$B:$B, $A20, NewEmisData!$C:$C, $H20, NewEmisData!$D:$D, BW$2))</f>
        <v>7.5191537396481406E-2</v>
      </c>
      <c r="BX20" s="324">
        <f>$I20*IF($G20="Pickup", SUMIFS(NewEmisData!J:J, NewEmisData!$A:$A, "Pickup", NewEmisData!$B:$B, $A20, NewEmisData!$C:$C, $H20, NewEmisData!$D:$D, BX$2), SUMIFS(NewEmisData!J:J, NewEmisData!$A:$A, "LDV", NewEmisData!$B:$B, $A20, NewEmisData!$C:$C, $H20, NewEmisData!$D:$D, BX$2))</f>
        <v>7.3750498912982104E-2</v>
      </c>
      <c r="BY20" s="324">
        <f>$I20*IF($G20="Pickup", SUMIFS(NewEmisData!K:K, NewEmisData!$A:$A, "Pickup", NewEmisData!$B:$B, $A20, NewEmisData!$C:$C, $H20, NewEmisData!$D:$D, BY$2), SUMIFS(NewEmisData!K:K, NewEmisData!$A:$A, "LDV", NewEmisData!$B:$B, $A20, NewEmisData!$C:$C, $H20, NewEmisData!$D:$D, BY$2))</f>
        <v>7.1596726073612907E-2</v>
      </c>
      <c r="BZ20" s="324">
        <f>$I20*IF($G20="Pickup", SUMIFS(NewEmisData!L:L, NewEmisData!$A:$A, "Pickup", NewEmisData!$B:$B, $A20, NewEmisData!$C:$C, $H20, NewEmisData!$D:$D, BZ$2), SUMIFS(NewEmisData!L:L, NewEmisData!$A:$A, "LDV", NewEmisData!$B:$B, $A20, NewEmisData!$C:$C, $H20, NewEmisData!$D:$D, BZ$2))</f>
        <v>7.0651840302643099E-2</v>
      </c>
      <c r="CA20" s="324">
        <f>$I20*IF($G20="Pickup", SUMIFS(NewEmisData!M:M, NewEmisData!$A:$A, "Pickup", NewEmisData!$B:$B, $A20, NewEmisData!$C:$C, $H20, NewEmisData!$D:$D, CA$2), SUMIFS(NewEmisData!M:M, NewEmisData!$A:$A, "LDV", NewEmisData!$B:$B, $A20, NewEmisData!$C:$C, $H20, NewEmisData!$D:$D, CA$2))</f>
        <v>7.1352883539201301E-2</v>
      </c>
      <c r="CB20" s="324">
        <f t="shared" si="11"/>
        <v>7.1352883539201301E-2</v>
      </c>
      <c r="CC20" s="324">
        <f>$I20*IF($G20="Pickup", SUMIFS(NewEmisData!E:E, NewEmisData!$A:$A, "Pickup", NewEmisData!$B:$B, $A20, NewEmisData!$C:$C, $H20, NewEmisData!$D:$D, CC$2), SUMIFS(NewEmisData!E:E, NewEmisData!$A:$A, "LDV", NewEmisData!$B:$B, $A20, NewEmisData!$C:$C, $H20, NewEmisData!$D:$D, CC$2))</f>
        <v>8.3015807662600808E-3</v>
      </c>
      <c r="CD20" s="324">
        <f>$I20*IF($G20="Pickup", SUMIFS(NewEmisData!F:F, NewEmisData!$A:$A, "Pickup", NewEmisData!$B:$B, $A20, NewEmisData!$C:$C, $H20, NewEmisData!$D:$D, CD$2), SUMIFS(NewEmisData!F:F, NewEmisData!$A:$A, "LDV", NewEmisData!$B:$B, $A20, NewEmisData!$C:$C, $H20, NewEmisData!$D:$D, CD$2))</f>
        <v>8.3015814353979093E-3</v>
      </c>
      <c r="CE20" s="324">
        <f>$I20*IF($G20="Pickup", SUMIFS(NewEmisData!G:G, NewEmisData!$A:$A, "Pickup", NewEmisData!$B:$B, $A20, NewEmisData!$C:$C, $H20, NewEmisData!$D:$D, CE$2), SUMIFS(NewEmisData!G:G, NewEmisData!$A:$A, "LDV", NewEmisData!$B:$B, $A20, NewEmisData!$C:$C, $H20, NewEmisData!$D:$D, CE$2))</f>
        <v>9.7776409238937295E-3</v>
      </c>
      <c r="CF20" s="324">
        <f>$I20*IF($G20="Pickup", SUMIFS(NewEmisData!H:H, NewEmisData!$A:$A, "Pickup", NewEmisData!$B:$B, $A20, NewEmisData!$C:$C, $H20, NewEmisData!$D:$D, CF$2), SUMIFS(NewEmisData!H:H, NewEmisData!$A:$A, "LDV", NewEmisData!$B:$B, $A20, NewEmisData!$C:$C, $H20, NewEmisData!$D:$D, CF$2))</f>
        <v>9.7776508210115302E-3</v>
      </c>
      <c r="CG20" s="324">
        <f>$I20*IF($G20="Pickup", SUMIFS(NewEmisData!I:I, NewEmisData!$A:$A, "Pickup", NewEmisData!$B:$B, $A20, NewEmisData!$C:$C, $H20, NewEmisData!$D:$D, CG$2), SUMIFS(NewEmisData!I:I, NewEmisData!$A:$A, "LDV", NewEmisData!$B:$B, $A20, NewEmisData!$C:$C, $H20, NewEmisData!$D:$D, CG$2))</f>
        <v>9.7776494795757396E-3</v>
      </c>
      <c r="CH20" s="324">
        <f>$I20*IF($G20="Pickup", SUMIFS(NewEmisData!J:J, NewEmisData!$A:$A, "Pickup", NewEmisData!$B:$B, $A20, NewEmisData!$C:$C, $H20, NewEmisData!$D:$D, CH$2), SUMIFS(NewEmisData!J:J, NewEmisData!$A:$A, "LDV", NewEmisData!$B:$B, $A20, NewEmisData!$C:$C, $H20, NewEmisData!$D:$D, CH$2))</f>
        <v>9.7776493269548497E-3</v>
      </c>
      <c r="CI20" s="324">
        <f>$I20*IF($G20="Pickup", SUMIFS(NewEmisData!K:K, NewEmisData!$A:$A, "Pickup", NewEmisData!$B:$B, $A20, NewEmisData!$C:$C, $H20, NewEmisData!$D:$D, CI$2), SUMIFS(NewEmisData!K:K, NewEmisData!$A:$A, "LDV", NewEmisData!$B:$B, $A20, NewEmisData!$C:$C, $H20, NewEmisData!$D:$D, CI$2))</f>
        <v>9.7776510939597203E-3</v>
      </c>
      <c r="CJ20" s="324">
        <f>$I20*IF($G20="Pickup", SUMIFS(NewEmisData!L:L, NewEmisData!$A:$A, "Pickup", NewEmisData!$B:$B, $A20, NewEmisData!$C:$C, $H20, NewEmisData!$D:$D, CJ$2), SUMIFS(NewEmisData!L:L, NewEmisData!$A:$A, "LDV", NewEmisData!$B:$B, $A20, NewEmisData!$C:$C, $H20, NewEmisData!$D:$D, CJ$2))</f>
        <v>9.7776462712922899E-3</v>
      </c>
      <c r="CK20" s="324">
        <f>$I20*IF($G20="Pickup", SUMIFS(NewEmisData!M:M, NewEmisData!$A:$A, "Pickup", NewEmisData!$B:$B, $A20, NewEmisData!$C:$C, $H20, NewEmisData!$D:$D, CK$2), SUMIFS(NewEmisData!M:M, NewEmisData!$A:$A, "LDV", NewEmisData!$B:$B, $A20, NewEmisData!$C:$C, $H20, NewEmisData!$D:$D, CK$2))</f>
        <v>9.7776422060059202E-3</v>
      </c>
      <c r="CL20" s="324">
        <f t="shared" si="12"/>
        <v>9.7776422060059202E-3</v>
      </c>
      <c r="CM20" s="324">
        <f>$I20*IF($G20="Pickup", SUMIFS(NewEmisData!E:E, NewEmisData!$A:$A, "Pickup", NewEmisData!$B:$B, $A20, NewEmisData!$C:$C, $H20, NewEmisData!$D:$D, CM$2), SUMIFS(NewEmisData!E:E, NewEmisData!$A:$A, "LDV", NewEmisData!$B:$B, $A20, NewEmisData!$C:$C, $H20, NewEmisData!$D:$D, CM$2))</f>
        <v>1.3172159507331401E-3</v>
      </c>
      <c r="CN20" s="324">
        <f>$I20*IF($G20="Pickup", SUMIFS(NewEmisData!F:F, NewEmisData!$A:$A, "Pickup", NewEmisData!$B:$B, $A20, NewEmisData!$C:$C, $H20, NewEmisData!$D:$D, CN$2), SUMIFS(NewEmisData!F:F, NewEmisData!$A:$A, "LDV", NewEmisData!$B:$B, $A20, NewEmisData!$C:$C, $H20, NewEmisData!$D:$D, CN$2))</f>
        <v>1.1497778914898601E-3</v>
      </c>
      <c r="CO20" s="324">
        <f>$I20*IF($G20="Pickup", SUMIFS(NewEmisData!G:G, NewEmisData!$A:$A, "Pickup", NewEmisData!$B:$B, $A20, NewEmisData!$C:$C, $H20, NewEmisData!$D:$D, CO$2), SUMIFS(NewEmisData!G:G, NewEmisData!$A:$A, "LDV", NewEmisData!$B:$B, $A20, NewEmisData!$C:$C, $H20, NewEmisData!$D:$D, CO$2))</f>
        <v>1.3280335233953799E-3</v>
      </c>
      <c r="CP20" s="324">
        <f>$I20*IF($G20="Pickup", SUMIFS(NewEmisData!H:H, NewEmisData!$A:$A, "Pickup", NewEmisData!$B:$B, $A20, NewEmisData!$C:$C, $H20, NewEmisData!$D:$D, CP$2), SUMIFS(NewEmisData!H:H, NewEmisData!$A:$A, "LDV", NewEmisData!$B:$B, $A20, NewEmisData!$C:$C, $H20, NewEmisData!$D:$D, CP$2))</f>
        <v>1.3300403953936701E-3</v>
      </c>
      <c r="CQ20" s="324">
        <f>$I20*IF($G20="Pickup", SUMIFS(NewEmisData!I:I, NewEmisData!$A:$A, "Pickup", NewEmisData!$B:$B, $A20, NewEmisData!$C:$C, $H20, NewEmisData!$D:$D, CQ$2), SUMIFS(NewEmisData!I:I, NewEmisData!$A:$A, "LDV", NewEmisData!$B:$B, $A20, NewEmisData!$C:$C, $H20, NewEmisData!$D:$D, CQ$2))</f>
        <v>1.3373192652413001E-3</v>
      </c>
      <c r="CR20" s="324">
        <f>$I20*IF($G20="Pickup", SUMIFS(NewEmisData!J:J, NewEmisData!$A:$A, "Pickup", NewEmisData!$B:$B, $A20, NewEmisData!$C:$C, $H20, NewEmisData!$D:$D, CR$2), SUMIFS(NewEmisData!J:J, NewEmisData!$A:$A, "LDV", NewEmisData!$B:$B, $A20, NewEmisData!$C:$C, $H20, NewEmisData!$D:$D, CR$2))</f>
        <v>1.34682925218304E-3</v>
      </c>
      <c r="CS20" s="324">
        <f>$I20*IF($G20="Pickup", SUMIFS(NewEmisData!K:K, NewEmisData!$A:$A, "Pickup", NewEmisData!$B:$B, $A20, NewEmisData!$C:$C, $H20, NewEmisData!$D:$D, CS$2), SUMIFS(NewEmisData!K:K, NewEmisData!$A:$A, "LDV", NewEmisData!$B:$B, $A20, NewEmisData!$C:$C, $H20, NewEmisData!$D:$D, CS$2))</f>
        <v>1.35165887255797E-3</v>
      </c>
      <c r="CT20" s="324">
        <f>$I20*IF($G20="Pickup", SUMIFS(NewEmisData!L:L, NewEmisData!$A:$A, "Pickup", NewEmisData!$B:$B, $A20, NewEmisData!$C:$C, $H20, NewEmisData!$D:$D, CT$2), SUMIFS(NewEmisData!L:L, NewEmisData!$A:$A, "LDV", NewEmisData!$B:$B, $A20, NewEmisData!$C:$C, $H20, NewEmisData!$D:$D, CT$2))</f>
        <v>1.35319494580264E-3</v>
      </c>
      <c r="CU20" s="324">
        <f>$I20*IF($G20="Pickup", SUMIFS(NewEmisData!M:M, NewEmisData!$A:$A, "Pickup", NewEmisData!$B:$B, $A20, NewEmisData!$C:$C, $H20, NewEmisData!$D:$D, CU$2), SUMIFS(NewEmisData!M:M, NewEmisData!$A:$A, "LDV", NewEmisData!$B:$B, $A20, NewEmisData!$C:$C, $H20, NewEmisData!$D:$D, CU$2))</f>
        <v>1.35559121182894E-3</v>
      </c>
      <c r="CV20" s="324">
        <f t="shared" si="13"/>
        <v>1.35559121182894E-3</v>
      </c>
      <c r="CW20" s="324">
        <v>1.7855353475311885E-3</v>
      </c>
      <c r="CX20" s="324">
        <v>1.1158238015562326E-3</v>
      </c>
      <c r="CY20" s="324">
        <v>9.3466086006125206E-4</v>
      </c>
      <c r="CZ20" s="324">
        <v>8.3812350595498144E-4</v>
      </c>
      <c r="DA20" s="324">
        <v>6.4708026295585627E-4</v>
      </c>
      <c r="DB20" s="324">
        <v>5.1533534928113322E-4</v>
      </c>
      <c r="DC20" s="324">
        <v>4.978529843416348E-4</v>
      </c>
      <c r="DD20" s="324">
        <v>4.9300315911808101E-4</v>
      </c>
      <c r="DE20" s="324">
        <v>4.9234696878064995E-4</v>
      </c>
      <c r="DF20" s="324">
        <v>4.9234696878064995E-4</v>
      </c>
      <c r="DG20" s="324">
        <f>$I20*IF($G20="Pickup", SUMIFS(NewEmisData!E:E, NewEmisData!$A:$A, "Pickup", NewEmisData!$B:$B, $A20, NewEmisData!$C:$C, $H20, NewEmisData!$D:$D, DG$2), SUMIFS(NewEmisData!E:E, NewEmisData!$A:$A, "LDV", NewEmisData!$B:$B, $A20, NewEmisData!$C:$C, $H20, NewEmisData!$D:$D, DG$2))</f>
        <v>0</v>
      </c>
      <c r="DH20" s="324">
        <f>$I20*IF($G20="Pickup", SUMIFS(NewEmisData!F:F, NewEmisData!$A:$A, "Pickup", NewEmisData!$B:$B, $A20, NewEmisData!$C:$C, $H20, NewEmisData!$D:$D, DH$2), SUMIFS(NewEmisData!F:F, NewEmisData!$A:$A, "LDV", NewEmisData!$B:$B, $A20, NewEmisData!$C:$C, $H20, NewEmisData!$D:$D, DH$2))</f>
        <v>0</v>
      </c>
      <c r="DI20" s="324">
        <f>$I20*IF($G20="Pickup", SUMIFS(NewEmisData!G:G, NewEmisData!$A:$A, "Pickup", NewEmisData!$B:$B, $A20, NewEmisData!$C:$C, $H20, NewEmisData!$D:$D, DI$2), SUMIFS(NewEmisData!G:G, NewEmisData!$A:$A, "LDV", NewEmisData!$B:$B, $A20, NewEmisData!$C:$C, $H20, NewEmisData!$D:$D, DI$2))</f>
        <v>0</v>
      </c>
      <c r="DJ20" s="324">
        <f>$I20*IF($G20="Pickup", SUMIFS(NewEmisData!H:H, NewEmisData!$A:$A, "Pickup", NewEmisData!$B:$B, $A20, NewEmisData!$C:$C, $H20, NewEmisData!$D:$D, DJ$2), SUMIFS(NewEmisData!H:H, NewEmisData!$A:$A, "LDV", NewEmisData!$B:$B, $A20, NewEmisData!$C:$C, $H20, NewEmisData!$D:$D, DJ$2))</f>
        <v>0</v>
      </c>
      <c r="DK20" s="324">
        <f>$I20*IF($G20="Pickup", SUMIFS(NewEmisData!I:I, NewEmisData!$A:$A, "Pickup", NewEmisData!$B:$B, $A20, NewEmisData!$C:$C, $H20, NewEmisData!$D:$D, DK$2), SUMIFS(NewEmisData!I:I, NewEmisData!$A:$A, "LDV", NewEmisData!$B:$B, $A20, NewEmisData!$C:$C, $H20, NewEmisData!$D:$D, DK$2))</f>
        <v>0</v>
      </c>
      <c r="DL20" s="324">
        <f>$I20*IF($G20="Pickup", SUMIFS(NewEmisData!J:J, NewEmisData!$A:$A, "Pickup", NewEmisData!$B:$B, $A20, NewEmisData!$C:$C, $H20, NewEmisData!$D:$D, DL$2), SUMIFS(NewEmisData!J:J, NewEmisData!$A:$A, "LDV", NewEmisData!$B:$B, $A20, NewEmisData!$C:$C, $H20, NewEmisData!$D:$D, DL$2))</f>
        <v>0</v>
      </c>
      <c r="DM20" s="324">
        <f>$I20*IF($G20="Pickup", SUMIFS(NewEmisData!K:K, NewEmisData!$A:$A, "Pickup", NewEmisData!$B:$B, $A20, NewEmisData!$C:$C, $H20, NewEmisData!$D:$D, DM$2), SUMIFS(NewEmisData!K:K, NewEmisData!$A:$A, "LDV", NewEmisData!$B:$B, $A20, NewEmisData!$C:$C, $H20, NewEmisData!$D:$D, DM$2))</f>
        <v>0</v>
      </c>
      <c r="DN20" s="324">
        <f>$I20*IF($G20="Pickup", SUMIFS(NewEmisData!L:L, NewEmisData!$A:$A, "Pickup", NewEmisData!$B:$B, $A20, NewEmisData!$C:$C, $H20, NewEmisData!$D:$D, DN$2), SUMIFS(NewEmisData!L:L, NewEmisData!$A:$A, "LDV", NewEmisData!$B:$B, $A20, NewEmisData!$C:$C, $H20, NewEmisData!$D:$D, DN$2))</f>
        <v>0</v>
      </c>
      <c r="DO20" s="324">
        <f>$I20*IF($G20="Pickup", SUMIFS(NewEmisData!M:M, NewEmisData!$A:$A, "Pickup", NewEmisData!$B:$B, $A20, NewEmisData!$C:$C, $H20, NewEmisData!$D:$D, DO$2), SUMIFS(NewEmisData!M:M, NewEmisData!$A:$A, "LDV", NewEmisData!$B:$B, $A20, NewEmisData!$C:$C, $H20, NewEmisData!$D:$D, DO$2))</f>
        <v>0</v>
      </c>
      <c r="DP20" s="324">
        <f t="shared" si="14"/>
        <v>0</v>
      </c>
      <c r="DQ20" s="324">
        <f>$I20*IF($G20="Pickup", SUMIFS(NewEmisData!E:E, NewEmisData!$A:$A, "Pickup", NewEmisData!$B:$B, $A20, NewEmisData!$C:$C, $H20, NewEmisData!$D:$D, DQ$2), SUMIFS(NewEmisData!E:E, NewEmisData!$A:$A, "LDV", NewEmisData!$B:$B, $A20, NewEmisData!$C:$C, $H20, NewEmisData!$D:$D, DQ$2))</f>
        <v>1.9307833533596701E-2</v>
      </c>
      <c r="DR20" s="324">
        <f>$I20*IF($G20="Pickup", SUMIFS(NewEmisData!F:F, NewEmisData!$A:$A, "Pickup", NewEmisData!$B:$B, $A20, NewEmisData!$C:$C, $H20, NewEmisData!$D:$D, DR$2), SUMIFS(NewEmisData!F:F, NewEmisData!$A:$A, "LDV", NewEmisData!$B:$B, $A20, NewEmisData!$C:$C, $H20, NewEmisData!$D:$D, DR$2))</f>
        <v>6.4114835319069405E-2</v>
      </c>
      <c r="DS20" s="324">
        <f>$I20*IF($G20="Pickup", SUMIFS(NewEmisData!G:G, NewEmisData!$A:$A, "Pickup", NewEmisData!$B:$B, $A20, NewEmisData!$C:$C, $H20, NewEmisData!$D:$D, DS$2), SUMIFS(NewEmisData!G:G, NewEmisData!$A:$A, "LDV", NewEmisData!$B:$B, $A20, NewEmisData!$C:$C, $H20, NewEmisData!$D:$D, DS$2))</f>
        <v>7.1713130585949997E-2</v>
      </c>
      <c r="DT20" s="324">
        <f>$I20*IF($G20="Pickup", SUMIFS(NewEmisData!H:H, NewEmisData!$A:$A, "Pickup", NewEmisData!$B:$B, $A20, NewEmisData!$C:$C, $H20, NewEmisData!$D:$D, DT$2), SUMIFS(NewEmisData!H:H, NewEmisData!$A:$A, "LDV", NewEmisData!$B:$B, $A20, NewEmisData!$C:$C, $H20, NewEmisData!$D:$D, DT$2))</f>
        <v>7.3171737716537094E-2</v>
      </c>
      <c r="DU20" s="324">
        <f>$I20*IF($G20="Pickup", SUMIFS(NewEmisData!I:I, NewEmisData!$A:$A, "Pickup", NewEmisData!$B:$B, $A20, NewEmisData!$C:$C, $H20, NewEmisData!$D:$D, DU$2), SUMIFS(NewEmisData!I:I, NewEmisData!$A:$A, "LDV", NewEmisData!$B:$B, $A20, NewEmisData!$C:$C, $H20, NewEmisData!$D:$D, DU$2))</f>
        <v>7.5270293642568403E-2</v>
      </c>
      <c r="DV20" s="324">
        <f>$I20*IF($G20="Pickup", SUMIFS(NewEmisData!J:J, NewEmisData!$A:$A, "Pickup", NewEmisData!$B:$B, $A20, NewEmisData!$C:$C, $H20, NewEmisData!$D:$D, DV$2), SUMIFS(NewEmisData!J:J, NewEmisData!$A:$A, "LDV", NewEmisData!$B:$B, $A20, NewEmisData!$C:$C, $H20, NewEmisData!$D:$D, DV$2))</f>
        <v>7.5445547537672006E-2</v>
      </c>
      <c r="DW20" s="324">
        <f>$I20*IF($G20="Pickup", SUMIFS(NewEmisData!K:K, NewEmisData!$A:$A, "Pickup", NewEmisData!$B:$B, $A20, NewEmisData!$C:$C, $H20, NewEmisData!$D:$D, DW$2), SUMIFS(NewEmisData!K:K, NewEmisData!$A:$A, "LDV", NewEmisData!$B:$B, $A20, NewEmisData!$C:$C, $H20, NewEmisData!$D:$D, DW$2))</f>
        <v>7.4712089162185497E-2</v>
      </c>
      <c r="DX20" s="324">
        <f>$I20*IF($G20="Pickup", SUMIFS(NewEmisData!L:L, NewEmisData!$A:$A, "Pickup", NewEmisData!$B:$B, $A20, NewEmisData!$C:$C, $H20, NewEmisData!$D:$D, DX$2), SUMIFS(NewEmisData!L:L, NewEmisData!$A:$A, "LDV", NewEmisData!$B:$B, $A20, NewEmisData!$C:$C, $H20, NewEmisData!$D:$D, DX$2))</f>
        <v>7.3717251656777796E-2</v>
      </c>
      <c r="DY20" s="324">
        <f>$I20*IF($G20="Pickup", SUMIFS(NewEmisData!M:M, NewEmisData!$A:$A, "Pickup", NewEmisData!$B:$B, $A20, NewEmisData!$C:$C, $H20, NewEmisData!$D:$D, DY$2), SUMIFS(NewEmisData!M:M, NewEmisData!$A:$A, "LDV", NewEmisData!$B:$B, $A20, NewEmisData!$C:$C, $H20, NewEmisData!$D:$D, DY$2))</f>
        <v>7.44731750120151E-2</v>
      </c>
      <c r="DZ20" s="324">
        <f t="shared" si="15"/>
        <v>7.44731750120151E-2</v>
      </c>
      <c r="EA20" s="324">
        <f t="shared" si="16"/>
        <v>476.09443428903302</v>
      </c>
      <c r="EB20" s="324">
        <f t="shared" si="17"/>
        <v>429.18807065940501</v>
      </c>
      <c r="EC20" s="324">
        <f t="shared" si="18"/>
        <v>391.319233082962</v>
      </c>
      <c r="ED20" s="324">
        <f t="shared" si="19"/>
        <v>328.42956729245498</v>
      </c>
      <c r="EE20" s="324">
        <f t="shared" si="20"/>
        <v>299.62284839363502</v>
      </c>
      <c r="EF20" s="324">
        <f t="shared" si="21"/>
        <v>287.52510197421901</v>
      </c>
      <c r="EG20" s="324">
        <f t="shared" si="22"/>
        <v>280.23148169863998</v>
      </c>
      <c r="EH20" s="324">
        <f t="shared" si="23"/>
        <v>277.54586040118801</v>
      </c>
      <c r="EI20" s="324">
        <f t="shared" si="24"/>
        <v>277.49863288375599</v>
      </c>
      <c r="EJ20" s="324">
        <f t="shared" si="25"/>
        <v>277.49863288375599</v>
      </c>
      <c r="EK20" s="324">
        <f t="shared" si="26"/>
        <v>2.0049311260151099</v>
      </c>
      <c r="EL20" s="324">
        <f t="shared" si="27"/>
        <v>0.760827545002146</v>
      </c>
      <c r="EM20" s="324">
        <f t="shared" si="28"/>
        <v>0.12767197241808201</v>
      </c>
      <c r="EN20" s="324">
        <f t="shared" si="29"/>
        <v>7.2512734058825107E-2</v>
      </c>
      <c r="EO20" s="324">
        <f t="shared" si="30"/>
        <v>4.5465409268618202E-2</v>
      </c>
      <c r="EP20" s="324">
        <f t="shared" si="31"/>
        <v>4.03828422132856E-2</v>
      </c>
      <c r="EQ20" s="324">
        <f t="shared" si="32"/>
        <v>3.69457071662685E-2</v>
      </c>
      <c r="ER20" s="324">
        <f t="shared" si="33"/>
        <v>3.54479042046821E-2</v>
      </c>
      <c r="ES20" s="324">
        <f t="shared" si="34"/>
        <v>3.5796031702760897E-2</v>
      </c>
      <c r="ET20" s="324">
        <f t="shared" si="35"/>
        <v>3.5796031702760897E-2</v>
      </c>
      <c r="EU20" s="324">
        <f t="shared" si="36"/>
        <v>1.1835152385958499E-2</v>
      </c>
      <c r="EV20" s="324">
        <f t="shared" si="37"/>
        <v>1.02303341802871E-2</v>
      </c>
      <c r="EW20" s="324">
        <f t="shared" si="38"/>
        <v>3.28141775067963E-3</v>
      </c>
      <c r="EX20" s="324">
        <f t="shared" si="39"/>
        <v>2.7429174181074199E-3</v>
      </c>
      <c r="EY20" s="324">
        <f t="shared" si="40"/>
        <v>2.4986761140543901E-3</v>
      </c>
      <c r="EZ20" s="324">
        <f t="shared" si="41"/>
        <v>2.3977288527187398E-3</v>
      </c>
      <c r="FA20" s="324">
        <f t="shared" si="42"/>
        <v>2.3363239635992802E-3</v>
      </c>
      <c r="FB20" s="324">
        <f t="shared" si="43"/>
        <v>2.3139342639780401E-3</v>
      </c>
      <c r="FC20" s="324">
        <f t="shared" si="44"/>
        <v>2.31353960902861E-3</v>
      </c>
      <c r="FD20" s="324">
        <f t="shared" si="45"/>
        <v>2.31353960902861E-3</v>
      </c>
      <c r="FE20" s="324">
        <f t="shared" si="46"/>
        <v>0.14754888588672199</v>
      </c>
      <c r="FF20" s="324">
        <f t="shared" si="47"/>
        <v>8.9170669812866296E-2</v>
      </c>
      <c r="FG20" s="324">
        <f t="shared" si="48"/>
        <v>7.8105554369183802E-2</v>
      </c>
      <c r="FH20" s="324">
        <f t="shared" si="49"/>
        <v>7.6972409553025797E-2</v>
      </c>
      <c r="FI20" s="324">
        <f t="shared" si="50"/>
        <v>7.6836875081772907E-2</v>
      </c>
      <c r="FJ20" s="324">
        <f t="shared" si="51"/>
        <v>7.69074432910445E-2</v>
      </c>
      <c r="FK20" s="324">
        <f t="shared" si="52"/>
        <v>7.6900843368497895E-2</v>
      </c>
      <c r="FL20" s="324">
        <f t="shared" si="53"/>
        <v>7.6888545887976001E-2</v>
      </c>
      <c r="FM20" s="324">
        <f t="shared" si="54"/>
        <v>7.6936569612579206E-2</v>
      </c>
      <c r="FN20" s="324">
        <f t="shared" si="55"/>
        <v>7.6936569612579206E-2</v>
      </c>
      <c r="FO20" s="324">
        <f t="shared" si="56"/>
        <v>8.2994776464736103E-2</v>
      </c>
      <c r="FP20" s="324">
        <f t="shared" si="57"/>
        <v>2.9286960169176E-2</v>
      </c>
      <c r="FQ20" s="324">
        <f t="shared" si="58"/>
        <v>1.3924604157418001E-2</v>
      </c>
      <c r="FR20" s="324">
        <f t="shared" si="59"/>
        <v>1.28820995888716E-2</v>
      </c>
      <c r="FS20" s="324">
        <f t="shared" si="60"/>
        <v>1.2757306095682401E-2</v>
      </c>
      <c r="FT20" s="324">
        <f t="shared" si="61"/>
        <v>1.28223162487622E-2</v>
      </c>
      <c r="FU20" s="324">
        <f t="shared" si="62"/>
        <v>1.28161744328164E-2</v>
      </c>
      <c r="FV20" s="324">
        <f t="shared" si="63"/>
        <v>1.28049681705815E-2</v>
      </c>
      <c r="FW20" s="324">
        <f t="shared" si="64"/>
        <v>1.2849092483120999E-2</v>
      </c>
      <c r="FX20" s="324">
        <f t="shared" si="65"/>
        <v>1.2849092483120999E-2</v>
      </c>
    </row>
    <row r="21" spans="1:180" x14ac:dyDescent="0.2">
      <c r="A21" s="298" t="str">
        <f>_xlfn.CONCAT(IF(LEFT(TRIM(A20),1)="*", "*R", "R"), 1+RIGHT(TRIM(A20),1))</f>
        <v>R3</v>
      </c>
      <c r="B21" s="298" t="str">
        <f t="shared" ref="B21:B24" si="76">B20</f>
        <v>TLEFDSL</v>
      </c>
      <c r="C21" s="298" t="str">
        <f t="shared" ref="C21:C24" si="77">C20</f>
        <v>TL.DSL.F.Existing fleet</v>
      </c>
      <c r="D21" s="294" t="str">
        <f t="shared" ref="D21:D24" si="78">D20</f>
        <v>bn-vmt, bn-vmt/a</v>
      </c>
      <c r="E21" s="294" t="str">
        <f t="shared" ref="E21:E24" si="79">E20</f>
        <v>TRNDSL</v>
      </c>
      <c r="F21" s="294" t="str">
        <f t="shared" ref="F21:F24" si="80">F20</f>
        <v>TL</v>
      </c>
      <c r="G21" s="294" t="s">
        <v>476</v>
      </c>
      <c r="H21" s="294" t="s">
        <v>477</v>
      </c>
      <c r="I21" s="294">
        <v>1</v>
      </c>
      <c r="J21" s="308" t="str">
        <f t="shared" si="2"/>
        <v>Full size car-DSL</v>
      </c>
      <c r="K21" s="324">
        <f>$I21*IF($G21="Pickup", SUMIFS(NewEmisData!E:E, NewEmisData!$A:$A, "Pickup", NewEmisData!$B:$B, $A21, NewEmisData!$C:$C, $H21, NewEmisData!$D:$D, K$2), SUMIFS(NewEmisData!E:E, NewEmisData!$A:$A, "LDV", NewEmisData!$B:$B, $A21, NewEmisData!$C:$C, $H21, NewEmisData!$D:$D, K$2))</f>
        <v>454.22422332698301</v>
      </c>
      <c r="L21" s="324">
        <f>$I21*IF($G21="Pickup", SUMIFS(NewEmisData!F:F, NewEmisData!$A:$A, "Pickup", NewEmisData!$B:$B, $A21, NewEmisData!$C:$C, $H21, NewEmisData!$D:$D, L$2), SUMIFS(NewEmisData!F:F, NewEmisData!$A:$A, "LDV", NewEmisData!$B:$B, $A21, NewEmisData!$C:$C, $H21, NewEmisData!$D:$D, L$2))</f>
        <v>415.98623310718898</v>
      </c>
      <c r="M21" s="324">
        <f>$I21*IF($G21="Pickup", SUMIFS(NewEmisData!G:G, NewEmisData!$A:$A, "Pickup", NewEmisData!$B:$B, $A21, NewEmisData!$C:$C, $H21, NewEmisData!$D:$D, M$2), SUMIFS(NewEmisData!G:G, NewEmisData!$A:$A, "LDV", NewEmisData!$B:$B, $A21, NewEmisData!$C:$C, $H21, NewEmisData!$D:$D, M$2))</f>
        <v>341.24154984582401</v>
      </c>
      <c r="N21" s="324">
        <f>$I21*IF($G21="Pickup", SUMIFS(NewEmisData!H:H, NewEmisData!$A:$A, "Pickup", NewEmisData!$B:$B, $A21, NewEmisData!$C:$C, $H21, NewEmisData!$D:$D, N$2), SUMIFS(NewEmisData!H:H, NewEmisData!$A:$A, "LDV", NewEmisData!$B:$B, $A21, NewEmisData!$C:$C, $H21, NewEmisData!$D:$D, N$2))</f>
        <v>286.14374563306302</v>
      </c>
      <c r="O21" s="324">
        <f>$I21*IF($G21="Pickup", SUMIFS(NewEmisData!I:I, NewEmisData!$A:$A, "Pickup", NewEmisData!$B:$B, $A21, NewEmisData!$C:$C, $H21, NewEmisData!$D:$D, O$2), SUMIFS(NewEmisData!I:I, NewEmisData!$A:$A, "LDV", NewEmisData!$B:$B, $A21, NewEmisData!$C:$C, $H21, NewEmisData!$D:$D, O$2))</f>
        <v>260.90109398597599</v>
      </c>
      <c r="P21" s="324">
        <f>$I21*IF($G21="Pickup", SUMIFS(NewEmisData!J:J, NewEmisData!$A:$A, "Pickup", NewEmisData!$B:$B, $A21, NewEmisData!$C:$C, $H21, NewEmisData!$D:$D, P$2), SUMIFS(NewEmisData!J:J, NewEmisData!$A:$A, "LDV", NewEmisData!$B:$B, $A21, NewEmisData!$C:$C, $H21, NewEmisData!$D:$D, P$2))</f>
        <v>250.29294391902499</v>
      </c>
      <c r="Q21" s="324">
        <f>$I21*IF($G21="Pickup", SUMIFS(NewEmisData!K:K, NewEmisData!$A:$A, "Pickup", NewEmisData!$B:$B, $A21, NewEmisData!$C:$C, $H21, NewEmisData!$D:$D, Q$2), SUMIFS(NewEmisData!K:K, NewEmisData!$A:$A, "LDV", NewEmisData!$B:$B, $A21, NewEmisData!$C:$C, $H21, NewEmisData!$D:$D, Q$2))</f>
        <v>243.907500195674</v>
      </c>
      <c r="R21" s="324">
        <f>$I21*IF($G21="Pickup", SUMIFS(NewEmisData!L:L, NewEmisData!$A:$A, "Pickup", NewEmisData!$B:$B, $A21, NewEmisData!$C:$C, $H21, NewEmisData!$D:$D, R$2), SUMIFS(NewEmisData!L:L, NewEmisData!$A:$A, "LDV", NewEmisData!$B:$B, $A21, NewEmisData!$C:$C, $H21, NewEmisData!$D:$D, R$2))</f>
        <v>241.55525518103801</v>
      </c>
      <c r="S21" s="324">
        <f>$I21*IF($G21="Pickup", SUMIFS(NewEmisData!M:M, NewEmisData!$A:$A, "Pickup", NewEmisData!$B:$B, $A21, NewEmisData!$C:$C, $H21, NewEmisData!$D:$D, S$2), SUMIFS(NewEmisData!M:M, NewEmisData!$A:$A, "LDV", NewEmisData!$B:$B, $A21, NewEmisData!$C:$C, $H21, NewEmisData!$D:$D, S$2))</f>
        <v>241.503483186078</v>
      </c>
      <c r="T21" s="324">
        <f t="shared" si="5"/>
        <v>241.503483186078</v>
      </c>
      <c r="U21" s="324">
        <f>$I21*IF($G21="Pickup", SUMIFS(NewEmisData!E:E, NewEmisData!$A:$A, "Pickup", NewEmisData!$B:$B, $A21, NewEmisData!$C:$C, $H21, NewEmisData!$D:$D, U$2), SUMIFS(NewEmisData!E:E, NewEmisData!$A:$A, "LDV", NewEmisData!$B:$B, $A21, NewEmisData!$C:$C, $H21, NewEmisData!$D:$D, U$2))</f>
        <v>1.6110129323604601</v>
      </c>
      <c r="V21" s="324">
        <f>$I21*IF($G21="Pickup", SUMIFS(NewEmisData!F:F, NewEmisData!$A:$A, "Pickup", NewEmisData!$B:$B, $A21, NewEmisData!$C:$C, $H21, NewEmisData!$D:$D, V$2), SUMIFS(NewEmisData!F:F, NewEmisData!$A:$A, "LDV", NewEmisData!$B:$B, $A21, NewEmisData!$C:$C, $H21, NewEmisData!$D:$D, V$2))</f>
        <v>0.78125490560219701</v>
      </c>
      <c r="W21" s="324">
        <f>$I21*IF($G21="Pickup", SUMIFS(NewEmisData!G:G, NewEmisData!$A:$A, "Pickup", NewEmisData!$B:$B, $A21, NewEmisData!$C:$C, $H21, NewEmisData!$D:$D, W$2), SUMIFS(NewEmisData!G:G, NewEmisData!$A:$A, "LDV", NewEmisData!$B:$B, $A21, NewEmisData!$C:$C, $H21, NewEmisData!$D:$D, W$2))</f>
        <v>0.115620473733781</v>
      </c>
      <c r="X21" s="324">
        <f>$I21*IF($G21="Pickup", SUMIFS(NewEmisData!H:H, NewEmisData!$A:$A, "Pickup", NewEmisData!$B:$B, $A21, NewEmisData!$C:$C, $H21, NewEmisData!$D:$D, X$2), SUMIFS(NewEmisData!H:H, NewEmisData!$A:$A, "LDV", NewEmisData!$B:$B, $A21, NewEmisData!$C:$C, $H21, NewEmisData!$D:$D, X$2))</f>
        <v>6.6004639352718095E-2</v>
      </c>
      <c r="Y21" s="324">
        <f>$I21*IF($G21="Pickup", SUMIFS(NewEmisData!I:I, NewEmisData!$A:$A, "Pickup", NewEmisData!$B:$B, $A21, NewEmisData!$C:$C, $H21, NewEmisData!$D:$D, Y$2), SUMIFS(NewEmisData!I:I, NewEmisData!$A:$A, "LDV", NewEmisData!$B:$B, $A21, NewEmisData!$C:$C, $H21, NewEmisData!$D:$D, Y$2))</f>
        <v>4.1480313552042999E-2</v>
      </c>
      <c r="Z21" s="324">
        <f>$I21*IF($G21="Pickup", SUMIFS(NewEmisData!J:J, NewEmisData!$A:$A, "Pickup", NewEmisData!$B:$B, $A21, NewEmisData!$C:$C, $H21, NewEmisData!$D:$D, Z$2), SUMIFS(NewEmisData!J:J, NewEmisData!$A:$A, "LDV", NewEmisData!$B:$B, $A21, NewEmisData!$C:$C, $H21, NewEmisData!$D:$D, Z$2))</f>
        <v>3.67143779351497E-2</v>
      </c>
      <c r="AA21" s="324">
        <f>$I21*IF($G21="Pickup", SUMIFS(NewEmisData!K:K, NewEmisData!$A:$A, "Pickup", NewEmisData!$B:$B, $A21, NewEmisData!$C:$C, $H21, NewEmisData!$D:$D, AA$2), SUMIFS(NewEmisData!K:K, NewEmisData!$A:$A, "LDV", NewEmisData!$B:$B, $A21, NewEmisData!$C:$C, $H21, NewEmisData!$D:$D, AA$2))</f>
        <v>3.3512426284448803E-2</v>
      </c>
      <c r="AB21" s="324">
        <f>$I21*IF($G21="Pickup", SUMIFS(NewEmisData!L:L, NewEmisData!$A:$A, "Pickup", NewEmisData!$B:$B, $A21, NewEmisData!$C:$C, $H21, NewEmisData!$D:$D, AB$2), SUMIFS(NewEmisData!L:L, NewEmisData!$A:$A, "LDV", NewEmisData!$B:$B, $A21, NewEmisData!$C:$C, $H21, NewEmisData!$D:$D, AB$2))</f>
        <v>3.2134891572290103E-2</v>
      </c>
      <c r="AC21" s="324">
        <f>$I21*IF($G21="Pickup", SUMIFS(NewEmisData!M:M, NewEmisData!$A:$A, "Pickup", NewEmisData!$B:$B, $A21, NewEmisData!$C:$C, $H21, NewEmisData!$D:$D, AC$2), SUMIFS(NewEmisData!M:M, NewEmisData!$A:$A, "LDV", NewEmisData!$B:$B, $A21, NewEmisData!$C:$C, $H21, NewEmisData!$D:$D, AC$2))</f>
        <v>3.24152542775758E-2</v>
      </c>
      <c r="AD21" s="324">
        <f t="shared" si="6"/>
        <v>3.24152542775758E-2</v>
      </c>
      <c r="AE21" s="324">
        <f>$I21*IF($G21="Pickup", SUMIFS(NewEmisData!E:E, NewEmisData!$A:$A, "Pickup", NewEmisData!$B:$B, $A21, NewEmisData!$C:$C, $H21, NewEmisData!$D:$D, AE$2), SUMIFS(NewEmisData!E:E, NewEmisData!$A:$A, "LDV", NewEmisData!$B:$B, $A21, NewEmisData!$C:$C, $H21, NewEmisData!$D:$D, AE$2))</f>
        <v>1.1303261097433201E-2</v>
      </c>
      <c r="AF21" s="324">
        <f>$I21*IF($G21="Pickup", SUMIFS(NewEmisData!F:F, NewEmisData!$A:$A, "Pickup", NewEmisData!$B:$B, $A21, NewEmisData!$C:$C, $H21, NewEmisData!$D:$D, AF$2), SUMIFS(NewEmisData!F:F, NewEmisData!$A:$A, "LDV", NewEmisData!$B:$B, $A21, NewEmisData!$C:$C, $H21, NewEmisData!$D:$D, AF$2))</f>
        <v>9.9952440902568301E-3</v>
      </c>
      <c r="AG21" s="324">
        <f>$I21*IF($G21="Pickup", SUMIFS(NewEmisData!G:G, NewEmisData!$A:$A, "Pickup", NewEmisData!$B:$B, $A21, NewEmisData!$C:$C, $H21, NewEmisData!$D:$D, AG$2), SUMIFS(NewEmisData!G:G, NewEmisData!$A:$A, "LDV", NewEmisData!$B:$B, $A21, NewEmisData!$C:$C, $H21, NewEmisData!$D:$D, AG$2))</f>
        <v>2.8615465413590799E-3</v>
      </c>
      <c r="AH21" s="324">
        <f>$I21*IF($G21="Pickup", SUMIFS(NewEmisData!H:H, NewEmisData!$A:$A, "Pickup", NewEmisData!$B:$B, $A21, NewEmisData!$C:$C, $H21, NewEmisData!$D:$D, AH$2), SUMIFS(NewEmisData!H:H, NewEmisData!$A:$A, "LDV", NewEmisData!$B:$B, $A21, NewEmisData!$C:$C, $H21, NewEmisData!$D:$D, AH$2))</f>
        <v>2.3897731636762301E-3</v>
      </c>
      <c r="AI21" s="324">
        <f>$I21*IF($G21="Pickup", SUMIFS(NewEmisData!I:I, NewEmisData!$A:$A, "Pickup", NewEmisData!$B:$B, $A21, NewEmisData!$C:$C, $H21, NewEmisData!$D:$D, AI$2), SUMIFS(NewEmisData!I:I, NewEmisData!$A:$A, "LDV", NewEmisData!$B:$B, $A21, NewEmisData!$C:$C, $H21, NewEmisData!$D:$D, AI$2))</f>
        <v>2.1757621427749502E-3</v>
      </c>
      <c r="AJ21" s="324">
        <f>$I21*IF($G21="Pickup", SUMIFS(NewEmisData!J:J, NewEmisData!$A:$A, "Pickup", NewEmisData!$B:$B, $A21, NewEmisData!$C:$C, $H21, NewEmisData!$D:$D, AJ$2), SUMIFS(NewEmisData!J:J, NewEmisData!$A:$A, "LDV", NewEmisData!$B:$B, $A21, NewEmisData!$C:$C, $H21, NewEmisData!$D:$D, AJ$2))</f>
        <v>2.0872445644692299E-3</v>
      </c>
      <c r="AK21" s="324">
        <f>$I21*IF($G21="Pickup", SUMIFS(NewEmisData!K:K, NewEmisData!$A:$A, "Pickup", NewEmisData!$B:$B, $A21, NewEmisData!$C:$C, $H21, NewEmisData!$D:$D, AK$2), SUMIFS(NewEmisData!K:K, NewEmisData!$A:$A, "LDV", NewEmisData!$B:$B, $A21, NewEmisData!$C:$C, $H21, NewEmisData!$D:$D, AK$2))</f>
        <v>2.03348692070508E-3</v>
      </c>
      <c r="AL21" s="324">
        <f>$I21*IF($G21="Pickup", SUMIFS(NewEmisData!L:L, NewEmisData!$A:$A, "Pickup", NewEmisData!$B:$B, $A21, NewEmisData!$C:$C, $H21, NewEmisData!$D:$D, AL$2), SUMIFS(NewEmisData!L:L, NewEmisData!$A:$A, "LDV", NewEmisData!$B:$B, $A21, NewEmisData!$C:$C, $H21, NewEmisData!$D:$D, AL$2))</f>
        <v>2.0138761843932198E-3</v>
      </c>
      <c r="AM21" s="324">
        <f>$I21*IF($G21="Pickup", SUMIFS(NewEmisData!M:M, NewEmisData!$A:$A, "Pickup", NewEmisData!$B:$B, $A21, NewEmisData!$C:$C, $H21, NewEmisData!$D:$D, AM$2), SUMIFS(NewEmisData!M:M, NewEmisData!$A:$A, "LDV", NewEmisData!$B:$B, $A21, NewEmisData!$C:$C, $H21, NewEmisData!$D:$D, AM$2))</f>
        <v>2.0134431442024002E-3</v>
      </c>
      <c r="AN21" s="324">
        <f t="shared" si="7"/>
        <v>2.0134431442024002E-3</v>
      </c>
      <c r="AO21" s="324">
        <f>$I21*IF($G21="Pickup", SUMIFS(NewEmisData!E:E, NewEmisData!$A:$A, "Pickup", NewEmisData!$B:$B, $A21, NewEmisData!$C:$C, $H21, NewEmisData!$D:$D, AO$2), SUMIFS(NewEmisData!E:E, NewEmisData!$A:$A, "LDV", NewEmisData!$B:$B, $A21, NewEmisData!$C:$C, $H21, NewEmisData!$D:$D, AO$2))</f>
        <v>0.10831971626595401</v>
      </c>
      <c r="AP21" s="324">
        <f>$I21*IF($G21="Pickup", SUMIFS(NewEmisData!F:F, NewEmisData!$A:$A, "Pickup", NewEmisData!$B:$B, $A21, NewEmisData!$C:$C, $H21, NewEmisData!$D:$D, AP$2), SUMIFS(NewEmisData!F:F, NewEmisData!$A:$A, "LDV", NewEmisData!$B:$B, $A21, NewEmisData!$C:$C, $H21, NewEmisData!$D:$D, AP$2))</f>
        <v>7.51921551228555E-2</v>
      </c>
      <c r="AQ21" s="324">
        <f>$I21*IF($G21="Pickup", SUMIFS(NewEmisData!G:G, NewEmisData!$A:$A, "Pickup", NewEmisData!$B:$B, $A21, NewEmisData!$C:$C, $H21, NewEmisData!$D:$D, AQ$2), SUMIFS(NewEmisData!G:G, NewEmisData!$A:$A, "LDV", NewEmisData!$B:$B, $A21, NewEmisData!$C:$C, $H21, NewEmisData!$D:$D, AQ$2))</f>
        <v>6.01393435807746E-2</v>
      </c>
      <c r="AR21" s="324">
        <f>$I21*IF($G21="Pickup", SUMIFS(NewEmisData!H:H, NewEmisData!$A:$A, "Pickup", NewEmisData!$B:$B, $A21, NewEmisData!$C:$C, $H21, NewEmisData!$D:$D, AR$2), SUMIFS(NewEmisData!H:H, NewEmisData!$A:$A, "LDV", NewEmisData!$B:$B, $A21, NewEmisData!$C:$C, $H21, NewEmisData!$D:$D, AR$2))</f>
        <v>5.915482339026E-2</v>
      </c>
      <c r="AS21" s="324">
        <f>$I21*IF($G21="Pickup", SUMIFS(NewEmisData!I:I, NewEmisData!$A:$A, "Pickup", NewEmisData!$B:$B, $A21, NewEmisData!$C:$C, $H21, NewEmisData!$D:$D, AS$2), SUMIFS(NewEmisData!I:I, NewEmisData!$A:$A, "LDV", NewEmisData!$B:$B, $A21, NewEmisData!$C:$C, $H21, NewEmisData!$D:$D, AS$2))</f>
        <v>5.90367985492673E-2</v>
      </c>
      <c r="AT21" s="324">
        <f>$I21*IF($G21="Pickup", SUMIFS(NewEmisData!J:J, NewEmisData!$A:$A, "Pickup", NewEmisData!$B:$B, $A21, NewEmisData!$C:$C, $H21, NewEmisData!$D:$D, AT$2), SUMIFS(NewEmisData!J:J, NewEmisData!$A:$A, "LDV", NewEmisData!$B:$B, $A21, NewEmisData!$C:$C, $H21, NewEmisData!$D:$D, AT$2))</f>
        <v>5.9096852542489697E-2</v>
      </c>
      <c r="AU21" s="324">
        <f>$I21*IF($G21="Pickup", SUMIFS(NewEmisData!K:K, NewEmisData!$A:$A, "Pickup", NewEmisData!$B:$B, $A21, NewEmisData!$C:$C, $H21, NewEmisData!$D:$D, AU$2), SUMIFS(NewEmisData!K:K, NewEmisData!$A:$A, "LDV", NewEmisData!$B:$B, $A21, NewEmisData!$C:$C, $H21, NewEmisData!$D:$D, AU$2))</f>
        <v>5.9090238154649199E-2</v>
      </c>
      <c r="AV21" s="324">
        <f>$I21*IF($G21="Pickup", SUMIFS(NewEmisData!L:L, NewEmisData!$A:$A, "Pickup", NewEmisData!$B:$B, $A21, NewEmisData!$C:$C, $H21, NewEmisData!$D:$D, AV$2), SUMIFS(NewEmisData!L:L, NewEmisData!$A:$A, "LDV", NewEmisData!$B:$B, $A21, NewEmisData!$C:$C, $H21, NewEmisData!$D:$D, AV$2))</f>
        <v>5.90796096133216E-2</v>
      </c>
      <c r="AW21" s="324">
        <f>$I21*IF($G21="Pickup", SUMIFS(NewEmisData!M:M, NewEmisData!$A:$A, "Pickup", NewEmisData!$B:$B, $A21, NewEmisData!$C:$C, $H21, NewEmisData!$D:$D, AW$2), SUMIFS(NewEmisData!M:M, NewEmisData!$A:$A, "LDV", NewEmisData!$B:$B, $A21, NewEmisData!$C:$C, $H21, NewEmisData!$D:$D, AW$2))</f>
        <v>5.9120090191233099E-2</v>
      </c>
      <c r="AX21" s="324">
        <f t="shared" si="8"/>
        <v>5.9120090191233099E-2</v>
      </c>
      <c r="AY21" s="324">
        <f>$I21*IF($G21="Pickup", SUMIFS(NewEmisData!E:E, NewEmisData!$A:$A, "Pickup", NewEmisData!$B:$B, $A21, NewEmisData!$C:$C, $H21, NewEmisData!$D:$D, AY$2), SUMIFS(NewEmisData!E:E, NewEmisData!$A:$A, "LDV", NewEmisData!$B:$B, $A21, NewEmisData!$C:$C, $H21, NewEmisData!$D:$D, AY$2))</f>
        <v>5.6019255696326403E-2</v>
      </c>
      <c r="AZ21" s="324">
        <f>$I21*IF($G21="Pickup", SUMIFS(NewEmisData!F:F, NewEmisData!$A:$A, "Pickup", NewEmisData!$B:$B, $A21, NewEmisData!$C:$C, $H21, NewEmisData!$D:$D, AZ$2), SUMIFS(NewEmisData!F:F, NewEmisData!$A:$A, "LDV", NewEmisData!$B:$B, $A21, NewEmisData!$C:$C, $H21, NewEmisData!$D:$D, AZ$2))</f>
        <v>2.5542017960839599E-2</v>
      </c>
      <c r="BA21" s="324">
        <f>$I21*IF($G21="Pickup", SUMIFS(NewEmisData!G:G, NewEmisData!$A:$A, "Pickup", NewEmisData!$B:$B, $A21, NewEmisData!$C:$C, $H21, NewEmisData!$D:$D, BA$2), SUMIFS(NewEmisData!G:G, NewEmisData!$A:$A, "LDV", NewEmisData!$B:$B, $A21, NewEmisData!$C:$C, $H21, NewEmisData!$D:$D, BA$2))</f>
        <v>1.11121396466055E-2</v>
      </c>
      <c r="BB21" s="324">
        <f>$I21*IF($G21="Pickup", SUMIFS(NewEmisData!H:H, NewEmisData!$A:$A, "Pickup", NewEmisData!$B:$B, $A21, NewEmisData!$C:$C, $H21, NewEmisData!$D:$D, BB$2), SUMIFS(NewEmisData!H:H, NewEmisData!$A:$A, "LDV", NewEmisData!$B:$B, $A21, NewEmisData!$C:$C, $H21, NewEmisData!$D:$D, BB$2))</f>
        <v>1.0206481959038401E-2</v>
      </c>
      <c r="BC21" s="324">
        <f>$I21*IF($G21="Pickup", SUMIFS(NewEmisData!I:I, NewEmisData!$A:$A, "Pickup", NewEmisData!$B:$B, $A21, NewEmisData!$C:$C, $H21, NewEmisData!$D:$D, BC$2), SUMIFS(NewEmisData!I:I, NewEmisData!$A:$A, "LDV", NewEmisData!$B:$B, $A21, NewEmisData!$C:$C, $H21, NewEmisData!$D:$D, BC$2))</f>
        <v>1.00978805100248E-2</v>
      </c>
      <c r="BD21" s="324">
        <f>$I21*IF($G21="Pickup", SUMIFS(NewEmisData!J:J, NewEmisData!$A:$A, "Pickup", NewEmisData!$B:$B, $A21, NewEmisData!$C:$C, $H21, NewEmisData!$D:$D, BD$2), SUMIFS(NewEmisData!J:J, NewEmisData!$A:$A, "LDV", NewEmisData!$B:$B, $A21, NewEmisData!$C:$C, $H21, NewEmisData!$D:$D, BD$2))</f>
        <v>1.01531295733735E-2</v>
      </c>
      <c r="BE21" s="324">
        <f>$I21*IF($G21="Pickup", SUMIFS(NewEmisData!K:K, NewEmisData!$A:$A, "Pickup", NewEmisData!$B:$B, $A21, NewEmisData!$C:$C, $H21, NewEmisData!$D:$D, BE$2), SUMIFS(NewEmisData!K:K, NewEmisData!$A:$A, "LDV", NewEmisData!$B:$B, $A21, NewEmisData!$C:$C, $H21, NewEmisData!$D:$D, BE$2))</f>
        <v>1.0147042075548099E-2</v>
      </c>
      <c r="BF21" s="324">
        <f>$I21*IF($G21="Pickup", SUMIFS(NewEmisData!L:L, NewEmisData!$A:$A, "Pickup", NewEmisData!$B:$B, $A21, NewEmisData!$C:$C, $H21, NewEmisData!$D:$D, BF$2), SUMIFS(NewEmisData!L:L, NewEmisData!$A:$A, "LDV", NewEmisData!$B:$B, $A21, NewEmisData!$C:$C, $H21, NewEmisData!$D:$D, BF$2))</f>
        <v>1.0137260551364401E-2</v>
      </c>
      <c r="BG21" s="324">
        <f>$I21*IF($G21="Pickup", SUMIFS(NewEmisData!M:M, NewEmisData!$A:$A, "Pickup", NewEmisData!$B:$B, $A21, NewEmisData!$C:$C, $H21, NewEmisData!$D:$D, BG$2), SUMIFS(NewEmisData!M:M, NewEmisData!$A:$A, "LDV", NewEmisData!$B:$B, $A21, NewEmisData!$C:$C, $H21, NewEmisData!$D:$D, BG$2))</f>
        <v>1.0174550452384501E-2</v>
      </c>
      <c r="BH21" s="324">
        <f t="shared" si="9"/>
        <v>1.0174550452384501E-2</v>
      </c>
      <c r="BI21" s="324">
        <f>$I21*IF($G21="Pickup", SUMIFS(NewEmisData!E:E, NewEmisData!$A:$A, "Pickup", NewEmisData!$B:$B, $A21, NewEmisData!$C:$C, $H21, NewEmisData!$D:$D, BI$2), SUMIFS(NewEmisData!E:E, NewEmisData!$A:$A, "LDV", NewEmisData!$B:$B, $A21, NewEmisData!$C:$C, $H21, NewEmisData!$D:$D, BI$2))</f>
        <v>25.7359255125963</v>
      </c>
      <c r="BJ21" s="324">
        <f>$I21*IF($G21="Pickup", SUMIFS(NewEmisData!F:F, NewEmisData!$A:$A, "Pickup", NewEmisData!$B:$B, $A21, NewEmisData!$C:$C, $H21, NewEmisData!$D:$D, BJ$2), SUMIFS(NewEmisData!F:F, NewEmisData!$A:$A, "LDV", NewEmisData!$B:$B, $A21, NewEmisData!$C:$C, $H21, NewEmisData!$D:$D, BJ$2))</f>
        <v>9.6608254694220292</v>
      </c>
      <c r="BK21" s="324">
        <f>$I21*IF($G21="Pickup", SUMIFS(NewEmisData!G:G, NewEmisData!$A:$A, "Pickup", NewEmisData!$B:$B, $A21, NewEmisData!$C:$C, $H21, NewEmisData!$D:$D, BK$2), SUMIFS(NewEmisData!G:G, NewEmisData!$A:$A, "LDV", NewEmisData!$B:$B, $A21, NewEmisData!$C:$C, $H21, NewEmisData!$D:$D, BK$2))</f>
        <v>1.5868606265345599</v>
      </c>
      <c r="BL21" s="324">
        <f>$I21*IF($G21="Pickup", SUMIFS(NewEmisData!H:H, NewEmisData!$A:$A, "Pickup", NewEmisData!$B:$B, $A21, NewEmisData!$C:$C, $H21, NewEmisData!$D:$D, BL$2), SUMIFS(NewEmisData!H:H, NewEmisData!$A:$A, "LDV", NewEmisData!$B:$B, $A21, NewEmisData!$C:$C, $H21, NewEmisData!$D:$D, BL$2))</f>
        <v>1.2176793673039601</v>
      </c>
      <c r="BM21" s="324">
        <f>$I21*IF($G21="Pickup", SUMIFS(NewEmisData!I:I, NewEmisData!$A:$A, "Pickup", NewEmisData!$B:$B, $A21, NewEmisData!$C:$C, $H21, NewEmisData!$D:$D, BM$2), SUMIFS(NewEmisData!I:I, NewEmisData!$A:$A, "LDV", NewEmisData!$B:$B, $A21, NewEmisData!$C:$C, $H21, NewEmisData!$D:$D, BM$2))</f>
        <v>1.0510354041170999</v>
      </c>
      <c r="BN21" s="324">
        <f>$I21*IF($G21="Pickup", SUMIFS(NewEmisData!J:J, NewEmisData!$A:$A, "Pickup", NewEmisData!$B:$B, $A21, NewEmisData!$C:$C, $H21, NewEmisData!$D:$D, BN$2), SUMIFS(NewEmisData!J:J, NewEmisData!$A:$A, "LDV", NewEmisData!$B:$B, $A21, NewEmisData!$C:$C, $H21, NewEmisData!$D:$D, BN$2))</f>
        <v>1.00292244742092</v>
      </c>
      <c r="BO21" s="324">
        <f>$I21*IF($G21="Pickup", SUMIFS(NewEmisData!K:K, NewEmisData!$A:$A, "Pickup", NewEmisData!$B:$B, $A21, NewEmisData!$C:$C, $H21, NewEmisData!$D:$D, BO$2), SUMIFS(NewEmisData!K:K, NewEmisData!$A:$A, "LDV", NewEmisData!$B:$B, $A21, NewEmisData!$C:$C, $H21, NewEmisData!$D:$D, BO$2))</f>
        <v>0.95159033350268696</v>
      </c>
      <c r="BP21" s="324">
        <f>$I21*IF($G21="Pickup", SUMIFS(NewEmisData!L:L, NewEmisData!$A:$A, "Pickup", NewEmisData!$B:$B, $A21, NewEmisData!$C:$C, $H21, NewEmisData!$D:$D, BP$2), SUMIFS(NewEmisData!L:L, NewEmisData!$A:$A, "LDV", NewEmisData!$B:$B, $A21, NewEmisData!$C:$C, $H21, NewEmisData!$D:$D, BP$2))</f>
        <v>0.92637431175947205</v>
      </c>
      <c r="BQ21" s="324">
        <f>$I21*IF($G21="Pickup", SUMIFS(NewEmisData!M:M, NewEmisData!$A:$A, "Pickup", NewEmisData!$B:$B, $A21, NewEmisData!$C:$C, $H21, NewEmisData!$D:$D, BQ$2), SUMIFS(NewEmisData!M:M, NewEmisData!$A:$A, "LDV", NewEmisData!$B:$B, $A21, NewEmisData!$C:$C, $H21, NewEmisData!$D:$D, BQ$2))</f>
        <v>0.93213232013860903</v>
      </c>
      <c r="BR21" s="324">
        <f t="shared" si="10"/>
        <v>0.93213232013860903</v>
      </c>
      <c r="BS21" s="324">
        <f>$I21*IF($G21="Pickup", SUMIFS(NewEmisData!E:E, NewEmisData!$A:$A, "Pickup", NewEmisData!$B:$B, $A21, NewEmisData!$C:$C, $H21, NewEmisData!$D:$D, BS$2), SUMIFS(NewEmisData!E:E, NewEmisData!$A:$A, "LDV", NewEmisData!$B:$B, $A21, NewEmisData!$C:$C, $H21, NewEmisData!$D:$D, BS$2))</f>
        <v>2.3600316803923498</v>
      </c>
      <c r="BT21" s="324">
        <f>$I21*IF($G21="Pickup", SUMIFS(NewEmisData!F:F, NewEmisData!$A:$A, "Pickup", NewEmisData!$B:$B, $A21, NewEmisData!$C:$C, $H21, NewEmisData!$D:$D, BT$2), SUMIFS(NewEmisData!F:F, NewEmisData!$A:$A, "LDV", NewEmisData!$B:$B, $A21, NewEmisData!$C:$C, $H21, NewEmisData!$D:$D, BT$2))</f>
        <v>0.86729043326035704</v>
      </c>
      <c r="BU21" s="324">
        <f>$I21*IF($G21="Pickup", SUMIFS(NewEmisData!G:G, NewEmisData!$A:$A, "Pickup", NewEmisData!$B:$B, $A21, NewEmisData!$C:$C, $H21, NewEmisData!$D:$D, BU$2), SUMIFS(NewEmisData!G:G, NewEmisData!$A:$A, "LDV", NewEmisData!$B:$B, $A21, NewEmisData!$C:$C, $H21, NewEmisData!$D:$D, BU$2))</f>
        <v>0.110736526137932</v>
      </c>
      <c r="BV21" s="324">
        <f>$I21*IF($G21="Pickup", SUMIFS(NewEmisData!H:H, NewEmisData!$A:$A, "Pickup", NewEmisData!$B:$B, $A21, NewEmisData!$C:$C, $H21, NewEmisData!$D:$D, BV$2), SUMIFS(NewEmisData!H:H, NewEmisData!$A:$A, "LDV", NewEmisData!$B:$B, $A21, NewEmisData!$C:$C, $H21, NewEmisData!$D:$D, BV$2))</f>
        <v>7.5901512222891696E-2</v>
      </c>
      <c r="BW21" s="324">
        <f>$I21*IF($G21="Pickup", SUMIFS(NewEmisData!I:I, NewEmisData!$A:$A, "Pickup", NewEmisData!$B:$B, $A21, NewEmisData!$C:$C, $H21, NewEmisData!$D:$D, BW$2), SUMIFS(NewEmisData!I:I, NewEmisData!$A:$A, "LDV", NewEmisData!$B:$B, $A21, NewEmisData!$C:$C, $H21, NewEmisData!$D:$D, BW$2))</f>
        <v>5.8492240477683803E-2</v>
      </c>
      <c r="BX21" s="324">
        <f>$I21*IF($G21="Pickup", SUMIFS(NewEmisData!J:J, NewEmisData!$A:$A, "Pickup", NewEmisData!$B:$B, $A21, NewEmisData!$C:$C, $H21, NewEmisData!$D:$D, BX$2), SUMIFS(NewEmisData!J:J, NewEmisData!$A:$A, "LDV", NewEmisData!$B:$B, $A21, NewEmisData!$C:$C, $H21, NewEmisData!$D:$D, BX$2))</f>
        <v>5.7141032113164097E-2</v>
      </c>
      <c r="BY21" s="324">
        <f>$I21*IF($G21="Pickup", SUMIFS(NewEmisData!K:K, NewEmisData!$A:$A, "Pickup", NewEmisData!$B:$B, $A21, NewEmisData!$C:$C, $H21, NewEmisData!$D:$D, BY$2), SUMIFS(NewEmisData!K:K, NewEmisData!$A:$A, "LDV", NewEmisData!$B:$B, $A21, NewEmisData!$C:$C, $H21, NewEmisData!$D:$D, BY$2))</f>
        <v>5.5289104211044299E-2</v>
      </c>
      <c r="BZ21" s="324">
        <f>$I21*IF($G21="Pickup", SUMIFS(NewEmisData!L:L, NewEmisData!$A:$A, "Pickup", NewEmisData!$B:$B, $A21, NewEmisData!$C:$C, $H21, NewEmisData!$D:$D, BZ$2), SUMIFS(NewEmisData!L:L, NewEmisData!$A:$A, "LDV", NewEmisData!$B:$B, $A21, NewEmisData!$C:$C, $H21, NewEmisData!$D:$D, BZ$2))</f>
        <v>5.4482372037083497E-2</v>
      </c>
      <c r="CA21" s="324">
        <f>$I21*IF($G21="Pickup", SUMIFS(NewEmisData!M:M, NewEmisData!$A:$A, "Pickup", NewEmisData!$B:$B, $A21, NewEmisData!$C:$C, $H21, NewEmisData!$D:$D, CA$2), SUMIFS(NewEmisData!M:M, NewEmisData!$A:$A, "LDV", NewEmisData!$B:$B, $A21, NewEmisData!$C:$C, $H21, NewEmisData!$D:$D, CA$2))</f>
        <v>5.5017621362252002E-2</v>
      </c>
      <c r="CB21" s="324">
        <f t="shared" si="11"/>
        <v>5.5017621362252002E-2</v>
      </c>
      <c r="CC21" s="324">
        <f>$I21*IF($G21="Pickup", SUMIFS(NewEmisData!E:E, NewEmisData!$A:$A, "Pickup", NewEmisData!$B:$B, $A21, NewEmisData!$C:$C, $H21, NewEmisData!$D:$D, CC$2), SUMIFS(NewEmisData!E:E, NewEmisData!$A:$A, "LDV", NewEmisData!$B:$B, $A21, NewEmisData!$C:$C, $H21, NewEmisData!$D:$D, CC$2))</f>
        <v>8.1351723095982893E-3</v>
      </c>
      <c r="CD21" s="324">
        <f>$I21*IF($G21="Pickup", SUMIFS(NewEmisData!F:F, NewEmisData!$A:$A, "Pickup", NewEmisData!$B:$B, $A21, NewEmisData!$C:$C, $H21, NewEmisData!$D:$D, CD$2), SUMIFS(NewEmisData!F:F, NewEmisData!$A:$A, "LDV", NewEmisData!$B:$B, $A21, NewEmisData!$C:$C, $H21, NewEmisData!$D:$D, CD$2))</f>
        <v>8.1351745562756508E-3</v>
      </c>
      <c r="CE21" s="324">
        <f>$I21*IF($G21="Pickup", SUMIFS(NewEmisData!G:G, NewEmisData!$A:$A, "Pickup", NewEmisData!$B:$B, $A21, NewEmisData!$C:$C, $H21, NewEmisData!$D:$D, CE$2), SUMIFS(NewEmisData!G:G, NewEmisData!$A:$A, "LDV", NewEmisData!$B:$B, $A21, NewEmisData!$C:$C, $H21, NewEmisData!$D:$D, CE$2))</f>
        <v>8.9774038648681997E-3</v>
      </c>
      <c r="CF21" s="324">
        <f>$I21*IF($G21="Pickup", SUMIFS(NewEmisData!H:H, NewEmisData!$A:$A, "Pickup", NewEmisData!$B:$B, $A21, NewEmisData!$C:$C, $H21, NewEmisData!$D:$D, CF$2), SUMIFS(NewEmisData!H:H, NewEmisData!$A:$A, "LDV", NewEmisData!$B:$B, $A21, NewEmisData!$C:$C, $H21, NewEmisData!$D:$D, CF$2))</f>
        <v>8.9773869601495193E-3</v>
      </c>
      <c r="CG21" s="324">
        <f>$I21*IF($G21="Pickup", SUMIFS(NewEmisData!I:I, NewEmisData!$A:$A, "Pickup", NewEmisData!$B:$B, $A21, NewEmisData!$C:$C, $H21, NewEmisData!$D:$D, CG$2), SUMIFS(NewEmisData!I:I, NewEmisData!$A:$A, "LDV", NewEmisData!$B:$B, $A21, NewEmisData!$C:$C, $H21, NewEmisData!$D:$D, CG$2))</f>
        <v>8.9773911150380793E-3</v>
      </c>
      <c r="CH21" s="324">
        <f>$I21*IF($G21="Pickup", SUMIFS(NewEmisData!J:J, NewEmisData!$A:$A, "Pickup", NewEmisData!$B:$B, $A21, NewEmisData!$C:$C, $H21, NewEmisData!$D:$D, CH$2), SUMIFS(NewEmisData!J:J, NewEmisData!$A:$A, "LDV", NewEmisData!$B:$B, $A21, NewEmisData!$C:$C, $H21, NewEmisData!$D:$D, CH$2))</f>
        <v>8.9773892839756404E-3</v>
      </c>
      <c r="CI21" s="324">
        <f>$I21*IF($G21="Pickup", SUMIFS(NewEmisData!K:K, NewEmisData!$A:$A, "Pickup", NewEmisData!$B:$B, $A21, NewEmisData!$C:$C, $H21, NewEmisData!$D:$D, CI$2), SUMIFS(NewEmisData!K:K, NewEmisData!$A:$A, "LDV", NewEmisData!$B:$B, $A21, NewEmisData!$C:$C, $H21, NewEmisData!$D:$D, CI$2))</f>
        <v>8.9773894598061902E-3</v>
      </c>
      <c r="CJ21" s="324">
        <f>$I21*IF($G21="Pickup", SUMIFS(NewEmisData!L:L, NewEmisData!$A:$A, "Pickup", NewEmisData!$B:$B, $A21, NewEmisData!$C:$C, $H21, NewEmisData!$D:$D, CJ$2), SUMIFS(NewEmisData!L:L, NewEmisData!$A:$A, "LDV", NewEmisData!$B:$B, $A21, NewEmisData!$C:$C, $H21, NewEmisData!$D:$D, CJ$2))</f>
        <v>8.9773849530117907E-3</v>
      </c>
      <c r="CK21" s="324">
        <f>$I21*IF($G21="Pickup", SUMIFS(NewEmisData!M:M, NewEmisData!$A:$A, "Pickup", NewEmisData!$B:$B, $A21, NewEmisData!$C:$C, $H21, NewEmisData!$D:$D, CK$2), SUMIFS(NewEmisData!M:M, NewEmisData!$A:$A, "LDV", NewEmisData!$B:$B, $A21, NewEmisData!$C:$C, $H21, NewEmisData!$D:$D, CK$2))</f>
        <v>8.9773771810134195E-3</v>
      </c>
      <c r="CL21" s="324">
        <f t="shared" si="12"/>
        <v>8.9773771810134195E-3</v>
      </c>
      <c r="CM21" s="324">
        <f>$I21*IF($G21="Pickup", SUMIFS(NewEmisData!E:E, NewEmisData!$A:$A, "Pickup", NewEmisData!$B:$B, $A21, NewEmisData!$C:$C, $H21, NewEmisData!$D:$D, CM$2), SUMIFS(NewEmisData!E:E, NewEmisData!$A:$A, "LDV", NewEmisData!$B:$B, $A21, NewEmisData!$C:$C, $H21, NewEmisData!$D:$D, CM$2))</f>
        <v>1.06890810544702E-3</v>
      </c>
      <c r="CN21" s="324">
        <f>$I21*IF($G21="Pickup", SUMIFS(NewEmisData!F:F, NewEmisData!$A:$A, "Pickup", NewEmisData!$B:$B, $A21, NewEmisData!$C:$C, $H21, NewEmisData!$D:$D, CN$2), SUMIFS(NewEmisData!F:F, NewEmisData!$A:$A, "LDV", NewEmisData!$B:$B, $A21, NewEmisData!$C:$C, $H21, NewEmisData!$D:$D, CN$2))</f>
        <v>9.8276928788775995E-4</v>
      </c>
      <c r="CO21" s="324">
        <f>$I21*IF($G21="Pickup", SUMIFS(NewEmisData!G:G, NewEmisData!$A:$A, "Pickup", NewEmisData!$B:$B, $A21, NewEmisData!$C:$C, $H21, NewEmisData!$D:$D, CO$2), SUMIFS(NewEmisData!G:G, NewEmisData!$A:$A, "LDV", NewEmisData!$B:$B, $A21, NewEmisData!$C:$C, $H21, NewEmisData!$D:$D, CO$2))</f>
        <v>1.0388015160064301E-3</v>
      </c>
      <c r="CP21" s="324">
        <f>$I21*IF($G21="Pickup", SUMIFS(NewEmisData!H:H, NewEmisData!$A:$A, "Pickup", NewEmisData!$B:$B, $A21, NewEmisData!$C:$C, $H21, NewEmisData!$D:$D, CP$2), SUMIFS(NewEmisData!H:H, NewEmisData!$A:$A, "LDV", NewEmisData!$B:$B, $A21, NewEmisData!$C:$C, $H21, NewEmisData!$D:$D, CP$2))</f>
        <v>1.04042771571272E-3</v>
      </c>
      <c r="CQ21" s="324">
        <f>$I21*IF($G21="Pickup", SUMIFS(NewEmisData!I:I, NewEmisData!$A:$A, "Pickup", NewEmisData!$B:$B, $A21, NewEmisData!$C:$C, $H21, NewEmisData!$D:$D, CQ$2), SUMIFS(NewEmisData!I:I, NewEmisData!$A:$A, "LDV", NewEmisData!$B:$B, $A21, NewEmisData!$C:$C, $H21, NewEmisData!$D:$D, CQ$2))</f>
        <v>1.0463302398882599E-3</v>
      </c>
      <c r="CR21" s="324">
        <f>$I21*IF($G21="Pickup", SUMIFS(NewEmisData!J:J, NewEmisData!$A:$A, "Pickup", NewEmisData!$B:$B, $A21, NewEmisData!$C:$C, $H21, NewEmisData!$D:$D, CR$2), SUMIFS(NewEmisData!J:J, NewEmisData!$A:$A, "LDV", NewEmisData!$B:$B, $A21, NewEmisData!$C:$C, $H21, NewEmisData!$D:$D, CR$2))</f>
        <v>1.05404632398643E-3</v>
      </c>
      <c r="CS21" s="324">
        <f>$I21*IF($G21="Pickup", SUMIFS(NewEmisData!K:K, NewEmisData!$A:$A, "Pickup", NewEmisData!$B:$B, $A21, NewEmisData!$C:$C, $H21, NewEmisData!$D:$D, CS$2), SUMIFS(NewEmisData!K:K, NewEmisData!$A:$A, "LDV", NewEmisData!$B:$B, $A21, NewEmisData!$C:$C, $H21, NewEmisData!$D:$D, CS$2))</f>
        <v>1.05796184016042E-3</v>
      </c>
      <c r="CT21" s="324">
        <f>$I21*IF($G21="Pickup", SUMIFS(NewEmisData!L:L, NewEmisData!$A:$A, "Pickup", NewEmisData!$B:$B, $A21, NewEmisData!$C:$C, $H21, NewEmisData!$D:$D, CT$2), SUMIFS(NewEmisData!L:L, NewEmisData!$A:$A, "LDV", NewEmisData!$B:$B, $A21, NewEmisData!$C:$C, $H21, NewEmisData!$D:$D, CT$2))</f>
        <v>1.05921014380327E-3</v>
      </c>
      <c r="CU21" s="324">
        <f>$I21*IF($G21="Pickup", SUMIFS(NewEmisData!M:M, NewEmisData!$A:$A, "Pickup", NewEmisData!$B:$B, $A21, NewEmisData!$C:$C, $H21, NewEmisData!$D:$D, CU$2), SUMIFS(NewEmisData!M:M, NewEmisData!$A:$A, "LDV", NewEmisData!$B:$B, $A21, NewEmisData!$C:$C, $H21, NewEmisData!$D:$D, CU$2))</f>
        <v>1.0611530168828901E-3</v>
      </c>
      <c r="CV21" s="324">
        <f t="shared" si="13"/>
        <v>1.0611530168828901E-3</v>
      </c>
      <c r="CW21" s="324">
        <v>1.7855353475311885E-3</v>
      </c>
      <c r="CX21" s="324">
        <v>1.1158238015562326E-3</v>
      </c>
      <c r="CY21" s="324">
        <v>9.3466086006125206E-4</v>
      </c>
      <c r="CZ21" s="324">
        <v>8.3812350595498144E-4</v>
      </c>
      <c r="DA21" s="324">
        <v>6.4708026295585627E-4</v>
      </c>
      <c r="DB21" s="324">
        <v>5.1533534928113322E-4</v>
      </c>
      <c r="DC21" s="324">
        <v>4.978529843416348E-4</v>
      </c>
      <c r="DD21" s="324">
        <v>4.9300315911808101E-4</v>
      </c>
      <c r="DE21" s="324">
        <v>4.9234696878064995E-4</v>
      </c>
      <c r="DF21" s="324">
        <v>4.9234696878064995E-4</v>
      </c>
      <c r="DG21" s="324">
        <f>$I21*IF($G21="Pickup", SUMIFS(NewEmisData!E:E, NewEmisData!$A:$A, "Pickup", NewEmisData!$B:$B, $A21, NewEmisData!$C:$C, $H21, NewEmisData!$D:$D, DG$2), SUMIFS(NewEmisData!E:E, NewEmisData!$A:$A, "LDV", NewEmisData!$B:$B, $A21, NewEmisData!$C:$C, $H21, NewEmisData!$D:$D, DG$2))</f>
        <v>0</v>
      </c>
      <c r="DH21" s="324">
        <f>$I21*IF($G21="Pickup", SUMIFS(NewEmisData!F:F, NewEmisData!$A:$A, "Pickup", NewEmisData!$B:$B, $A21, NewEmisData!$C:$C, $H21, NewEmisData!$D:$D, DH$2), SUMIFS(NewEmisData!F:F, NewEmisData!$A:$A, "LDV", NewEmisData!$B:$B, $A21, NewEmisData!$C:$C, $H21, NewEmisData!$D:$D, DH$2))</f>
        <v>0</v>
      </c>
      <c r="DI21" s="324">
        <f>$I21*IF($G21="Pickup", SUMIFS(NewEmisData!G:G, NewEmisData!$A:$A, "Pickup", NewEmisData!$B:$B, $A21, NewEmisData!$C:$C, $H21, NewEmisData!$D:$D, DI$2), SUMIFS(NewEmisData!G:G, NewEmisData!$A:$A, "LDV", NewEmisData!$B:$B, $A21, NewEmisData!$C:$C, $H21, NewEmisData!$D:$D, DI$2))</f>
        <v>0</v>
      </c>
      <c r="DJ21" s="324">
        <f>$I21*IF($G21="Pickup", SUMIFS(NewEmisData!H:H, NewEmisData!$A:$A, "Pickup", NewEmisData!$B:$B, $A21, NewEmisData!$C:$C, $H21, NewEmisData!$D:$D, DJ$2), SUMIFS(NewEmisData!H:H, NewEmisData!$A:$A, "LDV", NewEmisData!$B:$B, $A21, NewEmisData!$C:$C, $H21, NewEmisData!$D:$D, DJ$2))</f>
        <v>0</v>
      </c>
      <c r="DK21" s="324">
        <f>$I21*IF($G21="Pickup", SUMIFS(NewEmisData!I:I, NewEmisData!$A:$A, "Pickup", NewEmisData!$B:$B, $A21, NewEmisData!$C:$C, $H21, NewEmisData!$D:$D, DK$2), SUMIFS(NewEmisData!I:I, NewEmisData!$A:$A, "LDV", NewEmisData!$B:$B, $A21, NewEmisData!$C:$C, $H21, NewEmisData!$D:$D, DK$2))</f>
        <v>0</v>
      </c>
      <c r="DL21" s="324">
        <f>$I21*IF($G21="Pickup", SUMIFS(NewEmisData!J:J, NewEmisData!$A:$A, "Pickup", NewEmisData!$B:$B, $A21, NewEmisData!$C:$C, $H21, NewEmisData!$D:$D, DL$2), SUMIFS(NewEmisData!J:J, NewEmisData!$A:$A, "LDV", NewEmisData!$B:$B, $A21, NewEmisData!$C:$C, $H21, NewEmisData!$D:$D, DL$2))</f>
        <v>0</v>
      </c>
      <c r="DM21" s="324">
        <f>$I21*IF($G21="Pickup", SUMIFS(NewEmisData!K:K, NewEmisData!$A:$A, "Pickup", NewEmisData!$B:$B, $A21, NewEmisData!$C:$C, $H21, NewEmisData!$D:$D, DM$2), SUMIFS(NewEmisData!K:K, NewEmisData!$A:$A, "LDV", NewEmisData!$B:$B, $A21, NewEmisData!$C:$C, $H21, NewEmisData!$D:$D, DM$2))</f>
        <v>0</v>
      </c>
      <c r="DN21" s="324">
        <f>$I21*IF($G21="Pickup", SUMIFS(NewEmisData!L:L, NewEmisData!$A:$A, "Pickup", NewEmisData!$B:$B, $A21, NewEmisData!$C:$C, $H21, NewEmisData!$D:$D, DN$2), SUMIFS(NewEmisData!L:L, NewEmisData!$A:$A, "LDV", NewEmisData!$B:$B, $A21, NewEmisData!$C:$C, $H21, NewEmisData!$D:$D, DN$2))</f>
        <v>0</v>
      </c>
      <c r="DO21" s="324">
        <f>$I21*IF($G21="Pickup", SUMIFS(NewEmisData!M:M, NewEmisData!$A:$A, "Pickup", NewEmisData!$B:$B, $A21, NewEmisData!$C:$C, $H21, NewEmisData!$D:$D, DO$2), SUMIFS(NewEmisData!M:M, NewEmisData!$A:$A, "LDV", NewEmisData!$B:$B, $A21, NewEmisData!$C:$C, $H21, NewEmisData!$D:$D, DO$2))</f>
        <v>0</v>
      </c>
      <c r="DP21" s="324">
        <f t="shared" si="14"/>
        <v>0</v>
      </c>
      <c r="DQ21" s="324">
        <f>$I21*IF($G21="Pickup", SUMIFS(NewEmisData!E:E, NewEmisData!$A:$A, "Pickup", NewEmisData!$B:$B, $A21, NewEmisData!$C:$C, $H21, NewEmisData!$D:$D, DQ$2), SUMIFS(NewEmisData!E:E, NewEmisData!$A:$A, "LDV", NewEmisData!$B:$B, $A21, NewEmisData!$C:$C, $H21, NewEmisData!$D:$D, DQ$2))</f>
        <v>1.4358371794368901E-2</v>
      </c>
      <c r="DR21" s="324">
        <f>$I21*IF($G21="Pickup", SUMIFS(NewEmisData!F:F, NewEmisData!$A:$A, "Pickup", NewEmisData!$B:$B, $A21, NewEmisData!$C:$C, $H21, NewEmisData!$D:$D, DR$2), SUMIFS(NewEmisData!F:F, NewEmisData!$A:$A, "LDV", NewEmisData!$B:$B, $A21, NewEmisData!$C:$C, $H21, NewEmisData!$D:$D, DR$2))</f>
        <v>4.8458502748334797E-2</v>
      </c>
      <c r="DS21" s="324">
        <f>$I21*IF($G21="Pickup", SUMIFS(NewEmisData!G:G, NewEmisData!$A:$A, "Pickup", NewEmisData!$B:$B, $A21, NewEmisData!$C:$C, $H21, NewEmisData!$D:$D, DS$2), SUMIFS(NewEmisData!G:G, NewEmisData!$A:$A, "LDV", NewEmisData!$B:$B, $A21, NewEmisData!$C:$C, $H21, NewEmisData!$D:$D, DS$2))</f>
        <v>5.5764331545387298E-2</v>
      </c>
      <c r="DT21" s="324">
        <f>$I21*IF($G21="Pickup", SUMIFS(NewEmisData!H:H, NewEmisData!$A:$A, "Pickup", NewEmisData!$B:$B, $A21, NewEmisData!$C:$C, $H21, NewEmisData!$D:$D, DT$2), SUMIFS(NewEmisData!H:H, NewEmisData!$A:$A, "LDV", NewEmisData!$B:$B, $A21, NewEmisData!$C:$C, $H21, NewEmisData!$D:$D, DT$2))</f>
        <v>5.6700089978653001E-2</v>
      </c>
      <c r="DU21" s="324">
        <f>$I21*IF($G21="Pickup", SUMIFS(NewEmisData!I:I, NewEmisData!$A:$A, "Pickup", NewEmisData!$B:$B, $A21, NewEmisData!$C:$C, $H21, NewEmisData!$D:$D, DU$2), SUMIFS(NewEmisData!I:I, NewEmisData!$A:$A, "LDV", NewEmisData!$B:$B, $A21, NewEmisData!$C:$C, $H21, NewEmisData!$D:$D, DU$2))</f>
        <v>5.82137428878685E-2</v>
      </c>
      <c r="DV21" s="324">
        <f>$I21*IF($G21="Pickup", SUMIFS(NewEmisData!J:J, NewEmisData!$A:$A, "Pickup", NewEmisData!$B:$B, $A21, NewEmisData!$C:$C, $H21, NewEmisData!$D:$D, DV$2), SUMIFS(NewEmisData!J:J, NewEmisData!$A:$A, "LDV", NewEmisData!$B:$B, $A21, NewEmisData!$C:$C, $H21, NewEmisData!$D:$D, DV$2))</f>
        <v>5.8170546586172198E-2</v>
      </c>
      <c r="DW21" s="324">
        <f>$I21*IF($G21="Pickup", SUMIFS(NewEmisData!K:K, NewEmisData!$A:$A, "Pickup", NewEmisData!$B:$B, $A21, NewEmisData!$C:$C, $H21, NewEmisData!$D:$D, DW$2), SUMIFS(NewEmisData!K:K, NewEmisData!$A:$A, "LDV", NewEmisData!$B:$B, $A21, NewEmisData!$C:$C, $H21, NewEmisData!$D:$D, DW$2))</f>
        <v>5.7454728055515297E-2</v>
      </c>
      <c r="DX21" s="324">
        <f>$I21*IF($G21="Pickup", SUMIFS(NewEmisData!L:L, NewEmisData!$A:$A, "Pickup", NewEmisData!$B:$B, $A21, NewEmisData!$C:$C, $H21, NewEmisData!$D:$D, DX$2), SUMIFS(NewEmisData!L:L, NewEmisData!$A:$A, "LDV", NewEmisData!$B:$B, $A21, NewEmisData!$C:$C, $H21, NewEmisData!$D:$D, DX$2))</f>
        <v>5.6605818902763297E-2</v>
      </c>
      <c r="DY21" s="324">
        <f>$I21*IF($G21="Pickup", SUMIFS(NewEmisData!M:M, NewEmisData!$A:$A, "Pickup", NewEmisData!$B:$B, $A21, NewEmisData!$C:$C, $H21, NewEmisData!$D:$D, DY$2), SUMIFS(NewEmisData!M:M, NewEmisData!$A:$A, "LDV", NewEmisData!$B:$B, $A21, NewEmisData!$C:$C, $H21, NewEmisData!$D:$D, DY$2))</f>
        <v>5.7183132180425103E-2</v>
      </c>
      <c r="DZ21" s="324">
        <f t="shared" si="15"/>
        <v>5.7183132180425103E-2</v>
      </c>
      <c r="EA21" s="324">
        <f t="shared" si="16"/>
        <v>454.22422332698301</v>
      </c>
      <c r="EB21" s="324">
        <f t="shared" si="17"/>
        <v>415.98623310718898</v>
      </c>
      <c r="EC21" s="324">
        <f t="shared" si="18"/>
        <v>341.24154984582401</v>
      </c>
      <c r="ED21" s="324">
        <f t="shared" si="19"/>
        <v>286.14374563306302</v>
      </c>
      <c r="EE21" s="324">
        <f t="shared" si="20"/>
        <v>260.90109398597599</v>
      </c>
      <c r="EF21" s="324">
        <f t="shared" si="21"/>
        <v>250.29294391902499</v>
      </c>
      <c r="EG21" s="324">
        <f t="shared" si="22"/>
        <v>243.907500195674</v>
      </c>
      <c r="EH21" s="324">
        <f t="shared" si="23"/>
        <v>241.55525518103801</v>
      </c>
      <c r="EI21" s="324">
        <f t="shared" si="24"/>
        <v>241.503483186078</v>
      </c>
      <c r="EJ21" s="324">
        <f t="shared" si="25"/>
        <v>241.503483186078</v>
      </c>
      <c r="EK21" s="324">
        <f t="shared" si="26"/>
        <v>1.6110129323604601</v>
      </c>
      <c r="EL21" s="324">
        <f t="shared" si="27"/>
        <v>0.78125490560219701</v>
      </c>
      <c r="EM21" s="324">
        <f t="shared" si="28"/>
        <v>0.115620473733781</v>
      </c>
      <c r="EN21" s="324">
        <f t="shared" si="29"/>
        <v>6.6004639352718095E-2</v>
      </c>
      <c r="EO21" s="324">
        <f t="shared" si="30"/>
        <v>4.1480313552042999E-2</v>
      </c>
      <c r="EP21" s="324">
        <f t="shared" si="31"/>
        <v>3.67143779351497E-2</v>
      </c>
      <c r="EQ21" s="324">
        <f t="shared" si="32"/>
        <v>3.3512426284448803E-2</v>
      </c>
      <c r="ER21" s="324">
        <f t="shared" si="33"/>
        <v>3.2134891572290103E-2</v>
      </c>
      <c r="ES21" s="324">
        <f t="shared" si="34"/>
        <v>3.24152542775758E-2</v>
      </c>
      <c r="ET21" s="324">
        <f t="shared" si="35"/>
        <v>3.24152542775758E-2</v>
      </c>
      <c r="EU21" s="324">
        <f t="shared" si="36"/>
        <v>1.1303261097433201E-2</v>
      </c>
      <c r="EV21" s="324">
        <f t="shared" si="37"/>
        <v>9.9952440902568301E-3</v>
      </c>
      <c r="EW21" s="324">
        <f t="shared" si="38"/>
        <v>2.8615465413590799E-3</v>
      </c>
      <c r="EX21" s="324">
        <f t="shared" si="39"/>
        <v>2.3897731636762301E-3</v>
      </c>
      <c r="EY21" s="324">
        <f t="shared" si="40"/>
        <v>2.1757621427749502E-3</v>
      </c>
      <c r="EZ21" s="324">
        <f t="shared" si="41"/>
        <v>2.0872445644692299E-3</v>
      </c>
      <c r="FA21" s="324">
        <f t="shared" si="42"/>
        <v>2.03348692070508E-3</v>
      </c>
      <c r="FB21" s="324">
        <f t="shared" si="43"/>
        <v>2.0138761843932198E-3</v>
      </c>
      <c r="FC21" s="324">
        <f t="shared" si="44"/>
        <v>2.0134431442024002E-3</v>
      </c>
      <c r="FD21" s="324">
        <f t="shared" si="45"/>
        <v>2.0134431442024002E-3</v>
      </c>
      <c r="FE21" s="324">
        <f t="shared" si="46"/>
        <v>0.10831971626595401</v>
      </c>
      <c r="FF21" s="324">
        <f t="shared" si="47"/>
        <v>7.51921551228555E-2</v>
      </c>
      <c r="FG21" s="324">
        <f t="shared" si="48"/>
        <v>6.01393435807746E-2</v>
      </c>
      <c r="FH21" s="324">
        <f t="shared" si="49"/>
        <v>5.915482339026E-2</v>
      </c>
      <c r="FI21" s="324">
        <f t="shared" si="50"/>
        <v>5.90367985492673E-2</v>
      </c>
      <c r="FJ21" s="324">
        <f t="shared" si="51"/>
        <v>5.9096852542489697E-2</v>
      </c>
      <c r="FK21" s="324">
        <f t="shared" si="52"/>
        <v>5.9090238154649199E-2</v>
      </c>
      <c r="FL21" s="324">
        <f t="shared" si="53"/>
        <v>5.90796096133216E-2</v>
      </c>
      <c r="FM21" s="324">
        <f t="shared" si="54"/>
        <v>5.9120090191233099E-2</v>
      </c>
      <c r="FN21" s="324">
        <f t="shared" si="55"/>
        <v>5.9120090191233099E-2</v>
      </c>
      <c r="FO21" s="324">
        <f t="shared" si="56"/>
        <v>5.6019255696326403E-2</v>
      </c>
      <c r="FP21" s="324">
        <f t="shared" si="57"/>
        <v>2.5542017960839599E-2</v>
      </c>
      <c r="FQ21" s="324">
        <f t="shared" si="58"/>
        <v>1.11121396466055E-2</v>
      </c>
      <c r="FR21" s="324">
        <f t="shared" si="59"/>
        <v>1.0206481959038401E-2</v>
      </c>
      <c r="FS21" s="324">
        <f t="shared" si="60"/>
        <v>1.00978805100248E-2</v>
      </c>
      <c r="FT21" s="324">
        <f t="shared" si="61"/>
        <v>1.01531295733735E-2</v>
      </c>
      <c r="FU21" s="324">
        <f t="shared" si="62"/>
        <v>1.0147042075548099E-2</v>
      </c>
      <c r="FV21" s="324">
        <f t="shared" si="63"/>
        <v>1.0137260551364401E-2</v>
      </c>
      <c r="FW21" s="324">
        <f t="shared" si="64"/>
        <v>1.0174550452384501E-2</v>
      </c>
      <c r="FX21" s="324">
        <f t="shared" si="65"/>
        <v>1.0174550452384501E-2</v>
      </c>
    </row>
    <row r="22" spans="1:180" x14ac:dyDescent="0.2">
      <c r="A22" s="298" t="str">
        <f>_xlfn.CONCAT(IF(LEFT(TRIM(A21),1)="*", "*R", "R"), 1+RIGHT(TRIM(A21),1))</f>
        <v>R4</v>
      </c>
      <c r="B22" s="298" t="str">
        <f t="shared" si="76"/>
        <v>TLEFDSL</v>
      </c>
      <c r="C22" s="298" t="str">
        <f t="shared" si="77"/>
        <v>TL.DSL.F.Existing fleet</v>
      </c>
      <c r="D22" s="294" t="str">
        <f t="shared" si="78"/>
        <v>bn-vmt, bn-vmt/a</v>
      </c>
      <c r="E22" s="294" t="str">
        <f t="shared" si="79"/>
        <v>TRNDSL</v>
      </c>
      <c r="F22" s="294" t="str">
        <f t="shared" si="80"/>
        <v>TL</v>
      </c>
      <c r="G22" s="294" t="s">
        <v>476</v>
      </c>
      <c r="H22" s="294" t="s">
        <v>477</v>
      </c>
      <c r="I22" s="294">
        <v>1</v>
      </c>
      <c r="J22" s="308" t="str">
        <f t="shared" si="2"/>
        <v>Full size car-DSL</v>
      </c>
      <c r="K22" s="324">
        <f>$I22*IF($G22="Pickup", SUMIFS(NewEmisData!E:E, NewEmisData!$A:$A, "Pickup", NewEmisData!$B:$B, $A22, NewEmisData!$C:$C, $H22, NewEmisData!$D:$D, K$2), SUMIFS(NewEmisData!E:E, NewEmisData!$A:$A, "LDV", NewEmisData!$B:$B, $A22, NewEmisData!$C:$C, $H22, NewEmisData!$D:$D, K$2))</f>
        <v>592.25900902446597</v>
      </c>
      <c r="L22" s="324">
        <f>$I22*IF($G22="Pickup", SUMIFS(NewEmisData!F:F, NewEmisData!$A:$A, "Pickup", NewEmisData!$B:$B, $A22, NewEmisData!$C:$C, $H22, NewEmisData!$D:$D, L$2), SUMIFS(NewEmisData!F:F, NewEmisData!$A:$A, "LDV", NewEmisData!$B:$B, $A22, NewEmisData!$C:$C, $H22, NewEmisData!$D:$D, L$2))</f>
        <v>520.64964372058603</v>
      </c>
      <c r="M22" s="324">
        <f>$I22*IF($G22="Pickup", SUMIFS(NewEmisData!G:G, NewEmisData!$A:$A, "Pickup", NewEmisData!$B:$B, $A22, NewEmisData!$C:$C, $H22, NewEmisData!$D:$D, M$2), SUMIFS(NewEmisData!G:G, NewEmisData!$A:$A, "LDV", NewEmisData!$B:$B, $A22, NewEmisData!$C:$C, $H22, NewEmisData!$D:$D, M$2))</f>
        <v>392.28875494890798</v>
      </c>
      <c r="N22" s="324">
        <f>$I22*IF($G22="Pickup", SUMIFS(NewEmisData!H:H, NewEmisData!$A:$A, "Pickup", NewEmisData!$B:$B, $A22, NewEmisData!$C:$C, $H22, NewEmisData!$D:$D, N$2), SUMIFS(NewEmisData!H:H, NewEmisData!$A:$A, "LDV", NewEmisData!$B:$B, $A22, NewEmisData!$C:$C, $H22, NewEmisData!$D:$D, N$2))</f>
        <v>328.93351567098</v>
      </c>
      <c r="O22" s="324">
        <f>$I22*IF($G22="Pickup", SUMIFS(NewEmisData!I:I, NewEmisData!$A:$A, "Pickup", NewEmisData!$B:$B, $A22, NewEmisData!$C:$C, $H22, NewEmisData!$D:$D, O$2), SUMIFS(NewEmisData!I:I, NewEmisData!$A:$A, "LDV", NewEmisData!$B:$B, $A22, NewEmisData!$C:$C, $H22, NewEmisData!$D:$D, O$2))</f>
        <v>299.82015329661198</v>
      </c>
      <c r="P22" s="324">
        <f>$I22*IF($G22="Pickup", SUMIFS(NewEmisData!J:J, NewEmisData!$A:$A, "Pickup", NewEmisData!$B:$B, $A22, NewEmisData!$C:$C, $H22, NewEmisData!$D:$D, P$2), SUMIFS(NewEmisData!J:J, NewEmisData!$A:$A, "LDV", NewEmisData!$B:$B, $A22, NewEmisData!$C:$C, $H22, NewEmisData!$D:$D, P$2))</f>
        <v>287.49392836870999</v>
      </c>
      <c r="Q22" s="324">
        <f>$I22*IF($G22="Pickup", SUMIFS(NewEmisData!K:K, NewEmisData!$A:$A, "Pickup", NewEmisData!$B:$B, $A22, NewEmisData!$C:$C, $H22, NewEmisData!$D:$D, Q$2), SUMIFS(NewEmisData!K:K, NewEmisData!$A:$A, "LDV", NewEmisData!$B:$B, $A22, NewEmisData!$C:$C, $H22, NewEmisData!$D:$D, Q$2))</f>
        <v>280.08458814076198</v>
      </c>
      <c r="R22" s="324">
        <f>$I22*IF($G22="Pickup", SUMIFS(NewEmisData!L:L, NewEmisData!$A:$A, "Pickup", NewEmisData!$B:$B, $A22, NewEmisData!$C:$C, $H22, NewEmisData!$D:$D, R$2), SUMIFS(NewEmisData!L:L, NewEmisData!$A:$A, "LDV", NewEmisData!$B:$B, $A22, NewEmisData!$C:$C, $H22, NewEmisData!$D:$D, R$2))</f>
        <v>277.36555832713299</v>
      </c>
      <c r="S22" s="324">
        <f>$I22*IF($G22="Pickup", SUMIFS(NewEmisData!M:M, NewEmisData!$A:$A, "Pickup", NewEmisData!$B:$B, $A22, NewEmisData!$C:$C, $H22, NewEmisData!$D:$D, S$2), SUMIFS(NewEmisData!M:M, NewEmisData!$A:$A, "LDV", NewEmisData!$B:$B, $A22, NewEmisData!$C:$C, $H22, NewEmisData!$D:$D, S$2))</f>
        <v>277.28160240150402</v>
      </c>
      <c r="T22" s="324">
        <f t="shared" si="5"/>
        <v>277.28160240150402</v>
      </c>
      <c r="U22" s="324">
        <f>$I22*IF($G22="Pickup", SUMIFS(NewEmisData!E:E, NewEmisData!$A:$A, "Pickup", NewEmisData!$B:$B, $A22, NewEmisData!$C:$C, $H22, NewEmisData!$D:$D, U$2), SUMIFS(NewEmisData!E:E, NewEmisData!$A:$A, "LDV", NewEmisData!$B:$B, $A22, NewEmisData!$C:$C, $H22, NewEmisData!$D:$D, U$2))</f>
        <v>2.08663122036549</v>
      </c>
      <c r="V22" s="324">
        <f>$I22*IF($G22="Pickup", SUMIFS(NewEmisData!F:F, NewEmisData!$A:$A, "Pickup", NewEmisData!$B:$B, $A22, NewEmisData!$C:$C, $H22, NewEmisData!$D:$D, V$2), SUMIFS(NewEmisData!F:F, NewEmisData!$A:$A, "LDV", NewEmisData!$B:$B, $A22, NewEmisData!$C:$C, $H22, NewEmisData!$D:$D, V$2))</f>
        <v>1.1128303318127599</v>
      </c>
      <c r="W22" s="324">
        <f>$I22*IF($G22="Pickup", SUMIFS(NewEmisData!G:G, NewEmisData!$A:$A, "Pickup", NewEmisData!$B:$B, $A22, NewEmisData!$C:$C, $H22, NewEmisData!$D:$D, W$2), SUMIFS(NewEmisData!G:G, NewEmisData!$A:$A, "LDV", NewEmisData!$B:$B, $A22, NewEmisData!$C:$C, $H22, NewEmisData!$D:$D, W$2))</f>
        <v>0.11394310174486701</v>
      </c>
      <c r="X22" s="324">
        <f>$I22*IF($G22="Pickup", SUMIFS(NewEmisData!H:H, NewEmisData!$A:$A, "Pickup", NewEmisData!$B:$B, $A22, NewEmisData!$C:$C, $H22, NewEmisData!$D:$D, X$2), SUMIFS(NewEmisData!H:H, NewEmisData!$A:$A, "LDV", NewEmisData!$B:$B, $A22, NewEmisData!$C:$C, $H22, NewEmisData!$D:$D, X$2))</f>
        <v>6.3630631458402698E-2</v>
      </c>
      <c r="Y22" s="324">
        <f>$I22*IF($G22="Pickup", SUMIFS(NewEmisData!I:I, NewEmisData!$A:$A, "Pickup", NewEmisData!$B:$B, $A22, NewEmisData!$C:$C, $H22, NewEmisData!$D:$D, Y$2), SUMIFS(NewEmisData!I:I, NewEmisData!$A:$A, "LDV", NewEmisData!$B:$B, $A22, NewEmisData!$C:$C, $H22, NewEmisData!$D:$D, Y$2))</f>
        <v>3.8490840966433799E-2</v>
      </c>
      <c r="Z22" s="324">
        <f>$I22*IF($G22="Pickup", SUMIFS(NewEmisData!J:J, NewEmisData!$A:$A, "Pickup", NewEmisData!$B:$B, $A22, NewEmisData!$C:$C, $H22, NewEmisData!$D:$D, Z$2), SUMIFS(NewEmisData!J:J, NewEmisData!$A:$A, "LDV", NewEmisData!$B:$B, $A22, NewEmisData!$C:$C, $H22, NewEmisData!$D:$D, Z$2))</f>
        <v>3.3570634635262997E-2</v>
      </c>
      <c r="AA22" s="324">
        <f>$I22*IF($G22="Pickup", SUMIFS(NewEmisData!K:K, NewEmisData!$A:$A, "Pickup", NewEmisData!$B:$B, $A22, NewEmisData!$C:$C, $H22, NewEmisData!$D:$D, AA$2), SUMIFS(NewEmisData!K:K, NewEmisData!$A:$A, "LDV", NewEmisData!$B:$B, $A22, NewEmisData!$C:$C, $H22, NewEmisData!$D:$D, AA$2))</f>
        <v>3.0366844702511799E-2</v>
      </c>
      <c r="AB22" s="324">
        <f>$I22*IF($G22="Pickup", SUMIFS(NewEmisData!L:L, NewEmisData!$A:$A, "Pickup", NewEmisData!$B:$B, $A22, NewEmisData!$C:$C, $H22, NewEmisData!$D:$D, AB$2), SUMIFS(NewEmisData!L:L, NewEmisData!$A:$A, "LDV", NewEmisData!$B:$B, $A22, NewEmisData!$C:$C, $H22, NewEmisData!$D:$D, AB$2))</f>
        <v>2.9009867705627902E-2</v>
      </c>
      <c r="AC22" s="324">
        <f>$I22*IF($G22="Pickup", SUMIFS(NewEmisData!M:M, NewEmisData!$A:$A, "Pickup", NewEmisData!$B:$B, $A22, NewEmisData!$C:$C, $H22, NewEmisData!$D:$D, AC$2), SUMIFS(NewEmisData!M:M, NewEmisData!$A:$A, "LDV", NewEmisData!$B:$B, $A22, NewEmisData!$C:$C, $H22, NewEmisData!$D:$D, AC$2))</f>
        <v>2.9252620404293401E-2</v>
      </c>
      <c r="AD22" s="324">
        <f t="shared" si="6"/>
        <v>2.9252620404293401E-2</v>
      </c>
      <c r="AE22" s="324">
        <f>$I22*IF($G22="Pickup", SUMIFS(NewEmisData!E:E, NewEmisData!$A:$A, "Pickup", NewEmisData!$B:$B, $A22, NewEmisData!$C:$C, $H22, NewEmisData!$D:$D, AE$2), SUMIFS(NewEmisData!E:E, NewEmisData!$A:$A, "LDV", NewEmisData!$B:$B, $A22, NewEmisData!$C:$C, $H22, NewEmisData!$D:$D, AE$2))</f>
        <v>1.46981412794869E-2</v>
      </c>
      <c r="AF22" s="324">
        <f>$I22*IF($G22="Pickup", SUMIFS(NewEmisData!F:F, NewEmisData!$A:$A, "Pickup", NewEmisData!$B:$B, $A22, NewEmisData!$C:$C, $H22, NewEmisData!$D:$D, AF$2), SUMIFS(NewEmisData!F:F, NewEmisData!$A:$A, "LDV", NewEmisData!$B:$B, $A22, NewEmisData!$C:$C, $H22, NewEmisData!$D:$D, AF$2))</f>
        <v>1.2476739354987301E-2</v>
      </c>
      <c r="AG22" s="324">
        <f>$I22*IF($G22="Pickup", SUMIFS(NewEmisData!G:G, NewEmisData!$A:$A, "Pickup", NewEmisData!$B:$B, $A22, NewEmisData!$C:$C, $H22, NewEmisData!$D:$D, AG$2), SUMIFS(NewEmisData!G:G, NewEmisData!$A:$A, "LDV", NewEmisData!$B:$B, $A22, NewEmisData!$C:$C, $H22, NewEmisData!$D:$D, AG$2))</f>
        <v>3.2894571305210701E-3</v>
      </c>
      <c r="AH22" s="324">
        <f>$I22*IF($G22="Pickup", SUMIFS(NewEmisData!H:H, NewEmisData!$A:$A, "Pickup", NewEmisData!$B:$B, $A22, NewEmisData!$C:$C, $H22, NewEmisData!$D:$D, AH$2), SUMIFS(NewEmisData!H:H, NewEmisData!$A:$A, "LDV", NewEmisData!$B:$B, $A22, NewEmisData!$C:$C, $H22, NewEmisData!$D:$D, AH$2))</f>
        <v>2.7470974713693099E-3</v>
      </c>
      <c r="AI22" s="324">
        <f>$I22*IF($G22="Pickup", SUMIFS(NewEmisData!I:I, NewEmisData!$A:$A, "Pickup", NewEmisData!$B:$B, $A22, NewEmisData!$C:$C, $H22, NewEmisData!$D:$D, AI$2), SUMIFS(NewEmisData!I:I, NewEmisData!$A:$A, "LDV", NewEmisData!$B:$B, $A22, NewEmisData!$C:$C, $H22, NewEmisData!$D:$D, AI$2))</f>
        <v>2.5003167567209301E-3</v>
      </c>
      <c r="AJ22" s="324">
        <f>$I22*IF($G22="Pickup", SUMIFS(NewEmisData!J:J, NewEmisData!$A:$A, "Pickup", NewEmisData!$B:$B, $A22, NewEmisData!$C:$C, $H22, NewEmisData!$D:$D, AJ$2), SUMIFS(NewEmisData!J:J, NewEmisData!$A:$A, "LDV", NewEmisData!$B:$B, $A22, NewEmisData!$C:$C, $H22, NewEmisData!$D:$D, AJ$2))</f>
        <v>2.3974657531320698E-3</v>
      </c>
      <c r="AK22" s="324">
        <f>$I22*IF($G22="Pickup", SUMIFS(NewEmisData!K:K, NewEmisData!$A:$A, "Pickup", NewEmisData!$B:$B, $A22, NewEmisData!$C:$C, $H22, NewEmisData!$D:$D, AK$2), SUMIFS(NewEmisData!K:K, NewEmisData!$A:$A, "LDV", NewEmisData!$B:$B, $A22, NewEmisData!$C:$C, $H22, NewEmisData!$D:$D, AK$2))</f>
        <v>2.3350989902441999E-3</v>
      </c>
      <c r="AL22" s="324">
        <f>$I22*IF($G22="Pickup", SUMIFS(NewEmisData!L:L, NewEmisData!$A:$A, "Pickup", NewEmisData!$B:$B, $A22, NewEmisData!$C:$C, $H22, NewEmisData!$D:$D, AL$2), SUMIFS(NewEmisData!L:L, NewEmisData!$A:$A, "LDV", NewEmisData!$B:$B, $A22, NewEmisData!$C:$C, $H22, NewEmisData!$D:$D, AL$2))</f>
        <v>2.3124305204455602E-3</v>
      </c>
      <c r="AM22" s="324">
        <f>$I22*IF($G22="Pickup", SUMIFS(NewEmisData!M:M, NewEmisData!$A:$A, "Pickup", NewEmisData!$B:$B, $A22, NewEmisData!$C:$C, $H22, NewEmisData!$D:$D, AM$2), SUMIFS(NewEmisData!M:M, NewEmisData!$A:$A, "LDV", NewEmisData!$B:$B, $A22, NewEmisData!$C:$C, $H22, NewEmisData!$D:$D, AM$2))</f>
        <v>2.3117304258920301E-3</v>
      </c>
      <c r="AN22" s="324">
        <f t="shared" si="7"/>
        <v>2.3117304258920301E-3</v>
      </c>
      <c r="AO22" s="324">
        <f>$I22*IF($G22="Pickup", SUMIFS(NewEmisData!E:E, NewEmisData!$A:$A, "Pickup", NewEmisData!$B:$B, $A22, NewEmisData!$C:$C, $H22, NewEmisData!$D:$D, AO$2), SUMIFS(NewEmisData!E:E, NewEmisData!$A:$A, "LDV", NewEmisData!$B:$B, $A22, NewEmisData!$C:$C, $H22, NewEmisData!$D:$D, AO$2))</f>
        <v>0.213902040332901</v>
      </c>
      <c r="AP22" s="324">
        <f>$I22*IF($G22="Pickup", SUMIFS(NewEmisData!F:F, NewEmisData!$A:$A, "Pickup", NewEmisData!$B:$B, $A22, NewEmisData!$C:$C, $H22, NewEmisData!$D:$D, AP$2), SUMIFS(NewEmisData!F:F, NewEmisData!$A:$A, "LDV", NewEmisData!$B:$B, $A22, NewEmisData!$C:$C, $H22, NewEmisData!$D:$D, AP$2))</f>
        <v>0.122647837671889</v>
      </c>
      <c r="AQ22" s="324">
        <f>$I22*IF($G22="Pickup", SUMIFS(NewEmisData!G:G, NewEmisData!$A:$A, "Pickup", NewEmisData!$B:$B, $A22, NewEmisData!$C:$C, $H22, NewEmisData!$D:$D, AQ$2), SUMIFS(NewEmisData!G:G, NewEmisData!$A:$A, "LDV", NewEmisData!$B:$B, $A22, NewEmisData!$C:$C, $H22, NewEmisData!$D:$D, AQ$2))</f>
        <v>7.9090763114665993E-2</v>
      </c>
      <c r="AR22" s="324">
        <f>$I22*IF($G22="Pickup", SUMIFS(NewEmisData!H:H, NewEmisData!$A:$A, "Pickup", NewEmisData!$B:$B, $A22, NewEmisData!$C:$C, $H22, NewEmisData!$D:$D, AR$2), SUMIFS(NewEmisData!H:H, NewEmisData!$A:$A, "LDV", NewEmisData!$B:$B, $A22, NewEmisData!$C:$C, $H22, NewEmisData!$D:$D, AR$2))</f>
        <v>7.8058738466237995E-2</v>
      </c>
      <c r="AS22" s="324">
        <f>$I22*IF($G22="Pickup", SUMIFS(NewEmisData!I:I, NewEmisData!$A:$A, "Pickup", NewEmisData!$B:$B, $A22, NewEmisData!$C:$C, $H22, NewEmisData!$D:$D, AS$2), SUMIFS(NewEmisData!I:I, NewEmisData!$A:$A, "LDV", NewEmisData!$B:$B, $A22, NewEmisData!$C:$C, $H22, NewEmisData!$D:$D, AS$2))</f>
        <v>7.7935055542061094E-2</v>
      </c>
      <c r="AT22" s="324">
        <f>$I22*IF($G22="Pickup", SUMIFS(NewEmisData!J:J, NewEmisData!$A:$A, "Pickup", NewEmisData!$B:$B, $A22, NewEmisData!$C:$C, $H22, NewEmisData!$D:$D, AT$2), SUMIFS(NewEmisData!J:J, NewEmisData!$A:$A, "LDV", NewEmisData!$B:$B, $A22, NewEmisData!$C:$C, $H22, NewEmisData!$D:$D, AT$2))</f>
        <v>7.7996493585570995E-2</v>
      </c>
      <c r="AU22" s="324">
        <f>$I22*IF($G22="Pickup", SUMIFS(NewEmisData!K:K, NewEmisData!$A:$A, "Pickup", NewEmisData!$B:$B, $A22, NewEmisData!$C:$C, $H22, NewEmisData!$D:$D, AU$2), SUMIFS(NewEmisData!K:K, NewEmisData!$A:$A, "LDV", NewEmisData!$B:$B, $A22, NewEmisData!$C:$C, $H22, NewEmisData!$D:$D, AU$2))</f>
        <v>7.7986704688815606E-2</v>
      </c>
      <c r="AV22" s="324">
        <f>$I22*IF($G22="Pickup", SUMIFS(NewEmisData!L:L, NewEmisData!$A:$A, "Pickup", NewEmisData!$B:$B, $A22, NewEmisData!$C:$C, $H22, NewEmisData!$D:$D, AV$2), SUMIFS(NewEmisData!L:L, NewEmisData!$A:$A, "LDV", NewEmisData!$B:$B, $A22, NewEmisData!$C:$C, $H22, NewEmisData!$D:$D, AV$2))</f>
        <v>7.7974444112608704E-2</v>
      </c>
      <c r="AW22" s="324">
        <f>$I22*IF($G22="Pickup", SUMIFS(NewEmisData!M:M, NewEmisData!$A:$A, "Pickup", NewEmisData!$B:$B, $A22, NewEmisData!$C:$C, $H22, NewEmisData!$D:$D, AW$2), SUMIFS(NewEmisData!M:M, NewEmisData!$A:$A, "LDV", NewEmisData!$B:$B, $A22, NewEmisData!$C:$C, $H22, NewEmisData!$D:$D, AW$2))</f>
        <v>7.8017136188401295E-2</v>
      </c>
      <c r="AX22" s="324">
        <f t="shared" si="8"/>
        <v>7.8017136188401295E-2</v>
      </c>
      <c r="AY22" s="324">
        <f>$I22*IF($G22="Pickup", SUMIFS(NewEmisData!E:E, NewEmisData!$A:$A, "Pickup", NewEmisData!$B:$B, $A22, NewEmisData!$C:$C, $H22, NewEmisData!$D:$D, AY$2), SUMIFS(NewEmisData!E:E, NewEmisData!$A:$A, "LDV", NewEmisData!$B:$B, $A22, NewEmisData!$C:$C, $H22, NewEmisData!$D:$D, AY$2))</f>
        <v>0.123270664576141</v>
      </c>
      <c r="AZ22" s="324">
        <f>$I22*IF($G22="Pickup", SUMIFS(NewEmisData!F:F, NewEmisData!$A:$A, "Pickup", NewEmisData!$B:$B, $A22, NewEmisData!$C:$C, $H22, NewEmisData!$D:$D, AZ$2), SUMIFS(NewEmisData!F:F, NewEmisData!$A:$A, "LDV", NewEmisData!$B:$B, $A22, NewEmisData!$C:$C, $H22, NewEmisData!$D:$D, AZ$2))</f>
        <v>3.9317193900440202E-2</v>
      </c>
      <c r="BA22" s="324">
        <f>$I22*IF($G22="Pickup", SUMIFS(NewEmisData!G:G, NewEmisData!$A:$A, "Pickup", NewEmisData!$B:$B, $A22, NewEmisData!$C:$C, $H22, NewEmisData!$D:$D, BA$2), SUMIFS(NewEmisData!G:G, NewEmisData!$A:$A, "LDV", NewEmisData!$B:$B, $A22, NewEmisData!$C:$C, $H22, NewEmisData!$D:$D, BA$2))</f>
        <v>1.3808896758142499E-2</v>
      </c>
      <c r="BB22" s="324">
        <f>$I22*IF($G22="Pickup", SUMIFS(NewEmisData!H:H, NewEmisData!$A:$A, "Pickup", NewEmisData!$B:$B, $A22, NewEmisData!$C:$C, $H22, NewEmisData!$D:$D, BB$2), SUMIFS(NewEmisData!H:H, NewEmisData!$A:$A, "LDV", NewEmisData!$B:$B, $A22, NewEmisData!$C:$C, $H22, NewEmisData!$D:$D, BB$2))</f>
        <v>1.28594663624491E-2</v>
      </c>
      <c r="BC22" s="324">
        <f>$I22*IF($G22="Pickup", SUMIFS(NewEmisData!I:I, NewEmisData!$A:$A, "Pickup", NewEmisData!$B:$B, $A22, NewEmisData!$C:$C, $H22, NewEmisData!$D:$D, BC$2), SUMIFS(NewEmisData!I:I, NewEmisData!$A:$A, "LDV", NewEmisData!$B:$B, $A22, NewEmisData!$C:$C, $H22, NewEmisData!$D:$D, BC$2))</f>
        <v>1.2745675676218799E-2</v>
      </c>
      <c r="BD22" s="324">
        <f>$I22*IF($G22="Pickup", SUMIFS(NewEmisData!J:J, NewEmisData!$A:$A, "Pickup", NewEmisData!$B:$B, $A22, NewEmisData!$C:$C, $H22, NewEmisData!$D:$D, BD$2), SUMIFS(NewEmisData!J:J, NewEmisData!$A:$A, "LDV", NewEmisData!$B:$B, $A22, NewEmisData!$C:$C, $H22, NewEmisData!$D:$D, BD$2))</f>
        <v>1.2802226569457301E-2</v>
      </c>
      <c r="BE22" s="324">
        <f>$I22*IF($G22="Pickup", SUMIFS(NewEmisData!K:K, NewEmisData!$A:$A, "Pickup", NewEmisData!$B:$B, $A22, NewEmisData!$C:$C, $H22, NewEmisData!$D:$D, BE$2), SUMIFS(NewEmisData!K:K, NewEmisData!$A:$A, "LDV", NewEmisData!$B:$B, $A22, NewEmisData!$C:$C, $H22, NewEmisData!$D:$D, BE$2))</f>
        <v>1.27931973056328E-2</v>
      </c>
      <c r="BF22" s="324">
        <f>$I22*IF($G22="Pickup", SUMIFS(NewEmisData!L:L, NewEmisData!$A:$A, "Pickup", NewEmisData!$B:$B, $A22, NewEmisData!$C:$C, $H22, NewEmisData!$D:$D, BF$2), SUMIFS(NewEmisData!L:L, NewEmisData!$A:$A, "LDV", NewEmisData!$B:$B, $A22, NewEmisData!$C:$C, $H22, NewEmisData!$D:$D, BF$2))</f>
        <v>1.27819426840036E-2</v>
      </c>
      <c r="BG22" s="324">
        <f>$I22*IF($G22="Pickup", SUMIFS(NewEmisData!M:M, NewEmisData!$A:$A, "Pickup", NewEmisData!$B:$B, $A22, NewEmisData!$C:$C, $H22, NewEmisData!$D:$D, BG$2), SUMIFS(NewEmisData!M:M, NewEmisData!$A:$A, "LDV", NewEmisData!$B:$B, $A22, NewEmisData!$C:$C, $H22, NewEmisData!$D:$D, BG$2))</f>
        <v>1.2821255837742599E-2</v>
      </c>
      <c r="BH22" s="324">
        <f t="shared" si="9"/>
        <v>1.2821255837742599E-2</v>
      </c>
      <c r="BI22" s="324">
        <f>$I22*IF($G22="Pickup", SUMIFS(NewEmisData!E:E, NewEmisData!$A:$A, "Pickup", NewEmisData!$B:$B, $A22, NewEmisData!$C:$C, $H22, NewEmisData!$D:$D, BI$2), SUMIFS(NewEmisData!E:E, NewEmisData!$A:$A, "LDV", NewEmisData!$B:$B, $A22, NewEmisData!$C:$C, $H22, NewEmisData!$D:$D, BI$2))</f>
        <v>49.942593724607804</v>
      </c>
      <c r="BJ22" s="324">
        <f>$I22*IF($G22="Pickup", SUMIFS(NewEmisData!F:F, NewEmisData!$A:$A, "Pickup", NewEmisData!$B:$B, $A22, NewEmisData!$C:$C, $H22, NewEmisData!$D:$D, BJ$2), SUMIFS(NewEmisData!F:F, NewEmisData!$A:$A, "LDV", NewEmisData!$B:$B, $A22, NewEmisData!$C:$C, $H22, NewEmisData!$D:$D, BJ$2))</f>
        <v>17.1751766119061</v>
      </c>
      <c r="BK22" s="324">
        <f>$I22*IF($G22="Pickup", SUMIFS(NewEmisData!G:G, NewEmisData!$A:$A, "Pickup", NewEmisData!$B:$B, $A22, NewEmisData!$C:$C, $H22, NewEmisData!$D:$D, BK$2), SUMIFS(NewEmisData!G:G, NewEmisData!$A:$A, "LDV", NewEmisData!$B:$B, $A22, NewEmisData!$C:$C, $H22, NewEmisData!$D:$D, BK$2))</f>
        <v>1.67462319555107</v>
      </c>
      <c r="BL22" s="324">
        <f>$I22*IF($G22="Pickup", SUMIFS(NewEmisData!H:H, NewEmisData!$A:$A, "Pickup", NewEmisData!$B:$B, $A22, NewEmisData!$C:$C, $H22, NewEmisData!$D:$D, BL$2), SUMIFS(NewEmisData!H:H, NewEmisData!$A:$A, "LDV", NewEmisData!$B:$B, $A22, NewEmisData!$C:$C, $H22, NewEmisData!$D:$D, BL$2))</f>
        <v>1.26760437401165</v>
      </c>
      <c r="BM22" s="324">
        <f>$I22*IF($G22="Pickup", SUMIFS(NewEmisData!I:I, NewEmisData!$A:$A, "Pickup", NewEmisData!$B:$B, $A22, NewEmisData!$C:$C, $H22, NewEmisData!$D:$D, BM$2), SUMIFS(NewEmisData!I:I, NewEmisData!$A:$A, "LDV", NewEmisData!$B:$B, $A22, NewEmisData!$C:$C, $H22, NewEmisData!$D:$D, BM$2))</f>
        <v>1.08719262122484</v>
      </c>
      <c r="BN22" s="324">
        <f>$I22*IF($G22="Pickup", SUMIFS(NewEmisData!J:J, NewEmisData!$A:$A, "Pickup", NewEmisData!$B:$B, $A22, NewEmisData!$C:$C, $H22, NewEmisData!$D:$D, BN$2), SUMIFS(NewEmisData!J:J, NewEmisData!$A:$A, "LDV", NewEmisData!$B:$B, $A22, NewEmisData!$C:$C, $H22, NewEmisData!$D:$D, BN$2))</f>
        <v>1.03306214032615</v>
      </c>
      <c r="BO22" s="324">
        <f>$I22*IF($G22="Pickup", SUMIFS(NewEmisData!K:K, NewEmisData!$A:$A, "Pickup", NewEmisData!$B:$B, $A22, NewEmisData!$C:$C, $H22, NewEmisData!$D:$D, BO$2), SUMIFS(NewEmisData!K:K, NewEmisData!$A:$A, "LDV", NewEmisData!$B:$B, $A22, NewEmisData!$C:$C, $H22, NewEmisData!$D:$D, BO$2))</f>
        <v>0.97748556720189805</v>
      </c>
      <c r="BP22" s="324">
        <f>$I22*IF($G22="Pickup", SUMIFS(NewEmisData!L:L, NewEmisData!$A:$A, "Pickup", NewEmisData!$B:$B, $A22, NewEmisData!$C:$C, $H22, NewEmisData!$D:$D, BP$2), SUMIFS(NewEmisData!L:L, NewEmisData!$A:$A, "LDV", NewEmisData!$B:$B, $A22, NewEmisData!$C:$C, $H22, NewEmisData!$D:$D, BP$2))</f>
        <v>0.95066903824572802</v>
      </c>
      <c r="BQ22" s="324">
        <f>$I22*IF($G22="Pickup", SUMIFS(NewEmisData!M:M, NewEmisData!$A:$A, "Pickup", NewEmisData!$B:$B, $A22, NewEmisData!$C:$C, $H22, NewEmisData!$D:$D, BQ$2), SUMIFS(NewEmisData!M:M, NewEmisData!$A:$A, "LDV", NewEmisData!$B:$B, $A22, NewEmisData!$C:$C, $H22, NewEmisData!$D:$D, BQ$2))</f>
        <v>0.95613361285599596</v>
      </c>
      <c r="BR22" s="324">
        <f t="shared" si="10"/>
        <v>0.95613361285599596</v>
      </c>
      <c r="BS22" s="324">
        <f>$I22*IF($G22="Pickup", SUMIFS(NewEmisData!E:E, NewEmisData!$A:$A, "Pickup", NewEmisData!$B:$B, $A22, NewEmisData!$C:$C, $H22, NewEmisData!$D:$D, BS$2), SUMIFS(NewEmisData!E:E, NewEmisData!$A:$A, "LDV", NewEmisData!$B:$B, $A22, NewEmisData!$C:$C, $H22, NewEmisData!$D:$D, BS$2))</f>
        <v>4.7108485656014896</v>
      </c>
      <c r="BT22" s="324">
        <f>$I22*IF($G22="Pickup", SUMIFS(NewEmisData!F:F, NewEmisData!$A:$A, "Pickup", NewEmisData!$B:$B, $A22, NewEmisData!$C:$C, $H22, NewEmisData!$D:$D, BT$2), SUMIFS(NewEmisData!F:F, NewEmisData!$A:$A, "LDV", NewEmisData!$B:$B, $A22, NewEmisData!$C:$C, $H22, NewEmisData!$D:$D, BT$2))</f>
        <v>1.56912179890187</v>
      </c>
      <c r="BU22" s="324">
        <f>$I22*IF($G22="Pickup", SUMIFS(NewEmisData!G:G, NewEmisData!$A:$A, "Pickup", NewEmisData!$B:$B, $A22, NewEmisData!$C:$C, $H22, NewEmisData!$D:$D, BU$2), SUMIFS(NewEmisData!G:G, NewEmisData!$A:$A, "LDV", NewEmisData!$B:$B, $A22, NewEmisData!$C:$C, $H22, NewEmisData!$D:$D, BU$2))</f>
        <v>0.112211627554133</v>
      </c>
      <c r="BV22" s="324">
        <f>$I22*IF($G22="Pickup", SUMIFS(NewEmisData!H:H, NewEmisData!$A:$A, "Pickup", NewEmisData!$B:$B, $A22, NewEmisData!$C:$C, $H22, NewEmisData!$D:$D, BV$2), SUMIFS(NewEmisData!H:H, NewEmisData!$A:$A, "LDV", NewEmisData!$B:$B, $A22, NewEmisData!$C:$C, $H22, NewEmisData!$D:$D, BV$2))</f>
        <v>7.6299784710999505E-2</v>
      </c>
      <c r="BW22" s="324">
        <f>$I22*IF($G22="Pickup", SUMIFS(NewEmisData!I:I, NewEmisData!$A:$A, "Pickup", NewEmisData!$B:$B, $A22, NewEmisData!$C:$C, $H22, NewEmisData!$D:$D, BW$2), SUMIFS(NewEmisData!I:I, NewEmisData!$A:$A, "LDV", NewEmisData!$B:$B, $A22, NewEmisData!$C:$C, $H22, NewEmisData!$D:$D, BW$2))</f>
        <v>5.8269000142752103E-2</v>
      </c>
      <c r="BX22" s="324">
        <f>$I22*IF($G22="Pickup", SUMIFS(NewEmisData!J:J, NewEmisData!$A:$A, "Pickup", NewEmisData!$B:$B, $A22, NewEmisData!$C:$C, $H22, NewEmisData!$D:$D, BX$2), SUMIFS(NewEmisData!J:J, NewEmisData!$A:$A, "LDV", NewEmisData!$B:$B, $A22, NewEmisData!$C:$C, $H22, NewEmisData!$D:$D, BX$2))</f>
        <v>5.6952552482620898E-2</v>
      </c>
      <c r="BY22" s="324">
        <f>$I22*IF($G22="Pickup", SUMIFS(NewEmisData!K:K, NewEmisData!$A:$A, "Pickup", NewEmisData!$B:$B, $A22, NewEmisData!$C:$C, $H22, NewEmisData!$D:$D, BY$2), SUMIFS(NewEmisData!K:K, NewEmisData!$A:$A, "LDV", NewEmisData!$B:$B, $A22, NewEmisData!$C:$C, $H22, NewEmisData!$D:$D, BY$2))</f>
        <v>5.5222958764712303E-2</v>
      </c>
      <c r="BZ22" s="324">
        <f>$I22*IF($G22="Pickup", SUMIFS(NewEmisData!L:L, NewEmisData!$A:$A, "Pickup", NewEmisData!$B:$B, $A22, NewEmisData!$C:$C, $H22, NewEmisData!$D:$D, BZ$2), SUMIFS(NewEmisData!L:L, NewEmisData!$A:$A, "LDV", NewEmisData!$B:$B, $A22, NewEmisData!$C:$C, $H22, NewEmisData!$D:$D, BZ$2))</f>
        <v>5.4469756291056E-2</v>
      </c>
      <c r="CA22" s="324">
        <f>$I22*IF($G22="Pickup", SUMIFS(NewEmisData!M:M, NewEmisData!$A:$A, "Pickup", NewEmisData!$B:$B, $A22, NewEmisData!$C:$C, $H22, NewEmisData!$D:$D, CA$2), SUMIFS(NewEmisData!M:M, NewEmisData!$A:$A, "LDV", NewEmisData!$B:$B, $A22, NewEmisData!$C:$C, $H22, NewEmisData!$D:$D, CA$2))</f>
        <v>5.4998753123770998E-2</v>
      </c>
      <c r="CB22" s="324">
        <f t="shared" si="11"/>
        <v>5.4998753123770998E-2</v>
      </c>
      <c r="CC22" s="324">
        <f>$I22*IF($G22="Pickup", SUMIFS(NewEmisData!E:E, NewEmisData!$A:$A, "Pickup", NewEmisData!$B:$B, $A22, NewEmisData!$C:$C, $H22, NewEmisData!$D:$D, CC$2), SUMIFS(NewEmisData!E:E, NewEmisData!$A:$A, "LDV", NewEmisData!$B:$B, $A22, NewEmisData!$C:$C, $H22, NewEmisData!$D:$D, CC$2))</f>
        <v>1.08790262626179E-2</v>
      </c>
      <c r="CD22" s="324">
        <f>$I22*IF($G22="Pickup", SUMIFS(NewEmisData!F:F, NewEmisData!$A:$A, "Pickup", NewEmisData!$B:$B, $A22, NewEmisData!$C:$C, $H22, NewEmisData!$D:$D, CD$2), SUMIFS(NewEmisData!F:F, NewEmisData!$A:$A, "LDV", NewEmisData!$B:$B, $A22, NewEmisData!$C:$C, $H22, NewEmisData!$D:$D, CD$2))</f>
        <v>1.08790257612396E-2</v>
      </c>
      <c r="CE22" s="324">
        <f>$I22*IF($G22="Pickup", SUMIFS(NewEmisData!G:G, NewEmisData!$A:$A, "Pickup", NewEmisData!$B:$B, $A22, NewEmisData!$C:$C, $H22, NewEmisData!$D:$D, CE$2), SUMIFS(NewEmisData!G:G, NewEmisData!$A:$A, "LDV", NewEmisData!$B:$B, $A22, NewEmisData!$C:$C, $H22, NewEmisData!$D:$D, CE$2))</f>
        <v>9.9997509147719595E-3</v>
      </c>
      <c r="CF22" s="324">
        <f>$I22*IF($G22="Pickup", SUMIFS(NewEmisData!H:H, NewEmisData!$A:$A, "Pickup", NewEmisData!$B:$B, $A22, NewEmisData!$C:$C, $H22, NewEmisData!$D:$D, CF$2), SUMIFS(NewEmisData!H:H, NewEmisData!$A:$A, "LDV", NewEmisData!$B:$B, $A22, NewEmisData!$C:$C, $H22, NewEmisData!$D:$D, CF$2))</f>
        <v>9.9997574019768005E-3</v>
      </c>
      <c r="CG22" s="324">
        <f>$I22*IF($G22="Pickup", SUMIFS(NewEmisData!I:I, NewEmisData!$A:$A, "Pickup", NewEmisData!$B:$B, $A22, NewEmisData!$C:$C, $H22, NewEmisData!$D:$D, CG$2), SUMIFS(NewEmisData!I:I, NewEmisData!$A:$A, "LDV", NewEmisData!$B:$B, $A22, NewEmisData!$C:$C, $H22, NewEmisData!$D:$D, CG$2))</f>
        <v>9.9997562324571007E-3</v>
      </c>
      <c r="CH22" s="324">
        <f>$I22*IF($G22="Pickup", SUMIFS(NewEmisData!J:J, NewEmisData!$A:$A, "Pickup", NewEmisData!$B:$B, $A22, NewEmisData!$C:$C, $H22, NewEmisData!$D:$D, CH$2), SUMIFS(NewEmisData!J:J, NewEmisData!$A:$A, "LDV", NewEmisData!$B:$B, $A22, NewEmisData!$C:$C, $H22, NewEmisData!$D:$D, CH$2))</f>
        <v>9.9997599950304907E-3</v>
      </c>
      <c r="CI22" s="324">
        <f>$I22*IF($G22="Pickup", SUMIFS(NewEmisData!K:K, NewEmisData!$A:$A, "Pickup", NewEmisData!$B:$B, $A22, NewEmisData!$C:$C, $H22, NewEmisData!$D:$D, CI$2), SUMIFS(NewEmisData!K:K, NewEmisData!$A:$A, "LDV", NewEmisData!$B:$B, $A22, NewEmisData!$C:$C, $H22, NewEmisData!$D:$D, CI$2))</f>
        <v>9.9997577966722193E-3</v>
      </c>
      <c r="CJ22" s="324">
        <f>$I22*IF($G22="Pickup", SUMIFS(NewEmisData!L:L, NewEmisData!$A:$A, "Pickup", NewEmisData!$B:$B, $A22, NewEmisData!$C:$C, $H22, NewEmisData!$D:$D, CJ$2), SUMIFS(NewEmisData!L:L, NewEmisData!$A:$A, "LDV", NewEmisData!$B:$B, $A22, NewEmisData!$C:$C, $H22, NewEmisData!$D:$D, CJ$2))</f>
        <v>9.9997621202058198E-3</v>
      </c>
      <c r="CK22" s="324">
        <f>$I22*IF($G22="Pickup", SUMIFS(NewEmisData!M:M, NewEmisData!$A:$A, "Pickup", NewEmisData!$B:$B, $A22, NewEmisData!$C:$C, $H22, NewEmisData!$D:$D, CK$2), SUMIFS(NewEmisData!M:M, NewEmisData!$A:$A, "LDV", NewEmisData!$B:$B, $A22, NewEmisData!$C:$C, $H22, NewEmisData!$D:$D, CK$2))</f>
        <v>9.9997558682708692E-3</v>
      </c>
      <c r="CL22" s="324">
        <f t="shared" si="12"/>
        <v>9.9997558682708692E-3</v>
      </c>
      <c r="CM22" s="324">
        <f>$I22*IF($G22="Pickup", SUMIFS(NewEmisData!E:E, NewEmisData!$A:$A, "Pickup", NewEmisData!$B:$B, $A22, NewEmisData!$C:$C, $H22, NewEmisData!$D:$D, CM$2), SUMIFS(NewEmisData!E:E, NewEmisData!$A:$A, "LDV", NewEmisData!$B:$B, $A22, NewEmisData!$C:$C, $H22, NewEmisData!$D:$D, CM$2))</f>
        <v>1.87792865540622E-3</v>
      </c>
      <c r="CN22" s="324">
        <f>$I22*IF($G22="Pickup", SUMIFS(NewEmisData!F:F, NewEmisData!$A:$A, "Pickup", NewEmisData!$B:$B, $A22, NewEmisData!$C:$C, $H22, NewEmisData!$D:$D, CN$2), SUMIFS(NewEmisData!F:F, NewEmisData!$A:$A, "LDV", NewEmisData!$B:$B, $A22, NewEmisData!$C:$C, $H22, NewEmisData!$D:$D, CN$2))</f>
        <v>1.6568504667175501E-3</v>
      </c>
      <c r="CO22" s="324">
        <f>$I22*IF($G22="Pickup", SUMIFS(NewEmisData!G:G, NewEmisData!$A:$A, "Pickup", NewEmisData!$B:$B, $A22, NewEmisData!$C:$C, $H22, NewEmisData!$D:$D, CO$2), SUMIFS(NewEmisData!G:G, NewEmisData!$A:$A, "LDV", NewEmisData!$B:$B, $A22, NewEmisData!$C:$C, $H22, NewEmisData!$D:$D, CO$2))</f>
        <v>1.3142543939014999E-3</v>
      </c>
      <c r="CP22" s="324">
        <f>$I22*IF($G22="Pickup", SUMIFS(NewEmisData!H:H, NewEmisData!$A:$A, "Pickup", NewEmisData!$B:$B, $A22, NewEmisData!$C:$C, $H22, NewEmisData!$D:$D, CP$2), SUMIFS(NewEmisData!H:H, NewEmisData!$A:$A, "LDV", NewEmisData!$B:$B, $A22, NewEmisData!$C:$C, $H22, NewEmisData!$D:$D, CP$2))</f>
        <v>1.3157667034520699E-3</v>
      </c>
      <c r="CQ22" s="324">
        <f>$I22*IF($G22="Pickup", SUMIFS(NewEmisData!I:I, NewEmisData!$A:$A, "Pickup", NewEmisData!$B:$B, $A22, NewEmisData!$C:$C, $H22, NewEmisData!$D:$D, CQ$2), SUMIFS(NewEmisData!I:I, NewEmisData!$A:$A, "LDV", NewEmisData!$B:$B, $A22, NewEmisData!$C:$C, $H22, NewEmisData!$D:$D, CQ$2))</f>
        <v>1.32125488539157E-3</v>
      </c>
      <c r="CR22" s="324">
        <f>$I22*IF($G22="Pickup", SUMIFS(NewEmisData!J:J, NewEmisData!$A:$A, "Pickup", NewEmisData!$B:$B, $A22, NewEmisData!$C:$C, $H22, NewEmisData!$D:$D, CR$2), SUMIFS(NewEmisData!J:J, NewEmisData!$A:$A, "LDV", NewEmisData!$B:$B, $A22, NewEmisData!$C:$C, $H22, NewEmisData!$D:$D, CR$2))</f>
        <v>1.32842640810503E-3</v>
      </c>
      <c r="CS22" s="324">
        <f>$I22*IF($G22="Pickup", SUMIFS(NewEmisData!K:K, NewEmisData!$A:$A, "Pickup", NewEmisData!$B:$B, $A22, NewEmisData!$C:$C, $H22, NewEmisData!$D:$D, CS$2), SUMIFS(NewEmisData!K:K, NewEmisData!$A:$A, "LDV", NewEmisData!$B:$B, $A22, NewEmisData!$C:$C, $H22, NewEmisData!$D:$D, CS$2))</f>
        <v>1.3320668635412099E-3</v>
      </c>
      <c r="CT22" s="324">
        <f>$I22*IF($G22="Pickup", SUMIFS(NewEmisData!L:L, NewEmisData!$A:$A, "Pickup", NewEmisData!$B:$B, $A22, NewEmisData!$C:$C, $H22, NewEmisData!$D:$D, CT$2), SUMIFS(NewEmisData!L:L, NewEmisData!$A:$A, "LDV", NewEmisData!$B:$B, $A22, NewEmisData!$C:$C, $H22, NewEmisData!$D:$D, CT$2))</f>
        <v>1.33322691408776E-3</v>
      </c>
      <c r="CU22" s="324">
        <f>$I22*IF($G22="Pickup", SUMIFS(NewEmisData!M:M, NewEmisData!$A:$A, "Pickup", NewEmisData!$B:$B, $A22, NewEmisData!$C:$C, $H22, NewEmisData!$D:$D, CU$2), SUMIFS(NewEmisData!M:M, NewEmisData!$A:$A, "LDV", NewEmisData!$B:$B, $A22, NewEmisData!$C:$C, $H22, NewEmisData!$D:$D, CU$2))</f>
        <v>1.33503374368802E-3</v>
      </c>
      <c r="CV22" s="324">
        <f t="shared" si="13"/>
        <v>1.33503374368802E-3</v>
      </c>
      <c r="CW22" s="324">
        <v>1.7855353475311885E-3</v>
      </c>
      <c r="CX22" s="324">
        <v>1.1158238015562326E-3</v>
      </c>
      <c r="CY22" s="324">
        <v>9.3466086006125206E-4</v>
      </c>
      <c r="CZ22" s="324">
        <v>8.3812350595498144E-4</v>
      </c>
      <c r="DA22" s="324">
        <v>6.4708026295585627E-4</v>
      </c>
      <c r="DB22" s="324">
        <v>5.1533534928113322E-4</v>
      </c>
      <c r="DC22" s="324">
        <v>4.978529843416348E-4</v>
      </c>
      <c r="DD22" s="324">
        <v>4.9300315911808101E-4</v>
      </c>
      <c r="DE22" s="324">
        <v>4.9234696878064995E-4</v>
      </c>
      <c r="DF22" s="324">
        <v>4.9234696878064995E-4</v>
      </c>
      <c r="DG22" s="324">
        <f>$I22*IF($G22="Pickup", SUMIFS(NewEmisData!E:E, NewEmisData!$A:$A, "Pickup", NewEmisData!$B:$B, $A22, NewEmisData!$C:$C, $H22, NewEmisData!$D:$D, DG$2), SUMIFS(NewEmisData!E:E, NewEmisData!$A:$A, "LDV", NewEmisData!$B:$B, $A22, NewEmisData!$C:$C, $H22, NewEmisData!$D:$D, DG$2))</f>
        <v>0</v>
      </c>
      <c r="DH22" s="324">
        <f>$I22*IF($G22="Pickup", SUMIFS(NewEmisData!F:F, NewEmisData!$A:$A, "Pickup", NewEmisData!$B:$B, $A22, NewEmisData!$C:$C, $H22, NewEmisData!$D:$D, DH$2), SUMIFS(NewEmisData!F:F, NewEmisData!$A:$A, "LDV", NewEmisData!$B:$B, $A22, NewEmisData!$C:$C, $H22, NewEmisData!$D:$D, DH$2))</f>
        <v>0</v>
      </c>
      <c r="DI22" s="324">
        <f>$I22*IF($G22="Pickup", SUMIFS(NewEmisData!G:G, NewEmisData!$A:$A, "Pickup", NewEmisData!$B:$B, $A22, NewEmisData!$C:$C, $H22, NewEmisData!$D:$D, DI$2), SUMIFS(NewEmisData!G:G, NewEmisData!$A:$A, "LDV", NewEmisData!$B:$B, $A22, NewEmisData!$C:$C, $H22, NewEmisData!$D:$D, DI$2))</f>
        <v>0</v>
      </c>
      <c r="DJ22" s="324">
        <f>$I22*IF($G22="Pickup", SUMIFS(NewEmisData!H:H, NewEmisData!$A:$A, "Pickup", NewEmisData!$B:$B, $A22, NewEmisData!$C:$C, $H22, NewEmisData!$D:$D, DJ$2), SUMIFS(NewEmisData!H:H, NewEmisData!$A:$A, "LDV", NewEmisData!$B:$B, $A22, NewEmisData!$C:$C, $H22, NewEmisData!$D:$D, DJ$2))</f>
        <v>0</v>
      </c>
      <c r="DK22" s="324">
        <f>$I22*IF($G22="Pickup", SUMIFS(NewEmisData!I:I, NewEmisData!$A:$A, "Pickup", NewEmisData!$B:$B, $A22, NewEmisData!$C:$C, $H22, NewEmisData!$D:$D, DK$2), SUMIFS(NewEmisData!I:I, NewEmisData!$A:$A, "LDV", NewEmisData!$B:$B, $A22, NewEmisData!$C:$C, $H22, NewEmisData!$D:$D, DK$2))</f>
        <v>0</v>
      </c>
      <c r="DL22" s="324">
        <f>$I22*IF($G22="Pickup", SUMIFS(NewEmisData!J:J, NewEmisData!$A:$A, "Pickup", NewEmisData!$B:$B, $A22, NewEmisData!$C:$C, $H22, NewEmisData!$D:$D, DL$2), SUMIFS(NewEmisData!J:J, NewEmisData!$A:$A, "LDV", NewEmisData!$B:$B, $A22, NewEmisData!$C:$C, $H22, NewEmisData!$D:$D, DL$2))</f>
        <v>0</v>
      </c>
      <c r="DM22" s="324">
        <f>$I22*IF($G22="Pickup", SUMIFS(NewEmisData!K:K, NewEmisData!$A:$A, "Pickup", NewEmisData!$B:$B, $A22, NewEmisData!$C:$C, $H22, NewEmisData!$D:$D, DM$2), SUMIFS(NewEmisData!K:K, NewEmisData!$A:$A, "LDV", NewEmisData!$B:$B, $A22, NewEmisData!$C:$C, $H22, NewEmisData!$D:$D, DM$2))</f>
        <v>0</v>
      </c>
      <c r="DN22" s="324">
        <f>$I22*IF($G22="Pickup", SUMIFS(NewEmisData!L:L, NewEmisData!$A:$A, "Pickup", NewEmisData!$B:$B, $A22, NewEmisData!$C:$C, $H22, NewEmisData!$D:$D, DN$2), SUMIFS(NewEmisData!L:L, NewEmisData!$A:$A, "LDV", NewEmisData!$B:$B, $A22, NewEmisData!$C:$C, $H22, NewEmisData!$D:$D, DN$2))</f>
        <v>0</v>
      </c>
      <c r="DO22" s="324">
        <f>$I22*IF($G22="Pickup", SUMIFS(NewEmisData!M:M, NewEmisData!$A:$A, "Pickup", NewEmisData!$B:$B, $A22, NewEmisData!$C:$C, $H22, NewEmisData!$D:$D, DO$2), SUMIFS(NewEmisData!M:M, NewEmisData!$A:$A, "LDV", NewEmisData!$B:$B, $A22, NewEmisData!$C:$C, $H22, NewEmisData!$D:$D, DO$2))</f>
        <v>0</v>
      </c>
      <c r="DP22" s="324">
        <f t="shared" si="14"/>
        <v>0</v>
      </c>
      <c r="DQ22" s="324">
        <f>$I22*IF($G22="Pickup", SUMIFS(NewEmisData!E:E, NewEmisData!$A:$A, "Pickup", NewEmisData!$B:$B, $A22, NewEmisData!$C:$C, $H22, NewEmisData!$D:$D, DQ$2), SUMIFS(NewEmisData!E:E, NewEmisData!$A:$A, "LDV", NewEmisData!$B:$B, $A22, NewEmisData!$C:$C, $H22, NewEmisData!$D:$D, DQ$2))</f>
        <v>1.9303161670488799E-2</v>
      </c>
      <c r="DR22" s="324">
        <f>$I22*IF($G22="Pickup", SUMIFS(NewEmisData!F:F, NewEmisData!$A:$A, "Pickup", NewEmisData!$B:$B, $A22, NewEmisData!$C:$C, $H22, NewEmisData!$D:$D, DR$2), SUMIFS(NewEmisData!F:F, NewEmisData!$A:$A, "LDV", NewEmisData!$B:$B, $A22, NewEmisData!$C:$C, $H22, NewEmisData!$D:$D, DR$2))</f>
        <v>4.7314144141929901E-2</v>
      </c>
      <c r="DS22" s="324">
        <f>$I22*IF($G22="Pickup", SUMIFS(NewEmisData!G:G, NewEmisData!$A:$A, "Pickup", NewEmisData!$B:$B, $A22, NewEmisData!$C:$C, $H22, NewEmisData!$D:$D, DS$2), SUMIFS(NewEmisData!G:G, NewEmisData!$A:$A, "LDV", NewEmisData!$B:$B, $A22, NewEmisData!$C:$C, $H22, NewEmisData!$D:$D, DS$2))</f>
        <v>5.50276559444281E-2</v>
      </c>
      <c r="DT22" s="324">
        <f>$I22*IF($G22="Pickup", SUMIFS(NewEmisData!H:H, NewEmisData!$A:$A, "Pickup", NewEmisData!$B:$B, $A22, NewEmisData!$C:$C, $H22, NewEmisData!$D:$D, DT$2), SUMIFS(NewEmisData!H:H, NewEmisData!$A:$A, "LDV", NewEmisData!$B:$B, $A22, NewEmisData!$C:$C, $H22, NewEmisData!$D:$D, DT$2))</f>
        <v>5.60657162202036E-2</v>
      </c>
      <c r="DU22" s="324">
        <f>$I22*IF($G22="Pickup", SUMIFS(NewEmisData!I:I, NewEmisData!$A:$A, "Pickup", NewEmisData!$B:$B, $A22, NewEmisData!$C:$C, $H22, NewEmisData!$D:$D, DU$2), SUMIFS(NewEmisData!I:I, NewEmisData!$A:$A, "LDV", NewEmisData!$B:$B, $A22, NewEmisData!$C:$C, $H22, NewEmisData!$D:$D, DU$2))</f>
        <v>5.7627169931772103E-2</v>
      </c>
      <c r="DV22" s="324">
        <f>$I22*IF($G22="Pickup", SUMIFS(NewEmisData!J:J, NewEmisData!$A:$A, "Pickup", NewEmisData!$B:$B, $A22, NewEmisData!$C:$C, $H22, NewEmisData!$D:$D, DV$2), SUMIFS(NewEmisData!J:J, NewEmisData!$A:$A, "LDV", NewEmisData!$B:$B, $A22, NewEmisData!$C:$C, $H22, NewEmisData!$D:$D, DV$2))</f>
        <v>5.7677178087133199E-2</v>
      </c>
      <c r="DW22" s="324">
        <f>$I22*IF($G22="Pickup", SUMIFS(NewEmisData!K:K, NewEmisData!$A:$A, "Pickup", NewEmisData!$B:$B, $A22, NewEmisData!$C:$C, $H22, NewEmisData!$D:$D, DW$2), SUMIFS(NewEmisData!K:K, NewEmisData!$A:$A, "LDV", NewEmisData!$B:$B, $A22, NewEmisData!$C:$C, $H22, NewEmisData!$D:$D, DW$2))</f>
        <v>5.7050401423645702E-2</v>
      </c>
      <c r="DX22" s="324">
        <f>$I22*IF($G22="Pickup", SUMIFS(NewEmisData!L:L, NewEmisData!$A:$A, "Pickup", NewEmisData!$B:$B, $A22, NewEmisData!$C:$C, $H22, NewEmisData!$D:$D, DX$2), SUMIFS(NewEmisData!L:L, NewEmisData!$A:$A, "LDV", NewEmisData!$B:$B, $A22, NewEmisData!$C:$C, $H22, NewEmisData!$D:$D, DX$2))</f>
        <v>5.6262552008010301E-2</v>
      </c>
      <c r="DY22" s="324">
        <f>$I22*IF($G22="Pickup", SUMIFS(NewEmisData!M:M, NewEmisData!$A:$A, "Pickup", NewEmisData!$B:$B, $A22, NewEmisData!$C:$C, $H22, NewEmisData!$D:$D, DY$2), SUMIFS(NewEmisData!M:M, NewEmisData!$A:$A, "LDV", NewEmisData!$B:$B, $A22, NewEmisData!$C:$C, $H22, NewEmisData!$D:$D, DY$2))</f>
        <v>5.6833433433417402E-2</v>
      </c>
      <c r="DZ22" s="324">
        <f t="shared" si="15"/>
        <v>5.6833433433417402E-2</v>
      </c>
      <c r="EA22" s="324">
        <f t="shared" si="16"/>
        <v>592.25900902446597</v>
      </c>
      <c r="EB22" s="324">
        <f t="shared" si="17"/>
        <v>520.64964372058603</v>
      </c>
      <c r="EC22" s="324">
        <f t="shared" si="18"/>
        <v>392.28875494890798</v>
      </c>
      <c r="ED22" s="324">
        <f t="shared" si="19"/>
        <v>328.93351567098</v>
      </c>
      <c r="EE22" s="324">
        <f t="shared" si="20"/>
        <v>299.82015329661198</v>
      </c>
      <c r="EF22" s="324">
        <f t="shared" si="21"/>
        <v>287.49392836870999</v>
      </c>
      <c r="EG22" s="324">
        <f t="shared" si="22"/>
        <v>280.08458814076198</v>
      </c>
      <c r="EH22" s="324">
        <f t="shared" si="23"/>
        <v>277.36555832713299</v>
      </c>
      <c r="EI22" s="324">
        <f t="shared" si="24"/>
        <v>277.28160240150402</v>
      </c>
      <c r="EJ22" s="324">
        <f t="shared" si="25"/>
        <v>277.28160240150402</v>
      </c>
      <c r="EK22" s="324">
        <f t="shared" si="26"/>
        <v>2.08663122036549</v>
      </c>
      <c r="EL22" s="324">
        <f t="shared" si="27"/>
        <v>1.1128303318127599</v>
      </c>
      <c r="EM22" s="324">
        <f t="shared" si="28"/>
        <v>0.11394310174486701</v>
      </c>
      <c r="EN22" s="324">
        <f t="shared" si="29"/>
        <v>6.3630631458402698E-2</v>
      </c>
      <c r="EO22" s="324">
        <f t="shared" si="30"/>
        <v>3.8490840966433799E-2</v>
      </c>
      <c r="EP22" s="324">
        <f t="shared" si="31"/>
        <v>3.3570634635262997E-2</v>
      </c>
      <c r="EQ22" s="324">
        <f t="shared" si="32"/>
        <v>3.0366844702511799E-2</v>
      </c>
      <c r="ER22" s="324">
        <f t="shared" si="33"/>
        <v>2.9009867705627902E-2</v>
      </c>
      <c r="ES22" s="324">
        <f t="shared" si="34"/>
        <v>2.9252620404293401E-2</v>
      </c>
      <c r="ET22" s="324">
        <f t="shared" si="35"/>
        <v>2.9252620404293401E-2</v>
      </c>
      <c r="EU22" s="324">
        <f t="shared" si="36"/>
        <v>1.46981412794869E-2</v>
      </c>
      <c r="EV22" s="324">
        <f t="shared" si="37"/>
        <v>1.2476739354987301E-2</v>
      </c>
      <c r="EW22" s="324">
        <f t="shared" si="38"/>
        <v>3.2894571305210701E-3</v>
      </c>
      <c r="EX22" s="324">
        <f t="shared" si="39"/>
        <v>2.7470974713693099E-3</v>
      </c>
      <c r="EY22" s="324">
        <f t="shared" si="40"/>
        <v>2.5003167567209301E-3</v>
      </c>
      <c r="EZ22" s="324">
        <f t="shared" si="41"/>
        <v>2.3974657531320698E-3</v>
      </c>
      <c r="FA22" s="324">
        <f t="shared" si="42"/>
        <v>2.3350989902441999E-3</v>
      </c>
      <c r="FB22" s="324">
        <f t="shared" si="43"/>
        <v>2.3124305204455602E-3</v>
      </c>
      <c r="FC22" s="324">
        <f t="shared" si="44"/>
        <v>2.3117304258920301E-3</v>
      </c>
      <c r="FD22" s="324">
        <f t="shared" si="45"/>
        <v>2.3117304258920301E-3</v>
      </c>
      <c r="FE22" s="324">
        <f t="shared" si="46"/>
        <v>0.213902040332901</v>
      </c>
      <c r="FF22" s="324">
        <f t="shared" si="47"/>
        <v>0.122647837671889</v>
      </c>
      <c r="FG22" s="324">
        <f t="shared" si="48"/>
        <v>7.9090763114665993E-2</v>
      </c>
      <c r="FH22" s="324">
        <f t="shared" si="49"/>
        <v>7.8058738466237995E-2</v>
      </c>
      <c r="FI22" s="324">
        <f t="shared" si="50"/>
        <v>7.7935055542061094E-2</v>
      </c>
      <c r="FJ22" s="324">
        <f t="shared" si="51"/>
        <v>7.7996493585570995E-2</v>
      </c>
      <c r="FK22" s="324">
        <f t="shared" si="52"/>
        <v>7.7986704688815606E-2</v>
      </c>
      <c r="FL22" s="324">
        <f t="shared" si="53"/>
        <v>7.7974444112608704E-2</v>
      </c>
      <c r="FM22" s="324">
        <f t="shared" si="54"/>
        <v>7.8017136188401295E-2</v>
      </c>
      <c r="FN22" s="324">
        <f t="shared" si="55"/>
        <v>7.8017136188401295E-2</v>
      </c>
      <c r="FO22" s="324">
        <f t="shared" si="56"/>
        <v>0.123270664576141</v>
      </c>
      <c r="FP22" s="324">
        <f t="shared" si="57"/>
        <v>3.9317193900440202E-2</v>
      </c>
      <c r="FQ22" s="324">
        <f t="shared" si="58"/>
        <v>1.3808896758142499E-2</v>
      </c>
      <c r="FR22" s="324">
        <f t="shared" si="59"/>
        <v>1.28594663624491E-2</v>
      </c>
      <c r="FS22" s="324">
        <f t="shared" si="60"/>
        <v>1.2745675676218799E-2</v>
      </c>
      <c r="FT22" s="324">
        <f t="shared" si="61"/>
        <v>1.2802226569457301E-2</v>
      </c>
      <c r="FU22" s="324">
        <f t="shared" si="62"/>
        <v>1.27931973056328E-2</v>
      </c>
      <c r="FV22" s="324">
        <f t="shared" si="63"/>
        <v>1.27819426840036E-2</v>
      </c>
      <c r="FW22" s="324">
        <f t="shared" si="64"/>
        <v>1.2821255837742599E-2</v>
      </c>
      <c r="FX22" s="324">
        <f t="shared" si="65"/>
        <v>1.2821255837742599E-2</v>
      </c>
    </row>
    <row r="23" spans="1:180" x14ac:dyDescent="0.2">
      <c r="A23" s="298" t="str">
        <f>_xlfn.CONCAT(IF(LEFT(TRIM(A22),1)="*", "*R", "R"), 1+RIGHT(TRIM(A22),1))</f>
        <v>R5</v>
      </c>
      <c r="B23" s="298" t="str">
        <f t="shared" si="76"/>
        <v>TLEFDSL</v>
      </c>
      <c r="C23" s="298" t="str">
        <f t="shared" si="77"/>
        <v>TL.DSL.F.Existing fleet</v>
      </c>
      <c r="D23" s="294" t="str">
        <f t="shared" si="78"/>
        <v>bn-vmt, bn-vmt/a</v>
      </c>
      <c r="E23" s="294" t="str">
        <f t="shared" si="79"/>
        <v>TRNDSL</v>
      </c>
      <c r="F23" s="294" t="str">
        <f t="shared" si="80"/>
        <v>TL</v>
      </c>
      <c r="G23" s="294" t="s">
        <v>476</v>
      </c>
      <c r="H23" s="294" t="s">
        <v>477</v>
      </c>
      <c r="I23" s="294">
        <v>1</v>
      </c>
      <c r="J23" s="308" t="str">
        <f t="shared" si="2"/>
        <v>Full size car-DSL</v>
      </c>
      <c r="K23" s="324">
        <f>$I23*IF($G23="Pickup", SUMIFS(NewEmisData!E:E, NewEmisData!$A:$A, "Pickup", NewEmisData!$B:$B, $A23, NewEmisData!$C:$C, $H23, NewEmisData!$D:$D, K$2), SUMIFS(NewEmisData!E:E, NewEmisData!$A:$A, "LDV", NewEmisData!$B:$B, $A23, NewEmisData!$C:$C, $H23, NewEmisData!$D:$D, K$2))</f>
        <v>498.51060445480499</v>
      </c>
      <c r="L23" s="324">
        <f>$I23*IF($G23="Pickup", SUMIFS(NewEmisData!F:F, NewEmisData!$A:$A, "Pickup", NewEmisData!$B:$B, $A23, NewEmisData!$C:$C, $H23, NewEmisData!$D:$D, L$2), SUMIFS(NewEmisData!F:F, NewEmisData!$A:$A, "LDV", NewEmisData!$B:$B, $A23, NewEmisData!$C:$C, $H23, NewEmisData!$D:$D, L$2))</f>
        <v>427.96898586055102</v>
      </c>
      <c r="M23" s="324">
        <f>$I23*IF($G23="Pickup", SUMIFS(NewEmisData!G:G, NewEmisData!$A:$A, "Pickup", NewEmisData!$B:$B, $A23, NewEmisData!$C:$C, $H23, NewEmisData!$D:$D, M$2), SUMIFS(NewEmisData!G:G, NewEmisData!$A:$A, "LDV", NewEmisData!$B:$B, $A23, NewEmisData!$C:$C, $H23, NewEmisData!$D:$D, M$2))</f>
        <v>313.58403824310199</v>
      </c>
      <c r="N23" s="324">
        <f>$I23*IF($G23="Pickup", SUMIFS(NewEmisData!H:H, NewEmisData!$A:$A, "Pickup", NewEmisData!$B:$B, $A23, NewEmisData!$C:$C, $H23, NewEmisData!$D:$D, N$2), SUMIFS(NewEmisData!H:H, NewEmisData!$A:$A, "LDV", NewEmisData!$B:$B, $A23, NewEmisData!$C:$C, $H23, NewEmisData!$D:$D, N$2))</f>
        <v>263.48651447023201</v>
      </c>
      <c r="O23" s="324">
        <f>$I23*IF($G23="Pickup", SUMIFS(NewEmisData!I:I, NewEmisData!$A:$A, "Pickup", NewEmisData!$B:$B, $A23, NewEmisData!$C:$C, $H23, NewEmisData!$D:$D, O$2), SUMIFS(NewEmisData!I:I, NewEmisData!$A:$A, "LDV", NewEmisData!$B:$B, $A23, NewEmisData!$C:$C, $H23, NewEmisData!$D:$D, O$2))</f>
        <v>240.732982853072</v>
      </c>
      <c r="P23" s="324">
        <f>$I23*IF($G23="Pickup", SUMIFS(NewEmisData!J:J, NewEmisData!$A:$A, "Pickup", NewEmisData!$B:$B, $A23, NewEmisData!$C:$C, $H23, NewEmisData!$D:$D, P$2), SUMIFS(NewEmisData!J:J, NewEmisData!$A:$A, "LDV", NewEmisData!$B:$B, $A23, NewEmisData!$C:$C, $H23, NewEmisData!$D:$D, P$2))</f>
        <v>231.37893577755901</v>
      </c>
      <c r="Q23" s="324">
        <f>$I23*IF($G23="Pickup", SUMIFS(NewEmisData!K:K, NewEmisData!$A:$A, "Pickup", NewEmisData!$B:$B, $A23, NewEmisData!$C:$C, $H23, NewEmisData!$D:$D, Q$2), SUMIFS(NewEmisData!K:K, NewEmisData!$A:$A, "LDV", NewEmisData!$B:$B, $A23, NewEmisData!$C:$C, $H23, NewEmisData!$D:$D, Q$2))</f>
        <v>225.706930682983</v>
      </c>
      <c r="R23" s="324">
        <f>$I23*IF($G23="Pickup", SUMIFS(NewEmisData!L:L, NewEmisData!$A:$A, "Pickup", NewEmisData!$B:$B, $A23, NewEmisData!$C:$C, $H23, NewEmisData!$D:$D, R$2), SUMIFS(NewEmisData!L:L, NewEmisData!$A:$A, "LDV", NewEmisData!$B:$B, $A23, NewEmisData!$C:$C, $H23, NewEmisData!$D:$D, R$2))</f>
        <v>223.59774894311099</v>
      </c>
      <c r="S23" s="324">
        <f>$I23*IF($G23="Pickup", SUMIFS(NewEmisData!M:M, NewEmisData!$A:$A, "Pickup", NewEmisData!$B:$B, $A23, NewEmisData!$C:$C, $H23, NewEmisData!$D:$D, S$2), SUMIFS(NewEmisData!M:M, NewEmisData!$A:$A, "LDV", NewEmisData!$B:$B, $A23, NewEmisData!$C:$C, $H23, NewEmisData!$D:$D, S$2))</f>
        <v>223.62259579940101</v>
      </c>
      <c r="T23" s="324">
        <f t="shared" si="5"/>
        <v>223.62259579940101</v>
      </c>
      <c r="U23" s="324">
        <f>$I23*IF($G23="Pickup", SUMIFS(NewEmisData!E:E, NewEmisData!$A:$A, "Pickup", NewEmisData!$B:$B, $A23, NewEmisData!$C:$C, $H23, NewEmisData!$D:$D, U$2), SUMIFS(NewEmisData!E:E, NewEmisData!$A:$A, "LDV", NewEmisData!$B:$B, $A23, NewEmisData!$C:$C, $H23, NewEmisData!$D:$D, U$2))</f>
        <v>1.95668713494791</v>
      </c>
      <c r="V23" s="324">
        <f>$I23*IF($G23="Pickup", SUMIFS(NewEmisData!F:F, NewEmisData!$A:$A, "Pickup", NewEmisData!$B:$B, $A23, NewEmisData!$C:$C, $H23, NewEmisData!$D:$D, V$2), SUMIFS(NewEmisData!F:F, NewEmisData!$A:$A, "LDV", NewEmisData!$B:$B, $A23, NewEmisData!$C:$C, $H23, NewEmisData!$D:$D, V$2))</f>
        <v>1.03408849531611</v>
      </c>
      <c r="W23" s="324">
        <f>$I23*IF($G23="Pickup", SUMIFS(NewEmisData!G:G, NewEmisData!$A:$A, "Pickup", NewEmisData!$B:$B, $A23, NewEmisData!$C:$C, $H23, NewEmisData!$D:$D, W$2), SUMIFS(NewEmisData!G:G, NewEmisData!$A:$A, "LDV", NewEmisData!$B:$B, $A23, NewEmisData!$C:$C, $H23, NewEmisData!$D:$D, W$2))</f>
        <v>0.13937953634174</v>
      </c>
      <c r="X23" s="324">
        <f>$I23*IF($G23="Pickup", SUMIFS(NewEmisData!H:H, NewEmisData!$A:$A, "Pickup", NewEmisData!$B:$B, $A23, NewEmisData!$C:$C, $H23, NewEmisData!$D:$D, X$2), SUMIFS(NewEmisData!H:H, NewEmisData!$A:$A, "LDV", NewEmisData!$B:$B, $A23, NewEmisData!$C:$C, $H23, NewEmisData!$D:$D, X$2))</f>
        <v>8.1975438007071702E-2</v>
      </c>
      <c r="Y23" s="324">
        <f>$I23*IF($G23="Pickup", SUMIFS(NewEmisData!I:I, NewEmisData!$A:$A, "Pickup", NewEmisData!$B:$B, $A23, NewEmisData!$C:$C, $H23, NewEmisData!$D:$D, Y$2), SUMIFS(NewEmisData!I:I, NewEmisData!$A:$A, "LDV", NewEmisData!$B:$B, $A23, NewEmisData!$C:$C, $H23, NewEmisData!$D:$D, Y$2))</f>
        <v>5.4488345369794799E-2</v>
      </c>
      <c r="Z23" s="324">
        <f>$I23*IF($G23="Pickup", SUMIFS(NewEmisData!J:J, NewEmisData!$A:$A, "Pickup", NewEmisData!$B:$B, $A23, NewEmisData!$C:$C, $H23, NewEmisData!$D:$D, Z$2), SUMIFS(NewEmisData!J:J, NewEmisData!$A:$A, "LDV", NewEmisData!$B:$B, $A23, NewEmisData!$C:$C, $H23, NewEmisData!$D:$D, Z$2))</f>
        <v>4.9514749087093503E-2</v>
      </c>
      <c r="AA23" s="324">
        <f>$I23*IF($G23="Pickup", SUMIFS(NewEmisData!K:K, NewEmisData!$A:$A, "Pickup", NewEmisData!$B:$B, $A23, NewEmisData!$C:$C, $H23, NewEmisData!$D:$D, AA$2), SUMIFS(NewEmisData!K:K, NewEmisData!$A:$A, "LDV", NewEmisData!$B:$B, $A23, NewEmisData!$C:$C, $H23, NewEmisData!$D:$D, AA$2))</f>
        <v>4.5924427698312099E-2</v>
      </c>
      <c r="AB23" s="324">
        <f>$I23*IF($G23="Pickup", SUMIFS(NewEmisData!L:L, NewEmisData!$A:$A, "Pickup", NewEmisData!$B:$B, $A23, NewEmisData!$C:$C, $H23, NewEmisData!$D:$D, AB$2), SUMIFS(NewEmisData!L:L, NewEmisData!$A:$A, "LDV", NewEmisData!$B:$B, $A23, NewEmisData!$C:$C, $H23, NewEmisData!$D:$D, AB$2))</f>
        <v>4.4303138009832502E-2</v>
      </c>
      <c r="AC23" s="324">
        <f>$I23*IF($G23="Pickup", SUMIFS(NewEmisData!M:M, NewEmisData!$A:$A, "Pickup", NewEmisData!$B:$B, $A23, NewEmisData!$C:$C, $H23, NewEmisData!$D:$D, AC$2), SUMIFS(NewEmisData!M:M, NewEmisData!$A:$A, "LDV", NewEmisData!$B:$B, $A23, NewEmisData!$C:$C, $H23, NewEmisData!$D:$D, AC$2))</f>
        <v>4.4775258868072099E-2</v>
      </c>
      <c r="AD23" s="324">
        <f t="shared" si="6"/>
        <v>4.4775258868072099E-2</v>
      </c>
      <c r="AE23" s="324">
        <f>$I23*IF($G23="Pickup", SUMIFS(NewEmisData!E:E, NewEmisData!$A:$A, "Pickup", NewEmisData!$B:$B, $A23, NewEmisData!$C:$C, $H23, NewEmisData!$D:$D, AE$2), SUMIFS(NewEmisData!E:E, NewEmisData!$A:$A, "LDV", NewEmisData!$B:$B, $A23, NewEmisData!$C:$C, $H23, NewEmisData!$D:$D, AE$2))</f>
        <v>1.2408455682624201E-2</v>
      </c>
      <c r="AF23" s="324">
        <f>$I23*IF($G23="Pickup", SUMIFS(NewEmisData!F:F, NewEmisData!$A:$A, "Pickup", NewEmisData!$B:$B, $A23, NewEmisData!$C:$C, $H23, NewEmisData!$D:$D, AF$2), SUMIFS(NewEmisData!F:F, NewEmisData!$A:$A, "LDV", NewEmisData!$B:$B, $A23, NewEmisData!$C:$C, $H23, NewEmisData!$D:$D, AF$2))</f>
        <v>1.0276019938438199E-2</v>
      </c>
      <c r="AG23" s="324">
        <f>$I23*IF($G23="Pickup", SUMIFS(NewEmisData!G:G, NewEmisData!$A:$A, "Pickup", NewEmisData!$B:$B, $A23, NewEmisData!$C:$C, $H23, NewEmisData!$D:$D, AG$2), SUMIFS(NewEmisData!G:G, NewEmisData!$A:$A, "LDV", NewEmisData!$B:$B, $A23, NewEmisData!$C:$C, $H23, NewEmisData!$D:$D, AG$2))</f>
        <v>2.6298327304881399E-3</v>
      </c>
      <c r="AH23" s="324">
        <f>$I23*IF($G23="Pickup", SUMIFS(NewEmisData!H:H, NewEmisData!$A:$A, "Pickup", NewEmisData!$B:$B, $A23, NewEmisData!$C:$C, $H23, NewEmisData!$D:$D, AH$2), SUMIFS(NewEmisData!H:H, NewEmisData!$A:$A, "LDV", NewEmisData!$B:$B, $A23, NewEmisData!$C:$C, $H23, NewEmisData!$D:$D, AH$2))</f>
        <v>2.2006244414905498E-3</v>
      </c>
      <c r="AI23" s="324">
        <f>$I23*IF($G23="Pickup", SUMIFS(NewEmisData!I:I, NewEmisData!$A:$A, "Pickup", NewEmisData!$B:$B, $A23, NewEmisData!$C:$C, $H23, NewEmisData!$D:$D, AI$2), SUMIFS(NewEmisData!I:I, NewEmisData!$A:$A, "LDV", NewEmisData!$B:$B, $A23, NewEmisData!$C:$C, $H23, NewEmisData!$D:$D, AI$2))</f>
        <v>2.00758155548776E-3</v>
      </c>
      <c r="AJ23" s="324">
        <f>$I23*IF($G23="Pickup", SUMIFS(NewEmisData!J:J, NewEmisData!$A:$A, "Pickup", NewEmisData!$B:$B, $A23, NewEmisData!$C:$C, $H23, NewEmisData!$D:$D, AJ$2), SUMIFS(NewEmisData!J:J, NewEmisData!$A:$A, "LDV", NewEmisData!$B:$B, $A23, NewEmisData!$C:$C, $H23, NewEmisData!$D:$D, AJ$2))</f>
        <v>1.9295264605228199E-3</v>
      </c>
      <c r="AK23" s="324">
        <f>$I23*IF($G23="Pickup", SUMIFS(NewEmisData!K:K, NewEmisData!$A:$A, "Pickup", NewEmisData!$B:$B, $A23, NewEmisData!$C:$C, $H23, NewEmisData!$D:$D, AK$2), SUMIFS(NewEmisData!K:K, NewEmisData!$A:$A, "LDV", NewEmisData!$B:$B, $A23, NewEmisData!$C:$C, $H23, NewEmisData!$D:$D, AK$2))</f>
        <v>1.8817456818101699E-3</v>
      </c>
      <c r="AL23" s="324">
        <f>$I23*IF($G23="Pickup", SUMIFS(NewEmisData!L:L, NewEmisData!$A:$A, "Pickup", NewEmisData!$B:$B, $A23, NewEmisData!$C:$C, $H23, NewEmisData!$D:$D, AL$2), SUMIFS(NewEmisData!L:L, NewEmisData!$A:$A, "LDV", NewEmisData!$B:$B, $A23, NewEmisData!$C:$C, $H23, NewEmisData!$D:$D, AL$2))</f>
        <v>1.86416072801446E-3</v>
      </c>
      <c r="AM23" s="324">
        <f>$I23*IF($G23="Pickup", SUMIFS(NewEmisData!M:M, NewEmisData!$A:$A, "Pickup", NewEmisData!$B:$B, $A23, NewEmisData!$C:$C, $H23, NewEmisData!$D:$D, AM$2), SUMIFS(NewEmisData!M:M, NewEmisData!$A:$A, "LDV", NewEmisData!$B:$B, $A23, NewEmisData!$C:$C, $H23, NewEmisData!$D:$D, AM$2))</f>
        <v>1.86436908040036E-3</v>
      </c>
      <c r="AN23" s="324">
        <f t="shared" si="7"/>
        <v>1.86436908040036E-3</v>
      </c>
      <c r="AO23" s="324">
        <f>$I23*IF($G23="Pickup", SUMIFS(NewEmisData!E:E, NewEmisData!$A:$A, "Pickup", NewEmisData!$B:$B, $A23, NewEmisData!$C:$C, $H23, NewEmisData!$D:$D, AO$2), SUMIFS(NewEmisData!E:E, NewEmisData!$A:$A, "LDV", NewEmisData!$B:$B, $A23, NewEmisData!$C:$C, $H23, NewEmisData!$D:$D, AO$2))</f>
        <v>0.13590431504000899</v>
      </c>
      <c r="AP23" s="324">
        <f>$I23*IF($G23="Pickup", SUMIFS(NewEmisData!F:F, NewEmisData!$A:$A, "Pickup", NewEmisData!$B:$B, $A23, NewEmisData!$C:$C, $H23, NewEmisData!$D:$D, AP$2), SUMIFS(NewEmisData!F:F, NewEmisData!$A:$A, "LDV", NewEmisData!$B:$B, $A23, NewEmisData!$C:$C, $H23, NewEmisData!$D:$D, AP$2))</f>
        <v>9.19661609908244E-2</v>
      </c>
      <c r="AQ23" s="324">
        <f>$I23*IF($G23="Pickup", SUMIFS(NewEmisData!G:G, NewEmisData!$A:$A, "Pickup", NewEmisData!$B:$B, $A23, NewEmisData!$C:$C, $H23, NewEmisData!$D:$D, AQ$2), SUMIFS(NewEmisData!G:G, NewEmisData!$A:$A, "LDV", NewEmisData!$B:$B, $A23, NewEmisData!$C:$C, $H23, NewEmisData!$D:$D, AQ$2))</f>
        <v>5.0104052009984502E-2</v>
      </c>
      <c r="AR23" s="324">
        <f>$I23*IF($G23="Pickup", SUMIFS(NewEmisData!H:H, NewEmisData!$A:$A, "Pickup", NewEmisData!$B:$B, $A23, NewEmisData!$C:$C, $H23, NewEmisData!$D:$D, AR$2), SUMIFS(NewEmisData!H:H, NewEmisData!$A:$A, "LDV", NewEmisData!$B:$B, $A23, NewEmisData!$C:$C, $H23, NewEmisData!$D:$D, AR$2))</f>
        <v>4.9014806290740898E-2</v>
      </c>
      <c r="AS23" s="324">
        <f>$I23*IF($G23="Pickup", SUMIFS(NewEmisData!I:I, NewEmisData!$A:$A, "Pickup", NewEmisData!$B:$B, $A23, NewEmisData!$C:$C, $H23, NewEmisData!$D:$D, AS$2), SUMIFS(NewEmisData!I:I, NewEmisData!$A:$A, "LDV", NewEmisData!$B:$B, $A23, NewEmisData!$C:$C, $H23, NewEmisData!$D:$D, AS$2))</f>
        <v>4.8883022727650001E-2</v>
      </c>
      <c r="AT23" s="324">
        <f>$I23*IF($G23="Pickup", SUMIFS(NewEmisData!J:J, NewEmisData!$A:$A, "Pickup", NewEmisData!$B:$B, $A23, NewEmisData!$C:$C, $H23, NewEmisData!$D:$D, AT$2), SUMIFS(NewEmisData!J:J, NewEmisData!$A:$A, "LDV", NewEmisData!$B:$B, $A23, NewEmisData!$C:$C, $H23, NewEmisData!$D:$D, AT$2))</f>
        <v>4.8958613624750798E-2</v>
      </c>
      <c r="AU23" s="324">
        <f>$I23*IF($G23="Pickup", SUMIFS(NewEmisData!K:K, NewEmisData!$A:$A, "Pickup", NewEmisData!$B:$B, $A23, NewEmisData!$C:$C, $H23, NewEmisData!$D:$D, AU$2), SUMIFS(NewEmisData!K:K, NewEmisData!$A:$A, "LDV", NewEmisData!$B:$B, $A23, NewEmisData!$C:$C, $H23, NewEmisData!$D:$D, AU$2))</f>
        <v>4.8958938451988898E-2</v>
      </c>
      <c r="AV23" s="324">
        <f>$I23*IF($G23="Pickup", SUMIFS(NewEmisData!L:L, NewEmisData!$A:$A, "Pickup", NewEmisData!$B:$B, $A23, NewEmisData!$C:$C, $H23, NewEmisData!$D:$D, AV$2), SUMIFS(NewEmisData!L:L, NewEmisData!$A:$A, "LDV", NewEmisData!$B:$B, $A23, NewEmisData!$C:$C, $H23, NewEmisData!$D:$D, AV$2))</f>
        <v>4.8949340858878199E-2</v>
      </c>
      <c r="AW23" s="324">
        <f>$I23*IF($G23="Pickup", SUMIFS(NewEmisData!M:M, NewEmisData!$A:$A, "Pickup", NewEmisData!$B:$B, $A23, NewEmisData!$C:$C, $H23, NewEmisData!$D:$D, AW$2), SUMIFS(NewEmisData!M:M, NewEmisData!$A:$A, "LDV", NewEmisData!$B:$B, $A23, NewEmisData!$C:$C, $H23, NewEmisData!$D:$D, AW$2))</f>
        <v>4.8997116084640698E-2</v>
      </c>
      <c r="AX23" s="324">
        <f t="shared" si="8"/>
        <v>4.8997116084640698E-2</v>
      </c>
      <c r="AY23" s="324">
        <f>$I23*IF($G23="Pickup", SUMIFS(NewEmisData!E:E, NewEmisData!$A:$A, "Pickup", NewEmisData!$B:$B, $A23, NewEmisData!$C:$C, $H23, NewEmisData!$D:$D, AY$2), SUMIFS(NewEmisData!E:E, NewEmisData!$A:$A, "LDV", NewEmisData!$B:$B, $A23, NewEmisData!$C:$C, $H23, NewEmisData!$D:$D, AY$2))</f>
        <v>7.4829321328432702E-2</v>
      </c>
      <c r="AZ23" s="324">
        <f>$I23*IF($G23="Pickup", SUMIFS(NewEmisData!F:F, NewEmisData!$A:$A, "Pickup", NewEmisData!$B:$B, $A23, NewEmisData!$C:$C, $H23, NewEmisData!$D:$D, AZ$2), SUMIFS(NewEmisData!F:F, NewEmisData!$A:$A, "LDV", NewEmisData!$B:$B, $A23, NewEmisData!$C:$C, $H23, NewEmisData!$D:$D, AZ$2))</f>
        <v>3.4406309924688003E-2</v>
      </c>
      <c r="BA23" s="324">
        <f>$I23*IF($G23="Pickup", SUMIFS(NewEmisData!G:G, NewEmisData!$A:$A, "Pickup", NewEmisData!$B:$B, $A23, NewEmisData!$C:$C, $H23, NewEmisData!$D:$D, BA$2), SUMIFS(NewEmisData!G:G, NewEmisData!$A:$A, "LDV", NewEmisData!$B:$B, $A23, NewEmisData!$C:$C, $H23, NewEmisData!$D:$D, BA$2))</f>
        <v>1.00241937308752E-2</v>
      </c>
      <c r="BB23" s="324">
        <f>$I23*IF($G23="Pickup", SUMIFS(NewEmisData!H:H, NewEmisData!$A:$A, "Pickup", NewEmisData!$B:$B, $A23, NewEmisData!$C:$C, $H23, NewEmisData!$D:$D, BB$2), SUMIFS(NewEmisData!H:H, NewEmisData!$A:$A, "LDV", NewEmisData!$B:$B, $A23, NewEmisData!$C:$C, $H23, NewEmisData!$D:$D, BB$2))</f>
        <v>9.0221104554758305E-3</v>
      </c>
      <c r="BC23" s="324">
        <f>$I23*IF($G23="Pickup", SUMIFS(NewEmisData!I:I, NewEmisData!$A:$A, "Pickup", NewEmisData!$B:$B, $A23, NewEmisData!$C:$C, $H23, NewEmisData!$D:$D, BC$2), SUMIFS(NewEmisData!I:I, NewEmisData!$A:$A, "LDV", NewEmisData!$B:$B, $A23, NewEmisData!$C:$C, $H23, NewEmisData!$D:$D, BC$2))</f>
        <v>8.9008490587291992E-3</v>
      </c>
      <c r="BD23" s="324">
        <f>$I23*IF($G23="Pickup", SUMIFS(NewEmisData!J:J, NewEmisData!$A:$A, "Pickup", NewEmisData!$B:$B, $A23, NewEmisData!$C:$C, $H23, NewEmisData!$D:$D, BD$2), SUMIFS(NewEmisData!J:J, NewEmisData!$A:$A, "LDV", NewEmisData!$B:$B, $A23, NewEmisData!$C:$C, $H23, NewEmisData!$D:$D, BD$2))</f>
        <v>8.9704063704956795E-3</v>
      </c>
      <c r="BE23" s="324">
        <f>$I23*IF($G23="Pickup", SUMIFS(NewEmisData!K:K, NewEmisData!$A:$A, "Pickup", NewEmisData!$B:$B, $A23, NewEmisData!$C:$C, $H23, NewEmisData!$D:$D, BE$2), SUMIFS(NewEmisData!K:K, NewEmisData!$A:$A, "LDV", NewEmisData!$B:$B, $A23, NewEmisData!$C:$C, $H23, NewEmisData!$D:$D, BE$2))</f>
        <v>8.9707258656393594E-3</v>
      </c>
      <c r="BF23" s="324">
        <f>$I23*IF($G23="Pickup", SUMIFS(NewEmisData!L:L, NewEmisData!$A:$A, "Pickup", NewEmisData!$B:$B, $A23, NewEmisData!$C:$C, $H23, NewEmisData!$D:$D, BF$2), SUMIFS(NewEmisData!L:L, NewEmisData!$A:$A, "LDV", NewEmisData!$B:$B, $A23, NewEmisData!$C:$C, $H23, NewEmisData!$D:$D, BF$2))</f>
        <v>8.9618977988404798E-3</v>
      </c>
      <c r="BG23" s="324">
        <f>$I23*IF($G23="Pickup", SUMIFS(NewEmisData!M:M, NewEmisData!$A:$A, "Pickup", NewEmisData!$B:$B, $A23, NewEmisData!$C:$C, $H23, NewEmisData!$D:$D, BG$2), SUMIFS(NewEmisData!M:M, NewEmisData!$A:$A, "LDV", NewEmisData!$B:$B, $A23, NewEmisData!$C:$C, $H23, NewEmisData!$D:$D, BG$2))</f>
        <v>9.0058077781541897E-3</v>
      </c>
      <c r="BH23" s="324">
        <f t="shared" si="9"/>
        <v>9.0058077781541897E-3</v>
      </c>
      <c r="BI23" s="324">
        <f>$I23*IF($G23="Pickup", SUMIFS(NewEmisData!E:E, NewEmisData!$A:$A, "Pickup", NewEmisData!$B:$B, $A23, NewEmisData!$C:$C, $H23, NewEmisData!$D:$D, BI$2), SUMIFS(NewEmisData!E:E, NewEmisData!$A:$A, "LDV", NewEmisData!$B:$B, $A23, NewEmisData!$C:$C, $H23, NewEmisData!$D:$D, BI$2))</f>
        <v>36.638710837531299</v>
      </c>
      <c r="BJ23" s="324">
        <f>$I23*IF($G23="Pickup", SUMIFS(NewEmisData!F:F, NewEmisData!$A:$A, "Pickup", NewEmisData!$B:$B, $A23, NewEmisData!$C:$C, $H23, NewEmisData!$D:$D, BJ$2), SUMIFS(NewEmisData!F:F, NewEmisData!$A:$A, "LDV", NewEmisData!$B:$B, $A23, NewEmisData!$C:$C, $H23, NewEmisData!$D:$D, BJ$2))</f>
        <v>13.802289372990799</v>
      </c>
      <c r="BK23" s="324">
        <f>$I23*IF($G23="Pickup", SUMIFS(NewEmisData!G:G, NewEmisData!$A:$A, "Pickup", NewEmisData!$B:$B, $A23, NewEmisData!$C:$C, $H23, NewEmisData!$D:$D, BK$2), SUMIFS(NewEmisData!G:G, NewEmisData!$A:$A, "LDV", NewEmisData!$B:$B, $A23, NewEmisData!$C:$C, $H23, NewEmisData!$D:$D, BK$2))</f>
        <v>1.83060951218013</v>
      </c>
      <c r="BL23" s="324">
        <f>$I23*IF($G23="Pickup", SUMIFS(NewEmisData!H:H, NewEmisData!$A:$A, "Pickup", NewEmisData!$B:$B, $A23, NewEmisData!$C:$C, $H23, NewEmisData!$D:$D, BL$2), SUMIFS(NewEmisData!H:H, NewEmisData!$A:$A, "LDV", NewEmisData!$B:$B, $A23, NewEmisData!$C:$C, $H23, NewEmisData!$D:$D, BL$2))</f>
        <v>1.42377664163083</v>
      </c>
      <c r="BM23" s="324">
        <f>$I23*IF($G23="Pickup", SUMIFS(NewEmisData!I:I, NewEmisData!$A:$A, "Pickup", NewEmisData!$B:$B, $A23, NewEmisData!$C:$C, $H23, NewEmisData!$D:$D, BM$2), SUMIFS(NewEmisData!I:I, NewEmisData!$A:$A, "LDV", NewEmisData!$B:$B, $A23, NewEmisData!$C:$C, $H23, NewEmisData!$D:$D, BM$2))</f>
        <v>1.2352882876489999</v>
      </c>
      <c r="BN23" s="324">
        <f>$I23*IF($G23="Pickup", SUMIFS(NewEmisData!J:J, NewEmisData!$A:$A, "Pickup", NewEmisData!$B:$B, $A23, NewEmisData!$C:$C, $H23, NewEmisData!$D:$D, BN$2), SUMIFS(NewEmisData!J:J, NewEmisData!$A:$A, "LDV", NewEmisData!$B:$B, $A23, NewEmisData!$C:$C, $H23, NewEmisData!$D:$D, BN$2))</f>
        <v>1.18410876380537</v>
      </c>
      <c r="BO23" s="324">
        <f>$I23*IF($G23="Pickup", SUMIFS(NewEmisData!K:K, NewEmisData!$A:$A, "Pickup", NewEmisData!$B:$B, $A23, NewEmisData!$C:$C, $H23, NewEmisData!$D:$D, BO$2), SUMIFS(NewEmisData!K:K, NewEmisData!$A:$A, "LDV", NewEmisData!$B:$B, $A23, NewEmisData!$C:$C, $H23, NewEmisData!$D:$D, BO$2))</f>
        <v>1.12620209678128</v>
      </c>
      <c r="BP23" s="324">
        <f>$I23*IF($G23="Pickup", SUMIFS(NewEmisData!L:L, NewEmisData!$A:$A, "Pickup", NewEmisData!$B:$B, $A23, NewEmisData!$C:$C, $H23, NewEmisData!$D:$D, BP$2), SUMIFS(NewEmisData!L:L, NewEmisData!$A:$A, "LDV", NewEmisData!$B:$B, $A23, NewEmisData!$C:$C, $H23, NewEmisData!$D:$D, BP$2))</f>
        <v>1.0967918402460499</v>
      </c>
      <c r="BQ23" s="324">
        <f>$I23*IF($G23="Pickup", SUMIFS(NewEmisData!M:M, NewEmisData!$A:$A, "Pickup", NewEmisData!$B:$B, $A23, NewEmisData!$C:$C, $H23, NewEmisData!$D:$D, BQ$2), SUMIFS(NewEmisData!M:M, NewEmisData!$A:$A, "LDV", NewEmisData!$B:$B, $A23, NewEmisData!$C:$C, $H23, NewEmisData!$D:$D, BQ$2))</f>
        <v>1.1047881286346199</v>
      </c>
      <c r="BR23" s="324">
        <f t="shared" si="10"/>
        <v>1.1047881286346199</v>
      </c>
      <c r="BS23" s="324">
        <f>$I23*IF($G23="Pickup", SUMIFS(NewEmisData!E:E, NewEmisData!$A:$A, "Pickup", NewEmisData!$B:$B, $A23, NewEmisData!$C:$C, $H23, NewEmisData!$D:$D, BS$2), SUMIFS(NewEmisData!E:E, NewEmisData!$A:$A, "LDV", NewEmisData!$B:$B, $A23, NewEmisData!$C:$C, $H23, NewEmisData!$D:$D, BS$2))</f>
        <v>3.5770772878155999</v>
      </c>
      <c r="BT23" s="324">
        <f>$I23*IF($G23="Pickup", SUMIFS(NewEmisData!F:F, NewEmisData!$A:$A, "Pickup", NewEmisData!$B:$B, $A23, NewEmisData!$C:$C, $H23, NewEmisData!$D:$D, BT$2), SUMIFS(NewEmisData!F:F, NewEmisData!$A:$A, "LDV", NewEmisData!$B:$B, $A23, NewEmisData!$C:$C, $H23, NewEmisData!$D:$D, BT$2))</f>
        <v>1.39023847476319</v>
      </c>
      <c r="BU23" s="324">
        <f>$I23*IF($G23="Pickup", SUMIFS(NewEmisData!G:G, NewEmisData!$A:$A, "Pickup", NewEmisData!$B:$B, $A23, NewEmisData!$C:$C, $H23, NewEmisData!$D:$D, BU$2), SUMIFS(NewEmisData!G:G, NewEmisData!$A:$A, "LDV", NewEmisData!$B:$B, $A23, NewEmisData!$C:$C, $H23, NewEmisData!$D:$D, BU$2))</f>
        <v>0.155020009940218</v>
      </c>
      <c r="BV23" s="324">
        <f>$I23*IF($G23="Pickup", SUMIFS(NewEmisData!H:H, NewEmisData!$A:$A, "Pickup", NewEmisData!$B:$B, $A23, NewEmisData!$C:$C, $H23, NewEmisData!$D:$D, BV$2), SUMIFS(NewEmisData!H:H, NewEmisData!$A:$A, "LDV", NewEmisData!$B:$B, $A23, NewEmisData!$C:$C, $H23, NewEmisData!$D:$D, BV$2))</f>
        <v>0.109490423329199</v>
      </c>
      <c r="BW23" s="324">
        <f>$I23*IF($G23="Pickup", SUMIFS(NewEmisData!I:I, NewEmisData!$A:$A, "Pickup", NewEmisData!$B:$B, $A23, NewEmisData!$C:$C, $H23, NewEmisData!$D:$D, BW$2), SUMIFS(NewEmisData!I:I, NewEmisData!$A:$A, "LDV", NewEmisData!$B:$B, $A23, NewEmisData!$C:$C, $H23, NewEmisData!$D:$D, BW$2))</f>
        <v>8.7047254389929593E-2</v>
      </c>
      <c r="BX23" s="324">
        <f>$I23*IF($G23="Pickup", SUMIFS(NewEmisData!J:J, NewEmisData!$A:$A, "Pickup", NewEmisData!$B:$B, $A23, NewEmisData!$C:$C, $H23, NewEmisData!$D:$D, BX$2), SUMIFS(NewEmisData!J:J, NewEmisData!$A:$A, "LDV", NewEmisData!$B:$B, $A23, NewEmisData!$C:$C, $H23, NewEmisData!$D:$D, BX$2))</f>
        <v>8.5505036729246905E-2</v>
      </c>
      <c r="BY23" s="324">
        <f>$I23*IF($G23="Pickup", SUMIFS(NewEmisData!K:K, NewEmisData!$A:$A, "Pickup", NewEmisData!$B:$B, $A23, NewEmisData!$C:$C, $H23, NewEmisData!$D:$D, BY$2), SUMIFS(NewEmisData!K:K, NewEmisData!$A:$A, "LDV", NewEmisData!$B:$B, $A23, NewEmisData!$C:$C, $H23, NewEmisData!$D:$D, BY$2))</f>
        <v>8.29112788035897E-2</v>
      </c>
      <c r="BZ23" s="324">
        <f>$I23*IF($G23="Pickup", SUMIFS(NewEmisData!L:L, NewEmisData!$A:$A, "Pickup", NewEmisData!$B:$B, $A23, NewEmisData!$C:$C, $H23, NewEmisData!$D:$D, BZ$2), SUMIFS(NewEmisData!L:L, NewEmisData!$A:$A, "LDV", NewEmisData!$B:$B, $A23, NewEmisData!$C:$C, $H23, NewEmisData!$D:$D, BZ$2))</f>
        <v>8.1769325094706399E-2</v>
      </c>
      <c r="CA23" s="324">
        <f>$I23*IF($G23="Pickup", SUMIFS(NewEmisData!M:M, NewEmisData!$A:$A, "Pickup", NewEmisData!$B:$B, $A23, NewEmisData!$C:$C, $H23, NewEmisData!$D:$D, CA$2), SUMIFS(NewEmisData!M:M, NewEmisData!$A:$A, "LDV", NewEmisData!$B:$B, $A23, NewEmisData!$C:$C, $H23, NewEmisData!$D:$D, CA$2))</f>
        <v>8.2597604585349302E-2</v>
      </c>
      <c r="CB23" s="324">
        <f t="shared" si="11"/>
        <v>8.2597604585349302E-2</v>
      </c>
      <c r="CC23" s="324">
        <f>$I23*IF($G23="Pickup", SUMIFS(NewEmisData!E:E, NewEmisData!$A:$A, "Pickup", NewEmisData!$B:$B, $A23, NewEmisData!$C:$C, $H23, NewEmisData!$D:$D, CC$2), SUMIFS(NewEmisData!E:E, NewEmisData!$A:$A, "LDV", NewEmisData!$B:$B, $A23, NewEmisData!$C:$C, $H23, NewEmisData!$D:$D, CC$2))</f>
        <v>8.3475144055890696E-3</v>
      </c>
      <c r="CD23" s="324">
        <f>$I23*IF($G23="Pickup", SUMIFS(NewEmisData!F:F, NewEmisData!$A:$A, "Pickup", NewEmisData!$B:$B, $A23, NewEmisData!$C:$C, $H23, NewEmisData!$D:$D, CD$2), SUMIFS(NewEmisData!F:F, NewEmisData!$A:$A, "LDV", NewEmisData!$B:$B, $A23, NewEmisData!$C:$C, $H23, NewEmisData!$D:$D, CD$2))</f>
        <v>8.3475050021309897E-3</v>
      </c>
      <c r="CE23" s="324">
        <f>$I23*IF($G23="Pickup", SUMIFS(NewEmisData!G:G, NewEmisData!$A:$A, "Pickup", NewEmisData!$B:$B, $A23, NewEmisData!$C:$C, $H23, NewEmisData!$D:$D, CE$2), SUMIFS(NewEmisData!G:G, NewEmisData!$A:$A, "LDV", NewEmisData!$B:$B, $A23, NewEmisData!$C:$C, $H23, NewEmisData!$D:$D, CE$2))</f>
        <v>8.08244701774582E-3</v>
      </c>
      <c r="CF23" s="324">
        <f>$I23*IF($G23="Pickup", SUMIFS(NewEmisData!H:H, NewEmisData!$A:$A, "Pickup", NewEmisData!$B:$B, $A23, NewEmisData!$C:$C, $H23, NewEmisData!$D:$D, CF$2), SUMIFS(NewEmisData!H:H, NewEmisData!$A:$A, "LDV", NewEmisData!$B:$B, $A23, NewEmisData!$C:$C, $H23, NewEmisData!$D:$D, CF$2))</f>
        <v>8.0824466744851501E-3</v>
      </c>
      <c r="CG23" s="324">
        <f>$I23*IF($G23="Pickup", SUMIFS(NewEmisData!I:I, NewEmisData!$A:$A, "Pickup", NewEmisData!$B:$B, $A23, NewEmisData!$C:$C, $H23, NewEmisData!$D:$D, CG$2), SUMIFS(NewEmisData!I:I, NewEmisData!$A:$A, "LDV", NewEmisData!$B:$B, $A23, NewEmisData!$C:$C, $H23, NewEmisData!$D:$D, CG$2))</f>
        <v>8.0824532011126195E-3</v>
      </c>
      <c r="CH23" s="324">
        <f>$I23*IF($G23="Pickup", SUMIFS(NewEmisData!J:J, NewEmisData!$A:$A, "Pickup", NewEmisData!$B:$B, $A23, NewEmisData!$C:$C, $H23, NewEmisData!$D:$D, CH$2), SUMIFS(NewEmisData!J:J, NewEmisData!$A:$A, "LDV", NewEmisData!$B:$B, $A23, NewEmisData!$C:$C, $H23, NewEmisData!$D:$D, CH$2))</f>
        <v>8.0824503228617596E-3</v>
      </c>
      <c r="CI23" s="324">
        <f>$I23*IF($G23="Pickup", SUMIFS(NewEmisData!K:K, NewEmisData!$A:$A, "Pickup", NewEmisData!$B:$B, $A23, NewEmisData!$C:$C, $H23, NewEmisData!$D:$D, CI$2), SUMIFS(NewEmisData!K:K, NewEmisData!$A:$A, "LDV", NewEmisData!$B:$B, $A23, NewEmisData!$C:$C, $H23, NewEmisData!$D:$D, CI$2))</f>
        <v>8.0824460840520501E-3</v>
      </c>
      <c r="CJ23" s="324">
        <f>$I23*IF($G23="Pickup", SUMIFS(NewEmisData!L:L, NewEmisData!$A:$A, "Pickup", NewEmisData!$B:$B, $A23, NewEmisData!$C:$C, $H23, NewEmisData!$D:$D, CJ$2), SUMIFS(NewEmisData!L:L, NewEmisData!$A:$A, "LDV", NewEmisData!$B:$B, $A23, NewEmisData!$C:$C, $H23, NewEmisData!$D:$D, CJ$2))</f>
        <v>8.0824422769742409E-3</v>
      </c>
      <c r="CK23" s="324">
        <f>$I23*IF($G23="Pickup", SUMIFS(NewEmisData!M:M, NewEmisData!$A:$A, "Pickup", NewEmisData!$B:$B, $A23, NewEmisData!$C:$C, $H23, NewEmisData!$D:$D, CK$2), SUMIFS(NewEmisData!M:M, NewEmisData!$A:$A, "LDV", NewEmisData!$B:$B, $A23, NewEmisData!$C:$C, $H23, NewEmisData!$D:$D, CK$2))</f>
        <v>8.0824509340592203E-3</v>
      </c>
      <c r="CL23" s="324">
        <f t="shared" si="12"/>
        <v>8.0824509340592203E-3</v>
      </c>
      <c r="CM23" s="324">
        <f>$I23*IF($G23="Pickup", SUMIFS(NewEmisData!E:E, NewEmisData!$A:$A, "Pickup", NewEmisData!$B:$B, $A23, NewEmisData!$C:$C, $H23, NewEmisData!$D:$D, CM$2), SUMIFS(NewEmisData!E:E, NewEmisData!$A:$A, "LDV", NewEmisData!$B:$B, $A23, NewEmisData!$C:$C, $H23, NewEmisData!$D:$D, CM$2))</f>
        <v>1.3603114579099601E-3</v>
      </c>
      <c r="CN23" s="324">
        <f>$I23*IF($G23="Pickup", SUMIFS(NewEmisData!F:F, NewEmisData!$A:$A, "Pickup", NewEmisData!$B:$B, $A23, NewEmisData!$C:$C, $H23, NewEmisData!$D:$D, CN$2), SUMIFS(NewEmisData!F:F, NewEmisData!$A:$A, "LDV", NewEmisData!$B:$B, $A23, NewEmisData!$C:$C, $H23, NewEmisData!$D:$D, CN$2))</f>
        <v>1.2207380016465801E-3</v>
      </c>
      <c r="CO23" s="324">
        <f>$I23*IF($G23="Pickup", SUMIFS(NewEmisData!G:G, NewEmisData!$A:$A, "Pickup", NewEmisData!$B:$B, $A23, NewEmisData!$C:$C, $H23, NewEmisData!$D:$D, CO$2), SUMIFS(NewEmisData!G:G, NewEmisData!$A:$A, "LDV", NewEmisData!$B:$B, $A23, NewEmisData!$C:$C, $H23, NewEmisData!$D:$D, CO$2))</f>
        <v>9.3236224679539895E-4</v>
      </c>
      <c r="CP23" s="324">
        <f>$I23*IF($G23="Pickup", SUMIFS(NewEmisData!H:H, NewEmisData!$A:$A, "Pickup", NewEmisData!$B:$B, $A23, NewEmisData!$C:$C, $H23, NewEmisData!$D:$D, CP$2), SUMIFS(NewEmisData!H:H, NewEmisData!$A:$A, "LDV", NewEmisData!$B:$B, $A23, NewEmisData!$C:$C, $H23, NewEmisData!$D:$D, CP$2))</f>
        <v>9.3485838545814197E-4</v>
      </c>
      <c r="CQ23" s="324">
        <f>$I23*IF($G23="Pickup", SUMIFS(NewEmisData!I:I, NewEmisData!$A:$A, "Pickup", NewEmisData!$B:$B, $A23, NewEmisData!$C:$C, $H23, NewEmisData!$D:$D, CQ$2), SUMIFS(NewEmisData!I:I, NewEmisData!$A:$A, "LDV", NewEmisData!$B:$B, $A23, NewEmisData!$C:$C, $H23, NewEmisData!$D:$D, CQ$2))</f>
        <v>9.4390894833491995E-4</v>
      </c>
      <c r="CR23" s="324">
        <f>$I23*IF($G23="Pickup", SUMIFS(NewEmisData!J:J, NewEmisData!$A:$A, "Pickup", NewEmisData!$B:$B, $A23, NewEmisData!$C:$C, $H23, NewEmisData!$D:$D, CR$2), SUMIFS(NewEmisData!J:J, NewEmisData!$A:$A, "LDV", NewEmisData!$B:$B, $A23, NewEmisData!$C:$C, $H23, NewEmisData!$D:$D, CR$2))</f>
        <v>9.55738731182473E-4</v>
      </c>
      <c r="CS23" s="324">
        <f>$I23*IF($G23="Pickup", SUMIFS(NewEmisData!K:K, NewEmisData!$A:$A, "Pickup", NewEmisData!$B:$B, $A23, NewEmisData!$C:$C, $H23, NewEmisData!$D:$D, CS$2), SUMIFS(NewEmisData!K:K, NewEmisData!$A:$A, "LDV", NewEmisData!$B:$B, $A23, NewEmisData!$C:$C, $H23, NewEmisData!$D:$D, CS$2))</f>
        <v>9.6174235704452298E-4</v>
      </c>
      <c r="CT23" s="324">
        <f>$I23*IF($G23="Pickup", SUMIFS(NewEmisData!L:L, NewEmisData!$A:$A, "Pickup", NewEmisData!$B:$B, $A23, NewEmisData!$C:$C, $H23, NewEmisData!$D:$D, CT$2), SUMIFS(NewEmisData!L:L, NewEmisData!$A:$A, "LDV", NewEmisData!$B:$B, $A23, NewEmisData!$C:$C, $H23, NewEmisData!$D:$D, CT$2))</f>
        <v>9.6365485009094001E-4</v>
      </c>
      <c r="CU23" s="324">
        <f>$I23*IF($G23="Pickup", SUMIFS(NewEmisData!M:M, NewEmisData!$A:$A, "Pickup", NewEmisData!$B:$B, $A23, NewEmisData!$C:$C, $H23, NewEmisData!$D:$D, CU$2), SUMIFS(NewEmisData!M:M, NewEmisData!$A:$A, "LDV", NewEmisData!$B:$B, $A23, NewEmisData!$C:$C, $H23, NewEmisData!$D:$D, CU$2))</f>
        <v>9.6663636454146504E-4</v>
      </c>
      <c r="CV23" s="324">
        <f t="shared" si="13"/>
        <v>9.6663636454146504E-4</v>
      </c>
      <c r="CW23" s="324">
        <v>1.7855353475311885E-3</v>
      </c>
      <c r="CX23" s="324">
        <v>1.1158238015562326E-3</v>
      </c>
      <c r="CY23" s="324">
        <v>9.3466086006125206E-4</v>
      </c>
      <c r="CZ23" s="324">
        <v>8.3812350595498144E-4</v>
      </c>
      <c r="DA23" s="324">
        <v>6.4708026295585627E-4</v>
      </c>
      <c r="DB23" s="324">
        <v>5.1533534928113322E-4</v>
      </c>
      <c r="DC23" s="324">
        <v>4.978529843416348E-4</v>
      </c>
      <c r="DD23" s="324">
        <v>4.9300315911808101E-4</v>
      </c>
      <c r="DE23" s="324">
        <v>4.9234696878064995E-4</v>
      </c>
      <c r="DF23" s="324">
        <v>4.9234696878064995E-4</v>
      </c>
      <c r="DG23" s="324">
        <f>$I23*IF($G23="Pickup", SUMIFS(NewEmisData!E:E, NewEmisData!$A:$A, "Pickup", NewEmisData!$B:$B, $A23, NewEmisData!$C:$C, $H23, NewEmisData!$D:$D, DG$2), SUMIFS(NewEmisData!E:E, NewEmisData!$A:$A, "LDV", NewEmisData!$B:$B, $A23, NewEmisData!$C:$C, $H23, NewEmisData!$D:$D, DG$2))</f>
        <v>0</v>
      </c>
      <c r="DH23" s="324">
        <f>$I23*IF($G23="Pickup", SUMIFS(NewEmisData!F:F, NewEmisData!$A:$A, "Pickup", NewEmisData!$B:$B, $A23, NewEmisData!$C:$C, $H23, NewEmisData!$D:$D, DH$2), SUMIFS(NewEmisData!F:F, NewEmisData!$A:$A, "LDV", NewEmisData!$B:$B, $A23, NewEmisData!$C:$C, $H23, NewEmisData!$D:$D, DH$2))</f>
        <v>0</v>
      </c>
      <c r="DI23" s="324">
        <f>$I23*IF($G23="Pickup", SUMIFS(NewEmisData!G:G, NewEmisData!$A:$A, "Pickup", NewEmisData!$B:$B, $A23, NewEmisData!$C:$C, $H23, NewEmisData!$D:$D, DI$2), SUMIFS(NewEmisData!G:G, NewEmisData!$A:$A, "LDV", NewEmisData!$B:$B, $A23, NewEmisData!$C:$C, $H23, NewEmisData!$D:$D, DI$2))</f>
        <v>0</v>
      </c>
      <c r="DJ23" s="324">
        <f>$I23*IF($G23="Pickup", SUMIFS(NewEmisData!H:H, NewEmisData!$A:$A, "Pickup", NewEmisData!$B:$B, $A23, NewEmisData!$C:$C, $H23, NewEmisData!$D:$D, DJ$2), SUMIFS(NewEmisData!H:H, NewEmisData!$A:$A, "LDV", NewEmisData!$B:$B, $A23, NewEmisData!$C:$C, $H23, NewEmisData!$D:$D, DJ$2))</f>
        <v>0</v>
      </c>
      <c r="DK23" s="324">
        <f>$I23*IF($G23="Pickup", SUMIFS(NewEmisData!I:I, NewEmisData!$A:$A, "Pickup", NewEmisData!$B:$B, $A23, NewEmisData!$C:$C, $H23, NewEmisData!$D:$D, DK$2), SUMIFS(NewEmisData!I:I, NewEmisData!$A:$A, "LDV", NewEmisData!$B:$B, $A23, NewEmisData!$C:$C, $H23, NewEmisData!$D:$D, DK$2))</f>
        <v>0</v>
      </c>
      <c r="DL23" s="324">
        <f>$I23*IF($G23="Pickup", SUMIFS(NewEmisData!J:J, NewEmisData!$A:$A, "Pickup", NewEmisData!$B:$B, $A23, NewEmisData!$C:$C, $H23, NewEmisData!$D:$D, DL$2), SUMIFS(NewEmisData!J:J, NewEmisData!$A:$A, "LDV", NewEmisData!$B:$B, $A23, NewEmisData!$C:$C, $H23, NewEmisData!$D:$D, DL$2))</f>
        <v>0</v>
      </c>
      <c r="DM23" s="324">
        <f>$I23*IF($G23="Pickup", SUMIFS(NewEmisData!K:K, NewEmisData!$A:$A, "Pickup", NewEmisData!$B:$B, $A23, NewEmisData!$C:$C, $H23, NewEmisData!$D:$D, DM$2), SUMIFS(NewEmisData!K:K, NewEmisData!$A:$A, "LDV", NewEmisData!$B:$B, $A23, NewEmisData!$C:$C, $H23, NewEmisData!$D:$D, DM$2))</f>
        <v>0</v>
      </c>
      <c r="DN23" s="324">
        <f>$I23*IF($G23="Pickup", SUMIFS(NewEmisData!L:L, NewEmisData!$A:$A, "Pickup", NewEmisData!$B:$B, $A23, NewEmisData!$C:$C, $H23, NewEmisData!$D:$D, DN$2), SUMIFS(NewEmisData!L:L, NewEmisData!$A:$A, "LDV", NewEmisData!$B:$B, $A23, NewEmisData!$C:$C, $H23, NewEmisData!$D:$D, DN$2))</f>
        <v>0</v>
      </c>
      <c r="DO23" s="324">
        <f>$I23*IF($G23="Pickup", SUMIFS(NewEmisData!M:M, NewEmisData!$A:$A, "Pickup", NewEmisData!$B:$B, $A23, NewEmisData!$C:$C, $H23, NewEmisData!$D:$D, DO$2), SUMIFS(NewEmisData!M:M, NewEmisData!$A:$A, "LDV", NewEmisData!$B:$B, $A23, NewEmisData!$C:$C, $H23, NewEmisData!$D:$D, DO$2))</f>
        <v>0</v>
      </c>
      <c r="DP23" s="324">
        <f t="shared" si="14"/>
        <v>0</v>
      </c>
      <c r="DQ23" s="324">
        <f>$I23*IF($G23="Pickup", SUMIFS(NewEmisData!E:E, NewEmisData!$A:$A, "Pickup", NewEmisData!$B:$B, $A23, NewEmisData!$C:$C, $H23, NewEmisData!$D:$D, DQ$2), SUMIFS(NewEmisData!E:E, NewEmisData!$A:$A, "LDV", NewEmisData!$B:$B, $A23, NewEmisData!$C:$C, $H23, NewEmisData!$D:$D, DQ$2))</f>
        <v>2.1427437388803601E-2</v>
      </c>
      <c r="DR23" s="324">
        <f>$I23*IF($G23="Pickup", SUMIFS(NewEmisData!F:F, NewEmisData!$A:$A, "Pickup", NewEmisData!$B:$B, $A23, NewEmisData!$C:$C, $H23, NewEmisData!$D:$D, DR$2), SUMIFS(NewEmisData!F:F, NewEmisData!$A:$A, "LDV", NewEmisData!$B:$B, $A23, NewEmisData!$C:$C, $H23, NewEmisData!$D:$D, DR$2))</f>
        <v>6.8123810851615701E-2</v>
      </c>
      <c r="DS23" s="324">
        <f>$I23*IF($G23="Pickup", SUMIFS(NewEmisData!G:G, NewEmisData!$A:$A, "Pickup", NewEmisData!$B:$B, $A23, NewEmisData!$C:$C, $H23, NewEmisData!$D:$D, DS$2), SUMIFS(NewEmisData!G:G, NewEmisData!$A:$A, "LDV", NewEmisData!$B:$B, $A23, NewEmisData!$C:$C, $H23, NewEmisData!$D:$D, DS$2))</f>
        <v>8.4114282979682597E-2</v>
      </c>
      <c r="DT23" s="324">
        <f>$I23*IF($G23="Pickup", SUMIFS(NewEmisData!H:H, NewEmisData!$A:$A, "Pickup", NewEmisData!$B:$B, $A23, NewEmisData!$C:$C, $H23, NewEmisData!$D:$D, DT$2), SUMIFS(NewEmisData!H:H, NewEmisData!$A:$A, "LDV", NewEmisData!$B:$B, $A23, NewEmisData!$C:$C, $H23, NewEmisData!$D:$D, DT$2))</f>
        <v>8.5739970566574605E-2</v>
      </c>
      <c r="DU23" s="324">
        <f>$I23*IF($G23="Pickup", SUMIFS(NewEmisData!I:I, NewEmisData!$A:$A, "Pickup", NewEmisData!$B:$B, $A23, NewEmisData!$C:$C, $H23, NewEmisData!$D:$D, DU$2), SUMIFS(NewEmisData!I:I, NewEmisData!$A:$A, "LDV", NewEmisData!$B:$B, $A23, NewEmisData!$C:$C, $H23, NewEmisData!$D:$D, DU$2))</f>
        <v>8.8151775783847697E-2</v>
      </c>
      <c r="DV23" s="324">
        <f>$I23*IF($G23="Pickup", SUMIFS(NewEmisData!J:J, NewEmisData!$A:$A, "Pickup", NewEmisData!$B:$B, $A23, NewEmisData!$C:$C, $H23, NewEmisData!$D:$D, DV$2), SUMIFS(NewEmisData!J:J, NewEmisData!$A:$A, "LDV", NewEmisData!$B:$B, $A23, NewEmisData!$C:$C, $H23, NewEmisData!$D:$D, DV$2))</f>
        <v>8.8303165081313403E-2</v>
      </c>
      <c r="DW23" s="324">
        <f>$I23*IF($G23="Pickup", SUMIFS(NewEmisData!K:K, NewEmisData!$A:$A, "Pickup", NewEmisData!$B:$B, $A23, NewEmisData!$C:$C, $H23, NewEmisData!$D:$D, DW$2), SUMIFS(NewEmisData!K:K, NewEmisData!$A:$A, "LDV", NewEmisData!$B:$B, $A23, NewEmisData!$C:$C, $H23, NewEmisData!$D:$D, DW$2))</f>
        <v>8.7389438008873596E-2</v>
      </c>
      <c r="DX23" s="324">
        <f>$I23*IF($G23="Pickup", SUMIFS(NewEmisData!L:L, NewEmisData!$A:$A, "Pickup", NewEmisData!$B:$B, $A23, NewEmisData!$C:$C, $H23, NewEmisData!$D:$D, DX$2), SUMIFS(NewEmisData!L:L, NewEmisData!$A:$A, "LDV", NewEmisData!$B:$B, $A23, NewEmisData!$C:$C, $H23, NewEmisData!$D:$D, DX$2))</f>
        <v>8.6177018251102494E-2</v>
      </c>
      <c r="DY23" s="324">
        <f>$I23*IF($G23="Pickup", SUMIFS(NewEmisData!M:M, NewEmisData!$A:$A, "Pickup", NewEmisData!$B:$B, $A23, NewEmisData!$C:$C, $H23, NewEmisData!$D:$D, DY$2), SUMIFS(NewEmisData!M:M, NewEmisData!$A:$A, "LDV", NewEmisData!$B:$B, $A23, NewEmisData!$C:$C, $H23, NewEmisData!$D:$D, DY$2))</f>
        <v>8.7069443437911398E-2</v>
      </c>
      <c r="DZ23" s="324">
        <f t="shared" si="15"/>
        <v>8.7069443437911398E-2</v>
      </c>
      <c r="EA23" s="324">
        <f t="shared" si="16"/>
        <v>498.51060445480499</v>
      </c>
      <c r="EB23" s="324">
        <f t="shared" si="17"/>
        <v>427.96898586055102</v>
      </c>
      <c r="EC23" s="324">
        <f t="shared" si="18"/>
        <v>313.58403824310199</v>
      </c>
      <c r="ED23" s="324">
        <f t="shared" si="19"/>
        <v>263.48651447023201</v>
      </c>
      <c r="EE23" s="324">
        <f t="shared" si="20"/>
        <v>240.732982853072</v>
      </c>
      <c r="EF23" s="324">
        <f t="shared" si="21"/>
        <v>231.37893577755901</v>
      </c>
      <c r="EG23" s="324">
        <f t="shared" si="22"/>
        <v>225.706930682983</v>
      </c>
      <c r="EH23" s="324">
        <f t="shared" si="23"/>
        <v>223.59774894311099</v>
      </c>
      <c r="EI23" s="324">
        <f t="shared" si="24"/>
        <v>223.62259579940101</v>
      </c>
      <c r="EJ23" s="324">
        <f t="shared" si="25"/>
        <v>223.62259579940101</v>
      </c>
      <c r="EK23" s="324">
        <f t="shared" si="26"/>
        <v>1.95668713494791</v>
      </c>
      <c r="EL23" s="324">
        <f t="shared" si="27"/>
        <v>1.03408849531611</v>
      </c>
      <c r="EM23" s="324">
        <f t="shared" si="28"/>
        <v>0.13937953634174</v>
      </c>
      <c r="EN23" s="324">
        <f t="shared" si="29"/>
        <v>8.1975438007071702E-2</v>
      </c>
      <c r="EO23" s="324">
        <f t="shared" si="30"/>
        <v>5.4488345369794799E-2</v>
      </c>
      <c r="EP23" s="324">
        <f t="shared" si="31"/>
        <v>4.9514749087093503E-2</v>
      </c>
      <c r="EQ23" s="324">
        <f t="shared" si="32"/>
        <v>4.5924427698312099E-2</v>
      </c>
      <c r="ER23" s="324">
        <f t="shared" si="33"/>
        <v>4.4303138009832502E-2</v>
      </c>
      <c r="ES23" s="324">
        <f t="shared" si="34"/>
        <v>4.4775258868072099E-2</v>
      </c>
      <c r="ET23" s="324">
        <f t="shared" si="35"/>
        <v>4.4775258868072099E-2</v>
      </c>
      <c r="EU23" s="324">
        <f t="shared" si="36"/>
        <v>1.2408455682624201E-2</v>
      </c>
      <c r="EV23" s="324">
        <f t="shared" si="37"/>
        <v>1.0276019938438199E-2</v>
      </c>
      <c r="EW23" s="324">
        <f t="shared" si="38"/>
        <v>2.6298327304881399E-3</v>
      </c>
      <c r="EX23" s="324">
        <f t="shared" si="39"/>
        <v>2.2006244414905498E-3</v>
      </c>
      <c r="EY23" s="324">
        <f t="shared" si="40"/>
        <v>2.00758155548776E-3</v>
      </c>
      <c r="EZ23" s="324">
        <f t="shared" si="41"/>
        <v>1.9295264605228199E-3</v>
      </c>
      <c r="FA23" s="324">
        <f t="shared" si="42"/>
        <v>1.8817456818101699E-3</v>
      </c>
      <c r="FB23" s="324">
        <f t="shared" si="43"/>
        <v>1.86416072801446E-3</v>
      </c>
      <c r="FC23" s="324">
        <f t="shared" si="44"/>
        <v>1.86436908040036E-3</v>
      </c>
      <c r="FD23" s="324">
        <f t="shared" si="45"/>
        <v>1.86436908040036E-3</v>
      </c>
      <c r="FE23" s="324">
        <f t="shared" si="46"/>
        <v>0.13590431504000899</v>
      </c>
      <c r="FF23" s="324">
        <f t="shared" si="47"/>
        <v>9.19661609908244E-2</v>
      </c>
      <c r="FG23" s="324">
        <f t="shared" si="48"/>
        <v>5.0104052009984502E-2</v>
      </c>
      <c r="FH23" s="324">
        <f t="shared" si="49"/>
        <v>4.9014806290740898E-2</v>
      </c>
      <c r="FI23" s="324">
        <f t="shared" si="50"/>
        <v>4.8883022727650001E-2</v>
      </c>
      <c r="FJ23" s="324">
        <f t="shared" si="51"/>
        <v>4.8958613624750798E-2</v>
      </c>
      <c r="FK23" s="324">
        <f t="shared" si="52"/>
        <v>4.8958938451988898E-2</v>
      </c>
      <c r="FL23" s="324">
        <f t="shared" si="53"/>
        <v>4.8949340858878199E-2</v>
      </c>
      <c r="FM23" s="324">
        <f t="shared" si="54"/>
        <v>4.8997116084640698E-2</v>
      </c>
      <c r="FN23" s="324">
        <f t="shared" si="55"/>
        <v>4.8997116084640698E-2</v>
      </c>
      <c r="FO23" s="324">
        <f t="shared" si="56"/>
        <v>7.4829321328432702E-2</v>
      </c>
      <c r="FP23" s="324">
        <f t="shared" si="57"/>
        <v>3.4406309924688003E-2</v>
      </c>
      <c r="FQ23" s="324">
        <f t="shared" si="58"/>
        <v>1.00241937308752E-2</v>
      </c>
      <c r="FR23" s="324">
        <f t="shared" si="59"/>
        <v>9.0221104554758305E-3</v>
      </c>
      <c r="FS23" s="324">
        <f t="shared" si="60"/>
        <v>8.9008490587291992E-3</v>
      </c>
      <c r="FT23" s="324">
        <f t="shared" si="61"/>
        <v>8.9704063704956795E-3</v>
      </c>
      <c r="FU23" s="324">
        <f t="shared" si="62"/>
        <v>8.9707258656393594E-3</v>
      </c>
      <c r="FV23" s="324">
        <f t="shared" si="63"/>
        <v>8.9618977988404798E-3</v>
      </c>
      <c r="FW23" s="324">
        <f t="shared" si="64"/>
        <v>9.0058077781541897E-3</v>
      </c>
      <c r="FX23" s="324">
        <f t="shared" si="65"/>
        <v>9.0058077781541897E-3</v>
      </c>
    </row>
    <row r="24" spans="1:180" x14ac:dyDescent="0.2">
      <c r="A24" s="298" t="str">
        <f>_xlfn.CONCAT(IF(LEFT(TRIM(A23),1)="*", "*R", "R"), 1+RIGHT(TRIM(A23),1))</f>
        <v>R6</v>
      </c>
      <c r="B24" s="298" t="str">
        <f t="shared" si="76"/>
        <v>TLEFDSL</v>
      </c>
      <c r="C24" s="298" t="str">
        <f t="shared" si="77"/>
        <v>TL.DSL.F.Existing fleet</v>
      </c>
      <c r="D24" s="294" t="str">
        <f t="shared" si="78"/>
        <v>bn-vmt, bn-vmt/a</v>
      </c>
      <c r="E24" s="294" t="str">
        <f t="shared" si="79"/>
        <v>TRNDSL</v>
      </c>
      <c r="F24" s="294" t="str">
        <f t="shared" si="80"/>
        <v>TL</v>
      </c>
      <c r="G24" s="294" t="s">
        <v>476</v>
      </c>
      <c r="H24" s="294" t="s">
        <v>477</v>
      </c>
      <c r="I24" s="294">
        <v>1</v>
      </c>
      <c r="J24" s="308" t="str">
        <f t="shared" si="2"/>
        <v>Full size car-DSL</v>
      </c>
      <c r="K24" s="324">
        <f>$I24*IF($G24="Pickup", SUMIFS(NewEmisData!E:E, NewEmisData!$A:$A, "Pickup", NewEmisData!$B:$B, $A24, NewEmisData!$C:$C, $H24, NewEmisData!$D:$D, K$2), SUMIFS(NewEmisData!E:E, NewEmisData!$A:$A, "LDV", NewEmisData!$B:$B, $A24, NewEmisData!$C:$C, $H24, NewEmisData!$D:$D, K$2))</f>
        <v>475.10061950162901</v>
      </c>
      <c r="L24" s="324">
        <f>$I24*IF($G24="Pickup", SUMIFS(NewEmisData!F:F, NewEmisData!$A:$A, "Pickup", NewEmisData!$B:$B, $A24, NewEmisData!$C:$C, $H24, NewEmisData!$D:$D, L$2), SUMIFS(NewEmisData!F:F, NewEmisData!$A:$A, "LDV", NewEmisData!$B:$B, $A24, NewEmisData!$C:$C, $H24, NewEmisData!$D:$D, L$2))</f>
        <v>425.759425077473</v>
      </c>
      <c r="M24" s="324">
        <f>$I24*IF($G24="Pickup", SUMIFS(NewEmisData!G:G, NewEmisData!$A:$A, "Pickup", NewEmisData!$B:$B, $A24, NewEmisData!$C:$C, $H24, NewEmisData!$D:$D, M$2), SUMIFS(NewEmisData!G:G, NewEmisData!$A:$A, "LDV", NewEmisData!$B:$B, $A24, NewEmisData!$C:$C, $H24, NewEmisData!$D:$D, M$2))</f>
        <v>324.82271634308898</v>
      </c>
      <c r="N24" s="324">
        <f>$I24*IF($G24="Pickup", SUMIFS(NewEmisData!H:H, NewEmisData!$A:$A, "Pickup", NewEmisData!$B:$B, $A24, NewEmisData!$C:$C, $H24, NewEmisData!$D:$D, N$2), SUMIFS(NewEmisData!H:H, NewEmisData!$A:$A, "LDV", NewEmisData!$B:$B, $A24, NewEmisData!$C:$C, $H24, NewEmisData!$D:$D, N$2))</f>
        <v>272.72616291819003</v>
      </c>
      <c r="O24" s="324">
        <f>$I24*IF($G24="Pickup", SUMIFS(NewEmisData!I:I, NewEmisData!$A:$A, "Pickup", NewEmisData!$B:$B, $A24, NewEmisData!$C:$C, $H24, NewEmisData!$D:$D, O$2), SUMIFS(NewEmisData!I:I, NewEmisData!$A:$A, "LDV", NewEmisData!$B:$B, $A24, NewEmisData!$C:$C, $H24, NewEmisData!$D:$D, O$2))</f>
        <v>248.98422365878099</v>
      </c>
      <c r="P24" s="324">
        <f>$I24*IF($G24="Pickup", SUMIFS(NewEmisData!J:J, NewEmisData!$A:$A, "Pickup", NewEmisData!$B:$B, $A24, NewEmisData!$C:$C, $H24, NewEmisData!$D:$D, P$2), SUMIFS(NewEmisData!J:J, NewEmisData!$A:$A, "LDV", NewEmisData!$B:$B, $A24, NewEmisData!$C:$C, $H24, NewEmisData!$D:$D, P$2))</f>
        <v>239.138945196208</v>
      </c>
      <c r="Q24" s="324">
        <f>$I24*IF($G24="Pickup", SUMIFS(NewEmisData!K:K, NewEmisData!$A:$A, "Pickup", NewEmisData!$B:$B, $A24, NewEmisData!$C:$C, $H24, NewEmisData!$D:$D, Q$2), SUMIFS(NewEmisData!K:K, NewEmisData!$A:$A, "LDV", NewEmisData!$B:$B, $A24, NewEmisData!$C:$C, $H24, NewEmisData!$D:$D, Q$2))</f>
        <v>233.186205993041</v>
      </c>
      <c r="R24" s="324">
        <f>$I24*IF($G24="Pickup", SUMIFS(NewEmisData!L:L, NewEmisData!$A:$A, "Pickup", NewEmisData!$B:$B, $A24, NewEmisData!$C:$C, $H24, NewEmisData!$D:$D, R$2), SUMIFS(NewEmisData!L:L, NewEmisData!$A:$A, "LDV", NewEmisData!$B:$B, $A24, NewEmisData!$C:$C, $H24, NewEmisData!$D:$D, R$2))</f>
        <v>230.98082777732901</v>
      </c>
      <c r="S24" s="324">
        <f>$I24*IF($G24="Pickup", SUMIFS(NewEmisData!M:M, NewEmisData!$A:$A, "Pickup", NewEmisData!$B:$B, $A24, NewEmisData!$C:$C, $H24, NewEmisData!$D:$D, S$2), SUMIFS(NewEmisData!M:M, NewEmisData!$A:$A, "LDV", NewEmisData!$B:$B, $A24, NewEmisData!$C:$C, $H24, NewEmisData!$D:$D, S$2))</f>
        <v>230.977797902075</v>
      </c>
      <c r="T24" s="324">
        <f t="shared" si="5"/>
        <v>230.977797902075</v>
      </c>
      <c r="U24" s="324">
        <f>$I24*IF($G24="Pickup", SUMIFS(NewEmisData!E:E, NewEmisData!$A:$A, "Pickup", NewEmisData!$B:$B, $A24, NewEmisData!$C:$C, $H24, NewEmisData!$D:$D, U$2), SUMIFS(NewEmisData!E:E, NewEmisData!$A:$A, "LDV", NewEmisData!$B:$B, $A24, NewEmisData!$C:$C, $H24, NewEmisData!$D:$D, U$2))</f>
        <v>1.9631552344971901</v>
      </c>
      <c r="V24" s="324">
        <f>$I24*IF($G24="Pickup", SUMIFS(NewEmisData!F:F, NewEmisData!$A:$A, "Pickup", NewEmisData!$B:$B, $A24, NewEmisData!$C:$C, $H24, NewEmisData!$D:$D, V$2), SUMIFS(NewEmisData!F:F, NewEmisData!$A:$A, "LDV", NewEmisData!$B:$B, $A24, NewEmisData!$C:$C, $H24, NewEmisData!$D:$D, V$2))</f>
        <v>1.3806125660772399</v>
      </c>
      <c r="W24" s="324">
        <f>$I24*IF($G24="Pickup", SUMIFS(NewEmisData!G:G, NewEmisData!$A:$A, "Pickup", NewEmisData!$B:$B, $A24, NewEmisData!$C:$C, $H24, NewEmisData!$D:$D, W$2), SUMIFS(NewEmisData!G:G, NewEmisData!$A:$A, "LDV", NewEmisData!$B:$B, $A24, NewEmisData!$C:$C, $H24, NewEmisData!$D:$D, W$2))</f>
        <v>0.129337211025188</v>
      </c>
      <c r="X24" s="324">
        <f>$I24*IF($G24="Pickup", SUMIFS(NewEmisData!H:H, NewEmisData!$A:$A, "Pickup", NewEmisData!$B:$B, $A24, NewEmisData!$C:$C, $H24, NewEmisData!$D:$D, X$2), SUMIFS(NewEmisData!H:H, NewEmisData!$A:$A, "LDV", NewEmisData!$B:$B, $A24, NewEmisData!$C:$C, $H24, NewEmisData!$D:$D, X$2))</f>
        <v>7.5114199181629995E-2</v>
      </c>
      <c r="Y24" s="324">
        <f>$I24*IF($G24="Pickup", SUMIFS(NewEmisData!I:I, NewEmisData!$A:$A, "Pickup", NewEmisData!$B:$B, $A24, NewEmisData!$C:$C, $H24, NewEmisData!$D:$D, Y$2), SUMIFS(NewEmisData!I:I, NewEmisData!$A:$A, "LDV", NewEmisData!$B:$B, $A24, NewEmisData!$C:$C, $H24, NewEmisData!$D:$D, Y$2))</f>
        <v>4.8850819053097599E-2</v>
      </c>
      <c r="Z24" s="324">
        <f>$I24*IF($G24="Pickup", SUMIFS(NewEmisData!J:J, NewEmisData!$A:$A, "Pickup", NewEmisData!$B:$B, $A24, NewEmisData!$C:$C, $H24, NewEmisData!$D:$D, Z$2), SUMIFS(NewEmisData!J:J, NewEmisData!$A:$A, "LDV", NewEmisData!$B:$B, $A24, NewEmisData!$C:$C, $H24, NewEmisData!$D:$D, Z$2))</f>
        <v>4.4000904465129997E-2</v>
      </c>
      <c r="AA24" s="324">
        <f>$I24*IF($G24="Pickup", SUMIFS(NewEmisData!K:K, NewEmisData!$A:$A, "Pickup", NewEmisData!$B:$B, $A24, NewEmisData!$C:$C, $H24, NewEmisData!$D:$D, AA$2), SUMIFS(NewEmisData!K:K, NewEmisData!$A:$A, "LDV", NewEmisData!$B:$B, $A24, NewEmisData!$C:$C, $H24, NewEmisData!$D:$D, AA$2))</f>
        <v>4.0593055376388902E-2</v>
      </c>
      <c r="AB24" s="324">
        <f>$I24*IF($G24="Pickup", SUMIFS(NewEmisData!L:L, NewEmisData!$A:$A, "Pickup", NewEmisData!$B:$B, $A24, NewEmisData!$C:$C, $H24, NewEmisData!$D:$D, AB$2), SUMIFS(NewEmisData!L:L, NewEmisData!$A:$A, "LDV", NewEmisData!$B:$B, $A24, NewEmisData!$C:$C, $H24, NewEmisData!$D:$D, AB$2))</f>
        <v>3.90779505535142E-2</v>
      </c>
      <c r="AC24" s="324">
        <f>$I24*IF($G24="Pickup", SUMIFS(NewEmisData!M:M, NewEmisData!$A:$A, "Pickup", NewEmisData!$B:$B, $A24, NewEmisData!$C:$C, $H24, NewEmisData!$D:$D, AC$2), SUMIFS(NewEmisData!M:M, NewEmisData!$A:$A, "LDV", NewEmisData!$B:$B, $A24, NewEmisData!$C:$C, $H24, NewEmisData!$D:$D, AC$2))</f>
        <v>3.9479948858560501E-2</v>
      </c>
      <c r="AD24" s="324">
        <f t="shared" si="6"/>
        <v>3.9479948858560501E-2</v>
      </c>
      <c r="AE24" s="324">
        <f>$I24*IF($G24="Pickup", SUMIFS(NewEmisData!E:E, NewEmisData!$A:$A, "Pickup", NewEmisData!$B:$B, $A24, NewEmisData!$C:$C, $H24, NewEmisData!$D:$D, AE$2), SUMIFS(NewEmisData!E:E, NewEmisData!$A:$A, "LDV", NewEmisData!$B:$B, $A24, NewEmisData!$C:$C, $H24, NewEmisData!$D:$D, AE$2))</f>
        <v>1.17898559151298E-2</v>
      </c>
      <c r="AF24" s="324">
        <f>$I24*IF($G24="Pickup", SUMIFS(NewEmisData!F:F, NewEmisData!$A:$A, "Pickup", NewEmisData!$B:$B, $A24, NewEmisData!$C:$C, $H24, NewEmisData!$D:$D, AF$2), SUMIFS(NewEmisData!F:F, NewEmisData!$A:$A, "LDV", NewEmisData!$B:$B, $A24, NewEmisData!$C:$C, $H24, NewEmisData!$D:$D, AF$2))</f>
        <v>1.03183632568031E-2</v>
      </c>
      <c r="AG24" s="324">
        <f>$I24*IF($G24="Pickup", SUMIFS(NewEmisData!G:G, NewEmisData!$A:$A, "Pickup", NewEmisData!$B:$B, $A24, NewEmisData!$C:$C, $H24, NewEmisData!$D:$D, AG$2), SUMIFS(NewEmisData!G:G, NewEmisData!$A:$A, "LDV", NewEmisData!$B:$B, $A24, NewEmisData!$C:$C, $H24, NewEmisData!$D:$D, AG$2))</f>
        <v>2.7239955539880398E-3</v>
      </c>
      <c r="AH24" s="324">
        <f>$I24*IF($G24="Pickup", SUMIFS(NewEmisData!H:H, NewEmisData!$A:$A, "Pickup", NewEmisData!$B:$B, $A24, NewEmisData!$C:$C, $H24, NewEmisData!$D:$D, AH$2), SUMIFS(NewEmisData!H:H, NewEmisData!$A:$A, "LDV", NewEmisData!$B:$B, $A24, NewEmisData!$C:$C, $H24, NewEmisData!$D:$D, AH$2))</f>
        <v>2.27776189551411E-3</v>
      </c>
      <c r="AI24" s="324">
        <f>$I24*IF($G24="Pickup", SUMIFS(NewEmisData!I:I, NewEmisData!$A:$A, "Pickup", NewEmisData!$B:$B, $A24, NewEmisData!$C:$C, $H24, NewEmisData!$D:$D, AI$2), SUMIFS(NewEmisData!I:I, NewEmisData!$A:$A, "LDV", NewEmisData!$B:$B, $A24, NewEmisData!$C:$C, $H24, NewEmisData!$D:$D, AI$2))</f>
        <v>2.0763885131562E-3</v>
      </c>
      <c r="AJ24" s="324">
        <f>$I24*IF($G24="Pickup", SUMIFS(NewEmisData!J:J, NewEmisData!$A:$A, "Pickup", NewEmisData!$B:$B, $A24, NewEmisData!$C:$C, $H24, NewEmisData!$D:$D, AJ$2), SUMIFS(NewEmisData!J:J, NewEmisData!$A:$A, "LDV", NewEmisData!$B:$B, $A24, NewEmisData!$C:$C, $H24, NewEmisData!$D:$D, AJ$2))</f>
        <v>1.9942349161768602E-3</v>
      </c>
      <c r="AK24" s="324">
        <f>$I24*IF($G24="Pickup", SUMIFS(NewEmisData!K:K, NewEmisData!$A:$A, "Pickup", NewEmisData!$B:$B, $A24, NewEmisData!$C:$C, $H24, NewEmisData!$D:$D, AK$2), SUMIFS(NewEmisData!K:K, NewEmisData!$A:$A, "LDV", NewEmisData!$B:$B, $A24, NewEmisData!$C:$C, $H24, NewEmisData!$D:$D, AK$2))</f>
        <v>1.94410234302206E-3</v>
      </c>
      <c r="AL24" s="324">
        <f>$I24*IF($G24="Pickup", SUMIFS(NewEmisData!L:L, NewEmisData!$A:$A, "Pickup", NewEmisData!$B:$B, $A24, NewEmisData!$C:$C, $H24, NewEmisData!$D:$D, AL$2), SUMIFS(NewEmisData!L:L, NewEmisData!$A:$A, "LDV", NewEmisData!$B:$B, $A24, NewEmisData!$C:$C, $H24, NewEmisData!$D:$D, AL$2))</f>
        <v>1.92571555503505E-3</v>
      </c>
      <c r="AM24" s="324">
        <f>$I24*IF($G24="Pickup", SUMIFS(NewEmisData!M:M, NewEmisData!$A:$A, "Pickup", NewEmisData!$B:$B, $A24, NewEmisData!$C:$C, $H24, NewEmisData!$D:$D, AM$2), SUMIFS(NewEmisData!M:M, NewEmisData!$A:$A, "LDV", NewEmisData!$B:$B, $A24, NewEmisData!$C:$C, $H24, NewEmisData!$D:$D, AM$2))</f>
        <v>1.92569074305567E-3</v>
      </c>
      <c r="AN24" s="324">
        <f t="shared" si="7"/>
        <v>1.92569074305567E-3</v>
      </c>
      <c r="AO24" s="324">
        <f>$I24*IF($G24="Pickup", SUMIFS(NewEmisData!E:E, NewEmisData!$A:$A, "Pickup", NewEmisData!$B:$B, $A24, NewEmisData!$C:$C, $H24, NewEmisData!$D:$D, AO$2), SUMIFS(NewEmisData!E:E, NewEmisData!$A:$A, "LDV", NewEmisData!$B:$B, $A24, NewEmisData!$C:$C, $H24, NewEmisData!$D:$D, AO$2))</f>
        <v>0.13169009101509199</v>
      </c>
      <c r="AP24" s="324">
        <f>$I24*IF($G24="Pickup", SUMIFS(NewEmisData!F:F, NewEmisData!$A:$A, "Pickup", NewEmisData!$B:$B, $A24, NewEmisData!$C:$C, $H24, NewEmisData!$D:$D, AP$2), SUMIFS(NewEmisData!F:F, NewEmisData!$A:$A, "LDV", NewEmisData!$B:$B, $A24, NewEmisData!$C:$C, $H24, NewEmisData!$D:$D, AP$2))</f>
        <v>9.8083690249445299E-2</v>
      </c>
      <c r="AQ24" s="324">
        <f>$I24*IF($G24="Pickup", SUMIFS(NewEmisData!G:G, NewEmisData!$A:$A, "Pickup", NewEmisData!$B:$B, $A24, NewEmisData!$C:$C, $H24, NewEmisData!$D:$D, AQ$2), SUMIFS(NewEmisData!G:G, NewEmisData!$A:$A, "LDV", NewEmisData!$B:$B, $A24, NewEmisData!$C:$C, $H24, NewEmisData!$D:$D, AQ$2))</f>
        <v>5.5514430840345103E-2</v>
      </c>
      <c r="AR24" s="324">
        <f>$I24*IF($G24="Pickup", SUMIFS(NewEmisData!H:H, NewEmisData!$A:$A, "Pickup", NewEmisData!$B:$B, $A24, NewEmisData!$C:$C, $H24, NewEmisData!$D:$D, AR$2), SUMIFS(NewEmisData!H:H, NewEmisData!$A:$A, "LDV", NewEmisData!$B:$B, $A24, NewEmisData!$C:$C, $H24, NewEmisData!$D:$D, AR$2))</f>
        <v>5.44794684063677E-2</v>
      </c>
      <c r="AS24" s="324">
        <f>$I24*IF($G24="Pickup", SUMIFS(NewEmisData!I:I, NewEmisData!$A:$A, "Pickup", NewEmisData!$B:$B, $A24, NewEmisData!$C:$C, $H24, NewEmisData!$D:$D, AS$2), SUMIFS(NewEmisData!I:I, NewEmisData!$A:$A, "LDV", NewEmisData!$B:$B, $A24, NewEmisData!$C:$C, $H24, NewEmisData!$D:$D, AS$2))</f>
        <v>5.4352731860888202E-2</v>
      </c>
      <c r="AT24" s="324">
        <f>$I24*IF($G24="Pickup", SUMIFS(NewEmisData!J:J, NewEmisData!$A:$A, "Pickup", NewEmisData!$B:$B, $A24, NewEmisData!$C:$C, $H24, NewEmisData!$D:$D, AT$2), SUMIFS(NewEmisData!J:J, NewEmisData!$A:$A, "LDV", NewEmisData!$B:$B, $A24, NewEmisData!$C:$C, $H24, NewEmisData!$D:$D, AT$2))</f>
        <v>5.4423278764171301E-2</v>
      </c>
      <c r="AU24" s="324">
        <f>$I24*IF($G24="Pickup", SUMIFS(NewEmisData!K:K, NewEmisData!$A:$A, "Pickup", NewEmisData!$B:$B, $A24, NewEmisData!$C:$C, $H24, NewEmisData!$D:$D, AU$2), SUMIFS(NewEmisData!K:K, NewEmisData!$A:$A, "LDV", NewEmisData!$B:$B, $A24, NewEmisData!$C:$C, $H24, NewEmisData!$D:$D, AU$2))</f>
        <v>5.4421339109764703E-2</v>
      </c>
      <c r="AV24" s="324">
        <f>$I24*IF($G24="Pickup", SUMIFS(NewEmisData!L:L, NewEmisData!$A:$A, "Pickup", NewEmisData!$B:$B, $A24, NewEmisData!$C:$C, $H24, NewEmisData!$D:$D, AV$2), SUMIFS(NewEmisData!L:L, NewEmisData!$A:$A, "LDV", NewEmisData!$B:$B, $A24, NewEmisData!$C:$C, $H24, NewEmisData!$D:$D, AV$2))</f>
        <v>5.4411460704527799E-2</v>
      </c>
      <c r="AW24" s="324">
        <f>$I24*IF($G24="Pickup", SUMIFS(NewEmisData!M:M, NewEmisData!$A:$A, "Pickup", NewEmisData!$B:$B, $A24, NewEmisData!$C:$C, $H24, NewEmisData!$D:$D, AW$2), SUMIFS(NewEmisData!M:M, NewEmisData!$A:$A, "LDV", NewEmisData!$B:$B, $A24, NewEmisData!$C:$C, $H24, NewEmisData!$D:$D, AW$2))</f>
        <v>5.4456547876811902E-2</v>
      </c>
      <c r="AX24" s="324">
        <f t="shared" si="8"/>
        <v>5.4456547876811902E-2</v>
      </c>
      <c r="AY24" s="324">
        <f>$I24*IF($G24="Pickup", SUMIFS(NewEmisData!E:E, NewEmisData!$A:$A, "Pickup", NewEmisData!$B:$B, $A24, NewEmisData!$C:$C, $H24, NewEmisData!$D:$D, AY$2), SUMIFS(NewEmisData!E:E, NewEmisData!$A:$A, "LDV", NewEmisData!$B:$B, $A24, NewEmisData!$C:$C, $H24, NewEmisData!$D:$D, AY$2))</f>
        <v>7.1455050843798995E-2</v>
      </c>
      <c r="AZ24" s="324">
        <f>$I24*IF($G24="Pickup", SUMIFS(NewEmisData!F:F, NewEmisData!$A:$A, "Pickup", NewEmisData!$B:$B, $A24, NewEmisData!$C:$C, $H24, NewEmisData!$D:$D, AZ$2), SUMIFS(NewEmisData!F:F, NewEmisData!$A:$A, "LDV", NewEmisData!$B:$B, $A24, NewEmisData!$C:$C, $H24, NewEmisData!$D:$D, AZ$2))</f>
        <v>4.0537129665560202E-2</v>
      </c>
      <c r="BA24" s="324">
        <f>$I24*IF($G24="Pickup", SUMIFS(NewEmisData!G:G, NewEmisData!$A:$A, "Pickup", NewEmisData!$B:$B, $A24, NewEmisData!$C:$C, $H24, NewEmisData!$D:$D, BA$2), SUMIFS(NewEmisData!G:G, NewEmisData!$A:$A, "LDV", NewEmisData!$B:$B, $A24, NewEmisData!$C:$C, $H24, NewEmisData!$D:$D, BA$2))</f>
        <v>1.0621754972012501E-2</v>
      </c>
      <c r="BB24" s="324">
        <f>$I24*IF($G24="Pickup", SUMIFS(NewEmisData!H:H, NewEmisData!$A:$A, "Pickup", NewEmisData!$B:$B, $A24, NewEmisData!$C:$C, $H24, NewEmisData!$D:$D, BB$2), SUMIFS(NewEmisData!H:H, NewEmisData!$A:$A, "LDV", NewEmisData!$B:$B, $A24, NewEmisData!$C:$C, $H24, NewEmisData!$D:$D, BB$2))</f>
        <v>9.6696564500787993E-3</v>
      </c>
      <c r="BC24" s="324">
        <f>$I24*IF($G24="Pickup", SUMIFS(NewEmisData!I:I, NewEmisData!$A:$A, "Pickup", NewEmisData!$B:$B, $A24, NewEmisData!$C:$C, $H24, NewEmisData!$D:$D, BC$2), SUMIFS(NewEmisData!I:I, NewEmisData!$A:$A, "LDV", NewEmisData!$B:$B, $A24, NewEmisData!$C:$C, $H24, NewEmisData!$D:$D, BC$2))</f>
        <v>9.5530920036255608E-3</v>
      </c>
      <c r="BD24" s="324">
        <f>$I24*IF($G24="Pickup", SUMIFS(NewEmisData!J:J, NewEmisData!$A:$A, "Pickup", NewEmisData!$B:$B, $A24, NewEmisData!$C:$C, $H24, NewEmisData!$D:$D, BD$2), SUMIFS(NewEmisData!J:J, NewEmisData!$A:$A, "LDV", NewEmisData!$B:$B, $A24, NewEmisData!$C:$C, $H24, NewEmisData!$D:$D, BD$2))</f>
        <v>9.6179953944107895E-3</v>
      </c>
      <c r="BE24" s="324">
        <f>$I24*IF($G24="Pickup", SUMIFS(NewEmisData!K:K, NewEmisData!$A:$A, "Pickup", NewEmisData!$B:$B, $A24, NewEmisData!$C:$C, $H24, NewEmisData!$D:$D, BE$2), SUMIFS(NewEmisData!K:K, NewEmisData!$A:$A, "LDV", NewEmisData!$B:$B, $A24, NewEmisData!$C:$C, $H24, NewEmisData!$D:$D, BE$2))</f>
        <v>9.6161944962219002E-3</v>
      </c>
      <c r="BF24" s="324">
        <f>$I24*IF($G24="Pickup", SUMIFS(NewEmisData!L:L, NewEmisData!$A:$A, "Pickup", NewEmisData!$B:$B, $A24, NewEmisData!$C:$C, $H24, NewEmisData!$D:$D, BF$2), SUMIFS(NewEmisData!L:L, NewEmisData!$A:$A, "LDV", NewEmisData!$B:$B, $A24, NewEmisData!$C:$C, $H24, NewEmisData!$D:$D, BF$2))</f>
        <v>9.6070968477667898E-3</v>
      </c>
      <c r="BG24" s="324">
        <f>$I24*IF($G24="Pickup", SUMIFS(NewEmisData!M:M, NewEmisData!$A:$A, "Pickup", NewEmisData!$B:$B, $A24, NewEmisData!$C:$C, $H24, NewEmisData!$D:$D, BG$2), SUMIFS(NewEmisData!M:M, NewEmisData!$A:$A, "LDV", NewEmisData!$B:$B, $A24, NewEmisData!$C:$C, $H24, NewEmisData!$D:$D, BG$2))</f>
        <v>9.6485800310463499E-3</v>
      </c>
      <c r="BH24" s="324">
        <f t="shared" si="9"/>
        <v>9.6485800310463499E-3</v>
      </c>
      <c r="BI24" s="324">
        <f>$I24*IF($G24="Pickup", SUMIFS(NewEmisData!E:E, NewEmisData!$A:$A, "Pickup", NewEmisData!$B:$B, $A24, NewEmisData!$C:$C, $H24, NewEmisData!$D:$D, BI$2), SUMIFS(NewEmisData!E:E, NewEmisData!$A:$A, "LDV", NewEmisData!$B:$B, $A24, NewEmisData!$C:$C, $H24, NewEmisData!$D:$D, BI$2))</f>
        <v>33.959001432178802</v>
      </c>
      <c r="BJ24" s="324">
        <f>$I24*IF($G24="Pickup", SUMIFS(NewEmisData!F:F, NewEmisData!$A:$A, "Pickup", NewEmisData!$B:$B, $A24, NewEmisData!$C:$C, $H24, NewEmisData!$D:$D, BJ$2), SUMIFS(NewEmisData!F:F, NewEmisData!$A:$A, "LDV", NewEmisData!$B:$B, $A24, NewEmisData!$C:$C, $H24, NewEmisData!$D:$D, BJ$2))</f>
        <v>17.778024994622601</v>
      </c>
      <c r="BK24" s="324">
        <f>$I24*IF($G24="Pickup", SUMIFS(NewEmisData!G:G, NewEmisData!$A:$A, "Pickup", NewEmisData!$B:$B, $A24, NewEmisData!$C:$C, $H24, NewEmisData!$D:$D, BK$2), SUMIFS(NewEmisData!G:G, NewEmisData!$A:$A, "LDV", NewEmisData!$B:$B, $A24, NewEmisData!$C:$C, $H24, NewEmisData!$D:$D, BK$2))</f>
        <v>1.7295202019801801</v>
      </c>
      <c r="BL24" s="324">
        <f>$I24*IF($G24="Pickup", SUMIFS(NewEmisData!H:H, NewEmisData!$A:$A, "Pickup", NewEmisData!$B:$B, $A24, NewEmisData!$C:$C, $H24, NewEmisData!$D:$D, BL$2), SUMIFS(NewEmisData!H:H, NewEmisData!$A:$A, "LDV", NewEmisData!$B:$B, $A24, NewEmisData!$C:$C, $H24, NewEmisData!$D:$D, BL$2))</f>
        <v>1.3358179965764401</v>
      </c>
      <c r="BM24" s="324">
        <f>$I24*IF($G24="Pickup", SUMIFS(NewEmisData!I:I, NewEmisData!$A:$A, "Pickup", NewEmisData!$B:$B, $A24, NewEmisData!$C:$C, $H24, NewEmisData!$D:$D, BM$2), SUMIFS(NewEmisData!I:I, NewEmisData!$A:$A, "LDV", NewEmisData!$B:$B, $A24, NewEmisData!$C:$C, $H24, NewEmisData!$D:$D, BM$2))</f>
        <v>1.1549056869468599</v>
      </c>
      <c r="BN24" s="324">
        <f>$I24*IF($G24="Pickup", SUMIFS(NewEmisData!J:J, NewEmisData!$A:$A, "Pickup", NewEmisData!$B:$B, $A24, NewEmisData!$C:$C, $H24, NewEmisData!$D:$D, BN$2), SUMIFS(NewEmisData!J:J, NewEmisData!$A:$A, "LDV", NewEmisData!$B:$B, $A24, NewEmisData!$C:$C, $H24, NewEmisData!$D:$D, BN$2))</f>
        <v>1.1045170638742099</v>
      </c>
      <c r="BO24" s="324">
        <f>$I24*IF($G24="Pickup", SUMIFS(NewEmisData!K:K, NewEmisData!$A:$A, "Pickup", NewEmisData!$B:$B, $A24, NewEmisData!$C:$C, $H24, NewEmisData!$D:$D, BO$2), SUMIFS(NewEmisData!K:K, NewEmisData!$A:$A, "LDV", NewEmisData!$B:$B, $A24, NewEmisData!$C:$C, $H24, NewEmisData!$D:$D, BO$2))</f>
        <v>1.0490196067897199</v>
      </c>
      <c r="BP24" s="324">
        <f>$I24*IF($G24="Pickup", SUMIFS(NewEmisData!L:L, NewEmisData!$A:$A, "Pickup", NewEmisData!$B:$B, $A24, NewEmisData!$C:$C, $H24, NewEmisData!$D:$D, BP$2), SUMIFS(NewEmisData!L:L, NewEmisData!$A:$A, "LDV", NewEmisData!$B:$B, $A24, NewEmisData!$C:$C, $H24, NewEmisData!$D:$D, BP$2))</f>
        <v>1.0211744003843299</v>
      </c>
      <c r="BQ24" s="324">
        <f>$I24*IF($G24="Pickup", SUMIFS(NewEmisData!M:M, NewEmisData!$A:$A, "Pickup", NewEmisData!$B:$B, $A24, NewEmisData!$C:$C, $H24, NewEmisData!$D:$D, BQ$2), SUMIFS(NewEmisData!M:M, NewEmisData!$A:$A, "LDV", NewEmisData!$B:$B, $A24, NewEmisData!$C:$C, $H24, NewEmisData!$D:$D, BQ$2))</f>
        <v>1.0282980778986399</v>
      </c>
      <c r="BR24" s="324">
        <f t="shared" si="10"/>
        <v>1.0282980778986399</v>
      </c>
      <c r="BS24" s="324">
        <f>$I24*IF($G24="Pickup", SUMIFS(NewEmisData!E:E, NewEmisData!$A:$A, "Pickup", NewEmisData!$B:$B, $A24, NewEmisData!$C:$C, $H24, NewEmisData!$D:$D, BS$2), SUMIFS(NewEmisData!E:E, NewEmisData!$A:$A, "LDV", NewEmisData!$B:$B, $A24, NewEmisData!$C:$C, $H24, NewEmisData!$D:$D, BS$2))</f>
        <v>3.2030509962261098</v>
      </c>
      <c r="BT24" s="324">
        <f>$I24*IF($G24="Pickup", SUMIFS(NewEmisData!F:F, NewEmisData!$A:$A, "Pickup", NewEmisData!$B:$B, $A24, NewEmisData!$C:$C, $H24, NewEmisData!$D:$D, BT$2), SUMIFS(NewEmisData!F:F, NewEmisData!$A:$A, "LDV", NewEmisData!$B:$B, $A24, NewEmisData!$C:$C, $H24, NewEmisData!$D:$D, BT$2))</f>
        <v>1.7608900502990901</v>
      </c>
      <c r="BU24" s="324">
        <f>$I24*IF($G24="Pickup", SUMIFS(NewEmisData!G:G, NewEmisData!$A:$A, "Pickup", NewEmisData!$B:$B, $A24, NewEmisData!$C:$C, $H24, NewEmisData!$D:$D, BU$2), SUMIFS(NewEmisData!G:G, NewEmisData!$A:$A, "LDV", NewEmisData!$B:$B, $A24, NewEmisData!$C:$C, $H24, NewEmisData!$D:$D, BU$2))</f>
        <v>0.13903187135480599</v>
      </c>
      <c r="BV24" s="324">
        <f>$I24*IF($G24="Pickup", SUMIFS(NewEmisData!H:H, NewEmisData!$A:$A, "Pickup", NewEmisData!$B:$B, $A24, NewEmisData!$C:$C, $H24, NewEmisData!$D:$D, BV$2), SUMIFS(NewEmisData!H:H, NewEmisData!$A:$A, "LDV", NewEmisData!$B:$B, $A24, NewEmisData!$C:$C, $H24, NewEmisData!$D:$D, BV$2))</f>
        <v>9.7185596071446806E-2</v>
      </c>
      <c r="BW24" s="324">
        <f>$I24*IF($G24="Pickup", SUMIFS(NewEmisData!I:I, NewEmisData!$A:$A, "Pickup", NewEmisData!$B:$B, $A24, NewEmisData!$C:$C, $H24, NewEmisData!$D:$D, BW$2), SUMIFS(NewEmisData!I:I, NewEmisData!$A:$A, "LDV", NewEmisData!$B:$B, $A24, NewEmisData!$C:$C, $H24, NewEmisData!$D:$D, BW$2))</f>
        <v>7.64351126999782E-2</v>
      </c>
      <c r="BX24" s="324">
        <f>$I24*IF($G24="Pickup", SUMIFS(NewEmisData!J:J, NewEmisData!$A:$A, "Pickup", NewEmisData!$B:$B, $A24, NewEmisData!$C:$C, $H24, NewEmisData!$D:$D, BX$2), SUMIFS(NewEmisData!J:J, NewEmisData!$A:$A, "LDV", NewEmisData!$B:$B, $A24, NewEmisData!$C:$C, $H24, NewEmisData!$D:$D, BX$2))</f>
        <v>7.4937225961959994E-2</v>
      </c>
      <c r="BY24" s="324">
        <f>$I24*IF($G24="Pickup", SUMIFS(NewEmisData!K:K, NewEmisData!$A:$A, "Pickup", NewEmisData!$B:$B, $A24, NewEmisData!$C:$C, $H24, NewEmisData!$D:$D, BY$2), SUMIFS(NewEmisData!K:K, NewEmisData!$A:$A, "LDV", NewEmisData!$B:$B, $A24, NewEmisData!$C:$C, $H24, NewEmisData!$D:$D, BY$2))</f>
        <v>7.2600271574217695E-2</v>
      </c>
      <c r="BZ24" s="324">
        <f>$I24*IF($G24="Pickup", SUMIFS(NewEmisData!L:L, NewEmisData!$A:$A, "Pickup", NewEmisData!$B:$B, $A24, NewEmisData!$C:$C, $H24, NewEmisData!$D:$D, BZ$2), SUMIFS(NewEmisData!L:L, NewEmisData!$A:$A, "LDV", NewEmisData!$B:$B, $A24, NewEmisData!$C:$C, $H24, NewEmisData!$D:$D, BZ$2))</f>
        <v>7.1574457373899197E-2</v>
      </c>
      <c r="CA24" s="324">
        <f>$I24*IF($G24="Pickup", SUMIFS(NewEmisData!M:M, NewEmisData!$A:$A, "Pickup", NewEmisData!$B:$B, $A24, NewEmisData!$C:$C, $H24, NewEmisData!$D:$D, CA$2), SUMIFS(NewEmisData!M:M, NewEmisData!$A:$A, "LDV", NewEmisData!$B:$B, $A24, NewEmisData!$C:$C, $H24, NewEmisData!$D:$D, CA$2))</f>
        <v>7.2294112289381193E-2</v>
      </c>
      <c r="CB24" s="324">
        <f t="shared" si="11"/>
        <v>7.2294112289381193E-2</v>
      </c>
      <c r="CC24" s="324">
        <f>$I24*IF($G24="Pickup", SUMIFS(NewEmisData!E:E, NewEmisData!$A:$A, "Pickup", NewEmisData!$B:$B, $A24, NewEmisData!$C:$C, $H24, NewEmisData!$D:$D, CC$2), SUMIFS(NewEmisData!E:E, NewEmisData!$A:$A, "LDV", NewEmisData!$B:$B, $A24, NewEmisData!$C:$C, $H24, NewEmisData!$D:$D, CC$2))</f>
        <v>8.2888175961369805E-3</v>
      </c>
      <c r="CD24" s="324">
        <f>$I24*IF($G24="Pickup", SUMIFS(NewEmisData!F:F, NewEmisData!$A:$A, "Pickup", NewEmisData!$B:$B, $A24, NewEmisData!$C:$C, $H24, NewEmisData!$D:$D, CD$2), SUMIFS(NewEmisData!F:F, NewEmisData!$A:$A, "LDV", NewEmisData!$B:$B, $A24, NewEmisData!$C:$C, $H24, NewEmisData!$D:$D, CD$2))</f>
        <v>8.28884638169404E-3</v>
      </c>
      <c r="CE24" s="324">
        <f>$I24*IF($G24="Pickup", SUMIFS(NewEmisData!G:G, NewEmisData!$A:$A, "Pickup", NewEmisData!$B:$B, $A24, NewEmisData!$C:$C, $H24, NewEmisData!$D:$D, CE$2), SUMIFS(NewEmisData!G:G, NewEmisData!$A:$A, "LDV", NewEmisData!$B:$B, $A24, NewEmisData!$C:$C, $H24, NewEmisData!$D:$D, CE$2))</f>
        <v>8.3870365446471907E-3</v>
      </c>
      <c r="CF24" s="324">
        <f>$I24*IF($G24="Pickup", SUMIFS(NewEmisData!H:H, NewEmisData!$A:$A, "Pickup", NewEmisData!$B:$B, $A24, NewEmisData!$C:$C, $H24, NewEmisData!$D:$D, CF$2), SUMIFS(NewEmisData!H:H, NewEmisData!$A:$A, "LDV", NewEmisData!$B:$B, $A24, NewEmisData!$C:$C, $H24, NewEmisData!$D:$D, CF$2))</f>
        <v>8.3870179266945406E-3</v>
      </c>
      <c r="CG24" s="324">
        <f>$I24*IF($G24="Pickup", SUMIFS(NewEmisData!I:I, NewEmisData!$A:$A, "Pickup", NewEmisData!$B:$B, $A24, NewEmisData!$C:$C, $H24, NewEmisData!$D:$D, CG$2), SUMIFS(NewEmisData!I:I, NewEmisData!$A:$A, "LDV", NewEmisData!$B:$B, $A24, NewEmisData!$C:$C, $H24, NewEmisData!$D:$D, CG$2))</f>
        <v>8.3870204918642492E-3</v>
      </c>
      <c r="CH24" s="324">
        <f>$I24*IF($G24="Pickup", SUMIFS(NewEmisData!J:J, NewEmisData!$A:$A, "Pickup", NewEmisData!$B:$B, $A24, NewEmisData!$C:$C, $H24, NewEmisData!$D:$D, CH$2), SUMIFS(NewEmisData!J:J, NewEmisData!$A:$A, "LDV", NewEmisData!$B:$B, $A24, NewEmisData!$C:$C, $H24, NewEmisData!$D:$D, CH$2))</f>
        <v>8.3870196916870903E-3</v>
      </c>
      <c r="CI24" s="324">
        <f>$I24*IF($G24="Pickup", SUMIFS(NewEmisData!K:K, NewEmisData!$A:$A, "Pickup", NewEmisData!$B:$B, $A24, NewEmisData!$C:$C, $H24, NewEmisData!$D:$D, CI$2), SUMIFS(NewEmisData!K:K, NewEmisData!$A:$A, "LDV", NewEmisData!$B:$B, $A24, NewEmisData!$C:$C, $H24, NewEmisData!$D:$D, CI$2))</f>
        <v>8.3870281553093604E-3</v>
      </c>
      <c r="CJ24" s="324">
        <f>$I24*IF($G24="Pickup", SUMIFS(NewEmisData!L:L, NewEmisData!$A:$A, "Pickup", NewEmisData!$B:$B, $A24, NewEmisData!$C:$C, $H24, NewEmisData!$D:$D, CJ$2), SUMIFS(NewEmisData!L:L, NewEmisData!$A:$A, "LDV", NewEmisData!$B:$B, $A24, NewEmisData!$C:$C, $H24, NewEmisData!$D:$D, CJ$2))</f>
        <v>8.38702098948578E-3</v>
      </c>
      <c r="CK24" s="324">
        <f>$I24*IF($G24="Pickup", SUMIFS(NewEmisData!M:M, NewEmisData!$A:$A, "Pickup", NewEmisData!$B:$B, $A24, NewEmisData!$C:$C, $H24, NewEmisData!$D:$D, CK$2), SUMIFS(NewEmisData!M:M, NewEmisData!$A:$A, "LDV", NewEmisData!$B:$B, $A24, NewEmisData!$C:$C, $H24, NewEmisData!$D:$D, CK$2))</f>
        <v>8.3870243591759198E-3</v>
      </c>
      <c r="CL24" s="324">
        <f t="shared" si="12"/>
        <v>8.3870243591759198E-3</v>
      </c>
      <c r="CM24" s="324">
        <f>$I24*IF($G24="Pickup", SUMIFS(NewEmisData!E:E, NewEmisData!$A:$A, "Pickup", NewEmisData!$B:$B, $A24, NewEmisData!$C:$C, $H24, NewEmisData!$D:$D, CM$2), SUMIFS(NewEmisData!E:E, NewEmisData!$A:$A, "LDV", NewEmisData!$B:$B, $A24, NewEmisData!$C:$C, $H24, NewEmisData!$D:$D, CM$2))</f>
        <v>1.2624475864433399E-3</v>
      </c>
      <c r="CN24" s="324">
        <f>$I24*IF($G24="Pickup", SUMIFS(NewEmisData!F:F, NewEmisData!$A:$A, "Pickup", NewEmisData!$B:$B, $A24, NewEmisData!$C:$C, $H24, NewEmisData!$D:$D, CN$2), SUMIFS(NewEmisData!F:F, NewEmisData!$A:$A, "LDV", NewEmisData!$B:$B, $A24, NewEmisData!$C:$C, $H24, NewEmisData!$D:$D, CN$2))</f>
        <v>1.1883690990758501E-3</v>
      </c>
      <c r="CO24" s="324">
        <f>$I24*IF($G24="Pickup", SUMIFS(NewEmisData!G:G, NewEmisData!$A:$A, "Pickup", NewEmisData!$B:$B, $A24, NewEmisData!$C:$C, $H24, NewEmisData!$D:$D, CO$2), SUMIFS(NewEmisData!G:G, NewEmisData!$A:$A, "LDV", NewEmisData!$B:$B, $A24, NewEmisData!$C:$C, $H24, NewEmisData!$D:$D, CO$2))</f>
        <v>9.8928202519836398E-4</v>
      </c>
      <c r="CP24" s="324">
        <f>$I24*IF($G24="Pickup", SUMIFS(NewEmisData!H:H, NewEmisData!$A:$A, "Pickup", NewEmisData!$B:$B, $A24, NewEmisData!$C:$C, $H24, NewEmisData!$D:$D, CP$2), SUMIFS(NewEmisData!H:H, NewEmisData!$A:$A, "LDV", NewEmisData!$B:$B, $A24, NewEmisData!$C:$C, $H24, NewEmisData!$D:$D, CP$2))</f>
        <v>9.9147743903602492E-4</v>
      </c>
      <c r="CQ24" s="324">
        <f>$I24*IF($G24="Pickup", SUMIFS(NewEmisData!I:I, NewEmisData!$A:$A, "Pickup", NewEmisData!$B:$B, $A24, NewEmisData!$C:$C, $H24, NewEmisData!$D:$D, CQ$2), SUMIFS(NewEmisData!I:I, NewEmisData!$A:$A, "LDV", NewEmisData!$B:$B, $A24, NewEmisData!$C:$C, $H24, NewEmisData!$D:$D, CQ$2))</f>
        <v>9.9943438475981992E-4</v>
      </c>
      <c r="CR24" s="324">
        <f>$I24*IF($G24="Pickup", SUMIFS(NewEmisData!J:J, NewEmisData!$A:$A, "Pickup", NewEmisData!$B:$B, $A24, NewEmisData!$C:$C, $H24, NewEmisData!$D:$D, CR$2), SUMIFS(NewEmisData!J:J, NewEmisData!$A:$A, "LDV", NewEmisData!$B:$B, $A24, NewEmisData!$C:$C, $H24, NewEmisData!$D:$D, CR$2))</f>
        <v>1.0098354224096599E-3</v>
      </c>
      <c r="CS24" s="324">
        <f>$I24*IF($G24="Pickup", SUMIFS(NewEmisData!K:K, NewEmisData!$A:$A, "Pickup", NewEmisData!$B:$B, $A24, NewEmisData!$C:$C, $H24, NewEmisData!$D:$D, CS$2), SUMIFS(NewEmisData!K:K, NewEmisData!$A:$A, "LDV", NewEmisData!$B:$B, $A24, NewEmisData!$C:$C, $H24, NewEmisData!$D:$D, CS$2))</f>
        <v>1.0151158608519401E-3</v>
      </c>
      <c r="CT24" s="324">
        <f>$I24*IF($G24="Pickup", SUMIFS(NewEmisData!L:L, NewEmisData!$A:$A, "Pickup", NewEmisData!$B:$B, $A24, NewEmisData!$C:$C, $H24, NewEmisData!$D:$D, CT$2), SUMIFS(NewEmisData!L:L, NewEmisData!$A:$A, "LDV", NewEmisData!$B:$B, $A24, NewEmisData!$C:$C, $H24, NewEmisData!$D:$D, CT$2))</f>
        <v>1.0167974693840801E-3</v>
      </c>
      <c r="CU24" s="324">
        <f>$I24*IF($G24="Pickup", SUMIFS(NewEmisData!M:M, NewEmisData!$A:$A, "Pickup", NewEmisData!$B:$B, $A24, NewEmisData!$C:$C, $H24, NewEmisData!$D:$D, CU$2), SUMIFS(NewEmisData!M:M, NewEmisData!$A:$A, "LDV", NewEmisData!$B:$B, $A24, NewEmisData!$C:$C, $H24, NewEmisData!$D:$D, CU$2))</f>
        <v>1.0194184187444001E-3</v>
      </c>
      <c r="CV24" s="324">
        <f t="shared" si="13"/>
        <v>1.0194184187444001E-3</v>
      </c>
      <c r="CW24" s="324">
        <v>1.7855353475311885E-3</v>
      </c>
      <c r="CX24" s="324">
        <v>1.1158238015562326E-3</v>
      </c>
      <c r="CY24" s="324">
        <v>9.3466086006125206E-4</v>
      </c>
      <c r="CZ24" s="324">
        <v>8.3812350595498144E-4</v>
      </c>
      <c r="DA24" s="324">
        <v>6.4708026295585627E-4</v>
      </c>
      <c r="DB24" s="324">
        <v>5.1533534928113322E-4</v>
      </c>
      <c r="DC24" s="324">
        <v>4.978529843416348E-4</v>
      </c>
      <c r="DD24" s="324">
        <v>4.9300315911808101E-4</v>
      </c>
      <c r="DE24" s="324">
        <v>4.9234696878064995E-4</v>
      </c>
      <c r="DF24" s="324">
        <v>4.9234696878064995E-4</v>
      </c>
      <c r="DG24" s="324">
        <f>$I24*IF($G24="Pickup", SUMIFS(NewEmisData!E:E, NewEmisData!$A:$A, "Pickup", NewEmisData!$B:$B, $A24, NewEmisData!$C:$C, $H24, NewEmisData!$D:$D, DG$2), SUMIFS(NewEmisData!E:E, NewEmisData!$A:$A, "LDV", NewEmisData!$B:$B, $A24, NewEmisData!$C:$C, $H24, NewEmisData!$D:$D, DG$2))</f>
        <v>0</v>
      </c>
      <c r="DH24" s="324">
        <f>$I24*IF($G24="Pickup", SUMIFS(NewEmisData!F:F, NewEmisData!$A:$A, "Pickup", NewEmisData!$B:$B, $A24, NewEmisData!$C:$C, $H24, NewEmisData!$D:$D, DH$2), SUMIFS(NewEmisData!F:F, NewEmisData!$A:$A, "LDV", NewEmisData!$B:$B, $A24, NewEmisData!$C:$C, $H24, NewEmisData!$D:$D, DH$2))</f>
        <v>0</v>
      </c>
      <c r="DI24" s="324">
        <f>$I24*IF($G24="Pickup", SUMIFS(NewEmisData!G:G, NewEmisData!$A:$A, "Pickup", NewEmisData!$B:$B, $A24, NewEmisData!$C:$C, $H24, NewEmisData!$D:$D, DI$2), SUMIFS(NewEmisData!G:G, NewEmisData!$A:$A, "LDV", NewEmisData!$B:$B, $A24, NewEmisData!$C:$C, $H24, NewEmisData!$D:$D, DI$2))</f>
        <v>0</v>
      </c>
      <c r="DJ24" s="324">
        <f>$I24*IF($G24="Pickup", SUMIFS(NewEmisData!H:H, NewEmisData!$A:$A, "Pickup", NewEmisData!$B:$B, $A24, NewEmisData!$C:$C, $H24, NewEmisData!$D:$D, DJ$2), SUMIFS(NewEmisData!H:H, NewEmisData!$A:$A, "LDV", NewEmisData!$B:$B, $A24, NewEmisData!$C:$C, $H24, NewEmisData!$D:$D, DJ$2))</f>
        <v>0</v>
      </c>
      <c r="DK24" s="324">
        <f>$I24*IF($G24="Pickup", SUMIFS(NewEmisData!I:I, NewEmisData!$A:$A, "Pickup", NewEmisData!$B:$B, $A24, NewEmisData!$C:$C, $H24, NewEmisData!$D:$D, DK$2), SUMIFS(NewEmisData!I:I, NewEmisData!$A:$A, "LDV", NewEmisData!$B:$B, $A24, NewEmisData!$C:$C, $H24, NewEmisData!$D:$D, DK$2))</f>
        <v>0</v>
      </c>
      <c r="DL24" s="324">
        <f>$I24*IF($G24="Pickup", SUMIFS(NewEmisData!J:J, NewEmisData!$A:$A, "Pickup", NewEmisData!$B:$B, $A24, NewEmisData!$C:$C, $H24, NewEmisData!$D:$D, DL$2), SUMIFS(NewEmisData!J:J, NewEmisData!$A:$A, "LDV", NewEmisData!$B:$B, $A24, NewEmisData!$C:$C, $H24, NewEmisData!$D:$D, DL$2))</f>
        <v>0</v>
      </c>
      <c r="DM24" s="324">
        <f>$I24*IF($G24="Pickup", SUMIFS(NewEmisData!K:K, NewEmisData!$A:$A, "Pickup", NewEmisData!$B:$B, $A24, NewEmisData!$C:$C, $H24, NewEmisData!$D:$D, DM$2), SUMIFS(NewEmisData!K:K, NewEmisData!$A:$A, "LDV", NewEmisData!$B:$B, $A24, NewEmisData!$C:$C, $H24, NewEmisData!$D:$D, DM$2))</f>
        <v>0</v>
      </c>
      <c r="DN24" s="324">
        <f>$I24*IF($G24="Pickup", SUMIFS(NewEmisData!L:L, NewEmisData!$A:$A, "Pickup", NewEmisData!$B:$B, $A24, NewEmisData!$C:$C, $H24, NewEmisData!$D:$D, DN$2), SUMIFS(NewEmisData!L:L, NewEmisData!$A:$A, "LDV", NewEmisData!$B:$B, $A24, NewEmisData!$C:$C, $H24, NewEmisData!$D:$D, DN$2))</f>
        <v>0</v>
      </c>
      <c r="DO24" s="324">
        <f>$I24*IF($G24="Pickup", SUMIFS(NewEmisData!M:M, NewEmisData!$A:$A, "Pickup", NewEmisData!$B:$B, $A24, NewEmisData!$C:$C, $H24, NewEmisData!$D:$D, DO$2), SUMIFS(NewEmisData!M:M, NewEmisData!$A:$A, "LDV", NewEmisData!$B:$B, $A24, NewEmisData!$C:$C, $H24, NewEmisData!$D:$D, DO$2))</f>
        <v>0</v>
      </c>
      <c r="DP24" s="324">
        <f t="shared" si="14"/>
        <v>0</v>
      </c>
      <c r="DQ24" s="324">
        <f>$I24*IF($G24="Pickup", SUMIFS(NewEmisData!E:E, NewEmisData!$A:$A, "Pickup", NewEmisData!$B:$B, $A24, NewEmisData!$C:$C, $H24, NewEmisData!$D:$D, DQ$2), SUMIFS(NewEmisData!E:E, NewEmisData!$A:$A, "LDV", NewEmisData!$B:$B, $A24, NewEmisData!$C:$C, $H24, NewEmisData!$D:$D, DQ$2))</f>
        <v>2.07649753376518E-2</v>
      </c>
      <c r="DR24" s="324">
        <f>$I24*IF($G24="Pickup", SUMIFS(NewEmisData!F:F, NewEmisData!$A:$A, "Pickup", NewEmisData!$B:$B, $A24, NewEmisData!$C:$C, $H24, NewEmisData!$D:$D, DR$2), SUMIFS(NewEmisData!F:F, NewEmisData!$A:$A, "LDV", NewEmisData!$B:$B, $A24, NewEmisData!$C:$C, $H24, NewEmisData!$D:$D, DR$2))</f>
        <v>5.3879064536849403E-2</v>
      </c>
      <c r="DS24" s="324">
        <f>$I24*IF($G24="Pickup", SUMIFS(NewEmisData!G:G, NewEmisData!$A:$A, "Pickup", NewEmisData!$B:$B, $A24, NewEmisData!$C:$C, $H24, NewEmisData!$D:$D, DS$2), SUMIFS(NewEmisData!G:G, NewEmisData!$A:$A, "LDV", NewEmisData!$B:$B, $A24, NewEmisData!$C:$C, $H24, NewEmisData!$D:$D, DS$2))</f>
        <v>7.3574274011771801E-2</v>
      </c>
      <c r="DT24" s="324">
        <f>$I24*IF($G24="Pickup", SUMIFS(NewEmisData!H:H, NewEmisData!$A:$A, "Pickup", NewEmisData!$B:$B, $A24, NewEmisData!$C:$C, $H24, NewEmisData!$D:$D, DT$2), SUMIFS(NewEmisData!H:H, NewEmisData!$A:$A, "LDV", NewEmisData!$B:$B, $A24, NewEmisData!$C:$C, $H24, NewEmisData!$D:$D, DT$2))</f>
        <v>7.4922688966295406E-2</v>
      </c>
      <c r="DU24" s="324">
        <f>$I24*IF($G24="Pickup", SUMIFS(NewEmisData!I:I, NewEmisData!$A:$A, "Pickup", NewEmisData!$B:$B, $A24, NewEmisData!$C:$C, $H24, NewEmisData!$D:$D, DU$2), SUMIFS(NewEmisData!I:I, NewEmisData!$A:$A, "LDV", NewEmisData!$B:$B, $A24, NewEmisData!$C:$C, $H24, NewEmisData!$D:$D, DU$2))</f>
        <v>7.6988260998407304E-2</v>
      </c>
      <c r="DV24" s="324">
        <f>$I24*IF($G24="Pickup", SUMIFS(NewEmisData!J:J, NewEmisData!$A:$A, "Pickup", NewEmisData!$B:$B, $A24, NewEmisData!$C:$C, $H24, NewEmisData!$D:$D, DV$2), SUMIFS(NewEmisData!J:J, NewEmisData!$A:$A, "LDV", NewEmisData!$B:$B, $A24, NewEmisData!$C:$C, $H24, NewEmisData!$D:$D, DV$2))</f>
        <v>7.7052943379972205E-2</v>
      </c>
      <c r="DW24" s="324">
        <f>$I24*IF($G24="Pickup", SUMIFS(NewEmisData!K:K, NewEmisData!$A:$A, "Pickup", NewEmisData!$B:$B, $A24, NewEmisData!$C:$C, $H24, NewEmisData!$D:$D, DW$2), SUMIFS(NewEmisData!K:K, NewEmisData!$A:$A, "LDV", NewEmisData!$B:$B, $A24, NewEmisData!$C:$C, $H24, NewEmisData!$D:$D, DW$2))</f>
        <v>7.6200385446793903E-2</v>
      </c>
      <c r="DX24" s="324">
        <f>$I24*IF($G24="Pickup", SUMIFS(NewEmisData!L:L, NewEmisData!$A:$A, "Pickup", NewEmisData!$B:$B, $A24, NewEmisData!$C:$C, $H24, NewEmisData!$D:$D, DX$2), SUMIFS(NewEmisData!L:L, NewEmisData!$A:$A, "LDV", NewEmisData!$B:$B, $A24, NewEmisData!$C:$C, $H24, NewEmisData!$D:$D, DX$2))</f>
        <v>7.5114204897389E-2</v>
      </c>
      <c r="DY24" s="324">
        <f>$I24*IF($G24="Pickup", SUMIFS(NewEmisData!M:M, NewEmisData!$A:$A, "Pickup", NewEmisData!$B:$B, $A24, NewEmisData!$C:$C, $H24, NewEmisData!$D:$D, DY$2), SUMIFS(NewEmisData!M:M, NewEmisData!$A:$A, "LDV", NewEmisData!$B:$B, $A24, NewEmisData!$C:$C, $H24, NewEmisData!$D:$D, DY$2))</f>
        <v>7.5889863393422893E-2</v>
      </c>
      <c r="DZ24" s="324">
        <f t="shared" si="15"/>
        <v>7.5889863393422893E-2</v>
      </c>
      <c r="EA24" s="324">
        <f t="shared" si="16"/>
        <v>475.10061950162901</v>
      </c>
      <c r="EB24" s="324">
        <f t="shared" si="17"/>
        <v>425.759425077473</v>
      </c>
      <c r="EC24" s="324">
        <f t="shared" si="18"/>
        <v>324.82271634308898</v>
      </c>
      <c r="ED24" s="324">
        <f t="shared" si="19"/>
        <v>272.72616291819003</v>
      </c>
      <c r="EE24" s="324">
        <f t="shared" si="20"/>
        <v>248.98422365878099</v>
      </c>
      <c r="EF24" s="324">
        <f t="shared" si="21"/>
        <v>239.138945196208</v>
      </c>
      <c r="EG24" s="324">
        <f t="shared" si="22"/>
        <v>233.186205993041</v>
      </c>
      <c r="EH24" s="324">
        <f t="shared" si="23"/>
        <v>230.98082777732901</v>
      </c>
      <c r="EI24" s="324">
        <f t="shared" si="24"/>
        <v>230.977797902075</v>
      </c>
      <c r="EJ24" s="324">
        <f t="shared" si="25"/>
        <v>230.977797902075</v>
      </c>
      <c r="EK24" s="324">
        <f t="shared" si="26"/>
        <v>1.9631552344971901</v>
      </c>
      <c r="EL24" s="324">
        <f t="shared" si="27"/>
        <v>1.3806125660772399</v>
      </c>
      <c r="EM24" s="324">
        <f t="shared" si="28"/>
        <v>0.129337211025188</v>
      </c>
      <c r="EN24" s="324">
        <f t="shared" si="29"/>
        <v>7.5114199181629995E-2</v>
      </c>
      <c r="EO24" s="324">
        <f t="shared" si="30"/>
        <v>4.8850819053097599E-2</v>
      </c>
      <c r="EP24" s="324">
        <f t="shared" si="31"/>
        <v>4.4000904465129997E-2</v>
      </c>
      <c r="EQ24" s="324">
        <f t="shared" si="32"/>
        <v>4.0593055376388902E-2</v>
      </c>
      <c r="ER24" s="324">
        <f t="shared" si="33"/>
        <v>3.90779505535142E-2</v>
      </c>
      <c r="ES24" s="324">
        <f t="shared" si="34"/>
        <v>3.9479948858560501E-2</v>
      </c>
      <c r="ET24" s="324">
        <f t="shared" si="35"/>
        <v>3.9479948858560501E-2</v>
      </c>
      <c r="EU24" s="324">
        <f t="shared" si="36"/>
        <v>1.17898559151298E-2</v>
      </c>
      <c r="EV24" s="324">
        <f t="shared" si="37"/>
        <v>1.03183632568031E-2</v>
      </c>
      <c r="EW24" s="324">
        <f t="shared" si="38"/>
        <v>2.7239955539880398E-3</v>
      </c>
      <c r="EX24" s="324">
        <f t="shared" si="39"/>
        <v>2.27776189551411E-3</v>
      </c>
      <c r="EY24" s="324">
        <f t="shared" si="40"/>
        <v>2.0763885131562E-3</v>
      </c>
      <c r="EZ24" s="324">
        <f t="shared" si="41"/>
        <v>1.9942349161768602E-3</v>
      </c>
      <c r="FA24" s="324">
        <f t="shared" si="42"/>
        <v>1.94410234302206E-3</v>
      </c>
      <c r="FB24" s="324">
        <f t="shared" si="43"/>
        <v>1.92571555503505E-3</v>
      </c>
      <c r="FC24" s="324">
        <f t="shared" si="44"/>
        <v>1.92569074305567E-3</v>
      </c>
      <c r="FD24" s="324">
        <f t="shared" si="45"/>
        <v>1.92569074305567E-3</v>
      </c>
      <c r="FE24" s="324">
        <f t="shared" si="46"/>
        <v>0.13169009101509199</v>
      </c>
      <c r="FF24" s="324">
        <f t="shared" si="47"/>
        <v>9.8083690249445299E-2</v>
      </c>
      <c r="FG24" s="324">
        <f t="shared" si="48"/>
        <v>5.5514430840345103E-2</v>
      </c>
      <c r="FH24" s="324">
        <f t="shared" si="49"/>
        <v>5.44794684063677E-2</v>
      </c>
      <c r="FI24" s="324">
        <f t="shared" si="50"/>
        <v>5.4352731860888202E-2</v>
      </c>
      <c r="FJ24" s="324">
        <f t="shared" si="51"/>
        <v>5.4423278764171301E-2</v>
      </c>
      <c r="FK24" s="324">
        <f t="shared" si="52"/>
        <v>5.4421339109764703E-2</v>
      </c>
      <c r="FL24" s="324">
        <f t="shared" si="53"/>
        <v>5.4411460704527799E-2</v>
      </c>
      <c r="FM24" s="324">
        <f t="shared" si="54"/>
        <v>5.4456547876811902E-2</v>
      </c>
      <c r="FN24" s="324">
        <f t="shared" si="55"/>
        <v>5.4456547876811902E-2</v>
      </c>
      <c r="FO24" s="324">
        <f t="shared" si="56"/>
        <v>7.1455050843798995E-2</v>
      </c>
      <c r="FP24" s="324">
        <f t="shared" si="57"/>
        <v>4.0537129665560202E-2</v>
      </c>
      <c r="FQ24" s="324">
        <f t="shared" si="58"/>
        <v>1.0621754972012501E-2</v>
      </c>
      <c r="FR24" s="324">
        <f t="shared" si="59"/>
        <v>9.6696564500787993E-3</v>
      </c>
      <c r="FS24" s="324">
        <f t="shared" si="60"/>
        <v>9.5530920036255608E-3</v>
      </c>
      <c r="FT24" s="324">
        <f t="shared" si="61"/>
        <v>9.6179953944107895E-3</v>
      </c>
      <c r="FU24" s="324">
        <f t="shared" si="62"/>
        <v>9.6161944962219002E-3</v>
      </c>
      <c r="FV24" s="324">
        <f t="shared" si="63"/>
        <v>9.6070968477667898E-3</v>
      </c>
      <c r="FW24" s="324">
        <f t="shared" si="64"/>
        <v>9.6485800310463499E-3</v>
      </c>
      <c r="FX24" s="324">
        <f t="shared" si="65"/>
        <v>9.6485800310463499E-3</v>
      </c>
    </row>
    <row r="25" spans="1:180" x14ac:dyDescent="0.2">
      <c r="A25" s="298" t="str">
        <f>IF(LEFT(TRIM(Technologies!B67),1)="*", _xlfn.CONCAT("*","R2"), "R2")</f>
        <v>R2</v>
      </c>
      <c r="B25" s="298" t="str">
        <f>TechData_existing!B10</f>
        <v>TLEFGSL</v>
      </c>
      <c r="C25" s="298" t="str">
        <f>TechData_existing!C10</f>
        <v>TL.GSL.F.Existing fleet</v>
      </c>
      <c r="D25" s="294" t="str">
        <f>TechData_existing!D10</f>
        <v>bn-vmt, bn-vmt/a</v>
      </c>
      <c r="E25" s="294" t="str">
        <f>TechData_existing!E10</f>
        <v>TLGSL</v>
      </c>
      <c r="F25" s="294" t="str">
        <f>TechData_existing!F10</f>
        <v>TL</v>
      </c>
      <c r="G25" s="294" t="s">
        <v>476</v>
      </c>
      <c r="H25" s="294" t="s">
        <v>474</v>
      </c>
      <c r="I25" s="294">
        <v>1</v>
      </c>
      <c r="J25" s="308" t="str">
        <f t="shared" si="2"/>
        <v>Full size car-GSL</v>
      </c>
      <c r="K25" s="324">
        <f>$I25*IF($G25="Pickup", SUMIFS(NewEmisData!E:E, NewEmisData!$A:$A, "Pickup", NewEmisData!$B:$B, $A25, NewEmisData!$C:$C, $H25, NewEmisData!$D:$D, K$2), SUMIFS(NewEmisData!E:E, NewEmisData!$A:$A, "LDV", NewEmisData!$B:$B, $A25, NewEmisData!$C:$C, $H25, NewEmisData!$D:$D, K$2))</f>
        <v>477.08587282575797</v>
      </c>
      <c r="L25" s="324">
        <f>$I25*IF($G25="Pickup", SUMIFS(NewEmisData!F:F, NewEmisData!$A:$A, "Pickup", NewEmisData!$B:$B, $A25, NewEmisData!$C:$C, $H25, NewEmisData!$D:$D, L$2), SUMIFS(NewEmisData!F:F, NewEmisData!$A:$A, "LDV", NewEmisData!$B:$B, $A25, NewEmisData!$C:$C, $H25, NewEmisData!$D:$D, L$2))</f>
        <v>459.34104292251902</v>
      </c>
      <c r="M25" s="324">
        <f>$I25*IF($G25="Pickup", SUMIFS(NewEmisData!G:G, NewEmisData!$A:$A, "Pickup", NewEmisData!$B:$B, $A25, NewEmisData!$C:$C, $H25, NewEmisData!$D:$D, M$2), SUMIFS(NewEmisData!G:G, NewEmisData!$A:$A, "LDV", NewEmisData!$B:$B, $A25, NewEmisData!$C:$C, $H25, NewEmisData!$D:$D, M$2))</f>
        <v>447.45896927637102</v>
      </c>
      <c r="N25" s="324">
        <f>$I25*IF($G25="Pickup", SUMIFS(NewEmisData!H:H, NewEmisData!$A:$A, "Pickup", NewEmisData!$B:$B, $A25, NewEmisData!$C:$C, $H25, NewEmisData!$D:$D, N$2), SUMIFS(NewEmisData!H:H, NewEmisData!$A:$A, "LDV", NewEmisData!$B:$B, $A25, NewEmisData!$C:$C, $H25, NewEmisData!$D:$D, N$2))</f>
        <v>380.72392677964001</v>
      </c>
      <c r="O25" s="324">
        <f>$I25*IF($G25="Pickup", SUMIFS(NewEmisData!I:I, NewEmisData!$A:$A, "Pickup", NewEmisData!$B:$B, $A25, NewEmisData!$C:$C, $H25, NewEmisData!$D:$D, O$2), SUMIFS(NewEmisData!I:I, NewEmisData!$A:$A, "LDV", NewEmisData!$B:$B, $A25, NewEmisData!$C:$C, $H25, NewEmisData!$D:$D, O$2))</f>
        <v>329.54737069801098</v>
      </c>
      <c r="P25" s="324">
        <f>$I25*IF($G25="Pickup", SUMIFS(NewEmisData!J:J, NewEmisData!$A:$A, "Pickup", NewEmisData!$B:$B, $A25, NewEmisData!$C:$C, $H25, NewEmisData!$D:$D, P$2), SUMIFS(NewEmisData!J:J, NewEmisData!$A:$A, "LDV", NewEmisData!$B:$B, $A25, NewEmisData!$C:$C, $H25, NewEmisData!$D:$D, P$2))</f>
        <v>300.69829568412598</v>
      </c>
      <c r="Q25" s="324">
        <f>$I25*IF($G25="Pickup", SUMIFS(NewEmisData!K:K, NewEmisData!$A:$A, "Pickup", NewEmisData!$B:$B, $A25, NewEmisData!$C:$C, $H25, NewEmisData!$D:$D, Q$2), SUMIFS(NewEmisData!K:K, NewEmisData!$A:$A, "LDV", NewEmisData!$B:$B, $A25, NewEmisData!$C:$C, $H25, NewEmisData!$D:$D, Q$2))</f>
        <v>287.83799703632701</v>
      </c>
      <c r="R25" s="324">
        <f>$I25*IF($G25="Pickup", SUMIFS(NewEmisData!L:L, NewEmisData!$A:$A, "Pickup", NewEmisData!$B:$B, $A25, NewEmisData!$C:$C, $H25, NewEmisData!$D:$D, R$2), SUMIFS(NewEmisData!L:L, NewEmisData!$A:$A, "LDV", NewEmisData!$B:$B, $A25, NewEmisData!$C:$C, $H25, NewEmisData!$D:$D, R$2))</f>
        <v>283.26610797837998</v>
      </c>
      <c r="S25" s="324">
        <f>$I25*IF($G25="Pickup", SUMIFS(NewEmisData!M:M, NewEmisData!$A:$A, "Pickup", NewEmisData!$B:$B, $A25, NewEmisData!$C:$C, $H25, NewEmisData!$D:$D, S$2), SUMIFS(NewEmisData!M:M, NewEmisData!$A:$A, "LDV", NewEmisData!$B:$B, $A25, NewEmisData!$C:$C, $H25, NewEmisData!$D:$D, S$2))</f>
        <v>281.57834098528099</v>
      </c>
      <c r="T25" s="324">
        <f t="shared" si="5"/>
        <v>281.57834098528099</v>
      </c>
      <c r="U25" s="324">
        <f>$I25*IF($G25="Pickup", SUMIFS(NewEmisData!E:E, NewEmisData!$A:$A, "Pickup", NewEmisData!$B:$B, $A25, NewEmisData!$C:$C, $H25, NewEmisData!$D:$D, U$2), SUMIFS(NewEmisData!E:E, NewEmisData!$A:$A, "LDV", NewEmisData!$B:$B, $A25, NewEmisData!$C:$C, $H25, NewEmisData!$D:$D, U$2))</f>
        <v>0.82339103642645395</v>
      </c>
      <c r="V25" s="324">
        <f>$I25*IF($G25="Pickup", SUMIFS(NewEmisData!F:F, NewEmisData!$A:$A, "Pickup", NewEmisData!$B:$B, $A25, NewEmisData!$C:$C, $H25, NewEmisData!$D:$D, V$2), SUMIFS(NewEmisData!F:F, NewEmisData!$A:$A, "LDV", NewEmisData!$B:$B, $A25, NewEmisData!$C:$C, $H25, NewEmisData!$D:$D, V$2))</f>
        <v>0.360872733315452</v>
      </c>
      <c r="W25" s="324">
        <f>$I25*IF($G25="Pickup", SUMIFS(NewEmisData!G:G, NewEmisData!$A:$A, "Pickup", NewEmisData!$B:$B, $A25, NewEmisData!$C:$C, $H25, NewEmisData!$D:$D, W$2), SUMIFS(NewEmisData!G:G, NewEmisData!$A:$A, "LDV", NewEmisData!$B:$B, $A25, NewEmisData!$C:$C, $H25, NewEmisData!$D:$D, W$2))</f>
        <v>0.21658171178065999</v>
      </c>
      <c r="X25" s="324">
        <f>$I25*IF($G25="Pickup", SUMIFS(NewEmisData!H:H, NewEmisData!$A:$A, "Pickup", NewEmisData!$B:$B, $A25, NewEmisData!$C:$C, $H25, NewEmisData!$D:$D, X$2), SUMIFS(NewEmisData!H:H, NewEmisData!$A:$A, "LDV", NewEmisData!$B:$B, $A25, NewEmisData!$C:$C, $H25, NewEmisData!$D:$D, X$2))</f>
        <v>0.14200533002195401</v>
      </c>
      <c r="Y25" s="324">
        <f>$I25*IF($G25="Pickup", SUMIFS(NewEmisData!I:I, NewEmisData!$A:$A, "Pickup", NewEmisData!$B:$B, $A25, NewEmisData!$C:$C, $H25, NewEmisData!$D:$D, Y$2), SUMIFS(NewEmisData!I:I, NewEmisData!$A:$A, "LDV", NewEmisData!$B:$B, $A25, NewEmisData!$C:$C, $H25, NewEmisData!$D:$D, Y$2))</f>
        <v>8.8016804659711706E-2</v>
      </c>
      <c r="Z25" s="324">
        <f>$I25*IF($G25="Pickup", SUMIFS(NewEmisData!J:J, NewEmisData!$A:$A, "Pickup", NewEmisData!$B:$B, $A25, NewEmisData!$C:$C, $H25, NewEmisData!$D:$D, Z$2), SUMIFS(NewEmisData!J:J, NewEmisData!$A:$A, "LDV", NewEmisData!$B:$B, $A25, NewEmisData!$C:$C, $H25, NewEmisData!$D:$D, Z$2))</f>
        <v>6.5736379947852003E-2</v>
      </c>
      <c r="AA25" s="324">
        <f>$I25*IF($G25="Pickup", SUMIFS(NewEmisData!K:K, NewEmisData!$A:$A, "Pickup", NewEmisData!$B:$B, $A25, NewEmisData!$C:$C, $H25, NewEmisData!$D:$D, AA$2), SUMIFS(NewEmisData!K:K, NewEmisData!$A:$A, "LDV", NewEmisData!$B:$B, $A25, NewEmisData!$C:$C, $H25, NewEmisData!$D:$D, AA$2))</f>
        <v>5.6635638117250503E-2</v>
      </c>
      <c r="AB25" s="324">
        <f>$I25*IF($G25="Pickup", SUMIFS(NewEmisData!L:L, NewEmisData!$A:$A, "Pickup", NewEmisData!$B:$B, $A25, NewEmisData!$C:$C, $H25, NewEmisData!$D:$D, AB$2), SUMIFS(NewEmisData!L:L, NewEmisData!$A:$A, "LDV", NewEmisData!$B:$B, $A25, NewEmisData!$C:$C, $H25, NewEmisData!$D:$D, AB$2))</f>
        <v>5.4115247223223299E-2</v>
      </c>
      <c r="AC25" s="324">
        <f>$I25*IF($G25="Pickup", SUMIFS(NewEmisData!M:M, NewEmisData!$A:$A, "Pickup", NewEmisData!$B:$B, $A25, NewEmisData!$C:$C, $H25, NewEmisData!$D:$D, AC$2), SUMIFS(NewEmisData!M:M, NewEmisData!$A:$A, "LDV", NewEmisData!$B:$B, $A25, NewEmisData!$C:$C, $H25, NewEmisData!$D:$D, AC$2))</f>
        <v>5.2826207223764E-2</v>
      </c>
      <c r="AD25" s="324">
        <f t="shared" si="6"/>
        <v>5.2826207223764E-2</v>
      </c>
      <c r="AE25" s="324">
        <f>$I25*IF($G25="Pickup", SUMIFS(NewEmisData!E:E, NewEmisData!$A:$A, "Pickup", NewEmisData!$B:$B, $A25, NewEmisData!$C:$C, $H25, NewEmisData!$D:$D, AE$2), SUMIFS(NewEmisData!E:E, NewEmisData!$A:$A, "LDV", NewEmisData!$B:$B, $A25, NewEmisData!$C:$C, $H25, NewEmisData!$D:$D, AE$2))</f>
        <v>8.2552586035919695E-3</v>
      </c>
      <c r="AF25" s="324">
        <f>$I25*IF($G25="Pickup", SUMIFS(NewEmisData!F:F, NewEmisData!$A:$A, "Pickup", NewEmisData!$B:$B, $A25, NewEmisData!$C:$C, $H25, NewEmisData!$D:$D, AF$2), SUMIFS(NewEmisData!F:F, NewEmisData!$A:$A, "LDV", NewEmisData!$B:$B, $A25, NewEmisData!$C:$C, $H25, NewEmisData!$D:$D, AF$2))</f>
        <v>7.9482131517538395E-3</v>
      </c>
      <c r="AG25" s="324">
        <f>$I25*IF($G25="Pickup", SUMIFS(NewEmisData!G:G, NewEmisData!$A:$A, "Pickup", NewEmisData!$B:$B, $A25, NewEmisData!$C:$C, $H25, NewEmisData!$D:$D, AG$2), SUMIFS(NewEmisData!G:G, NewEmisData!$A:$A, "LDV", NewEmisData!$B:$B, $A25, NewEmisData!$C:$C, $H25, NewEmisData!$D:$D, AG$2))</f>
        <v>6.4190305556059996E-3</v>
      </c>
      <c r="AH25" s="324">
        <f>$I25*IF($G25="Pickup", SUMIFS(NewEmisData!H:H, NewEmisData!$A:$A, "Pickup", NewEmisData!$B:$B, $A25, NewEmisData!$C:$C, $H25, NewEmisData!$D:$D, AH$2), SUMIFS(NewEmisData!H:H, NewEmisData!$A:$A, "LDV", NewEmisData!$B:$B, $A25, NewEmisData!$C:$C, $H25, NewEmisData!$D:$D, AH$2))</f>
        <v>5.4616828003907899E-3</v>
      </c>
      <c r="AI25" s="324">
        <f>$I25*IF($G25="Pickup", SUMIFS(NewEmisData!I:I, NewEmisData!$A:$A, "Pickup", NewEmisData!$B:$B, $A25, NewEmisData!$C:$C, $H25, NewEmisData!$D:$D, AI$2), SUMIFS(NewEmisData!I:I, NewEmisData!$A:$A, "LDV", NewEmisData!$B:$B, $A25, NewEmisData!$C:$C, $H25, NewEmisData!$D:$D, AI$2))</f>
        <v>4.7275285851957304E-3</v>
      </c>
      <c r="AJ25" s="324">
        <f>$I25*IF($G25="Pickup", SUMIFS(NewEmisData!J:J, NewEmisData!$A:$A, "Pickup", NewEmisData!$B:$B, $A25, NewEmisData!$C:$C, $H25, NewEmisData!$D:$D, AJ$2), SUMIFS(NewEmisData!J:J, NewEmisData!$A:$A, "LDV", NewEmisData!$B:$B, $A25, NewEmisData!$C:$C, $H25, NewEmisData!$D:$D, AJ$2))</f>
        <v>4.3136734611450098E-3</v>
      </c>
      <c r="AK25" s="324">
        <f>$I25*IF($G25="Pickup", SUMIFS(NewEmisData!K:K, NewEmisData!$A:$A, "Pickup", NewEmisData!$B:$B, $A25, NewEmisData!$C:$C, $H25, NewEmisData!$D:$D, AK$2), SUMIFS(NewEmisData!K:K, NewEmisData!$A:$A, "LDV", NewEmisData!$B:$B, $A25, NewEmisData!$C:$C, $H25, NewEmisData!$D:$D, AK$2))</f>
        <v>4.1291858052272803E-3</v>
      </c>
      <c r="AL25" s="324">
        <f>$I25*IF($G25="Pickup", SUMIFS(NewEmisData!L:L, NewEmisData!$A:$A, "Pickup", NewEmisData!$B:$B, $A25, NewEmisData!$C:$C, $H25, NewEmisData!$D:$D, AL$2), SUMIFS(NewEmisData!L:L, NewEmisData!$A:$A, "LDV", NewEmisData!$B:$B, $A25, NewEmisData!$C:$C, $H25, NewEmisData!$D:$D, AL$2))</f>
        <v>4.0635983922117898E-3</v>
      </c>
      <c r="AM25" s="324">
        <f>$I25*IF($G25="Pickup", SUMIFS(NewEmisData!M:M, NewEmisData!$A:$A, "Pickup", NewEmisData!$B:$B, $A25, NewEmisData!$C:$C, $H25, NewEmisData!$D:$D, AM$2), SUMIFS(NewEmisData!M:M, NewEmisData!$A:$A, "LDV", NewEmisData!$B:$B, $A25, NewEmisData!$C:$C, $H25, NewEmisData!$D:$D, AM$2))</f>
        <v>4.0393864318059199E-3</v>
      </c>
      <c r="AN25" s="324">
        <f t="shared" si="7"/>
        <v>4.0393864318059199E-3</v>
      </c>
      <c r="AO25" s="324">
        <f>$I25*IF($G25="Pickup", SUMIFS(NewEmisData!E:E, NewEmisData!$A:$A, "Pickup", NewEmisData!$B:$B, $A25, NewEmisData!$C:$C, $H25, NewEmisData!$D:$D, AO$2), SUMIFS(NewEmisData!E:E, NewEmisData!$A:$A, "LDV", NewEmisData!$B:$B, $A25, NewEmisData!$C:$C, $H25, NewEmisData!$D:$D, AO$2))</f>
        <v>8.1828643727713493E-2</v>
      </c>
      <c r="AP25" s="324">
        <f>$I25*IF($G25="Pickup", SUMIFS(NewEmisData!F:F, NewEmisData!$A:$A, "Pickup", NewEmisData!$B:$B, $A25, NewEmisData!$C:$C, $H25, NewEmisData!$D:$D, AP$2), SUMIFS(NewEmisData!F:F, NewEmisData!$A:$A, "LDV", NewEmisData!$B:$B, $A25, NewEmisData!$C:$C, $H25, NewEmisData!$D:$D, AP$2))</f>
        <v>7.6175839057221195E-2</v>
      </c>
      <c r="AQ25" s="324">
        <f>$I25*IF($G25="Pickup", SUMIFS(NewEmisData!G:G, NewEmisData!$A:$A, "Pickup", NewEmisData!$B:$B, $A25, NewEmisData!$C:$C, $H25, NewEmisData!$D:$D, AQ$2), SUMIFS(NewEmisData!G:G, NewEmisData!$A:$A, "LDV", NewEmisData!$B:$B, $A25, NewEmisData!$C:$C, $H25, NewEmisData!$D:$D, AQ$2))</f>
        <v>8.1302809072104507E-2</v>
      </c>
      <c r="AR25" s="324">
        <f>$I25*IF($G25="Pickup", SUMIFS(NewEmisData!H:H, NewEmisData!$A:$A, "Pickup", NewEmisData!$B:$B, $A25, NewEmisData!$C:$C, $H25, NewEmisData!$D:$D, AR$2), SUMIFS(NewEmisData!H:H, NewEmisData!$A:$A, "LDV", NewEmisData!$B:$B, $A25, NewEmisData!$C:$C, $H25, NewEmisData!$D:$D, AR$2))</f>
        <v>7.9561688690416299E-2</v>
      </c>
      <c r="AS25" s="324">
        <f>$I25*IF($G25="Pickup", SUMIFS(NewEmisData!I:I, NewEmisData!$A:$A, "Pickup", NewEmisData!$B:$B, $A25, NewEmisData!$C:$C, $H25, NewEmisData!$D:$D, AS$2), SUMIFS(NewEmisData!I:I, NewEmisData!$A:$A, "LDV", NewEmisData!$B:$B, $A25, NewEmisData!$C:$C, $H25, NewEmisData!$D:$D, AS$2))</f>
        <v>7.7910530261031605E-2</v>
      </c>
      <c r="AT25" s="324">
        <f>$I25*IF($G25="Pickup", SUMIFS(NewEmisData!J:J, NewEmisData!$A:$A, "Pickup", NewEmisData!$B:$B, $A25, NewEmisData!$C:$C, $H25, NewEmisData!$D:$D, AT$2), SUMIFS(NewEmisData!J:J, NewEmisData!$A:$A, "LDV", NewEmisData!$B:$B, $A25, NewEmisData!$C:$C, $H25, NewEmisData!$D:$D, AT$2))</f>
        <v>7.6590334474495605E-2</v>
      </c>
      <c r="AU25" s="324">
        <f>$I25*IF($G25="Pickup", SUMIFS(NewEmisData!K:K, NewEmisData!$A:$A, "Pickup", NewEmisData!$B:$B, $A25, NewEmisData!$C:$C, $H25, NewEmisData!$D:$D, AU$2), SUMIFS(NewEmisData!K:K, NewEmisData!$A:$A, "LDV", NewEmisData!$B:$B, $A25, NewEmisData!$C:$C, $H25, NewEmisData!$D:$D, AU$2))</f>
        <v>7.5767938917924701E-2</v>
      </c>
      <c r="AV25" s="324">
        <f>$I25*IF($G25="Pickup", SUMIFS(NewEmisData!L:L, NewEmisData!$A:$A, "Pickup", NewEmisData!$B:$B, $A25, NewEmisData!$C:$C, $H25, NewEmisData!$D:$D, AV$2), SUMIFS(NewEmisData!L:L, NewEmisData!$A:$A, "LDV", NewEmisData!$B:$B, $A25, NewEmisData!$C:$C, $H25, NewEmisData!$D:$D, AV$2))</f>
        <v>7.5353710070808794E-2</v>
      </c>
      <c r="AW25" s="324">
        <f>$I25*IF($G25="Pickup", SUMIFS(NewEmisData!M:M, NewEmisData!$A:$A, "Pickup", NewEmisData!$B:$B, $A25, NewEmisData!$C:$C, $H25, NewEmisData!$D:$D, AW$2), SUMIFS(NewEmisData!M:M, NewEmisData!$A:$A, "LDV", NewEmisData!$B:$B, $A25, NewEmisData!$C:$C, $H25, NewEmisData!$D:$D, AW$2))</f>
        <v>7.5117977052891499E-2</v>
      </c>
      <c r="AX25" s="324">
        <f t="shared" si="8"/>
        <v>7.5117977052891499E-2</v>
      </c>
      <c r="AY25" s="324">
        <f>$I25*IF($G25="Pickup", SUMIFS(NewEmisData!E:E, NewEmisData!$A:$A, "Pickup", NewEmisData!$B:$B, $A25, NewEmisData!$C:$C, $H25, NewEmisData!$D:$D, AY$2), SUMIFS(NewEmisData!E:E, NewEmisData!$A:$A, "LDV", NewEmisData!$B:$B, $A25, NewEmisData!$C:$C, $H25, NewEmisData!$D:$D, AY$2))</f>
        <v>2.1998193760633E-2</v>
      </c>
      <c r="AZ25" s="324">
        <f>$I25*IF($G25="Pickup", SUMIFS(NewEmisData!F:F, NewEmisData!$A:$A, "Pickup", NewEmisData!$B:$B, $A25, NewEmisData!$C:$C, $H25, NewEmisData!$D:$D, AZ$2), SUMIFS(NewEmisData!F:F, NewEmisData!$A:$A, "LDV", NewEmisData!$B:$B, $A25, NewEmisData!$C:$C, $H25, NewEmisData!$D:$D, AZ$2))</f>
        <v>1.6997575378008601E-2</v>
      </c>
      <c r="BA25" s="324">
        <f>$I25*IF($G25="Pickup", SUMIFS(NewEmisData!G:G, NewEmisData!$A:$A, "Pickup", NewEmisData!$B:$B, $A25, NewEmisData!$C:$C, $H25, NewEmisData!$D:$D, BA$2), SUMIFS(NewEmisData!G:G, NewEmisData!$A:$A, "LDV", NewEmisData!$B:$B, $A25, NewEmisData!$C:$C, $H25, NewEmisData!$D:$D, BA$2))</f>
        <v>1.6580879412419602E-2</v>
      </c>
      <c r="BB25" s="324">
        <f>$I25*IF($G25="Pickup", SUMIFS(NewEmisData!H:H, NewEmisData!$A:$A, "Pickup", NewEmisData!$B:$B, $A25, NewEmisData!$C:$C, $H25, NewEmisData!$D:$D, BB$2), SUMIFS(NewEmisData!H:H, NewEmisData!$A:$A, "LDV", NewEmisData!$B:$B, $A25, NewEmisData!$C:$C, $H25, NewEmisData!$D:$D, BB$2))</f>
        <v>1.5040645169031801E-2</v>
      </c>
      <c r="BC25" s="324">
        <f>$I25*IF($G25="Pickup", SUMIFS(NewEmisData!I:I, NewEmisData!$A:$A, "Pickup", NewEmisData!$B:$B, $A25, NewEmisData!$C:$C, $H25, NewEmisData!$D:$D, BC$2), SUMIFS(NewEmisData!I:I, NewEmisData!$A:$A, "LDV", NewEmisData!$B:$B, $A25, NewEmisData!$C:$C, $H25, NewEmisData!$D:$D, BC$2))</f>
        <v>1.35799610150696E-2</v>
      </c>
      <c r="BD25" s="324">
        <f>$I25*IF($G25="Pickup", SUMIFS(NewEmisData!J:J, NewEmisData!$A:$A, "Pickup", NewEmisData!$B:$B, $A25, NewEmisData!$C:$C, $H25, NewEmisData!$D:$D, BD$2), SUMIFS(NewEmisData!J:J, NewEmisData!$A:$A, "LDV", NewEmisData!$B:$B, $A25, NewEmisData!$C:$C, $H25, NewEmisData!$D:$D, BD$2))</f>
        <v>1.24120667817219E-2</v>
      </c>
      <c r="BE25" s="324">
        <f>$I25*IF($G25="Pickup", SUMIFS(NewEmisData!K:K, NewEmisData!$A:$A, "Pickup", NewEmisData!$B:$B, $A25, NewEmisData!$C:$C, $H25, NewEmisData!$D:$D, BE$2), SUMIFS(NewEmisData!K:K, NewEmisData!$A:$A, "LDV", NewEmisData!$B:$B, $A25, NewEmisData!$C:$C, $H25, NewEmisData!$D:$D, BE$2))</f>
        <v>1.16845073314224E-2</v>
      </c>
      <c r="BF25" s="324">
        <f>$I25*IF($G25="Pickup", SUMIFS(NewEmisData!L:L, NewEmisData!$A:$A, "Pickup", NewEmisData!$B:$B, $A25, NewEmisData!$C:$C, $H25, NewEmisData!$D:$D, BF$2), SUMIFS(NewEmisData!L:L, NewEmisData!$A:$A, "LDV", NewEmisData!$B:$B, $A25, NewEmisData!$C:$C, $H25, NewEmisData!$D:$D, BF$2))</f>
        <v>1.1318096390010799E-2</v>
      </c>
      <c r="BG25" s="324">
        <f>$I25*IF($G25="Pickup", SUMIFS(NewEmisData!M:M, NewEmisData!$A:$A, "Pickup", NewEmisData!$B:$B, $A25, NewEmisData!$C:$C, $H25, NewEmisData!$D:$D, BG$2), SUMIFS(NewEmisData!M:M, NewEmisData!$A:$A, "LDV", NewEmisData!$B:$B, $A25, NewEmisData!$C:$C, $H25, NewEmisData!$D:$D, BG$2))</f>
        <v>1.1109456757731499E-2</v>
      </c>
      <c r="BH25" s="324">
        <f t="shared" si="9"/>
        <v>1.1109456757731499E-2</v>
      </c>
      <c r="BI25" s="324">
        <f>$I25*IF($G25="Pickup", SUMIFS(NewEmisData!E:E, NewEmisData!$A:$A, "Pickup", NewEmisData!$B:$B, $A25, NewEmisData!$C:$C, $H25, NewEmisData!$D:$D, BI$2), SUMIFS(NewEmisData!E:E, NewEmisData!$A:$A, "LDV", NewEmisData!$B:$B, $A25, NewEmisData!$C:$C, $H25, NewEmisData!$D:$D, BI$2))</f>
        <v>6.6339830086865597</v>
      </c>
      <c r="BJ25" s="324">
        <f>$I25*IF($G25="Pickup", SUMIFS(NewEmisData!F:F, NewEmisData!$A:$A, "Pickup", NewEmisData!$B:$B, $A25, NewEmisData!$C:$C, $H25, NewEmisData!$D:$D, BJ$2), SUMIFS(NewEmisData!F:F, NewEmisData!$A:$A, "LDV", NewEmisData!$B:$B, $A25, NewEmisData!$C:$C, $H25, NewEmisData!$D:$D, BJ$2))</f>
        <v>3.9206205551931301</v>
      </c>
      <c r="BK25" s="324">
        <f>$I25*IF($G25="Pickup", SUMIFS(NewEmisData!G:G, NewEmisData!$A:$A, "Pickup", NewEmisData!$B:$B, $A25, NewEmisData!$C:$C, $H25, NewEmisData!$D:$D, BK$2), SUMIFS(NewEmisData!G:G, NewEmisData!$A:$A, "LDV", NewEmisData!$B:$B, $A25, NewEmisData!$C:$C, $H25, NewEmisData!$D:$D, BK$2))</f>
        <v>3.0174466275096199</v>
      </c>
      <c r="BL25" s="324">
        <f>$I25*IF($G25="Pickup", SUMIFS(NewEmisData!H:H, NewEmisData!$A:$A, "Pickup", NewEmisData!$B:$B, $A25, NewEmisData!$C:$C, $H25, NewEmisData!$D:$D, BL$2), SUMIFS(NewEmisData!H:H, NewEmisData!$A:$A, "LDV", NewEmisData!$B:$B, $A25, NewEmisData!$C:$C, $H25, NewEmisData!$D:$D, BL$2))</f>
        <v>2.3529221673804699</v>
      </c>
      <c r="BM25" s="324">
        <f>$I25*IF($G25="Pickup", SUMIFS(NewEmisData!I:I, NewEmisData!$A:$A, "Pickup", NewEmisData!$B:$B, $A25, NewEmisData!$C:$C, $H25, NewEmisData!$D:$D, BM$2), SUMIFS(NewEmisData!I:I, NewEmisData!$A:$A, "LDV", NewEmisData!$B:$B, $A25, NewEmisData!$C:$C, $H25, NewEmisData!$D:$D, BM$2))</f>
        <v>1.70384058027793</v>
      </c>
      <c r="BN25" s="324">
        <f>$I25*IF($G25="Pickup", SUMIFS(NewEmisData!J:J, NewEmisData!$A:$A, "Pickup", NewEmisData!$B:$B, $A25, NewEmisData!$C:$C, $H25, NewEmisData!$D:$D, BN$2), SUMIFS(NewEmisData!J:J, NewEmisData!$A:$A, "LDV", NewEmisData!$B:$B, $A25, NewEmisData!$C:$C, $H25, NewEmisData!$D:$D, BN$2))</f>
        <v>1.3463730618004399</v>
      </c>
      <c r="BO25" s="324">
        <f>$I25*IF($G25="Pickup", SUMIFS(NewEmisData!K:K, NewEmisData!$A:$A, "Pickup", NewEmisData!$B:$B, $A25, NewEmisData!$C:$C, $H25, NewEmisData!$D:$D, BO$2), SUMIFS(NewEmisData!K:K, NewEmisData!$A:$A, "LDV", NewEmisData!$B:$B, $A25, NewEmisData!$C:$C, $H25, NewEmisData!$D:$D, BO$2))</f>
        <v>1.1858346520835299</v>
      </c>
      <c r="BP25" s="324">
        <f>$I25*IF($G25="Pickup", SUMIFS(NewEmisData!L:L, NewEmisData!$A:$A, "Pickup", NewEmisData!$B:$B, $A25, NewEmisData!$C:$C, $H25, NewEmisData!$D:$D, BP$2), SUMIFS(NewEmisData!L:L, NewEmisData!$A:$A, "LDV", NewEmisData!$B:$B, $A25, NewEmisData!$C:$C, $H25, NewEmisData!$D:$D, BP$2))</f>
        <v>1.1335061554616499</v>
      </c>
      <c r="BQ25" s="324">
        <f>$I25*IF($G25="Pickup", SUMIFS(NewEmisData!M:M, NewEmisData!$A:$A, "Pickup", NewEmisData!$B:$B, $A25, NewEmisData!$C:$C, $H25, NewEmisData!$D:$D, BQ$2), SUMIFS(NewEmisData!M:M, NewEmisData!$A:$A, "LDV", NewEmisData!$B:$B, $A25, NewEmisData!$C:$C, $H25, NewEmisData!$D:$D, BQ$2))</f>
        <v>1.1009029054349999</v>
      </c>
      <c r="BR25" s="324">
        <f t="shared" si="10"/>
        <v>1.1009029054349999</v>
      </c>
      <c r="BS25" s="324">
        <f>$I25*IF($G25="Pickup", SUMIFS(NewEmisData!E:E, NewEmisData!$A:$A, "Pickup", NewEmisData!$B:$B, $A25, NewEmisData!$C:$C, $H25, NewEmisData!$D:$D, BS$2), SUMIFS(NewEmisData!E:E, NewEmisData!$A:$A, "LDV", NewEmisData!$B:$B, $A25, NewEmisData!$C:$C, $H25, NewEmisData!$D:$D, BS$2))</f>
        <v>0.77473150733664098</v>
      </c>
      <c r="BT25" s="324">
        <f>$I25*IF($G25="Pickup", SUMIFS(NewEmisData!F:F, NewEmisData!$A:$A, "Pickup", NewEmisData!$B:$B, $A25, NewEmisData!$C:$C, $H25, NewEmisData!$D:$D, BT$2), SUMIFS(NewEmisData!F:F, NewEmisData!$A:$A, "LDV", NewEmisData!$B:$B, $A25, NewEmisData!$C:$C, $H25, NewEmisData!$D:$D, BT$2))</f>
        <v>0.41904908416840297</v>
      </c>
      <c r="BU25" s="324">
        <f>$I25*IF($G25="Pickup", SUMIFS(NewEmisData!G:G, NewEmisData!$A:$A, "Pickup", NewEmisData!$B:$B, $A25, NewEmisData!$C:$C, $H25, NewEmisData!$D:$D, BU$2), SUMIFS(NewEmisData!G:G, NewEmisData!$A:$A, "LDV", NewEmisData!$B:$B, $A25, NewEmisData!$C:$C, $H25, NewEmisData!$D:$D, BU$2))</f>
        <v>0.30982899515166501</v>
      </c>
      <c r="BV25" s="324">
        <f>$I25*IF($G25="Pickup", SUMIFS(NewEmisData!H:H, NewEmisData!$A:$A, "Pickup", NewEmisData!$B:$B, $A25, NewEmisData!$C:$C, $H25, NewEmisData!$D:$D, BV$2), SUMIFS(NewEmisData!H:H, NewEmisData!$A:$A, "LDV", NewEmisData!$B:$B, $A25, NewEmisData!$C:$C, $H25, NewEmisData!$D:$D, BV$2))</f>
        <v>0.25046259079934602</v>
      </c>
      <c r="BW25" s="324">
        <f>$I25*IF($G25="Pickup", SUMIFS(NewEmisData!I:I, NewEmisData!$A:$A, "Pickup", NewEmisData!$B:$B, $A25, NewEmisData!$C:$C, $H25, NewEmisData!$D:$D, BW$2), SUMIFS(NewEmisData!I:I, NewEmisData!$A:$A, "LDV", NewEmisData!$B:$B, $A25, NewEmisData!$C:$C, $H25, NewEmisData!$D:$D, BW$2))</f>
        <v>0.18616224227516101</v>
      </c>
      <c r="BX25" s="324">
        <f>$I25*IF($G25="Pickup", SUMIFS(NewEmisData!J:J, NewEmisData!$A:$A, "Pickup", NewEmisData!$B:$B, $A25, NewEmisData!$C:$C, $H25, NewEmisData!$D:$D, BX$2), SUMIFS(NewEmisData!J:J, NewEmisData!$A:$A, "LDV", NewEmisData!$B:$B, $A25, NewEmisData!$C:$C, $H25, NewEmisData!$D:$D, BX$2))</f>
        <v>0.15683046751729501</v>
      </c>
      <c r="BY25" s="324">
        <f>$I25*IF($G25="Pickup", SUMIFS(NewEmisData!K:K, NewEmisData!$A:$A, "Pickup", NewEmisData!$B:$B, $A25, NewEmisData!$C:$C, $H25, NewEmisData!$D:$D, BY$2), SUMIFS(NewEmisData!K:K, NewEmisData!$A:$A, "LDV", NewEmisData!$B:$B, $A25, NewEmisData!$C:$C, $H25, NewEmisData!$D:$D, BY$2))</f>
        <v>0.14094000257929501</v>
      </c>
      <c r="BZ25" s="324">
        <f>$I25*IF($G25="Pickup", SUMIFS(NewEmisData!L:L, NewEmisData!$A:$A, "Pickup", NewEmisData!$B:$B, $A25, NewEmisData!$C:$C, $H25, NewEmisData!$D:$D, BZ$2), SUMIFS(NewEmisData!L:L, NewEmisData!$A:$A, "LDV", NewEmisData!$B:$B, $A25, NewEmisData!$C:$C, $H25, NewEmisData!$D:$D, BZ$2))</f>
        <v>0.134774071356623</v>
      </c>
      <c r="CA25" s="324">
        <f>$I25*IF($G25="Pickup", SUMIFS(NewEmisData!M:M, NewEmisData!$A:$A, "Pickup", NewEmisData!$B:$B, $A25, NewEmisData!$C:$C, $H25, NewEmisData!$D:$D, CA$2), SUMIFS(NewEmisData!M:M, NewEmisData!$A:$A, "LDV", NewEmisData!$B:$B, $A25, NewEmisData!$C:$C, $H25, NewEmisData!$D:$D, CA$2))</f>
        <v>0.12984032725640701</v>
      </c>
      <c r="CB25" s="324">
        <f t="shared" si="11"/>
        <v>0.12984032725640701</v>
      </c>
      <c r="CC25" s="324">
        <f>$I25*IF($G25="Pickup", SUMIFS(NewEmisData!E:E, NewEmisData!$A:$A, "Pickup", NewEmisData!$B:$B, $A25, NewEmisData!$C:$C, $H25, NewEmisData!$D:$D, CC$2), SUMIFS(NewEmisData!E:E, NewEmisData!$A:$A, "LDV", NewEmisData!$B:$B, $A25, NewEmisData!$C:$C, $H25, NewEmisData!$D:$D, CC$2))</f>
        <v>4.52789246362666E-2</v>
      </c>
      <c r="CD25" s="324">
        <f>$I25*IF($G25="Pickup", SUMIFS(NewEmisData!F:F, NewEmisData!$A:$A, "Pickup", NewEmisData!$B:$B, $A25, NewEmisData!$C:$C, $H25, NewEmisData!$D:$D, CD$2), SUMIFS(NewEmisData!F:F, NewEmisData!$A:$A, "LDV", NewEmisData!$B:$B, $A25, NewEmisData!$C:$C, $H25, NewEmisData!$D:$D, CD$2))</f>
        <v>3.0659932051567799E-2</v>
      </c>
      <c r="CE25" s="324">
        <f>$I25*IF($G25="Pickup", SUMIFS(NewEmisData!G:G, NewEmisData!$A:$A, "Pickup", NewEmisData!$B:$B, $A25, NewEmisData!$C:$C, $H25, NewEmisData!$D:$D, CE$2), SUMIFS(NewEmisData!G:G, NewEmisData!$A:$A, "LDV", NewEmisData!$B:$B, $A25, NewEmisData!$C:$C, $H25, NewEmisData!$D:$D, CE$2))</f>
        <v>2.8386595157116199E-2</v>
      </c>
      <c r="CF25" s="324">
        <f>$I25*IF($G25="Pickup", SUMIFS(NewEmisData!H:H, NewEmisData!$A:$A, "Pickup", NewEmisData!$B:$B, $A25, NewEmisData!$C:$C, $H25, NewEmisData!$D:$D, CF$2), SUMIFS(NewEmisData!H:H, NewEmisData!$A:$A, "LDV", NewEmisData!$B:$B, $A25, NewEmisData!$C:$C, $H25, NewEmisData!$D:$D, CF$2))</f>
        <v>2.7093413499500101E-2</v>
      </c>
      <c r="CG25" s="324">
        <f>$I25*IF($G25="Pickup", SUMIFS(NewEmisData!I:I, NewEmisData!$A:$A, "Pickup", NewEmisData!$B:$B, $A25, NewEmisData!$C:$C, $H25, NewEmisData!$D:$D, CG$2), SUMIFS(NewEmisData!I:I, NewEmisData!$A:$A, "LDV", NewEmisData!$B:$B, $A25, NewEmisData!$C:$C, $H25, NewEmisData!$D:$D, CG$2))</f>
        <v>2.6239574855980601E-2</v>
      </c>
      <c r="CH25" s="324">
        <f>$I25*IF($G25="Pickup", SUMIFS(NewEmisData!J:J, NewEmisData!$A:$A, "Pickup", NewEmisData!$B:$B, $A25, NewEmisData!$C:$C, $H25, NewEmisData!$D:$D, CH$2), SUMIFS(NewEmisData!J:J, NewEmisData!$A:$A, "LDV", NewEmisData!$B:$B, $A25, NewEmisData!$C:$C, $H25, NewEmisData!$D:$D, CH$2))</f>
        <v>2.5564245202349602E-2</v>
      </c>
      <c r="CI25" s="324">
        <f>$I25*IF($G25="Pickup", SUMIFS(NewEmisData!K:K, NewEmisData!$A:$A, "Pickup", NewEmisData!$B:$B, $A25, NewEmisData!$C:$C, $H25, NewEmisData!$D:$D, CI$2), SUMIFS(NewEmisData!K:K, NewEmisData!$A:$A, "LDV", NewEmisData!$B:$B, $A25, NewEmisData!$C:$C, $H25, NewEmisData!$D:$D, CI$2))</f>
        <v>2.5562136009582501E-2</v>
      </c>
      <c r="CJ25" s="324">
        <f>$I25*IF($G25="Pickup", SUMIFS(NewEmisData!L:L, NewEmisData!$A:$A, "Pickup", NewEmisData!$B:$B, $A25, NewEmisData!$C:$C, $H25, NewEmisData!$D:$D, CJ$2), SUMIFS(NewEmisData!L:L, NewEmisData!$A:$A, "LDV", NewEmisData!$B:$B, $A25, NewEmisData!$C:$C, $H25, NewEmisData!$D:$D, CJ$2))</f>
        <v>2.5561539762266602E-2</v>
      </c>
      <c r="CK25" s="324">
        <f>$I25*IF($G25="Pickup", SUMIFS(NewEmisData!M:M, NewEmisData!$A:$A, "Pickup", NewEmisData!$B:$B, $A25, NewEmisData!$C:$C, $H25, NewEmisData!$D:$D, CK$2), SUMIFS(NewEmisData!M:M, NewEmisData!$A:$A, "LDV", NewEmisData!$B:$B, $A25, NewEmisData!$C:$C, $H25, NewEmisData!$D:$D, CK$2))</f>
        <v>2.5560994254839702E-2</v>
      </c>
      <c r="CL25" s="324">
        <f t="shared" si="12"/>
        <v>2.5560994254839702E-2</v>
      </c>
      <c r="CM25" s="324">
        <f>$I25*IF($G25="Pickup", SUMIFS(NewEmisData!E:E, NewEmisData!$A:$A, "Pickup", NewEmisData!$B:$B, $A25, NewEmisData!$C:$C, $H25, NewEmisData!$D:$D, CM$2), SUMIFS(NewEmisData!E:E, NewEmisData!$A:$A, "LDV", NewEmisData!$B:$B, $A25, NewEmisData!$C:$C, $H25, NewEmisData!$D:$D, CM$2))</f>
        <v>2.2616228111616499E-2</v>
      </c>
      <c r="CN25" s="324">
        <f>$I25*IF($G25="Pickup", SUMIFS(NewEmisData!F:F, NewEmisData!$A:$A, "Pickup", NewEmisData!$B:$B, $A25, NewEmisData!$C:$C, $H25, NewEmisData!$D:$D, CN$2), SUMIFS(NewEmisData!F:F, NewEmisData!$A:$A, "LDV", NewEmisData!$B:$B, $A25, NewEmisData!$C:$C, $H25, NewEmisData!$D:$D, CN$2))</f>
        <v>1.37039938381133E-2</v>
      </c>
      <c r="CO25" s="324">
        <f>$I25*IF($G25="Pickup", SUMIFS(NewEmisData!G:G, NewEmisData!$A:$A, "Pickup", NewEmisData!$B:$B, $A25, NewEmisData!$C:$C, $H25, NewEmisData!$D:$D, CO$2), SUMIFS(NewEmisData!G:G, NewEmisData!$A:$A, "LDV", NewEmisData!$B:$B, $A25, NewEmisData!$C:$C, $H25, NewEmisData!$D:$D, CO$2))</f>
        <v>1.11279535576189E-2</v>
      </c>
      <c r="CP25" s="324">
        <f>$I25*IF($G25="Pickup", SUMIFS(NewEmisData!H:H, NewEmisData!$A:$A, "Pickup", NewEmisData!$B:$B, $A25, NewEmisData!$C:$C, $H25, NewEmisData!$D:$D, CP$2), SUMIFS(NewEmisData!H:H, NewEmisData!$A:$A, "LDV", NewEmisData!$B:$B, $A25, NewEmisData!$C:$C, $H25, NewEmisData!$D:$D, CP$2))</f>
        <v>9.1642249406405796E-3</v>
      </c>
      <c r="CQ25" s="324">
        <f>$I25*IF($G25="Pickup", SUMIFS(NewEmisData!I:I, NewEmisData!$A:$A, "Pickup", NewEmisData!$B:$B, $A25, NewEmisData!$C:$C, $H25, NewEmisData!$D:$D, CQ$2), SUMIFS(NewEmisData!I:I, NewEmisData!$A:$A, "LDV", NewEmisData!$B:$B, $A25, NewEmisData!$C:$C, $H25, NewEmisData!$D:$D, CQ$2))</f>
        <v>8.2157407295701708E-3</v>
      </c>
      <c r="CR25" s="324">
        <f>$I25*IF($G25="Pickup", SUMIFS(NewEmisData!J:J, NewEmisData!$A:$A, "Pickup", NewEmisData!$B:$B, $A25, NewEmisData!$C:$C, $H25, NewEmisData!$D:$D, CR$2), SUMIFS(NewEmisData!J:J, NewEmisData!$A:$A, "LDV", NewEmisData!$B:$B, $A25, NewEmisData!$C:$C, $H25, NewEmisData!$D:$D, CR$2))</f>
        <v>7.8051702943740097E-3</v>
      </c>
      <c r="CS25" s="324">
        <f>$I25*IF($G25="Pickup", SUMIFS(NewEmisData!K:K, NewEmisData!$A:$A, "Pickup", NewEmisData!$B:$B, $A25, NewEmisData!$C:$C, $H25, NewEmisData!$D:$D, CS$2), SUMIFS(NewEmisData!K:K, NewEmisData!$A:$A, "LDV", NewEmisData!$B:$B, $A25, NewEmisData!$C:$C, $H25, NewEmisData!$D:$D, CS$2))</f>
        <v>7.7607552788062101E-3</v>
      </c>
      <c r="CT25" s="324">
        <f>$I25*IF($G25="Pickup", SUMIFS(NewEmisData!L:L, NewEmisData!$A:$A, "Pickup", NewEmisData!$B:$B, $A25, NewEmisData!$C:$C, $H25, NewEmisData!$D:$D, CT$2), SUMIFS(NewEmisData!L:L, NewEmisData!$A:$A, "LDV", NewEmisData!$B:$B, $A25, NewEmisData!$C:$C, $H25, NewEmisData!$D:$D, CT$2))</f>
        <v>7.6883348823828098E-3</v>
      </c>
      <c r="CU25" s="324">
        <f>$I25*IF($G25="Pickup", SUMIFS(NewEmisData!M:M, NewEmisData!$A:$A, "Pickup", NewEmisData!$B:$B, $A25, NewEmisData!$C:$C, $H25, NewEmisData!$D:$D, CU$2), SUMIFS(NewEmisData!M:M, NewEmisData!$A:$A, "LDV", NewEmisData!$B:$B, $A25, NewEmisData!$C:$C, $H25, NewEmisData!$D:$D, CU$2))</f>
        <v>7.6878848286885603E-3</v>
      </c>
      <c r="CV25" s="324">
        <f t="shared" si="13"/>
        <v>7.6878848286885603E-3</v>
      </c>
      <c r="CW25" s="324">
        <v>3.0448046675121709E-3</v>
      </c>
      <c r="CX25" s="324">
        <v>1.8865908720768221E-3</v>
      </c>
      <c r="CY25" s="324">
        <v>1.5570268485524494E-3</v>
      </c>
      <c r="CZ25" s="324">
        <v>1.2432183416122382E-3</v>
      </c>
      <c r="DA25" s="324">
        <v>9.252251866281976E-4</v>
      </c>
      <c r="DB25" s="324">
        <v>7.2309456596024934E-4</v>
      </c>
      <c r="DC25" s="324">
        <v>6.8940706870607876E-4</v>
      </c>
      <c r="DD25" s="324">
        <v>6.844148428615973E-4</v>
      </c>
      <c r="DE25" s="324">
        <v>6.8634617396886091E-4</v>
      </c>
      <c r="DF25" s="324">
        <v>6.8634617396886091E-4</v>
      </c>
      <c r="DG25" s="324">
        <f>$I25*IF($G25="Pickup", SUMIFS(NewEmisData!E:E, NewEmisData!$A:$A, "Pickup", NewEmisData!$B:$B, $A25, NewEmisData!$C:$C, $H25, NewEmisData!$D:$D, DG$2), SUMIFS(NewEmisData!E:E, NewEmisData!$A:$A, "LDV", NewEmisData!$B:$B, $A25, NewEmisData!$C:$C, $H25, NewEmisData!$D:$D, DG$2))</f>
        <v>0</v>
      </c>
      <c r="DH25" s="324">
        <f>$I25*IF($G25="Pickup", SUMIFS(NewEmisData!F:F, NewEmisData!$A:$A, "Pickup", NewEmisData!$B:$B, $A25, NewEmisData!$C:$C, $H25, NewEmisData!$D:$D, DH$2), SUMIFS(NewEmisData!F:F, NewEmisData!$A:$A, "LDV", NewEmisData!$B:$B, $A25, NewEmisData!$C:$C, $H25, NewEmisData!$D:$D, DH$2))</f>
        <v>0</v>
      </c>
      <c r="DI25" s="324">
        <f>$I25*IF($G25="Pickup", SUMIFS(NewEmisData!G:G, NewEmisData!$A:$A, "Pickup", NewEmisData!$B:$B, $A25, NewEmisData!$C:$C, $H25, NewEmisData!$D:$D, DI$2), SUMIFS(NewEmisData!G:G, NewEmisData!$A:$A, "LDV", NewEmisData!$B:$B, $A25, NewEmisData!$C:$C, $H25, NewEmisData!$D:$D, DI$2))</f>
        <v>0</v>
      </c>
      <c r="DJ25" s="324">
        <f>$I25*IF($G25="Pickup", SUMIFS(NewEmisData!H:H, NewEmisData!$A:$A, "Pickup", NewEmisData!$B:$B, $A25, NewEmisData!$C:$C, $H25, NewEmisData!$D:$D, DJ$2), SUMIFS(NewEmisData!H:H, NewEmisData!$A:$A, "LDV", NewEmisData!$B:$B, $A25, NewEmisData!$C:$C, $H25, NewEmisData!$D:$D, DJ$2))</f>
        <v>0</v>
      </c>
      <c r="DK25" s="324">
        <f>$I25*IF($G25="Pickup", SUMIFS(NewEmisData!I:I, NewEmisData!$A:$A, "Pickup", NewEmisData!$B:$B, $A25, NewEmisData!$C:$C, $H25, NewEmisData!$D:$D, DK$2), SUMIFS(NewEmisData!I:I, NewEmisData!$A:$A, "LDV", NewEmisData!$B:$B, $A25, NewEmisData!$C:$C, $H25, NewEmisData!$D:$D, DK$2))</f>
        <v>0</v>
      </c>
      <c r="DL25" s="324">
        <f>$I25*IF($G25="Pickup", SUMIFS(NewEmisData!J:J, NewEmisData!$A:$A, "Pickup", NewEmisData!$B:$B, $A25, NewEmisData!$C:$C, $H25, NewEmisData!$D:$D, DL$2), SUMIFS(NewEmisData!J:J, NewEmisData!$A:$A, "LDV", NewEmisData!$B:$B, $A25, NewEmisData!$C:$C, $H25, NewEmisData!$D:$D, DL$2))</f>
        <v>0</v>
      </c>
      <c r="DM25" s="324">
        <f>$I25*IF($G25="Pickup", SUMIFS(NewEmisData!K:K, NewEmisData!$A:$A, "Pickup", NewEmisData!$B:$B, $A25, NewEmisData!$C:$C, $H25, NewEmisData!$D:$D, DM$2), SUMIFS(NewEmisData!K:K, NewEmisData!$A:$A, "LDV", NewEmisData!$B:$B, $A25, NewEmisData!$C:$C, $H25, NewEmisData!$D:$D, DM$2))</f>
        <v>0</v>
      </c>
      <c r="DN25" s="324">
        <f>$I25*IF($G25="Pickup", SUMIFS(NewEmisData!L:L, NewEmisData!$A:$A, "Pickup", NewEmisData!$B:$B, $A25, NewEmisData!$C:$C, $H25, NewEmisData!$D:$D, DN$2), SUMIFS(NewEmisData!L:L, NewEmisData!$A:$A, "LDV", NewEmisData!$B:$B, $A25, NewEmisData!$C:$C, $H25, NewEmisData!$D:$D, DN$2))</f>
        <v>0</v>
      </c>
      <c r="DO25" s="324">
        <f>$I25*IF($G25="Pickup", SUMIFS(NewEmisData!M:M, NewEmisData!$A:$A, "Pickup", NewEmisData!$B:$B, $A25, NewEmisData!$C:$C, $H25, NewEmisData!$D:$D, DO$2), SUMIFS(NewEmisData!M:M, NewEmisData!$A:$A, "LDV", NewEmisData!$B:$B, $A25, NewEmisData!$C:$C, $H25, NewEmisData!$D:$D, DO$2))</f>
        <v>0</v>
      </c>
      <c r="DP25" s="324">
        <f t="shared" si="14"/>
        <v>0</v>
      </c>
      <c r="DQ25" s="324">
        <f>$I25*IF($G25="Pickup", SUMIFS(NewEmisData!E:E, NewEmisData!$A:$A, "Pickup", NewEmisData!$B:$B, $A25, NewEmisData!$C:$C, $H25, NewEmisData!$D:$D, DQ$2), SUMIFS(NewEmisData!E:E, NewEmisData!$A:$A, "LDV", NewEmisData!$B:$B, $A25, NewEmisData!$C:$C, $H25, NewEmisData!$D:$D, DQ$2))</f>
        <v>1.53337301393982E-2</v>
      </c>
      <c r="DR25" s="324">
        <f>$I25*IF($G25="Pickup", SUMIFS(NewEmisData!F:F, NewEmisData!$A:$A, "Pickup", NewEmisData!$B:$B, $A25, NewEmisData!$C:$C, $H25, NewEmisData!$D:$D, DR$2), SUMIFS(NewEmisData!F:F, NewEmisData!$A:$A, "LDV", NewEmisData!$B:$B, $A25, NewEmisData!$C:$C, $H25, NewEmisData!$D:$D, DR$2))</f>
        <v>8.5791399504283501E-3</v>
      </c>
      <c r="DS25" s="324">
        <f>$I25*IF($G25="Pickup", SUMIFS(NewEmisData!G:G, NewEmisData!$A:$A, "Pickup", NewEmisData!$B:$B, $A25, NewEmisData!$C:$C, $H25, NewEmisData!$D:$D, DS$2), SUMIFS(NewEmisData!G:G, NewEmisData!$A:$A, "LDV", NewEmisData!$B:$B, $A25, NewEmisData!$C:$C, $H25, NewEmisData!$D:$D, DS$2))</f>
        <v>6.82614050243104E-3</v>
      </c>
      <c r="DT25" s="324">
        <f>$I25*IF($G25="Pickup", SUMIFS(NewEmisData!H:H, NewEmisData!$A:$A, "Pickup", NewEmisData!$B:$B, $A25, NewEmisData!$C:$C, $H25, NewEmisData!$D:$D, DT$2), SUMIFS(NewEmisData!H:H, NewEmisData!$A:$A, "LDV", NewEmisData!$B:$B, $A25, NewEmisData!$C:$C, $H25, NewEmisData!$D:$D, DT$2))</f>
        <v>5.2306090144423403E-3</v>
      </c>
      <c r="DU25" s="324">
        <f>$I25*IF($G25="Pickup", SUMIFS(NewEmisData!I:I, NewEmisData!$A:$A, "Pickup", NewEmisData!$B:$B, $A25, NewEmisData!$C:$C, $H25, NewEmisData!$D:$D, DU$2), SUMIFS(NewEmisData!I:I, NewEmisData!$A:$A, "LDV", NewEmisData!$B:$B, $A25, NewEmisData!$C:$C, $H25, NewEmisData!$D:$D, DU$2))</f>
        <v>4.0991034424651901E-3</v>
      </c>
      <c r="DV25" s="324">
        <f>$I25*IF($G25="Pickup", SUMIFS(NewEmisData!J:J, NewEmisData!$A:$A, "Pickup", NewEmisData!$B:$B, $A25, NewEmisData!$C:$C, $H25, NewEmisData!$D:$D, DV$2), SUMIFS(NewEmisData!J:J, NewEmisData!$A:$A, "LDV", NewEmisData!$B:$B, $A25, NewEmisData!$C:$C, $H25, NewEmisData!$D:$D, DV$2))</f>
        <v>3.5909983676119801E-3</v>
      </c>
      <c r="DW25" s="324">
        <f>$I25*IF($G25="Pickup", SUMIFS(NewEmisData!K:K, NewEmisData!$A:$A, "Pickup", NewEmisData!$B:$B, $A25, NewEmisData!$C:$C, $H25, NewEmisData!$D:$D, DW$2), SUMIFS(NewEmisData!K:K, NewEmisData!$A:$A, "LDV", NewEmisData!$B:$B, $A25, NewEmisData!$C:$C, $H25, NewEmisData!$D:$D, DW$2))</f>
        <v>3.3016556899443999E-3</v>
      </c>
      <c r="DX25" s="324">
        <f>$I25*IF($G25="Pickup", SUMIFS(NewEmisData!L:L, NewEmisData!$A:$A, "Pickup", NewEmisData!$B:$B, $A25, NewEmisData!$C:$C, $H25, NewEmisData!$D:$D, DX$2), SUMIFS(NewEmisData!L:L, NewEmisData!$A:$A, "LDV", NewEmisData!$B:$B, $A25, NewEmisData!$C:$C, $H25, NewEmisData!$D:$D, DX$2))</f>
        <v>3.2097040973390598E-3</v>
      </c>
      <c r="DY25" s="324">
        <f>$I25*IF($G25="Pickup", SUMIFS(NewEmisData!M:M, NewEmisData!$A:$A, "Pickup", NewEmisData!$B:$B, $A25, NewEmisData!$C:$C, $H25, NewEmisData!$D:$D, DY$2), SUMIFS(NewEmisData!M:M, NewEmisData!$A:$A, "LDV", NewEmisData!$B:$B, $A25, NewEmisData!$C:$C, $H25, NewEmisData!$D:$D, DY$2))</f>
        <v>3.1631494921928599E-3</v>
      </c>
      <c r="DZ25" s="324">
        <f t="shared" si="15"/>
        <v>3.1631494921928599E-3</v>
      </c>
      <c r="EA25" s="324">
        <f t="shared" si="16"/>
        <v>477.08587282575797</v>
      </c>
      <c r="EB25" s="324">
        <f t="shared" si="17"/>
        <v>459.34104292251902</v>
      </c>
      <c r="EC25" s="324">
        <f t="shared" si="18"/>
        <v>447.45896927637102</v>
      </c>
      <c r="ED25" s="324">
        <f t="shared" si="19"/>
        <v>380.72392677964001</v>
      </c>
      <c r="EE25" s="324">
        <f t="shared" si="20"/>
        <v>329.54737069801098</v>
      </c>
      <c r="EF25" s="324">
        <f t="shared" si="21"/>
        <v>300.69829568412598</v>
      </c>
      <c r="EG25" s="324">
        <f t="shared" si="22"/>
        <v>287.83799703632701</v>
      </c>
      <c r="EH25" s="324">
        <f t="shared" si="23"/>
        <v>283.26610797837998</v>
      </c>
      <c r="EI25" s="324">
        <f t="shared" si="24"/>
        <v>281.57834098528099</v>
      </c>
      <c r="EJ25" s="324">
        <f t="shared" si="25"/>
        <v>281.57834098528099</v>
      </c>
      <c r="EK25" s="324">
        <f t="shared" si="26"/>
        <v>0.82339103642645395</v>
      </c>
      <c r="EL25" s="324">
        <f t="shared" si="27"/>
        <v>0.360872733315452</v>
      </c>
      <c r="EM25" s="324">
        <f t="shared" si="28"/>
        <v>0.21658171178065999</v>
      </c>
      <c r="EN25" s="324">
        <f t="shared" si="29"/>
        <v>0.14200533002195401</v>
      </c>
      <c r="EO25" s="324">
        <f t="shared" si="30"/>
        <v>8.8016804659711706E-2</v>
      </c>
      <c r="EP25" s="324">
        <f t="shared" si="31"/>
        <v>6.5736379947852003E-2</v>
      </c>
      <c r="EQ25" s="324">
        <f t="shared" si="32"/>
        <v>5.6635638117250503E-2</v>
      </c>
      <c r="ER25" s="324">
        <f t="shared" si="33"/>
        <v>5.4115247223223299E-2</v>
      </c>
      <c r="ES25" s="324">
        <f t="shared" si="34"/>
        <v>5.2826207223764E-2</v>
      </c>
      <c r="ET25" s="324">
        <f t="shared" si="35"/>
        <v>5.2826207223764E-2</v>
      </c>
      <c r="EU25" s="324">
        <f t="shared" si="36"/>
        <v>8.2552586035919695E-3</v>
      </c>
      <c r="EV25" s="324">
        <f t="shared" si="37"/>
        <v>7.9482131517538395E-3</v>
      </c>
      <c r="EW25" s="324">
        <f t="shared" si="38"/>
        <v>6.4190305556059996E-3</v>
      </c>
      <c r="EX25" s="324">
        <f t="shared" si="39"/>
        <v>5.4616828003907899E-3</v>
      </c>
      <c r="EY25" s="324">
        <f t="shared" si="40"/>
        <v>4.7275285851957304E-3</v>
      </c>
      <c r="EZ25" s="324">
        <f t="shared" si="41"/>
        <v>4.3136734611450098E-3</v>
      </c>
      <c r="FA25" s="324">
        <f t="shared" si="42"/>
        <v>4.1291858052272803E-3</v>
      </c>
      <c r="FB25" s="324">
        <f t="shared" si="43"/>
        <v>4.0635983922117898E-3</v>
      </c>
      <c r="FC25" s="324">
        <f t="shared" si="44"/>
        <v>4.0393864318059199E-3</v>
      </c>
      <c r="FD25" s="324">
        <f t="shared" si="45"/>
        <v>4.0393864318059199E-3</v>
      </c>
      <c r="FE25" s="324">
        <f t="shared" si="46"/>
        <v>8.1828643727713493E-2</v>
      </c>
      <c r="FF25" s="324">
        <f t="shared" si="47"/>
        <v>7.6175839057221195E-2</v>
      </c>
      <c r="FG25" s="324">
        <f t="shared" si="48"/>
        <v>8.1302809072104507E-2</v>
      </c>
      <c r="FH25" s="324">
        <f t="shared" si="49"/>
        <v>7.9561688690416299E-2</v>
      </c>
      <c r="FI25" s="324">
        <f t="shared" si="50"/>
        <v>7.7910530261031605E-2</v>
      </c>
      <c r="FJ25" s="324">
        <f t="shared" si="51"/>
        <v>7.6590334474495605E-2</v>
      </c>
      <c r="FK25" s="324">
        <f t="shared" si="52"/>
        <v>7.5767938917924701E-2</v>
      </c>
      <c r="FL25" s="324">
        <f t="shared" si="53"/>
        <v>7.5353710070808794E-2</v>
      </c>
      <c r="FM25" s="324">
        <f t="shared" si="54"/>
        <v>7.5117977052891499E-2</v>
      </c>
      <c r="FN25" s="324">
        <f t="shared" si="55"/>
        <v>7.5117977052891499E-2</v>
      </c>
      <c r="FO25" s="324">
        <f t="shared" si="56"/>
        <v>2.1998193760633E-2</v>
      </c>
      <c r="FP25" s="324">
        <f t="shared" si="57"/>
        <v>1.6997575378008601E-2</v>
      </c>
      <c r="FQ25" s="324">
        <f t="shared" si="58"/>
        <v>1.6580879412419602E-2</v>
      </c>
      <c r="FR25" s="324">
        <f t="shared" si="59"/>
        <v>1.5040645169031801E-2</v>
      </c>
      <c r="FS25" s="324">
        <f t="shared" si="60"/>
        <v>1.35799610150696E-2</v>
      </c>
      <c r="FT25" s="324">
        <f t="shared" si="61"/>
        <v>1.24120667817219E-2</v>
      </c>
      <c r="FU25" s="324">
        <f t="shared" si="62"/>
        <v>1.16845073314224E-2</v>
      </c>
      <c r="FV25" s="324">
        <f t="shared" si="63"/>
        <v>1.1318096390010799E-2</v>
      </c>
      <c r="FW25" s="324">
        <f t="shared" si="64"/>
        <v>1.1109456757731499E-2</v>
      </c>
      <c r="FX25" s="324">
        <f t="shared" si="65"/>
        <v>1.1109456757731499E-2</v>
      </c>
    </row>
    <row r="26" spans="1:180" x14ac:dyDescent="0.2">
      <c r="A26" s="298" t="str">
        <f>_xlfn.CONCAT(IF(LEFT(TRIM(A25),1)="*", "*R", "R"), 1+RIGHT(TRIM(A25),1))</f>
        <v>R3</v>
      </c>
      <c r="B26" s="298" t="str">
        <f t="shared" ref="B26:B29" si="81">B25</f>
        <v>TLEFGSL</v>
      </c>
      <c r="C26" s="298" t="str">
        <f t="shared" ref="C26:C29" si="82">C25</f>
        <v>TL.GSL.F.Existing fleet</v>
      </c>
      <c r="D26" s="294" t="str">
        <f t="shared" ref="D26:D29" si="83">D25</f>
        <v>bn-vmt, bn-vmt/a</v>
      </c>
      <c r="E26" s="294" t="str">
        <f t="shared" ref="E26:E29" si="84">E25</f>
        <v>TLGSL</v>
      </c>
      <c r="F26" s="294" t="str">
        <f t="shared" ref="F26:F29" si="85">F25</f>
        <v>TL</v>
      </c>
      <c r="G26" s="294" t="s">
        <v>476</v>
      </c>
      <c r="H26" s="294" t="s">
        <v>474</v>
      </c>
      <c r="I26" s="294">
        <v>1</v>
      </c>
      <c r="J26" s="308" t="str">
        <f t="shared" si="2"/>
        <v>Full size car-GSL</v>
      </c>
      <c r="K26" s="324">
        <f>$I26*IF($G26="Pickup", SUMIFS(NewEmisData!E:E, NewEmisData!$A:$A, "Pickup", NewEmisData!$B:$B, $A26, NewEmisData!$C:$C, $H26, NewEmisData!$D:$D, K$2), SUMIFS(NewEmisData!E:E, NewEmisData!$A:$A, "LDV", NewEmisData!$B:$B, $A26, NewEmisData!$C:$C, $H26, NewEmisData!$D:$D, K$2))</f>
        <v>437.85746964693402</v>
      </c>
      <c r="L26" s="324">
        <f>$I26*IF($G26="Pickup", SUMIFS(NewEmisData!F:F, NewEmisData!$A:$A, "Pickup", NewEmisData!$B:$B, $A26, NewEmisData!$C:$C, $H26, NewEmisData!$D:$D, L$2), SUMIFS(NewEmisData!F:F, NewEmisData!$A:$A, "LDV", NewEmisData!$B:$B, $A26, NewEmisData!$C:$C, $H26, NewEmisData!$D:$D, L$2))</f>
        <v>424.609883045034</v>
      </c>
      <c r="M26" s="324">
        <f>$I26*IF($G26="Pickup", SUMIFS(NewEmisData!G:G, NewEmisData!$A:$A, "Pickup", NewEmisData!$B:$B, $A26, NewEmisData!$C:$C, $H26, NewEmisData!$D:$D, M$2), SUMIFS(NewEmisData!G:G, NewEmisData!$A:$A, "LDV", NewEmisData!$B:$B, $A26, NewEmisData!$C:$C, $H26, NewEmisData!$D:$D, M$2))</f>
        <v>389.26792072260798</v>
      </c>
      <c r="N26" s="324">
        <f>$I26*IF($G26="Pickup", SUMIFS(NewEmisData!H:H, NewEmisData!$A:$A, "Pickup", NewEmisData!$B:$B, $A26, NewEmisData!$C:$C, $H26, NewEmisData!$D:$D, N$2), SUMIFS(NewEmisData!H:H, NewEmisData!$A:$A, "LDV", NewEmisData!$B:$B, $A26, NewEmisData!$C:$C, $H26, NewEmisData!$D:$D, N$2))</f>
        <v>331.09003080375697</v>
      </c>
      <c r="O26" s="324">
        <f>$I26*IF($G26="Pickup", SUMIFS(NewEmisData!I:I, NewEmisData!$A:$A, "Pickup", NewEmisData!$B:$B, $A26, NewEmisData!$C:$C, $H26, NewEmisData!$D:$D, O$2), SUMIFS(NewEmisData!I:I, NewEmisData!$A:$A, "LDV", NewEmisData!$B:$B, $A26, NewEmisData!$C:$C, $H26, NewEmisData!$D:$D, O$2))</f>
        <v>286.46929869872997</v>
      </c>
      <c r="P26" s="324">
        <f>$I26*IF($G26="Pickup", SUMIFS(NewEmisData!J:J, NewEmisData!$A:$A, "Pickup", NewEmisData!$B:$B, $A26, NewEmisData!$C:$C, $H26, NewEmisData!$D:$D, P$2), SUMIFS(NewEmisData!J:J, NewEmisData!$A:$A, "LDV", NewEmisData!$B:$B, $A26, NewEmisData!$C:$C, $H26, NewEmisData!$D:$D, P$2))</f>
        <v>261.33080310252802</v>
      </c>
      <c r="Q26" s="324">
        <f>$I26*IF($G26="Pickup", SUMIFS(NewEmisData!K:K, NewEmisData!$A:$A, "Pickup", NewEmisData!$B:$B, $A26, NewEmisData!$C:$C, $H26, NewEmisData!$D:$D, Q$2), SUMIFS(NewEmisData!K:K, NewEmisData!$A:$A, "LDV", NewEmisData!$B:$B, $A26, NewEmisData!$C:$C, $H26, NewEmisData!$D:$D, Q$2))</f>
        <v>250.12665030232699</v>
      </c>
      <c r="R26" s="324">
        <f>$I26*IF($G26="Pickup", SUMIFS(NewEmisData!L:L, NewEmisData!$A:$A, "Pickup", NewEmisData!$B:$B, $A26, NewEmisData!$C:$C, $H26, NewEmisData!$D:$D, R$2), SUMIFS(NewEmisData!L:L, NewEmisData!$A:$A, "LDV", NewEmisData!$B:$B, $A26, NewEmisData!$C:$C, $H26, NewEmisData!$D:$D, R$2))</f>
        <v>246.146486551527</v>
      </c>
      <c r="S26" s="324">
        <f>$I26*IF($G26="Pickup", SUMIFS(NewEmisData!M:M, NewEmisData!$A:$A, "Pickup", NewEmisData!$B:$B, $A26, NewEmisData!$C:$C, $H26, NewEmisData!$D:$D, S$2), SUMIFS(NewEmisData!M:M, NewEmisData!$A:$A, "LDV", NewEmisData!$B:$B, $A26, NewEmisData!$C:$C, $H26, NewEmisData!$D:$D, S$2))</f>
        <v>244.677818234341</v>
      </c>
      <c r="T26" s="324">
        <f t="shared" si="5"/>
        <v>244.677818234341</v>
      </c>
      <c r="U26" s="324">
        <f>$I26*IF($G26="Pickup", SUMIFS(NewEmisData!E:E, NewEmisData!$A:$A, "Pickup", NewEmisData!$B:$B, $A26, NewEmisData!$C:$C, $H26, NewEmisData!$D:$D, U$2), SUMIFS(NewEmisData!E:E, NewEmisData!$A:$A, "LDV", NewEmisData!$B:$B, $A26, NewEmisData!$C:$C, $H26, NewEmisData!$D:$D, U$2))</f>
        <v>0.78000130642291299</v>
      </c>
      <c r="V26" s="324">
        <f>$I26*IF($G26="Pickup", SUMIFS(NewEmisData!F:F, NewEmisData!$A:$A, "Pickup", NewEmisData!$B:$B, $A26, NewEmisData!$C:$C, $H26, NewEmisData!$D:$D, V$2), SUMIFS(NewEmisData!F:F, NewEmisData!$A:$A, "LDV", NewEmisData!$B:$B, $A26, NewEmisData!$C:$C, $H26, NewEmisData!$D:$D, V$2))</f>
        <v>0.323605278282381</v>
      </c>
      <c r="W26" s="324">
        <f>$I26*IF($G26="Pickup", SUMIFS(NewEmisData!G:G, NewEmisData!$A:$A, "Pickup", NewEmisData!$B:$B, $A26, NewEmisData!$C:$C, $H26, NewEmisData!$D:$D, W$2), SUMIFS(NewEmisData!G:G, NewEmisData!$A:$A, "LDV", NewEmisData!$B:$B, $A26, NewEmisData!$C:$C, $H26, NewEmisData!$D:$D, W$2))</f>
        <v>0.19152446532377701</v>
      </c>
      <c r="X26" s="324">
        <f>$I26*IF($G26="Pickup", SUMIFS(NewEmisData!H:H, NewEmisData!$A:$A, "Pickup", NewEmisData!$B:$B, $A26, NewEmisData!$C:$C, $H26, NewEmisData!$D:$D, X$2), SUMIFS(NewEmisData!H:H, NewEmisData!$A:$A, "LDV", NewEmisData!$B:$B, $A26, NewEmisData!$C:$C, $H26, NewEmisData!$D:$D, X$2))</f>
        <v>0.12537127832280801</v>
      </c>
      <c r="Y26" s="324">
        <f>$I26*IF($G26="Pickup", SUMIFS(NewEmisData!I:I, NewEmisData!$A:$A, "Pickup", NewEmisData!$B:$B, $A26, NewEmisData!$C:$C, $H26, NewEmisData!$D:$D, Y$2), SUMIFS(NewEmisData!I:I, NewEmisData!$A:$A, "LDV", NewEmisData!$B:$B, $A26, NewEmisData!$C:$C, $H26, NewEmisData!$D:$D, Y$2))</f>
        <v>7.6671766649271E-2</v>
      </c>
      <c r="Z26" s="324">
        <f>$I26*IF($G26="Pickup", SUMIFS(NewEmisData!J:J, NewEmisData!$A:$A, "Pickup", NewEmisData!$B:$B, $A26, NewEmisData!$C:$C, $H26, NewEmisData!$D:$D, Z$2), SUMIFS(NewEmisData!J:J, NewEmisData!$A:$A, "LDV", NewEmisData!$B:$B, $A26, NewEmisData!$C:$C, $H26, NewEmisData!$D:$D, Z$2))</f>
        <v>5.7019026656941203E-2</v>
      </c>
      <c r="AA26" s="324">
        <f>$I26*IF($G26="Pickup", SUMIFS(NewEmisData!K:K, NewEmisData!$A:$A, "Pickup", NewEmisData!$B:$B, $A26, NewEmisData!$C:$C, $H26, NewEmisData!$D:$D, AA$2), SUMIFS(NewEmisData!K:K, NewEmisData!$A:$A, "LDV", NewEmisData!$B:$B, $A26, NewEmisData!$C:$C, $H26, NewEmisData!$D:$D, AA$2))</f>
        <v>4.8823281713844202E-2</v>
      </c>
      <c r="AB26" s="324">
        <f>$I26*IF($G26="Pickup", SUMIFS(NewEmisData!L:L, NewEmisData!$A:$A, "Pickup", NewEmisData!$B:$B, $A26, NewEmisData!$C:$C, $H26, NewEmisData!$D:$D, AB$2), SUMIFS(NewEmisData!L:L, NewEmisData!$A:$A, "LDV", NewEmisData!$B:$B, $A26, NewEmisData!$C:$C, $H26, NewEmisData!$D:$D, AB$2))</f>
        <v>4.6542407484685501E-2</v>
      </c>
      <c r="AC26" s="324">
        <f>$I26*IF($G26="Pickup", SUMIFS(NewEmisData!M:M, NewEmisData!$A:$A, "Pickup", NewEmisData!$B:$B, $A26, NewEmisData!$C:$C, $H26, NewEmisData!$D:$D, AC$2), SUMIFS(NewEmisData!M:M, NewEmisData!$A:$A, "LDV", NewEmisData!$B:$B, $A26, NewEmisData!$C:$C, $H26, NewEmisData!$D:$D, AC$2))</f>
        <v>4.5415311435121702E-2</v>
      </c>
      <c r="AD26" s="324">
        <f t="shared" si="6"/>
        <v>4.5415311435121702E-2</v>
      </c>
      <c r="AE26" s="324">
        <f>$I26*IF($G26="Pickup", SUMIFS(NewEmisData!E:E, NewEmisData!$A:$A, "Pickup", NewEmisData!$B:$B, $A26, NewEmisData!$C:$C, $H26, NewEmisData!$D:$D, AE$2), SUMIFS(NewEmisData!E:E, NewEmisData!$A:$A, "LDV", NewEmisData!$B:$B, $A26, NewEmisData!$C:$C, $H26, NewEmisData!$D:$D, AE$2))</f>
        <v>7.5764719154140002E-3</v>
      </c>
      <c r="AF26" s="324">
        <f>$I26*IF($G26="Pickup", SUMIFS(NewEmisData!F:F, NewEmisData!$A:$A, "Pickup", NewEmisData!$B:$B, $A26, NewEmisData!$C:$C, $H26, NewEmisData!$D:$D, AF$2), SUMIFS(NewEmisData!F:F, NewEmisData!$A:$A, "LDV", NewEmisData!$B:$B, $A26, NewEmisData!$C:$C, $H26, NewEmisData!$D:$D, AF$2))</f>
        <v>7.3472400077695399E-3</v>
      </c>
      <c r="AG26" s="324">
        <f>$I26*IF($G26="Pickup", SUMIFS(NewEmisData!G:G, NewEmisData!$A:$A, "Pickup", NewEmisData!$B:$B, $A26, NewEmisData!$C:$C, $H26, NewEmisData!$D:$D, AG$2), SUMIFS(NewEmisData!G:G, NewEmisData!$A:$A, "LDV", NewEmisData!$B:$B, $A26, NewEmisData!$C:$C, $H26, NewEmisData!$D:$D, AG$2))</f>
        <v>5.5842494055705696E-3</v>
      </c>
      <c r="AH26" s="324">
        <f>$I26*IF($G26="Pickup", SUMIFS(NewEmisData!H:H, NewEmisData!$A:$A, "Pickup", NewEmisData!$B:$B, $A26, NewEmisData!$C:$C, $H26, NewEmisData!$D:$D, AH$2), SUMIFS(NewEmisData!H:H, NewEmisData!$A:$A, "LDV", NewEmisData!$B:$B, $A26, NewEmisData!$C:$C, $H26, NewEmisData!$D:$D, AH$2))</f>
        <v>4.7496587466809804E-3</v>
      </c>
      <c r="AI26" s="324">
        <f>$I26*IF($G26="Pickup", SUMIFS(NewEmisData!I:I, NewEmisData!$A:$A, "Pickup", NewEmisData!$B:$B, $A26, NewEmisData!$C:$C, $H26, NewEmisData!$D:$D, AI$2), SUMIFS(NewEmisData!I:I, NewEmisData!$A:$A, "LDV", NewEmisData!$B:$B, $A26, NewEmisData!$C:$C, $H26, NewEmisData!$D:$D, AI$2))</f>
        <v>4.1095518958717504E-3</v>
      </c>
      <c r="AJ26" s="324">
        <f>$I26*IF($G26="Pickup", SUMIFS(NewEmisData!J:J, NewEmisData!$A:$A, "Pickup", NewEmisData!$B:$B, $A26, NewEmisData!$C:$C, $H26, NewEmisData!$D:$D, AJ$2), SUMIFS(NewEmisData!J:J, NewEmisData!$A:$A, "LDV", NewEmisData!$B:$B, $A26, NewEmisData!$C:$C, $H26, NewEmisData!$D:$D, AJ$2))</f>
        <v>3.7489264773323799E-3</v>
      </c>
      <c r="AK26" s="324">
        <f>$I26*IF($G26="Pickup", SUMIFS(NewEmisData!K:K, NewEmisData!$A:$A, "Pickup", NewEmisData!$B:$B, $A26, NewEmisData!$C:$C, $H26, NewEmisData!$D:$D, AK$2), SUMIFS(NewEmisData!K:K, NewEmisData!$A:$A, "LDV", NewEmisData!$B:$B, $A26, NewEmisData!$C:$C, $H26, NewEmisData!$D:$D, AK$2))</f>
        <v>3.5881959766524201E-3</v>
      </c>
      <c r="AL26" s="324">
        <f>$I26*IF($G26="Pickup", SUMIFS(NewEmisData!L:L, NewEmisData!$A:$A, "Pickup", NewEmisData!$B:$B, $A26, NewEmisData!$C:$C, $H26, NewEmisData!$D:$D, AL$2), SUMIFS(NewEmisData!L:L, NewEmisData!$A:$A, "LDV", NewEmisData!$B:$B, $A26, NewEmisData!$C:$C, $H26, NewEmisData!$D:$D, AL$2))</f>
        <v>3.5311006464952199E-3</v>
      </c>
      <c r="AM26" s="324">
        <f>$I26*IF($G26="Pickup", SUMIFS(NewEmisData!M:M, NewEmisData!$A:$A, "Pickup", NewEmisData!$B:$B, $A26, NewEmisData!$C:$C, $H26, NewEmisData!$D:$D, AM$2), SUMIFS(NewEmisData!M:M, NewEmisData!$A:$A, "LDV", NewEmisData!$B:$B, $A26, NewEmisData!$C:$C, $H26, NewEmisData!$D:$D, AM$2))</f>
        <v>3.5100309709840301E-3</v>
      </c>
      <c r="AN26" s="324">
        <f t="shared" si="7"/>
        <v>3.5100309709840301E-3</v>
      </c>
      <c r="AO26" s="324">
        <f>$I26*IF($G26="Pickup", SUMIFS(NewEmisData!E:E, NewEmisData!$A:$A, "Pickup", NewEmisData!$B:$B, $A26, NewEmisData!$C:$C, $H26, NewEmisData!$D:$D, AO$2), SUMIFS(NewEmisData!E:E, NewEmisData!$A:$A, "LDV", NewEmisData!$B:$B, $A26, NewEmisData!$C:$C, $H26, NewEmisData!$D:$D, AO$2))</f>
        <v>6.7831755328566196E-2</v>
      </c>
      <c r="AP26" s="324">
        <f>$I26*IF($G26="Pickup", SUMIFS(NewEmisData!F:F, NewEmisData!$A:$A, "Pickup", NewEmisData!$B:$B, $A26, NewEmisData!$C:$C, $H26, NewEmisData!$D:$D, AP$2), SUMIFS(NewEmisData!F:F, NewEmisData!$A:$A, "LDV", NewEmisData!$B:$B, $A26, NewEmisData!$C:$C, $H26, NewEmisData!$D:$D, AP$2))</f>
        <v>6.3250667156757298E-2</v>
      </c>
      <c r="AQ26" s="324">
        <f>$I26*IF($G26="Pickup", SUMIFS(NewEmisData!G:G, NewEmisData!$A:$A, "Pickup", NewEmisData!$B:$B, $A26, NewEmisData!$C:$C, $H26, NewEmisData!$D:$D, AQ$2), SUMIFS(NewEmisData!G:G, NewEmisData!$A:$A, "LDV", NewEmisData!$B:$B, $A26, NewEmisData!$C:$C, $H26, NewEmisData!$D:$D, AQ$2))</f>
        <v>6.2628417187727006E-2</v>
      </c>
      <c r="AR26" s="324">
        <f>$I26*IF($G26="Pickup", SUMIFS(NewEmisData!H:H, NewEmisData!$A:$A, "Pickup", NewEmisData!$B:$B, $A26, NewEmisData!$C:$C, $H26, NewEmisData!$D:$D, AR$2), SUMIFS(NewEmisData!H:H, NewEmisData!$A:$A, "LDV", NewEmisData!$B:$B, $A26, NewEmisData!$C:$C, $H26, NewEmisData!$D:$D, AR$2))</f>
        <v>6.1216981125607202E-2</v>
      </c>
      <c r="AS26" s="324">
        <f>$I26*IF($G26="Pickup", SUMIFS(NewEmisData!I:I, NewEmisData!$A:$A, "Pickup", NewEmisData!$B:$B, $A26, NewEmisData!$C:$C, $H26, NewEmisData!$D:$D, AS$2), SUMIFS(NewEmisData!I:I, NewEmisData!$A:$A, "LDV", NewEmisData!$B:$B, $A26, NewEmisData!$C:$C, $H26, NewEmisData!$D:$D, AS$2))</f>
        <v>5.9842025439809501E-2</v>
      </c>
      <c r="AT26" s="324">
        <f>$I26*IF($G26="Pickup", SUMIFS(NewEmisData!J:J, NewEmisData!$A:$A, "Pickup", NewEmisData!$B:$B, $A26, NewEmisData!$C:$C, $H26, NewEmisData!$D:$D, AT$2), SUMIFS(NewEmisData!J:J, NewEmisData!$A:$A, "LDV", NewEmisData!$B:$B, $A26, NewEmisData!$C:$C, $H26, NewEmisData!$D:$D, AT$2))</f>
        <v>5.8761885691048198E-2</v>
      </c>
      <c r="AU26" s="324">
        <f>$I26*IF($G26="Pickup", SUMIFS(NewEmisData!K:K, NewEmisData!$A:$A, "Pickup", NewEmisData!$B:$B, $A26, NewEmisData!$C:$C, $H26, NewEmisData!$D:$D, AU$2), SUMIFS(NewEmisData!K:K, NewEmisData!$A:$A, "LDV", NewEmisData!$B:$B, $A26, NewEmisData!$C:$C, $H26, NewEmisData!$D:$D, AU$2))</f>
        <v>5.8072078083983E-2</v>
      </c>
      <c r="AV26" s="324">
        <f>$I26*IF($G26="Pickup", SUMIFS(NewEmisData!L:L, NewEmisData!$A:$A, "Pickup", NewEmisData!$B:$B, $A26, NewEmisData!$C:$C, $H26, NewEmisData!$D:$D, AV$2), SUMIFS(NewEmisData!L:L, NewEmisData!$A:$A, "LDV", NewEmisData!$B:$B, $A26, NewEmisData!$C:$C, $H26, NewEmisData!$D:$D, AV$2))</f>
        <v>5.7726484266030297E-2</v>
      </c>
      <c r="AW26" s="324">
        <f>$I26*IF($G26="Pickup", SUMIFS(NewEmisData!M:M, NewEmisData!$A:$A, "Pickup", NewEmisData!$B:$B, $A26, NewEmisData!$C:$C, $H26, NewEmisData!$D:$D, AW$2), SUMIFS(NewEmisData!M:M, NewEmisData!$A:$A, "LDV", NewEmisData!$B:$B, $A26, NewEmisData!$C:$C, $H26, NewEmisData!$D:$D, AW$2))</f>
        <v>5.7530226905323702E-2</v>
      </c>
      <c r="AX26" s="324">
        <f t="shared" si="8"/>
        <v>5.7530226905323702E-2</v>
      </c>
      <c r="AY26" s="324">
        <f>$I26*IF($G26="Pickup", SUMIFS(NewEmisData!E:E, NewEmisData!$A:$A, "Pickup", NewEmisData!$B:$B, $A26, NewEmisData!$C:$C, $H26, NewEmisData!$D:$D, AY$2), SUMIFS(NewEmisData!E:E, NewEmisData!$A:$A, "LDV", NewEmisData!$B:$B, $A26, NewEmisData!$C:$C, $H26, NewEmisData!$D:$D, AY$2))</f>
        <v>1.8324822567621701E-2</v>
      </c>
      <c r="AZ26" s="324">
        <f>$I26*IF($G26="Pickup", SUMIFS(NewEmisData!F:F, NewEmisData!$A:$A, "Pickup", NewEmisData!$B:$B, $A26, NewEmisData!$C:$C, $H26, NewEmisData!$D:$D, AZ$2), SUMIFS(NewEmisData!F:F, NewEmisData!$A:$A, "LDV", NewEmisData!$B:$B, $A26, NewEmisData!$C:$C, $H26, NewEmisData!$D:$D, AZ$2))</f>
        <v>1.4272294035055699E-2</v>
      </c>
      <c r="BA26" s="324">
        <f>$I26*IF($G26="Pickup", SUMIFS(NewEmisData!G:G, NewEmisData!$A:$A, "Pickup", NewEmisData!$B:$B, $A26, NewEmisData!$C:$C, $H26, NewEmisData!$D:$D, BA$2), SUMIFS(NewEmisData!G:G, NewEmisData!$A:$A, "LDV", NewEmisData!$B:$B, $A26, NewEmisData!$C:$C, $H26, NewEmisData!$D:$D, BA$2))</f>
        <v>1.3165752481838801E-2</v>
      </c>
      <c r="BB26" s="324">
        <f>$I26*IF($G26="Pickup", SUMIFS(NewEmisData!H:H, NewEmisData!$A:$A, "Pickup", NewEmisData!$B:$B, $A26, NewEmisData!$C:$C, $H26, NewEmisData!$D:$D, BB$2), SUMIFS(NewEmisData!H:H, NewEmisData!$A:$A, "LDV", NewEmisData!$B:$B, $A26, NewEmisData!$C:$C, $H26, NewEmisData!$D:$D, BB$2))</f>
        <v>1.1917194849656599E-2</v>
      </c>
      <c r="BC26" s="324">
        <f>$I26*IF($G26="Pickup", SUMIFS(NewEmisData!I:I, NewEmisData!$A:$A, "Pickup", NewEmisData!$B:$B, $A26, NewEmisData!$C:$C, $H26, NewEmisData!$D:$D, BC$2), SUMIFS(NewEmisData!I:I, NewEmisData!$A:$A, "LDV", NewEmisData!$B:$B, $A26, NewEmisData!$C:$C, $H26, NewEmisData!$D:$D, BC$2))</f>
        <v>1.0700861948252101E-2</v>
      </c>
      <c r="BD26" s="324">
        <f>$I26*IF($G26="Pickup", SUMIFS(NewEmisData!J:J, NewEmisData!$A:$A, "Pickup", NewEmisData!$B:$B, $A26, NewEmisData!$C:$C, $H26, NewEmisData!$D:$D, BD$2), SUMIFS(NewEmisData!J:J, NewEmisData!$A:$A, "LDV", NewEmisData!$B:$B, $A26, NewEmisData!$C:$C, $H26, NewEmisData!$D:$D, BD$2))</f>
        <v>9.7453521893521699E-3</v>
      </c>
      <c r="BE26" s="324">
        <f>$I26*IF($G26="Pickup", SUMIFS(NewEmisData!K:K, NewEmisData!$A:$A, "Pickup", NewEmisData!$B:$B, $A26, NewEmisData!$C:$C, $H26, NewEmisData!$D:$D, BE$2), SUMIFS(NewEmisData!K:K, NewEmisData!$A:$A, "LDV", NewEmisData!$B:$B, $A26, NewEmisData!$C:$C, $H26, NewEmisData!$D:$D, BE$2))</f>
        <v>9.1351470976244707E-3</v>
      </c>
      <c r="BF26" s="324">
        <f>$I26*IF($G26="Pickup", SUMIFS(NewEmisData!L:L, NewEmisData!$A:$A, "Pickup", NewEmisData!$B:$B, $A26, NewEmisData!$C:$C, $H26, NewEmisData!$D:$D, BF$2), SUMIFS(NewEmisData!L:L, NewEmisData!$A:$A, "LDV", NewEmisData!$B:$B, $A26, NewEmisData!$C:$C, $H26, NewEmisData!$D:$D, BF$2))</f>
        <v>8.8293874131557606E-3</v>
      </c>
      <c r="BG26" s="324">
        <f>$I26*IF($G26="Pickup", SUMIFS(NewEmisData!M:M, NewEmisData!$A:$A, "Pickup", NewEmisData!$B:$B, $A26, NewEmisData!$C:$C, $H26, NewEmisData!$D:$D, BG$2), SUMIFS(NewEmisData!M:M, NewEmisData!$A:$A, "LDV", NewEmisData!$B:$B, $A26, NewEmisData!$C:$C, $H26, NewEmisData!$D:$D, BG$2))</f>
        <v>8.6558174466142106E-3</v>
      </c>
      <c r="BH26" s="324">
        <f t="shared" si="9"/>
        <v>8.6558174466142106E-3</v>
      </c>
      <c r="BI26" s="324">
        <f>$I26*IF($G26="Pickup", SUMIFS(NewEmisData!E:E, NewEmisData!$A:$A, "Pickup", NewEmisData!$B:$B, $A26, NewEmisData!$C:$C, $H26, NewEmisData!$D:$D, BI$2), SUMIFS(NewEmisData!E:E, NewEmisData!$A:$A, "LDV", NewEmisData!$B:$B, $A26, NewEmisData!$C:$C, $H26, NewEmisData!$D:$D, BI$2))</f>
        <v>5.6341971782511804</v>
      </c>
      <c r="BJ26" s="324">
        <f>$I26*IF($G26="Pickup", SUMIFS(NewEmisData!F:F, NewEmisData!$A:$A, "Pickup", NewEmisData!$B:$B, $A26, NewEmisData!$C:$C, $H26, NewEmisData!$D:$D, BJ$2), SUMIFS(NewEmisData!F:F, NewEmisData!$A:$A, "LDV", NewEmisData!$B:$B, $A26, NewEmisData!$C:$C, $H26, NewEmisData!$D:$D, BJ$2))</f>
        <v>3.2912080717511998</v>
      </c>
      <c r="BK26" s="324">
        <f>$I26*IF($G26="Pickup", SUMIFS(NewEmisData!G:G, NewEmisData!$A:$A, "Pickup", NewEmisData!$B:$B, $A26, NewEmisData!$C:$C, $H26, NewEmisData!$D:$D, BK$2), SUMIFS(NewEmisData!G:G, NewEmisData!$A:$A, "LDV", NewEmisData!$B:$B, $A26, NewEmisData!$C:$C, $H26, NewEmisData!$D:$D, BK$2))</f>
        <v>2.5038449092773698</v>
      </c>
      <c r="BL26" s="324">
        <f>$I26*IF($G26="Pickup", SUMIFS(NewEmisData!H:H, NewEmisData!$A:$A, "Pickup", NewEmisData!$B:$B, $A26, NewEmisData!$C:$C, $H26, NewEmisData!$D:$D, BL$2), SUMIFS(NewEmisData!H:H, NewEmisData!$A:$A, "LDV", NewEmisData!$B:$B, $A26, NewEmisData!$C:$C, $H26, NewEmisData!$D:$D, BL$2))</f>
        <v>1.9586302072503601</v>
      </c>
      <c r="BM26" s="324">
        <f>$I26*IF($G26="Pickup", SUMIFS(NewEmisData!I:I, NewEmisData!$A:$A, "Pickup", NewEmisData!$B:$B, $A26, NewEmisData!$C:$C, $H26, NewEmisData!$D:$D, BM$2), SUMIFS(NewEmisData!I:I, NewEmisData!$A:$A, "LDV", NewEmisData!$B:$B, $A26, NewEmisData!$C:$C, $H26, NewEmisData!$D:$D, BM$2))</f>
        <v>1.4188080704430199</v>
      </c>
      <c r="BN26" s="324">
        <f>$I26*IF($G26="Pickup", SUMIFS(NewEmisData!J:J, NewEmisData!$A:$A, "Pickup", NewEmisData!$B:$B, $A26, NewEmisData!$C:$C, $H26, NewEmisData!$D:$D, BN$2), SUMIFS(NewEmisData!J:J, NewEmisData!$A:$A, "LDV", NewEmisData!$B:$B, $A26, NewEmisData!$C:$C, $H26, NewEmisData!$D:$D, BN$2))</f>
        <v>1.12295829909247</v>
      </c>
      <c r="BO26" s="324">
        <f>$I26*IF($G26="Pickup", SUMIFS(NewEmisData!K:K, NewEmisData!$A:$A, "Pickup", NewEmisData!$B:$B, $A26, NewEmisData!$C:$C, $H26, NewEmisData!$D:$D, BO$2), SUMIFS(NewEmisData!K:K, NewEmisData!$A:$A, "LDV", NewEmisData!$B:$B, $A26, NewEmisData!$C:$C, $H26, NewEmisData!$D:$D, BO$2))</f>
        <v>0.98917470890575399</v>
      </c>
      <c r="BP26" s="324">
        <f>$I26*IF($G26="Pickup", SUMIFS(NewEmisData!L:L, NewEmisData!$A:$A, "Pickup", NewEmisData!$B:$B, $A26, NewEmisData!$C:$C, $H26, NewEmisData!$D:$D, BP$2), SUMIFS(NewEmisData!L:L, NewEmisData!$A:$A, "LDV", NewEmisData!$B:$B, $A26, NewEmisData!$C:$C, $H26, NewEmisData!$D:$D, BP$2))</f>
        <v>0.94587291374607996</v>
      </c>
      <c r="BQ26" s="324">
        <f>$I26*IF($G26="Pickup", SUMIFS(NewEmisData!M:M, NewEmisData!$A:$A, "Pickup", NewEmisData!$B:$B, $A26, NewEmisData!$C:$C, $H26, NewEmisData!$D:$D, BQ$2), SUMIFS(NewEmisData!M:M, NewEmisData!$A:$A, "LDV", NewEmisData!$B:$B, $A26, NewEmisData!$C:$C, $H26, NewEmisData!$D:$D, BQ$2))</f>
        <v>0.91886504762322097</v>
      </c>
      <c r="BR26" s="324">
        <f t="shared" si="10"/>
        <v>0.91886504762322097</v>
      </c>
      <c r="BS26" s="324">
        <f>$I26*IF($G26="Pickup", SUMIFS(NewEmisData!E:E, NewEmisData!$A:$A, "Pickup", NewEmisData!$B:$B, $A26, NewEmisData!$C:$C, $H26, NewEmisData!$D:$D, BS$2), SUMIFS(NewEmisData!E:E, NewEmisData!$A:$A, "LDV", NewEmisData!$B:$B, $A26, NewEmisData!$C:$C, $H26, NewEmisData!$D:$D, BS$2))</f>
        <v>0.64604041020523395</v>
      </c>
      <c r="BT26" s="324">
        <f>$I26*IF($G26="Pickup", SUMIFS(NewEmisData!F:F, NewEmisData!$A:$A, "Pickup", NewEmisData!$B:$B, $A26, NewEmisData!$C:$C, $H26, NewEmisData!$D:$D, BT$2), SUMIFS(NewEmisData!F:F, NewEmisData!$A:$A, "LDV", NewEmisData!$B:$B, $A26, NewEmisData!$C:$C, $H26, NewEmisData!$D:$D, BT$2))</f>
        <v>0.33711601886070303</v>
      </c>
      <c r="BU26" s="324">
        <f>$I26*IF($G26="Pickup", SUMIFS(NewEmisData!G:G, NewEmisData!$A:$A, "Pickup", NewEmisData!$B:$B, $A26, NewEmisData!$C:$C, $H26, NewEmisData!$D:$D, BU$2), SUMIFS(NewEmisData!G:G, NewEmisData!$A:$A, "LDV", NewEmisData!$B:$B, $A26, NewEmisData!$C:$C, $H26, NewEmisData!$D:$D, BU$2))</f>
        <v>0.24835485029207899</v>
      </c>
      <c r="BV26" s="324">
        <f>$I26*IF($G26="Pickup", SUMIFS(NewEmisData!H:H, NewEmisData!$A:$A, "Pickup", NewEmisData!$B:$B, $A26, NewEmisData!$C:$C, $H26, NewEmisData!$D:$D, BV$2), SUMIFS(NewEmisData!H:H, NewEmisData!$A:$A, "LDV", NewEmisData!$B:$B, $A26, NewEmisData!$C:$C, $H26, NewEmisData!$D:$D, BV$2))</f>
        <v>0.20063726173746699</v>
      </c>
      <c r="BW26" s="324">
        <f>$I26*IF($G26="Pickup", SUMIFS(NewEmisData!I:I, NewEmisData!$A:$A, "Pickup", NewEmisData!$B:$B, $A26, NewEmisData!$C:$C, $H26, NewEmisData!$D:$D, BW$2), SUMIFS(NewEmisData!I:I, NewEmisData!$A:$A, "LDV", NewEmisData!$B:$B, $A26, NewEmisData!$C:$C, $H26, NewEmisData!$D:$D, BW$2))</f>
        <v>0.148388069930526</v>
      </c>
      <c r="BX26" s="324">
        <f>$I26*IF($G26="Pickup", SUMIFS(NewEmisData!J:J, NewEmisData!$A:$A, "Pickup", NewEmisData!$B:$B, $A26, NewEmisData!$C:$C, $H26, NewEmisData!$D:$D, BX$2), SUMIFS(NewEmisData!J:J, NewEmisData!$A:$A, "LDV", NewEmisData!$B:$B, $A26, NewEmisData!$C:$C, $H26, NewEmisData!$D:$D, BX$2))</f>
        <v>0.12460657527841699</v>
      </c>
      <c r="BY26" s="324">
        <f>$I26*IF($G26="Pickup", SUMIFS(NewEmisData!K:K, NewEmisData!$A:$A, "Pickup", NewEmisData!$B:$B, $A26, NewEmisData!$C:$C, $H26, NewEmisData!$D:$D, BY$2), SUMIFS(NewEmisData!K:K, NewEmisData!$A:$A, "LDV", NewEmisData!$B:$B, $A26, NewEmisData!$C:$C, $H26, NewEmisData!$D:$D, BY$2))</f>
        <v>0.11177610097077099</v>
      </c>
      <c r="BZ26" s="324">
        <f>$I26*IF($G26="Pickup", SUMIFS(NewEmisData!L:L, NewEmisData!$A:$A, "Pickup", NewEmisData!$B:$B, $A26, NewEmisData!$C:$C, $H26, NewEmisData!$D:$D, BZ$2), SUMIFS(NewEmisData!L:L, NewEmisData!$A:$A, "LDV", NewEmisData!$B:$B, $A26, NewEmisData!$C:$C, $H26, NewEmisData!$D:$D, BZ$2))</f>
        <v>0.10678198489299399</v>
      </c>
      <c r="CA26" s="324">
        <f>$I26*IF($G26="Pickup", SUMIFS(NewEmisData!M:M, NewEmisData!$A:$A, "Pickup", NewEmisData!$B:$B, $A26, NewEmisData!$C:$C, $H26, NewEmisData!$D:$D, CA$2), SUMIFS(NewEmisData!M:M, NewEmisData!$A:$A, "LDV", NewEmisData!$B:$B, $A26, NewEmisData!$C:$C, $H26, NewEmisData!$D:$D, CA$2))</f>
        <v>0.102788686456563</v>
      </c>
      <c r="CB26" s="324">
        <f t="shared" si="11"/>
        <v>0.102788686456563</v>
      </c>
      <c r="CC26" s="324">
        <f>$I26*IF($G26="Pickup", SUMIFS(NewEmisData!E:E, NewEmisData!$A:$A, "Pickup", NewEmisData!$B:$B, $A26, NewEmisData!$C:$C, $H26, NewEmisData!$D:$D, CC$2), SUMIFS(NewEmisData!E:E, NewEmisData!$A:$A, "LDV", NewEmisData!$B:$B, $A26, NewEmisData!$C:$C, $H26, NewEmisData!$D:$D, CC$2))</f>
        <v>4.5186599160421101E-2</v>
      </c>
      <c r="CD26" s="324">
        <f>$I26*IF($G26="Pickup", SUMIFS(NewEmisData!F:F, NewEmisData!$A:$A, "Pickup", NewEmisData!$B:$B, $A26, NewEmisData!$C:$C, $H26, NewEmisData!$D:$D, CD$2), SUMIFS(NewEmisData!F:F, NewEmisData!$A:$A, "LDV", NewEmisData!$B:$B, $A26, NewEmisData!$C:$C, $H26, NewEmisData!$D:$D, CD$2))</f>
        <v>3.0321042660064499E-2</v>
      </c>
      <c r="CE26" s="324">
        <f>$I26*IF($G26="Pickup", SUMIFS(NewEmisData!G:G, NewEmisData!$A:$A, "Pickup", NewEmisData!$B:$B, $A26, NewEmisData!$C:$C, $H26, NewEmisData!$D:$D, CE$2), SUMIFS(NewEmisData!G:G, NewEmisData!$A:$A, "LDV", NewEmisData!$B:$B, $A26, NewEmisData!$C:$C, $H26, NewEmisData!$D:$D, CE$2))</f>
        <v>2.5916716030162101E-2</v>
      </c>
      <c r="CF26" s="324">
        <f>$I26*IF($G26="Pickup", SUMIFS(NewEmisData!H:H, NewEmisData!$A:$A, "Pickup", NewEmisData!$B:$B, $A26, NewEmisData!$C:$C, $H26, NewEmisData!$D:$D, CF$2), SUMIFS(NewEmisData!H:H, NewEmisData!$A:$A, "LDV", NewEmisData!$B:$B, $A26, NewEmisData!$C:$C, $H26, NewEmisData!$D:$D, CF$2))</f>
        <v>2.4735955589537201E-2</v>
      </c>
      <c r="CG26" s="324">
        <f>$I26*IF($G26="Pickup", SUMIFS(NewEmisData!I:I, NewEmisData!$A:$A, "Pickup", NewEmisData!$B:$B, $A26, NewEmisData!$C:$C, $H26, NewEmisData!$D:$D, CG$2), SUMIFS(NewEmisData!I:I, NewEmisData!$A:$A, "LDV", NewEmisData!$B:$B, $A26, NewEmisData!$C:$C, $H26, NewEmisData!$D:$D, CG$2))</f>
        <v>2.39507418397766E-2</v>
      </c>
      <c r="CH26" s="324">
        <f>$I26*IF($G26="Pickup", SUMIFS(NewEmisData!J:J, NewEmisData!$A:$A, "Pickup", NewEmisData!$B:$B, $A26, NewEmisData!$C:$C, $H26, NewEmisData!$D:$D, CH$2), SUMIFS(NewEmisData!J:J, NewEmisData!$A:$A, "LDV", NewEmisData!$B:$B, $A26, NewEmisData!$C:$C, $H26, NewEmisData!$D:$D, CH$2))</f>
        <v>2.33343295652753E-2</v>
      </c>
      <c r="CI26" s="324">
        <f>$I26*IF($G26="Pickup", SUMIFS(NewEmisData!K:K, NewEmisData!$A:$A, "Pickup", NewEmisData!$B:$B, $A26, NewEmisData!$C:$C, $H26, NewEmisData!$D:$D, CI$2), SUMIFS(NewEmisData!K:K, NewEmisData!$A:$A, "LDV", NewEmisData!$B:$B, $A26, NewEmisData!$C:$C, $H26, NewEmisData!$D:$D, CI$2))</f>
        <v>2.33323778682475E-2</v>
      </c>
      <c r="CJ26" s="324">
        <f>$I26*IF($G26="Pickup", SUMIFS(NewEmisData!L:L, NewEmisData!$A:$A, "Pickup", NewEmisData!$B:$B, $A26, NewEmisData!$C:$C, $H26, NewEmisData!$D:$D, CJ$2), SUMIFS(NewEmisData!L:L, NewEmisData!$A:$A, "LDV", NewEmisData!$B:$B, $A26, NewEmisData!$C:$C, $H26, NewEmisData!$D:$D, CJ$2))</f>
        <v>2.3331868508858E-2</v>
      </c>
      <c r="CK26" s="324">
        <f>$I26*IF($G26="Pickup", SUMIFS(NewEmisData!M:M, NewEmisData!$A:$A, "Pickup", NewEmisData!$B:$B, $A26, NewEmisData!$C:$C, $H26, NewEmisData!$D:$D, CK$2), SUMIFS(NewEmisData!M:M, NewEmisData!$A:$A, "LDV", NewEmisData!$B:$B, $A26, NewEmisData!$C:$C, $H26, NewEmisData!$D:$D, CK$2))</f>
        <v>2.3331333840255802E-2</v>
      </c>
      <c r="CL26" s="324">
        <f t="shared" si="12"/>
        <v>2.3331333840255802E-2</v>
      </c>
      <c r="CM26" s="324">
        <f>$I26*IF($G26="Pickup", SUMIFS(NewEmisData!E:E, NewEmisData!$A:$A, "Pickup", NewEmisData!$B:$B, $A26, NewEmisData!$C:$C, $H26, NewEmisData!$D:$D, CM$2), SUMIFS(NewEmisData!E:E, NewEmisData!$A:$A, "LDV", NewEmisData!$B:$B, $A26, NewEmisData!$C:$C, $H26, NewEmisData!$D:$D, CM$2))</f>
        <v>1.8999640989844298E-2</v>
      </c>
      <c r="CN26" s="324">
        <f>$I26*IF($G26="Pickup", SUMIFS(NewEmisData!F:F, NewEmisData!$A:$A, "Pickup", NewEmisData!$B:$B, $A26, NewEmisData!$C:$C, $H26, NewEmisData!$D:$D, CN$2), SUMIFS(NewEmisData!F:F, NewEmisData!$A:$A, "LDV", NewEmisData!$B:$B, $A26, NewEmisData!$C:$C, $H26, NewEmisData!$D:$D, CN$2))</f>
        <v>1.12934038283153E-2</v>
      </c>
      <c r="CO26" s="324">
        <f>$I26*IF($G26="Pickup", SUMIFS(NewEmisData!G:G, NewEmisData!$A:$A, "Pickup", NewEmisData!$B:$B, $A26, NewEmisData!$C:$C, $H26, NewEmisData!$D:$D, CO$2), SUMIFS(NewEmisData!G:G, NewEmisData!$A:$A, "LDV", NewEmisData!$B:$B, $A26, NewEmisData!$C:$C, $H26, NewEmisData!$D:$D, CO$2))</f>
        <v>8.9155864809614994E-3</v>
      </c>
      <c r="CP26" s="324">
        <f>$I26*IF($G26="Pickup", SUMIFS(NewEmisData!H:H, NewEmisData!$A:$A, "Pickup", NewEmisData!$B:$B, $A26, NewEmisData!$C:$C, $H26, NewEmisData!$D:$D, CP$2), SUMIFS(NewEmisData!H:H, NewEmisData!$A:$A, "LDV", NewEmisData!$B:$B, $A26, NewEmisData!$C:$C, $H26, NewEmisData!$D:$D, CP$2))</f>
        <v>7.3372921922104104E-3</v>
      </c>
      <c r="CQ26" s="324">
        <f>$I26*IF($G26="Pickup", SUMIFS(NewEmisData!I:I, NewEmisData!$A:$A, "Pickup", NewEmisData!$B:$B, $A26, NewEmisData!$C:$C, $H26, NewEmisData!$D:$D, CQ$2), SUMIFS(NewEmisData!I:I, NewEmisData!$A:$A, "LDV", NewEmisData!$B:$B, $A26, NewEmisData!$C:$C, $H26, NewEmisData!$D:$D, CQ$2))</f>
        <v>6.5724995115123896E-3</v>
      </c>
      <c r="CR26" s="324">
        <f>$I26*IF($G26="Pickup", SUMIFS(NewEmisData!J:J, NewEmisData!$A:$A, "Pickup", NewEmisData!$B:$B, $A26, NewEmisData!$C:$C, $H26, NewEmisData!$D:$D, CR$2), SUMIFS(NewEmisData!J:J, NewEmisData!$A:$A, "LDV", NewEmisData!$B:$B, $A26, NewEmisData!$C:$C, $H26, NewEmisData!$D:$D, CR$2))</f>
        <v>6.2407197852133098E-3</v>
      </c>
      <c r="CS26" s="324">
        <f>$I26*IF($G26="Pickup", SUMIFS(NewEmisData!K:K, NewEmisData!$A:$A, "Pickup", NewEmisData!$B:$B, $A26, NewEmisData!$C:$C, $H26, NewEmisData!$D:$D, CS$2), SUMIFS(NewEmisData!K:K, NewEmisData!$A:$A, "LDV", NewEmisData!$B:$B, $A26, NewEmisData!$C:$C, $H26, NewEmisData!$D:$D, CS$2))</f>
        <v>6.20457620974787E-3</v>
      </c>
      <c r="CT26" s="324">
        <f>$I26*IF($G26="Pickup", SUMIFS(NewEmisData!L:L, NewEmisData!$A:$A, "Pickup", NewEmisData!$B:$B, $A26, NewEmisData!$C:$C, $H26, NewEmisData!$D:$D, CT$2), SUMIFS(NewEmisData!L:L, NewEmisData!$A:$A, "LDV", NewEmisData!$B:$B, $A26, NewEmisData!$C:$C, $H26, NewEmisData!$D:$D, CT$2))</f>
        <v>6.1456645266433898E-3</v>
      </c>
      <c r="CU26" s="324">
        <f>$I26*IF($G26="Pickup", SUMIFS(NewEmisData!M:M, NewEmisData!$A:$A, "Pickup", NewEmisData!$B:$B, $A26, NewEmisData!$C:$C, $H26, NewEmisData!$D:$D, CU$2), SUMIFS(NewEmisData!M:M, NewEmisData!$A:$A, "LDV", NewEmisData!$B:$B, $A26, NewEmisData!$C:$C, $H26, NewEmisData!$D:$D, CU$2))</f>
        <v>6.1452936234844303E-3</v>
      </c>
      <c r="CV26" s="324">
        <f t="shared" si="13"/>
        <v>6.1452936234844303E-3</v>
      </c>
      <c r="CW26" s="324">
        <v>3.0448046675121709E-3</v>
      </c>
      <c r="CX26" s="324">
        <v>1.8865908720768221E-3</v>
      </c>
      <c r="CY26" s="324">
        <v>1.5570268485524494E-3</v>
      </c>
      <c r="CZ26" s="324">
        <v>1.2432183416122382E-3</v>
      </c>
      <c r="DA26" s="324">
        <v>9.252251866281976E-4</v>
      </c>
      <c r="DB26" s="324">
        <v>7.2309456596024934E-4</v>
      </c>
      <c r="DC26" s="324">
        <v>6.8940706870607876E-4</v>
      </c>
      <c r="DD26" s="324">
        <v>6.844148428615973E-4</v>
      </c>
      <c r="DE26" s="324">
        <v>6.8634617396886091E-4</v>
      </c>
      <c r="DF26" s="324">
        <v>6.8634617396886091E-4</v>
      </c>
      <c r="DG26" s="324">
        <f>$I26*IF($G26="Pickup", SUMIFS(NewEmisData!E:E, NewEmisData!$A:$A, "Pickup", NewEmisData!$B:$B, $A26, NewEmisData!$C:$C, $H26, NewEmisData!$D:$D, DG$2), SUMIFS(NewEmisData!E:E, NewEmisData!$A:$A, "LDV", NewEmisData!$B:$B, $A26, NewEmisData!$C:$C, $H26, NewEmisData!$D:$D, DG$2))</f>
        <v>0</v>
      </c>
      <c r="DH26" s="324">
        <f>$I26*IF($G26="Pickup", SUMIFS(NewEmisData!F:F, NewEmisData!$A:$A, "Pickup", NewEmisData!$B:$B, $A26, NewEmisData!$C:$C, $H26, NewEmisData!$D:$D, DH$2), SUMIFS(NewEmisData!F:F, NewEmisData!$A:$A, "LDV", NewEmisData!$B:$B, $A26, NewEmisData!$C:$C, $H26, NewEmisData!$D:$D, DH$2))</f>
        <v>0</v>
      </c>
      <c r="DI26" s="324">
        <f>$I26*IF($G26="Pickup", SUMIFS(NewEmisData!G:G, NewEmisData!$A:$A, "Pickup", NewEmisData!$B:$B, $A26, NewEmisData!$C:$C, $H26, NewEmisData!$D:$D, DI$2), SUMIFS(NewEmisData!G:G, NewEmisData!$A:$A, "LDV", NewEmisData!$B:$B, $A26, NewEmisData!$C:$C, $H26, NewEmisData!$D:$D, DI$2))</f>
        <v>0</v>
      </c>
      <c r="DJ26" s="324">
        <f>$I26*IF($G26="Pickup", SUMIFS(NewEmisData!H:H, NewEmisData!$A:$A, "Pickup", NewEmisData!$B:$B, $A26, NewEmisData!$C:$C, $H26, NewEmisData!$D:$D, DJ$2), SUMIFS(NewEmisData!H:H, NewEmisData!$A:$A, "LDV", NewEmisData!$B:$B, $A26, NewEmisData!$C:$C, $H26, NewEmisData!$D:$D, DJ$2))</f>
        <v>0</v>
      </c>
      <c r="DK26" s="324">
        <f>$I26*IF($G26="Pickup", SUMIFS(NewEmisData!I:I, NewEmisData!$A:$A, "Pickup", NewEmisData!$B:$B, $A26, NewEmisData!$C:$C, $H26, NewEmisData!$D:$D, DK$2), SUMIFS(NewEmisData!I:I, NewEmisData!$A:$A, "LDV", NewEmisData!$B:$B, $A26, NewEmisData!$C:$C, $H26, NewEmisData!$D:$D, DK$2))</f>
        <v>0</v>
      </c>
      <c r="DL26" s="324">
        <f>$I26*IF($G26="Pickup", SUMIFS(NewEmisData!J:J, NewEmisData!$A:$A, "Pickup", NewEmisData!$B:$B, $A26, NewEmisData!$C:$C, $H26, NewEmisData!$D:$D, DL$2), SUMIFS(NewEmisData!J:J, NewEmisData!$A:$A, "LDV", NewEmisData!$B:$B, $A26, NewEmisData!$C:$C, $H26, NewEmisData!$D:$D, DL$2))</f>
        <v>0</v>
      </c>
      <c r="DM26" s="324">
        <f>$I26*IF($G26="Pickup", SUMIFS(NewEmisData!K:K, NewEmisData!$A:$A, "Pickup", NewEmisData!$B:$B, $A26, NewEmisData!$C:$C, $H26, NewEmisData!$D:$D, DM$2), SUMIFS(NewEmisData!K:K, NewEmisData!$A:$A, "LDV", NewEmisData!$B:$B, $A26, NewEmisData!$C:$C, $H26, NewEmisData!$D:$D, DM$2))</f>
        <v>0</v>
      </c>
      <c r="DN26" s="324">
        <f>$I26*IF($G26="Pickup", SUMIFS(NewEmisData!L:L, NewEmisData!$A:$A, "Pickup", NewEmisData!$B:$B, $A26, NewEmisData!$C:$C, $H26, NewEmisData!$D:$D, DN$2), SUMIFS(NewEmisData!L:L, NewEmisData!$A:$A, "LDV", NewEmisData!$B:$B, $A26, NewEmisData!$C:$C, $H26, NewEmisData!$D:$D, DN$2))</f>
        <v>0</v>
      </c>
      <c r="DO26" s="324">
        <f>$I26*IF($G26="Pickup", SUMIFS(NewEmisData!M:M, NewEmisData!$A:$A, "Pickup", NewEmisData!$B:$B, $A26, NewEmisData!$C:$C, $H26, NewEmisData!$D:$D, DO$2), SUMIFS(NewEmisData!M:M, NewEmisData!$A:$A, "LDV", NewEmisData!$B:$B, $A26, NewEmisData!$C:$C, $H26, NewEmisData!$D:$D, DO$2))</f>
        <v>0</v>
      </c>
      <c r="DP26" s="324">
        <f t="shared" si="14"/>
        <v>0</v>
      </c>
      <c r="DQ26" s="324">
        <f>$I26*IF($G26="Pickup", SUMIFS(NewEmisData!E:E, NewEmisData!$A:$A, "Pickup", NewEmisData!$B:$B, $A26, NewEmisData!$C:$C, $H26, NewEmisData!$D:$D, DQ$2), SUMIFS(NewEmisData!E:E, NewEmisData!$A:$A, "LDV", NewEmisData!$B:$B, $A26, NewEmisData!$C:$C, $H26, NewEmisData!$D:$D, DQ$2))</f>
        <v>1.28100272800791E-2</v>
      </c>
      <c r="DR26" s="324">
        <f>$I26*IF($G26="Pickup", SUMIFS(NewEmisData!F:F, NewEmisData!$A:$A, "Pickup", NewEmisData!$B:$B, $A26, NewEmisData!$C:$C, $H26, NewEmisData!$D:$D, DR$2), SUMIFS(NewEmisData!F:F, NewEmisData!$A:$A, "LDV", NewEmisData!$B:$B, $A26, NewEmisData!$C:$C, $H26, NewEmisData!$D:$D, DR$2))</f>
        <v>6.9424260700293398E-3</v>
      </c>
      <c r="DS26" s="324">
        <f>$I26*IF($G26="Pickup", SUMIFS(NewEmisData!G:G, NewEmisData!$A:$A, "Pickup", NewEmisData!$B:$B, $A26, NewEmisData!$C:$C, $H26, NewEmisData!$D:$D, DS$2), SUMIFS(NewEmisData!G:G, NewEmisData!$A:$A, "LDV", NewEmisData!$B:$B, $A26, NewEmisData!$C:$C, $H26, NewEmisData!$D:$D, DS$2))</f>
        <v>5.5718062948972597E-3</v>
      </c>
      <c r="DT26" s="324">
        <f>$I26*IF($G26="Pickup", SUMIFS(NewEmisData!H:H, NewEmisData!$A:$A, "Pickup", NewEmisData!$B:$B, $A26, NewEmisData!$C:$C, $H26, NewEmisData!$D:$D, DT$2), SUMIFS(NewEmisData!H:H, NewEmisData!$A:$A, "LDV", NewEmisData!$B:$B, $A26, NewEmisData!$C:$C, $H26, NewEmisData!$D:$D, DT$2))</f>
        <v>4.2603417623007303E-3</v>
      </c>
      <c r="DU26" s="324">
        <f>$I26*IF($G26="Pickup", SUMIFS(NewEmisData!I:I, NewEmisData!$A:$A, "Pickup", NewEmisData!$B:$B, $A26, NewEmisData!$C:$C, $H26, NewEmisData!$D:$D, DU$2), SUMIFS(NewEmisData!I:I, NewEmisData!$A:$A, "LDV", NewEmisData!$B:$B, $A26, NewEmisData!$C:$C, $H26, NewEmisData!$D:$D, DU$2))</f>
        <v>3.31959498333436E-3</v>
      </c>
      <c r="DV26" s="324">
        <f>$I26*IF($G26="Pickup", SUMIFS(NewEmisData!J:J, NewEmisData!$A:$A, "Pickup", NewEmisData!$B:$B, $A26, NewEmisData!$C:$C, $H26, NewEmisData!$D:$D, DV$2), SUMIFS(NewEmisData!J:J, NewEmisData!$A:$A, "LDV", NewEmisData!$B:$B, $A26, NewEmisData!$C:$C, $H26, NewEmisData!$D:$D, DV$2))</f>
        <v>2.8901416801040899E-3</v>
      </c>
      <c r="DW26" s="324">
        <f>$I26*IF($G26="Pickup", SUMIFS(NewEmisData!K:K, NewEmisData!$A:$A, "Pickup", NewEmisData!$B:$B, $A26, NewEmisData!$C:$C, $H26, NewEmisData!$D:$D, DW$2), SUMIFS(NewEmisData!K:K, NewEmisData!$A:$A, "LDV", NewEmisData!$B:$B, $A26, NewEmisData!$C:$C, $H26, NewEmisData!$D:$D, DW$2))</f>
        <v>2.6480526244027302E-3</v>
      </c>
      <c r="DX26" s="324">
        <f>$I26*IF($G26="Pickup", SUMIFS(NewEmisData!L:L, NewEmisData!$A:$A, "Pickup", NewEmisData!$B:$B, $A26, NewEmisData!$C:$C, $H26, NewEmisData!$D:$D, DX$2), SUMIFS(NewEmisData!L:L, NewEmisData!$A:$A, "LDV", NewEmisData!$B:$B, $A26, NewEmisData!$C:$C, $H26, NewEmisData!$D:$D, DX$2))</f>
        <v>2.5707167297103401E-3</v>
      </c>
      <c r="DY26" s="324">
        <f>$I26*IF($G26="Pickup", SUMIFS(NewEmisData!M:M, NewEmisData!$A:$A, "Pickup", NewEmisData!$B:$B, $A26, NewEmisData!$C:$C, $H26, NewEmisData!$D:$D, DY$2), SUMIFS(NewEmisData!M:M, NewEmisData!$A:$A, "LDV", NewEmisData!$B:$B, $A26, NewEmisData!$C:$C, $H26, NewEmisData!$D:$D, DY$2))</f>
        <v>2.5319062605993902E-3</v>
      </c>
      <c r="DZ26" s="324">
        <f t="shared" si="15"/>
        <v>2.5319062605993902E-3</v>
      </c>
      <c r="EA26" s="324">
        <f t="shared" si="16"/>
        <v>437.85746964693402</v>
      </c>
      <c r="EB26" s="324">
        <f t="shared" si="17"/>
        <v>424.609883045034</v>
      </c>
      <c r="EC26" s="324">
        <f t="shared" si="18"/>
        <v>389.26792072260798</v>
      </c>
      <c r="ED26" s="324">
        <f t="shared" si="19"/>
        <v>331.09003080375697</v>
      </c>
      <c r="EE26" s="324">
        <f t="shared" si="20"/>
        <v>286.46929869872997</v>
      </c>
      <c r="EF26" s="324">
        <f t="shared" si="21"/>
        <v>261.33080310252802</v>
      </c>
      <c r="EG26" s="324">
        <f t="shared" si="22"/>
        <v>250.12665030232699</v>
      </c>
      <c r="EH26" s="324">
        <f t="shared" si="23"/>
        <v>246.146486551527</v>
      </c>
      <c r="EI26" s="324">
        <f t="shared" si="24"/>
        <v>244.677818234341</v>
      </c>
      <c r="EJ26" s="324">
        <f t="shared" si="25"/>
        <v>244.677818234341</v>
      </c>
      <c r="EK26" s="324">
        <f t="shared" si="26"/>
        <v>0.78000130642291299</v>
      </c>
      <c r="EL26" s="324">
        <f t="shared" si="27"/>
        <v>0.323605278282381</v>
      </c>
      <c r="EM26" s="324">
        <f t="shared" si="28"/>
        <v>0.19152446532377701</v>
      </c>
      <c r="EN26" s="324">
        <f t="shared" si="29"/>
        <v>0.12537127832280801</v>
      </c>
      <c r="EO26" s="324">
        <f t="shared" si="30"/>
        <v>7.6671766649271E-2</v>
      </c>
      <c r="EP26" s="324">
        <f t="shared" si="31"/>
        <v>5.7019026656941203E-2</v>
      </c>
      <c r="EQ26" s="324">
        <f t="shared" si="32"/>
        <v>4.8823281713844202E-2</v>
      </c>
      <c r="ER26" s="324">
        <f t="shared" si="33"/>
        <v>4.6542407484685501E-2</v>
      </c>
      <c r="ES26" s="324">
        <f t="shared" si="34"/>
        <v>4.5415311435121702E-2</v>
      </c>
      <c r="ET26" s="324">
        <f t="shared" si="35"/>
        <v>4.5415311435121702E-2</v>
      </c>
      <c r="EU26" s="324">
        <f t="shared" si="36"/>
        <v>7.5764719154140002E-3</v>
      </c>
      <c r="EV26" s="324">
        <f t="shared" si="37"/>
        <v>7.3472400077695399E-3</v>
      </c>
      <c r="EW26" s="324">
        <f t="shared" si="38"/>
        <v>5.5842494055705696E-3</v>
      </c>
      <c r="EX26" s="324">
        <f t="shared" si="39"/>
        <v>4.7496587466809804E-3</v>
      </c>
      <c r="EY26" s="324">
        <f t="shared" si="40"/>
        <v>4.1095518958717504E-3</v>
      </c>
      <c r="EZ26" s="324">
        <f t="shared" si="41"/>
        <v>3.7489264773323799E-3</v>
      </c>
      <c r="FA26" s="324">
        <f t="shared" si="42"/>
        <v>3.5881959766524201E-3</v>
      </c>
      <c r="FB26" s="324">
        <f t="shared" si="43"/>
        <v>3.5311006464952199E-3</v>
      </c>
      <c r="FC26" s="324">
        <f t="shared" si="44"/>
        <v>3.5100309709840301E-3</v>
      </c>
      <c r="FD26" s="324">
        <f t="shared" si="45"/>
        <v>3.5100309709840301E-3</v>
      </c>
      <c r="FE26" s="324">
        <f t="shared" si="46"/>
        <v>6.7831755328566196E-2</v>
      </c>
      <c r="FF26" s="324">
        <f t="shared" si="47"/>
        <v>6.3250667156757298E-2</v>
      </c>
      <c r="FG26" s="324">
        <f t="shared" si="48"/>
        <v>6.2628417187727006E-2</v>
      </c>
      <c r="FH26" s="324">
        <f t="shared" si="49"/>
        <v>6.1216981125607202E-2</v>
      </c>
      <c r="FI26" s="324">
        <f t="shared" si="50"/>
        <v>5.9842025439809501E-2</v>
      </c>
      <c r="FJ26" s="324">
        <f t="shared" si="51"/>
        <v>5.8761885691048198E-2</v>
      </c>
      <c r="FK26" s="324">
        <f t="shared" si="52"/>
        <v>5.8072078083983E-2</v>
      </c>
      <c r="FL26" s="324">
        <f t="shared" si="53"/>
        <v>5.7726484266030297E-2</v>
      </c>
      <c r="FM26" s="324">
        <f t="shared" si="54"/>
        <v>5.7530226905323702E-2</v>
      </c>
      <c r="FN26" s="324">
        <f t="shared" si="55"/>
        <v>5.7530226905323702E-2</v>
      </c>
      <c r="FO26" s="324">
        <f t="shared" si="56"/>
        <v>1.8324822567621701E-2</v>
      </c>
      <c r="FP26" s="324">
        <f t="shared" si="57"/>
        <v>1.4272294035055699E-2</v>
      </c>
      <c r="FQ26" s="324">
        <f t="shared" si="58"/>
        <v>1.3165752481838801E-2</v>
      </c>
      <c r="FR26" s="324">
        <f t="shared" si="59"/>
        <v>1.1917194849656599E-2</v>
      </c>
      <c r="FS26" s="324">
        <f t="shared" si="60"/>
        <v>1.0700861948252101E-2</v>
      </c>
      <c r="FT26" s="324">
        <f t="shared" si="61"/>
        <v>9.7453521893521699E-3</v>
      </c>
      <c r="FU26" s="324">
        <f t="shared" si="62"/>
        <v>9.1351470976244707E-3</v>
      </c>
      <c r="FV26" s="324">
        <f t="shared" si="63"/>
        <v>8.8293874131557606E-3</v>
      </c>
      <c r="FW26" s="324">
        <f t="shared" si="64"/>
        <v>8.6558174466142106E-3</v>
      </c>
      <c r="FX26" s="324">
        <f t="shared" si="65"/>
        <v>8.6558174466142106E-3</v>
      </c>
    </row>
    <row r="27" spans="1:180" x14ac:dyDescent="0.2">
      <c r="A27" s="298" t="str">
        <f>_xlfn.CONCAT(IF(LEFT(TRIM(A26),1)="*", "*R", "R"), 1+RIGHT(TRIM(A26),1))</f>
        <v>R4</v>
      </c>
      <c r="B27" s="298" t="str">
        <f t="shared" si="81"/>
        <v>TLEFGSL</v>
      </c>
      <c r="C27" s="298" t="str">
        <f t="shared" si="82"/>
        <v>TL.GSL.F.Existing fleet</v>
      </c>
      <c r="D27" s="294" t="str">
        <f t="shared" si="83"/>
        <v>bn-vmt, bn-vmt/a</v>
      </c>
      <c r="E27" s="294" t="str">
        <f t="shared" si="84"/>
        <v>TLGSL</v>
      </c>
      <c r="F27" s="294" t="str">
        <f t="shared" si="85"/>
        <v>TL</v>
      </c>
      <c r="G27" s="294" t="s">
        <v>476</v>
      </c>
      <c r="H27" s="294" t="s">
        <v>474</v>
      </c>
      <c r="I27" s="294">
        <v>1</v>
      </c>
      <c r="J27" s="308" t="str">
        <f t="shared" si="2"/>
        <v>Full size car-GSL</v>
      </c>
      <c r="K27" s="324">
        <f>$I27*IF($G27="Pickup", SUMIFS(NewEmisData!E:E, NewEmisData!$A:$A, "Pickup", NewEmisData!$B:$B, $A27, NewEmisData!$C:$C, $H27, NewEmisData!$D:$D, K$2), SUMIFS(NewEmisData!E:E, NewEmisData!$A:$A, "LDV", NewEmisData!$B:$B, $A27, NewEmisData!$C:$C, $H27, NewEmisData!$D:$D, K$2))</f>
        <v>605.35194063093002</v>
      </c>
      <c r="L27" s="324">
        <f>$I27*IF($G27="Pickup", SUMIFS(NewEmisData!F:F, NewEmisData!$A:$A, "Pickup", NewEmisData!$B:$B, $A27, NewEmisData!$C:$C, $H27, NewEmisData!$D:$D, L$2), SUMIFS(NewEmisData!F:F, NewEmisData!$A:$A, "LDV", NewEmisData!$B:$B, $A27, NewEmisData!$C:$C, $H27, NewEmisData!$D:$D, L$2))</f>
        <v>575.43677827742204</v>
      </c>
      <c r="M27" s="324">
        <f>$I27*IF($G27="Pickup", SUMIFS(NewEmisData!G:G, NewEmisData!$A:$A, "Pickup", NewEmisData!$B:$B, $A27, NewEmisData!$C:$C, $H27, NewEmisData!$D:$D, M$2), SUMIFS(NewEmisData!G:G, NewEmisData!$A:$A, "LDV", NewEmisData!$B:$B, $A27, NewEmisData!$C:$C, $H27, NewEmisData!$D:$D, M$2))</f>
        <v>447.50306541281799</v>
      </c>
      <c r="N27" s="324">
        <f>$I27*IF($G27="Pickup", SUMIFS(NewEmisData!H:H, NewEmisData!$A:$A, "Pickup", NewEmisData!$B:$B, $A27, NewEmisData!$C:$C, $H27, NewEmisData!$D:$D, N$2), SUMIFS(NewEmisData!H:H, NewEmisData!$A:$A, "LDV", NewEmisData!$B:$B, $A27, NewEmisData!$C:$C, $H27, NewEmisData!$D:$D, N$2))</f>
        <v>380.32748601406797</v>
      </c>
      <c r="O27" s="324">
        <f>$I27*IF($G27="Pickup", SUMIFS(NewEmisData!I:I, NewEmisData!$A:$A, "Pickup", NewEmisData!$B:$B, $A27, NewEmisData!$C:$C, $H27, NewEmisData!$D:$D, O$2), SUMIFS(NewEmisData!I:I, NewEmisData!$A:$A, "LDV", NewEmisData!$B:$B, $A27, NewEmisData!$C:$C, $H27, NewEmisData!$D:$D, O$2))</f>
        <v>328.8508655947</v>
      </c>
      <c r="P27" s="324">
        <f>$I27*IF($G27="Pickup", SUMIFS(NewEmisData!J:J, NewEmisData!$A:$A, "Pickup", NewEmisData!$B:$B, $A27, NewEmisData!$C:$C, $H27, NewEmisData!$D:$D, P$2), SUMIFS(NewEmisData!J:J, NewEmisData!$A:$A, "LDV", NewEmisData!$B:$B, $A27, NewEmisData!$C:$C, $H27, NewEmisData!$D:$D, P$2))</f>
        <v>299.87343037562698</v>
      </c>
      <c r="Q27" s="324">
        <f>$I27*IF($G27="Pickup", SUMIFS(NewEmisData!K:K, NewEmisData!$A:$A, "Pickup", NewEmisData!$B:$B, $A27, NewEmisData!$C:$C, $H27, NewEmisData!$D:$D, Q$2), SUMIFS(NewEmisData!K:K, NewEmisData!$A:$A, "LDV", NewEmisData!$B:$B, $A27, NewEmisData!$C:$C, $H27, NewEmisData!$D:$D, Q$2))</f>
        <v>286.96645721008798</v>
      </c>
      <c r="R27" s="324">
        <f>$I27*IF($G27="Pickup", SUMIFS(NewEmisData!L:L, NewEmisData!$A:$A, "Pickup", NewEmisData!$B:$B, $A27, NewEmisData!$C:$C, $H27, NewEmisData!$D:$D, R$2), SUMIFS(NewEmisData!L:L, NewEmisData!$A:$A, "LDV", NewEmisData!$B:$B, $A27, NewEmisData!$C:$C, $H27, NewEmisData!$D:$D, R$2))</f>
        <v>282.38592098475101</v>
      </c>
      <c r="S27" s="324">
        <f>$I27*IF($G27="Pickup", SUMIFS(NewEmisData!M:M, NewEmisData!$A:$A, "Pickup", NewEmisData!$B:$B, $A27, NewEmisData!$C:$C, $H27, NewEmisData!$D:$D, S$2), SUMIFS(NewEmisData!M:M, NewEmisData!$A:$A, "LDV", NewEmisData!$B:$B, $A27, NewEmisData!$C:$C, $H27, NewEmisData!$D:$D, S$2))</f>
        <v>280.69816184937503</v>
      </c>
      <c r="T27" s="324">
        <f t="shared" si="5"/>
        <v>280.69816184937503</v>
      </c>
      <c r="U27" s="324">
        <f>$I27*IF($G27="Pickup", SUMIFS(NewEmisData!E:E, NewEmisData!$A:$A, "Pickup", NewEmisData!$B:$B, $A27, NewEmisData!$C:$C, $H27, NewEmisData!$D:$D, U$2), SUMIFS(NewEmisData!E:E, NewEmisData!$A:$A, "LDV", NewEmisData!$B:$B, $A27, NewEmisData!$C:$C, $H27, NewEmisData!$D:$D, U$2))</f>
        <v>0.73999493628111201</v>
      </c>
      <c r="V27" s="324">
        <f>$I27*IF($G27="Pickup", SUMIFS(NewEmisData!F:F, NewEmisData!$A:$A, "Pickup", NewEmisData!$B:$B, $A27, NewEmisData!$C:$C, $H27, NewEmisData!$D:$D, V$2), SUMIFS(NewEmisData!F:F, NewEmisData!$A:$A, "LDV", NewEmisData!$B:$B, $A27, NewEmisData!$C:$C, $H27, NewEmisData!$D:$D, V$2))</f>
        <v>0.35335240075773999</v>
      </c>
      <c r="W27" s="324">
        <f>$I27*IF($G27="Pickup", SUMIFS(NewEmisData!G:G, NewEmisData!$A:$A, "Pickup", NewEmisData!$B:$B, $A27, NewEmisData!$C:$C, $H27, NewEmisData!$D:$D, W$2), SUMIFS(NewEmisData!G:G, NewEmisData!$A:$A, "LDV", NewEmisData!$B:$B, $A27, NewEmisData!$C:$C, $H27, NewEmisData!$D:$D, W$2))</f>
        <v>0.18897755292818599</v>
      </c>
      <c r="X27" s="324">
        <f>$I27*IF($G27="Pickup", SUMIFS(NewEmisData!H:H, NewEmisData!$A:$A, "Pickup", NewEmisData!$B:$B, $A27, NewEmisData!$C:$C, $H27, NewEmisData!$D:$D, X$2), SUMIFS(NewEmisData!H:H, NewEmisData!$A:$A, "LDV", NewEmisData!$B:$B, $A27, NewEmisData!$C:$C, $H27, NewEmisData!$D:$D, X$2))</f>
        <v>0.12218817840455801</v>
      </c>
      <c r="Y27" s="324">
        <f>$I27*IF($G27="Pickup", SUMIFS(NewEmisData!I:I, NewEmisData!$A:$A, "Pickup", NewEmisData!$B:$B, $A27, NewEmisData!$C:$C, $H27, NewEmisData!$D:$D, Y$2), SUMIFS(NewEmisData!I:I, NewEmisData!$A:$A, "LDV", NewEmisData!$B:$B, $A27, NewEmisData!$C:$C, $H27, NewEmisData!$D:$D, Y$2))</f>
        <v>7.3060825114572805E-2</v>
      </c>
      <c r="Z27" s="324">
        <f>$I27*IF($G27="Pickup", SUMIFS(NewEmisData!J:J, NewEmisData!$A:$A, "Pickup", NewEmisData!$B:$B, $A27, NewEmisData!$C:$C, $H27, NewEmisData!$D:$D, Z$2), SUMIFS(NewEmisData!J:J, NewEmisData!$A:$A, "LDV", NewEmisData!$B:$B, $A27, NewEmisData!$C:$C, $H27, NewEmisData!$D:$D, Z$2))</f>
        <v>5.3764321341730301E-2</v>
      </c>
      <c r="AA27" s="324">
        <f>$I27*IF($G27="Pickup", SUMIFS(NewEmisData!K:K, NewEmisData!$A:$A, "Pickup", NewEmisData!$B:$B, $A27, NewEmisData!$C:$C, $H27, NewEmisData!$D:$D, AA$2), SUMIFS(NewEmisData!K:K, NewEmisData!$A:$A, "LDV", NewEmisData!$B:$B, $A27, NewEmisData!$C:$C, $H27, NewEmisData!$D:$D, AA$2))</f>
        <v>4.5765873698397498E-2</v>
      </c>
      <c r="AB27" s="324">
        <f>$I27*IF($G27="Pickup", SUMIFS(NewEmisData!L:L, NewEmisData!$A:$A, "Pickup", NewEmisData!$B:$B, $A27, NewEmisData!$C:$C, $H27, NewEmisData!$D:$D, AB$2), SUMIFS(NewEmisData!L:L, NewEmisData!$A:$A, "LDV", NewEmisData!$B:$B, $A27, NewEmisData!$C:$C, $H27, NewEmisData!$D:$D, AB$2))</f>
        <v>4.3548109073897001E-2</v>
      </c>
      <c r="AC27" s="324">
        <f>$I27*IF($G27="Pickup", SUMIFS(NewEmisData!M:M, NewEmisData!$A:$A, "Pickup", NewEmisData!$B:$B, $A27, NewEmisData!$C:$C, $H27, NewEmisData!$D:$D, AC$2), SUMIFS(NewEmisData!M:M, NewEmisData!$A:$A, "LDV", NewEmisData!$B:$B, $A27, NewEmisData!$C:$C, $H27, NewEmisData!$D:$D, AC$2))</f>
        <v>4.24609775043936E-2</v>
      </c>
      <c r="AD27" s="324">
        <f t="shared" si="6"/>
        <v>4.24609775043936E-2</v>
      </c>
      <c r="AE27" s="324">
        <f>$I27*IF($G27="Pickup", SUMIFS(NewEmisData!E:E, NewEmisData!$A:$A, "Pickup", NewEmisData!$B:$B, $A27, NewEmisData!$C:$C, $H27, NewEmisData!$D:$D, AE$2), SUMIFS(NewEmisData!E:E, NewEmisData!$A:$A, "LDV", NewEmisData!$B:$B, $A27, NewEmisData!$C:$C, $H27, NewEmisData!$D:$D, AE$2))</f>
        <v>1.04747160569124E-2</v>
      </c>
      <c r="AF27" s="324">
        <f>$I27*IF($G27="Pickup", SUMIFS(NewEmisData!F:F, NewEmisData!$A:$A, "Pickup", NewEmisData!$B:$B, $A27, NewEmisData!$C:$C, $H27, NewEmisData!$D:$D, AF$2), SUMIFS(NewEmisData!F:F, NewEmisData!$A:$A, "LDV", NewEmisData!$B:$B, $A27, NewEmisData!$C:$C, $H27, NewEmisData!$D:$D, AF$2))</f>
        <v>9.9570764799691708E-3</v>
      </c>
      <c r="AG27" s="324">
        <f>$I27*IF($G27="Pickup", SUMIFS(NewEmisData!G:G, NewEmisData!$A:$A, "Pickup", NewEmisData!$B:$B, $A27, NewEmisData!$C:$C, $H27, NewEmisData!$D:$D, AG$2), SUMIFS(NewEmisData!G:G, NewEmisData!$A:$A, "LDV", NewEmisData!$B:$B, $A27, NewEmisData!$C:$C, $H27, NewEmisData!$D:$D, AG$2))</f>
        <v>6.4196648888919499E-3</v>
      </c>
      <c r="AH27" s="324">
        <f>$I27*IF($G27="Pickup", SUMIFS(NewEmisData!H:H, NewEmisData!$A:$A, "Pickup", NewEmisData!$B:$B, $A27, NewEmisData!$C:$C, $H27, NewEmisData!$D:$D, AH$2), SUMIFS(NewEmisData!H:H, NewEmisData!$A:$A, "LDV", NewEmisData!$B:$B, $A27, NewEmisData!$C:$C, $H27, NewEmisData!$D:$D, AH$2))</f>
        <v>5.45599526494426E-3</v>
      </c>
      <c r="AI27" s="324">
        <f>$I27*IF($G27="Pickup", SUMIFS(NewEmisData!I:I, NewEmisData!$A:$A, "Pickup", NewEmisData!$B:$B, $A27, NewEmisData!$C:$C, $H27, NewEmisData!$D:$D, AI$2), SUMIFS(NewEmisData!I:I, NewEmisData!$A:$A, "LDV", NewEmisData!$B:$B, $A27, NewEmisData!$C:$C, $H27, NewEmisData!$D:$D, AI$2))</f>
        <v>4.7175365225731996E-3</v>
      </c>
      <c r="AJ27" s="324">
        <f>$I27*IF($G27="Pickup", SUMIFS(NewEmisData!J:J, NewEmisData!$A:$A, "Pickup", NewEmisData!$B:$B, $A27, NewEmisData!$C:$C, $H27, NewEmisData!$D:$D, AJ$2), SUMIFS(NewEmisData!J:J, NewEmisData!$A:$A, "LDV", NewEmisData!$B:$B, $A27, NewEmisData!$C:$C, $H27, NewEmisData!$D:$D, AJ$2))</f>
        <v>4.3018391726363297E-3</v>
      </c>
      <c r="AK27" s="324">
        <f>$I27*IF($G27="Pickup", SUMIFS(NewEmisData!K:K, NewEmisData!$A:$A, "Pickup", NewEmisData!$B:$B, $A27, NewEmisData!$C:$C, $H27, NewEmisData!$D:$D, AK$2), SUMIFS(NewEmisData!K:K, NewEmisData!$A:$A, "LDV", NewEmisData!$B:$B, $A27, NewEmisData!$C:$C, $H27, NewEmisData!$D:$D, AK$2))</f>
        <v>4.1166816404986702E-3</v>
      </c>
      <c r="AL27" s="324">
        <f>$I27*IF($G27="Pickup", SUMIFS(NewEmisData!L:L, NewEmisData!$A:$A, "Pickup", NewEmisData!$B:$B, $A27, NewEmisData!$C:$C, $H27, NewEmisData!$D:$D, AL$2), SUMIFS(NewEmisData!L:L, NewEmisData!$A:$A, "LDV", NewEmisData!$B:$B, $A27, NewEmisData!$C:$C, $H27, NewEmisData!$D:$D, AL$2))</f>
        <v>4.0509726462172697E-3</v>
      </c>
      <c r="AM27" s="324">
        <f>$I27*IF($G27="Pickup", SUMIFS(NewEmisData!M:M, NewEmisData!$A:$A, "Pickup", NewEmisData!$B:$B, $A27, NewEmisData!$C:$C, $H27, NewEmisData!$D:$D, AM$2), SUMIFS(NewEmisData!M:M, NewEmisData!$A:$A, "LDV", NewEmisData!$B:$B, $A27, NewEmisData!$C:$C, $H27, NewEmisData!$D:$D, AM$2))</f>
        <v>4.0267596573162799E-3</v>
      </c>
      <c r="AN27" s="324">
        <f t="shared" si="7"/>
        <v>4.0267596573162799E-3</v>
      </c>
      <c r="AO27" s="324">
        <f>$I27*IF($G27="Pickup", SUMIFS(NewEmisData!E:E, NewEmisData!$A:$A, "Pickup", NewEmisData!$B:$B, $A27, NewEmisData!$C:$C, $H27, NewEmisData!$D:$D, AO$2), SUMIFS(NewEmisData!E:E, NewEmisData!$A:$A, "LDV", NewEmisData!$B:$B, $A27, NewEmisData!$C:$C, $H27, NewEmisData!$D:$D, AO$2))</f>
        <v>0.112529836649977</v>
      </c>
      <c r="AP27" s="324">
        <f>$I27*IF($G27="Pickup", SUMIFS(NewEmisData!F:F, NewEmisData!$A:$A, "Pickup", NewEmisData!$B:$B, $A27, NewEmisData!$C:$C, $H27, NewEmisData!$D:$D, AP$2), SUMIFS(NewEmisData!F:F, NewEmisData!$A:$A, "LDV", NewEmisData!$B:$B, $A27, NewEmisData!$C:$C, $H27, NewEmisData!$D:$D, AP$2))</f>
        <v>0.103764807432247</v>
      </c>
      <c r="AQ27" s="324">
        <f>$I27*IF($G27="Pickup", SUMIFS(NewEmisData!G:G, NewEmisData!$A:$A, "Pickup", NewEmisData!$B:$B, $A27, NewEmisData!$C:$C, $H27, NewEmisData!$D:$D, AQ$2), SUMIFS(NewEmisData!G:G, NewEmisData!$A:$A, "LDV", NewEmisData!$B:$B, $A27, NewEmisData!$C:$C, $H27, NewEmisData!$D:$D, AQ$2))</f>
        <v>8.1904009889209095E-2</v>
      </c>
      <c r="AR27" s="324">
        <f>$I27*IF($G27="Pickup", SUMIFS(NewEmisData!H:H, NewEmisData!$A:$A, "Pickup", NewEmisData!$B:$B, $A27, NewEmisData!$C:$C, $H27, NewEmisData!$D:$D, AR$2), SUMIFS(NewEmisData!H:H, NewEmisData!$A:$A, "LDV", NewEmisData!$B:$B, $A27, NewEmisData!$C:$C, $H27, NewEmisData!$D:$D, AR$2))</f>
        <v>8.0372811122020202E-2</v>
      </c>
      <c r="AS27" s="324">
        <f>$I27*IF($G27="Pickup", SUMIFS(NewEmisData!I:I, NewEmisData!$A:$A, "Pickup", NewEmisData!$B:$B, $A27, NewEmisData!$C:$C, $H27, NewEmisData!$D:$D, AS$2), SUMIFS(NewEmisData!I:I, NewEmisData!$A:$A, "LDV", NewEmisData!$B:$B, $A27, NewEmisData!$C:$C, $H27, NewEmisData!$D:$D, AS$2))</f>
        <v>7.8826850839141593E-2</v>
      </c>
      <c r="AT27" s="324">
        <f>$I27*IF($G27="Pickup", SUMIFS(NewEmisData!J:J, NewEmisData!$A:$A, "Pickup", NewEmisData!$B:$B, $A27, NewEmisData!$C:$C, $H27, NewEmisData!$D:$D, AT$2), SUMIFS(NewEmisData!J:J, NewEmisData!$A:$A, "LDV", NewEmisData!$B:$B, $A27, NewEmisData!$C:$C, $H27, NewEmisData!$D:$D, AT$2))</f>
        <v>7.7629471627150906E-2</v>
      </c>
      <c r="AU27" s="324">
        <f>$I27*IF($G27="Pickup", SUMIFS(NewEmisData!K:K, NewEmisData!$A:$A, "Pickup", NewEmisData!$B:$B, $A27, NewEmisData!$C:$C, $H27, NewEmisData!$D:$D, AU$2), SUMIFS(NewEmisData!K:K, NewEmisData!$A:$A, "LDV", NewEmisData!$B:$B, $A27, NewEmisData!$C:$C, $H27, NewEmisData!$D:$D, AU$2))</f>
        <v>7.6869255276324197E-2</v>
      </c>
      <c r="AV27" s="324">
        <f>$I27*IF($G27="Pickup", SUMIFS(NewEmisData!L:L, NewEmisData!$A:$A, "Pickup", NewEmisData!$B:$B, $A27, NewEmisData!$C:$C, $H27, NewEmisData!$D:$D, AV$2), SUMIFS(NewEmisData!L:L, NewEmisData!$A:$A, "LDV", NewEmisData!$B:$B, $A27, NewEmisData!$C:$C, $H27, NewEmisData!$D:$D, AV$2))</f>
        <v>7.6489801218608905E-2</v>
      </c>
      <c r="AW27" s="324">
        <f>$I27*IF($G27="Pickup", SUMIFS(NewEmisData!M:M, NewEmisData!$A:$A, "Pickup", NewEmisData!$B:$B, $A27, NewEmisData!$C:$C, $H27, NewEmisData!$D:$D, AW$2), SUMIFS(NewEmisData!M:M, NewEmisData!$A:$A, "LDV", NewEmisData!$B:$B, $A27, NewEmisData!$C:$C, $H27, NewEmisData!$D:$D, AW$2))</f>
        <v>7.6275890012832595E-2</v>
      </c>
      <c r="AX27" s="324">
        <f t="shared" si="8"/>
        <v>7.6275890012832595E-2</v>
      </c>
      <c r="AY27" s="324">
        <f>$I27*IF($G27="Pickup", SUMIFS(NewEmisData!E:E, NewEmisData!$A:$A, "Pickup", NewEmisData!$B:$B, $A27, NewEmisData!$C:$C, $H27, NewEmisData!$D:$D, AY$2), SUMIFS(NewEmisData!E:E, NewEmisData!$A:$A, "LDV", NewEmisData!$B:$B, $A27, NewEmisData!$C:$C, $H27, NewEmisData!$D:$D, AY$2))</f>
        <v>2.93140110896879E-2</v>
      </c>
      <c r="AZ27" s="324">
        <f>$I27*IF($G27="Pickup", SUMIFS(NewEmisData!F:F, NewEmisData!$A:$A, "Pickup", NewEmisData!$B:$B, $A27, NewEmisData!$C:$C, $H27, NewEmisData!$D:$D, AZ$2), SUMIFS(NewEmisData!F:F, NewEmisData!$A:$A, "LDV", NewEmisData!$B:$B, $A27, NewEmisData!$C:$C, $H27, NewEmisData!$D:$D, AZ$2))</f>
        <v>2.15603319614842E-2</v>
      </c>
      <c r="BA27" s="324">
        <f>$I27*IF($G27="Pickup", SUMIFS(NewEmisData!G:G, NewEmisData!$A:$A, "Pickup", NewEmisData!$B:$B, $A27, NewEmisData!$C:$C, $H27, NewEmisData!$D:$D, BA$2), SUMIFS(NewEmisData!G:G, NewEmisData!$A:$A, "LDV", NewEmisData!$B:$B, $A27, NewEmisData!$C:$C, $H27, NewEmisData!$D:$D, BA$2))</f>
        <v>1.61359542510712E-2</v>
      </c>
      <c r="BB27" s="324">
        <f>$I27*IF($G27="Pickup", SUMIFS(NewEmisData!H:H, NewEmisData!$A:$A, "Pickup", NewEmisData!$B:$B, $A27, NewEmisData!$C:$C, $H27, NewEmisData!$D:$D, BB$2), SUMIFS(NewEmisData!H:H, NewEmisData!$A:$A, "LDV", NewEmisData!$B:$B, $A27, NewEmisData!$C:$C, $H27, NewEmisData!$D:$D, BB$2))</f>
        <v>1.4781439172223E-2</v>
      </c>
      <c r="BC27" s="324">
        <f>$I27*IF($G27="Pickup", SUMIFS(NewEmisData!I:I, NewEmisData!$A:$A, "Pickup", NewEmisData!$B:$B, $A27, NewEmisData!$C:$C, $H27, NewEmisData!$D:$D, BC$2), SUMIFS(NewEmisData!I:I, NewEmisData!$A:$A, "LDV", NewEmisData!$B:$B, $A27, NewEmisData!$C:$C, $H27, NewEmisData!$D:$D, BC$2))</f>
        <v>1.3413837806436801E-2</v>
      </c>
      <c r="BD27" s="324">
        <f>$I27*IF($G27="Pickup", SUMIFS(NewEmisData!J:J, NewEmisData!$A:$A, "Pickup", NewEmisData!$B:$B, $A27, NewEmisData!$C:$C, $H27, NewEmisData!$D:$D, BD$2), SUMIFS(NewEmisData!J:J, NewEmisData!$A:$A, "LDV", NewEmisData!$B:$B, $A27, NewEmisData!$C:$C, $H27, NewEmisData!$D:$D, BD$2))</f>
        <v>1.2354573478352299E-2</v>
      </c>
      <c r="BE27" s="324">
        <f>$I27*IF($G27="Pickup", SUMIFS(NewEmisData!K:K, NewEmisData!$A:$A, "Pickup", NewEmisData!$B:$B, $A27, NewEmisData!$C:$C, $H27, NewEmisData!$D:$D, BE$2), SUMIFS(NewEmisData!K:K, NewEmisData!$A:$A, "LDV", NewEmisData!$B:$B, $A27, NewEmisData!$C:$C, $H27, NewEmisData!$D:$D, BE$2))</f>
        <v>1.16820653404197E-2</v>
      </c>
      <c r="BF27" s="324">
        <f>$I27*IF($G27="Pickup", SUMIFS(NewEmisData!L:L, NewEmisData!$A:$A, "Pickup", NewEmisData!$B:$B, $A27, NewEmisData!$C:$C, $H27, NewEmisData!$D:$D, BF$2), SUMIFS(NewEmisData!L:L, NewEmisData!$A:$A, "LDV", NewEmisData!$B:$B, $A27, NewEmisData!$C:$C, $H27, NewEmisData!$D:$D, BF$2))</f>
        <v>1.13463459698093E-2</v>
      </c>
      <c r="BG27" s="324">
        <f>$I27*IF($G27="Pickup", SUMIFS(NewEmisData!M:M, NewEmisData!$A:$A, "Pickup", NewEmisData!$B:$B, $A27, NewEmisData!$C:$C, $H27, NewEmisData!$D:$D, BG$2), SUMIFS(NewEmisData!M:M, NewEmisData!$A:$A, "LDV", NewEmisData!$B:$B, $A27, NewEmisData!$C:$C, $H27, NewEmisData!$D:$D, BG$2))</f>
        <v>1.1157149268450401E-2</v>
      </c>
      <c r="BH27" s="324">
        <f t="shared" si="9"/>
        <v>1.1157149268450401E-2</v>
      </c>
      <c r="BI27" s="324">
        <f>$I27*IF($G27="Pickup", SUMIFS(NewEmisData!E:E, NewEmisData!$A:$A, "Pickup", NewEmisData!$B:$B, $A27, NewEmisData!$C:$C, $H27, NewEmisData!$D:$D, BI$2), SUMIFS(NewEmisData!E:E, NewEmisData!$A:$A, "LDV", NewEmisData!$B:$B, $A27, NewEmisData!$C:$C, $H27, NewEmisData!$D:$D, BI$2))</f>
        <v>7.7707306410078001</v>
      </c>
      <c r="BJ27" s="324">
        <f>$I27*IF($G27="Pickup", SUMIFS(NewEmisData!F:F, NewEmisData!$A:$A, "Pickup", NewEmisData!$B:$B, $A27, NewEmisData!$C:$C, $H27, NewEmisData!$D:$D, BJ$2), SUMIFS(NewEmisData!F:F, NewEmisData!$A:$A, "LDV", NewEmisData!$B:$B, $A27, NewEmisData!$C:$C, $H27, NewEmisData!$D:$D, BJ$2))</f>
        <v>4.4247869376442202</v>
      </c>
      <c r="BK27" s="324">
        <f>$I27*IF($G27="Pickup", SUMIFS(NewEmisData!G:G, NewEmisData!$A:$A, "Pickup", NewEmisData!$B:$B, $A27, NewEmisData!$C:$C, $H27, NewEmisData!$D:$D, BK$2), SUMIFS(NewEmisData!G:G, NewEmisData!$A:$A, "LDV", NewEmisData!$B:$B, $A27, NewEmisData!$C:$C, $H27, NewEmisData!$D:$D, BK$2))</f>
        <v>2.6540717659073501</v>
      </c>
      <c r="BL27" s="324">
        <f>$I27*IF($G27="Pickup", SUMIFS(NewEmisData!H:H, NewEmisData!$A:$A, "Pickup", NewEmisData!$B:$B, $A27, NewEmisData!$C:$C, $H27, NewEmisData!$D:$D, BL$2), SUMIFS(NewEmisData!H:H, NewEmisData!$A:$A, "LDV", NewEmisData!$B:$B, $A27, NewEmisData!$C:$C, $H27, NewEmisData!$D:$D, BL$2))</f>
        <v>2.0604732381170998</v>
      </c>
      <c r="BM27" s="324">
        <f>$I27*IF($G27="Pickup", SUMIFS(NewEmisData!I:I, NewEmisData!$A:$A, "Pickup", NewEmisData!$B:$B, $A27, NewEmisData!$C:$C, $H27, NewEmisData!$D:$D, BM$2), SUMIFS(NewEmisData!I:I, NewEmisData!$A:$A, "LDV", NewEmisData!$B:$B, $A27, NewEmisData!$C:$C, $H27, NewEmisData!$D:$D, BM$2))</f>
        <v>1.4768702583128299</v>
      </c>
      <c r="BN27" s="324">
        <f>$I27*IF($G27="Pickup", SUMIFS(NewEmisData!J:J, NewEmisData!$A:$A, "Pickup", NewEmisData!$B:$B, $A27, NewEmisData!$C:$C, $H27, NewEmisData!$D:$D, BN$2), SUMIFS(NewEmisData!J:J, NewEmisData!$A:$A, "LDV", NewEmisData!$B:$B, $A27, NewEmisData!$C:$C, $H27, NewEmisData!$D:$D, BN$2))</f>
        <v>1.1597745551704699</v>
      </c>
      <c r="BO27" s="324">
        <f>$I27*IF($G27="Pickup", SUMIFS(NewEmisData!K:K, NewEmisData!$A:$A, "Pickup", NewEmisData!$B:$B, $A27, NewEmisData!$C:$C, $H27, NewEmisData!$D:$D, BO$2), SUMIFS(NewEmisData!K:K, NewEmisData!$A:$A, "LDV", NewEmisData!$B:$B, $A27, NewEmisData!$C:$C, $H27, NewEmisData!$D:$D, BO$2))</f>
        <v>1.01795642585422</v>
      </c>
      <c r="BP27" s="324">
        <f>$I27*IF($G27="Pickup", SUMIFS(NewEmisData!L:L, NewEmisData!$A:$A, "Pickup", NewEmisData!$B:$B, $A27, NewEmisData!$C:$C, $H27, NewEmisData!$D:$D, BP$2), SUMIFS(NewEmisData!L:L, NewEmisData!$A:$A, "LDV", NewEmisData!$B:$B, $A27, NewEmisData!$C:$C, $H27, NewEmisData!$D:$D, BP$2))</f>
        <v>0.97243111781319103</v>
      </c>
      <c r="BQ27" s="324">
        <f>$I27*IF($G27="Pickup", SUMIFS(NewEmisData!M:M, NewEmisData!$A:$A, "Pickup", NewEmisData!$B:$B, $A27, NewEmisData!$C:$C, $H27, NewEmisData!$D:$D, BQ$2), SUMIFS(NewEmisData!M:M, NewEmisData!$A:$A, "LDV", NewEmisData!$B:$B, $A27, NewEmisData!$C:$C, $H27, NewEmisData!$D:$D, BQ$2))</f>
        <v>0.94396289100680397</v>
      </c>
      <c r="BR27" s="324">
        <f t="shared" si="10"/>
        <v>0.94396289100680397</v>
      </c>
      <c r="BS27" s="324">
        <f>$I27*IF($G27="Pickup", SUMIFS(NewEmisData!E:E, NewEmisData!$A:$A, "Pickup", NewEmisData!$B:$B, $A27, NewEmisData!$C:$C, $H27, NewEmisData!$D:$D, BS$2), SUMIFS(NewEmisData!E:E, NewEmisData!$A:$A, "LDV", NewEmisData!$B:$B, $A27, NewEmisData!$C:$C, $H27, NewEmisData!$D:$D, BS$2))</f>
        <v>0.868939523792984</v>
      </c>
      <c r="BT27" s="324">
        <f>$I27*IF($G27="Pickup", SUMIFS(NewEmisData!F:F, NewEmisData!$A:$A, "Pickup", NewEmisData!$B:$B, $A27, NewEmisData!$C:$C, $H27, NewEmisData!$D:$D, BT$2), SUMIFS(NewEmisData!F:F, NewEmisData!$A:$A, "LDV", NewEmisData!$B:$B, $A27, NewEmisData!$C:$C, $H27, NewEmisData!$D:$D, BT$2))</f>
        <v>0.46984846516954898</v>
      </c>
      <c r="BU27" s="324">
        <f>$I27*IF($G27="Pickup", SUMIFS(NewEmisData!G:G, NewEmisData!$A:$A, "Pickup", NewEmisData!$B:$B, $A27, NewEmisData!$C:$C, $H27, NewEmisData!$D:$D, BU$2), SUMIFS(NewEmisData!G:G, NewEmisData!$A:$A, "LDV", NewEmisData!$B:$B, $A27, NewEmisData!$C:$C, $H27, NewEmisData!$D:$D, BU$2))</f>
        <v>0.25380786816335299</v>
      </c>
      <c r="BV27" s="324">
        <f>$I27*IF($G27="Pickup", SUMIFS(NewEmisData!H:H, NewEmisData!$A:$A, "Pickup", NewEmisData!$B:$B, $A27, NewEmisData!$C:$C, $H27, NewEmisData!$D:$D, BV$2), SUMIFS(NewEmisData!H:H, NewEmisData!$A:$A, "LDV", NewEmisData!$B:$B, $A27, NewEmisData!$C:$C, $H27, NewEmisData!$D:$D, BV$2))</f>
        <v>0.20500079484657399</v>
      </c>
      <c r="BW27" s="324">
        <f>$I27*IF($G27="Pickup", SUMIFS(NewEmisData!I:I, NewEmisData!$A:$A, "Pickup", NewEmisData!$B:$B, $A27, NewEmisData!$C:$C, $H27, NewEmisData!$D:$D, BW$2), SUMIFS(NewEmisData!I:I, NewEmisData!$A:$A, "LDV", NewEmisData!$B:$B, $A27, NewEmisData!$C:$C, $H27, NewEmisData!$D:$D, BW$2))</f>
        <v>0.15182918417959501</v>
      </c>
      <c r="BX27" s="324">
        <f>$I27*IF($G27="Pickup", SUMIFS(NewEmisData!J:J, NewEmisData!$A:$A, "Pickup", NewEmisData!$B:$B, $A27, NewEmisData!$C:$C, $H27, NewEmisData!$D:$D, BX$2), SUMIFS(NewEmisData!J:J, NewEmisData!$A:$A, "LDV", NewEmisData!$B:$B, $A27, NewEmisData!$C:$C, $H27, NewEmisData!$D:$D, BX$2))</f>
        <v>0.12865137268893501</v>
      </c>
      <c r="BY27" s="324">
        <f>$I27*IF($G27="Pickup", SUMIFS(NewEmisData!K:K, NewEmisData!$A:$A, "Pickup", NewEmisData!$B:$B, $A27, NewEmisData!$C:$C, $H27, NewEmisData!$D:$D, BY$2), SUMIFS(NewEmisData!K:K, NewEmisData!$A:$A, "LDV", NewEmisData!$B:$B, $A27, NewEmisData!$C:$C, $H27, NewEmisData!$D:$D, BY$2))</f>
        <v>0.11591502454704899</v>
      </c>
      <c r="BZ27" s="324">
        <f>$I27*IF($G27="Pickup", SUMIFS(NewEmisData!L:L, NewEmisData!$A:$A, "Pickup", NewEmisData!$B:$B, $A27, NewEmisData!$C:$C, $H27, NewEmisData!$D:$D, BZ$2), SUMIFS(NewEmisData!L:L, NewEmisData!$A:$A, "LDV", NewEmisData!$B:$B, $A27, NewEmisData!$C:$C, $H27, NewEmisData!$D:$D, BZ$2))</f>
        <v>0.110951334785302</v>
      </c>
      <c r="CA27" s="324">
        <f>$I27*IF($G27="Pickup", SUMIFS(NewEmisData!M:M, NewEmisData!$A:$A, "Pickup", NewEmisData!$B:$B, $A27, NewEmisData!$C:$C, $H27, NewEmisData!$D:$D, CA$2), SUMIFS(NewEmisData!M:M, NewEmisData!$A:$A, "LDV", NewEmisData!$B:$B, $A27, NewEmisData!$C:$C, $H27, NewEmisData!$D:$D, CA$2))</f>
        <v>0.10699337260583799</v>
      </c>
      <c r="CB27" s="324">
        <f t="shared" si="11"/>
        <v>0.10699337260583799</v>
      </c>
      <c r="CC27" s="324">
        <f>$I27*IF($G27="Pickup", SUMIFS(NewEmisData!E:E, NewEmisData!$A:$A, "Pickup", NewEmisData!$B:$B, $A27, NewEmisData!$C:$C, $H27, NewEmisData!$D:$D, CC$2), SUMIFS(NewEmisData!E:E, NewEmisData!$A:$A, "LDV", NewEmisData!$B:$B, $A27, NewEmisData!$C:$C, $H27, NewEmisData!$D:$D, CC$2))</f>
        <v>5.1125583760404797E-2</v>
      </c>
      <c r="CD27" s="324">
        <f>$I27*IF($G27="Pickup", SUMIFS(NewEmisData!F:F, NewEmisData!$A:$A, "Pickup", NewEmisData!$B:$B, $A27, NewEmisData!$C:$C, $H27, NewEmisData!$D:$D, CD$2), SUMIFS(NewEmisData!F:F, NewEmisData!$A:$A, "LDV", NewEmisData!$B:$B, $A27, NewEmisData!$C:$C, $H27, NewEmisData!$D:$D, CD$2))</f>
        <v>3.7154393856404101E-2</v>
      </c>
      <c r="CE27" s="324">
        <f>$I27*IF($G27="Pickup", SUMIFS(NewEmisData!G:G, NewEmisData!$A:$A, "Pickup", NewEmisData!$B:$B, $A27, NewEmisData!$C:$C, $H27, NewEmisData!$D:$D, CE$2), SUMIFS(NewEmisData!G:G, NewEmisData!$A:$A, "LDV", NewEmisData!$B:$B, $A27, NewEmisData!$C:$C, $H27, NewEmisData!$D:$D, CE$2))</f>
        <v>2.8853651309577E-2</v>
      </c>
      <c r="CF27" s="324">
        <f>$I27*IF($G27="Pickup", SUMIFS(NewEmisData!H:H, NewEmisData!$A:$A, "Pickup", NewEmisData!$B:$B, $A27, NewEmisData!$C:$C, $H27, NewEmisData!$D:$D, CF$2), SUMIFS(NewEmisData!H:H, NewEmisData!$A:$A, "LDV", NewEmisData!$B:$B, $A27, NewEmisData!$C:$C, $H27, NewEmisData!$D:$D, CF$2))</f>
        <v>2.7537520644524499E-2</v>
      </c>
      <c r="CG27" s="324">
        <f>$I27*IF($G27="Pickup", SUMIFS(NewEmisData!I:I, NewEmisData!$A:$A, "Pickup", NewEmisData!$B:$B, $A27, NewEmisData!$C:$C, $H27, NewEmisData!$D:$D, CG$2), SUMIFS(NewEmisData!I:I, NewEmisData!$A:$A, "LDV", NewEmisData!$B:$B, $A27, NewEmisData!$C:$C, $H27, NewEmisData!$D:$D, CG$2))</f>
        <v>2.6666633761740999E-2</v>
      </c>
      <c r="CH27" s="324">
        <f>$I27*IF($G27="Pickup", SUMIFS(NewEmisData!J:J, NewEmisData!$A:$A, "Pickup", NewEmisData!$B:$B, $A27, NewEmisData!$C:$C, $H27, NewEmisData!$D:$D, CH$2), SUMIFS(NewEmisData!J:J, NewEmisData!$A:$A, "LDV", NewEmisData!$B:$B, $A27, NewEmisData!$C:$C, $H27, NewEmisData!$D:$D, CH$2))</f>
        <v>2.5980348711507999E-2</v>
      </c>
      <c r="CI27" s="324">
        <f>$I27*IF($G27="Pickup", SUMIFS(NewEmisData!K:K, NewEmisData!$A:$A, "Pickup", NewEmisData!$B:$B, $A27, NewEmisData!$C:$C, $H27, NewEmisData!$D:$D, CI$2), SUMIFS(NewEmisData!K:K, NewEmisData!$A:$A, "LDV", NewEmisData!$B:$B, $A27, NewEmisData!$C:$C, $H27, NewEmisData!$D:$D, CI$2))</f>
        <v>2.5978185303944301E-2</v>
      </c>
      <c r="CJ27" s="324">
        <f>$I27*IF($G27="Pickup", SUMIFS(NewEmisData!L:L, NewEmisData!$A:$A, "Pickup", NewEmisData!$B:$B, $A27, NewEmisData!$C:$C, $H27, NewEmisData!$D:$D, CJ$2), SUMIFS(NewEmisData!L:L, NewEmisData!$A:$A, "LDV", NewEmisData!$B:$B, $A27, NewEmisData!$C:$C, $H27, NewEmisData!$D:$D, CJ$2))</f>
        <v>2.5977588735828699E-2</v>
      </c>
      <c r="CK27" s="324">
        <f>$I27*IF($G27="Pickup", SUMIFS(NewEmisData!M:M, NewEmisData!$A:$A, "Pickup", NewEmisData!$B:$B, $A27, NewEmisData!$C:$C, $H27, NewEmisData!$D:$D, CK$2), SUMIFS(NewEmisData!M:M, NewEmisData!$A:$A, "LDV", NewEmisData!$B:$B, $A27, NewEmisData!$C:$C, $H27, NewEmisData!$D:$D, CK$2))</f>
        <v>2.5976994364069798E-2</v>
      </c>
      <c r="CL27" s="324">
        <f t="shared" si="12"/>
        <v>2.5976994364069798E-2</v>
      </c>
      <c r="CM27" s="324">
        <f>$I27*IF($G27="Pickup", SUMIFS(NewEmisData!E:E, NewEmisData!$A:$A, "Pickup", NewEmisData!$B:$B, $A27, NewEmisData!$C:$C, $H27, NewEmisData!$D:$D, CM$2), SUMIFS(NewEmisData!E:E, NewEmisData!$A:$A, "LDV", NewEmisData!$B:$B, $A27, NewEmisData!$C:$C, $H27, NewEmisData!$D:$D, CM$2))</f>
        <v>2.2752592498671498E-2</v>
      </c>
      <c r="CN27" s="324">
        <f>$I27*IF($G27="Pickup", SUMIFS(NewEmisData!F:F, NewEmisData!$A:$A, "Pickup", NewEmisData!$B:$B, $A27, NewEmisData!$C:$C, $H27, NewEmisData!$D:$D, CN$2), SUMIFS(NewEmisData!F:F, NewEmisData!$A:$A, "LDV", NewEmisData!$B:$B, $A27, NewEmisData!$C:$C, $H27, NewEmisData!$D:$D, CN$2))</f>
        <v>1.4156662086893E-2</v>
      </c>
      <c r="CO27" s="324">
        <f>$I27*IF($G27="Pickup", SUMIFS(NewEmisData!G:G, NewEmisData!$A:$A, "Pickup", NewEmisData!$B:$B, $A27, NewEmisData!$C:$C, $H27, NewEmisData!$D:$D, CO$2), SUMIFS(NewEmisData!G:G, NewEmisData!$A:$A, "LDV", NewEmisData!$B:$B, $A27, NewEmisData!$C:$C, $H27, NewEmisData!$D:$D, CO$2))</f>
        <v>9.29628541682684E-3</v>
      </c>
      <c r="CP27" s="324">
        <f>$I27*IF($G27="Pickup", SUMIFS(NewEmisData!H:H, NewEmisData!$A:$A, "Pickup", NewEmisData!$B:$B, $A27, NewEmisData!$C:$C, $H27, NewEmisData!$D:$D, CP$2), SUMIFS(NewEmisData!H:H, NewEmisData!$A:$A, "LDV", NewEmisData!$B:$B, $A27, NewEmisData!$C:$C, $H27, NewEmisData!$D:$D, CP$2))</f>
        <v>7.6962231490179996E-3</v>
      </c>
      <c r="CQ27" s="324">
        <f>$I27*IF($G27="Pickup", SUMIFS(NewEmisData!I:I, NewEmisData!$A:$A, "Pickup", NewEmisData!$B:$B, $A27, NewEmisData!$C:$C, $H27, NewEmisData!$D:$D, CQ$2), SUMIFS(NewEmisData!I:I, NewEmisData!$A:$A, "LDV", NewEmisData!$B:$B, $A27, NewEmisData!$C:$C, $H27, NewEmisData!$D:$D, CQ$2))</f>
        <v>6.9434858281499498E-3</v>
      </c>
      <c r="CR27" s="324">
        <f>$I27*IF($G27="Pickup", SUMIFS(NewEmisData!J:J, NewEmisData!$A:$A, "Pickup", NewEmisData!$B:$B, $A27, NewEmisData!$C:$C, $H27, NewEmisData!$D:$D, CR$2), SUMIFS(NewEmisData!J:J, NewEmisData!$A:$A, "LDV", NewEmisData!$B:$B, $A27, NewEmisData!$C:$C, $H27, NewEmisData!$D:$D, CR$2))</f>
        <v>6.6235501686008101E-3</v>
      </c>
      <c r="CS27" s="324">
        <f>$I27*IF($G27="Pickup", SUMIFS(NewEmisData!K:K, NewEmisData!$A:$A, "Pickup", NewEmisData!$B:$B, $A27, NewEmisData!$C:$C, $H27, NewEmisData!$D:$D, CS$2), SUMIFS(NewEmisData!K:K, NewEmisData!$A:$A, "LDV", NewEmisData!$B:$B, $A27, NewEmisData!$C:$C, $H27, NewEmisData!$D:$D, CS$2))</f>
        <v>6.5909545130035602E-3</v>
      </c>
      <c r="CT27" s="324">
        <f>$I27*IF($G27="Pickup", SUMIFS(NewEmisData!L:L, NewEmisData!$A:$A, "Pickup", NewEmisData!$B:$B, $A27, NewEmisData!$C:$C, $H27, NewEmisData!$D:$D, CT$2), SUMIFS(NewEmisData!L:L, NewEmisData!$A:$A, "LDV", NewEmisData!$B:$B, $A27, NewEmisData!$C:$C, $H27, NewEmisData!$D:$D, CT$2))</f>
        <v>6.5377802107072303E-3</v>
      </c>
      <c r="CU27" s="324">
        <f>$I27*IF($G27="Pickup", SUMIFS(NewEmisData!M:M, NewEmisData!$A:$A, "Pickup", NewEmisData!$B:$B, $A27, NewEmisData!$C:$C, $H27, NewEmisData!$D:$D, CU$2), SUMIFS(NewEmisData!M:M, NewEmisData!$A:$A, "LDV", NewEmisData!$B:$B, $A27, NewEmisData!$C:$C, $H27, NewEmisData!$D:$D, CU$2))</f>
        <v>6.5374275690386098E-3</v>
      </c>
      <c r="CV27" s="324">
        <f t="shared" si="13"/>
        <v>6.5374275690386098E-3</v>
      </c>
      <c r="CW27" s="324">
        <v>3.0448046675121709E-3</v>
      </c>
      <c r="CX27" s="324">
        <v>1.8865908720768221E-3</v>
      </c>
      <c r="CY27" s="324">
        <v>1.5570268485524494E-3</v>
      </c>
      <c r="CZ27" s="324">
        <v>1.2432183416122382E-3</v>
      </c>
      <c r="DA27" s="324">
        <v>9.252251866281976E-4</v>
      </c>
      <c r="DB27" s="324">
        <v>7.2309456596024934E-4</v>
      </c>
      <c r="DC27" s="324">
        <v>6.8940706870607876E-4</v>
      </c>
      <c r="DD27" s="324">
        <v>6.844148428615973E-4</v>
      </c>
      <c r="DE27" s="324">
        <v>6.8634617396886091E-4</v>
      </c>
      <c r="DF27" s="324">
        <v>6.8634617396886091E-4</v>
      </c>
      <c r="DG27" s="324">
        <f>$I27*IF($G27="Pickup", SUMIFS(NewEmisData!E:E, NewEmisData!$A:$A, "Pickup", NewEmisData!$B:$B, $A27, NewEmisData!$C:$C, $H27, NewEmisData!$D:$D, DG$2), SUMIFS(NewEmisData!E:E, NewEmisData!$A:$A, "LDV", NewEmisData!$B:$B, $A27, NewEmisData!$C:$C, $H27, NewEmisData!$D:$D, DG$2))</f>
        <v>0</v>
      </c>
      <c r="DH27" s="324">
        <f>$I27*IF($G27="Pickup", SUMIFS(NewEmisData!F:F, NewEmisData!$A:$A, "Pickup", NewEmisData!$B:$B, $A27, NewEmisData!$C:$C, $H27, NewEmisData!$D:$D, DH$2), SUMIFS(NewEmisData!F:F, NewEmisData!$A:$A, "LDV", NewEmisData!$B:$B, $A27, NewEmisData!$C:$C, $H27, NewEmisData!$D:$D, DH$2))</f>
        <v>0</v>
      </c>
      <c r="DI27" s="324">
        <f>$I27*IF($G27="Pickup", SUMIFS(NewEmisData!G:G, NewEmisData!$A:$A, "Pickup", NewEmisData!$B:$B, $A27, NewEmisData!$C:$C, $H27, NewEmisData!$D:$D, DI$2), SUMIFS(NewEmisData!G:G, NewEmisData!$A:$A, "LDV", NewEmisData!$B:$B, $A27, NewEmisData!$C:$C, $H27, NewEmisData!$D:$D, DI$2))</f>
        <v>0</v>
      </c>
      <c r="DJ27" s="324">
        <f>$I27*IF($G27="Pickup", SUMIFS(NewEmisData!H:H, NewEmisData!$A:$A, "Pickup", NewEmisData!$B:$B, $A27, NewEmisData!$C:$C, $H27, NewEmisData!$D:$D, DJ$2), SUMIFS(NewEmisData!H:H, NewEmisData!$A:$A, "LDV", NewEmisData!$B:$B, $A27, NewEmisData!$C:$C, $H27, NewEmisData!$D:$D, DJ$2))</f>
        <v>0</v>
      </c>
      <c r="DK27" s="324">
        <f>$I27*IF($G27="Pickup", SUMIFS(NewEmisData!I:I, NewEmisData!$A:$A, "Pickup", NewEmisData!$B:$B, $A27, NewEmisData!$C:$C, $H27, NewEmisData!$D:$D, DK$2), SUMIFS(NewEmisData!I:I, NewEmisData!$A:$A, "LDV", NewEmisData!$B:$B, $A27, NewEmisData!$C:$C, $H27, NewEmisData!$D:$D, DK$2))</f>
        <v>0</v>
      </c>
      <c r="DL27" s="324">
        <f>$I27*IF($G27="Pickup", SUMIFS(NewEmisData!J:J, NewEmisData!$A:$A, "Pickup", NewEmisData!$B:$B, $A27, NewEmisData!$C:$C, $H27, NewEmisData!$D:$D, DL$2), SUMIFS(NewEmisData!J:J, NewEmisData!$A:$A, "LDV", NewEmisData!$B:$B, $A27, NewEmisData!$C:$C, $H27, NewEmisData!$D:$D, DL$2))</f>
        <v>0</v>
      </c>
      <c r="DM27" s="324">
        <f>$I27*IF($G27="Pickup", SUMIFS(NewEmisData!K:K, NewEmisData!$A:$A, "Pickup", NewEmisData!$B:$B, $A27, NewEmisData!$C:$C, $H27, NewEmisData!$D:$D, DM$2), SUMIFS(NewEmisData!K:K, NewEmisData!$A:$A, "LDV", NewEmisData!$B:$B, $A27, NewEmisData!$C:$C, $H27, NewEmisData!$D:$D, DM$2))</f>
        <v>0</v>
      </c>
      <c r="DN27" s="324">
        <f>$I27*IF($G27="Pickup", SUMIFS(NewEmisData!L:L, NewEmisData!$A:$A, "Pickup", NewEmisData!$B:$B, $A27, NewEmisData!$C:$C, $H27, NewEmisData!$D:$D, DN$2), SUMIFS(NewEmisData!L:L, NewEmisData!$A:$A, "LDV", NewEmisData!$B:$B, $A27, NewEmisData!$C:$C, $H27, NewEmisData!$D:$D, DN$2))</f>
        <v>0</v>
      </c>
      <c r="DO27" s="324">
        <f>$I27*IF($G27="Pickup", SUMIFS(NewEmisData!M:M, NewEmisData!$A:$A, "Pickup", NewEmisData!$B:$B, $A27, NewEmisData!$C:$C, $H27, NewEmisData!$D:$D, DO$2), SUMIFS(NewEmisData!M:M, NewEmisData!$A:$A, "LDV", NewEmisData!$B:$B, $A27, NewEmisData!$C:$C, $H27, NewEmisData!$D:$D, DO$2))</f>
        <v>0</v>
      </c>
      <c r="DP27" s="324">
        <f t="shared" si="14"/>
        <v>0</v>
      </c>
      <c r="DQ27" s="324">
        <f>$I27*IF($G27="Pickup", SUMIFS(NewEmisData!E:E, NewEmisData!$A:$A, "Pickup", NewEmisData!$B:$B, $A27, NewEmisData!$C:$C, $H27, NewEmisData!$D:$D, DQ$2), SUMIFS(NewEmisData!E:E, NewEmisData!$A:$A, "LDV", NewEmisData!$B:$B, $A27, NewEmisData!$C:$C, $H27, NewEmisData!$D:$D, DQ$2))</f>
        <v>1.7231430999334701E-2</v>
      </c>
      <c r="DR27" s="324">
        <f>$I27*IF($G27="Pickup", SUMIFS(NewEmisData!F:F, NewEmisData!$A:$A, "Pickup", NewEmisData!$B:$B, $A27, NewEmisData!$C:$C, $H27, NewEmisData!$D:$D, DR$2), SUMIFS(NewEmisData!F:F, NewEmisData!$A:$A, "LDV", NewEmisData!$B:$B, $A27, NewEmisData!$C:$C, $H27, NewEmisData!$D:$D, DR$2))</f>
        <v>8.9963646277585099E-3</v>
      </c>
      <c r="DS27" s="324">
        <f>$I27*IF($G27="Pickup", SUMIFS(NewEmisData!G:G, NewEmisData!$A:$A, "Pickup", NewEmisData!$B:$B, $A27, NewEmisData!$C:$C, $H27, NewEmisData!$D:$D, DS$2), SUMIFS(NewEmisData!G:G, NewEmisData!$A:$A, "LDV", NewEmisData!$B:$B, $A27, NewEmisData!$C:$C, $H27, NewEmisData!$D:$D, DS$2))</f>
        <v>5.6961522615022698E-3</v>
      </c>
      <c r="DT27" s="324">
        <f>$I27*IF($G27="Pickup", SUMIFS(NewEmisData!H:H, NewEmisData!$A:$A, "Pickup", NewEmisData!$B:$B, $A27, NewEmisData!$C:$C, $H27, NewEmisData!$D:$D, DT$2), SUMIFS(NewEmisData!H:H, NewEmisData!$A:$A, "LDV", NewEmisData!$B:$B, $A27, NewEmisData!$C:$C, $H27, NewEmisData!$D:$D, DT$2))</f>
        <v>4.3151143502781096E-3</v>
      </c>
      <c r="DU27" s="324">
        <f>$I27*IF($G27="Pickup", SUMIFS(NewEmisData!I:I, NewEmisData!$A:$A, "Pickup", NewEmisData!$B:$B, $A27, NewEmisData!$C:$C, $H27, NewEmisData!$D:$D, DU$2), SUMIFS(NewEmisData!I:I, NewEmisData!$A:$A, "LDV", NewEmisData!$B:$B, $A27, NewEmisData!$C:$C, $H27, NewEmisData!$D:$D, DU$2))</f>
        <v>3.35028978849721E-3</v>
      </c>
      <c r="DV27" s="324">
        <f>$I27*IF($G27="Pickup", SUMIFS(NewEmisData!J:J, NewEmisData!$A:$A, "Pickup", NewEmisData!$B:$B, $A27, NewEmisData!$C:$C, $H27, NewEmisData!$D:$D, DV$2), SUMIFS(NewEmisData!J:J, NewEmisData!$A:$A, "LDV", NewEmisData!$B:$B, $A27, NewEmisData!$C:$C, $H27, NewEmisData!$D:$D, DV$2))</f>
        <v>2.9288858721300301E-3</v>
      </c>
      <c r="DW27" s="324">
        <f>$I27*IF($G27="Pickup", SUMIFS(NewEmisData!K:K, NewEmisData!$A:$A, "Pickup", NewEmisData!$B:$B, $A27, NewEmisData!$C:$C, $H27, NewEmisData!$D:$D, DW$2), SUMIFS(NewEmisData!K:K, NewEmisData!$A:$A, "LDV", NewEmisData!$B:$B, $A27, NewEmisData!$C:$C, $H27, NewEmisData!$D:$D, DW$2))</f>
        <v>2.6889748661232601E-3</v>
      </c>
      <c r="DX27" s="324">
        <f>$I27*IF($G27="Pickup", SUMIFS(NewEmisData!L:L, NewEmisData!$A:$A, "Pickup", NewEmisData!$B:$B, $A27, NewEmisData!$C:$C, $H27, NewEmisData!$D:$D, DX$2), SUMIFS(NewEmisData!L:L, NewEmisData!$A:$A, "LDV", NewEmisData!$B:$B, $A27, NewEmisData!$C:$C, $H27, NewEmisData!$D:$D, DX$2))</f>
        <v>2.6131014849391301E-3</v>
      </c>
      <c r="DY27" s="324">
        <f>$I27*IF($G27="Pickup", SUMIFS(NewEmisData!M:M, NewEmisData!$A:$A, "Pickup", NewEmisData!$B:$B, $A27, NewEmisData!$C:$C, $H27, NewEmisData!$D:$D, DY$2), SUMIFS(NewEmisData!M:M, NewEmisData!$A:$A, "LDV", NewEmisData!$B:$B, $A27, NewEmisData!$C:$C, $H27, NewEmisData!$D:$D, DY$2))</f>
        <v>2.5757099053792102E-3</v>
      </c>
      <c r="DZ27" s="324">
        <f t="shared" si="15"/>
        <v>2.5757099053792102E-3</v>
      </c>
      <c r="EA27" s="324">
        <f t="shared" si="16"/>
        <v>605.35194063093002</v>
      </c>
      <c r="EB27" s="324">
        <f t="shared" si="17"/>
        <v>575.43677827742204</v>
      </c>
      <c r="EC27" s="324">
        <f t="shared" si="18"/>
        <v>447.50306541281799</v>
      </c>
      <c r="ED27" s="324">
        <f t="shared" si="19"/>
        <v>380.32748601406797</v>
      </c>
      <c r="EE27" s="324">
        <f t="shared" si="20"/>
        <v>328.8508655947</v>
      </c>
      <c r="EF27" s="324">
        <f t="shared" si="21"/>
        <v>299.87343037562698</v>
      </c>
      <c r="EG27" s="324">
        <f t="shared" si="22"/>
        <v>286.96645721008798</v>
      </c>
      <c r="EH27" s="324">
        <f t="shared" si="23"/>
        <v>282.38592098475101</v>
      </c>
      <c r="EI27" s="324">
        <f t="shared" si="24"/>
        <v>280.69816184937503</v>
      </c>
      <c r="EJ27" s="324">
        <f t="shared" si="25"/>
        <v>280.69816184937503</v>
      </c>
      <c r="EK27" s="324">
        <f t="shared" si="26"/>
        <v>0.73999493628111201</v>
      </c>
      <c r="EL27" s="324">
        <f t="shared" si="27"/>
        <v>0.35335240075773999</v>
      </c>
      <c r="EM27" s="324">
        <f t="shared" si="28"/>
        <v>0.18897755292818599</v>
      </c>
      <c r="EN27" s="324">
        <f t="shared" si="29"/>
        <v>0.12218817840455801</v>
      </c>
      <c r="EO27" s="324">
        <f t="shared" si="30"/>
        <v>7.3060825114572805E-2</v>
      </c>
      <c r="EP27" s="324">
        <f t="shared" si="31"/>
        <v>5.3764321341730301E-2</v>
      </c>
      <c r="EQ27" s="324">
        <f t="shared" si="32"/>
        <v>4.5765873698397498E-2</v>
      </c>
      <c r="ER27" s="324">
        <f t="shared" si="33"/>
        <v>4.3548109073897001E-2</v>
      </c>
      <c r="ES27" s="324">
        <f t="shared" si="34"/>
        <v>4.24609775043936E-2</v>
      </c>
      <c r="ET27" s="324">
        <f t="shared" si="35"/>
        <v>4.24609775043936E-2</v>
      </c>
      <c r="EU27" s="324">
        <f t="shared" si="36"/>
        <v>1.04747160569124E-2</v>
      </c>
      <c r="EV27" s="324">
        <f t="shared" si="37"/>
        <v>9.9570764799691708E-3</v>
      </c>
      <c r="EW27" s="324">
        <f t="shared" si="38"/>
        <v>6.4196648888919499E-3</v>
      </c>
      <c r="EX27" s="324">
        <f t="shared" si="39"/>
        <v>5.45599526494426E-3</v>
      </c>
      <c r="EY27" s="324">
        <f t="shared" si="40"/>
        <v>4.7175365225731996E-3</v>
      </c>
      <c r="EZ27" s="324">
        <f t="shared" si="41"/>
        <v>4.3018391726363297E-3</v>
      </c>
      <c r="FA27" s="324">
        <f t="shared" si="42"/>
        <v>4.1166816404986702E-3</v>
      </c>
      <c r="FB27" s="324">
        <f t="shared" si="43"/>
        <v>4.0509726462172697E-3</v>
      </c>
      <c r="FC27" s="324">
        <f t="shared" si="44"/>
        <v>4.0267596573162799E-3</v>
      </c>
      <c r="FD27" s="324">
        <f t="shared" si="45"/>
        <v>4.0267596573162799E-3</v>
      </c>
      <c r="FE27" s="324">
        <f t="shared" si="46"/>
        <v>0.112529836649977</v>
      </c>
      <c r="FF27" s="324">
        <f t="shared" si="47"/>
        <v>0.103764807432247</v>
      </c>
      <c r="FG27" s="324">
        <f t="shared" si="48"/>
        <v>8.1904009889209095E-2</v>
      </c>
      <c r="FH27" s="324">
        <f t="shared" si="49"/>
        <v>8.0372811122020202E-2</v>
      </c>
      <c r="FI27" s="324">
        <f t="shared" si="50"/>
        <v>7.8826850839141593E-2</v>
      </c>
      <c r="FJ27" s="324">
        <f t="shared" si="51"/>
        <v>7.7629471627150906E-2</v>
      </c>
      <c r="FK27" s="324">
        <f t="shared" si="52"/>
        <v>7.6869255276324197E-2</v>
      </c>
      <c r="FL27" s="324">
        <f t="shared" si="53"/>
        <v>7.6489801218608905E-2</v>
      </c>
      <c r="FM27" s="324">
        <f t="shared" si="54"/>
        <v>7.6275890012832595E-2</v>
      </c>
      <c r="FN27" s="324">
        <f t="shared" si="55"/>
        <v>7.6275890012832595E-2</v>
      </c>
      <c r="FO27" s="324">
        <f t="shared" si="56"/>
        <v>2.93140110896879E-2</v>
      </c>
      <c r="FP27" s="324">
        <f t="shared" si="57"/>
        <v>2.15603319614842E-2</v>
      </c>
      <c r="FQ27" s="324">
        <f t="shared" si="58"/>
        <v>1.61359542510712E-2</v>
      </c>
      <c r="FR27" s="324">
        <f t="shared" si="59"/>
        <v>1.4781439172223E-2</v>
      </c>
      <c r="FS27" s="324">
        <f t="shared" si="60"/>
        <v>1.3413837806436801E-2</v>
      </c>
      <c r="FT27" s="324">
        <f t="shared" si="61"/>
        <v>1.2354573478352299E-2</v>
      </c>
      <c r="FU27" s="324">
        <f t="shared" si="62"/>
        <v>1.16820653404197E-2</v>
      </c>
      <c r="FV27" s="324">
        <f t="shared" si="63"/>
        <v>1.13463459698093E-2</v>
      </c>
      <c r="FW27" s="324">
        <f t="shared" si="64"/>
        <v>1.1157149268450401E-2</v>
      </c>
      <c r="FX27" s="324">
        <f t="shared" si="65"/>
        <v>1.1157149268450401E-2</v>
      </c>
    </row>
    <row r="28" spans="1:180" x14ac:dyDescent="0.2">
      <c r="A28" s="298" t="str">
        <f>_xlfn.CONCAT(IF(LEFT(TRIM(A27),1)="*", "*R", "R"), 1+RIGHT(TRIM(A27),1))</f>
        <v>R5</v>
      </c>
      <c r="B28" s="298" t="str">
        <f t="shared" si="81"/>
        <v>TLEFGSL</v>
      </c>
      <c r="C28" s="298" t="str">
        <f t="shared" si="82"/>
        <v>TL.GSL.F.Existing fleet</v>
      </c>
      <c r="D28" s="294" t="str">
        <f t="shared" si="83"/>
        <v>bn-vmt, bn-vmt/a</v>
      </c>
      <c r="E28" s="294" t="str">
        <f t="shared" si="84"/>
        <v>TLGSL</v>
      </c>
      <c r="F28" s="294" t="str">
        <f t="shared" si="85"/>
        <v>TL</v>
      </c>
      <c r="G28" s="294" t="s">
        <v>476</v>
      </c>
      <c r="H28" s="294" t="s">
        <v>474</v>
      </c>
      <c r="I28" s="294">
        <v>1</v>
      </c>
      <c r="J28" s="308" t="str">
        <f t="shared" si="2"/>
        <v>Full size car-GSL</v>
      </c>
      <c r="K28" s="324">
        <f>$I28*IF($G28="Pickup", SUMIFS(NewEmisData!E:E, NewEmisData!$A:$A, "Pickup", NewEmisData!$B:$B, $A28, NewEmisData!$C:$C, $H28, NewEmisData!$D:$D, K$2), SUMIFS(NewEmisData!E:E, NewEmisData!$A:$A, "LDV", NewEmisData!$B:$B, $A28, NewEmisData!$C:$C, $H28, NewEmisData!$D:$D, K$2))</f>
        <v>474.817101058422</v>
      </c>
      <c r="L28" s="324">
        <f>$I28*IF($G28="Pickup", SUMIFS(NewEmisData!F:F, NewEmisData!$A:$A, "Pickup", NewEmisData!$B:$B, $A28, NewEmisData!$C:$C, $H28, NewEmisData!$D:$D, L$2), SUMIFS(NewEmisData!F:F, NewEmisData!$A:$A, "LDV", NewEmisData!$B:$B, $A28, NewEmisData!$C:$C, $H28, NewEmisData!$D:$D, L$2))</f>
        <v>451.24703471572099</v>
      </c>
      <c r="M28" s="324">
        <f>$I28*IF($G28="Pickup", SUMIFS(NewEmisData!G:G, NewEmisData!$A:$A, "Pickup", NewEmisData!$B:$B, $A28, NewEmisData!$C:$C, $H28, NewEmisData!$D:$D, M$2), SUMIFS(NewEmisData!G:G, NewEmisData!$A:$A, "LDV", NewEmisData!$B:$B, $A28, NewEmisData!$C:$C, $H28, NewEmisData!$D:$D, M$2))</f>
        <v>359.55406391675598</v>
      </c>
      <c r="N28" s="324">
        <f>$I28*IF($G28="Pickup", SUMIFS(NewEmisData!H:H, NewEmisData!$A:$A, "Pickup", NewEmisData!$B:$B, $A28, NewEmisData!$C:$C, $H28, NewEmisData!$D:$D, N$2), SUMIFS(NewEmisData!H:H, NewEmisData!$A:$A, "LDV", NewEmisData!$B:$B, $A28, NewEmisData!$C:$C, $H28, NewEmisData!$D:$D, N$2))</f>
        <v>306.68867751853497</v>
      </c>
      <c r="O28" s="324">
        <f>$I28*IF($G28="Pickup", SUMIFS(NewEmisData!I:I, NewEmisData!$A:$A, "Pickup", NewEmisData!$B:$B, $A28, NewEmisData!$C:$C, $H28, NewEmisData!$D:$D, O$2), SUMIFS(NewEmisData!I:I, NewEmisData!$A:$A, "LDV", NewEmisData!$B:$B, $A28, NewEmisData!$C:$C, $H28, NewEmisData!$D:$D, O$2))</f>
        <v>266.05693149041099</v>
      </c>
      <c r="P28" s="324">
        <f>$I28*IF($G28="Pickup", SUMIFS(NewEmisData!J:J, NewEmisData!$A:$A, "Pickup", NewEmisData!$B:$B, $A28, NewEmisData!$C:$C, $H28, NewEmisData!$D:$D, P$2), SUMIFS(NewEmisData!J:J, NewEmisData!$A:$A, "LDV", NewEmisData!$B:$B, $A28, NewEmisData!$C:$C, $H28, NewEmisData!$D:$D, P$2))</f>
        <v>243.087176828883</v>
      </c>
      <c r="Q28" s="324">
        <f>$I28*IF($G28="Pickup", SUMIFS(NewEmisData!K:K, NewEmisData!$A:$A, "Pickup", NewEmisData!$B:$B, $A28, NewEmisData!$C:$C, $H28, NewEmisData!$D:$D, Q$2), SUMIFS(NewEmisData!K:K, NewEmisData!$A:$A, "LDV", NewEmisData!$B:$B, $A28, NewEmisData!$C:$C, $H28, NewEmisData!$D:$D, Q$2))</f>
        <v>232.82718030870799</v>
      </c>
      <c r="R28" s="324">
        <f>$I28*IF($G28="Pickup", SUMIFS(NewEmisData!L:L, NewEmisData!$A:$A, "Pickup", NewEmisData!$B:$B, $A28, NewEmisData!$C:$C, $H28, NewEmisData!$D:$D, R$2), SUMIFS(NewEmisData!L:L, NewEmisData!$A:$A, "LDV", NewEmisData!$B:$B, $A28, NewEmisData!$C:$C, $H28, NewEmisData!$D:$D, R$2))</f>
        <v>229.167353178653</v>
      </c>
      <c r="S28" s="324">
        <f>$I28*IF($G28="Pickup", SUMIFS(NewEmisData!M:M, NewEmisData!$A:$A, "Pickup", NewEmisData!$B:$B, $A28, NewEmisData!$C:$C, $H28, NewEmisData!$D:$D, S$2), SUMIFS(NewEmisData!M:M, NewEmisData!$A:$A, "LDV", NewEmisData!$B:$B, $A28, NewEmisData!$C:$C, $H28, NewEmisData!$D:$D, S$2))</f>
        <v>227.80956840287899</v>
      </c>
      <c r="T28" s="324">
        <f t="shared" si="5"/>
        <v>227.80956840287899</v>
      </c>
      <c r="U28" s="324">
        <f>$I28*IF($G28="Pickup", SUMIFS(NewEmisData!E:E, NewEmisData!$A:$A, "Pickup", NewEmisData!$B:$B, $A28, NewEmisData!$C:$C, $H28, NewEmisData!$D:$D, U$2), SUMIFS(NewEmisData!E:E, NewEmisData!$A:$A, "LDV", NewEmisData!$B:$B, $A28, NewEmisData!$C:$C, $H28, NewEmisData!$D:$D, U$2))</f>
        <v>0.70973077210402302</v>
      </c>
      <c r="V28" s="324">
        <f>$I28*IF($G28="Pickup", SUMIFS(NewEmisData!F:F, NewEmisData!$A:$A, "Pickup", NewEmisData!$B:$B, $A28, NewEmisData!$C:$C, $H28, NewEmisData!$D:$D, V$2), SUMIFS(NewEmisData!F:F, NewEmisData!$A:$A, "LDV", NewEmisData!$B:$B, $A28, NewEmisData!$C:$C, $H28, NewEmisData!$D:$D, V$2))</f>
        <v>0.32036907792622199</v>
      </c>
      <c r="W28" s="324">
        <f>$I28*IF($G28="Pickup", SUMIFS(NewEmisData!G:G, NewEmisData!$A:$A, "Pickup", NewEmisData!$B:$B, $A28, NewEmisData!$C:$C, $H28, NewEmisData!$D:$D, W$2), SUMIFS(NewEmisData!G:G, NewEmisData!$A:$A, "LDV", NewEmisData!$B:$B, $A28, NewEmisData!$C:$C, $H28, NewEmisData!$D:$D, W$2))</f>
        <v>0.23974719966536701</v>
      </c>
      <c r="X28" s="324">
        <f>$I28*IF($G28="Pickup", SUMIFS(NewEmisData!H:H, NewEmisData!$A:$A, "Pickup", NewEmisData!$B:$B, $A28, NewEmisData!$C:$C, $H28, NewEmisData!$D:$D, X$2), SUMIFS(NewEmisData!H:H, NewEmisData!$A:$A, "LDV", NewEmisData!$B:$B, $A28, NewEmisData!$C:$C, $H28, NewEmisData!$D:$D, X$2))</f>
        <v>0.160612501035788</v>
      </c>
      <c r="Y28" s="324">
        <f>$I28*IF($G28="Pickup", SUMIFS(NewEmisData!I:I, NewEmisData!$A:$A, "Pickup", NewEmisData!$B:$B, $A28, NewEmisData!$C:$C, $H28, NewEmisData!$D:$D, Y$2), SUMIFS(NewEmisData!I:I, NewEmisData!$A:$A, "LDV", NewEmisData!$B:$B, $A28, NewEmisData!$C:$C, $H28, NewEmisData!$D:$D, Y$2))</f>
        <v>0.10365613117262901</v>
      </c>
      <c r="Z28" s="324">
        <f>$I28*IF($G28="Pickup", SUMIFS(NewEmisData!J:J, NewEmisData!$A:$A, "Pickup", NewEmisData!$B:$B, $A28, NewEmisData!$C:$C, $H28, NewEmisData!$D:$D, Z$2), SUMIFS(NewEmisData!J:J, NewEmisData!$A:$A, "LDV", NewEmisData!$B:$B, $A28, NewEmisData!$C:$C, $H28, NewEmisData!$D:$D, Z$2))</f>
        <v>7.8799994555065797E-2</v>
      </c>
      <c r="AA28" s="324">
        <f>$I28*IF($G28="Pickup", SUMIFS(NewEmisData!K:K, NewEmisData!$A:$A, "Pickup", NewEmisData!$B:$B, $A28, NewEmisData!$C:$C, $H28, NewEmisData!$D:$D, AA$2), SUMIFS(NewEmisData!K:K, NewEmisData!$A:$A, "LDV", NewEmisData!$B:$B, $A28, NewEmisData!$C:$C, $H28, NewEmisData!$D:$D, AA$2))</f>
        <v>6.8646939612850705E-2</v>
      </c>
      <c r="AB28" s="324">
        <f>$I28*IF($G28="Pickup", SUMIFS(NewEmisData!L:L, NewEmisData!$A:$A, "Pickup", NewEmisData!$B:$B, $A28, NewEmisData!$C:$C, $H28, NewEmisData!$D:$D, AB$2), SUMIFS(NewEmisData!L:L, NewEmisData!$A:$A, "LDV", NewEmisData!$B:$B, $A28, NewEmisData!$C:$C, $H28, NewEmisData!$D:$D, AB$2))</f>
        <v>6.5824398729591893E-2</v>
      </c>
      <c r="AC28" s="324">
        <f>$I28*IF($G28="Pickup", SUMIFS(NewEmisData!M:M, NewEmisData!$A:$A, "Pickup", NewEmisData!$B:$B, $A28, NewEmisData!$C:$C, $H28, NewEmisData!$D:$D, AC$2), SUMIFS(NewEmisData!M:M, NewEmisData!$A:$A, "LDV", NewEmisData!$B:$B, $A28, NewEmisData!$C:$C, $H28, NewEmisData!$D:$D, AC$2))</f>
        <v>6.4340803704991095E-2</v>
      </c>
      <c r="AD28" s="324">
        <f t="shared" si="6"/>
        <v>6.4340803704991095E-2</v>
      </c>
      <c r="AE28" s="324">
        <f>$I28*IF($G28="Pickup", SUMIFS(NewEmisData!E:E, NewEmisData!$A:$A, "Pickup", NewEmisData!$B:$B, $A28, NewEmisData!$C:$C, $H28, NewEmisData!$D:$D, AE$2), SUMIFS(NewEmisData!E:E, NewEmisData!$A:$A, "LDV", NewEmisData!$B:$B, $A28, NewEmisData!$C:$C, $H28, NewEmisData!$D:$D, AE$2))</f>
        <v>8.2160020457903906E-3</v>
      </c>
      <c r="AF28" s="324">
        <f>$I28*IF($G28="Pickup", SUMIFS(NewEmisData!F:F, NewEmisData!$A:$A, "Pickup", NewEmisData!$B:$B, $A28, NewEmisData!$C:$C, $H28, NewEmisData!$D:$D, AF$2), SUMIFS(NewEmisData!F:F, NewEmisData!$A:$A, "LDV", NewEmisData!$B:$B, $A28, NewEmisData!$C:$C, $H28, NewEmisData!$D:$D, AF$2))</f>
        <v>7.80815598787189E-3</v>
      </c>
      <c r="AG28" s="324">
        <f>$I28*IF($G28="Pickup", SUMIFS(NewEmisData!G:G, NewEmisData!$A:$A, "Pickup", NewEmisData!$B:$B, $A28, NewEmisData!$C:$C, $H28, NewEmisData!$D:$D, AG$2), SUMIFS(NewEmisData!G:G, NewEmisData!$A:$A, "LDV", NewEmisData!$B:$B, $A28, NewEmisData!$C:$C, $H28, NewEmisData!$D:$D, AG$2))</f>
        <v>5.1579884513251097E-3</v>
      </c>
      <c r="AH28" s="324">
        <f>$I28*IF($G28="Pickup", SUMIFS(NewEmisData!H:H, NewEmisData!$A:$A, "Pickup", NewEmisData!$B:$B, $A28, NewEmisData!$C:$C, $H28, NewEmisData!$D:$D, AH$2), SUMIFS(NewEmisData!H:H, NewEmisData!$A:$A, "LDV", NewEmisData!$B:$B, $A28, NewEmisData!$C:$C, $H28, NewEmisData!$D:$D, AH$2))</f>
        <v>4.3996084263759998E-3</v>
      </c>
      <c r="AI28" s="324">
        <f>$I28*IF($G28="Pickup", SUMIFS(NewEmisData!I:I, NewEmisData!$A:$A, "Pickup", NewEmisData!$B:$B, $A28, NewEmisData!$C:$C, $H28, NewEmisData!$D:$D, AI$2), SUMIFS(NewEmisData!I:I, NewEmisData!$A:$A, "LDV", NewEmisData!$B:$B, $A28, NewEmisData!$C:$C, $H28, NewEmisData!$D:$D, AI$2))</f>
        <v>3.81672539575274E-3</v>
      </c>
      <c r="AJ28" s="324">
        <f>$I28*IF($G28="Pickup", SUMIFS(NewEmisData!J:J, NewEmisData!$A:$A, "Pickup", NewEmisData!$B:$B, $A28, NewEmisData!$C:$C, $H28, NewEmisData!$D:$D, AJ$2), SUMIFS(NewEmisData!J:J, NewEmisData!$A:$A, "LDV", NewEmisData!$B:$B, $A28, NewEmisData!$C:$C, $H28, NewEmisData!$D:$D, AJ$2))</f>
        <v>3.4872096414849999E-3</v>
      </c>
      <c r="AK28" s="324">
        <f>$I28*IF($G28="Pickup", SUMIFS(NewEmisData!K:K, NewEmisData!$A:$A, "Pickup", NewEmisData!$B:$B, $A28, NewEmisData!$C:$C, $H28, NewEmisData!$D:$D, AK$2), SUMIFS(NewEmisData!K:K, NewEmisData!$A:$A, "LDV", NewEmisData!$B:$B, $A28, NewEmisData!$C:$C, $H28, NewEmisData!$D:$D, AK$2))</f>
        <v>3.3400286224750798E-3</v>
      </c>
      <c r="AL28" s="324">
        <f>$I28*IF($G28="Pickup", SUMIFS(NewEmisData!L:L, NewEmisData!$A:$A, "Pickup", NewEmisData!$B:$B, $A28, NewEmisData!$C:$C, $H28, NewEmisData!$D:$D, AL$2), SUMIFS(NewEmisData!L:L, NewEmisData!$A:$A, "LDV", NewEmisData!$B:$B, $A28, NewEmisData!$C:$C, $H28, NewEmisData!$D:$D, AL$2))</f>
        <v>3.2875233288682799E-3</v>
      </c>
      <c r="AM28" s="324">
        <f>$I28*IF($G28="Pickup", SUMIFS(NewEmisData!M:M, NewEmisData!$A:$A, "Pickup", NewEmisData!$B:$B, $A28, NewEmisData!$C:$C, $H28, NewEmisData!$D:$D, AM$2), SUMIFS(NewEmisData!M:M, NewEmisData!$A:$A, "LDV", NewEmisData!$B:$B, $A28, NewEmisData!$C:$C, $H28, NewEmisData!$D:$D, AM$2))</f>
        <v>3.2680461258744399E-3</v>
      </c>
      <c r="AN28" s="324">
        <f t="shared" si="7"/>
        <v>3.2680461258744399E-3</v>
      </c>
      <c r="AO28" s="324">
        <f>$I28*IF($G28="Pickup", SUMIFS(NewEmisData!E:E, NewEmisData!$A:$A, "Pickup", NewEmisData!$B:$B, $A28, NewEmisData!$C:$C, $H28, NewEmisData!$D:$D, AO$2), SUMIFS(NewEmisData!E:E, NewEmisData!$A:$A, "LDV", NewEmisData!$B:$B, $A28, NewEmisData!$C:$C, $H28, NewEmisData!$D:$D, AO$2))</f>
        <v>7.6637268565666605E-2</v>
      </c>
      <c r="AP28" s="324">
        <f>$I28*IF($G28="Pickup", SUMIFS(NewEmisData!F:F, NewEmisData!$A:$A, "Pickup", NewEmisData!$B:$B, $A28, NewEmisData!$C:$C, $H28, NewEmisData!$D:$D, AP$2), SUMIFS(NewEmisData!F:F, NewEmisData!$A:$A, "LDV", NewEmisData!$B:$B, $A28, NewEmisData!$C:$C, $H28, NewEmisData!$D:$D, AP$2))</f>
        <v>7.17220347655846E-2</v>
      </c>
      <c r="AQ28" s="324">
        <f>$I28*IF($G28="Pickup", SUMIFS(NewEmisData!G:G, NewEmisData!$A:$A, "Pickup", NewEmisData!$B:$B, $A28, NewEmisData!$C:$C, $H28, NewEmisData!$D:$D, AQ$2), SUMIFS(NewEmisData!G:G, NewEmisData!$A:$A, "LDV", NewEmisData!$B:$B, $A28, NewEmisData!$C:$C, $H28, NewEmisData!$D:$D, AQ$2))</f>
        <v>5.3063354209187903E-2</v>
      </c>
      <c r="AR28" s="324">
        <f>$I28*IF($G28="Pickup", SUMIFS(NewEmisData!H:H, NewEmisData!$A:$A, "Pickup", NewEmisData!$B:$B, $A28, NewEmisData!$C:$C, $H28, NewEmisData!$D:$D, AR$2), SUMIFS(NewEmisData!H:H, NewEmisData!$A:$A, "LDV", NewEmisData!$B:$B, $A28, NewEmisData!$C:$C, $H28, NewEmisData!$D:$D, AR$2))</f>
        <v>5.1413159178765599E-2</v>
      </c>
      <c r="AS28" s="324">
        <f>$I28*IF($G28="Pickup", SUMIFS(NewEmisData!I:I, NewEmisData!$A:$A, "Pickup", NewEmisData!$B:$B, $A28, NewEmisData!$C:$C, $H28, NewEmisData!$D:$D, AS$2), SUMIFS(NewEmisData!I:I, NewEmisData!$A:$A, "LDV", NewEmisData!$B:$B, $A28, NewEmisData!$C:$C, $H28, NewEmisData!$D:$D, AS$2))</f>
        <v>4.9937748877796798E-2</v>
      </c>
      <c r="AT28" s="324">
        <f>$I28*IF($G28="Pickup", SUMIFS(NewEmisData!J:J, NewEmisData!$A:$A, "Pickup", NewEmisData!$B:$B, $A28, NewEmisData!$C:$C, $H28, NewEmisData!$D:$D, AT$2), SUMIFS(NewEmisData!J:J, NewEmisData!$A:$A, "LDV", NewEmisData!$B:$B, $A28, NewEmisData!$C:$C, $H28, NewEmisData!$D:$D, AT$2))</f>
        <v>4.8737436898882699E-2</v>
      </c>
      <c r="AU28" s="324">
        <f>$I28*IF($G28="Pickup", SUMIFS(NewEmisData!K:K, NewEmisData!$A:$A, "Pickup", NewEmisData!$B:$B, $A28, NewEmisData!$C:$C, $H28, NewEmisData!$D:$D, AU$2), SUMIFS(NewEmisData!K:K, NewEmisData!$A:$A, "LDV", NewEmisData!$B:$B, $A28, NewEmisData!$C:$C, $H28, NewEmisData!$D:$D, AU$2))</f>
        <v>4.7984590527250397E-2</v>
      </c>
      <c r="AV28" s="324">
        <f>$I28*IF($G28="Pickup", SUMIFS(NewEmisData!L:L, NewEmisData!$A:$A, "Pickup", NewEmisData!$B:$B, $A28, NewEmisData!$C:$C, $H28, NewEmisData!$D:$D, AV$2), SUMIFS(NewEmisData!L:L, NewEmisData!$A:$A, "LDV", NewEmisData!$B:$B, $A28, NewEmisData!$C:$C, $H28, NewEmisData!$D:$D, AV$2))</f>
        <v>4.76005320802948E-2</v>
      </c>
      <c r="AW28" s="324">
        <f>$I28*IF($G28="Pickup", SUMIFS(NewEmisData!M:M, NewEmisData!$A:$A, "Pickup", NewEmisData!$B:$B, $A28, NewEmisData!$C:$C, $H28, NewEmisData!$D:$D, AW$2), SUMIFS(NewEmisData!M:M, NewEmisData!$A:$A, "LDV", NewEmisData!$B:$B, $A28, NewEmisData!$C:$C, $H28, NewEmisData!$D:$D, AW$2))</f>
        <v>4.7377866603412998E-2</v>
      </c>
      <c r="AX28" s="324">
        <f t="shared" si="8"/>
        <v>4.7377866603412998E-2</v>
      </c>
      <c r="AY28" s="324">
        <f>$I28*IF($G28="Pickup", SUMIFS(NewEmisData!E:E, NewEmisData!$A:$A, "Pickup", NewEmisData!$B:$B, $A28, NewEmisData!$C:$C, $H28, NewEmisData!$D:$D, AY$2), SUMIFS(NewEmisData!E:E, NewEmisData!$A:$A, "LDV", NewEmisData!$B:$B, $A28, NewEmisData!$C:$C, $H28, NewEmisData!$D:$D, AY$2))</f>
        <v>1.9839679684136899E-2</v>
      </c>
      <c r="AZ28" s="324">
        <f>$I28*IF($G28="Pickup", SUMIFS(NewEmisData!F:F, NewEmisData!$A:$A, "Pickup", NewEmisData!$B:$B, $A28, NewEmisData!$C:$C, $H28, NewEmisData!$D:$D, AZ$2), SUMIFS(NewEmisData!F:F, NewEmisData!$A:$A, "LDV", NewEmisData!$B:$B, $A28, NewEmisData!$C:$C, $H28, NewEmisData!$D:$D, AZ$2))</f>
        <v>1.54915322396613E-2</v>
      </c>
      <c r="BA28" s="324">
        <f>$I28*IF($G28="Pickup", SUMIFS(NewEmisData!G:G, NewEmisData!$A:$A, "Pickup", NewEmisData!$B:$B, $A28, NewEmisData!$C:$C, $H28, NewEmisData!$D:$D, BA$2), SUMIFS(NewEmisData!G:G, NewEmisData!$A:$A, "LDV", NewEmisData!$B:$B, $A28, NewEmisData!$C:$C, $H28, NewEmisData!$D:$D, BA$2))</f>
        <v>1.24856485125612E-2</v>
      </c>
      <c r="BB28" s="324">
        <f>$I28*IF($G28="Pickup", SUMIFS(NewEmisData!H:H, NewEmisData!$A:$A, "Pickup", NewEmisData!$B:$B, $A28, NewEmisData!$C:$C, $H28, NewEmisData!$D:$D, BB$2), SUMIFS(NewEmisData!H:H, NewEmisData!$A:$A, "LDV", NewEmisData!$B:$B, $A28, NewEmisData!$C:$C, $H28, NewEmisData!$D:$D, BB$2))</f>
        <v>1.10258430769824E-2</v>
      </c>
      <c r="BC28" s="324">
        <f>$I28*IF($G28="Pickup", SUMIFS(NewEmisData!I:I, NewEmisData!$A:$A, "Pickup", NewEmisData!$B:$B, $A28, NewEmisData!$C:$C, $H28, NewEmisData!$D:$D, BC$2), SUMIFS(NewEmisData!I:I, NewEmisData!$A:$A, "LDV", NewEmisData!$B:$B, $A28, NewEmisData!$C:$C, $H28, NewEmisData!$D:$D, BC$2))</f>
        <v>9.7206839249302599E-3</v>
      </c>
      <c r="BD28" s="324">
        <f>$I28*IF($G28="Pickup", SUMIFS(NewEmisData!J:J, NewEmisData!$A:$A, "Pickup", NewEmisData!$B:$B, $A28, NewEmisData!$C:$C, $H28, NewEmisData!$D:$D, BD$2), SUMIFS(NewEmisData!J:J, NewEmisData!$A:$A, "LDV", NewEmisData!$B:$B, $A28, NewEmisData!$C:$C, $H28, NewEmisData!$D:$D, BD$2))</f>
        <v>8.6588886279032502E-3</v>
      </c>
      <c r="BE28" s="324">
        <f>$I28*IF($G28="Pickup", SUMIFS(NewEmisData!K:K, NewEmisData!$A:$A, "Pickup", NewEmisData!$B:$B, $A28, NewEmisData!$C:$C, $H28, NewEmisData!$D:$D, BE$2), SUMIFS(NewEmisData!K:K, NewEmisData!$A:$A, "LDV", NewEmisData!$B:$B, $A28, NewEmisData!$C:$C, $H28, NewEmisData!$D:$D, BE$2))</f>
        <v>7.9928948991222996E-3</v>
      </c>
      <c r="BF28" s="324">
        <f>$I28*IF($G28="Pickup", SUMIFS(NewEmisData!L:L, NewEmisData!$A:$A, "Pickup", NewEmisData!$B:$B, $A28, NewEmisData!$C:$C, $H28, NewEmisData!$D:$D, BF$2), SUMIFS(NewEmisData!L:L, NewEmisData!$A:$A, "LDV", NewEmisData!$B:$B, $A28, NewEmisData!$C:$C, $H28, NewEmisData!$D:$D, BF$2))</f>
        <v>7.65317007618625E-3</v>
      </c>
      <c r="BG28" s="324">
        <f>$I28*IF($G28="Pickup", SUMIFS(NewEmisData!M:M, NewEmisData!$A:$A, "Pickup", NewEmisData!$B:$B, $A28, NewEmisData!$C:$C, $H28, NewEmisData!$D:$D, BG$2), SUMIFS(NewEmisData!M:M, NewEmisData!$A:$A, "LDV", NewEmisData!$B:$B, $A28, NewEmisData!$C:$C, $H28, NewEmisData!$D:$D, BG$2))</f>
        <v>7.4561632981935697E-3</v>
      </c>
      <c r="BH28" s="324">
        <f t="shared" si="9"/>
        <v>7.4561632981935697E-3</v>
      </c>
      <c r="BI28" s="324">
        <f>$I28*IF($G28="Pickup", SUMIFS(NewEmisData!E:E, NewEmisData!$A:$A, "Pickup", NewEmisData!$B:$B, $A28, NewEmisData!$C:$C, $H28, NewEmisData!$D:$D, BI$2), SUMIFS(NewEmisData!E:E, NewEmisData!$A:$A, "LDV", NewEmisData!$B:$B, $A28, NewEmisData!$C:$C, $H28, NewEmisData!$D:$D, BI$2))</f>
        <v>6.4220034872518204</v>
      </c>
      <c r="BJ28" s="324">
        <f>$I28*IF($G28="Pickup", SUMIFS(NewEmisData!F:F, NewEmisData!$A:$A, "Pickup", NewEmisData!$B:$B, $A28, NewEmisData!$C:$C, $H28, NewEmisData!$D:$D, BJ$2), SUMIFS(NewEmisData!F:F, NewEmisData!$A:$A, "LDV", NewEmisData!$B:$B, $A28, NewEmisData!$C:$C, $H28, NewEmisData!$D:$D, BJ$2))</f>
        <v>3.8479800836345999</v>
      </c>
      <c r="BK28" s="324">
        <f>$I28*IF($G28="Pickup", SUMIFS(NewEmisData!G:G, NewEmisData!$A:$A, "Pickup", NewEmisData!$B:$B, $A28, NewEmisData!$C:$C, $H28, NewEmisData!$D:$D, BK$2), SUMIFS(NewEmisData!G:G, NewEmisData!$A:$A, "LDV", NewEmisData!$B:$B, $A28, NewEmisData!$C:$C, $H28, NewEmisData!$D:$D, BK$2))</f>
        <v>2.9970734916117499</v>
      </c>
      <c r="BL28" s="324">
        <f>$I28*IF($G28="Pickup", SUMIFS(NewEmisData!H:H, NewEmisData!$A:$A, "Pickup", NewEmisData!$B:$B, $A28, NewEmisData!$C:$C, $H28, NewEmisData!$D:$D, BL$2), SUMIFS(NewEmisData!H:H, NewEmisData!$A:$A, "LDV", NewEmisData!$B:$B, $A28, NewEmisData!$C:$C, $H28, NewEmisData!$D:$D, BL$2))</f>
        <v>2.36472323758924</v>
      </c>
      <c r="BM28" s="324">
        <f>$I28*IF($G28="Pickup", SUMIFS(NewEmisData!I:I, NewEmisData!$A:$A, "Pickup", NewEmisData!$B:$B, $A28, NewEmisData!$C:$C, $H28, NewEmisData!$D:$D, BM$2), SUMIFS(NewEmisData!I:I, NewEmisData!$A:$A, "LDV", NewEmisData!$B:$B, $A28, NewEmisData!$C:$C, $H28, NewEmisData!$D:$D, BM$2))</f>
        <v>1.7421472431707099</v>
      </c>
      <c r="BN28" s="324">
        <f>$I28*IF($G28="Pickup", SUMIFS(NewEmisData!J:J, NewEmisData!$A:$A, "Pickup", NewEmisData!$B:$B, $A28, NewEmisData!$C:$C, $H28, NewEmisData!$D:$D, BN$2), SUMIFS(NewEmisData!J:J, NewEmisData!$A:$A, "LDV", NewEmisData!$B:$B, $A28, NewEmisData!$C:$C, $H28, NewEmisData!$D:$D, BN$2))</f>
        <v>1.3931539503279999</v>
      </c>
      <c r="BO28" s="324">
        <f>$I28*IF($G28="Pickup", SUMIFS(NewEmisData!K:K, NewEmisData!$A:$A, "Pickup", NewEmisData!$B:$B, $A28, NewEmisData!$C:$C, $H28, NewEmisData!$D:$D, BO$2), SUMIFS(NewEmisData!K:K, NewEmisData!$A:$A, "LDV", NewEmisData!$B:$B, $A28, NewEmisData!$C:$C, $H28, NewEmisData!$D:$D, BO$2))</f>
        <v>1.2342051269933401</v>
      </c>
      <c r="BP28" s="324">
        <f>$I28*IF($G28="Pickup", SUMIFS(NewEmisData!L:L, NewEmisData!$A:$A, "Pickup", NewEmisData!$B:$B, $A28, NewEmisData!$C:$C, $H28, NewEmisData!$D:$D, BP$2), SUMIFS(NewEmisData!L:L, NewEmisData!$A:$A, "LDV", NewEmisData!$B:$B, $A28, NewEmisData!$C:$C, $H28, NewEmisData!$D:$D, BP$2))</f>
        <v>1.18127069132138</v>
      </c>
      <c r="BQ28" s="324">
        <f>$I28*IF($G28="Pickup", SUMIFS(NewEmisData!M:M, NewEmisData!$A:$A, "Pickup", NewEmisData!$B:$B, $A28, NewEmisData!$C:$C, $H28, NewEmisData!$D:$D, BQ$2), SUMIFS(NewEmisData!M:M, NewEmisData!$A:$A, "LDV", NewEmisData!$B:$B, $A28, NewEmisData!$C:$C, $H28, NewEmisData!$D:$D, BQ$2))</f>
        <v>1.1484293714755001</v>
      </c>
      <c r="BR28" s="324">
        <f t="shared" si="10"/>
        <v>1.1484293714755001</v>
      </c>
      <c r="BS28" s="324">
        <f>$I28*IF($G28="Pickup", SUMIFS(NewEmisData!E:E, NewEmisData!$A:$A, "Pickup", NewEmisData!$B:$B, $A28, NewEmisData!$C:$C, $H28, NewEmisData!$D:$D, BS$2), SUMIFS(NewEmisData!E:E, NewEmisData!$A:$A, "LDV", NewEmisData!$B:$B, $A28, NewEmisData!$C:$C, $H28, NewEmisData!$D:$D, BS$2))</f>
        <v>0.76625314114096599</v>
      </c>
      <c r="BT28" s="324">
        <f>$I28*IF($G28="Pickup", SUMIFS(NewEmisData!F:F, NewEmisData!$A:$A, "Pickup", NewEmisData!$B:$B, $A28, NewEmisData!$C:$C, $H28, NewEmisData!$D:$D, BT$2), SUMIFS(NewEmisData!F:F, NewEmisData!$A:$A, "LDV", NewEmisData!$B:$B, $A28, NewEmisData!$C:$C, $H28, NewEmisData!$D:$D, BT$2))</f>
        <v>0.42849019580384201</v>
      </c>
      <c r="BU28" s="324">
        <f>$I28*IF($G28="Pickup", SUMIFS(NewEmisData!G:G, NewEmisData!$A:$A, "Pickup", NewEmisData!$B:$B, $A28, NewEmisData!$C:$C, $H28, NewEmisData!$D:$D, BU$2), SUMIFS(NewEmisData!G:G, NewEmisData!$A:$A, "LDV", NewEmisData!$B:$B, $A28, NewEmisData!$C:$C, $H28, NewEmisData!$D:$D, BU$2))</f>
        <v>0.33923869580754101</v>
      </c>
      <c r="BV28" s="324">
        <f>$I28*IF($G28="Pickup", SUMIFS(NewEmisData!H:H, NewEmisData!$A:$A, "Pickup", NewEmisData!$B:$B, $A28, NewEmisData!$C:$C, $H28, NewEmisData!$D:$D, BV$2), SUMIFS(NewEmisData!H:H, NewEmisData!$A:$A, "LDV", NewEmisData!$B:$B, $A28, NewEmisData!$C:$C, $H28, NewEmisData!$D:$D, BV$2))</f>
        <v>0.274572609184357</v>
      </c>
      <c r="BW28" s="324">
        <f>$I28*IF($G28="Pickup", SUMIFS(NewEmisData!I:I, NewEmisData!$A:$A, "Pickup", NewEmisData!$B:$B, $A28, NewEmisData!$C:$C, $H28, NewEmisData!$D:$D, BW$2), SUMIFS(NewEmisData!I:I, NewEmisData!$A:$A, "LDV", NewEmisData!$B:$B, $A28, NewEmisData!$C:$C, $H28, NewEmisData!$D:$D, BW$2))</f>
        <v>0.20444446873760599</v>
      </c>
      <c r="BX28" s="324">
        <f>$I28*IF($G28="Pickup", SUMIFS(NewEmisData!J:J, NewEmisData!$A:$A, "Pickup", NewEmisData!$B:$B, $A28, NewEmisData!$C:$C, $H28, NewEmisData!$D:$D, BX$2), SUMIFS(NewEmisData!J:J, NewEmisData!$A:$A, "LDV", NewEmisData!$B:$B, $A28, NewEmisData!$C:$C, $H28, NewEmisData!$D:$D, BX$2))</f>
        <v>0.170176908378738</v>
      </c>
      <c r="BY28" s="324">
        <f>$I28*IF($G28="Pickup", SUMIFS(NewEmisData!K:K, NewEmisData!$A:$A, "Pickup", NewEmisData!$B:$B, $A28, NewEmisData!$C:$C, $H28, NewEmisData!$D:$D, BY$2), SUMIFS(NewEmisData!K:K, NewEmisData!$A:$A, "LDV", NewEmisData!$B:$B, $A28, NewEmisData!$C:$C, $H28, NewEmisData!$D:$D, BY$2))</f>
        <v>0.152045525981331</v>
      </c>
      <c r="BZ28" s="324">
        <f>$I28*IF($G28="Pickup", SUMIFS(NewEmisData!L:L, NewEmisData!$A:$A, "Pickup", NewEmisData!$B:$B, $A28, NewEmisData!$C:$C, $H28, NewEmisData!$D:$D, BZ$2), SUMIFS(NewEmisData!L:L, NewEmisData!$A:$A, "LDV", NewEmisData!$B:$B, $A28, NewEmisData!$C:$C, $H28, NewEmisData!$D:$D, BZ$2))</f>
        <v>0.14503696159912</v>
      </c>
      <c r="CA28" s="324">
        <f>$I28*IF($G28="Pickup", SUMIFS(NewEmisData!M:M, NewEmisData!$A:$A, "Pickup", NewEmisData!$B:$B, $A28, NewEmisData!$C:$C, $H28, NewEmisData!$D:$D, CA$2), SUMIFS(NewEmisData!M:M, NewEmisData!$A:$A, "LDV", NewEmisData!$B:$B, $A28, NewEmisData!$C:$C, $H28, NewEmisData!$D:$D, CA$2))</f>
        <v>0.139402683427791</v>
      </c>
      <c r="CB28" s="324">
        <f t="shared" si="11"/>
        <v>0.139402683427791</v>
      </c>
      <c r="CC28" s="324">
        <f>$I28*IF($G28="Pickup", SUMIFS(NewEmisData!E:E, NewEmisData!$A:$A, "Pickup", NewEmisData!$B:$B, $A28, NewEmisData!$C:$C, $H28, NewEmisData!$D:$D, CC$2), SUMIFS(NewEmisData!E:E, NewEmisData!$A:$A, "LDV", NewEmisData!$B:$B, $A28, NewEmisData!$C:$C, $H28, NewEmisData!$D:$D, CC$2))</f>
        <v>3.9065075142891502E-2</v>
      </c>
      <c r="CD28" s="324">
        <f>$I28*IF($G28="Pickup", SUMIFS(NewEmisData!F:F, NewEmisData!$A:$A, "Pickup", NewEmisData!$B:$B, $A28, NewEmisData!$C:$C, $H28, NewEmisData!$D:$D, CD$2), SUMIFS(NewEmisData!F:F, NewEmisData!$A:$A, "LDV", NewEmisData!$B:$B, $A28, NewEmisData!$C:$C, $H28, NewEmisData!$D:$D, CD$2))</f>
        <v>2.71884075109541E-2</v>
      </c>
      <c r="CE28" s="324">
        <f>$I28*IF($G28="Pickup", SUMIFS(NewEmisData!G:G, NewEmisData!$A:$A, "Pickup", NewEmisData!$B:$B, $A28, NewEmisData!$C:$C, $H28, NewEmisData!$D:$D, CE$2), SUMIFS(NewEmisData!G:G, NewEmisData!$A:$A, "LDV", NewEmisData!$B:$B, $A28, NewEmisData!$C:$C, $H28, NewEmisData!$D:$D, CE$2))</f>
        <v>2.35915905182916E-2</v>
      </c>
      <c r="CF28" s="324">
        <f>$I28*IF($G28="Pickup", SUMIFS(NewEmisData!H:H, NewEmisData!$A:$A, "Pickup", NewEmisData!$B:$B, $A28, NewEmisData!$C:$C, $H28, NewEmisData!$D:$D, CF$2), SUMIFS(NewEmisData!H:H, NewEmisData!$A:$A, "LDV", NewEmisData!$B:$B, $A28, NewEmisData!$C:$C, $H28, NewEmisData!$D:$D, CF$2))</f>
        <v>2.2519914122574401E-2</v>
      </c>
      <c r="CG28" s="324">
        <f>$I28*IF($G28="Pickup", SUMIFS(NewEmisData!I:I, NewEmisData!$A:$A, "Pickup", NewEmisData!$B:$B, $A28, NewEmisData!$C:$C, $H28, NewEmisData!$D:$D, CG$2), SUMIFS(NewEmisData!I:I, NewEmisData!$A:$A, "LDV", NewEmisData!$B:$B, $A28, NewEmisData!$C:$C, $H28, NewEmisData!$D:$D, CG$2))</f>
        <v>2.1807779866682201E-2</v>
      </c>
      <c r="CH28" s="324">
        <f>$I28*IF($G28="Pickup", SUMIFS(NewEmisData!J:J, NewEmisData!$A:$A, "Pickup", NewEmisData!$B:$B, $A28, NewEmisData!$C:$C, $H28, NewEmisData!$D:$D, CH$2), SUMIFS(NewEmisData!J:J, NewEmisData!$A:$A, "LDV", NewEmisData!$B:$B, $A28, NewEmisData!$C:$C, $H28, NewEmisData!$D:$D, CH$2))</f>
        <v>2.1246517083751901E-2</v>
      </c>
      <c r="CI28" s="324">
        <f>$I28*IF($G28="Pickup", SUMIFS(NewEmisData!K:K, NewEmisData!$A:$A, "Pickup", NewEmisData!$B:$B, $A28, NewEmisData!$C:$C, $H28, NewEmisData!$D:$D, CI$2), SUMIFS(NewEmisData!K:K, NewEmisData!$A:$A, "LDV", NewEmisData!$B:$B, $A28, NewEmisData!$C:$C, $H28, NewEmisData!$D:$D, CI$2))</f>
        <v>2.1244746441372499E-2</v>
      </c>
      <c r="CJ28" s="324">
        <f>$I28*IF($G28="Pickup", SUMIFS(NewEmisData!L:L, NewEmisData!$A:$A, "Pickup", NewEmisData!$B:$B, $A28, NewEmisData!$C:$C, $H28, NewEmisData!$D:$D, CJ$2), SUMIFS(NewEmisData!L:L, NewEmisData!$A:$A, "LDV", NewEmisData!$B:$B, $A28, NewEmisData!$C:$C, $H28, NewEmisData!$D:$D, CJ$2))</f>
        <v>2.1244238664552498E-2</v>
      </c>
      <c r="CK28" s="324">
        <f>$I28*IF($G28="Pickup", SUMIFS(NewEmisData!M:M, NewEmisData!$A:$A, "Pickup", NewEmisData!$B:$B, $A28, NewEmisData!$C:$C, $H28, NewEmisData!$D:$D, CK$2), SUMIFS(NewEmisData!M:M, NewEmisData!$A:$A, "LDV", NewEmisData!$B:$B, $A28, NewEmisData!$C:$C, $H28, NewEmisData!$D:$D, CK$2))</f>
        <v>2.1243800212783201E-2</v>
      </c>
      <c r="CL28" s="324">
        <f t="shared" si="12"/>
        <v>2.1243800212783201E-2</v>
      </c>
      <c r="CM28" s="324">
        <f>$I28*IF($G28="Pickup", SUMIFS(NewEmisData!E:E, NewEmisData!$A:$A, "Pickup", NewEmisData!$B:$B, $A28, NewEmisData!$C:$C, $H28, NewEmisData!$D:$D, CM$2), SUMIFS(NewEmisData!E:E, NewEmisData!$A:$A, "LDV", NewEmisData!$B:$B, $A28, NewEmisData!$C:$C, $H28, NewEmisData!$D:$D, CM$2))</f>
        <v>2.3400482606005499E-2</v>
      </c>
      <c r="CN28" s="324">
        <f>$I28*IF($G28="Pickup", SUMIFS(NewEmisData!F:F, NewEmisData!$A:$A, "Pickup", NewEmisData!$B:$B, $A28, NewEmisData!$C:$C, $H28, NewEmisData!$D:$D, CN$2), SUMIFS(NewEmisData!F:F, NewEmisData!$A:$A, "LDV", NewEmisData!$B:$B, $A28, NewEmisData!$C:$C, $H28, NewEmisData!$D:$D, CN$2))</f>
        <v>1.46264020139097E-2</v>
      </c>
      <c r="CO28" s="324">
        <f>$I28*IF($G28="Pickup", SUMIFS(NewEmisData!G:G, NewEmisData!$A:$A, "Pickup", NewEmisData!$B:$B, $A28, NewEmisData!$C:$C, $H28, NewEmisData!$D:$D, CO$2), SUMIFS(NewEmisData!G:G, NewEmisData!$A:$A, "LDV", NewEmisData!$B:$B, $A28, NewEmisData!$C:$C, $H28, NewEmisData!$D:$D, CO$2))</f>
        <v>1.17594755724597E-2</v>
      </c>
      <c r="CP28" s="324">
        <f>$I28*IF($G28="Pickup", SUMIFS(NewEmisData!H:H, NewEmisData!$A:$A, "Pickup", NewEmisData!$B:$B, $A28, NewEmisData!$C:$C, $H28, NewEmisData!$D:$D, CP$2), SUMIFS(NewEmisData!H:H, NewEmisData!$A:$A, "LDV", NewEmisData!$B:$B, $A28, NewEmisData!$C:$C, $H28, NewEmisData!$D:$D, CP$2))</f>
        <v>9.5913131178771704E-3</v>
      </c>
      <c r="CQ28" s="324">
        <f>$I28*IF($G28="Pickup", SUMIFS(NewEmisData!I:I, NewEmisData!$A:$A, "Pickup", NewEmisData!$B:$B, $A28, NewEmisData!$C:$C, $H28, NewEmisData!$D:$D, CQ$2), SUMIFS(NewEmisData!I:I, NewEmisData!$A:$A, "LDV", NewEmisData!$B:$B, $A28, NewEmisData!$C:$C, $H28, NewEmisData!$D:$D, CQ$2))</f>
        <v>8.49787062067325E-3</v>
      </c>
      <c r="CR28" s="324">
        <f>$I28*IF($G28="Pickup", SUMIFS(NewEmisData!J:J, NewEmisData!$A:$A, "Pickup", NewEmisData!$B:$B, $A28, NewEmisData!$C:$C, $H28, NewEmisData!$D:$D, CR$2), SUMIFS(NewEmisData!J:J, NewEmisData!$A:$A, "LDV", NewEmisData!$B:$B, $A28, NewEmisData!$C:$C, $H28, NewEmisData!$D:$D, CR$2))</f>
        <v>8.0109865110152001E-3</v>
      </c>
      <c r="CS28" s="324">
        <f>$I28*IF($G28="Pickup", SUMIFS(NewEmisData!K:K, NewEmisData!$A:$A, "Pickup", NewEmisData!$B:$B, $A28, NewEmisData!$C:$C, $H28, NewEmisData!$D:$D, CS$2), SUMIFS(NewEmisData!K:K, NewEmisData!$A:$A, "LDV", NewEmisData!$B:$B, $A28, NewEmisData!$C:$C, $H28, NewEmisData!$D:$D, CS$2))</f>
        <v>7.9536784391849198E-3</v>
      </c>
      <c r="CT28" s="324">
        <f>$I28*IF($G28="Pickup", SUMIFS(NewEmisData!L:L, NewEmisData!$A:$A, "Pickup", NewEmisData!$B:$B, $A28, NewEmisData!$C:$C, $H28, NewEmisData!$D:$D, CT$2), SUMIFS(NewEmisData!L:L, NewEmisData!$A:$A, "LDV", NewEmisData!$B:$B, $A28, NewEmisData!$C:$C, $H28, NewEmisData!$D:$D, CT$2))</f>
        <v>7.8603296078806496E-3</v>
      </c>
      <c r="CU28" s="324">
        <f>$I28*IF($G28="Pickup", SUMIFS(NewEmisData!M:M, NewEmisData!$A:$A, "Pickup", NewEmisData!$B:$B, $A28, NewEmisData!$C:$C, $H28, NewEmisData!$D:$D, CU$2), SUMIFS(NewEmisData!M:M, NewEmisData!$A:$A, "LDV", NewEmisData!$B:$B, $A28, NewEmisData!$C:$C, $H28, NewEmisData!$D:$D, CU$2))</f>
        <v>7.8597717488691193E-3</v>
      </c>
      <c r="CV28" s="324">
        <f t="shared" si="13"/>
        <v>7.8597717488691193E-3</v>
      </c>
      <c r="CW28" s="324">
        <v>3.0448046675121709E-3</v>
      </c>
      <c r="CX28" s="324">
        <v>1.8865908720768221E-3</v>
      </c>
      <c r="CY28" s="324">
        <v>1.5570268485524494E-3</v>
      </c>
      <c r="CZ28" s="324">
        <v>1.2432183416122382E-3</v>
      </c>
      <c r="DA28" s="324">
        <v>9.252251866281976E-4</v>
      </c>
      <c r="DB28" s="324">
        <v>7.2309456596024934E-4</v>
      </c>
      <c r="DC28" s="324">
        <v>6.8940706870607876E-4</v>
      </c>
      <c r="DD28" s="324">
        <v>6.844148428615973E-4</v>
      </c>
      <c r="DE28" s="324">
        <v>6.8634617396886091E-4</v>
      </c>
      <c r="DF28" s="324">
        <v>6.8634617396886091E-4</v>
      </c>
      <c r="DG28" s="324">
        <f>$I28*IF($G28="Pickup", SUMIFS(NewEmisData!E:E, NewEmisData!$A:$A, "Pickup", NewEmisData!$B:$B, $A28, NewEmisData!$C:$C, $H28, NewEmisData!$D:$D, DG$2), SUMIFS(NewEmisData!E:E, NewEmisData!$A:$A, "LDV", NewEmisData!$B:$B, $A28, NewEmisData!$C:$C, $H28, NewEmisData!$D:$D, DG$2))</f>
        <v>0</v>
      </c>
      <c r="DH28" s="324">
        <f>$I28*IF($G28="Pickup", SUMIFS(NewEmisData!F:F, NewEmisData!$A:$A, "Pickup", NewEmisData!$B:$B, $A28, NewEmisData!$C:$C, $H28, NewEmisData!$D:$D, DH$2), SUMIFS(NewEmisData!F:F, NewEmisData!$A:$A, "LDV", NewEmisData!$B:$B, $A28, NewEmisData!$C:$C, $H28, NewEmisData!$D:$D, DH$2))</f>
        <v>0</v>
      </c>
      <c r="DI28" s="324">
        <f>$I28*IF($G28="Pickup", SUMIFS(NewEmisData!G:G, NewEmisData!$A:$A, "Pickup", NewEmisData!$B:$B, $A28, NewEmisData!$C:$C, $H28, NewEmisData!$D:$D, DI$2), SUMIFS(NewEmisData!G:G, NewEmisData!$A:$A, "LDV", NewEmisData!$B:$B, $A28, NewEmisData!$C:$C, $H28, NewEmisData!$D:$D, DI$2))</f>
        <v>0</v>
      </c>
      <c r="DJ28" s="324">
        <f>$I28*IF($G28="Pickup", SUMIFS(NewEmisData!H:H, NewEmisData!$A:$A, "Pickup", NewEmisData!$B:$B, $A28, NewEmisData!$C:$C, $H28, NewEmisData!$D:$D, DJ$2), SUMIFS(NewEmisData!H:H, NewEmisData!$A:$A, "LDV", NewEmisData!$B:$B, $A28, NewEmisData!$C:$C, $H28, NewEmisData!$D:$D, DJ$2))</f>
        <v>0</v>
      </c>
      <c r="DK28" s="324">
        <f>$I28*IF($G28="Pickup", SUMIFS(NewEmisData!I:I, NewEmisData!$A:$A, "Pickup", NewEmisData!$B:$B, $A28, NewEmisData!$C:$C, $H28, NewEmisData!$D:$D, DK$2), SUMIFS(NewEmisData!I:I, NewEmisData!$A:$A, "LDV", NewEmisData!$B:$B, $A28, NewEmisData!$C:$C, $H28, NewEmisData!$D:$D, DK$2))</f>
        <v>0</v>
      </c>
      <c r="DL28" s="324">
        <f>$I28*IF($G28="Pickup", SUMIFS(NewEmisData!J:J, NewEmisData!$A:$A, "Pickup", NewEmisData!$B:$B, $A28, NewEmisData!$C:$C, $H28, NewEmisData!$D:$D, DL$2), SUMIFS(NewEmisData!J:J, NewEmisData!$A:$A, "LDV", NewEmisData!$B:$B, $A28, NewEmisData!$C:$C, $H28, NewEmisData!$D:$D, DL$2))</f>
        <v>0</v>
      </c>
      <c r="DM28" s="324">
        <f>$I28*IF($G28="Pickup", SUMIFS(NewEmisData!K:K, NewEmisData!$A:$A, "Pickup", NewEmisData!$B:$B, $A28, NewEmisData!$C:$C, $H28, NewEmisData!$D:$D, DM$2), SUMIFS(NewEmisData!K:K, NewEmisData!$A:$A, "LDV", NewEmisData!$B:$B, $A28, NewEmisData!$C:$C, $H28, NewEmisData!$D:$D, DM$2))</f>
        <v>0</v>
      </c>
      <c r="DN28" s="324">
        <f>$I28*IF($G28="Pickup", SUMIFS(NewEmisData!L:L, NewEmisData!$A:$A, "Pickup", NewEmisData!$B:$B, $A28, NewEmisData!$C:$C, $H28, NewEmisData!$D:$D, DN$2), SUMIFS(NewEmisData!L:L, NewEmisData!$A:$A, "LDV", NewEmisData!$B:$B, $A28, NewEmisData!$C:$C, $H28, NewEmisData!$D:$D, DN$2))</f>
        <v>0</v>
      </c>
      <c r="DO28" s="324">
        <f>$I28*IF($G28="Pickup", SUMIFS(NewEmisData!M:M, NewEmisData!$A:$A, "Pickup", NewEmisData!$B:$B, $A28, NewEmisData!$C:$C, $H28, NewEmisData!$D:$D, DO$2), SUMIFS(NewEmisData!M:M, NewEmisData!$A:$A, "LDV", NewEmisData!$B:$B, $A28, NewEmisData!$C:$C, $H28, NewEmisData!$D:$D, DO$2))</f>
        <v>0</v>
      </c>
      <c r="DP28" s="324">
        <f t="shared" si="14"/>
        <v>0</v>
      </c>
      <c r="DQ28" s="324">
        <f>$I28*IF($G28="Pickup", SUMIFS(NewEmisData!E:E, NewEmisData!$A:$A, "Pickup", NewEmisData!$B:$B, $A28, NewEmisData!$C:$C, $H28, NewEmisData!$D:$D, DQ$2), SUMIFS(NewEmisData!E:E, NewEmisData!$A:$A, "LDV", NewEmisData!$B:$B, $A28, NewEmisData!$C:$C, $H28, NewEmisData!$D:$D, DQ$2))</f>
        <v>1.5358627671248499E-2</v>
      </c>
      <c r="DR28" s="324">
        <f>$I28*IF($G28="Pickup", SUMIFS(NewEmisData!F:F, NewEmisData!$A:$A, "Pickup", NewEmisData!$B:$B, $A28, NewEmisData!$C:$C, $H28, NewEmisData!$D:$D, DR$2), SUMIFS(NewEmisData!F:F, NewEmisData!$A:$A, "LDV", NewEmisData!$B:$B, $A28, NewEmisData!$C:$C, $H28, NewEmisData!$D:$D, DR$2))</f>
        <v>9.2701502330196205E-3</v>
      </c>
      <c r="DS28" s="324">
        <f>$I28*IF($G28="Pickup", SUMIFS(NewEmisData!G:G, NewEmisData!$A:$A, "Pickup", NewEmisData!$B:$B, $A28, NewEmisData!$C:$C, $H28, NewEmisData!$D:$D, DS$2), SUMIFS(NewEmisData!G:G, NewEmisData!$A:$A, "LDV", NewEmisData!$B:$B, $A28, NewEmisData!$C:$C, $H28, NewEmisData!$D:$D, DS$2))</f>
        <v>7.3800443468092902E-3</v>
      </c>
      <c r="DT28" s="324">
        <f>$I28*IF($G28="Pickup", SUMIFS(NewEmisData!H:H, NewEmisData!$A:$A, "Pickup", NewEmisData!$B:$B, $A28, NewEmisData!$C:$C, $H28, NewEmisData!$D:$D, DT$2), SUMIFS(NewEmisData!H:H, NewEmisData!$A:$A, "LDV", NewEmisData!$B:$B, $A28, NewEmisData!$C:$C, $H28, NewEmisData!$D:$D, DT$2))</f>
        <v>5.7500359883598503E-3</v>
      </c>
      <c r="DU28" s="324">
        <f>$I28*IF($G28="Pickup", SUMIFS(NewEmisData!I:I, NewEmisData!$A:$A, "Pickup", NewEmisData!$B:$B, $A28, NewEmisData!$C:$C, $H28, NewEmisData!$D:$D, DU$2), SUMIFS(NewEmisData!I:I, NewEmisData!$A:$A, "LDV", NewEmisData!$B:$B, $A28, NewEmisData!$C:$C, $H28, NewEmisData!$D:$D, DU$2))</f>
        <v>4.5486358185720301E-3</v>
      </c>
      <c r="DV28" s="324">
        <f>$I28*IF($G28="Pickup", SUMIFS(NewEmisData!J:J, NewEmisData!$A:$A, "Pickup", NewEmisData!$B:$B, $A28, NewEmisData!$C:$C, $H28, NewEmisData!$D:$D, DV$2), SUMIFS(NewEmisData!J:J, NewEmisData!$A:$A, "LDV", NewEmisData!$B:$B, $A28, NewEmisData!$C:$C, $H28, NewEmisData!$D:$D, DV$2))</f>
        <v>3.9745008012961004E-3</v>
      </c>
      <c r="DW28" s="324">
        <f>$I28*IF($G28="Pickup", SUMIFS(NewEmisData!K:K, NewEmisData!$A:$A, "Pickup", NewEmisData!$B:$B, $A28, NewEmisData!$C:$C, $H28, NewEmisData!$D:$D, DW$2), SUMIFS(NewEmisData!K:K, NewEmisData!$A:$A, "LDV", NewEmisData!$B:$B, $A28, NewEmisData!$C:$C, $H28, NewEmisData!$D:$D, DW$2))</f>
        <v>3.6505775807205302E-3</v>
      </c>
      <c r="DX28" s="324">
        <f>$I28*IF($G28="Pickup", SUMIFS(NewEmisData!L:L, NewEmisData!$A:$A, "Pickup", NewEmisData!$B:$B, $A28, NewEmisData!$C:$C, $H28, NewEmisData!$D:$D, DX$2), SUMIFS(NewEmisData!L:L, NewEmisData!$A:$A, "LDV", NewEmisData!$B:$B, $A28, NewEmisData!$C:$C, $H28, NewEmisData!$D:$D, DX$2))</f>
        <v>3.5463484367939599E-3</v>
      </c>
      <c r="DY28" s="324">
        <f>$I28*IF($G28="Pickup", SUMIFS(NewEmisData!M:M, NewEmisData!$A:$A, "Pickup", NewEmisData!$B:$B, $A28, NewEmisData!$C:$C, $H28, NewEmisData!$D:$D, DY$2), SUMIFS(NewEmisData!M:M, NewEmisData!$A:$A, "LDV", NewEmisData!$B:$B, $A28, NewEmisData!$C:$C, $H28, NewEmisData!$D:$D, DY$2))</f>
        <v>3.4918759359810199E-3</v>
      </c>
      <c r="DZ28" s="324">
        <f t="shared" si="15"/>
        <v>3.4918759359810199E-3</v>
      </c>
      <c r="EA28" s="324">
        <f t="shared" si="16"/>
        <v>474.817101058422</v>
      </c>
      <c r="EB28" s="324">
        <f t="shared" si="17"/>
        <v>451.24703471572099</v>
      </c>
      <c r="EC28" s="324">
        <f t="shared" si="18"/>
        <v>359.55406391675598</v>
      </c>
      <c r="ED28" s="324">
        <f t="shared" si="19"/>
        <v>306.68867751853497</v>
      </c>
      <c r="EE28" s="324">
        <f t="shared" si="20"/>
        <v>266.05693149041099</v>
      </c>
      <c r="EF28" s="324">
        <f t="shared" si="21"/>
        <v>243.087176828883</v>
      </c>
      <c r="EG28" s="324">
        <f t="shared" si="22"/>
        <v>232.82718030870799</v>
      </c>
      <c r="EH28" s="324">
        <f t="shared" si="23"/>
        <v>229.167353178653</v>
      </c>
      <c r="EI28" s="324">
        <f t="shared" si="24"/>
        <v>227.80956840287899</v>
      </c>
      <c r="EJ28" s="324">
        <f t="shared" si="25"/>
        <v>227.80956840287899</v>
      </c>
      <c r="EK28" s="324">
        <f t="shared" si="26"/>
        <v>0.70973077210402302</v>
      </c>
      <c r="EL28" s="324">
        <f t="shared" si="27"/>
        <v>0.32036907792622199</v>
      </c>
      <c r="EM28" s="324">
        <f t="shared" si="28"/>
        <v>0.23974719966536701</v>
      </c>
      <c r="EN28" s="324">
        <f t="shared" si="29"/>
        <v>0.160612501035788</v>
      </c>
      <c r="EO28" s="324">
        <f t="shared" si="30"/>
        <v>0.10365613117262901</v>
      </c>
      <c r="EP28" s="324">
        <f t="shared" si="31"/>
        <v>7.8799994555065797E-2</v>
      </c>
      <c r="EQ28" s="324">
        <f t="shared" si="32"/>
        <v>6.8646939612850705E-2</v>
      </c>
      <c r="ER28" s="324">
        <f t="shared" si="33"/>
        <v>6.5824398729591893E-2</v>
      </c>
      <c r="ES28" s="324">
        <f t="shared" si="34"/>
        <v>6.4340803704991095E-2</v>
      </c>
      <c r="ET28" s="324">
        <f t="shared" si="35"/>
        <v>6.4340803704991095E-2</v>
      </c>
      <c r="EU28" s="324">
        <f t="shared" si="36"/>
        <v>8.2160020457903906E-3</v>
      </c>
      <c r="EV28" s="324">
        <f t="shared" si="37"/>
        <v>7.80815598787189E-3</v>
      </c>
      <c r="EW28" s="324">
        <f t="shared" si="38"/>
        <v>5.1579884513251097E-3</v>
      </c>
      <c r="EX28" s="324">
        <f t="shared" si="39"/>
        <v>4.3996084263759998E-3</v>
      </c>
      <c r="EY28" s="324">
        <f t="shared" si="40"/>
        <v>3.81672539575274E-3</v>
      </c>
      <c r="EZ28" s="324">
        <f t="shared" si="41"/>
        <v>3.4872096414849999E-3</v>
      </c>
      <c r="FA28" s="324">
        <f t="shared" si="42"/>
        <v>3.3400286224750798E-3</v>
      </c>
      <c r="FB28" s="324">
        <f t="shared" si="43"/>
        <v>3.2875233288682799E-3</v>
      </c>
      <c r="FC28" s="324">
        <f t="shared" si="44"/>
        <v>3.2680461258744399E-3</v>
      </c>
      <c r="FD28" s="324">
        <f t="shared" si="45"/>
        <v>3.2680461258744399E-3</v>
      </c>
      <c r="FE28" s="324">
        <f t="shared" si="46"/>
        <v>7.6637268565666605E-2</v>
      </c>
      <c r="FF28" s="324">
        <f t="shared" si="47"/>
        <v>7.17220347655846E-2</v>
      </c>
      <c r="FG28" s="324">
        <f t="shared" si="48"/>
        <v>5.3063354209187903E-2</v>
      </c>
      <c r="FH28" s="324">
        <f t="shared" si="49"/>
        <v>5.1413159178765599E-2</v>
      </c>
      <c r="FI28" s="324">
        <f t="shared" si="50"/>
        <v>4.9937748877796798E-2</v>
      </c>
      <c r="FJ28" s="324">
        <f t="shared" si="51"/>
        <v>4.8737436898882699E-2</v>
      </c>
      <c r="FK28" s="324">
        <f t="shared" si="52"/>
        <v>4.7984590527250397E-2</v>
      </c>
      <c r="FL28" s="324">
        <f t="shared" si="53"/>
        <v>4.76005320802948E-2</v>
      </c>
      <c r="FM28" s="324">
        <f t="shared" si="54"/>
        <v>4.7377866603412998E-2</v>
      </c>
      <c r="FN28" s="324">
        <f t="shared" si="55"/>
        <v>4.7377866603412998E-2</v>
      </c>
      <c r="FO28" s="324">
        <f t="shared" si="56"/>
        <v>1.9839679684136899E-2</v>
      </c>
      <c r="FP28" s="324">
        <f t="shared" si="57"/>
        <v>1.54915322396613E-2</v>
      </c>
      <c r="FQ28" s="324">
        <f t="shared" si="58"/>
        <v>1.24856485125612E-2</v>
      </c>
      <c r="FR28" s="324">
        <f t="shared" si="59"/>
        <v>1.10258430769824E-2</v>
      </c>
      <c r="FS28" s="324">
        <f t="shared" si="60"/>
        <v>9.7206839249302599E-3</v>
      </c>
      <c r="FT28" s="324">
        <f t="shared" si="61"/>
        <v>8.6588886279032502E-3</v>
      </c>
      <c r="FU28" s="324">
        <f t="shared" si="62"/>
        <v>7.9928948991222996E-3</v>
      </c>
      <c r="FV28" s="324">
        <f t="shared" si="63"/>
        <v>7.65317007618625E-3</v>
      </c>
      <c r="FW28" s="324">
        <f t="shared" si="64"/>
        <v>7.4561632981935697E-3</v>
      </c>
      <c r="FX28" s="324">
        <f t="shared" si="65"/>
        <v>7.4561632981935697E-3</v>
      </c>
    </row>
    <row r="29" spans="1:180" x14ac:dyDescent="0.2">
      <c r="A29" s="298" t="str">
        <f>_xlfn.CONCAT(IF(LEFT(TRIM(A28),1)="*", "*R", "R"), 1+RIGHT(TRIM(A28),1))</f>
        <v>R6</v>
      </c>
      <c r="B29" s="298" t="str">
        <f t="shared" si="81"/>
        <v>TLEFGSL</v>
      </c>
      <c r="C29" s="298" t="str">
        <f t="shared" si="82"/>
        <v>TL.GSL.F.Existing fleet</v>
      </c>
      <c r="D29" s="294" t="str">
        <f t="shared" si="83"/>
        <v>bn-vmt, bn-vmt/a</v>
      </c>
      <c r="E29" s="294" t="str">
        <f t="shared" si="84"/>
        <v>TLGSL</v>
      </c>
      <c r="F29" s="294" t="str">
        <f t="shared" si="85"/>
        <v>TL</v>
      </c>
      <c r="G29" s="294" t="s">
        <v>476</v>
      </c>
      <c r="H29" s="294" t="s">
        <v>474</v>
      </c>
      <c r="I29" s="294">
        <v>1</v>
      </c>
      <c r="J29" s="308" t="str">
        <f t="shared" si="2"/>
        <v>Full size car-GSL</v>
      </c>
      <c r="K29" s="324">
        <f>$I29*IF($G29="Pickup", SUMIFS(NewEmisData!E:E, NewEmisData!$A:$A, "Pickup", NewEmisData!$B:$B, $A29, NewEmisData!$C:$C, $H29, NewEmisData!$D:$D, K$2), SUMIFS(NewEmisData!E:E, NewEmisData!$A:$A, "LDV", NewEmisData!$B:$B, $A29, NewEmisData!$C:$C, $H29, NewEmisData!$D:$D, K$2))</f>
        <v>465.43339574540698</v>
      </c>
      <c r="L29" s="324">
        <f>$I29*IF($G29="Pickup", SUMIFS(NewEmisData!F:F, NewEmisData!$A:$A, "Pickup", NewEmisData!$B:$B, $A29, NewEmisData!$C:$C, $H29, NewEmisData!$D:$D, L$2), SUMIFS(NewEmisData!F:F, NewEmisData!$A:$A, "LDV", NewEmisData!$B:$B, $A29, NewEmisData!$C:$C, $H29, NewEmisData!$D:$D, L$2))</f>
        <v>447.45086858043499</v>
      </c>
      <c r="M29" s="324">
        <f>$I29*IF($G29="Pickup", SUMIFS(NewEmisData!G:G, NewEmisData!$A:$A, "Pickup", NewEmisData!$B:$B, $A29, NewEmisData!$C:$C, $H29, NewEmisData!$D:$D, M$2), SUMIFS(NewEmisData!G:G, NewEmisData!$A:$A, "LDV", NewEmisData!$B:$B, $A29, NewEmisData!$C:$C, $H29, NewEmisData!$D:$D, M$2))</f>
        <v>371.68579631799702</v>
      </c>
      <c r="N29" s="324">
        <f>$I29*IF($G29="Pickup", SUMIFS(NewEmisData!H:H, NewEmisData!$A:$A, "Pickup", NewEmisData!$B:$B, $A29, NewEmisData!$C:$C, $H29, NewEmisData!$D:$D, N$2), SUMIFS(NewEmisData!H:H, NewEmisData!$A:$A, "LDV", NewEmisData!$B:$B, $A29, NewEmisData!$C:$C, $H29, NewEmisData!$D:$D, N$2))</f>
        <v>316.68783468886801</v>
      </c>
      <c r="O29" s="324">
        <f>$I29*IF($G29="Pickup", SUMIFS(NewEmisData!I:I, NewEmisData!$A:$A, "Pickup", NewEmisData!$B:$B, $A29, NewEmisData!$C:$C, $H29, NewEmisData!$D:$D, O$2), SUMIFS(NewEmisData!I:I, NewEmisData!$A:$A, "LDV", NewEmisData!$B:$B, $A29, NewEmisData!$C:$C, $H29, NewEmisData!$D:$D, O$2))</f>
        <v>274.45359564691302</v>
      </c>
      <c r="P29" s="324">
        <f>$I29*IF($G29="Pickup", SUMIFS(NewEmisData!J:J, NewEmisData!$A:$A, "Pickup", NewEmisData!$B:$B, $A29, NewEmisData!$C:$C, $H29, NewEmisData!$D:$D, P$2), SUMIFS(NewEmisData!J:J, NewEmisData!$A:$A, "LDV", NewEmisData!$B:$B, $A29, NewEmisData!$C:$C, $H29, NewEmisData!$D:$D, P$2))</f>
        <v>250.610452801164</v>
      </c>
      <c r="Q29" s="324">
        <f>$I29*IF($G29="Pickup", SUMIFS(NewEmisData!K:K, NewEmisData!$A:$A, "Pickup", NewEmisData!$B:$B, $A29, NewEmisData!$C:$C, $H29, NewEmisData!$D:$D, Q$2), SUMIFS(NewEmisData!K:K, NewEmisData!$A:$A, "LDV", NewEmisData!$B:$B, $A29, NewEmisData!$C:$C, $H29, NewEmisData!$D:$D, Q$2))</f>
        <v>239.96929474207201</v>
      </c>
      <c r="R29" s="324">
        <f>$I29*IF($G29="Pickup", SUMIFS(NewEmisData!L:L, NewEmisData!$A:$A, "Pickup", NewEmisData!$B:$B, $A29, NewEmisData!$C:$C, $H29, NewEmisData!$D:$D, R$2), SUMIFS(NewEmisData!L:L, NewEmisData!$A:$A, "LDV", NewEmisData!$B:$B, $A29, NewEmisData!$C:$C, $H29, NewEmisData!$D:$D, R$2))</f>
        <v>236.17949059358199</v>
      </c>
      <c r="S29" s="324">
        <f>$I29*IF($G29="Pickup", SUMIFS(NewEmisData!M:M, NewEmisData!$A:$A, "Pickup", NewEmisData!$B:$B, $A29, NewEmisData!$C:$C, $H29, NewEmisData!$D:$D, S$2), SUMIFS(NewEmisData!M:M, NewEmisData!$A:$A, "LDV", NewEmisData!$B:$B, $A29, NewEmisData!$C:$C, $H29, NewEmisData!$D:$D, S$2))</f>
        <v>234.77621268414799</v>
      </c>
      <c r="T29" s="324">
        <f t="shared" si="5"/>
        <v>234.77621268414799</v>
      </c>
      <c r="U29" s="324">
        <f>$I29*IF($G29="Pickup", SUMIFS(NewEmisData!E:E, NewEmisData!$A:$A, "Pickup", NewEmisData!$B:$B, $A29, NewEmisData!$C:$C, $H29, NewEmisData!$D:$D, U$2), SUMIFS(NewEmisData!E:E, NewEmisData!$A:$A, "LDV", NewEmisData!$B:$B, $A29, NewEmisData!$C:$C, $H29, NewEmisData!$D:$D, U$2))</f>
        <v>0.76817370125590101</v>
      </c>
      <c r="V29" s="324">
        <f>$I29*IF($G29="Pickup", SUMIFS(NewEmisData!F:F, NewEmisData!$A:$A, "Pickup", NewEmisData!$B:$B, $A29, NewEmisData!$C:$C, $H29, NewEmisData!$D:$D, V$2), SUMIFS(NewEmisData!F:F, NewEmisData!$A:$A, "LDV", NewEmisData!$B:$B, $A29, NewEmisData!$C:$C, $H29, NewEmisData!$D:$D, V$2))</f>
        <v>0.34255400012381199</v>
      </c>
      <c r="W29" s="324">
        <f>$I29*IF($G29="Pickup", SUMIFS(NewEmisData!G:G, NewEmisData!$A:$A, "Pickup", NewEmisData!$B:$B, $A29, NewEmisData!$C:$C, $H29, NewEmisData!$D:$D, W$2), SUMIFS(NewEmisData!G:G, NewEmisData!$A:$A, "LDV", NewEmisData!$B:$B, $A29, NewEmisData!$C:$C, $H29, NewEmisData!$D:$D, W$2))</f>
        <v>0.22026197441968301</v>
      </c>
      <c r="X29" s="324">
        <f>$I29*IF($G29="Pickup", SUMIFS(NewEmisData!H:H, NewEmisData!$A:$A, "Pickup", NewEmisData!$B:$B, $A29, NewEmisData!$C:$C, $H29, NewEmisData!$D:$D, X$2), SUMIFS(NewEmisData!H:H, NewEmisData!$A:$A, "LDV", NewEmisData!$B:$B, $A29, NewEmisData!$C:$C, $H29, NewEmisData!$D:$D, X$2))</f>
        <v>0.146130223505477</v>
      </c>
      <c r="Y29" s="324">
        <f>$I29*IF($G29="Pickup", SUMIFS(NewEmisData!I:I, NewEmisData!$A:$A, "Pickup", NewEmisData!$B:$B, $A29, NewEmisData!$C:$C, $H29, NewEmisData!$D:$D, Y$2), SUMIFS(NewEmisData!I:I, NewEmisData!$A:$A, "LDV", NewEmisData!$B:$B, $A29, NewEmisData!$C:$C, $H29, NewEmisData!$D:$D, Y$2))</f>
        <v>9.25204446820201E-2</v>
      </c>
      <c r="Z29" s="324">
        <f>$I29*IF($G29="Pickup", SUMIFS(NewEmisData!J:J, NewEmisData!$A:$A, "Pickup", NewEmisData!$B:$B, $A29, NewEmisData!$C:$C, $H29, NewEmisData!$D:$D, Z$2), SUMIFS(NewEmisData!J:J, NewEmisData!$A:$A, "LDV", NewEmisData!$B:$B, $A29, NewEmisData!$C:$C, $H29, NewEmisData!$D:$D, Z$2))</f>
        <v>6.9646332093205393E-2</v>
      </c>
      <c r="AA29" s="324">
        <f>$I29*IF($G29="Pickup", SUMIFS(NewEmisData!K:K, NewEmisData!$A:$A, "Pickup", NewEmisData!$B:$B, $A29, NewEmisData!$C:$C, $H29, NewEmisData!$D:$D, AA$2), SUMIFS(NewEmisData!K:K, NewEmisData!$A:$A, "LDV", NewEmisData!$B:$B, $A29, NewEmisData!$C:$C, $H29, NewEmisData!$D:$D, AA$2))</f>
        <v>6.0285539426727999E-2</v>
      </c>
      <c r="AB29" s="324">
        <f>$I29*IF($G29="Pickup", SUMIFS(NewEmisData!L:L, NewEmisData!$A:$A, "Pickup", NewEmisData!$B:$B, $A29, NewEmisData!$C:$C, $H29, NewEmisData!$D:$D, AB$2), SUMIFS(NewEmisData!L:L, NewEmisData!$A:$A, "LDV", NewEmisData!$B:$B, $A29, NewEmisData!$C:$C, $H29, NewEmisData!$D:$D, AB$2))</f>
        <v>5.7685517085836899E-2</v>
      </c>
      <c r="AC29" s="324">
        <f>$I29*IF($G29="Pickup", SUMIFS(NewEmisData!M:M, NewEmisData!$A:$A, "Pickup", NewEmisData!$B:$B, $A29, NewEmisData!$C:$C, $H29, NewEmisData!$D:$D, AC$2), SUMIFS(NewEmisData!M:M, NewEmisData!$A:$A, "LDV", NewEmisData!$B:$B, $A29, NewEmisData!$C:$C, $H29, NewEmisData!$D:$D, AC$2))</f>
        <v>5.6336256806388998E-2</v>
      </c>
      <c r="AD29" s="324">
        <f t="shared" si="6"/>
        <v>5.6336256806388998E-2</v>
      </c>
      <c r="AE29" s="324">
        <f>$I29*IF($G29="Pickup", SUMIFS(NewEmisData!E:E, NewEmisData!$A:$A, "Pickup", NewEmisData!$B:$B, $A29, NewEmisData!$C:$C, $H29, NewEmisData!$D:$D, AE$2), SUMIFS(NewEmisData!E:E, NewEmisData!$A:$A, "LDV", NewEmisData!$B:$B, $A29, NewEmisData!$C:$C, $H29, NewEmisData!$D:$D, AE$2))</f>
        <v>8.0536316527093799E-3</v>
      </c>
      <c r="AF29" s="324">
        <f>$I29*IF($G29="Pickup", SUMIFS(NewEmisData!F:F, NewEmisData!$A:$A, "Pickup", NewEmisData!$B:$B, $A29, NewEmisData!$C:$C, $H29, NewEmisData!$D:$D, AF$2), SUMIFS(NewEmisData!F:F, NewEmisData!$A:$A, "LDV", NewEmisData!$B:$B, $A29, NewEmisData!$C:$C, $H29, NewEmisData!$D:$D, AF$2))</f>
        <v>7.7424694052717798E-3</v>
      </c>
      <c r="AG29" s="324">
        <f>$I29*IF($G29="Pickup", SUMIFS(NewEmisData!G:G, NewEmisData!$A:$A, "Pickup", NewEmisData!$B:$B, $A29, NewEmisData!$C:$C, $H29, NewEmisData!$D:$D, AG$2), SUMIFS(NewEmisData!G:G, NewEmisData!$A:$A, "LDV", NewEmisData!$B:$B, $A29, NewEmisData!$C:$C, $H29, NewEmisData!$D:$D, AG$2))</f>
        <v>5.3320257089092297E-3</v>
      </c>
      <c r="AH29" s="324">
        <f>$I29*IF($G29="Pickup", SUMIFS(NewEmisData!H:H, NewEmisData!$A:$A, "Pickup", NewEmisData!$B:$B, $A29, NewEmisData!$C:$C, $H29, NewEmisData!$D:$D, AH$2), SUMIFS(NewEmisData!H:H, NewEmisData!$A:$A, "LDV", NewEmisData!$B:$B, $A29, NewEmisData!$C:$C, $H29, NewEmisData!$D:$D, AH$2))</f>
        <v>4.5430510168157703E-3</v>
      </c>
      <c r="AI29" s="324">
        <f>$I29*IF($G29="Pickup", SUMIFS(NewEmisData!I:I, NewEmisData!$A:$A, "Pickup", NewEmisData!$B:$B, $A29, NewEmisData!$C:$C, $H29, NewEmisData!$D:$D, AI$2), SUMIFS(NewEmisData!I:I, NewEmisData!$A:$A, "LDV", NewEmisData!$B:$B, $A29, NewEmisData!$C:$C, $H29, NewEmisData!$D:$D, AI$2))</f>
        <v>3.9371785778053803E-3</v>
      </c>
      <c r="AJ29" s="324">
        <f>$I29*IF($G29="Pickup", SUMIFS(NewEmisData!J:J, NewEmisData!$A:$A, "Pickup", NewEmisData!$B:$B, $A29, NewEmisData!$C:$C, $H29, NewEmisData!$D:$D, AJ$2), SUMIFS(NewEmisData!J:J, NewEmisData!$A:$A, "LDV", NewEmisData!$B:$B, $A29, NewEmisData!$C:$C, $H29, NewEmisData!$D:$D, AJ$2))</f>
        <v>3.5951364530025401E-3</v>
      </c>
      <c r="AK29" s="324">
        <f>$I29*IF($G29="Pickup", SUMIFS(NewEmisData!K:K, NewEmisData!$A:$A, "Pickup", NewEmisData!$B:$B, $A29, NewEmisData!$C:$C, $H29, NewEmisData!$D:$D, AK$2), SUMIFS(NewEmisData!K:K, NewEmisData!$A:$A, "LDV", NewEmisData!$B:$B, $A29, NewEmisData!$C:$C, $H29, NewEmisData!$D:$D, AK$2))</f>
        <v>3.4424852382502098E-3</v>
      </c>
      <c r="AL29" s="324">
        <f>$I29*IF($G29="Pickup", SUMIFS(NewEmisData!L:L, NewEmisData!$A:$A, "Pickup", NewEmisData!$B:$B, $A29, NewEmisData!$C:$C, $H29, NewEmisData!$D:$D, AL$2), SUMIFS(NewEmisData!L:L, NewEmisData!$A:$A, "LDV", NewEmisData!$B:$B, $A29, NewEmisData!$C:$C, $H29, NewEmisData!$D:$D, AL$2))</f>
        <v>3.38811619026995E-3</v>
      </c>
      <c r="AM29" s="324">
        <f>$I29*IF($G29="Pickup", SUMIFS(NewEmisData!M:M, NewEmisData!$A:$A, "Pickup", NewEmisData!$B:$B, $A29, NewEmisData!$C:$C, $H29, NewEmisData!$D:$D, AM$2), SUMIFS(NewEmisData!M:M, NewEmisData!$A:$A, "LDV", NewEmisData!$B:$B, $A29, NewEmisData!$C:$C, $H29, NewEmisData!$D:$D, AM$2))</f>
        <v>3.36798790618778E-3</v>
      </c>
      <c r="AN29" s="324">
        <f t="shared" si="7"/>
        <v>3.36798790618778E-3</v>
      </c>
      <c r="AO29" s="324">
        <f>$I29*IF($G29="Pickup", SUMIFS(NewEmisData!E:E, NewEmisData!$A:$A, "Pickup", NewEmisData!$B:$B, $A29, NewEmisData!$C:$C, $H29, NewEmisData!$D:$D, AO$2), SUMIFS(NewEmisData!E:E, NewEmisData!$A:$A, "LDV", NewEmisData!$B:$B, $A29, NewEmisData!$C:$C, $H29, NewEmisData!$D:$D, AO$2))</f>
        <v>7.6317156939691294E-2</v>
      </c>
      <c r="AP29" s="324">
        <f>$I29*IF($G29="Pickup", SUMIFS(NewEmisData!F:F, NewEmisData!$A:$A, "Pickup", NewEmisData!$B:$B, $A29, NewEmisData!$C:$C, $H29, NewEmisData!$D:$D, AP$2), SUMIFS(NewEmisData!F:F, NewEmisData!$A:$A, "LDV", NewEmisData!$B:$B, $A29, NewEmisData!$C:$C, $H29, NewEmisData!$D:$D, AP$2))</f>
        <v>7.1544642944165196E-2</v>
      </c>
      <c r="AQ29" s="324">
        <f>$I29*IF($G29="Pickup", SUMIFS(NewEmisData!G:G, NewEmisData!$A:$A, "Pickup", NewEmisData!$B:$B, $A29, NewEmisData!$C:$C, $H29, NewEmisData!$D:$D, AQ$2), SUMIFS(NewEmisData!G:G, NewEmisData!$A:$A, "LDV", NewEmisData!$B:$B, $A29, NewEmisData!$C:$C, $H29, NewEmisData!$D:$D, AQ$2))</f>
        <v>5.8249743312617203E-2</v>
      </c>
      <c r="AR29" s="324">
        <f>$I29*IF($G29="Pickup", SUMIFS(NewEmisData!H:H, NewEmisData!$A:$A, "Pickup", NewEmisData!$B:$B, $A29, NewEmisData!$C:$C, $H29, NewEmisData!$D:$D, AR$2), SUMIFS(NewEmisData!H:H, NewEmisData!$A:$A, "LDV", NewEmisData!$B:$B, $A29, NewEmisData!$C:$C, $H29, NewEmisData!$D:$D, AR$2))</f>
        <v>5.6730049378736901E-2</v>
      </c>
      <c r="AS29" s="324">
        <f>$I29*IF($G29="Pickup", SUMIFS(NewEmisData!I:I, NewEmisData!$A:$A, "Pickup", NewEmisData!$B:$B, $A29, NewEmisData!$C:$C, $H29, NewEmisData!$D:$D, AS$2), SUMIFS(NewEmisData!I:I, NewEmisData!$A:$A, "LDV", NewEmisData!$B:$B, $A29, NewEmisData!$C:$C, $H29, NewEmisData!$D:$D, AS$2))</f>
        <v>5.5297861804990203E-2</v>
      </c>
      <c r="AT29" s="324">
        <f>$I29*IF($G29="Pickup", SUMIFS(NewEmisData!J:J, NewEmisData!$A:$A, "Pickup", NewEmisData!$B:$B, $A29, NewEmisData!$C:$C, $H29, NewEmisData!$D:$D, AT$2), SUMIFS(NewEmisData!J:J, NewEmisData!$A:$A, "LDV", NewEmisData!$B:$B, $A29, NewEmisData!$C:$C, $H29, NewEmisData!$D:$D, AT$2))</f>
        <v>5.4156352090813403E-2</v>
      </c>
      <c r="AU29" s="324">
        <f>$I29*IF($G29="Pickup", SUMIFS(NewEmisData!K:K, NewEmisData!$A:$A, "Pickup", NewEmisData!$B:$B, $A29, NewEmisData!$C:$C, $H29, NewEmisData!$D:$D, AU$2), SUMIFS(NewEmisData!K:K, NewEmisData!$A:$A, "LDV", NewEmisData!$B:$B, $A29, NewEmisData!$C:$C, $H29, NewEmisData!$D:$D, AU$2))</f>
        <v>5.3430662266944498E-2</v>
      </c>
      <c r="AV29" s="324">
        <f>$I29*IF($G29="Pickup", SUMIFS(NewEmisData!L:L, NewEmisData!$A:$A, "Pickup", NewEmisData!$B:$B, $A29, NewEmisData!$C:$C, $H29, NewEmisData!$D:$D, AV$2), SUMIFS(NewEmisData!L:L, NewEmisData!$A:$A, "LDV", NewEmisData!$B:$B, $A29, NewEmisData!$C:$C, $H29, NewEmisData!$D:$D, AV$2))</f>
        <v>5.3062743786751999E-2</v>
      </c>
      <c r="AW29" s="324">
        <f>$I29*IF($G29="Pickup", SUMIFS(NewEmisData!M:M, NewEmisData!$A:$A, "Pickup", NewEmisData!$B:$B, $A29, NewEmisData!$C:$C, $H29, NewEmisData!$D:$D, AW$2), SUMIFS(NewEmisData!M:M, NewEmisData!$A:$A, "LDV", NewEmisData!$B:$B, $A29, NewEmisData!$C:$C, $H29, NewEmisData!$D:$D, AW$2))</f>
        <v>5.2850768620488903E-2</v>
      </c>
      <c r="AX29" s="324">
        <f t="shared" si="8"/>
        <v>5.2850768620488903E-2</v>
      </c>
      <c r="AY29" s="324">
        <f>$I29*IF($G29="Pickup", SUMIFS(NewEmisData!E:E, NewEmisData!$A:$A, "Pickup", NewEmisData!$B:$B, $A29, NewEmisData!$C:$C, $H29, NewEmisData!$D:$D, AY$2), SUMIFS(NewEmisData!E:E, NewEmisData!$A:$A, "LDV", NewEmisData!$B:$B, $A29, NewEmisData!$C:$C, $H29, NewEmisData!$D:$D, AY$2))</f>
        <v>2.00368746679381E-2</v>
      </c>
      <c r="AZ29" s="324">
        <f>$I29*IF($G29="Pickup", SUMIFS(NewEmisData!F:F, NewEmisData!$A:$A, "Pickup", NewEmisData!$B:$B, $A29, NewEmisData!$C:$C, $H29, NewEmisData!$D:$D, AZ$2), SUMIFS(NewEmisData!F:F, NewEmisData!$A:$A, "LDV", NewEmisData!$B:$B, $A29, NewEmisData!$C:$C, $H29, NewEmisData!$D:$D, AZ$2))</f>
        <v>1.58149288879222E-2</v>
      </c>
      <c r="BA29" s="324">
        <f>$I29*IF($G29="Pickup", SUMIFS(NewEmisData!G:G, NewEmisData!$A:$A, "Pickup", NewEmisData!$B:$B, $A29, NewEmisData!$C:$C, $H29, NewEmisData!$D:$D, BA$2), SUMIFS(NewEmisData!G:G, NewEmisData!$A:$A, "LDV", NewEmisData!$B:$B, $A29, NewEmisData!$C:$C, $H29, NewEmisData!$D:$D, BA$2))</f>
        <v>1.2889012730210401E-2</v>
      </c>
      <c r="BB29" s="324">
        <f>$I29*IF($G29="Pickup", SUMIFS(NewEmisData!H:H, NewEmisData!$A:$A, "Pickup", NewEmisData!$B:$B, $A29, NewEmisData!$C:$C, $H29, NewEmisData!$D:$D, BB$2), SUMIFS(NewEmisData!H:H, NewEmisData!$A:$A, "LDV", NewEmisData!$B:$B, $A29, NewEmisData!$C:$C, $H29, NewEmisData!$D:$D, BB$2))</f>
        <v>1.1544674905883E-2</v>
      </c>
      <c r="BC29" s="324">
        <f>$I29*IF($G29="Pickup", SUMIFS(NewEmisData!I:I, NewEmisData!$A:$A, "Pickup", NewEmisData!$B:$B, $A29, NewEmisData!$C:$C, $H29, NewEmisData!$D:$D, BC$2), SUMIFS(NewEmisData!I:I, NewEmisData!$A:$A, "LDV", NewEmisData!$B:$B, $A29, NewEmisData!$C:$C, $H29, NewEmisData!$D:$D, BC$2))</f>
        <v>1.0277724336371899E-2</v>
      </c>
      <c r="BD29" s="324">
        <f>$I29*IF($G29="Pickup", SUMIFS(NewEmisData!J:J, NewEmisData!$A:$A, "Pickup", NewEmisData!$B:$B, $A29, NewEmisData!$C:$C, $H29, NewEmisData!$D:$D, BD$2), SUMIFS(NewEmisData!J:J, NewEmisData!$A:$A, "LDV", NewEmisData!$B:$B, $A29, NewEmisData!$C:$C, $H29, NewEmisData!$D:$D, BD$2))</f>
        <v>9.2679749278735592E-3</v>
      </c>
      <c r="BE29" s="324">
        <f>$I29*IF($G29="Pickup", SUMIFS(NewEmisData!K:K, NewEmisData!$A:$A, "Pickup", NewEmisData!$B:$B, $A29, NewEmisData!$C:$C, $H29, NewEmisData!$D:$D, BE$2), SUMIFS(NewEmisData!K:K, NewEmisData!$A:$A, "LDV", NewEmisData!$B:$B, $A29, NewEmisData!$C:$C, $H29, NewEmisData!$D:$D, BE$2))</f>
        <v>8.6259896432645099E-3</v>
      </c>
      <c r="BF29" s="324">
        <f>$I29*IF($G29="Pickup", SUMIFS(NewEmisData!L:L, NewEmisData!$A:$A, "Pickup", NewEmisData!$B:$B, $A29, NewEmisData!$C:$C, $H29, NewEmisData!$D:$D, BF$2), SUMIFS(NewEmisData!L:L, NewEmisData!$A:$A, "LDV", NewEmisData!$B:$B, $A29, NewEmisData!$C:$C, $H29, NewEmisData!$D:$D, BF$2))</f>
        <v>8.3004876330209296E-3</v>
      </c>
      <c r="BG29" s="324">
        <f>$I29*IF($G29="Pickup", SUMIFS(NewEmisData!M:M, NewEmisData!$A:$A, "Pickup", NewEmisData!$B:$B, $A29, NewEmisData!$C:$C, $H29, NewEmisData!$D:$D, BG$2), SUMIFS(NewEmisData!M:M, NewEmisData!$A:$A, "LDV", NewEmisData!$B:$B, $A29, NewEmisData!$C:$C, $H29, NewEmisData!$D:$D, BG$2))</f>
        <v>8.1129702157430005E-3</v>
      </c>
      <c r="BH29" s="324">
        <f t="shared" si="9"/>
        <v>8.1129702157430005E-3</v>
      </c>
      <c r="BI29" s="324">
        <f>$I29*IF($G29="Pickup", SUMIFS(NewEmisData!E:E, NewEmisData!$A:$A, "Pickup", NewEmisData!$B:$B, $A29, NewEmisData!$C:$C, $H29, NewEmisData!$D:$D, BI$2), SUMIFS(NewEmisData!E:E, NewEmisData!$A:$A, "LDV", NewEmisData!$B:$B, $A29, NewEmisData!$C:$C, $H29, NewEmisData!$D:$D, BI$2))</f>
        <v>6.1599528865440298</v>
      </c>
      <c r="BJ29" s="324">
        <f>$I29*IF($G29="Pickup", SUMIFS(NewEmisData!F:F, NewEmisData!$A:$A, "Pickup", NewEmisData!$B:$B, $A29, NewEmisData!$C:$C, $H29, NewEmisData!$D:$D, BJ$2), SUMIFS(NewEmisData!F:F, NewEmisData!$A:$A, "LDV", NewEmisData!$B:$B, $A29, NewEmisData!$C:$C, $H29, NewEmisData!$D:$D, BJ$2))</f>
        <v>3.7475170679561298</v>
      </c>
      <c r="BK29" s="324">
        <f>$I29*IF($G29="Pickup", SUMIFS(NewEmisData!G:G, NewEmisData!$A:$A, "Pickup", NewEmisData!$B:$B, $A29, NewEmisData!$C:$C, $H29, NewEmisData!$D:$D, BK$2), SUMIFS(NewEmisData!G:G, NewEmisData!$A:$A, "LDV", NewEmisData!$B:$B, $A29, NewEmisData!$C:$C, $H29, NewEmisData!$D:$D, BK$2))</f>
        <v>2.80366463620466</v>
      </c>
      <c r="BL29" s="324">
        <f>$I29*IF($G29="Pickup", SUMIFS(NewEmisData!H:H, NewEmisData!$A:$A, "Pickup", NewEmisData!$B:$B, $A29, NewEmisData!$C:$C, $H29, NewEmisData!$D:$D, BL$2), SUMIFS(NewEmisData!H:H, NewEmisData!$A:$A, "LDV", NewEmisData!$B:$B, $A29, NewEmisData!$C:$C, $H29, NewEmisData!$D:$D, BL$2))</f>
        <v>2.2038088113149099</v>
      </c>
      <c r="BM29" s="324">
        <f>$I29*IF($G29="Pickup", SUMIFS(NewEmisData!I:I, NewEmisData!$A:$A, "Pickup", NewEmisData!$B:$B, $A29, NewEmisData!$C:$C, $H29, NewEmisData!$D:$D, BM$2), SUMIFS(NewEmisData!I:I, NewEmisData!$A:$A, "LDV", NewEmisData!$B:$B, $A29, NewEmisData!$C:$C, $H29, NewEmisData!$D:$D, BM$2))</f>
        <v>1.6110244723417799</v>
      </c>
      <c r="BN29" s="324">
        <f>$I29*IF($G29="Pickup", SUMIFS(NewEmisData!J:J, NewEmisData!$A:$A, "Pickup", NewEmisData!$B:$B, $A29, NewEmisData!$C:$C, $H29, NewEmisData!$D:$D, BN$2), SUMIFS(NewEmisData!J:J, NewEmisData!$A:$A, "LDV", NewEmisData!$B:$B, $A29, NewEmisData!$C:$C, $H29, NewEmisData!$D:$D, BN$2))</f>
        <v>1.2813570878169001</v>
      </c>
      <c r="BO29" s="324">
        <f>$I29*IF($G29="Pickup", SUMIFS(NewEmisData!K:K, NewEmisData!$A:$A, "Pickup", NewEmisData!$B:$B, $A29, NewEmisData!$C:$C, $H29, NewEmisData!$D:$D, BO$2), SUMIFS(NewEmisData!K:K, NewEmisData!$A:$A, "LDV", NewEmisData!$B:$B, $A29, NewEmisData!$C:$C, $H29, NewEmisData!$D:$D, BO$2))</f>
        <v>1.1316455644238499</v>
      </c>
      <c r="BP29" s="324">
        <f>$I29*IF($G29="Pickup", SUMIFS(NewEmisData!L:L, NewEmisData!$A:$A, "Pickup", NewEmisData!$B:$B, $A29, NewEmisData!$C:$C, $H29, NewEmisData!$D:$D, BP$2), SUMIFS(NewEmisData!L:L, NewEmisData!$A:$A, "LDV", NewEmisData!$B:$B, $A29, NewEmisData!$C:$C, $H29, NewEmisData!$D:$D, BP$2))</f>
        <v>1.0822537615630099</v>
      </c>
      <c r="BQ29" s="324">
        <f>$I29*IF($G29="Pickup", SUMIFS(NewEmisData!M:M, NewEmisData!$A:$A, "Pickup", NewEmisData!$B:$B, $A29, NewEmisData!$C:$C, $H29, NewEmisData!$D:$D, BQ$2), SUMIFS(NewEmisData!M:M, NewEmisData!$A:$A, "LDV", NewEmisData!$B:$B, $A29, NewEmisData!$C:$C, $H29, NewEmisData!$D:$D, BQ$2))</f>
        <v>1.05143374218492</v>
      </c>
      <c r="BR29" s="324">
        <f t="shared" si="10"/>
        <v>1.05143374218492</v>
      </c>
      <c r="BS29" s="324">
        <f>$I29*IF($G29="Pickup", SUMIFS(NewEmisData!E:E, NewEmisData!$A:$A, "Pickup", NewEmisData!$B:$B, $A29, NewEmisData!$C:$C, $H29, NewEmisData!$D:$D, BS$2), SUMIFS(NewEmisData!E:E, NewEmisData!$A:$A, "LDV", NewEmisData!$B:$B, $A29, NewEmisData!$C:$C, $H29, NewEmisData!$D:$D, BS$2))</f>
        <v>0.72787250280402604</v>
      </c>
      <c r="BT29" s="324">
        <f>$I29*IF($G29="Pickup", SUMIFS(NewEmisData!F:F, NewEmisData!$A:$A, "Pickup", NewEmisData!$B:$B, $A29, NewEmisData!$C:$C, $H29, NewEmisData!$D:$D, BT$2), SUMIFS(NewEmisData!F:F, NewEmisData!$A:$A, "LDV", NewEmisData!$B:$B, $A29, NewEmisData!$C:$C, $H29, NewEmisData!$D:$D, BT$2))</f>
        <v>0.40987916241045302</v>
      </c>
      <c r="BU29" s="324">
        <f>$I29*IF($G29="Pickup", SUMIFS(NewEmisData!G:G, NewEmisData!$A:$A, "Pickup", NewEmisData!$B:$B, $A29, NewEmisData!$C:$C, $H29, NewEmisData!$D:$D, BU$2), SUMIFS(NewEmisData!G:G, NewEmisData!$A:$A, "LDV", NewEmisData!$B:$B, $A29, NewEmisData!$C:$C, $H29, NewEmisData!$D:$D, BU$2))</f>
        <v>0.30765788839279401</v>
      </c>
      <c r="BV29" s="324">
        <f>$I29*IF($G29="Pickup", SUMIFS(NewEmisData!H:H, NewEmisData!$A:$A, "Pickup", NewEmisData!$B:$B, $A29, NewEmisData!$C:$C, $H29, NewEmisData!$D:$D, BV$2), SUMIFS(NewEmisData!H:H, NewEmisData!$A:$A, "LDV", NewEmisData!$B:$B, $A29, NewEmisData!$C:$C, $H29, NewEmisData!$D:$D, BV$2))</f>
        <v>0.248891607461663</v>
      </c>
      <c r="BW29" s="324">
        <f>$I29*IF($G29="Pickup", SUMIFS(NewEmisData!I:I, NewEmisData!$A:$A, "Pickup", NewEmisData!$B:$B, $A29, NewEmisData!$C:$C, $H29, NewEmisData!$D:$D, BW$2), SUMIFS(NewEmisData!I:I, NewEmisData!$A:$A, "LDV", NewEmisData!$B:$B, $A29, NewEmisData!$C:$C, $H29, NewEmisData!$D:$D, BW$2))</f>
        <v>0.184861723618618</v>
      </c>
      <c r="BX29" s="324">
        <f>$I29*IF($G29="Pickup", SUMIFS(NewEmisData!J:J, NewEmisData!$A:$A, "Pickup", NewEmisData!$B:$B, $A29, NewEmisData!$C:$C, $H29, NewEmisData!$D:$D, BX$2), SUMIFS(NewEmisData!J:J, NewEmisData!$A:$A, "LDV", NewEmisData!$B:$B, $A29, NewEmisData!$C:$C, $H29, NewEmisData!$D:$D, BX$2))</f>
        <v>0.15433193284657201</v>
      </c>
      <c r="BY29" s="324">
        <f>$I29*IF($G29="Pickup", SUMIFS(NewEmisData!K:K, NewEmisData!$A:$A, "Pickup", NewEmisData!$B:$B, $A29, NewEmisData!$C:$C, $H29, NewEmisData!$D:$D, BY$2), SUMIFS(NewEmisData!K:K, NewEmisData!$A:$A, "LDV", NewEmisData!$B:$B, $A29, NewEmisData!$C:$C, $H29, NewEmisData!$D:$D, BY$2))</f>
        <v>0.138091436876464</v>
      </c>
      <c r="BZ29" s="324">
        <f>$I29*IF($G29="Pickup", SUMIFS(NewEmisData!L:L, NewEmisData!$A:$A, "Pickup", NewEmisData!$B:$B, $A29, NewEmisData!$C:$C, $H29, NewEmisData!$D:$D, BZ$2), SUMIFS(NewEmisData!L:L, NewEmisData!$A:$A, "LDV", NewEmisData!$B:$B, $A29, NewEmisData!$C:$C, $H29, NewEmisData!$D:$D, BZ$2))</f>
        <v>0.131790780313154</v>
      </c>
      <c r="CA29" s="324">
        <f>$I29*IF($G29="Pickup", SUMIFS(NewEmisData!M:M, NewEmisData!$A:$A, "Pickup", NewEmisData!$B:$B, $A29, NewEmisData!$C:$C, $H29, NewEmisData!$D:$D, CA$2), SUMIFS(NewEmisData!M:M, NewEmisData!$A:$A, "LDV", NewEmisData!$B:$B, $A29, NewEmisData!$C:$C, $H29, NewEmisData!$D:$D, CA$2))</f>
        <v>0.126731765091218</v>
      </c>
      <c r="CB29" s="324">
        <f t="shared" si="11"/>
        <v>0.126731765091218</v>
      </c>
      <c r="CC29" s="324">
        <f>$I29*IF($G29="Pickup", SUMIFS(NewEmisData!E:E, NewEmisData!$A:$A, "Pickup", NewEmisData!$B:$B, $A29, NewEmisData!$C:$C, $H29, NewEmisData!$D:$D, CC$2), SUMIFS(NewEmisData!E:E, NewEmisData!$A:$A, "LDV", NewEmisData!$B:$B, $A29, NewEmisData!$C:$C, $H29, NewEmisData!$D:$D, CC$2))</f>
        <v>4.3011353420759103E-2</v>
      </c>
      <c r="CD29" s="324">
        <f>$I29*IF($G29="Pickup", SUMIFS(NewEmisData!F:F, NewEmisData!$A:$A, "Pickup", NewEmisData!$B:$B, $A29, NewEmisData!$C:$C, $H29, NewEmisData!$D:$D, CD$2), SUMIFS(NewEmisData!F:F, NewEmisData!$A:$A, "LDV", NewEmisData!$B:$B, $A29, NewEmisData!$C:$C, $H29, NewEmisData!$D:$D, CD$2))</f>
        <v>2.94035814612091E-2</v>
      </c>
      <c r="CE29" s="324">
        <f>$I29*IF($G29="Pickup", SUMIFS(NewEmisData!G:G, NewEmisData!$A:$A, "Pickup", NewEmisData!$B:$B, $A29, NewEmisData!$C:$C, $H29, NewEmisData!$D:$D, CE$2), SUMIFS(NewEmisData!G:G, NewEmisData!$A:$A, "LDV", NewEmisData!$B:$B, $A29, NewEmisData!$C:$C, $H29, NewEmisData!$D:$D, CE$2))</f>
        <v>2.4328512322630801E-2</v>
      </c>
      <c r="CF29" s="324">
        <f>$I29*IF($G29="Pickup", SUMIFS(NewEmisData!H:H, NewEmisData!$A:$A, "Pickup", NewEmisData!$B:$B, $A29, NewEmisData!$C:$C, $H29, NewEmisData!$D:$D, CF$2), SUMIFS(NewEmisData!H:H, NewEmisData!$A:$A, "LDV", NewEmisData!$B:$B, $A29, NewEmisData!$C:$C, $H29, NewEmisData!$D:$D, CF$2))</f>
        <v>2.3221814353353801E-2</v>
      </c>
      <c r="CG29" s="324">
        <f>$I29*IF($G29="Pickup", SUMIFS(NewEmisData!I:I, NewEmisData!$A:$A, "Pickup", NewEmisData!$B:$B, $A29, NewEmisData!$C:$C, $H29, NewEmisData!$D:$D, CG$2), SUMIFS(NewEmisData!I:I, NewEmisData!$A:$A, "LDV", NewEmisData!$B:$B, $A29, NewEmisData!$C:$C, $H29, NewEmisData!$D:$D, CG$2))</f>
        <v>2.24852392313552E-2</v>
      </c>
      <c r="CH29" s="324">
        <f>$I29*IF($G29="Pickup", SUMIFS(NewEmisData!J:J, NewEmisData!$A:$A, "Pickup", NewEmisData!$B:$B, $A29, NewEmisData!$C:$C, $H29, NewEmisData!$D:$D, CH$2), SUMIFS(NewEmisData!J:J, NewEmisData!$A:$A, "LDV", NewEmisData!$B:$B, $A29, NewEmisData!$C:$C, $H29, NewEmisData!$D:$D, CH$2))</f>
        <v>2.1906542608859401E-2</v>
      </c>
      <c r="CI29" s="324">
        <f>$I29*IF($G29="Pickup", SUMIFS(NewEmisData!K:K, NewEmisData!$A:$A, "Pickup", NewEmisData!$B:$B, $A29, NewEmisData!$C:$C, $H29, NewEmisData!$D:$D, CI$2), SUMIFS(NewEmisData!K:K, NewEmisData!$A:$A, "LDV", NewEmisData!$B:$B, $A29, NewEmisData!$C:$C, $H29, NewEmisData!$D:$D, CI$2))</f>
        <v>2.1904736458690802E-2</v>
      </c>
      <c r="CJ29" s="324">
        <f>$I29*IF($G29="Pickup", SUMIFS(NewEmisData!L:L, NewEmisData!$A:$A, "Pickup", NewEmisData!$B:$B, $A29, NewEmisData!$C:$C, $H29, NewEmisData!$D:$D, CJ$2), SUMIFS(NewEmisData!L:L, NewEmisData!$A:$A, "LDV", NewEmisData!$B:$B, $A29, NewEmisData!$C:$C, $H29, NewEmisData!$D:$D, CJ$2))</f>
        <v>2.19042402298237E-2</v>
      </c>
      <c r="CK29" s="324">
        <f>$I29*IF($G29="Pickup", SUMIFS(NewEmisData!M:M, NewEmisData!$A:$A, "Pickup", NewEmisData!$B:$B, $A29, NewEmisData!$C:$C, $H29, NewEmisData!$D:$D, CK$2), SUMIFS(NewEmisData!M:M, NewEmisData!$A:$A, "LDV", NewEmisData!$B:$B, $A29, NewEmisData!$C:$C, $H29, NewEmisData!$D:$D, CK$2))</f>
        <v>2.1903771981857799E-2</v>
      </c>
      <c r="CL29" s="324">
        <f t="shared" si="12"/>
        <v>2.1903771981857799E-2</v>
      </c>
      <c r="CM29" s="324">
        <f>$I29*IF($G29="Pickup", SUMIFS(NewEmisData!E:E, NewEmisData!$A:$A, "Pickup", NewEmisData!$B:$B, $A29, NewEmisData!$C:$C, $H29, NewEmisData!$D:$D, CM$2), SUMIFS(NewEmisData!E:E, NewEmisData!$A:$A, "LDV", NewEmisData!$B:$B, $A29, NewEmisData!$C:$C, $H29, NewEmisData!$D:$D, CM$2))</f>
        <v>2.1906211645892699E-2</v>
      </c>
      <c r="CN29" s="324">
        <f>$I29*IF($G29="Pickup", SUMIFS(NewEmisData!F:F, NewEmisData!$A:$A, "Pickup", NewEmisData!$B:$B, $A29, NewEmisData!$C:$C, $H29, NewEmisData!$D:$D, CN$2), SUMIFS(NewEmisData!F:F, NewEmisData!$A:$A, "LDV", NewEmisData!$B:$B, $A29, NewEmisData!$C:$C, $H29, NewEmisData!$D:$D, CN$2))</f>
        <v>1.38171562279483E-2</v>
      </c>
      <c r="CO29" s="324">
        <f>$I29*IF($G29="Pickup", SUMIFS(NewEmisData!G:G, NewEmisData!$A:$A, "Pickup", NewEmisData!$B:$B, $A29, NewEmisData!$C:$C, $H29, NewEmisData!$D:$D, CO$2), SUMIFS(NewEmisData!G:G, NewEmisData!$A:$A, "LDV", NewEmisData!$B:$B, $A29, NewEmisData!$C:$C, $H29, NewEmisData!$D:$D, CO$2))</f>
        <v>1.08300618523644E-2</v>
      </c>
      <c r="CP29" s="324">
        <f>$I29*IF($G29="Pickup", SUMIFS(NewEmisData!H:H, NewEmisData!$A:$A, "Pickup", NewEmisData!$B:$B, $A29, NewEmisData!$C:$C, $H29, NewEmisData!$D:$D, CP$2), SUMIFS(NewEmisData!H:H, NewEmisData!$A:$A, "LDV", NewEmisData!$B:$B, $A29, NewEmisData!$C:$C, $H29, NewEmisData!$D:$D, CP$2))</f>
        <v>8.8590497727664592E-3</v>
      </c>
      <c r="CQ29" s="324">
        <f>$I29*IF($G29="Pickup", SUMIFS(NewEmisData!I:I, NewEmisData!$A:$A, "Pickup", NewEmisData!$B:$B, $A29, NewEmisData!$C:$C, $H29, NewEmisData!$D:$D, CQ$2), SUMIFS(NewEmisData!I:I, NewEmisData!$A:$A, "LDV", NewEmisData!$B:$B, $A29, NewEmisData!$C:$C, $H29, NewEmisData!$D:$D, CQ$2))</f>
        <v>7.8772882665567503E-3</v>
      </c>
      <c r="CR29" s="324">
        <f>$I29*IF($G29="Pickup", SUMIFS(NewEmisData!J:J, NewEmisData!$A:$A, "Pickup", NewEmisData!$B:$B, $A29, NewEmisData!$C:$C, $H29, NewEmisData!$D:$D, CR$2), SUMIFS(NewEmisData!J:J, NewEmisData!$A:$A, "LDV", NewEmisData!$B:$B, $A29, NewEmisData!$C:$C, $H29, NewEmisData!$D:$D, CR$2))</f>
        <v>7.4435823260364103E-3</v>
      </c>
      <c r="CS29" s="324">
        <f>$I29*IF($G29="Pickup", SUMIFS(NewEmisData!K:K, NewEmisData!$A:$A, "Pickup", NewEmisData!$B:$B, $A29, NewEmisData!$C:$C, $H29, NewEmisData!$D:$D, CS$2), SUMIFS(NewEmisData!K:K, NewEmisData!$A:$A, "LDV", NewEmisData!$B:$B, $A29, NewEmisData!$C:$C, $H29, NewEmisData!$D:$D, CS$2))</f>
        <v>7.3936885133113802E-3</v>
      </c>
      <c r="CT29" s="324">
        <f>$I29*IF($G29="Pickup", SUMIFS(NewEmisData!L:L, NewEmisData!$A:$A, "Pickup", NewEmisData!$B:$B, $A29, NewEmisData!$C:$C, $H29, NewEmisData!$D:$D, CT$2), SUMIFS(NewEmisData!L:L, NewEmisData!$A:$A, "LDV", NewEmisData!$B:$B, $A29, NewEmisData!$C:$C, $H29, NewEmisData!$D:$D, CT$2))</f>
        <v>7.3123849031120399E-3</v>
      </c>
      <c r="CU29" s="324">
        <f>$I29*IF($G29="Pickup", SUMIFS(NewEmisData!M:M, NewEmisData!$A:$A, "Pickup", NewEmisData!$B:$B, $A29, NewEmisData!$C:$C, $H29, NewEmisData!$D:$D, CU$2), SUMIFS(NewEmisData!M:M, NewEmisData!$A:$A, "LDV", NewEmisData!$B:$B, $A29, NewEmisData!$C:$C, $H29, NewEmisData!$D:$D, CU$2))</f>
        <v>7.31189121492953E-3</v>
      </c>
      <c r="CV29" s="324">
        <f t="shared" si="13"/>
        <v>7.31189121492953E-3</v>
      </c>
      <c r="CW29" s="324">
        <v>3.0448046675121709E-3</v>
      </c>
      <c r="CX29" s="324">
        <v>1.8865908720768221E-3</v>
      </c>
      <c r="CY29" s="324">
        <v>1.5570268485524494E-3</v>
      </c>
      <c r="CZ29" s="324">
        <v>1.2432183416122382E-3</v>
      </c>
      <c r="DA29" s="324">
        <v>9.252251866281976E-4</v>
      </c>
      <c r="DB29" s="324">
        <v>7.2309456596024934E-4</v>
      </c>
      <c r="DC29" s="324">
        <v>6.8940706870607876E-4</v>
      </c>
      <c r="DD29" s="324">
        <v>6.844148428615973E-4</v>
      </c>
      <c r="DE29" s="324">
        <v>6.8634617396886091E-4</v>
      </c>
      <c r="DF29" s="324">
        <v>6.8634617396886091E-4</v>
      </c>
      <c r="DG29" s="324">
        <f>$I29*IF($G29="Pickup", SUMIFS(NewEmisData!E:E, NewEmisData!$A:$A, "Pickup", NewEmisData!$B:$B, $A29, NewEmisData!$C:$C, $H29, NewEmisData!$D:$D, DG$2), SUMIFS(NewEmisData!E:E, NewEmisData!$A:$A, "LDV", NewEmisData!$B:$B, $A29, NewEmisData!$C:$C, $H29, NewEmisData!$D:$D, DG$2))</f>
        <v>0</v>
      </c>
      <c r="DH29" s="324">
        <f>$I29*IF($G29="Pickup", SUMIFS(NewEmisData!F:F, NewEmisData!$A:$A, "Pickup", NewEmisData!$B:$B, $A29, NewEmisData!$C:$C, $H29, NewEmisData!$D:$D, DH$2), SUMIFS(NewEmisData!F:F, NewEmisData!$A:$A, "LDV", NewEmisData!$B:$B, $A29, NewEmisData!$C:$C, $H29, NewEmisData!$D:$D, DH$2))</f>
        <v>0</v>
      </c>
      <c r="DI29" s="324">
        <f>$I29*IF($G29="Pickup", SUMIFS(NewEmisData!G:G, NewEmisData!$A:$A, "Pickup", NewEmisData!$B:$B, $A29, NewEmisData!$C:$C, $H29, NewEmisData!$D:$D, DI$2), SUMIFS(NewEmisData!G:G, NewEmisData!$A:$A, "LDV", NewEmisData!$B:$B, $A29, NewEmisData!$C:$C, $H29, NewEmisData!$D:$D, DI$2))</f>
        <v>0</v>
      </c>
      <c r="DJ29" s="324">
        <f>$I29*IF($G29="Pickup", SUMIFS(NewEmisData!H:H, NewEmisData!$A:$A, "Pickup", NewEmisData!$B:$B, $A29, NewEmisData!$C:$C, $H29, NewEmisData!$D:$D, DJ$2), SUMIFS(NewEmisData!H:H, NewEmisData!$A:$A, "LDV", NewEmisData!$B:$B, $A29, NewEmisData!$C:$C, $H29, NewEmisData!$D:$D, DJ$2))</f>
        <v>0</v>
      </c>
      <c r="DK29" s="324">
        <f>$I29*IF($G29="Pickup", SUMIFS(NewEmisData!I:I, NewEmisData!$A:$A, "Pickup", NewEmisData!$B:$B, $A29, NewEmisData!$C:$C, $H29, NewEmisData!$D:$D, DK$2), SUMIFS(NewEmisData!I:I, NewEmisData!$A:$A, "LDV", NewEmisData!$B:$B, $A29, NewEmisData!$C:$C, $H29, NewEmisData!$D:$D, DK$2))</f>
        <v>0</v>
      </c>
      <c r="DL29" s="324">
        <f>$I29*IF($G29="Pickup", SUMIFS(NewEmisData!J:J, NewEmisData!$A:$A, "Pickup", NewEmisData!$B:$B, $A29, NewEmisData!$C:$C, $H29, NewEmisData!$D:$D, DL$2), SUMIFS(NewEmisData!J:J, NewEmisData!$A:$A, "LDV", NewEmisData!$B:$B, $A29, NewEmisData!$C:$C, $H29, NewEmisData!$D:$D, DL$2))</f>
        <v>0</v>
      </c>
      <c r="DM29" s="324">
        <f>$I29*IF($G29="Pickup", SUMIFS(NewEmisData!K:K, NewEmisData!$A:$A, "Pickup", NewEmisData!$B:$B, $A29, NewEmisData!$C:$C, $H29, NewEmisData!$D:$D, DM$2), SUMIFS(NewEmisData!K:K, NewEmisData!$A:$A, "LDV", NewEmisData!$B:$B, $A29, NewEmisData!$C:$C, $H29, NewEmisData!$D:$D, DM$2))</f>
        <v>0</v>
      </c>
      <c r="DN29" s="324">
        <f>$I29*IF($G29="Pickup", SUMIFS(NewEmisData!L:L, NewEmisData!$A:$A, "Pickup", NewEmisData!$B:$B, $A29, NewEmisData!$C:$C, $H29, NewEmisData!$D:$D, DN$2), SUMIFS(NewEmisData!L:L, NewEmisData!$A:$A, "LDV", NewEmisData!$B:$B, $A29, NewEmisData!$C:$C, $H29, NewEmisData!$D:$D, DN$2))</f>
        <v>0</v>
      </c>
      <c r="DO29" s="324">
        <f>$I29*IF($G29="Pickup", SUMIFS(NewEmisData!M:M, NewEmisData!$A:$A, "Pickup", NewEmisData!$B:$B, $A29, NewEmisData!$C:$C, $H29, NewEmisData!$D:$D, DO$2), SUMIFS(NewEmisData!M:M, NewEmisData!$A:$A, "LDV", NewEmisData!$B:$B, $A29, NewEmisData!$C:$C, $H29, NewEmisData!$D:$D, DO$2))</f>
        <v>0</v>
      </c>
      <c r="DP29" s="324">
        <f t="shared" si="14"/>
        <v>0</v>
      </c>
      <c r="DQ29" s="324">
        <f>$I29*IF($G29="Pickup", SUMIFS(NewEmisData!E:E, NewEmisData!$A:$A, "Pickup", NewEmisData!$B:$B, $A29, NewEmisData!$C:$C, $H29, NewEmisData!$D:$D, DQ$2), SUMIFS(NewEmisData!E:E, NewEmisData!$A:$A, "LDV", NewEmisData!$B:$B, $A29, NewEmisData!$C:$C, $H29, NewEmisData!$D:$D, DQ$2))</f>
        <v>1.45246052556386E-2</v>
      </c>
      <c r="DR29" s="324">
        <f>$I29*IF($G29="Pickup", SUMIFS(NewEmisData!F:F, NewEmisData!$A:$A, "Pickup", NewEmisData!$B:$B, $A29, NewEmisData!$C:$C, $H29, NewEmisData!$D:$D, DR$2), SUMIFS(NewEmisData!F:F, NewEmisData!$A:$A, "LDV", NewEmisData!$B:$B, $A29, NewEmisData!$C:$C, $H29, NewEmisData!$D:$D, DR$2))</f>
        <v>8.5576317868897907E-3</v>
      </c>
      <c r="DS29" s="324">
        <f>$I29*IF($G29="Pickup", SUMIFS(NewEmisData!G:G, NewEmisData!$A:$A, "Pickup", NewEmisData!$B:$B, $A29, NewEmisData!$C:$C, $H29, NewEmisData!$D:$D, DS$2), SUMIFS(NewEmisData!G:G, NewEmisData!$A:$A, "LDV", NewEmisData!$B:$B, $A29, NewEmisData!$C:$C, $H29, NewEmisData!$D:$D, DS$2))</f>
        <v>6.6798910124453298E-3</v>
      </c>
      <c r="DT29" s="324">
        <f>$I29*IF($G29="Pickup", SUMIFS(NewEmisData!H:H, NewEmisData!$A:$A, "Pickup", NewEmisData!$B:$B, $A29, NewEmisData!$C:$C, $H29, NewEmisData!$D:$D, DT$2), SUMIFS(NewEmisData!H:H, NewEmisData!$A:$A, "LDV", NewEmisData!$B:$B, $A29, NewEmisData!$C:$C, $H29, NewEmisData!$D:$D, DT$2))</f>
        <v>5.1684543516808098E-3</v>
      </c>
      <c r="DU29" s="324">
        <f>$I29*IF($G29="Pickup", SUMIFS(NewEmisData!I:I, NewEmisData!$A:$A, "Pickup", NewEmisData!$B:$B, $A29, NewEmisData!$C:$C, $H29, NewEmisData!$D:$D, DU$2), SUMIFS(NewEmisData!I:I, NewEmisData!$A:$A, "LDV", NewEmisData!$B:$B, $A29, NewEmisData!$C:$C, $H29, NewEmisData!$D:$D, DU$2))</f>
        <v>4.0637666627415803E-3</v>
      </c>
      <c r="DV29" s="324">
        <f>$I29*IF($G29="Pickup", SUMIFS(NewEmisData!J:J, NewEmisData!$A:$A, "Pickup", NewEmisData!$B:$B, $A29, NewEmisData!$C:$C, $H29, NewEmisData!$D:$D, DV$2), SUMIFS(NewEmisData!J:J, NewEmisData!$A:$A, "LDV", NewEmisData!$B:$B, $A29, NewEmisData!$C:$C, $H29, NewEmisData!$D:$D, DV$2))</f>
        <v>3.5439556352963399E-3</v>
      </c>
      <c r="DW29" s="324">
        <f>$I29*IF($G29="Pickup", SUMIFS(NewEmisData!K:K, NewEmisData!$A:$A, "Pickup", NewEmisData!$B:$B, $A29, NewEmisData!$C:$C, $H29, NewEmisData!$D:$D, DW$2), SUMIFS(NewEmisData!K:K, NewEmisData!$A:$A, "LDV", NewEmisData!$B:$B, $A29, NewEmisData!$C:$C, $H29, NewEmisData!$D:$D, DW$2))</f>
        <v>3.25169320270512E-3</v>
      </c>
      <c r="DX29" s="324">
        <f>$I29*IF($G29="Pickup", SUMIFS(NewEmisData!L:L, NewEmisData!$A:$A, "Pickup", NewEmisData!$B:$B, $A29, NewEmisData!$C:$C, $H29, NewEmisData!$D:$D, DX$2), SUMIFS(NewEmisData!L:L, NewEmisData!$A:$A, "LDV", NewEmisData!$B:$B, $A29, NewEmisData!$C:$C, $H29, NewEmisData!$D:$D, DX$2))</f>
        <v>3.1576560516429699E-3</v>
      </c>
      <c r="DY29" s="324">
        <f>$I29*IF($G29="Pickup", SUMIFS(NewEmisData!M:M, NewEmisData!$A:$A, "Pickup", NewEmisData!$B:$B, $A29, NewEmisData!$C:$C, $H29, NewEmisData!$D:$D, DY$2), SUMIFS(NewEmisData!M:M, NewEmisData!$A:$A, "LDV", NewEmisData!$B:$B, $A29, NewEmisData!$C:$C, $H29, NewEmisData!$D:$D, DY$2))</f>
        <v>3.1088285848124E-3</v>
      </c>
      <c r="DZ29" s="324">
        <f t="shared" si="15"/>
        <v>3.1088285848124E-3</v>
      </c>
      <c r="EA29" s="324">
        <f t="shared" si="16"/>
        <v>465.43339574540698</v>
      </c>
      <c r="EB29" s="324">
        <f t="shared" si="17"/>
        <v>447.45086858043499</v>
      </c>
      <c r="EC29" s="324">
        <f t="shared" si="18"/>
        <v>371.68579631799702</v>
      </c>
      <c r="ED29" s="324">
        <f t="shared" si="19"/>
        <v>316.68783468886801</v>
      </c>
      <c r="EE29" s="324">
        <f t="shared" si="20"/>
        <v>274.45359564691302</v>
      </c>
      <c r="EF29" s="324">
        <f t="shared" si="21"/>
        <v>250.610452801164</v>
      </c>
      <c r="EG29" s="324">
        <f t="shared" si="22"/>
        <v>239.96929474207201</v>
      </c>
      <c r="EH29" s="324">
        <f t="shared" si="23"/>
        <v>236.17949059358199</v>
      </c>
      <c r="EI29" s="324">
        <f t="shared" si="24"/>
        <v>234.77621268414799</v>
      </c>
      <c r="EJ29" s="324">
        <f t="shared" si="25"/>
        <v>234.77621268414799</v>
      </c>
      <c r="EK29" s="324">
        <f t="shared" si="26"/>
        <v>0.76817370125590101</v>
      </c>
      <c r="EL29" s="324">
        <f t="shared" si="27"/>
        <v>0.34255400012381199</v>
      </c>
      <c r="EM29" s="324">
        <f t="shared" si="28"/>
        <v>0.22026197441968301</v>
      </c>
      <c r="EN29" s="324">
        <f t="shared" si="29"/>
        <v>0.146130223505477</v>
      </c>
      <c r="EO29" s="324">
        <f t="shared" si="30"/>
        <v>9.25204446820201E-2</v>
      </c>
      <c r="EP29" s="324">
        <f t="shared" si="31"/>
        <v>6.9646332093205393E-2</v>
      </c>
      <c r="EQ29" s="324">
        <f t="shared" si="32"/>
        <v>6.0285539426727999E-2</v>
      </c>
      <c r="ER29" s="324">
        <f t="shared" si="33"/>
        <v>5.7685517085836899E-2</v>
      </c>
      <c r="ES29" s="324">
        <f t="shared" si="34"/>
        <v>5.6336256806388998E-2</v>
      </c>
      <c r="ET29" s="324">
        <f t="shared" si="35"/>
        <v>5.6336256806388998E-2</v>
      </c>
      <c r="EU29" s="324">
        <f t="shared" si="36"/>
        <v>8.0536316527093799E-3</v>
      </c>
      <c r="EV29" s="324">
        <f t="shared" si="37"/>
        <v>7.7424694052717798E-3</v>
      </c>
      <c r="EW29" s="324">
        <f t="shared" si="38"/>
        <v>5.3320257089092297E-3</v>
      </c>
      <c r="EX29" s="324">
        <f t="shared" si="39"/>
        <v>4.5430510168157703E-3</v>
      </c>
      <c r="EY29" s="324">
        <f t="shared" si="40"/>
        <v>3.9371785778053803E-3</v>
      </c>
      <c r="EZ29" s="324">
        <f t="shared" si="41"/>
        <v>3.5951364530025401E-3</v>
      </c>
      <c r="FA29" s="324">
        <f t="shared" si="42"/>
        <v>3.4424852382502098E-3</v>
      </c>
      <c r="FB29" s="324">
        <f t="shared" si="43"/>
        <v>3.38811619026995E-3</v>
      </c>
      <c r="FC29" s="324">
        <f t="shared" si="44"/>
        <v>3.36798790618778E-3</v>
      </c>
      <c r="FD29" s="324">
        <f t="shared" si="45"/>
        <v>3.36798790618778E-3</v>
      </c>
      <c r="FE29" s="324">
        <f t="shared" si="46"/>
        <v>7.6317156939691294E-2</v>
      </c>
      <c r="FF29" s="324">
        <f t="shared" si="47"/>
        <v>7.1544642944165196E-2</v>
      </c>
      <c r="FG29" s="324">
        <f t="shared" si="48"/>
        <v>5.8249743312617203E-2</v>
      </c>
      <c r="FH29" s="324">
        <f t="shared" si="49"/>
        <v>5.6730049378736901E-2</v>
      </c>
      <c r="FI29" s="324">
        <f t="shared" si="50"/>
        <v>5.5297861804990203E-2</v>
      </c>
      <c r="FJ29" s="324">
        <f t="shared" si="51"/>
        <v>5.4156352090813403E-2</v>
      </c>
      <c r="FK29" s="324">
        <f t="shared" si="52"/>
        <v>5.3430662266944498E-2</v>
      </c>
      <c r="FL29" s="324">
        <f t="shared" si="53"/>
        <v>5.3062743786751999E-2</v>
      </c>
      <c r="FM29" s="324">
        <f t="shared" si="54"/>
        <v>5.2850768620488903E-2</v>
      </c>
      <c r="FN29" s="324">
        <f t="shared" si="55"/>
        <v>5.2850768620488903E-2</v>
      </c>
      <c r="FO29" s="324">
        <f t="shared" si="56"/>
        <v>2.00368746679381E-2</v>
      </c>
      <c r="FP29" s="324">
        <f t="shared" si="57"/>
        <v>1.58149288879222E-2</v>
      </c>
      <c r="FQ29" s="324">
        <f t="shared" si="58"/>
        <v>1.2889012730210401E-2</v>
      </c>
      <c r="FR29" s="324">
        <f t="shared" si="59"/>
        <v>1.1544674905883E-2</v>
      </c>
      <c r="FS29" s="324">
        <f t="shared" si="60"/>
        <v>1.0277724336371899E-2</v>
      </c>
      <c r="FT29" s="324">
        <f t="shared" si="61"/>
        <v>9.2679749278735592E-3</v>
      </c>
      <c r="FU29" s="324">
        <f t="shared" si="62"/>
        <v>8.6259896432645099E-3</v>
      </c>
      <c r="FV29" s="324">
        <f t="shared" si="63"/>
        <v>8.3004876330209296E-3</v>
      </c>
      <c r="FW29" s="324">
        <f t="shared" si="64"/>
        <v>8.1129702157430005E-3</v>
      </c>
      <c r="FX29" s="324">
        <f t="shared" si="65"/>
        <v>8.1129702157430005E-3</v>
      </c>
    </row>
    <row r="30" spans="1:180" x14ac:dyDescent="0.2">
      <c r="A30" s="298" t="str">
        <f>IF(LEFT(TRIM(Technologies!B68),1)="*", _xlfn.CONCAT("*","R2"), "R2")</f>
        <v>R2</v>
      </c>
      <c r="B30" s="298" t="str">
        <f>TechData_existing!B11</f>
        <v>TLESSGSL</v>
      </c>
      <c r="C30" s="298" t="str">
        <f>TechData_existing!C11</f>
        <v>TL.GSL.SS.Existing fleet</v>
      </c>
      <c r="D30" s="294" t="str">
        <f>TechData_existing!D11</f>
        <v>bn-vmt, bn-vmt/a</v>
      </c>
      <c r="E30" s="294" t="str">
        <f>TechData_existing!E11</f>
        <v>TLGSL</v>
      </c>
      <c r="F30" s="294" t="str">
        <f>TechData_existing!F11</f>
        <v>TL</v>
      </c>
      <c r="G30" s="294" t="s">
        <v>424</v>
      </c>
      <c r="H30" s="294" t="s">
        <v>474</v>
      </c>
      <c r="I30" s="294">
        <v>1</v>
      </c>
      <c r="J30" s="308" t="str">
        <f t="shared" si="2"/>
        <v>Small SUV-GSL</v>
      </c>
      <c r="K30" s="324">
        <f>$I30*IF($G30="Pickup", SUMIFS(NewEmisData!E:E, NewEmisData!$A:$A, "Pickup", NewEmisData!$B:$B, $A30, NewEmisData!$C:$C, $H30, NewEmisData!$D:$D, K$2), SUMIFS(NewEmisData!E:E, NewEmisData!$A:$A, "LDV", NewEmisData!$B:$B, $A30, NewEmisData!$C:$C, $H30, NewEmisData!$D:$D, K$2))</f>
        <v>477.08587282575797</v>
      </c>
      <c r="L30" s="324">
        <f>$I30*IF($G30="Pickup", SUMIFS(NewEmisData!F:F, NewEmisData!$A:$A, "Pickup", NewEmisData!$B:$B, $A30, NewEmisData!$C:$C, $H30, NewEmisData!$D:$D, L$2), SUMIFS(NewEmisData!F:F, NewEmisData!$A:$A, "LDV", NewEmisData!$B:$B, $A30, NewEmisData!$C:$C, $H30, NewEmisData!$D:$D, L$2))</f>
        <v>459.34104292251902</v>
      </c>
      <c r="M30" s="324">
        <f>$I30*IF($G30="Pickup", SUMIFS(NewEmisData!G:G, NewEmisData!$A:$A, "Pickup", NewEmisData!$B:$B, $A30, NewEmisData!$C:$C, $H30, NewEmisData!$D:$D, M$2), SUMIFS(NewEmisData!G:G, NewEmisData!$A:$A, "LDV", NewEmisData!$B:$B, $A30, NewEmisData!$C:$C, $H30, NewEmisData!$D:$D, M$2))</f>
        <v>447.45896927637102</v>
      </c>
      <c r="N30" s="324">
        <f>$I30*IF($G30="Pickup", SUMIFS(NewEmisData!H:H, NewEmisData!$A:$A, "Pickup", NewEmisData!$B:$B, $A30, NewEmisData!$C:$C, $H30, NewEmisData!$D:$D, N$2), SUMIFS(NewEmisData!H:H, NewEmisData!$A:$A, "LDV", NewEmisData!$B:$B, $A30, NewEmisData!$C:$C, $H30, NewEmisData!$D:$D, N$2))</f>
        <v>380.72392677964001</v>
      </c>
      <c r="O30" s="324">
        <f>$I30*IF($G30="Pickup", SUMIFS(NewEmisData!I:I, NewEmisData!$A:$A, "Pickup", NewEmisData!$B:$B, $A30, NewEmisData!$C:$C, $H30, NewEmisData!$D:$D, O$2), SUMIFS(NewEmisData!I:I, NewEmisData!$A:$A, "LDV", NewEmisData!$B:$B, $A30, NewEmisData!$C:$C, $H30, NewEmisData!$D:$D, O$2))</f>
        <v>329.54737069801098</v>
      </c>
      <c r="P30" s="324">
        <f>$I30*IF($G30="Pickup", SUMIFS(NewEmisData!J:J, NewEmisData!$A:$A, "Pickup", NewEmisData!$B:$B, $A30, NewEmisData!$C:$C, $H30, NewEmisData!$D:$D, P$2), SUMIFS(NewEmisData!J:J, NewEmisData!$A:$A, "LDV", NewEmisData!$B:$B, $A30, NewEmisData!$C:$C, $H30, NewEmisData!$D:$D, P$2))</f>
        <v>300.69829568412598</v>
      </c>
      <c r="Q30" s="324">
        <f>$I30*IF($G30="Pickup", SUMIFS(NewEmisData!K:K, NewEmisData!$A:$A, "Pickup", NewEmisData!$B:$B, $A30, NewEmisData!$C:$C, $H30, NewEmisData!$D:$D, Q$2), SUMIFS(NewEmisData!K:K, NewEmisData!$A:$A, "LDV", NewEmisData!$B:$B, $A30, NewEmisData!$C:$C, $H30, NewEmisData!$D:$D, Q$2))</f>
        <v>287.83799703632701</v>
      </c>
      <c r="R30" s="324">
        <f>$I30*IF($G30="Pickup", SUMIFS(NewEmisData!L:L, NewEmisData!$A:$A, "Pickup", NewEmisData!$B:$B, $A30, NewEmisData!$C:$C, $H30, NewEmisData!$D:$D, R$2), SUMIFS(NewEmisData!L:L, NewEmisData!$A:$A, "LDV", NewEmisData!$B:$B, $A30, NewEmisData!$C:$C, $H30, NewEmisData!$D:$D, R$2))</f>
        <v>283.26610797837998</v>
      </c>
      <c r="S30" s="324">
        <f>$I30*IF($G30="Pickup", SUMIFS(NewEmisData!M:M, NewEmisData!$A:$A, "Pickup", NewEmisData!$B:$B, $A30, NewEmisData!$C:$C, $H30, NewEmisData!$D:$D, S$2), SUMIFS(NewEmisData!M:M, NewEmisData!$A:$A, "LDV", NewEmisData!$B:$B, $A30, NewEmisData!$C:$C, $H30, NewEmisData!$D:$D, S$2))</f>
        <v>281.57834098528099</v>
      </c>
      <c r="T30" s="324">
        <f t="shared" si="5"/>
        <v>281.57834098528099</v>
      </c>
      <c r="U30" s="324">
        <f>$I30*IF($G30="Pickup", SUMIFS(NewEmisData!E:E, NewEmisData!$A:$A, "Pickup", NewEmisData!$B:$B, $A30, NewEmisData!$C:$C, $H30, NewEmisData!$D:$D, U$2), SUMIFS(NewEmisData!E:E, NewEmisData!$A:$A, "LDV", NewEmisData!$B:$B, $A30, NewEmisData!$C:$C, $H30, NewEmisData!$D:$D, U$2))</f>
        <v>0.82339103642645395</v>
      </c>
      <c r="V30" s="324">
        <f>$I30*IF($G30="Pickup", SUMIFS(NewEmisData!F:F, NewEmisData!$A:$A, "Pickup", NewEmisData!$B:$B, $A30, NewEmisData!$C:$C, $H30, NewEmisData!$D:$D, V$2), SUMIFS(NewEmisData!F:F, NewEmisData!$A:$A, "LDV", NewEmisData!$B:$B, $A30, NewEmisData!$C:$C, $H30, NewEmisData!$D:$D, V$2))</f>
        <v>0.360872733315452</v>
      </c>
      <c r="W30" s="324">
        <f>$I30*IF($G30="Pickup", SUMIFS(NewEmisData!G:G, NewEmisData!$A:$A, "Pickup", NewEmisData!$B:$B, $A30, NewEmisData!$C:$C, $H30, NewEmisData!$D:$D, W$2), SUMIFS(NewEmisData!G:G, NewEmisData!$A:$A, "LDV", NewEmisData!$B:$B, $A30, NewEmisData!$C:$C, $H30, NewEmisData!$D:$D, W$2))</f>
        <v>0.21658171178065999</v>
      </c>
      <c r="X30" s="324">
        <f>$I30*IF($G30="Pickup", SUMIFS(NewEmisData!H:H, NewEmisData!$A:$A, "Pickup", NewEmisData!$B:$B, $A30, NewEmisData!$C:$C, $H30, NewEmisData!$D:$D, X$2), SUMIFS(NewEmisData!H:H, NewEmisData!$A:$A, "LDV", NewEmisData!$B:$B, $A30, NewEmisData!$C:$C, $H30, NewEmisData!$D:$D, X$2))</f>
        <v>0.14200533002195401</v>
      </c>
      <c r="Y30" s="324">
        <f>$I30*IF($G30="Pickup", SUMIFS(NewEmisData!I:I, NewEmisData!$A:$A, "Pickup", NewEmisData!$B:$B, $A30, NewEmisData!$C:$C, $H30, NewEmisData!$D:$D, Y$2), SUMIFS(NewEmisData!I:I, NewEmisData!$A:$A, "LDV", NewEmisData!$B:$B, $A30, NewEmisData!$C:$C, $H30, NewEmisData!$D:$D, Y$2))</f>
        <v>8.8016804659711706E-2</v>
      </c>
      <c r="Z30" s="324">
        <f>$I30*IF($G30="Pickup", SUMIFS(NewEmisData!J:J, NewEmisData!$A:$A, "Pickup", NewEmisData!$B:$B, $A30, NewEmisData!$C:$C, $H30, NewEmisData!$D:$D, Z$2), SUMIFS(NewEmisData!J:J, NewEmisData!$A:$A, "LDV", NewEmisData!$B:$B, $A30, NewEmisData!$C:$C, $H30, NewEmisData!$D:$D, Z$2))</f>
        <v>6.5736379947852003E-2</v>
      </c>
      <c r="AA30" s="324">
        <f>$I30*IF($G30="Pickup", SUMIFS(NewEmisData!K:K, NewEmisData!$A:$A, "Pickup", NewEmisData!$B:$B, $A30, NewEmisData!$C:$C, $H30, NewEmisData!$D:$D, AA$2), SUMIFS(NewEmisData!K:K, NewEmisData!$A:$A, "LDV", NewEmisData!$B:$B, $A30, NewEmisData!$C:$C, $H30, NewEmisData!$D:$D, AA$2))</f>
        <v>5.6635638117250503E-2</v>
      </c>
      <c r="AB30" s="324">
        <f>$I30*IF($G30="Pickup", SUMIFS(NewEmisData!L:L, NewEmisData!$A:$A, "Pickup", NewEmisData!$B:$B, $A30, NewEmisData!$C:$C, $H30, NewEmisData!$D:$D, AB$2), SUMIFS(NewEmisData!L:L, NewEmisData!$A:$A, "LDV", NewEmisData!$B:$B, $A30, NewEmisData!$C:$C, $H30, NewEmisData!$D:$D, AB$2))</f>
        <v>5.4115247223223299E-2</v>
      </c>
      <c r="AC30" s="324">
        <f>$I30*IF($G30="Pickup", SUMIFS(NewEmisData!M:M, NewEmisData!$A:$A, "Pickup", NewEmisData!$B:$B, $A30, NewEmisData!$C:$C, $H30, NewEmisData!$D:$D, AC$2), SUMIFS(NewEmisData!M:M, NewEmisData!$A:$A, "LDV", NewEmisData!$B:$B, $A30, NewEmisData!$C:$C, $H30, NewEmisData!$D:$D, AC$2))</f>
        <v>5.2826207223764E-2</v>
      </c>
      <c r="AD30" s="324">
        <f t="shared" si="6"/>
        <v>5.2826207223764E-2</v>
      </c>
      <c r="AE30" s="324">
        <f>$I30*IF($G30="Pickup", SUMIFS(NewEmisData!E:E, NewEmisData!$A:$A, "Pickup", NewEmisData!$B:$B, $A30, NewEmisData!$C:$C, $H30, NewEmisData!$D:$D, AE$2), SUMIFS(NewEmisData!E:E, NewEmisData!$A:$A, "LDV", NewEmisData!$B:$B, $A30, NewEmisData!$C:$C, $H30, NewEmisData!$D:$D, AE$2))</f>
        <v>8.2552586035919695E-3</v>
      </c>
      <c r="AF30" s="324">
        <f>$I30*IF($G30="Pickup", SUMIFS(NewEmisData!F:F, NewEmisData!$A:$A, "Pickup", NewEmisData!$B:$B, $A30, NewEmisData!$C:$C, $H30, NewEmisData!$D:$D, AF$2), SUMIFS(NewEmisData!F:F, NewEmisData!$A:$A, "LDV", NewEmisData!$B:$B, $A30, NewEmisData!$C:$C, $H30, NewEmisData!$D:$D, AF$2))</f>
        <v>7.9482131517538395E-3</v>
      </c>
      <c r="AG30" s="324">
        <f>$I30*IF($G30="Pickup", SUMIFS(NewEmisData!G:G, NewEmisData!$A:$A, "Pickup", NewEmisData!$B:$B, $A30, NewEmisData!$C:$C, $H30, NewEmisData!$D:$D, AG$2), SUMIFS(NewEmisData!G:G, NewEmisData!$A:$A, "LDV", NewEmisData!$B:$B, $A30, NewEmisData!$C:$C, $H30, NewEmisData!$D:$D, AG$2))</f>
        <v>6.4190305556059996E-3</v>
      </c>
      <c r="AH30" s="324">
        <f>$I30*IF($G30="Pickup", SUMIFS(NewEmisData!H:H, NewEmisData!$A:$A, "Pickup", NewEmisData!$B:$B, $A30, NewEmisData!$C:$C, $H30, NewEmisData!$D:$D, AH$2), SUMIFS(NewEmisData!H:H, NewEmisData!$A:$A, "LDV", NewEmisData!$B:$B, $A30, NewEmisData!$C:$C, $H30, NewEmisData!$D:$D, AH$2))</f>
        <v>5.4616828003907899E-3</v>
      </c>
      <c r="AI30" s="324">
        <f>$I30*IF($G30="Pickup", SUMIFS(NewEmisData!I:I, NewEmisData!$A:$A, "Pickup", NewEmisData!$B:$B, $A30, NewEmisData!$C:$C, $H30, NewEmisData!$D:$D, AI$2), SUMIFS(NewEmisData!I:I, NewEmisData!$A:$A, "LDV", NewEmisData!$B:$B, $A30, NewEmisData!$C:$C, $H30, NewEmisData!$D:$D, AI$2))</f>
        <v>4.7275285851957304E-3</v>
      </c>
      <c r="AJ30" s="324">
        <f>$I30*IF($G30="Pickup", SUMIFS(NewEmisData!J:J, NewEmisData!$A:$A, "Pickup", NewEmisData!$B:$B, $A30, NewEmisData!$C:$C, $H30, NewEmisData!$D:$D, AJ$2), SUMIFS(NewEmisData!J:J, NewEmisData!$A:$A, "LDV", NewEmisData!$B:$B, $A30, NewEmisData!$C:$C, $H30, NewEmisData!$D:$D, AJ$2))</f>
        <v>4.3136734611450098E-3</v>
      </c>
      <c r="AK30" s="324">
        <f>$I30*IF($G30="Pickup", SUMIFS(NewEmisData!K:K, NewEmisData!$A:$A, "Pickup", NewEmisData!$B:$B, $A30, NewEmisData!$C:$C, $H30, NewEmisData!$D:$D, AK$2), SUMIFS(NewEmisData!K:K, NewEmisData!$A:$A, "LDV", NewEmisData!$B:$B, $A30, NewEmisData!$C:$C, $H30, NewEmisData!$D:$D, AK$2))</f>
        <v>4.1291858052272803E-3</v>
      </c>
      <c r="AL30" s="324">
        <f>$I30*IF($G30="Pickup", SUMIFS(NewEmisData!L:L, NewEmisData!$A:$A, "Pickup", NewEmisData!$B:$B, $A30, NewEmisData!$C:$C, $H30, NewEmisData!$D:$D, AL$2), SUMIFS(NewEmisData!L:L, NewEmisData!$A:$A, "LDV", NewEmisData!$B:$B, $A30, NewEmisData!$C:$C, $H30, NewEmisData!$D:$D, AL$2))</f>
        <v>4.0635983922117898E-3</v>
      </c>
      <c r="AM30" s="324">
        <f>$I30*IF($G30="Pickup", SUMIFS(NewEmisData!M:M, NewEmisData!$A:$A, "Pickup", NewEmisData!$B:$B, $A30, NewEmisData!$C:$C, $H30, NewEmisData!$D:$D, AM$2), SUMIFS(NewEmisData!M:M, NewEmisData!$A:$A, "LDV", NewEmisData!$B:$B, $A30, NewEmisData!$C:$C, $H30, NewEmisData!$D:$D, AM$2))</f>
        <v>4.0393864318059199E-3</v>
      </c>
      <c r="AN30" s="324">
        <f t="shared" si="7"/>
        <v>4.0393864318059199E-3</v>
      </c>
      <c r="AO30" s="324">
        <f>$I30*IF($G30="Pickup", SUMIFS(NewEmisData!E:E, NewEmisData!$A:$A, "Pickup", NewEmisData!$B:$B, $A30, NewEmisData!$C:$C, $H30, NewEmisData!$D:$D, AO$2), SUMIFS(NewEmisData!E:E, NewEmisData!$A:$A, "LDV", NewEmisData!$B:$B, $A30, NewEmisData!$C:$C, $H30, NewEmisData!$D:$D, AO$2))</f>
        <v>8.1828643727713493E-2</v>
      </c>
      <c r="AP30" s="324">
        <f>$I30*IF($G30="Pickup", SUMIFS(NewEmisData!F:F, NewEmisData!$A:$A, "Pickup", NewEmisData!$B:$B, $A30, NewEmisData!$C:$C, $H30, NewEmisData!$D:$D, AP$2), SUMIFS(NewEmisData!F:F, NewEmisData!$A:$A, "LDV", NewEmisData!$B:$B, $A30, NewEmisData!$C:$C, $H30, NewEmisData!$D:$D, AP$2))</f>
        <v>7.6175839057221195E-2</v>
      </c>
      <c r="AQ30" s="324">
        <f>$I30*IF($G30="Pickup", SUMIFS(NewEmisData!G:G, NewEmisData!$A:$A, "Pickup", NewEmisData!$B:$B, $A30, NewEmisData!$C:$C, $H30, NewEmisData!$D:$D, AQ$2), SUMIFS(NewEmisData!G:G, NewEmisData!$A:$A, "LDV", NewEmisData!$B:$B, $A30, NewEmisData!$C:$C, $H30, NewEmisData!$D:$D, AQ$2))</f>
        <v>8.1302809072104507E-2</v>
      </c>
      <c r="AR30" s="324">
        <f>$I30*IF($G30="Pickup", SUMIFS(NewEmisData!H:H, NewEmisData!$A:$A, "Pickup", NewEmisData!$B:$B, $A30, NewEmisData!$C:$C, $H30, NewEmisData!$D:$D, AR$2), SUMIFS(NewEmisData!H:H, NewEmisData!$A:$A, "LDV", NewEmisData!$B:$B, $A30, NewEmisData!$C:$C, $H30, NewEmisData!$D:$D, AR$2))</f>
        <v>7.9561688690416299E-2</v>
      </c>
      <c r="AS30" s="324">
        <f>$I30*IF($G30="Pickup", SUMIFS(NewEmisData!I:I, NewEmisData!$A:$A, "Pickup", NewEmisData!$B:$B, $A30, NewEmisData!$C:$C, $H30, NewEmisData!$D:$D, AS$2), SUMIFS(NewEmisData!I:I, NewEmisData!$A:$A, "LDV", NewEmisData!$B:$B, $A30, NewEmisData!$C:$C, $H30, NewEmisData!$D:$D, AS$2))</f>
        <v>7.7910530261031605E-2</v>
      </c>
      <c r="AT30" s="324">
        <f>$I30*IF($G30="Pickup", SUMIFS(NewEmisData!J:J, NewEmisData!$A:$A, "Pickup", NewEmisData!$B:$B, $A30, NewEmisData!$C:$C, $H30, NewEmisData!$D:$D, AT$2), SUMIFS(NewEmisData!J:J, NewEmisData!$A:$A, "LDV", NewEmisData!$B:$B, $A30, NewEmisData!$C:$C, $H30, NewEmisData!$D:$D, AT$2))</f>
        <v>7.6590334474495605E-2</v>
      </c>
      <c r="AU30" s="324">
        <f>$I30*IF($G30="Pickup", SUMIFS(NewEmisData!K:K, NewEmisData!$A:$A, "Pickup", NewEmisData!$B:$B, $A30, NewEmisData!$C:$C, $H30, NewEmisData!$D:$D, AU$2), SUMIFS(NewEmisData!K:K, NewEmisData!$A:$A, "LDV", NewEmisData!$B:$B, $A30, NewEmisData!$C:$C, $H30, NewEmisData!$D:$D, AU$2))</f>
        <v>7.5767938917924701E-2</v>
      </c>
      <c r="AV30" s="324">
        <f>$I30*IF($G30="Pickup", SUMIFS(NewEmisData!L:L, NewEmisData!$A:$A, "Pickup", NewEmisData!$B:$B, $A30, NewEmisData!$C:$C, $H30, NewEmisData!$D:$D, AV$2), SUMIFS(NewEmisData!L:L, NewEmisData!$A:$A, "LDV", NewEmisData!$B:$B, $A30, NewEmisData!$C:$C, $H30, NewEmisData!$D:$D, AV$2))</f>
        <v>7.5353710070808794E-2</v>
      </c>
      <c r="AW30" s="324">
        <f>$I30*IF($G30="Pickup", SUMIFS(NewEmisData!M:M, NewEmisData!$A:$A, "Pickup", NewEmisData!$B:$B, $A30, NewEmisData!$C:$C, $H30, NewEmisData!$D:$D, AW$2), SUMIFS(NewEmisData!M:M, NewEmisData!$A:$A, "LDV", NewEmisData!$B:$B, $A30, NewEmisData!$C:$C, $H30, NewEmisData!$D:$D, AW$2))</f>
        <v>7.5117977052891499E-2</v>
      </c>
      <c r="AX30" s="324">
        <f t="shared" si="8"/>
        <v>7.5117977052891499E-2</v>
      </c>
      <c r="AY30" s="324">
        <f>$I30*IF($G30="Pickup", SUMIFS(NewEmisData!E:E, NewEmisData!$A:$A, "Pickup", NewEmisData!$B:$B, $A30, NewEmisData!$C:$C, $H30, NewEmisData!$D:$D, AY$2), SUMIFS(NewEmisData!E:E, NewEmisData!$A:$A, "LDV", NewEmisData!$B:$B, $A30, NewEmisData!$C:$C, $H30, NewEmisData!$D:$D, AY$2))</f>
        <v>2.1998193760633E-2</v>
      </c>
      <c r="AZ30" s="324">
        <f>$I30*IF($G30="Pickup", SUMIFS(NewEmisData!F:F, NewEmisData!$A:$A, "Pickup", NewEmisData!$B:$B, $A30, NewEmisData!$C:$C, $H30, NewEmisData!$D:$D, AZ$2), SUMIFS(NewEmisData!F:F, NewEmisData!$A:$A, "LDV", NewEmisData!$B:$B, $A30, NewEmisData!$C:$C, $H30, NewEmisData!$D:$D, AZ$2))</f>
        <v>1.6997575378008601E-2</v>
      </c>
      <c r="BA30" s="324">
        <f>$I30*IF($G30="Pickup", SUMIFS(NewEmisData!G:G, NewEmisData!$A:$A, "Pickup", NewEmisData!$B:$B, $A30, NewEmisData!$C:$C, $H30, NewEmisData!$D:$D, BA$2), SUMIFS(NewEmisData!G:G, NewEmisData!$A:$A, "LDV", NewEmisData!$B:$B, $A30, NewEmisData!$C:$C, $H30, NewEmisData!$D:$D, BA$2))</f>
        <v>1.6580879412419602E-2</v>
      </c>
      <c r="BB30" s="324">
        <f>$I30*IF($G30="Pickup", SUMIFS(NewEmisData!H:H, NewEmisData!$A:$A, "Pickup", NewEmisData!$B:$B, $A30, NewEmisData!$C:$C, $H30, NewEmisData!$D:$D, BB$2), SUMIFS(NewEmisData!H:H, NewEmisData!$A:$A, "LDV", NewEmisData!$B:$B, $A30, NewEmisData!$C:$C, $H30, NewEmisData!$D:$D, BB$2))</f>
        <v>1.5040645169031801E-2</v>
      </c>
      <c r="BC30" s="324">
        <f>$I30*IF($G30="Pickup", SUMIFS(NewEmisData!I:I, NewEmisData!$A:$A, "Pickup", NewEmisData!$B:$B, $A30, NewEmisData!$C:$C, $H30, NewEmisData!$D:$D, BC$2), SUMIFS(NewEmisData!I:I, NewEmisData!$A:$A, "LDV", NewEmisData!$B:$B, $A30, NewEmisData!$C:$C, $H30, NewEmisData!$D:$D, BC$2))</f>
        <v>1.35799610150696E-2</v>
      </c>
      <c r="BD30" s="324">
        <f>$I30*IF($G30="Pickup", SUMIFS(NewEmisData!J:J, NewEmisData!$A:$A, "Pickup", NewEmisData!$B:$B, $A30, NewEmisData!$C:$C, $H30, NewEmisData!$D:$D, BD$2), SUMIFS(NewEmisData!J:J, NewEmisData!$A:$A, "LDV", NewEmisData!$B:$B, $A30, NewEmisData!$C:$C, $H30, NewEmisData!$D:$D, BD$2))</f>
        <v>1.24120667817219E-2</v>
      </c>
      <c r="BE30" s="324">
        <f>$I30*IF($G30="Pickup", SUMIFS(NewEmisData!K:K, NewEmisData!$A:$A, "Pickup", NewEmisData!$B:$B, $A30, NewEmisData!$C:$C, $H30, NewEmisData!$D:$D, BE$2), SUMIFS(NewEmisData!K:K, NewEmisData!$A:$A, "LDV", NewEmisData!$B:$B, $A30, NewEmisData!$C:$C, $H30, NewEmisData!$D:$D, BE$2))</f>
        <v>1.16845073314224E-2</v>
      </c>
      <c r="BF30" s="324">
        <f>$I30*IF($G30="Pickup", SUMIFS(NewEmisData!L:L, NewEmisData!$A:$A, "Pickup", NewEmisData!$B:$B, $A30, NewEmisData!$C:$C, $H30, NewEmisData!$D:$D, BF$2), SUMIFS(NewEmisData!L:L, NewEmisData!$A:$A, "LDV", NewEmisData!$B:$B, $A30, NewEmisData!$C:$C, $H30, NewEmisData!$D:$D, BF$2))</f>
        <v>1.1318096390010799E-2</v>
      </c>
      <c r="BG30" s="324">
        <f>$I30*IF($G30="Pickup", SUMIFS(NewEmisData!M:M, NewEmisData!$A:$A, "Pickup", NewEmisData!$B:$B, $A30, NewEmisData!$C:$C, $H30, NewEmisData!$D:$D, BG$2), SUMIFS(NewEmisData!M:M, NewEmisData!$A:$A, "LDV", NewEmisData!$B:$B, $A30, NewEmisData!$C:$C, $H30, NewEmisData!$D:$D, BG$2))</f>
        <v>1.1109456757731499E-2</v>
      </c>
      <c r="BH30" s="324">
        <f t="shared" si="9"/>
        <v>1.1109456757731499E-2</v>
      </c>
      <c r="BI30" s="324">
        <f>$I30*IF($G30="Pickup", SUMIFS(NewEmisData!E:E, NewEmisData!$A:$A, "Pickup", NewEmisData!$B:$B, $A30, NewEmisData!$C:$C, $H30, NewEmisData!$D:$D, BI$2), SUMIFS(NewEmisData!E:E, NewEmisData!$A:$A, "LDV", NewEmisData!$B:$B, $A30, NewEmisData!$C:$C, $H30, NewEmisData!$D:$D, BI$2))</f>
        <v>6.6339830086865597</v>
      </c>
      <c r="BJ30" s="324">
        <f>$I30*IF($G30="Pickup", SUMIFS(NewEmisData!F:F, NewEmisData!$A:$A, "Pickup", NewEmisData!$B:$B, $A30, NewEmisData!$C:$C, $H30, NewEmisData!$D:$D, BJ$2), SUMIFS(NewEmisData!F:F, NewEmisData!$A:$A, "LDV", NewEmisData!$B:$B, $A30, NewEmisData!$C:$C, $H30, NewEmisData!$D:$D, BJ$2))</f>
        <v>3.9206205551931301</v>
      </c>
      <c r="BK30" s="324">
        <f>$I30*IF($G30="Pickup", SUMIFS(NewEmisData!G:G, NewEmisData!$A:$A, "Pickup", NewEmisData!$B:$B, $A30, NewEmisData!$C:$C, $H30, NewEmisData!$D:$D, BK$2), SUMIFS(NewEmisData!G:G, NewEmisData!$A:$A, "LDV", NewEmisData!$B:$B, $A30, NewEmisData!$C:$C, $H30, NewEmisData!$D:$D, BK$2))</f>
        <v>3.0174466275096199</v>
      </c>
      <c r="BL30" s="324">
        <f>$I30*IF($G30="Pickup", SUMIFS(NewEmisData!H:H, NewEmisData!$A:$A, "Pickup", NewEmisData!$B:$B, $A30, NewEmisData!$C:$C, $H30, NewEmisData!$D:$D, BL$2), SUMIFS(NewEmisData!H:H, NewEmisData!$A:$A, "LDV", NewEmisData!$B:$B, $A30, NewEmisData!$C:$C, $H30, NewEmisData!$D:$D, BL$2))</f>
        <v>2.3529221673804699</v>
      </c>
      <c r="BM30" s="324">
        <f>$I30*IF($G30="Pickup", SUMIFS(NewEmisData!I:I, NewEmisData!$A:$A, "Pickup", NewEmisData!$B:$B, $A30, NewEmisData!$C:$C, $H30, NewEmisData!$D:$D, BM$2), SUMIFS(NewEmisData!I:I, NewEmisData!$A:$A, "LDV", NewEmisData!$B:$B, $A30, NewEmisData!$C:$C, $H30, NewEmisData!$D:$D, BM$2))</f>
        <v>1.70384058027793</v>
      </c>
      <c r="BN30" s="324">
        <f>$I30*IF($G30="Pickup", SUMIFS(NewEmisData!J:J, NewEmisData!$A:$A, "Pickup", NewEmisData!$B:$B, $A30, NewEmisData!$C:$C, $H30, NewEmisData!$D:$D, BN$2), SUMIFS(NewEmisData!J:J, NewEmisData!$A:$A, "LDV", NewEmisData!$B:$B, $A30, NewEmisData!$C:$C, $H30, NewEmisData!$D:$D, BN$2))</f>
        <v>1.3463730618004399</v>
      </c>
      <c r="BO30" s="324">
        <f>$I30*IF($G30="Pickup", SUMIFS(NewEmisData!K:K, NewEmisData!$A:$A, "Pickup", NewEmisData!$B:$B, $A30, NewEmisData!$C:$C, $H30, NewEmisData!$D:$D, BO$2), SUMIFS(NewEmisData!K:K, NewEmisData!$A:$A, "LDV", NewEmisData!$B:$B, $A30, NewEmisData!$C:$C, $H30, NewEmisData!$D:$D, BO$2))</f>
        <v>1.1858346520835299</v>
      </c>
      <c r="BP30" s="324">
        <f>$I30*IF($G30="Pickup", SUMIFS(NewEmisData!L:L, NewEmisData!$A:$A, "Pickup", NewEmisData!$B:$B, $A30, NewEmisData!$C:$C, $H30, NewEmisData!$D:$D, BP$2), SUMIFS(NewEmisData!L:L, NewEmisData!$A:$A, "LDV", NewEmisData!$B:$B, $A30, NewEmisData!$C:$C, $H30, NewEmisData!$D:$D, BP$2))</f>
        <v>1.1335061554616499</v>
      </c>
      <c r="BQ30" s="324">
        <f>$I30*IF($G30="Pickup", SUMIFS(NewEmisData!M:M, NewEmisData!$A:$A, "Pickup", NewEmisData!$B:$B, $A30, NewEmisData!$C:$C, $H30, NewEmisData!$D:$D, BQ$2), SUMIFS(NewEmisData!M:M, NewEmisData!$A:$A, "LDV", NewEmisData!$B:$B, $A30, NewEmisData!$C:$C, $H30, NewEmisData!$D:$D, BQ$2))</f>
        <v>1.1009029054349999</v>
      </c>
      <c r="BR30" s="324">
        <f t="shared" si="10"/>
        <v>1.1009029054349999</v>
      </c>
      <c r="BS30" s="324">
        <f>$I30*IF($G30="Pickup", SUMIFS(NewEmisData!E:E, NewEmisData!$A:$A, "Pickup", NewEmisData!$B:$B, $A30, NewEmisData!$C:$C, $H30, NewEmisData!$D:$D, BS$2), SUMIFS(NewEmisData!E:E, NewEmisData!$A:$A, "LDV", NewEmisData!$B:$B, $A30, NewEmisData!$C:$C, $H30, NewEmisData!$D:$D, BS$2))</f>
        <v>0.77473150733664098</v>
      </c>
      <c r="BT30" s="324">
        <f>$I30*IF($G30="Pickup", SUMIFS(NewEmisData!F:F, NewEmisData!$A:$A, "Pickup", NewEmisData!$B:$B, $A30, NewEmisData!$C:$C, $H30, NewEmisData!$D:$D, BT$2), SUMIFS(NewEmisData!F:F, NewEmisData!$A:$A, "LDV", NewEmisData!$B:$B, $A30, NewEmisData!$C:$C, $H30, NewEmisData!$D:$D, BT$2))</f>
        <v>0.41904908416840297</v>
      </c>
      <c r="BU30" s="324">
        <f>$I30*IF($G30="Pickup", SUMIFS(NewEmisData!G:G, NewEmisData!$A:$A, "Pickup", NewEmisData!$B:$B, $A30, NewEmisData!$C:$C, $H30, NewEmisData!$D:$D, BU$2), SUMIFS(NewEmisData!G:G, NewEmisData!$A:$A, "LDV", NewEmisData!$B:$B, $A30, NewEmisData!$C:$C, $H30, NewEmisData!$D:$D, BU$2))</f>
        <v>0.30982899515166501</v>
      </c>
      <c r="BV30" s="324">
        <f>$I30*IF($G30="Pickup", SUMIFS(NewEmisData!H:H, NewEmisData!$A:$A, "Pickup", NewEmisData!$B:$B, $A30, NewEmisData!$C:$C, $H30, NewEmisData!$D:$D, BV$2), SUMIFS(NewEmisData!H:H, NewEmisData!$A:$A, "LDV", NewEmisData!$B:$B, $A30, NewEmisData!$C:$C, $H30, NewEmisData!$D:$D, BV$2))</f>
        <v>0.25046259079934602</v>
      </c>
      <c r="BW30" s="324">
        <f>$I30*IF($G30="Pickup", SUMIFS(NewEmisData!I:I, NewEmisData!$A:$A, "Pickup", NewEmisData!$B:$B, $A30, NewEmisData!$C:$C, $H30, NewEmisData!$D:$D, BW$2), SUMIFS(NewEmisData!I:I, NewEmisData!$A:$A, "LDV", NewEmisData!$B:$B, $A30, NewEmisData!$C:$C, $H30, NewEmisData!$D:$D, BW$2))</f>
        <v>0.18616224227516101</v>
      </c>
      <c r="BX30" s="324">
        <f>$I30*IF($G30="Pickup", SUMIFS(NewEmisData!J:J, NewEmisData!$A:$A, "Pickup", NewEmisData!$B:$B, $A30, NewEmisData!$C:$C, $H30, NewEmisData!$D:$D, BX$2), SUMIFS(NewEmisData!J:J, NewEmisData!$A:$A, "LDV", NewEmisData!$B:$B, $A30, NewEmisData!$C:$C, $H30, NewEmisData!$D:$D, BX$2))</f>
        <v>0.15683046751729501</v>
      </c>
      <c r="BY30" s="324">
        <f>$I30*IF($G30="Pickup", SUMIFS(NewEmisData!K:K, NewEmisData!$A:$A, "Pickup", NewEmisData!$B:$B, $A30, NewEmisData!$C:$C, $H30, NewEmisData!$D:$D, BY$2), SUMIFS(NewEmisData!K:K, NewEmisData!$A:$A, "LDV", NewEmisData!$B:$B, $A30, NewEmisData!$C:$C, $H30, NewEmisData!$D:$D, BY$2))</f>
        <v>0.14094000257929501</v>
      </c>
      <c r="BZ30" s="324">
        <f>$I30*IF($G30="Pickup", SUMIFS(NewEmisData!L:L, NewEmisData!$A:$A, "Pickup", NewEmisData!$B:$B, $A30, NewEmisData!$C:$C, $H30, NewEmisData!$D:$D, BZ$2), SUMIFS(NewEmisData!L:L, NewEmisData!$A:$A, "LDV", NewEmisData!$B:$B, $A30, NewEmisData!$C:$C, $H30, NewEmisData!$D:$D, BZ$2))</f>
        <v>0.134774071356623</v>
      </c>
      <c r="CA30" s="324">
        <f>$I30*IF($G30="Pickup", SUMIFS(NewEmisData!M:M, NewEmisData!$A:$A, "Pickup", NewEmisData!$B:$B, $A30, NewEmisData!$C:$C, $H30, NewEmisData!$D:$D, CA$2), SUMIFS(NewEmisData!M:M, NewEmisData!$A:$A, "LDV", NewEmisData!$B:$B, $A30, NewEmisData!$C:$C, $H30, NewEmisData!$D:$D, CA$2))</f>
        <v>0.12984032725640701</v>
      </c>
      <c r="CB30" s="324">
        <f t="shared" si="11"/>
        <v>0.12984032725640701</v>
      </c>
      <c r="CC30" s="324">
        <f>$I30*IF($G30="Pickup", SUMIFS(NewEmisData!E:E, NewEmisData!$A:$A, "Pickup", NewEmisData!$B:$B, $A30, NewEmisData!$C:$C, $H30, NewEmisData!$D:$D, CC$2), SUMIFS(NewEmisData!E:E, NewEmisData!$A:$A, "LDV", NewEmisData!$B:$B, $A30, NewEmisData!$C:$C, $H30, NewEmisData!$D:$D, CC$2))</f>
        <v>4.52789246362666E-2</v>
      </c>
      <c r="CD30" s="324">
        <f>$I30*IF($G30="Pickup", SUMIFS(NewEmisData!F:F, NewEmisData!$A:$A, "Pickup", NewEmisData!$B:$B, $A30, NewEmisData!$C:$C, $H30, NewEmisData!$D:$D, CD$2), SUMIFS(NewEmisData!F:F, NewEmisData!$A:$A, "LDV", NewEmisData!$B:$B, $A30, NewEmisData!$C:$C, $H30, NewEmisData!$D:$D, CD$2))</f>
        <v>3.0659932051567799E-2</v>
      </c>
      <c r="CE30" s="324">
        <f>$I30*IF($G30="Pickup", SUMIFS(NewEmisData!G:G, NewEmisData!$A:$A, "Pickup", NewEmisData!$B:$B, $A30, NewEmisData!$C:$C, $H30, NewEmisData!$D:$D, CE$2), SUMIFS(NewEmisData!G:G, NewEmisData!$A:$A, "LDV", NewEmisData!$B:$B, $A30, NewEmisData!$C:$C, $H30, NewEmisData!$D:$D, CE$2))</f>
        <v>2.8386595157116199E-2</v>
      </c>
      <c r="CF30" s="324">
        <f>$I30*IF($G30="Pickup", SUMIFS(NewEmisData!H:H, NewEmisData!$A:$A, "Pickup", NewEmisData!$B:$B, $A30, NewEmisData!$C:$C, $H30, NewEmisData!$D:$D, CF$2), SUMIFS(NewEmisData!H:H, NewEmisData!$A:$A, "LDV", NewEmisData!$B:$B, $A30, NewEmisData!$C:$C, $H30, NewEmisData!$D:$D, CF$2))</f>
        <v>2.7093413499500101E-2</v>
      </c>
      <c r="CG30" s="324">
        <f>$I30*IF($G30="Pickup", SUMIFS(NewEmisData!I:I, NewEmisData!$A:$A, "Pickup", NewEmisData!$B:$B, $A30, NewEmisData!$C:$C, $H30, NewEmisData!$D:$D, CG$2), SUMIFS(NewEmisData!I:I, NewEmisData!$A:$A, "LDV", NewEmisData!$B:$B, $A30, NewEmisData!$C:$C, $H30, NewEmisData!$D:$D, CG$2))</f>
        <v>2.6239574855980601E-2</v>
      </c>
      <c r="CH30" s="324">
        <f>$I30*IF($G30="Pickup", SUMIFS(NewEmisData!J:J, NewEmisData!$A:$A, "Pickup", NewEmisData!$B:$B, $A30, NewEmisData!$C:$C, $H30, NewEmisData!$D:$D, CH$2), SUMIFS(NewEmisData!J:J, NewEmisData!$A:$A, "LDV", NewEmisData!$B:$B, $A30, NewEmisData!$C:$C, $H30, NewEmisData!$D:$D, CH$2))</f>
        <v>2.5564245202349602E-2</v>
      </c>
      <c r="CI30" s="324">
        <f>$I30*IF($G30="Pickup", SUMIFS(NewEmisData!K:K, NewEmisData!$A:$A, "Pickup", NewEmisData!$B:$B, $A30, NewEmisData!$C:$C, $H30, NewEmisData!$D:$D, CI$2), SUMIFS(NewEmisData!K:K, NewEmisData!$A:$A, "LDV", NewEmisData!$B:$B, $A30, NewEmisData!$C:$C, $H30, NewEmisData!$D:$D, CI$2))</f>
        <v>2.5562136009582501E-2</v>
      </c>
      <c r="CJ30" s="324">
        <f>$I30*IF($G30="Pickup", SUMIFS(NewEmisData!L:L, NewEmisData!$A:$A, "Pickup", NewEmisData!$B:$B, $A30, NewEmisData!$C:$C, $H30, NewEmisData!$D:$D, CJ$2), SUMIFS(NewEmisData!L:L, NewEmisData!$A:$A, "LDV", NewEmisData!$B:$B, $A30, NewEmisData!$C:$C, $H30, NewEmisData!$D:$D, CJ$2))</f>
        <v>2.5561539762266602E-2</v>
      </c>
      <c r="CK30" s="324">
        <f>$I30*IF($G30="Pickup", SUMIFS(NewEmisData!M:M, NewEmisData!$A:$A, "Pickup", NewEmisData!$B:$B, $A30, NewEmisData!$C:$C, $H30, NewEmisData!$D:$D, CK$2), SUMIFS(NewEmisData!M:M, NewEmisData!$A:$A, "LDV", NewEmisData!$B:$B, $A30, NewEmisData!$C:$C, $H30, NewEmisData!$D:$D, CK$2))</f>
        <v>2.5560994254839702E-2</v>
      </c>
      <c r="CL30" s="324">
        <f t="shared" si="12"/>
        <v>2.5560994254839702E-2</v>
      </c>
      <c r="CM30" s="324">
        <f>$I30*IF($G30="Pickup", SUMIFS(NewEmisData!E:E, NewEmisData!$A:$A, "Pickup", NewEmisData!$B:$B, $A30, NewEmisData!$C:$C, $H30, NewEmisData!$D:$D, CM$2), SUMIFS(NewEmisData!E:E, NewEmisData!$A:$A, "LDV", NewEmisData!$B:$B, $A30, NewEmisData!$C:$C, $H30, NewEmisData!$D:$D, CM$2))</f>
        <v>2.2616228111616499E-2</v>
      </c>
      <c r="CN30" s="324">
        <f>$I30*IF($G30="Pickup", SUMIFS(NewEmisData!F:F, NewEmisData!$A:$A, "Pickup", NewEmisData!$B:$B, $A30, NewEmisData!$C:$C, $H30, NewEmisData!$D:$D, CN$2), SUMIFS(NewEmisData!F:F, NewEmisData!$A:$A, "LDV", NewEmisData!$B:$B, $A30, NewEmisData!$C:$C, $H30, NewEmisData!$D:$D, CN$2))</f>
        <v>1.37039938381133E-2</v>
      </c>
      <c r="CO30" s="324">
        <f>$I30*IF($G30="Pickup", SUMIFS(NewEmisData!G:G, NewEmisData!$A:$A, "Pickup", NewEmisData!$B:$B, $A30, NewEmisData!$C:$C, $H30, NewEmisData!$D:$D, CO$2), SUMIFS(NewEmisData!G:G, NewEmisData!$A:$A, "LDV", NewEmisData!$B:$B, $A30, NewEmisData!$C:$C, $H30, NewEmisData!$D:$D, CO$2))</f>
        <v>1.11279535576189E-2</v>
      </c>
      <c r="CP30" s="324">
        <f>$I30*IF($G30="Pickup", SUMIFS(NewEmisData!H:H, NewEmisData!$A:$A, "Pickup", NewEmisData!$B:$B, $A30, NewEmisData!$C:$C, $H30, NewEmisData!$D:$D, CP$2), SUMIFS(NewEmisData!H:H, NewEmisData!$A:$A, "LDV", NewEmisData!$B:$B, $A30, NewEmisData!$C:$C, $H30, NewEmisData!$D:$D, CP$2))</f>
        <v>9.1642249406405796E-3</v>
      </c>
      <c r="CQ30" s="324">
        <f>$I30*IF($G30="Pickup", SUMIFS(NewEmisData!I:I, NewEmisData!$A:$A, "Pickup", NewEmisData!$B:$B, $A30, NewEmisData!$C:$C, $H30, NewEmisData!$D:$D, CQ$2), SUMIFS(NewEmisData!I:I, NewEmisData!$A:$A, "LDV", NewEmisData!$B:$B, $A30, NewEmisData!$C:$C, $H30, NewEmisData!$D:$D, CQ$2))</f>
        <v>8.2157407295701708E-3</v>
      </c>
      <c r="CR30" s="324">
        <f>$I30*IF($G30="Pickup", SUMIFS(NewEmisData!J:J, NewEmisData!$A:$A, "Pickup", NewEmisData!$B:$B, $A30, NewEmisData!$C:$C, $H30, NewEmisData!$D:$D, CR$2), SUMIFS(NewEmisData!J:J, NewEmisData!$A:$A, "LDV", NewEmisData!$B:$B, $A30, NewEmisData!$C:$C, $H30, NewEmisData!$D:$D, CR$2))</f>
        <v>7.8051702943740097E-3</v>
      </c>
      <c r="CS30" s="324">
        <f>$I30*IF($G30="Pickup", SUMIFS(NewEmisData!K:K, NewEmisData!$A:$A, "Pickup", NewEmisData!$B:$B, $A30, NewEmisData!$C:$C, $H30, NewEmisData!$D:$D, CS$2), SUMIFS(NewEmisData!K:K, NewEmisData!$A:$A, "LDV", NewEmisData!$B:$B, $A30, NewEmisData!$C:$C, $H30, NewEmisData!$D:$D, CS$2))</f>
        <v>7.7607552788062101E-3</v>
      </c>
      <c r="CT30" s="324">
        <f>$I30*IF($G30="Pickup", SUMIFS(NewEmisData!L:L, NewEmisData!$A:$A, "Pickup", NewEmisData!$B:$B, $A30, NewEmisData!$C:$C, $H30, NewEmisData!$D:$D, CT$2), SUMIFS(NewEmisData!L:L, NewEmisData!$A:$A, "LDV", NewEmisData!$B:$B, $A30, NewEmisData!$C:$C, $H30, NewEmisData!$D:$D, CT$2))</f>
        <v>7.6883348823828098E-3</v>
      </c>
      <c r="CU30" s="324">
        <f>$I30*IF($G30="Pickup", SUMIFS(NewEmisData!M:M, NewEmisData!$A:$A, "Pickup", NewEmisData!$B:$B, $A30, NewEmisData!$C:$C, $H30, NewEmisData!$D:$D, CU$2), SUMIFS(NewEmisData!M:M, NewEmisData!$A:$A, "LDV", NewEmisData!$B:$B, $A30, NewEmisData!$C:$C, $H30, NewEmisData!$D:$D, CU$2))</f>
        <v>7.6878848286885603E-3</v>
      </c>
      <c r="CV30" s="324">
        <f t="shared" si="13"/>
        <v>7.6878848286885603E-3</v>
      </c>
      <c r="CW30" s="324">
        <v>4.0498104655261064E-3</v>
      </c>
      <c r="CX30" s="324">
        <v>2.5030350838759993E-3</v>
      </c>
      <c r="CY30" s="324">
        <v>2.1151214403419519E-3</v>
      </c>
      <c r="CZ30" s="324">
        <v>1.7489979687569375E-3</v>
      </c>
      <c r="DA30" s="324">
        <v>1.340486996695321E-3</v>
      </c>
      <c r="DB30" s="324">
        <v>1.0553769116342638E-3</v>
      </c>
      <c r="DC30" s="324">
        <v>1.0132227560056145E-3</v>
      </c>
      <c r="DD30" s="324">
        <v>1.0003159541004489E-3</v>
      </c>
      <c r="DE30" s="324">
        <v>9.9860782000699166E-4</v>
      </c>
      <c r="DF30" s="324">
        <v>9.9860782000699166E-4</v>
      </c>
      <c r="DG30" s="324">
        <f>$I30*IF($G30="Pickup", SUMIFS(NewEmisData!E:E, NewEmisData!$A:$A, "Pickup", NewEmisData!$B:$B, $A30, NewEmisData!$C:$C, $H30, NewEmisData!$D:$D, DG$2), SUMIFS(NewEmisData!E:E, NewEmisData!$A:$A, "LDV", NewEmisData!$B:$B, $A30, NewEmisData!$C:$C, $H30, NewEmisData!$D:$D, DG$2))</f>
        <v>0</v>
      </c>
      <c r="DH30" s="324">
        <f>$I30*IF($G30="Pickup", SUMIFS(NewEmisData!F:F, NewEmisData!$A:$A, "Pickup", NewEmisData!$B:$B, $A30, NewEmisData!$C:$C, $H30, NewEmisData!$D:$D, DH$2), SUMIFS(NewEmisData!F:F, NewEmisData!$A:$A, "LDV", NewEmisData!$B:$B, $A30, NewEmisData!$C:$C, $H30, NewEmisData!$D:$D, DH$2))</f>
        <v>0</v>
      </c>
      <c r="DI30" s="324">
        <f>$I30*IF($G30="Pickup", SUMIFS(NewEmisData!G:G, NewEmisData!$A:$A, "Pickup", NewEmisData!$B:$B, $A30, NewEmisData!$C:$C, $H30, NewEmisData!$D:$D, DI$2), SUMIFS(NewEmisData!G:G, NewEmisData!$A:$A, "LDV", NewEmisData!$B:$B, $A30, NewEmisData!$C:$C, $H30, NewEmisData!$D:$D, DI$2))</f>
        <v>0</v>
      </c>
      <c r="DJ30" s="324">
        <f>$I30*IF($G30="Pickup", SUMIFS(NewEmisData!H:H, NewEmisData!$A:$A, "Pickup", NewEmisData!$B:$B, $A30, NewEmisData!$C:$C, $H30, NewEmisData!$D:$D, DJ$2), SUMIFS(NewEmisData!H:H, NewEmisData!$A:$A, "LDV", NewEmisData!$B:$B, $A30, NewEmisData!$C:$C, $H30, NewEmisData!$D:$D, DJ$2))</f>
        <v>0</v>
      </c>
      <c r="DK30" s="324">
        <f>$I30*IF($G30="Pickup", SUMIFS(NewEmisData!I:I, NewEmisData!$A:$A, "Pickup", NewEmisData!$B:$B, $A30, NewEmisData!$C:$C, $H30, NewEmisData!$D:$D, DK$2), SUMIFS(NewEmisData!I:I, NewEmisData!$A:$A, "LDV", NewEmisData!$B:$B, $A30, NewEmisData!$C:$C, $H30, NewEmisData!$D:$D, DK$2))</f>
        <v>0</v>
      </c>
      <c r="DL30" s="324">
        <f>$I30*IF($G30="Pickup", SUMIFS(NewEmisData!J:J, NewEmisData!$A:$A, "Pickup", NewEmisData!$B:$B, $A30, NewEmisData!$C:$C, $H30, NewEmisData!$D:$D, DL$2), SUMIFS(NewEmisData!J:J, NewEmisData!$A:$A, "LDV", NewEmisData!$B:$B, $A30, NewEmisData!$C:$C, $H30, NewEmisData!$D:$D, DL$2))</f>
        <v>0</v>
      </c>
      <c r="DM30" s="324">
        <f>$I30*IF($G30="Pickup", SUMIFS(NewEmisData!K:K, NewEmisData!$A:$A, "Pickup", NewEmisData!$B:$B, $A30, NewEmisData!$C:$C, $H30, NewEmisData!$D:$D, DM$2), SUMIFS(NewEmisData!K:K, NewEmisData!$A:$A, "LDV", NewEmisData!$B:$B, $A30, NewEmisData!$C:$C, $H30, NewEmisData!$D:$D, DM$2))</f>
        <v>0</v>
      </c>
      <c r="DN30" s="324">
        <f>$I30*IF($G30="Pickup", SUMIFS(NewEmisData!L:L, NewEmisData!$A:$A, "Pickup", NewEmisData!$B:$B, $A30, NewEmisData!$C:$C, $H30, NewEmisData!$D:$D, DN$2), SUMIFS(NewEmisData!L:L, NewEmisData!$A:$A, "LDV", NewEmisData!$B:$B, $A30, NewEmisData!$C:$C, $H30, NewEmisData!$D:$D, DN$2))</f>
        <v>0</v>
      </c>
      <c r="DO30" s="324">
        <f>$I30*IF($G30="Pickup", SUMIFS(NewEmisData!M:M, NewEmisData!$A:$A, "Pickup", NewEmisData!$B:$B, $A30, NewEmisData!$C:$C, $H30, NewEmisData!$D:$D, DO$2), SUMIFS(NewEmisData!M:M, NewEmisData!$A:$A, "LDV", NewEmisData!$B:$B, $A30, NewEmisData!$C:$C, $H30, NewEmisData!$D:$D, DO$2))</f>
        <v>0</v>
      </c>
      <c r="DP30" s="324">
        <f t="shared" si="14"/>
        <v>0</v>
      </c>
      <c r="DQ30" s="324">
        <f>$I30*IF($G30="Pickup", SUMIFS(NewEmisData!E:E, NewEmisData!$A:$A, "Pickup", NewEmisData!$B:$B, $A30, NewEmisData!$C:$C, $H30, NewEmisData!$D:$D, DQ$2), SUMIFS(NewEmisData!E:E, NewEmisData!$A:$A, "LDV", NewEmisData!$B:$B, $A30, NewEmisData!$C:$C, $H30, NewEmisData!$D:$D, DQ$2))</f>
        <v>1.53337301393982E-2</v>
      </c>
      <c r="DR30" s="324">
        <f>$I30*IF($G30="Pickup", SUMIFS(NewEmisData!F:F, NewEmisData!$A:$A, "Pickup", NewEmisData!$B:$B, $A30, NewEmisData!$C:$C, $H30, NewEmisData!$D:$D, DR$2), SUMIFS(NewEmisData!F:F, NewEmisData!$A:$A, "LDV", NewEmisData!$B:$B, $A30, NewEmisData!$C:$C, $H30, NewEmisData!$D:$D, DR$2))</f>
        <v>8.5791399504283501E-3</v>
      </c>
      <c r="DS30" s="324">
        <f>$I30*IF($G30="Pickup", SUMIFS(NewEmisData!G:G, NewEmisData!$A:$A, "Pickup", NewEmisData!$B:$B, $A30, NewEmisData!$C:$C, $H30, NewEmisData!$D:$D, DS$2), SUMIFS(NewEmisData!G:G, NewEmisData!$A:$A, "LDV", NewEmisData!$B:$B, $A30, NewEmisData!$C:$C, $H30, NewEmisData!$D:$D, DS$2))</f>
        <v>6.82614050243104E-3</v>
      </c>
      <c r="DT30" s="324">
        <f>$I30*IF($G30="Pickup", SUMIFS(NewEmisData!H:H, NewEmisData!$A:$A, "Pickup", NewEmisData!$B:$B, $A30, NewEmisData!$C:$C, $H30, NewEmisData!$D:$D, DT$2), SUMIFS(NewEmisData!H:H, NewEmisData!$A:$A, "LDV", NewEmisData!$B:$B, $A30, NewEmisData!$C:$C, $H30, NewEmisData!$D:$D, DT$2))</f>
        <v>5.2306090144423403E-3</v>
      </c>
      <c r="DU30" s="324">
        <f>$I30*IF($G30="Pickup", SUMIFS(NewEmisData!I:I, NewEmisData!$A:$A, "Pickup", NewEmisData!$B:$B, $A30, NewEmisData!$C:$C, $H30, NewEmisData!$D:$D, DU$2), SUMIFS(NewEmisData!I:I, NewEmisData!$A:$A, "LDV", NewEmisData!$B:$B, $A30, NewEmisData!$C:$C, $H30, NewEmisData!$D:$D, DU$2))</f>
        <v>4.0991034424651901E-3</v>
      </c>
      <c r="DV30" s="324">
        <f>$I30*IF($G30="Pickup", SUMIFS(NewEmisData!J:J, NewEmisData!$A:$A, "Pickup", NewEmisData!$B:$B, $A30, NewEmisData!$C:$C, $H30, NewEmisData!$D:$D, DV$2), SUMIFS(NewEmisData!J:J, NewEmisData!$A:$A, "LDV", NewEmisData!$B:$B, $A30, NewEmisData!$C:$C, $H30, NewEmisData!$D:$D, DV$2))</f>
        <v>3.5909983676119801E-3</v>
      </c>
      <c r="DW30" s="324">
        <f>$I30*IF($G30="Pickup", SUMIFS(NewEmisData!K:K, NewEmisData!$A:$A, "Pickup", NewEmisData!$B:$B, $A30, NewEmisData!$C:$C, $H30, NewEmisData!$D:$D, DW$2), SUMIFS(NewEmisData!K:K, NewEmisData!$A:$A, "LDV", NewEmisData!$B:$B, $A30, NewEmisData!$C:$C, $H30, NewEmisData!$D:$D, DW$2))</f>
        <v>3.3016556899443999E-3</v>
      </c>
      <c r="DX30" s="324">
        <f>$I30*IF($G30="Pickup", SUMIFS(NewEmisData!L:L, NewEmisData!$A:$A, "Pickup", NewEmisData!$B:$B, $A30, NewEmisData!$C:$C, $H30, NewEmisData!$D:$D, DX$2), SUMIFS(NewEmisData!L:L, NewEmisData!$A:$A, "LDV", NewEmisData!$B:$B, $A30, NewEmisData!$C:$C, $H30, NewEmisData!$D:$D, DX$2))</f>
        <v>3.2097040973390598E-3</v>
      </c>
      <c r="DY30" s="324">
        <f>$I30*IF($G30="Pickup", SUMIFS(NewEmisData!M:M, NewEmisData!$A:$A, "Pickup", NewEmisData!$B:$B, $A30, NewEmisData!$C:$C, $H30, NewEmisData!$D:$D, DY$2), SUMIFS(NewEmisData!M:M, NewEmisData!$A:$A, "LDV", NewEmisData!$B:$B, $A30, NewEmisData!$C:$C, $H30, NewEmisData!$D:$D, DY$2))</f>
        <v>3.1631494921928599E-3</v>
      </c>
      <c r="DZ30" s="324">
        <f t="shared" si="15"/>
        <v>3.1631494921928599E-3</v>
      </c>
      <c r="EA30" s="324">
        <f t="shared" si="16"/>
        <v>477.08587282575797</v>
      </c>
      <c r="EB30" s="324">
        <f t="shared" si="17"/>
        <v>459.34104292251902</v>
      </c>
      <c r="EC30" s="324">
        <f t="shared" si="18"/>
        <v>447.45896927637102</v>
      </c>
      <c r="ED30" s="324">
        <f t="shared" si="19"/>
        <v>380.72392677964001</v>
      </c>
      <c r="EE30" s="324">
        <f t="shared" si="20"/>
        <v>329.54737069801098</v>
      </c>
      <c r="EF30" s="324">
        <f t="shared" si="21"/>
        <v>300.69829568412598</v>
      </c>
      <c r="EG30" s="324">
        <f t="shared" si="22"/>
        <v>287.83799703632701</v>
      </c>
      <c r="EH30" s="324">
        <f t="shared" si="23"/>
        <v>283.26610797837998</v>
      </c>
      <c r="EI30" s="324">
        <f t="shared" si="24"/>
        <v>281.57834098528099</v>
      </c>
      <c r="EJ30" s="324">
        <f t="shared" si="25"/>
        <v>281.57834098528099</v>
      </c>
      <c r="EK30" s="324">
        <f t="shared" si="26"/>
        <v>0.82339103642645395</v>
      </c>
      <c r="EL30" s="324">
        <f t="shared" si="27"/>
        <v>0.360872733315452</v>
      </c>
      <c r="EM30" s="324">
        <f t="shared" si="28"/>
        <v>0.21658171178065999</v>
      </c>
      <c r="EN30" s="324">
        <f t="shared" si="29"/>
        <v>0.14200533002195401</v>
      </c>
      <c r="EO30" s="324">
        <f t="shared" si="30"/>
        <v>8.8016804659711706E-2</v>
      </c>
      <c r="EP30" s="324">
        <f t="shared" si="31"/>
        <v>6.5736379947852003E-2</v>
      </c>
      <c r="EQ30" s="324">
        <f t="shared" si="32"/>
        <v>5.6635638117250503E-2</v>
      </c>
      <c r="ER30" s="324">
        <f t="shared" si="33"/>
        <v>5.4115247223223299E-2</v>
      </c>
      <c r="ES30" s="324">
        <f t="shared" si="34"/>
        <v>5.2826207223764E-2</v>
      </c>
      <c r="ET30" s="324">
        <f t="shared" si="35"/>
        <v>5.2826207223764E-2</v>
      </c>
      <c r="EU30" s="324">
        <f t="shared" si="36"/>
        <v>8.2552586035919695E-3</v>
      </c>
      <c r="EV30" s="324">
        <f t="shared" si="37"/>
        <v>7.9482131517538395E-3</v>
      </c>
      <c r="EW30" s="324">
        <f t="shared" si="38"/>
        <v>6.4190305556059996E-3</v>
      </c>
      <c r="EX30" s="324">
        <f t="shared" si="39"/>
        <v>5.4616828003907899E-3</v>
      </c>
      <c r="EY30" s="324">
        <f t="shared" si="40"/>
        <v>4.7275285851957304E-3</v>
      </c>
      <c r="EZ30" s="324">
        <f t="shared" si="41"/>
        <v>4.3136734611450098E-3</v>
      </c>
      <c r="FA30" s="324">
        <f t="shared" si="42"/>
        <v>4.1291858052272803E-3</v>
      </c>
      <c r="FB30" s="324">
        <f t="shared" si="43"/>
        <v>4.0635983922117898E-3</v>
      </c>
      <c r="FC30" s="324">
        <f t="shared" si="44"/>
        <v>4.0393864318059199E-3</v>
      </c>
      <c r="FD30" s="324">
        <f t="shared" si="45"/>
        <v>4.0393864318059199E-3</v>
      </c>
      <c r="FE30" s="324">
        <f t="shared" si="46"/>
        <v>8.1828643727713493E-2</v>
      </c>
      <c r="FF30" s="324">
        <f t="shared" si="47"/>
        <v>7.6175839057221195E-2</v>
      </c>
      <c r="FG30" s="324">
        <f t="shared" si="48"/>
        <v>8.1302809072104507E-2</v>
      </c>
      <c r="FH30" s="324">
        <f t="shared" si="49"/>
        <v>7.9561688690416299E-2</v>
      </c>
      <c r="FI30" s="324">
        <f t="shared" si="50"/>
        <v>7.7910530261031605E-2</v>
      </c>
      <c r="FJ30" s="324">
        <f t="shared" si="51"/>
        <v>7.6590334474495605E-2</v>
      </c>
      <c r="FK30" s="324">
        <f t="shared" si="52"/>
        <v>7.5767938917924701E-2</v>
      </c>
      <c r="FL30" s="324">
        <f t="shared" si="53"/>
        <v>7.5353710070808794E-2</v>
      </c>
      <c r="FM30" s="324">
        <f t="shared" si="54"/>
        <v>7.5117977052891499E-2</v>
      </c>
      <c r="FN30" s="324">
        <f t="shared" si="55"/>
        <v>7.5117977052891499E-2</v>
      </c>
      <c r="FO30" s="324">
        <f t="shared" si="56"/>
        <v>2.1998193760633E-2</v>
      </c>
      <c r="FP30" s="324">
        <f t="shared" si="57"/>
        <v>1.6997575378008601E-2</v>
      </c>
      <c r="FQ30" s="324">
        <f t="shared" si="58"/>
        <v>1.6580879412419602E-2</v>
      </c>
      <c r="FR30" s="324">
        <f t="shared" si="59"/>
        <v>1.5040645169031801E-2</v>
      </c>
      <c r="FS30" s="324">
        <f t="shared" si="60"/>
        <v>1.35799610150696E-2</v>
      </c>
      <c r="FT30" s="324">
        <f t="shared" si="61"/>
        <v>1.24120667817219E-2</v>
      </c>
      <c r="FU30" s="324">
        <f t="shared" si="62"/>
        <v>1.16845073314224E-2</v>
      </c>
      <c r="FV30" s="324">
        <f t="shared" si="63"/>
        <v>1.1318096390010799E-2</v>
      </c>
      <c r="FW30" s="324">
        <f t="shared" si="64"/>
        <v>1.1109456757731499E-2</v>
      </c>
      <c r="FX30" s="324">
        <f t="shared" si="65"/>
        <v>1.1109456757731499E-2</v>
      </c>
    </row>
    <row r="31" spans="1:180" x14ac:dyDescent="0.2">
      <c r="A31" s="298" t="str">
        <f>_xlfn.CONCAT(IF(LEFT(TRIM(A30),1)="*", "*R", "R"), 1+RIGHT(TRIM(A30),1))</f>
        <v>R3</v>
      </c>
      <c r="B31" s="298" t="str">
        <f t="shared" ref="B31:B34" si="86">B30</f>
        <v>TLESSGSL</v>
      </c>
      <c r="C31" s="298" t="str">
        <f t="shared" ref="C31:C34" si="87">C30</f>
        <v>TL.GSL.SS.Existing fleet</v>
      </c>
      <c r="D31" s="294" t="str">
        <f t="shared" ref="D31:D34" si="88">D30</f>
        <v>bn-vmt, bn-vmt/a</v>
      </c>
      <c r="E31" s="294" t="str">
        <f t="shared" ref="E31:E34" si="89">E30</f>
        <v>TLGSL</v>
      </c>
      <c r="F31" s="294" t="str">
        <f t="shared" ref="F31:F34" si="90">F30</f>
        <v>TL</v>
      </c>
      <c r="G31" s="294" t="s">
        <v>424</v>
      </c>
      <c r="H31" s="294" t="s">
        <v>474</v>
      </c>
      <c r="I31" s="294">
        <v>1</v>
      </c>
      <c r="J31" s="308" t="str">
        <f t="shared" si="2"/>
        <v>Small SUV-GSL</v>
      </c>
      <c r="K31" s="324">
        <f>$I31*IF($G31="Pickup", SUMIFS(NewEmisData!E:E, NewEmisData!$A:$A, "Pickup", NewEmisData!$B:$B, $A31, NewEmisData!$C:$C, $H31, NewEmisData!$D:$D, K$2), SUMIFS(NewEmisData!E:E, NewEmisData!$A:$A, "LDV", NewEmisData!$B:$B, $A31, NewEmisData!$C:$C, $H31, NewEmisData!$D:$D, K$2))</f>
        <v>437.85746964693402</v>
      </c>
      <c r="L31" s="324">
        <f>$I31*IF($G31="Pickup", SUMIFS(NewEmisData!F:F, NewEmisData!$A:$A, "Pickup", NewEmisData!$B:$B, $A31, NewEmisData!$C:$C, $H31, NewEmisData!$D:$D, L$2), SUMIFS(NewEmisData!F:F, NewEmisData!$A:$A, "LDV", NewEmisData!$B:$B, $A31, NewEmisData!$C:$C, $H31, NewEmisData!$D:$D, L$2))</f>
        <v>424.609883045034</v>
      </c>
      <c r="M31" s="324">
        <f>$I31*IF($G31="Pickup", SUMIFS(NewEmisData!G:G, NewEmisData!$A:$A, "Pickup", NewEmisData!$B:$B, $A31, NewEmisData!$C:$C, $H31, NewEmisData!$D:$D, M$2), SUMIFS(NewEmisData!G:G, NewEmisData!$A:$A, "LDV", NewEmisData!$B:$B, $A31, NewEmisData!$C:$C, $H31, NewEmisData!$D:$D, M$2))</f>
        <v>389.26792072260798</v>
      </c>
      <c r="N31" s="324">
        <f>$I31*IF($G31="Pickup", SUMIFS(NewEmisData!H:H, NewEmisData!$A:$A, "Pickup", NewEmisData!$B:$B, $A31, NewEmisData!$C:$C, $H31, NewEmisData!$D:$D, N$2), SUMIFS(NewEmisData!H:H, NewEmisData!$A:$A, "LDV", NewEmisData!$B:$B, $A31, NewEmisData!$C:$C, $H31, NewEmisData!$D:$D, N$2))</f>
        <v>331.09003080375697</v>
      </c>
      <c r="O31" s="324">
        <f>$I31*IF($G31="Pickup", SUMIFS(NewEmisData!I:I, NewEmisData!$A:$A, "Pickup", NewEmisData!$B:$B, $A31, NewEmisData!$C:$C, $H31, NewEmisData!$D:$D, O$2), SUMIFS(NewEmisData!I:I, NewEmisData!$A:$A, "LDV", NewEmisData!$B:$B, $A31, NewEmisData!$C:$C, $H31, NewEmisData!$D:$D, O$2))</f>
        <v>286.46929869872997</v>
      </c>
      <c r="P31" s="324">
        <f>$I31*IF($G31="Pickup", SUMIFS(NewEmisData!J:J, NewEmisData!$A:$A, "Pickup", NewEmisData!$B:$B, $A31, NewEmisData!$C:$C, $H31, NewEmisData!$D:$D, P$2), SUMIFS(NewEmisData!J:J, NewEmisData!$A:$A, "LDV", NewEmisData!$B:$B, $A31, NewEmisData!$C:$C, $H31, NewEmisData!$D:$D, P$2))</f>
        <v>261.33080310252802</v>
      </c>
      <c r="Q31" s="324">
        <f>$I31*IF($G31="Pickup", SUMIFS(NewEmisData!K:K, NewEmisData!$A:$A, "Pickup", NewEmisData!$B:$B, $A31, NewEmisData!$C:$C, $H31, NewEmisData!$D:$D, Q$2), SUMIFS(NewEmisData!K:K, NewEmisData!$A:$A, "LDV", NewEmisData!$B:$B, $A31, NewEmisData!$C:$C, $H31, NewEmisData!$D:$D, Q$2))</f>
        <v>250.12665030232699</v>
      </c>
      <c r="R31" s="324">
        <f>$I31*IF($G31="Pickup", SUMIFS(NewEmisData!L:L, NewEmisData!$A:$A, "Pickup", NewEmisData!$B:$B, $A31, NewEmisData!$C:$C, $H31, NewEmisData!$D:$D, R$2), SUMIFS(NewEmisData!L:L, NewEmisData!$A:$A, "LDV", NewEmisData!$B:$B, $A31, NewEmisData!$C:$C, $H31, NewEmisData!$D:$D, R$2))</f>
        <v>246.146486551527</v>
      </c>
      <c r="S31" s="324">
        <f>$I31*IF($G31="Pickup", SUMIFS(NewEmisData!M:M, NewEmisData!$A:$A, "Pickup", NewEmisData!$B:$B, $A31, NewEmisData!$C:$C, $H31, NewEmisData!$D:$D, S$2), SUMIFS(NewEmisData!M:M, NewEmisData!$A:$A, "LDV", NewEmisData!$B:$B, $A31, NewEmisData!$C:$C, $H31, NewEmisData!$D:$D, S$2))</f>
        <v>244.677818234341</v>
      </c>
      <c r="T31" s="324">
        <f t="shared" si="5"/>
        <v>244.677818234341</v>
      </c>
      <c r="U31" s="324">
        <f>$I31*IF($G31="Pickup", SUMIFS(NewEmisData!E:E, NewEmisData!$A:$A, "Pickup", NewEmisData!$B:$B, $A31, NewEmisData!$C:$C, $H31, NewEmisData!$D:$D, U$2), SUMIFS(NewEmisData!E:E, NewEmisData!$A:$A, "LDV", NewEmisData!$B:$B, $A31, NewEmisData!$C:$C, $H31, NewEmisData!$D:$D, U$2))</f>
        <v>0.78000130642291299</v>
      </c>
      <c r="V31" s="324">
        <f>$I31*IF($G31="Pickup", SUMIFS(NewEmisData!F:F, NewEmisData!$A:$A, "Pickup", NewEmisData!$B:$B, $A31, NewEmisData!$C:$C, $H31, NewEmisData!$D:$D, V$2), SUMIFS(NewEmisData!F:F, NewEmisData!$A:$A, "LDV", NewEmisData!$B:$B, $A31, NewEmisData!$C:$C, $H31, NewEmisData!$D:$D, V$2))</f>
        <v>0.323605278282381</v>
      </c>
      <c r="W31" s="324">
        <f>$I31*IF($G31="Pickup", SUMIFS(NewEmisData!G:G, NewEmisData!$A:$A, "Pickup", NewEmisData!$B:$B, $A31, NewEmisData!$C:$C, $H31, NewEmisData!$D:$D, W$2), SUMIFS(NewEmisData!G:G, NewEmisData!$A:$A, "LDV", NewEmisData!$B:$B, $A31, NewEmisData!$C:$C, $H31, NewEmisData!$D:$D, W$2))</f>
        <v>0.19152446532377701</v>
      </c>
      <c r="X31" s="324">
        <f>$I31*IF($G31="Pickup", SUMIFS(NewEmisData!H:H, NewEmisData!$A:$A, "Pickup", NewEmisData!$B:$B, $A31, NewEmisData!$C:$C, $H31, NewEmisData!$D:$D, X$2), SUMIFS(NewEmisData!H:H, NewEmisData!$A:$A, "LDV", NewEmisData!$B:$B, $A31, NewEmisData!$C:$C, $H31, NewEmisData!$D:$D, X$2))</f>
        <v>0.12537127832280801</v>
      </c>
      <c r="Y31" s="324">
        <f>$I31*IF($G31="Pickup", SUMIFS(NewEmisData!I:I, NewEmisData!$A:$A, "Pickup", NewEmisData!$B:$B, $A31, NewEmisData!$C:$C, $H31, NewEmisData!$D:$D, Y$2), SUMIFS(NewEmisData!I:I, NewEmisData!$A:$A, "LDV", NewEmisData!$B:$B, $A31, NewEmisData!$C:$C, $H31, NewEmisData!$D:$D, Y$2))</f>
        <v>7.6671766649271E-2</v>
      </c>
      <c r="Z31" s="324">
        <f>$I31*IF($G31="Pickup", SUMIFS(NewEmisData!J:J, NewEmisData!$A:$A, "Pickup", NewEmisData!$B:$B, $A31, NewEmisData!$C:$C, $H31, NewEmisData!$D:$D, Z$2), SUMIFS(NewEmisData!J:J, NewEmisData!$A:$A, "LDV", NewEmisData!$B:$B, $A31, NewEmisData!$C:$C, $H31, NewEmisData!$D:$D, Z$2))</f>
        <v>5.7019026656941203E-2</v>
      </c>
      <c r="AA31" s="324">
        <f>$I31*IF($G31="Pickup", SUMIFS(NewEmisData!K:K, NewEmisData!$A:$A, "Pickup", NewEmisData!$B:$B, $A31, NewEmisData!$C:$C, $H31, NewEmisData!$D:$D, AA$2), SUMIFS(NewEmisData!K:K, NewEmisData!$A:$A, "LDV", NewEmisData!$B:$B, $A31, NewEmisData!$C:$C, $H31, NewEmisData!$D:$D, AA$2))</f>
        <v>4.8823281713844202E-2</v>
      </c>
      <c r="AB31" s="324">
        <f>$I31*IF($G31="Pickup", SUMIFS(NewEmisData!L:L, NewEmisData!$A:$A, "Pickup", NewEmisData!$B:$B, $A31, NewEmisData!$C:$C, $H31, NewEmisData!$D:$D, AB$2), SUMIFS(NewEmisData!L:L, NewEmisData!$A:$A, "LDV", NewEmisData!$B:$B, $A31, NewEmisData!$C:$C, $H31, NewEmisData!$D:$D, AB$2))</f>
        <v>4.6542407484685501E-2</v>
      </c>
      <c r="AC31" s="324">
        <f>$I31*IF($G31="Pickup", SUMIFS(NewEmisData!M:M, NewEmisData!$A:$A, "Pickup", NewEmisData!$B:$B, $A31, NewEmisData!$C:$C, $H31, NewEmisData!$D:$D, AC$2), SUMIFS(NewEmisData!M:M, NewEmisData!$A:$A, "LDV", NewEmisData!$B:$B, $A31, NewEmisData!$C:$C, $H31, NewEmisData!$D:$D, AC$2))</f>
        <v>4.5415311435121702E-2</v>
      </c>
      <c r="AD31" s="324">
        <f t="shared" si="6"/>
        <v>4.5415311435121702E-2</v>
      </c>
      <c r="AE31" s="324">
        <f>$I31*IF($G31="Pickup", SUMIFS(NewEmisData!E:E, NewEmisData!$A:$A, "Pickup", NewEmisData!$B:$B, $A31, NewEmisData!$C:$C, $H31, NewEmisData!$D:$D, AE$2), SUMIFS(NewEmisData!E:E, NewEmisData!$A:$A, "LDV", NewEmisData!$B:$B, $A31, NewEmisData!$C:$C, $H31, NewEmisData!$D:$D, AE$2))</f>
        <v>7.5764719154140002E-3</v>
      </c>
      <c r="AF31" s="324">
        <f>$I31*IF($G31="Pickup", SUMIFS(NewEmisData!F:F, NewEmisData!$A:$A, "Pickup", NewEmisData!$B:$B, $A31, NewEmisData!$C:$C, $H31, NewEmisData!$D:$D, AF$2), SUMIFS(NewEmisData!F:F, NewEmisData!$A:$A, "LDV", NewEmisData!$B:$B, $A31, NewEmisData!$C:$C, $H31, NewEmisData!$D:$D, AF$2))</f>
        <v>7.3472400077695399E-3</v>
      </c>
      <c r="AG31" s="324">
        <f>$I31*IF($G31="Pickup", SUMIFS(NewEmisData!G:G, NewEmisData!$A:$A, "Pickup", NewEmisData!$B:$B, $A31, NewEmisData!$C:$C, $H31, NewEmisData!$D:$D, AG$2), SUMIFS(NewEmisData!G:G, NewEmisData!$A:$A, "LDV", NewEmisData!$B:$B, $A31, NewEmisData!$C:$C, $H31, NewEmisData!$D:$D, AG$2))</f>
        <v>5.5842494055705696E-3</v>
      </c>
      <c r="AH31" s="324">
        <f>$I31*IF($G31="Pickup", SUMIFS(NewEmisData!H:H, NewEmisData!$A:$A, "Pickup", NewEmisData!$B:$B, $A31, NewEmisData!$C:$C, $H31, NewEmisData!$D:$D, AH$2), SUMIFS(NewEmisData!H:H, NewEmisData!$A:$A, "LDV", NewEmisData!$B:$B, $A31, NewEmisData!$C:$C, $H31, NewEmisData!$D:$D, AH$2))</f>
        <v>4.7496587466809804E-3</v>
      </c>
      <c r="AI31" s="324">
        <f>$I31*IF($G31="Pickup", SUMIFS(NewEmisData!I:I, NewEmisData!$A:$A, "Pickup", NewEmisData!$B:$B, $A31, NewEmisData!$C:$C, $H31, NewEmisData!$D:$D, AI$2), SUMIFS(NewEmisData!I:I, NewEmisData!$A:$A, "LDV", NewEmisData!$B:$B, $A31, NewEmisData!$C:$C, $H31, NewEmisData!$D:$D, AI$2))</f>
        <v>4.1095518958717504E-3</v>
      </c>
      <c r="AJ31" s="324">
        <f>$I31*IF($G31="Pickup", SUMIFS(NewEmisData!J:J, NewEmisData!$A:$A, "Pickup", NewEmisData!$B:$B, $A31, NewEmisData!$C:$C, $H31, NewEmisData!$D:$D, AJ$2), SUMIFS(NewEmisData!J:J, NewEmisData!$A:$A, "LDV", NewEmisData!$B:$B, $A31, NewEmisData!$C:$C, $H31, NewEmisData!$D:$D, AJ$2))</f>
        <v>3.7489264773323799E-3</v>
      </c>
      <c r="AK31" s="324">
        <f>$I31*IF($G31="Pickup", SUMIFS(NewEmisData!K:K, NewEmisData!$A:$A, "Pickup", NewEmisData!$B:$B, $A31, NewEmisData!$C:$C, $H31, NewEmisData!$D:$D, AK$2), SUMIFS(NewEmisData!K:K, NewEmisData!$A:$A, "LDV", NewEmisData!$B:$B, $A31, NewEmisData!$C:$C, $H31, NewEmisData!$D:$D, AK$2))</f>
        <v>3.5881959766524201E-3</v>
      </c>
      <c r="AL31" s="324">
        <f>$I31*IF($G31="Pickup", SUMIFS(NewEmisData!L:L, NewEmisData!$A:$A, "Pickup", NewEmisData!$B:$B, $A31, NewEmisData!$C:$C, $H31, NewEmisData!$D:$D, AL$2), SUMIFS(NewEmisData!L:L, NewEmisData!$A:$A, "LDV", NewEmisData!$B:$B, $A31, NewEmisData!$C:$C, $H31, NewEmisData!$D:$D, AL$2))</f>
        <v>3.5311006464952199E-3</v>
      </c>
      <c r="AM31" s="324">
        <f>$I31*IF($G31="Pickup", SUMIFS(NewEmisData!M:M, NewEmisData!$A:$A, "Pickup", NewEmisData!$B:$B, $A31, NewEmisData!$C:$C, $H31, NewEmisData!$D:$D, AM$2), SUMIFS(NewEmisData!M:M, NewEmisData!$A:$A, "LDV", NewEmisData!$B:$B, $A31, NewEmisData!$C:$C, $H31, NewEmisData!$D:$D, AM$2))</f>
        <v>3.5100309709840301E-3</v>
      </c>
      <c r="AN31" s="324">
        <f t="shared" si="7"/>
        <v>3.5100309709840301E-3</v>
      </c>
      <c r="AO31" s="324">
        <f>$I31*IF($G31="Pickup", SUMIFS(NewEmisData!E:E, NewEmisData!$A:$A, "Pickup", NewEmisData!$B:$B, $A31, NewEmisData!$C:$C, $H31, NewEmisData!$D:$D, AO$2), SUMIFS(NewEmisData!E:E, NewEmisData!$A:$A, "LDV", NewEmisData!$B:$B, $A31, NewEmisData!$C:$C, $H31, NewEmisData!$D:$D, AO$2))</f>
        <v>6.7831755328566196E-2</v>
      </c>
      <c r="AP31" s="324">
        <f>$I31*IF($G31="Pickup", SUMIFS(NewEmisData!F:F, NewEmisData!$A:$A, "Pickup", NewEmisData!$B:$B, $A31, NewEmisData!$C:$C, $H31, NewEmisData!$D:$D, AP$2), SUMIFS(NewEmisData!F:F, NewEmisData!$A:$A, "LDV", NewEmisData!$B:$B, $A31, NewEmisData!$C:$C, $H31, NewEmisData!$D:$D, AP$2))</f>
        <v>6.3250667156757298E-2</v>
      </c>
      <c r="AQ31" s="324">
        <f>$I31*IF($G31="Pickup", SUMIFS(NewEmisData!G:G, NewEmisData!$A:$A, "Pickup", NewEmisData!$B:$B, $A31, NewEmisData!$C:$C, $H31, NewEmisData!$D:$D, AQ$2), SUMIFS(NewEmisData!G:G, NewEmisData!$A:$A, "LDV", NewEmisData!$B:$B, $A31, NewEmisData!$C:$C, $H31, NewEmisData!$D:$D, AQ$2))</f>
        <v>6.2628417187727006E-2</v>
      </c>
      <c r="AR31" s="324">
        <f>$I31*IF($G31="Pickup", SUMIFS(NewEmisData!H:H, NewEmisData!$A:$A, "Pickup", NewEmisData!$B:$B, $A31, NewEmisData!$C:$C, $H31, NewEmisData!$D:$D, AR$2), SUMIFS(NewEmisData!H:H, NewEmisData!$A:$A, "LDV", NewEmisData!$B:$B, $A31, NewEmisData!$C:$C, $H31, NewEmisData!$D:$D, AR$2))</f>
        <v>6.1216981125607202E-2</v>
      </c>
      <c r="AS31" s="324">
        <f>$I31*IF($G31="Pickup", SUMIFS(NewEmisData!I:I, NewEmisData!$A:$A, "Pickup", NewEmisData!$B:$B, $A31, NewEmisData!$C:$C, $H31, NewEmisData!$D:$D, AS$2), SUMIFS(NewEmisData!I:I, NewEmisData!$A:$A, "LDV", NewEmisData!$B:$B, $A31, NewEmisData!$C:$C, $H31, NewEmisData!$D:$D, AS$2))</f>
        <v>5.9842025439809501E-2</v>
      </c>
      <c r="AT31" s="324">
        <f>$I31*IF($G31="Pickup", SUMIFS(NewEmisData!J:J, NewEmisData!$A:$A, "Pickup", NewEmisData!$B:$B, $A31, NewEmisData!$C:$C, $H31, NewEmisData!$D:$D, AT$2), SUMIFS(NewEmisData!J:J, NewEmisData!$A:$A, "LDV", NewEmisData!$B:$B, $A31, NewEmisData!$C:$C, $H31, NewEmisData!$D:$D, AT$2))</f>
        <v>5.8761885691048198E-2</v>
      </c>
      <c r="AU31" s="324">
        <f>$I31*IF($G31="Pickup", SUMIFS(NewEmisData!K:K, NewEmisData!$A:$A, "Pickup", NewEmisData!$B:$B, $A31, NewEmisData!$C:$C, $H31, NewEmisData!$D:$D, AU$2), SUMIFS(NewEmisData!K:K, NewEmisData!$A:$A, "LDV", NewEmisData!$B:$B, $A31, NewEmisData!$C:$C, $H31, NewEmisData!$D:$D, AU$2))</f>
        <v>5.8072078083983E-2</v>
      </c>
      <c r="AV31" s="324">
        <f>$I31*IF($G31="Pickup", SUMIFS(NewEmisData!L:L, NewEmisData!$A:$A, "Pickup", NewEmisData!$B:$B, $A31, NewEmisData!$C:$C, $H31, NewEmisData!$D:$D, AV$2), SUMIFS(NewEmisData!L:L, NewEmisData!$A:$A, "LDV", NewEmisData!$B:$B, $A31, NewEmisData!$C:$C, $H31, NewEmisData!$D:$D, AV$2))</f>
        <v>5.7726484266030297E-2</v>
      </c>
      <c r="AW31" s="324">
        <f>$I31*IF($G31="Pickup", SUMIFS(NewEmisData!M:M, NewEmisData!$A:$A, "Pickup", NewEmisData!$B:$B, $A31, NewEmisData!$C:$C, $H31, NewEmisData!$D:$D, AW$2), SUMIFS(NewEmisData!M:M, NewEmisData!$A:$A, "LDV", NewEmisData!$B:$B, $A31, NewEmisData!$C:$C, $H31, NewEmisData!$D:$D, AW$2))</f>
        <v>5.7530226905323702E-2</v>
      </c>
      <c r="AX31" s="324">
        <f t="shared" si="8"/>
        <v>5.7530226905323702E-2</v>
      </c>
      <c r="AY31" s="324">
        <f>$I31*IF($G31="Pickup", SUMIFS(NewEmisData!E:E, NewEmisData!$A:$A, "Pickup", NewEmisData!$B:$B, $A31, NewEmisData!$C:$C, $H31, NewEmisData!$D:$D, AY$2), SUMIFS(NewEmisData!E:E, NewEmisData!$A:$A, "LDV", NewEmisData!$B:$B, $A31, NewEmisData!$C:$C, $H31, NewEmisData!$D:$D, AY$2))</f>
        <v>1.8324822567621701E-2</v>
      </c>
      <c r="AZ31" s="324">
        <f>$I31*IF($G31="Pickup", SUMIFS(NewEmisData!F:F, NewEmisData!$A:$A, "Pickup", NewEmisData!$B:$B, $A31, NewEmisData!$C:$C, $H31, NewEmisData!$D:$D, AZ$2), SUMIFS(NewEmisData!F:F, NewEmisData!$A:$A, "LDV", NewEmisData!$B:$B, $A31, NewEmisData!$C:$C, $H31, NewEmisData!$D:$D, AZ$2))</f>
        <v>1.4272294035055699E-2</v>
      </c>
      <c r="BA31" s="324">
        <f>$I31*IF($G31="Pickup", SUMIFS(NewEmisData!G:G, NewEmisData!$A:$A, "Pickup", NewEmisData!$B:$B, $A31, NewEmisData!$C:$C, $H31, NewEmisData!$D:$D, BA$2), SUMIFS(NewEmisData!G:G, NewEmisData!$A:$A, "LDV", NewEmisData!$B:$B, $A31, NewEmisData!$C:$C, $H31, NewEmisData!$D:$D, BA$2))</f>
        <v>1.3165752481838801E-2</v>
      </c>
      <c r="BB31" s="324">
        <f>$I31*IF($G31="Pickup", SUMIFS(NewEmisData!H:H, NewEmisData!$A:$A, "Pickup", NewEmisData!$B:$B, $A31, NewEmisData!$C:$C, $H31, NewEmisData!$D:$D, BB$2), SUMIFS(NewEmisData!H:H, NewEmisData!$A:$A, "LDV", NewEmisData!$B:$B, $A31, NewEmisData!$C:$C, $H31, NewEmisData!$D:$D, BB$2))</f>
        <v>1.1917194849656599E-2</v>
      </c>
      <c r="BC31" s="324">
        <f>$I31*IF($G31="Pickup", SUMIFS(NewEmisData!I:I, NewEmisData!$A:$A, "Pickup", NewEmisData!$B:$B, $A31, NewEmisData!$C:$C, $H31, NewEmisData!$D:$D, BC$2), SUMIFS(NewEmisData!I:I, NewEmisData!$A:$A, "LDV", NewEmisData!$B:$B, $A31, NewEmisData!$C:$C, $H31, NewEmisData!$D:$D, BC$2))</f>
        <v>1.0700861948252101E-2</v>
      </c>
      <c r="BD31" s="324">
        <f>$I31*IF($G31="Pickup", SUMIFS(NewEmisData!J:J, NewEmisData!$A:$A, "Pickup", NewEmisData!$B:$B, $A31, NewEmisData!$C:$C, $H31, NewEmisData!$D:$D, BD$2), SUMIFS(NewEmisData!J:J, NewEmisData!$A:$A, "LDV", NewEmisData!$B:$B, $A31, NewEmisData!$C:$C, $H31, NewEmisData!$D:$D, BD$2))</f>
        <v>9.7453521893521699E-3</v>
      </c>
      <c r="BE31" s="324">
        <f>$I31*IF($G31="Pickup", SUMIFS(NewEmisData!K:K, NewEmisData!$A:$A, "Pickup", NewEmisData!$B:$B, $A31, NewEmisData!$C:$C, $H31, NewEmisData!$D:$D, BE$2), SUMIFS(NewEmisData!K:K, NewEmisData!$A:$A, "LDV", NewEmisData!$B:$B, $A31, NewEmisData!$C:$C, $H31, NewEmisData!$D:$D, BE$2))</f>
        <v>9.1351470976244707E-3</v>
      </c>
      <c r="BF31" s="324">
        <f>$I31*IF($G31="Pickup", SUMIFS(NewEmisData!L:L, NewEmisData!$A:$A, "Pickup", NewEmisData!$B:$B, $A31, NewEmisData!$C:$C, $H31, NewEmisData!$D:$D, BF$2), SUMIFS(NewEmisData!L:L, NewEmisData!$A:$A, "LDV", NewEmisData!$B:$B, $A31, NewEmisData!$C:$C, $H31, NewEmisData!$D:$D, BF$2))</f>
        <v>8.8293874131557606E-3</v>
      </c>
      <c r="BG31" s="324">
        <f>$I31*IF($G31="Pickup", SUMIFS(NewEmisData!M:M, NewEmisData!$A:$A, "Pickup", NewEmisData!$B:$B, $A31, NewEmisData!$C:$C, $H31, NewEmisData!$D:$D, BG$2), SUMIFS(NewEmisData!M:M, NewEmisData!$A:$A, "LDV", NewEmisData!$B:$B, $A31, NewEmisData!$C:$C, $H31, NewEmisData!$D:$D, BG$2))</f>
        <v>8.6558174466142106E-3</v>
      </c>
      <c r="BH31" s="324">
        <f t="shared" si="9"/>
        <v>8.6558174466142106E-3</v>
      </c>
      <c r="BI31" s="324">
        <f>$I31*IF($G31="Pickup", SUMIFS(NewEmisData!E:E, NewEmisData!$A:$A, "Pickup", NewEmisData!$B:$B, $A31, NewEmisData!$C:$C, $H31, NewEmisData!$D:$D, BI$2), SUMIFS(NewEmisData!E:E, NewEmisData!$A:$A, "LDV", NewEmisData!$B:$B, $A31, NewEmisData!$C:$C, $H31, NewEmisData!$D:$D, BI$2))</f>
        <v>5.6341971782511804</v>
      </c>
      <c r="BJ31" s="324">
        <f>$I31*IF($G31="Pickup", SUMIFS(NewEmisData!F:F, NewEmisData!$A:$A, "Pickup", NewEmisData!$B:$B, $A31, NewEmisData!$C:$C, $H31, NewEmisData!$D:$D, BJ$2), SUMIFS(NewEmisData!F:F, NewEmisData!$A:$A, "LDV", NewEmisData!$B:$B, $A31, NewEmisData!$C:$C, $H31, NewEmisData!$D:$D, BJ$2))</f>
        <v>3.2912080717511998</v>
      </c>
      <c r="BK31" s="324">
        <f>$I31*IF($G31="Pickup", SUMIFS(NewEmisData!G:G, NewEmisData!$A:$A, "Pickup", NewEmisData!$B:$B, $A31, NewEmisData!$C:$C, $H31, NewEmisData!$D:$D, BK$2), SUMIFS(NewEmisData!G:G, NewEmisData!$A:$A, "LDV", NewEmisData!$B:$B, $A31, NewEmisData!$C:$C, $H31, NewEmisData!$D:$D, BK$2))</f>
        <v>2.5038449092773698</v>
      </c>
      <c r="BL31" s="324">
        <f>$I31*IF($G31="Pickup", SUMIFS(NewEmisData!H:H, NewEmisData!$A:$A, "Pickup", NewEmisData!$B:$B, $A31, NewEmisData!$C:$C, $H31, NewEmisData!$D:$D, BL$2), SUMIFS(NewEmisData!H:H, NewEmisData!$A:$A, "LDV", NewEmisData!$B:$B, $A31, NewEmisData!$C:$C, $H31, NewEmisData!$D:$D, BL$2))</f>
        <v>1.9586302072503601</v>
      </c>
      <c r="BM31" s="324">
        <f>$I31*IF($G31="Pickup", SUMIFS(NewEmisData!I:I, NewEmisData!$A:$A, "Pickup", NewEmisData!$B:$B, $A31, NewEmisData!$C:$C, $H31, NewEmisData!$D:$D, BM$2), SUMIFS(NewEmisData!I:I, NewEmisData!$A:$A, "LDV", NewEmisData!$B:$B, $A31, NewEmisData!$C:$C, $H31, NewEmisData!$D:$D, BM$2))</f>
        <v>1.4188080704430199</v>
      </c>
      <c r="BN31" s="324">
        <f>$I31*IF($G31="Pickup", SUMIFS(NewEmisData!J:J, NewEmisData!$A:$A, "Pickup", NewEmisData!$B:$B, $A31, NewEmisData!$C:$C, $H31, NewEmisData!$D:$D, BN$2), SUMIFS(NewEmisData!J:J, NewEmisData!$A:$A, "LDV", NewEmisData!$B:$B, $A31, NewEmisData!$C:$C, $H31, NewEmisData!$D:$D, BN$2))</f>
        <v>1.12295829909247</v>
      </c>
      <c r="BO31" s="324">
        <f>$I31*IF($G31="Pickup", SUMIFS(NewEmisData!K:K, NewEmisData!$A:$A, "Pickup", NewEmisData!$B:$B, $A31, NewEmisData!$C:$C, $H31, NewEmisData!$D:$D, BO$2), SUMIFS(NewEmisData!K:K, NewEmisData!$A:$A, "LDV", NewEmisData!$B:$B, $A31, NewEmisData!$C:$C, $H31, NewEmisData!$D:$D, BO$2))</f>
        <v>0.98917470890575399</v>
      </c>
      <c r="BP31" s="324">
        <f>$I31*IF($G31="Pickup", SUMIFS(NewEmisData!L:L, NewEmisData!$A:$A, "Pickup", NewEmisData!$B:$B, $A31, NewEmisData!$C:$C, $H31, NewEmisData!$D:$D, BP$2), SUMIFS(NewEmisData!L:L, NewEmisData!$A:$A, "LDV", NewEmisData!$B:$B, $A31, NewEmisData!$C:$C, $H31, NewEmisData!$D:$D, BP$2))</f>
        <v>0.94587291374607996</v>
      </c>
      <c r="BQ31" s="324">
        <f>$I31*IF($G31="Pickup", SUMIFS(NewEmisData!M:M, NewEmisData!$A:$A, "Pickup", NewEmisData!$B:$B, $A31, NewEmisData!$C:$C, $H31, NewEmisData!$D:$D, BQ$2), SUMIFS(NewEmisData!M:M, NewEmisData!$A:$A, "LDV", NewEmisData!$B:$B, $A31, NewEmisData!$C:$C, $H31, NewEmisData!$D:$D, BQ$2))</f>
        <v>0.91886504762322097</v>
      </c>
      <c r="BR31" s="324">
        <f t="shared" si="10"/>
        <v>0.91886504762322097</v>
      </c>
      <c r="BS31" s="324">
        <f>$I31*IF($G31="Pickup", SUMIFS(NewEmisData!E:E, NewEmisData!$A:$A, "Pickup", NewEmisData!$B:$B, $A31, NewEmisData!$C:$C, $H31, NewEmisData!$D:$D, BS$2), SUMIFS(NewEmisData!E:E, NewEmisData!$A:$A, "LDV", NewEmisData!$B:$B, $A31, NewEmisData!$C:$C, $H31, NewEmisData!$D:$D, BS$2))</f>
        <v>0.64604041020523395</v>
      </c>
      <c r="BT31" s="324">
        <f>$I31*IF($G31="Pickup", SUMIFS(NewEmisData!F:F, NewEmisData!$A:$A, "Pickup", NewEmisData!$B:$B, $A31, NewEmisData!$C:$C, $H31, NewEmisData!$D:$D, BT$2), SUMIFS(NewEmisData!F:F, NewEmisData!$A:$A, "LDV", NewEmisData!$B:$B, $A31, NewEmisData!$C:$C, $H31, NewEmisData!$D:$D, BT$2))</f>
        <v>0.33711601886070303</v>
      </c>
      <c r="BU31" s="324">
        <f>$I31*IF($G31="Pickup", SUMIFS(NewEmisData!G:G, NewEmisData!$A:$A, "Pickup", NewEmisData!$B:$B, $A31, NewEmisData!$C:$C, $H31, NewEmisData!$D:$D, BU$2), SUMIFS(NewEmisData!G:G, NewEmisData!$A:$A, "LDV", NewEmisData!$B:$B, $A31, NewEmisData!$C:$C, $H31, NewEmisData!$D:$D, BU$2))</f>
        <v>0.24835485029207899</v>
      </c>
      <c r="BV31" s="324">
        <f>$I31*IF($G31="Pickup", SUMIFS(NewEmisData!H:H, NewEmisData!$A:$A, "Pickup", NewEmisData!$B:$B, $A31, NewEmisData!$C:$C, $H31, NewEmisData!$D:$D, BV$2), SUMIFS(NewEmisData!H:H, NewEmisData!$A:$A, "LDV", NewEmisData!$B:$B, $A31, NewEmisData!$C:$C, $H31, NewEmisData!$D:$D, BV$2))</f>
        <v>0.20063726173746699</v>
      </c>
      <c r="BW31" s="324">
        <f>$I31*IF($G31="Pickup", SUMIFS(NewEmisData!I:I, NewEmisData!$A:$A, "Pickup", NewEmisData!$B:$B, $A31, NewEmisData!$C:$C, $H31, NewEmisData!$D:$D, BW$2), SUMIFS(NewEmisData!I:I, NewEmisData!$A:$A, "LDV", NewEmisData!$B:$B, $A31, NewEmisData!$C:$C, $H31, NewEmisData!$D:$D, BW$2))</f>
        <v>0.148388069930526</v>
      </c>
      <c r="BX31" s="324">
        <f>$I31*IF($G31="Pickup", SUMIFS(NewEmisData!J:J, NewEmisData!$A:$A, "Pickup", NewEmisData!$B:$B, $A31, NewEmisData!$C:$C, $H31, NewEmisData!$D:$D, BX$2), SUMIFS(NewEmisData!J:J, NewEmisData!$A:$A, "LDV", NewEmisData!$B:$B, $A31, NewEmisData!$C:$C, $H31, NewEmisData!$D:$D, BX$2))</f>
        <v>0.12460657527841699</v>
      </c>
      <c r="BY31" s="324">
        <f>$I31*IF($G31="Pickup", SUMIFS(NewEmisData!K:K, NewEmisData!$A:$A, "Pickup", NewEmisData!$B:$B, $A31, NewEmisData!$C:$C, $H31, NewEmisData!$D:$D, BY$2), SUMIFS(NewEmisData!K:K, NewEmisData!$A:$A, "LDV", NewEmisData!$B:$B, $A31, NewEmisData!$C:$C, $H31, NewEmisData!$D:$D, BY$2))</f>
        <v>0.11177610097077099</v>
      </c>
      <c r="BZ31" s="324">
        <f>$I31*IF($G31="Pickup", SUMIFS(NewEmisData!L:L, NewEmisData!$A:$A, "Pickup", NewEmisData!$B:$B, $A31, NewEmisData!$C:$C, $H31, NewEmisData!$D:$D, BZ$2), SUMIFS(NewEmisData!L:L, NewEmisData!$A:$A, "LDV", NewEmisData!$B:$B, $A31, NewEmisData!$C:$C, $H31, NewEmisData!$D:$D, BZ$2))</f>
        <v>0.10678198489299399</v>
      </c>
      <c r="CA31" s="324">
        <f>$I31*IF($G31="Pickup", SUMIFS(NewEmisData!M:M, NewEmisData!$A:$A, "Pickup", NewEmisData!$B:$B, $A31, NewEmisData!$C:$C, $H31, NewEmisData!$D:$D, CA$2), SUMIFS(NewEmisData!M:M, NewEmisData!$A:$A, "LDV", NewEmisData!$B:$B, $A31, NewEmisData!$C:$C, $H31, NewEmisData!$D:$D, CA$2))</f>
        <v>0.102788686456563</v>
      </c>
      <c r="CB31" s="324">
        <f t="shared" si="11"/>
        <v>0.102788686456563</v>
      </c>
      <c r="CC31" s="324">
        <f>$I31*IF($G31="Pickup", SUMIFS(NewEmisData!E:E, NewEmisData!$A:$A, "Pickup", NewEmisData!$B:$B, $A31, NewEmisData!$C:$C, $H31, NewEmisData!$D:$D, CC$2), SUMIFS(NewEmisData!E:E, NewEmisData!$A:$A, "LDV", NewEmisData!$B:$B, $A31, NewEmisData!$C:$C, $H31, NewEmisData!$D:$D, CC$2))</f>
        <v>4.5186599160421101E-2</v>
      </c>
      <c r="CD31" s="324">
        <f>$I31*IF($G31="Pickup", SUMIFS(NewEmisData!F:F, NewEmisData!$A:$A, "Pickup", NewEmisData!$B:$B, $A31, NewEmisData!$C:$C, $H31, NewEmisData!$D:$D, CD$2), SUMIFS(NewEmisData!F:F, NewEmisData!$A:$A, "LDV", NewEmisData!$B:$B, $A31, NewEmisData!$C:$C, $H31, NewEmisData!$D:$D, CD$2))</f>
        <v>3.0321042660064499E-2</v>
      </c>
      <c r="CE31" s="324">
        <f>$I31*IF($G31="Pickup", SUMIFS(NewEmisData!G:G, NewEmisData!$A:$A, "Pickup", NewEmisData!$B:$B, $A31, NewEmisData!$C:$C, $H31, NewEmisData!$D:$D, CE$2), SUMIFS(NewEmisData!G:G, NewEmisData!$A:$A, "LDV", NewEmisData!$B:$B, $A31, NewEmisData!$C:$C, $H31, NewEmisData!$D:$D, CE$2))</f>
        <v>2.5916716030162101E-2</v>
      </c>
      <c r="CF31" s="324">
        <f>$I31*IF($G31="Pickup", SUMIFS(NewEmisData!H:H, NewEmisData!$A:$A, "Pickup", NewEmisData!$B:$B, $A31, NewEmisData!$C:$C, $H31, NewEmisData!$D:$D, CF$2), SUMIFS(NewEmisData!H:H, NewEmisData!$A:$A, "LDV", NewEmisData!$B:$B, $A31, NewEmisData!$C:$C, $H31, NewEmisData!$D:$D, CF$2))</f>
        <v>2.4735955589537201E-2</v>
      </c>
      <c r="CG31" s="324">
        <f>$I31*IF($G31="Pickup", SUMIFS(NewEmisData!I:I, NewEmisData!$A:$A, "Pickup", NewEmisData!$B:$B, $A31, NewEmisData!$C:$C, $H31, NewEmisData!$D:$D, CG$2), SUMIFS(NewEmisData!I:I, NewEmisData!$A:$A, "LDV", NewEmisData!$B:$B, $A31, NewEmisData!$C:$C, $H31, NewEmisData!$D:$D, CG$2))</f>
        <v>2.39507418397766E-2</v>
      </c>
      <c r="CH31" s="324">
        <f>$I31*IF($G31="Pickup", SUMIFS(NewEmisData!J:J, NewEmisData!$A:$A, "Pickup", NewEmisData!$B:$B, $A31, NewEmisData!$C:$C, $H31, NewEmisData!$D:$D, CH$2), SUMIFS(NewEmisData!J:J, NewEmisData!$A:$A, "LDV", NewEmisData!$B:$B, $A31, NewEmisData!$C:$C, $H31, NewEmisData!$D:$D, CH$2))</f>
        <v>2.33343295652753E-2</v>
      </c>
      <c r="CI31" s="324">
        <f>$I31*IF($G31="Pickup", SUMIFS(NewEmisData!K:K, NewEmisData!$A:$A, "Pickup", NewEmisData!$B:$B, $A31, NewEmisData!$C:$C, $H31, NewEmisData!$D:$D, CI$2), SUMIFS(NewEmisData!K:K, NewEmisData!$A:$A, "LDV", NewEmisData!$B:$B, $A31, NewEmisData!$C:$C, $H31, NewEmisData!$D:$D, CI$2))</f>
        <v>2.33323778682475E-2</v>
      </c>
      <c r="CJ31" s="324">
        <f>$I31*IF($G31="Pickup", SUMIFS(NewEmisData!L:L, NewEmisData!$A:$A, "Pickup", NewEmisData!$B:$B, $A31, NewEmisData!$C:$C, $H31, NewEmisData!$D:$D, CJ$2), SUMIFS(NewEmisData!L:L, NewEmisData!$A:$A, "LDV", NewEmisData!$B:$B, $A31, NewEmisData!$C:$C, $H31, NewEmisData!$D:$D, CJ$2))</f>
        <v>2.3331868508858E-2</v>
      </c>
      <c r="CK31" s="324">
        <f>$I31*IF($G31="Pickup", SUMIFS(NewEmisData!M:M, NewEmisData!$A:$A, "Pickup", NewEmisData!$B:$B, $A31, NewEmisData!$C:$C, $H31, NewEmisData!$D:$D, CK$2), SUMIFS(NewEmisData!M:M, NewEmisData!$A:$A, "LDV", NewEmisData!$B:$B, $A31, NewEmisData!$C:$C, $H31, NewEmisData!$D:$D, CK$2))</f>
        <v>2.3331333840255802E-2</v>
      </c>
      <c r="CL31" s="324">
        <f t="shared" si="12"/>
        <v>2.3331333840255802E-2</v>
      </c>
      <c r="CM31" s="324">
        <f>$I31*IF($G31="Pickup", SUMIFS(NewEmisData!E:E, NewEmisData!$A:$A, "Pickup", NewEmisData!$B:$B, $A31, NewEmisData!$C:$C, $H31, NewEmisData!$D:$D, CM$2), SUMIFS(NewEmisData!E:E, NewEmisData!$A:$A, "LDV", NewEmisData!$B:$B, $A31, NewEmisData!$C:$C, $H31, NewEmisData!$D:$D, CM$2))</f>
        <v>1.8999640989844298E-2</v>
      </c>
      <c r="CN31" s="324">
        <f>$I31*IF($G31="Pickup", SUMIFS(NewEmisData!F:F, NewEmisData!$A:$A, "Pickup", NewEmisData!$B:$B, $A31, NewEmisData!$C:$C, $H31, NewEmisData!$D:$D, CN$2), SUMIFS(NewEmisData!F:F, NewEmisData!$A:$A, "LDV", NewEmisData!$B:$B, $A31, NewEmisData!$C:$C, $H31, NewEmisData!$D:$D, CN$2))</f>
        <v>1.12934038283153E-2</v>
      </c>
      <c r="CO31" s="324">
        <f>$I31*IF($G31="Pickup", SUMIFS(NewEmisData!G:G, NewEmisData!$A:$A, "Pickup", NewEmisData!$B:$B, $A31, NewEmisData!$C:$C, $H31, NewEmisData!$D:$D, CO$2), SUMIFS(NewEmisData!G:G, NewEmisData!$A:$A, "LDV", NewEmisData!$B:$B, $A31, NewEmisData!$C:$C, $H31, NewEmisData!$D:$D, CO$2))</f>
        <v>8.9155864809614994E-3</v>
      </c>
      <c r="CP31" s="324">
        <f>$I31*IF($G31="Pickup", SUMIFS(NewEmisData!H:H, NewEmisData!$A:$A, "Pickup", NewEmisData!$B:$B, $A31, NewEmisData!$C:$C, $H31, NewEmisData!$D:$D, CP$2), SUMIFS(NewEmisData!H:H, NewEmisData!$A:$A, "LDV", NewEmisData!$B:$B, $A31, NewEmisData!$C:$C, $H31, NewEmisData!$D:$D, CP$2))</f>
        <v>7.3372921922104104E-3</v>
      </c>
      <c r="CQ31" s="324">
        <f>$I31*IF($G31="Pickup", SUMIFS(NewEmisData!I:I, NewEmisData!$A:$A, "Pickup", NewEmisData!$B:$B, $A31, NewEmisData!$C:$C, $H31, NewEmisData!$D:$D, CQ$2), SUMIFS(NewEmisData!I:I, NewEmisData!$A:$A, "LDV", NewEmisData!$B:$B, $A31, NewEmisData!$C:$C, $H31, NewEmisData!$D:$D, CQ$2))</f>
        <v>6.5724995115123896E-3</v>
      </c>
      <c r="CR31" s="324">
        <f>$I31*IF($G31="Pickup", SUMIFS(NewEmisData!J:J, NewEmisData!$A:$A, "Pickup", NewEmisData!$B:$B, $A31, NewEmisData!$C:$C, $H31, NewEmisData!$D:$D, CR$2), SUMIFS(NewEmisData!J:J, NewEmisData!$A:$A, "LDV", NewEmisData!$B:$B, $A31, NewEmisData!$C:$C, $H31, NewEmisData!$D:$D, CR$2))</f>
        <v>6.2407197852133098E-3</v>
      </c>
      <c r="CS31" s="324">
        <f>$I31*IF($G31="Pickup", SUMIFS(NewEmisData!K:K, NewEmisData!$A:$A, "Pickup", NewEmisData!$B:$B, $A31, NewEmisData!$C:$C, $H31, NewEmisData!$D:$D, CS$2), SUMIFS(NewEmisData!K:K, NewEmisData!$A:$A, "LDV", NewEmisData!$B:$B, $A31, NewEmisData!$C:$C, $H31, NewEmisData!$D:$D, CS$2))</f>
        <v>6.20457620974787E-3</v>
      </c>
      <c r="CT31" s="324">
        <f>$I31*IF($G31="Pickup", SUMIFS(NewEmisData!L:L, NewEmisData!$A:$A, "Pickup", NewEmisData!$B:$B, $A31, NewEmisData!$C:$C, $H31, NewEmisData!$D:$D, CT$2), SUMIFS(NewEmisData!L:L, NewEmisData!$A:$A, "LDV", NewEmisData!$B:$B, $A31, NewEmisData!$C:$C, $H31, NewEmisData!$D:$D, CT$2))</f>
        <v>6.1456645266433898E-3</v>
      </c>
      <c r="CU31" s="324">
        <f>$I31*IF($G31="Pickup", SUMIFS(NewEmisData!M:M, NewEmisData!$A:$A, "Pickup", NewEmisData!$B:$B, $A31, NewEmisData!$C:$C, $H31, NewEmisData!$D:$D, CU$2), SUMIFS(NewEmisData!M:M, NewEmisData!$A:$A, "LDV", NewEmisData!$B:$B, $A31, NewEmisData!$C:$C, $H31, NewEmisData!$D:$D, CU$2))</f>
        <v>6.1452936234844303E-3</v>
      </c>
      <c r="CV31" s="324">
        <f t="shared" si="13"/>
        <v>6.1452936234844303E-3</v>
      </c>
      <c r="CW31" s="324">
        <v>4.0498104655261064E-3</v>
      </c>
      <c r="CX31" s="324">
        <v>2.5030350838759993E-3</v>
      </c>
      <c r="CY31" s="324">
        <v>2.1151214403419519E-3</v>
      </c>
      <c r="CZ31" s="324">
        <v>1.7489979687569375E-3</v>
      </c>
      <c r="DA31" s="324">
        <v>1.340486996695321E-3</v>
      </c>
      <c r="DB31" s="324">
        <v>1.0553769116342638E-3</v>
      </c>
      <c r="DC31" s="324">
        <v>1.0132227560056145E-3</v>
      </c>
      <c r="DD31" s="324">
        <v>1.0003159541004489E-3</v>
      </c>
      <c r="DE31" s="324">
        <v>9.9860782000699166E-4</v>
      </c>
      <c r="DF31" s="324">
        <v>9.9860782000699166E-4</v>
      </c>
      <c r="DG31" s="324">
        <f>$I31*IF($G31="Pickup", SUMIFS(NewEmisData!E:E, NewEmisData!$A:$A, "Pickup", NewEmisData!$B:$B, $A31, NewEmisData!$C:$C, $H31, NewEmisData!$D:$D, DG$2), SUMIFS(NewEmisData!E:E, NewEmisData!$A:$A, "LDV", NewEmisData!$B:$B, $A31, NewEmisData!$C:$C, $H31, NewEmisData!$D:$D, DG$2))</f>
        <v>0</v>
      </c>
      <c r="DH31" s="324">
        <f>$I31*IF($G31="Pickup", SUMIFS(NewEmisData!F:F, NewEmisData!$A:$A, "Pickup", NewEmisData!$B:$B, $A31, NewEmisData!$C:$C, $H31, NewEmisData!$D:$D, DH$2), SUMIFS(NewEmisData!F:F, NewEmisData!$A:$A, "LDV", NewEmisData!$B:$B, $A31, NewEmisData!$C:$C, $H31, NewEmisData!$D:$D, DH$2))</f>
        <v>0</v>
      </c>
      <c r="DI31" s="324">
        <f>$I31*IF($G31="Pickup", SUMIFS(NewEmisData!G:G, NewEmisData!$A:$A, "Pickup", NewEmisData!$B:$B, $A31, NewEmisData!$C:$C, $H31, NewEmisData!$D:$D, DI$2), SUMIFS(NewEmisData!G:G, NewEmisData!$A:$A, "LDV", NewEmisData!$B:$B, $A31, NewEmisData!$C:$C, $H31, NewEmisData!$D:$D, DI$2))</f>
        <v>0</v>
      </c>
      <c r="DJ31" s="324">
        <f>$I31*IF($G31="Pickup", SUMIFS(NewEmisData!H:H, NewEmisData!$A:$A, "Pickup", NewEmisData!$B:$B, $A31, NewEmisData!$C:$C, $H31, NewEmisData!$D:$D, DJ$2), SUMIFS(NewEmisData!H:H, NewEmisData!$A:$A, "LDV", NewEmisData!$B:$B, $A31, NewEmisData!$C:$C, $H31, NewEmisData!$D:$D, DJ$2))</f>
        <v>0</v>
      </c>
      <c r="DK31" s="324">
        <f>$I31*IF($G31="Pickup", SUMIFS(NewEmisData!I:I, NewEmisData!$A:$A, "Pickup", NewEmisData!$B:$B, $A31, NewEmisData!$C:$C, $H31, NewEmisData!$D:$D, DK$2), SUMIFS(NewEmisData!I:I, NewEmisData!$A:$A, "LDV", NewEmisData!$B:$B, $A31, NewEmisData!$C:$C, $H31, NewEmisData!$D:$D, DK$2))</f>
        <v>0</v>
      </c>
      <c r="DL31" s="324">
        <f>$I31*IF($G31="Pickup", SUMIFS(NewEmisData!J:J, NewEmisData!$A:$A, "Pickup", NewEmisData!$B:$B, $A31, NewEmisData!$C:$C, $H31, NewEmisData!$D:$D, DL$2), SUMIFS(NewEmisData!J:J, NewEmisData!$A:$A, "LDV", NewEmisData!$B:$B, $A31, NewEmisData!$C:$C, $H31, NewEmisData!$D:$D, DL$2))</f>
        <v>0</v>
      </c>
      <c r="DM31" s="324">
        <f>$I31*IF($G31="Pickup", SUMIFS(NewEmisData!K:K, NewEmisData!$A:$A, "Pickup", NewEmisData!$B:$B, $A31, NewEmisData!$C:$C, $H31, NewEmisData!$D:$D, DM$2), SUMIFS(NewEmisData!K:K, NewEmisData!$A:$A, "LDV", NewEmisData!$B:$B, $A31, NewEmisData!$C:$C, $H31, NewEmisData!$D:$D, DM$2))</f>
        <v>0</v>
      </c>
      <c r="DN31" s="324">
        <f>$I31*IF($G31="Pickup", SUMIFS(NewEmisData!L:L, NewEmisData!$A:$A, "Pickup", NewEmisData!$B:$B, $A31, NewEmisData!$C:$C, $H31, NewEmisData!$D:$D, DN$2), SUMIFS(NewEmisData!L:L, NewEmisData!$A:$A, "LDV", NewEmisData!$B:$B, $A31, NewEmisData!$C:$C, $H31, NewEmisData!$D:$D, DN$2))</f>
        <v>0</v>
      </c>
      <c r="DO31" s="324">
        <f>$I31*IF($G31="Pickup", SUMIFS(NewEmisData!M:M, NewEmisData!$A:$A, "Pickup", NewEmisData!$B:$B, $A31, NewEmisData!$C:$C, $H31, NewEmisData!$D:$D, DO$2), SUMIFS(NewEmisData!M:M, NewEmisData!$A:$A, "LDV", NewEmisData!$B:$B, $A31, NewEmisData!$C:$C, $H31, NewEmisData!$D:$D, DO$2))</f>
        <v>0</v>
      </c>
      <c r="DP31" s="324">
        <f t="shared" si="14"/>
        <v>0</v>
      </c>
      <c r="DQ31" s="324">
        <f>$I31*IF($G31="Pickup", SUMIFS(NewEmisData!E:E, NewEmisData!$A:$A, "Pickup", NewEmisData!$B:$B, $A31, NewEmisData!$C:$C, $H31, NewEmisData!$D:$D, DQ$2), SUMIFS(NewEmisData!E:E, NewEmisData!$A:$A, "LDV", NewEmisData!$B:$B, $A31, NewEmisData!$C:$C, $H31, NewEmisData!$D:$D, DQ$2))</f>
        <v>1.28100272800791E-2</v>
      </c>
      <c r="DR31" s="324">
        <f>$I31*IF($G31="Pickup", SUMIFS(NewEmisData!F:F, NewEmisData!$A:$A, "Pickup", NewEmisData!$B:$B, $A31, NewEmisData!$C:$C, $H31, NewEmisData!$D:$D, DR$2), SUMIFS(NewEmisData!F:F, NewEmisData!$A:$A, "LDV", NewEmisData!$B:$B, $A31, NewEmisData!$C:$C, $H31, NewEmisData!$D:$D, DR$2))</f>
        <v>6.9424260700293398E-3</v>
      </c>
      <c r="DS31" s="324">
        <f>$I31*IF($G31="Pickup", SUMIFS(NewEmisData!G:G, NewEmisData!$A:$A, "Pickup", NewEmisData!$B:$B, $A31, NewEmisData!$C:$C, $H31, NewEmisData!$D:$D, DS$2), SUMIFS(NewEmisData!G:G, NewEmisData!$A:$A, "LDV", NewEmisData!$B:$B, $A31, NewEmisData!$C:$C, $H31, NewEmisData!$D:$D, DS$2))</f>
        <v>5.5718062948972597E-3</v>
      </c>
      <c r="DT31" s="324">
        <f>$I31*IF($G31="Pickup", SUMIFS(NewEmisData!H:H, NewEmisData!$A:$A, "Pickup", NewEmisData!$B:$B, $A31, NewEmisData!$C:$C, $H31, NewEmisData!$D:$D, DT$2), SUMIFS(NewEmisData!H:H, NewEmisData!$A:$A, "LDV", NewEmisData!$B:$B, $A31, NewEmisData!$C:$C, $H31, NewEmisData!$D:$D, DT$2))</f>
        <v>4.2603417623007303E-3</v>
      </c>
      <c r="DU31" s="324">
        <f>$I31*IF($G31="Pickup", SUMIFS(NewEmisData!I:I, NewEmisData!$A:$A, "Pickup", NewEmisData!$B:$B, $A31, NewEmisData!$C:$C, $H31, NewEmisData!$D:$D, DU$2), SUMIFS(NewEmisData!I:I, NewEmisData!$A:$A, "LDV", NewEmisData!$B:$B, $A31, NewEmisData!$C:$C, $H31, NewEmisData!$D:$D, DU$2))</f>
        <v>3.31959498333436E-3</v>
      </c>
      <c r="DV31" s="324">
        <f>$I31*IF($G31="Pickup", SUMIFS(NewEmisData!J:J, NewEmisData!$A:$A, "Pickup", NewEmisData!$B:$B, $A31, NewEmisData!$C:$C, $H31, NewEmisData!$D:$D, DV$2), SUMIFS(NewEmisData!J:J, NewEmisData!$A:$A, "LDV", NewEmisData!$B:$B, $A31, NewEmisData!$C:$C, $H31, NewEmisData!$D:$D, DV$2))</f>
        <v>2.8901416801040899E-3</v>
      </c>
      <c r="DW31" s="324">
        <f>$I31*IF($G31="Pickup", SUMIFS(NewEmisData!K:K, NewEmisData!$A:$A, "Pickup", NewEmisData!$B:$B, $A31, NewEmisData!$C:$C, $H31, NewEmisData!$D:$D, DW$2), SUMIFS(NewEmisData!K:K, NewEmisData!$A:$A, "LDV", NewEmisData!$B:$B, $A31, NewEmisData!$C:$C, $H31, NewEmisData!$D:$D, DW$2))</f>
        <v>2.6480526244027302E-3</v>
      </c>
      <c r="DX31" s="324">
        <f>$I31*IF($G31="Pickup", SUMIFS(NewEmisData!L:L, NewEmisData!$A:$A, "Pickup", NewEmisData!$B:$B, $A31, NewEmisData!$C:$C, $H31, NewEmisData!$D:$D, DX$2), SUMIFS(NewEmisData!L:L, NewEmisData!$A:$A, "LDV", NewEmisData!$B:$B, $A31, NewEmisData!$C:$C, $H31, NewEmisData!$D:$D, DX$2))</f>
        <v>2.5707167297103401E-3</v>
      </c>
      <c r="DY31" s="324">
        <f>$I31*IF($G31="Pickup", SUMIFS(NewEmisData!M:M, NewEmisData!$A:$A, "Pickup", NewEmisData!$B:$B, $A31, NewEmisData!$C:$C, $H31, NewEmisData!$D:$D, DY$2), SUMIFS(NewEmisData!M:M, NewEmisData!$A:$A, "LDV", NewEmisData!$B:$B, $A31, NewEmisData!$C:$C, $H31, NewEmisData!$D:$D, DY$2))</f>
        <v>2.5319062605993902E-3</v>
      </c>
      <c r="DZ31" s="324">
        <f t="shared" si="15"/>
        <v>2.5319062605993902E-3</v>
      </c>
      <c r="EA31" s="324">
        <f t="shared" si="16"/>
        <v>437.85746964693402</v>
      </c>
      <c r="EB31" s="324">
        <f t="shared" si="17"/>
        <v>424.609883045034</v>
      </c>
      <c r="EC31" s="324">
        <f t="shared" si="18"/>
        <v>389.26792072260798</v>
      </c>
      <c r="ED31" s="324">
        <f t="shared" si="19"/>
        <v>331.09003080375697</v>
      </c>
      <c r="EE31" s="324">
        <f t="shared" si="20"/>
        <v>286.46929869872997</v>
      </c>
      <c r="EF31" s="324">
        <f t="shared" si="21"/>
        <v>261.33080310252802</v>
      </c>
      <c r="EG31" s="324">
        <f t="shared" si="22"/>
        <v>250.12665030232699</v>
      </c>
      <c r="EH31" s="324">
        <f t="shared" si="23"/>
        <v>246.146486551527</v>
      </c>
      <c r="EI31" s="324">
        <f t="shared" si="24"/>
        <v>244.677818234341</v>
      </c>
      <c r="EJ31" s="324">
        <f t="shared" si="25"/>
        <v>244.677818234341</v>
      </c>
      <c r="EK31" s="324">
        <f t="shared" si="26"/>
        <v>0.78000130642291299</v>
      </c>
      <c r="EL31" s="324">
        <f t="shared" si="27"/>
        <v>0.323605278282381</v>
      </c>
      <c r="EM31" s="324">
        <f t="shared" si="28"/>
        <v>0.19152446532377701</v>
      </c>
      <c r="EN31" s="324">
        <f t="shared" si="29"/>
        <v>0.12537127832280801</v>
      </c>
      <c r="EO31" s="324">
        <f t="shared" si="30"/>
        <v>7.6671766649271E-2</v>
      </c>
      <c r="EP31" s="324">
        <f t="shared" si="31"/>
        <v>5.7019026656941203E-2</v>
      </c>
      <c r="EQ31" s="324">
        <f t="shared" si="32"/>
        <v>4.8823281713844202E-2</v>
      </c>
      <c r="ER31" s="324">
        <f t="shared" si="33"/>
        <v>4.6542407484685501E-2</v>
      </c>
      <c r="ES31" s="324">
        <f t="shared" si="34"/>
        <v>4.5415311435121702E-2</v>
      </c>
      <c r="ET31" s="324">
        <f t="shared" si="35"/>
        <v>4.5415311435121702E-2</v>
      </c>
      <c r="EU31" s="324">
        <f t="shared" si="36"/>
        <v>7.5764719154140002E-3</v>
      </c>
      <c r="EV31" s="324">
        <f t="shared" si="37"/>
        <v>7.3472400077695399E-3</v>
      </c>
      <c r="EW31" s="324">
        <f t="shared" si="38"/>
        <v>5.5842494055705696E-3</v>
      </c>
      <c r="EX31" s="324">
        <f t="shared" si="39"/>
        <v>4.7496587466809804E-3</v>
      </c>
      <c r="EY31" s="324">
        <f t="shared" si="40"/>
        <v>4.1095518958717504E-3</v>
      </c>
      <c r="EZ31" s="324">
        <f t="shared" si="41"/>
        <v>3.7489264773323799E-3</v>
      </c>
      <c r="FA31" s="324">
        <f t="shared" si="42"/>
        <v>3.5881959766524201E-3</v>
      </c>
      <c r="FB31" s="324">
        <f t="shared" si="43"/>
        <v>3.5311006464952199E-3</v>
      </c>
      <c r="FC31" s="324">
        <f t="shared" si="44"/>
        <v>3.5100309709840301E-3</v>
      </c>
      <c r="FD31" s="324">
        <f t="shared" si="45"/>
        <v>3.5100309709840301E-3</v>
      </c>
      <c r="FE31" s="324">
        <f t="shared" si="46"/>
        <v>6.7831755328566196E-2</v>
      </c>
      <c r="FF31" s="324">
        <f t="shared" si="47"/>
        <v>6.3250667156757298E-2</v>
      </c>
      <c r="FG31" s="324">
        <f t="shared" si="48"/>
        <v>6.2628417187727006E-2</v>
      </c>
      <c r="FH31" s="324">
        <f t="shared" si="49"/>
        <v>6.1216981125607202E-2</v>
      </c>
      <c r="FI31" s="324">
        <f t="shared" si="50"/>
        <v>5.9842025439809501E-2</v>
      </c>
      <c r="FJ31" s="324">
        <f t="shared" si="51"/>
        <v>5.8761885691048198E-2</v>
      </c>
      <c r="FK31" s="324">
        <f t="shared" si="52"/>
        <v>5.8072078083983E-2</v>
      </c>
      <c r="FL31" s="324">
        <f t="shared" si="53"/>
        <v>5.7726484266030297E-2</v>
      </c>
      <c r="FM31" s="324">
        <f t="shared" si="54"/>
        <v>5.7530226905323702E-2</v>
      </c>
      <c r="FN31" s="324">
        <f t="shared" si="55"/>
        <v>5.7530226905323702E-2</v>
      </c>
      <c r="FO31" s="324">
        <f t="shared" si="56"/>
        <v>1.8324822567621701E-2</v>
      </c>
      <c r="FP31" s="324">
        <f t="shared" si="57"/>
        <v>1.4272294035055699E-2</v>
      </c>
      <c r="FQ31" s="324">
        <f t="shared" si="58"/>
        <v>1.3165752481838801E-2</v>
      </c>
      <c r="FR31" s="324">
        <f t="shared" si="59"/>
        <v>1.1917194849656599E-2</v>
      </c>
      <c r="FS31" s="324">
        <f t="shared" si="60"/>
        <v>1.0700861948252101E-2</v>
      </c>
      <c r="FT31" s="324">
        <f t="shared" si="61"/>
        <v>9.7453521893521699E-3</v>
      </c>
      <c r="FU31" s="324">
        <f t="shared" si="62"/>
        <v>9.1351470976244707E-3</v>
      </c>
      <c r="FV31" s="324">
        <f t="shared" si="63"/>
        <v>8.8293874131557606E-3</v>
      </c>
      <c r="FW31" s="324">
        <f t="shared" si="64"/>
        <v>8.6558174466142106E-3</v>
      </c>
      <c r="FX31" s="324">
        <f t="shared" si="65"/>
        <v>8.6558174466142106E-3</v>
      </c>
    </row>
    <row r="32" spans="1:180" x14ac:dyDescent="0.2">
      <c r="A32" s="298" t="str">
        <f>_xlfn.CONCAT(IF(LEFT(TRIM(A31),1)="*", "*R", "R"), 1+RIGHT(TRIM(A31),1))</f>
        <v>R4</v>
      </c>
      <c r="B32" s="298" t="str">
        <f t="shared" si="86"/>
        <v>TLESSGSL</v>
      </c>
      <c r="C32" s="298" t="str">
        <f t="shared" si="87"/>
        <v>TL.GSL.SS.Existing fleet</v>
      </c>
      <c r="D32" s="294" t="str">
        <f t="shared" si="88"/>
        <v>bn-vmt, bn-vmt/a</v>
      </c>
      <c r="E32" s="294" t="str">
        <f t="shared" si="89"/>
        <v>TLGSL</v>
      </c>
      <c r="F32" s="294" t="str">
        <f t="shared" si="90"/>
        <v>TL</v>
      </c>
      <c r="G32" s="294" t="s">
        <v>424</v>
      </c>
      <c r="H32" s="294" t="s">
        <v>474</v>
      </c>
      <c r="I32" s="294">
        <v>1</v>
      </c>
      <c r="J32" s="308" t="str">
        <f t="shared" si="2"/>
        <v>Small SUV-GSL</v>
      </c>
      <c r="K32" s="324">
        <f>$I32*IF($G32="Pickup", SUMIFS(NewEmisData!E:E, NewEmisData!$A:$A, "Pickup", NewEmisData!$B:$B, $A32, NewEmisData!$C:$C, $H32, NewEmisData!$D:$D, K$2), SUMIFS(NewEmisData!E:E, NewEmisData!$A:$A, "LDV", NewEmisData!$B:$B, $A32, NewEmisData!$C:$C, $H32, NewEmisData!$D:$D, K$2))</f>
        <v>605.35194063093002</v>
      </c>
      <c r="L32" s="324">
        <f>$I32*IF($G32="Pickup", SUMIFS(NewEmisData!F:F, NewEmisData!$A:$A, "Pickup", NewEmisData!$B:$B, $A32, NewEmisData!$C:$C, $H32, NewEmisData!$D:$D, L$2), SUMIFS(NewEmisData!F:F, NewEmisData!$A:$A, "LDV", NewEmisData!$B:$B, $A32, NewEmisData!$C:$C, $H32, NewEmisData!$D:$D, L$2))</f>
        <v>575.43677827742204</v>
      </c>
      <c r="M32" s="324">
        <f>$I32*IF($G32="Pickup", SUMIFS(NewEmisData!G:G, NewEmisData!$A:$A, "Pickup", NewEmisData!$B:$B, $A32, NewEmisData!$C:$C, $H32, NewEmisData!$D:$D, M$2), SUMIFS(NewEmisData!G:G, NewEmisData!$A:$A, "LDV", NewEmisData!$B:$B, $A32, NewEmisData!$C:$C, $H32, NewEmisData!$D:$D, M$2))</f>
        <v>447.50306541281799</v>
      </c>
      <c r="N32" s="324">
        <f>$I32*IF($G32="Pickup", SUMIFS(NewEmisData!H:H, NewEmisData!$A:$A, "Pickup", NewEmisData!$B:$B, $A32, NewEmisData!$C:$C, $H32, NewEmisData!$D:$D, N$2), SUMIFS(NewEmisData!H:H, NewEmisData!$A:$A, "LDV", NewEmisData!$B:$B, $A32, NewEmisData!$C:$C, $H32, NewEmisData!$D:$D, N$2))</f>
        <v>380.32748601406797</v>
      </c>
      <c r="O32" s="324">
        <f>$I32*IF($G32="Pickup", SUMIFS(NewEmisData!I:I, NewEmisData!$A:$A, "Pickup", NewEmisData!$B:$B, $A32, NewEmisData!$C:$C, $H32, NewEmisData!$D:$D, O$2), SUMIFS(NewEmisData!I:I, NewEmisData!$A:$A, "LDV", NewEmisData!$B:$B, $A32, NewEmisData!$C:$C, $H32, NewEmisData!$D:$D, O$2))</f>
        <v>328.8508655947</v>
      </c>
      <c r="P32" s="324">
        <f>$I32*IF($G32="Pickup", SUMIFS(NewEmisData!J:J, NewEmisData!$A:$A, "Pickup", NewEmisData!$B:$B, $A32, NewEmisData!$C:$C, $H32, NewEmisData!$D:$D, P$2), SUMIFS(NewEmisData!J:J, NewEmisData!$A:$A, "LDV", NewEmisData!$B:$B, $A32, NewEmisData!$C:$C, $H32, NewEmisData!$D:$D, P$2))</f>
        <v>299.87343037562698</v>
      </c>
      <c r="Q32" s="324">
        <f>$I32*IF($G32="Pickup", SUMIFS(NewEmisData!K:K, NewEmisData!$A:$A, "Pickup", NewEmisData!$B:$B, $A32, NewEmisData!$C:$C, $H32, NewEmisData!$D:$D, Q$2), SUMIFS(NewEmisData!K:K, NewEmisData!$A:$A, "LDV", NewEmisData!$B:$B, $A32, NewEmisData!$C:$C, $H32, NewEmisData!$D:$D, Q$2))</f>
        <v>286.96645721008798</v>
      </c>
      <c r="R32" s="324">
        <f>$I32*IF($G32="Pickup", SUMIFS(NewEmisData!L:L, NewEmisData!$A:$A, "Pickup", NewEmisData!$B:$B, $A32, NewEmisData!$C:$C, $H32, NewEmisData!$D:$D, R$2), SUMIFS(NewEmisData!L:L, NewEmisData!$A:$A, "LDV", NewEmisData!$B:$B, $A32, NewEmisData!$C:$C, $H32, NewEmisData!$D:$D, R$2))</f>
        <v>282.38592098475101</v>
      </c>
      <c r="S32" s="324">
        <f>$I32*IF($G32="Pickup", SUMIFS(NewEmisData!M:M, NewEmisData!$A:$A, "Pickup", NewEmisData!$B:$B, $A32, NewEmisData!$C:$C, $H32, NewEmisData!$D:$D, S$2), SUMIFS(NewEmisData!M:M, NewEmisData!$A:$A, "LDV", NewEmisData!$B:$B, $A32, NewEmisData!$C:$C, $H32, NewEmisData!$D:$D, S$2))</f>
        <v>280.69816184937503</v>
      </c>
      <c r="T32" s="324">
        <f t="shared" si="5"/>
        <v>280.69816184937503</v>
      </c>
      <c r="U32" s="324">
        <f>$I32*IF($G32="Pickup", SUMIFS(NewEmisData!E:E, NewEmisData!$A:$A, "Pickup", NewEmisData!$B:$B, $A32, NewEmisData!$C:$C, $H32, NewEmisData!$D:$D, U$2), SUMIFS(NewEmisData!E:E, NewEmisData!$A:$A, "LDV", NewEmisData!$B:$B, $A32, NewEmisData!$C:$C, $H32, NewEmisData!$D:$D, U$2))</f>
        <v>0.73999493628111201</v>
      </c>
      <c r="V32" s="324">
        <f>$I32*IF($G32="Pickup", SUMIFS(NewEmisData!F:F, NewEmisData!$A:$A, "Pickup", NewEmisData!$B:$B, $A32, NewEmisData!$C:$C, $H32, NewEmisData!$D:$D, V$2), SUMIFS(NewEmisData!F:F, NewEmisData!$A:$A, "LDV", NewEmisData!$B:$B, $A32, NewEmisData!$C:$C, $H32, NewEmisData!$D:$D, V$2))</f>
        <v>0.35335240075773999</v>
      </c>
      <c r="W32" s="324">
        <f>$I32*IF($G32="Pickup", SUMIFS(NewEmisData!G:G, NewEmisData!$A:$A, "Pickup", NewEmisData!$B:$B, $A32, NewEmisData!$C:$C, $H32, NewEmisData!$D:$D, W$2), SUMIFS(NewEmisData!G:G, NewEmisData!$A:$A, "LDV", NewEmisData!$B:$B, $A32, NewEmisData!$C:$C, $H32, NewEmisData!$D:$D, W$2))</f>
        <v>0.18897755292818599</v>
      </c>
      <c r="X32" s="324">
        <f>$I32*IF($G32="Pickup", SUMIFS(NewEmisData!H:H, NewEmisData!$A:$A, "Pickup", NewEmisData!$B:$B, $A32, NewEmisData!$C:$C, $H32, NewEmisData!$D:$D, X$2), SUMIFS(NewEmisData!H:H, NewEmisData!$A:$A, "LDV", NewEmisData!$B:$B, $A32, NewEmisData!$C:$C, $H32, NewEmisData!$D:$D, X$2))</f>
        <v>0.12218817840455801</v>
      </c>
      <c r="Y32" s="324">
        <f>$I32*IF($G32="Pickup", SUMIFS(NewEmisData!I:I, NewEmisData!$A:$A, "Pickup", NewEmisData!$B:$B, $A32, NewEmisData!$C:$C, $H32, NewEmisData!$D:$D, Y$2), SUMIFS(NewEmisData!I:I, NewEmisData!$A:$A, "LDV", NewEmisData!$B:$B, $A32, NewEmisData!$C:$C, $H32, NewEmisData!$D:$D, Y$2))</f>
        <v>7.3060825114572805E-2</v>
      </c>
      <c r="Z32" s="324">
        <f>$I32*IF($G32="Pickup", SUMIFS(NewEmisData!J:J, NewEmisData!$A:$A, "Pickup", NewEmisData!$B:$B, $A32, NewEmisData!$C:$C, $H32, NewEmisData!$D:$D, Z$2), SUMIFS(NewEmisData!J:J, NewEmisData!$A:$A, "LDV", NewEmisData!$B:$B, $A32, NewEmisData!$C:$C, $H32, NewEmisData!$D:$D, Z$2))</f>
        <v>5.3764321341730301E-2</v>
      </c>
      <c r="AA32" s="324">
        <f>$I32*IF($G32="Pickup", SUMIFS(NewEmisData!K:K, NewEmisData!$A:$A, "Pickup", NewEmisData!$B:$B, $A32, NewEmisData!$C:$C, $H32, NewEmisData!$D:$D, AA$2), SUMIFS(NewEmisData!K:K, NewEmisData!$A:$A, "LDV", NewEmisData!$B:$B, $A32, NewEmisData!$C:$C, $H32, NewEmisData!$D:$D, AA$2))</f>
        <v>4.5765873698397498E-2</v>
      </c>
      <c r="AB32" s="324">
        <f>$I32*IF($G32="Pickup", SUMIFS(NewEmisData!L:L, NewEmisData!$A:$A, "Pickup", NewEmisData!$B:$B, $A32, NewEmisData!$C:$C, $H32, NewEmisData!$D:$D, AB$2), SUMIFS(NewEmisData!L:L, NewEmisData!$A:$A, "LDV", NewEmisData!$B:$B, $A32, NewEmisData!$C:$C, $H32, NewEmisData!$D:$D, AB$2))</f>
        <v>4.3548109073897001E-2</v>
      </c>
      <c r="AC32" s="324">
        <f>$I32*IF($G32="Pickup", SUMIFS(NewEmisData!M:M, NewEmisData!$A:$A, "Pickup", NewEmisData!$B:$B, $A32, NewEmisData!$C:$C, $H32, NewEmisData!$D:$D, AC$2), SUMIFS(NewEmisData!M:M, NewEmisData!$A:$A, "LDV", NewEmisData!$B:$B, $A32, NewEmisData!$C:$C, $H32, NewEmisData!$D:$D, AC$2))</f>
        <v>4.24609775043936E-2</v>
      </c>
      <c r="AD32" s="324">
        <f t="shared" si="6"/>
        <v>4.24609775043936E-2</v>
      </c>
      <c r="AE32" s="324">
        <f>$I32*IF($G32="Pickup", SUMIFS(NewEmisData!E:E, NewEmisData!$A:$A, "Pickup", NewEmisData!$B:$B, $A32, NewEmisData!$C:$C, $H32, NewEmisData!$D:$D, AE$2), SUMIFS(NewEmisData!E:E, NewEmisData!$A:$A, "LDV", NewEmisData!$B:$B, $A32, NewEmisData!$C:$C, $H32, NewEmisData!$D:$D, AE$2))</f>
        <v>1.04747160569124E-2</v>
      </c>
      <c r="AF32" s="324">
        <f>$I32*IF($G32="Pickup", SUMIFS(NewEmisData!F:F, NewEmisData!$A:$A, "Pickup", NewEmisData!$B:$B, $A32, NewEmisData!$C:$C, $H32, NewEmisData!$D:$D, AF$2), SUMIFS(NewEmisData!F:F, NewEmisData!$A:$A, "LDV", NewEmisData!$B:$B, $A32, NewEmisData!$C:$C, $H32, NewEmisData!$D:$D, AF$2))</f>
        <v>9.9570764799691708E-3</v>
      </c>
      <c r="AG32" s="324">
        <f>$I32*IF($G32="Pickup", SUMIFS(NewEmisData!G:G, NewEmisData!$A:$A, "Pickup", NewEmisData!$B:$B, $A32, NewEmisData!$C:$C, $H32, NewEmisData!$D:$D, AG$2), SUMIFS(NewEmisData!G:G, NewEmisData!$A:$A, "LDV", NewEmisData!$B:$B, $A32, NewEmisData!$C:$C, $H32, NewEmisData!$D:$D, AG$2))</f>
        <v>6.4196648888919499E-3</v>
      </c>
      <c r="AH32" s="324">
        <f>$I32*IF($G32="Pickup", SUMIFS(NewEmisData!H:H, NewEmisData!$A:$A, "Pickup", NewEmisData!$B:$B, $A32, NewEmisData!$C:$C, $H32, NewEmisData!$D:$D, AH$2), SUMIFS(NewEmisData!H:H, NewEmisData!$A:$A, "LDV", NewEmisData!$B:$B, $A32, NewEmisData!$C:$C, $H32, NewEmisData!$D:$D, AH$2))</f>
        <v>5.45599526494426E-3</v>
      </c>
      <c r="AI32" s="324">
        <f>$I32*IF($G32="Pickup", SUMIFS(NewEmisData!I:I, NewEmisData!$A:$A, "Pickup", NewEmisData!$B:$B, $A32, NewEmisData!$C:$C, $H32, NewEmisData!$D:$D, AI$2), SUMIFS(NewEmisData!I:I, NewEmisData!$A:$A, "LDV", NewEmisData!$B:$B, $A32, NewEmisData!$C:$C, $H32, NewEmisData!$D:$D, AI$2))</f>
        <v>4.7175365225731996E-3</v>
      </c>
      <c r="AJ32" s="324">
        <f>$I32*IF($G32="Pickup", SUMIFS(NewEmisData!J:J, NewEmisData!$A:$A, "Pickup", NewEmisData!$B:$B, $A32, NewEmisData!$C:$C, $H32, NewEmisData!$D:$D, AJ$2), SUMIFS(NewEmisData!J:J, NewEmisData!$A:$A, "LDV", NewEmisData!$B:$B, $A32, NewEmisData!$C:$C, $H32, NewEmisData!$D:$D, AJ$2))</f>
        <v>4.3018391726363297E-3</v>
      </c>
      <c r="AK32" s="324">
        <f>$I32*IF($G32="Pickup", SUMIFS(NewEmisData!K:K, NewEmisData!$A:$A, "Pickup", NewEmisData!$B:$B, $A32, NewEmisData!$C:$C, $H32, NewEmisData!$D:$D, AK$2), SUMIFS(NewEmisData!K:K, NewEmisData!$A:$A, "LDV", NewEmisData!$B:$B, $A32, NewEmisData!$C:$C, $H32, NewEmisData!$D:$D, AK$2))</f>
        <v>4.1166816404986702E-3</v>
      </c>
      <c r="AL32" s="324">
        <f>$I32*IF($G32="Pickup", SUMIFS(NewEmisData!L:L, NewEmisData!$A:$A, "Pickup", NewEmisData!$B:$B, $A32, NewEmisData!$C:$C, $H32, NewEmisData!$D:$D, AL$2), SUMIFS(NewEmisData!L:L, NewEmisData!$A:$A, "LDV", NewEmisData!$B:$B, $A32, NewEmisData!$C:$C, $H32, NewEmisData!$D:$D, AL$2))</f>
        <v>4.0509726462172697E-3</v>
      </c>
      <c r="AM32" s="324">
        <f>$I32*IF($G32="Pickup", SUMIFS(NewEmisData!M:M, NewEmisData!$A:$A, "Pickup", NewEmisData!$B:$B, $A32, NewEmisData!$C:$C, $H32, NewEmisData!$D:$D, AM$2), SUMIFS(NewEmisData!M:M, NewEmisData!$A:$A, "LDV", NewEmisData!$B:$B, $A32, NewEmisData!$C:$C, $H32, NewEmisData!$D:$D, AM$2))</f>
        <v>4.0267596573162799E-3</v>
      </c>
      <c r="AN32" s="324">
        <f t="shared" si="7"/>
        <v>4.0267596573162799E-3</v>
      </c>
      <c r="AO32" s="324">
        <f>$I32*IF($G32="Pickup", SUMIFS(NewEmisData!E:E, NewEmisData!$A:$A, "Pickup", NewEmisData!$B:$B, $A32, NewEmisData!$C:$C, $H32, NewEmisData!$D:$D, AO$2), SUMIFS(NewEmisData!E:E, NewEmisData!$A:$A, "LDV", NewEmisData!$B:$B, $A32, NewEmisData!$C:$C, $H32, NewEmisData!$D:$D, AO$2))</f>
        <v>0.112529836649977</v>
      </c>
      <c r="AP32" s="324">
        <f>$I32*IF($G32="Pickup", SUMIFS(NewEmisData!F:F, NewEmisData!$A:$A, "Pickup", NewEmisData!$B:$B, $A32, NewEmisData!$C:$C, $H32, NewEmisData!$D:$D, AP$2), SUMIFS(NewEmisData!F:F, NewEmisData!$A:$A, "LDV", NewEmisData!$B:$B, $A32, NewEmisData!$C:$C, $H32, NewEmisData!$D:$D, AP$2))</f>
        <v>0.103764807432247</v>
      </c>
      <c r="AQ32" s="324">
        <f>$I32*IF($G32="Pickup", SUMIFS(NewEmisData!G:G, NewEmisData!$A:$A, "Pickup", NewEmisData!$B:$B, $A32, NewEmisData!$C:$C, $H32, NewEmisData!$D:$D, AQ$2), SUMIFS(NewEmisData!G:G, NewEmisData!$A:$A, "LDV", NewEmisData!$B:$B, $A32, NewEmisData!$C:$C, $H32, NewEmisData!$D:$D, AQ$2))</f>
        <v>8.1904009889209095E-2</v>
      </c>
      <c r="AR32" s="324">
        <f>$I32*IF($G32="Pickup", SUMIFS(NewEmisData!H:H, NewEmisData!$A:$A, "Pickup", NewEmisData!$B:$B, $A32, NewEmisData!$C:$C, $H32, NewEmisData!$D:$D, AR$2), SUMIFS(NewEmisData!H:H, NewEmisData!$A:$A, "LDV", NewEmisData!$B:$B, $A32, NewEmisData!$C:$C, $H32, NewEmisData!$D:$D, AR$2))</f>
        <v>8.0372811122020202E-2</v>
      </c>
      <c r="AS32" s="324">
        <f>$I32*IF($G32="Pickup", SUMIFS(NewEmisData!I:I, NewEmisData!$A:$A, "Pickup", NewEmisData!$B:$B, $A32, NewEmisData!$C:$C, $H32, NewEmisData!$D:$D, AS$2), SUMIFS(NewEmisData!I:I, NewEmisData!$A:$A, "LDV", NewEmisData!$B:$B, $A32, NewEmisData!$C:$C, $H32, NewEmisData!$D:$D, AS$2))</f>
        <v>7.8826850839141593E-2</v>
      </c>
      <c r="AT32" s="324">
        <f>$I32*IF($G32="Pickup", SUMIFS(NewEmisData!J:J, NewEmisData!$A:$A, "Pickup", NewEmisData!$B:$B, $A32, NewEmisData!$C:$C, $H32, NewEmisData!$D:$D, AT$2), SUMIFS(NewEmisData!J:J, NewEmisData!$A:$A, "LDV", NewEmisData!$B:$B, $A32, NewEmisData!$C:$C, $H32, NewEmisData!$D:$D, AT$2))</f>
        <v>7.7629471627150906E-2</v>
      </c>
      <c r="AU32" s="324">
        <f>$I32*IF($G32="Pickup", SUMIFS(NewEmisData!K:K, NewEmisData!$A:$A, "Pickup", NewEmisData!$B:$B, $A32, NewEmisData!$C:$C, $H32, NewEmisData!$D:$D, AU$2), SUMIFS(NewEmisData!K:K, NewEmisData!$A:$A, "LDV", NewEmisData!$B:$B, $A32, NewEmisData!$C:$C, $H32, NewEmisData!$D:$D, AU$2))</f>
        <v>7.6869255276324197E-2</v>
      </c>
      <c r="AV32" s="324">
        <f>$I32*IF($G32="Pickup", SUMIFS(NewEmisData!L:L, NewEmisData!$A:$A, "Pickup", NewEmisData!$B:$B, $A32, NewEmisData!$C:$C, $H32, NewEmisData!$D:$D, AV$2), SUMIFS(NewEmisData!L:L, NewEmisData!$A:$A, "LDV", NewEmisData!$B:$B, $A32, NewEmisData!$C:$C, $H32, NewEmisData!$D:$D, AV$2))</f>
        <v>7.6489801218608905E-2</v>
      </c>
      <c r="AW32" s="324">
        <f>$I32*IF($G32="Pickup", SUMIFS(NewEmisData!M:M, NewEmisData!$A:$A, "Pickup", NewEmisData!$B:$B, $A32, NewEmisData!$C:$C, $H32, NewEmisData!$D:$D, AW$2), SUMIFS(NewEmisData!M:M, NewEmisData!$A:$A, "LDV", NewEmisData!$B:$B, $A32, NewEmisData!$C:$C, $H32, NewEmisData!$D:$D, AW$2))</f>
        <v>7.6275890012832595E-2</v>
      </c>
      <c r="AX32" s="324">
        <f t="shared" si="8"/>
        <v>7.6275890012832595E-2</v>
      </c>
      <c r="AY32" s="324">
        <f>$I32*IF($G32="Pickup", SUMIFS(NewEmisData!E:E, NewEmisData!$A:$A, "Pickup", NewEmisData!$B:$B, $A32, NewEmisData!$C:$C, $H32, NewEmisData!$D:$D, AY$2), SUMIFS(NewEmisData!E:E, NewEmisData!$A:$A, "LDV", NewEmisData!$B:$B, $A32, NewEmisData!$C:$C, $H32, NewEmisData!$D:$D, AY$2))</f>
        <v>2.93140110896879E-2</v>
      </c>
      <c r="AZ32" s="324">
        <f>$I32*IF($G32="Pickup", SUMIFS(NewEmisData!F:F, NewEmisData!$A:$A, "Pickup", NewEmisData!$B:$B, $A32, NewEmisData!$C:$C, $H32, NewEmisData!$D:$D, AZ$2), SUMIFS(NewEmisData!F:F, NewEmisData!$A:$A, "LDV", NewEmisData!$B:$B, $A32, NewEmisData!$C:$C, $H32, NewEmisData!$D:$D, AZ$2))</f>
        <v>2.15603319614842E-2</v>
      </c>
      <c r="BA32" s="324">
        <f>$I32*IF($G32="Pickup", SUMIFS(NewEmisData!G:G, NewEmisData!$A:$A, "Pickup", NewEmisData!$B:$B, $A32, NewEmisData!$C:$C, $H32, NewEmisData!$D:$D, BA$2), SUMIFS(NewEmisData!G:G, NewEmisData!$A:$A, "LDV", NewEmisData!$B:$B, $A32, NewEmisData!$C:$C, $H32, NewEmisData!$D:$D, BA$2))</f>
        <v>1.61359542510712E-2</v>
      </c>
      <c r="BB32" s="324">
        <f>$I32*IF($G32="Pickup", SUMIFS(NewEmisData!H:H, NewEmisData!$A:$A, "Pickup", NewEmisData!$B:$B, $A32, NewEmisData!$C:$C, $H32, NewEmisData!$D:$D, BB$2), SUMIFS(NewEmisData!H:H, NewEmisData!$A:$A, "LDV", NewEmisData!$B:$B, $A32, NewEmisData!$C:$C, $H32, NewEmisData!$D:$D, BB$2))</f>
        <v>1.4781439172223E-2</v>
      </c>
      <c r="BC32" s="324">
        <f>$I32*IF($G32="Pickup", SUMIFS(NewEmisData!I:I, NewEmisData!$A:$A, "Pickup", NewEmisData!$B:$B, $A32, NewEmisData!$C:$C, $H32, NewEmisData!$D:$D, BC$2), SUMIFS(NewEmisData!I:I, NewEmisData!$A:$A, "LDV", NewEmisData!$B:$B, $A32, NewEmisData!$C:$C, $H32, NewEmisData!$D:$D, BC$2))</f>
        <v>1.3413837806436801E-2</v>
      </c>
      <c r="BD32" s="324">
        <f>$I32*IF($G32="Pickup", SUMIFS(NewEmisData!J:J, NewEmisData!$A:$A, "Pickup", NewEmisData!$B:$B, $A32, NewEmisData!$C:$C, $H32, NewEmisData!$D:$D, BD$2), SUMIFS(NewEmisData!J:J, NewEmisData!$A:$A, "LDV", NewEmisData!$B:$B, $A32, NewEmisData!$C:$C, $H32, NewEmisData!$D:$D, BD$2))</f>
        <v>1.2354573478352299E-2</v>
      </c>
      <c r="BE32" s="324">
        <f>$I32*IF($G32="Pickup", SUMIFS(NewEmisData!K:K, NewEmisData!$A:$A, "Pickup", NewEmisData!$B:$B, $A32, NewEmisData!$C:$C, $H32, NewEmisData!$D:$D, BE$2), SUMIFS(NewEmisData!K:K, NewEmisData!$A:$A, "LDV", NewEmisData!$B:$B, $A32, NewEmisData!$C:$C, $H32, NewEmisData!$D:$D, BE$2))</f>
        <v>1.16820653404197E-2</v>
      </c>
      <c r="BF32" s="324">
        <f>$I32*IF($G32="Pickup", SUMIFS(NewEmisData!L:L, NewEmisData!$A:$A, "Pickup", NewEmisData!$B:$B, $A32, NewEmisData!$C:$C, $H32, NewEmisData!$D:$D, BF$2), SUMIFS(NewEmisData!L:L, NewEmisData!$A:$A, "LDV", NewEmisData!$B:$B, $A32, NewEmisData!$C:$C, $H32, NewEmisData!$D:$D, BF$2))</f>
        <v>1.13463459698093E-2</v>
      </c>
      <c r="BG32" s="324">
        <f>$I32*IF($G32="Pickup", SUMIFS(NewEmisData!M:M, NewEmisData!$A:$A, "Pickup", NewEmisData!$B:$B, $A32, NewEmisData!$C:$C, $H32, NewEmisData!$D:$D, BG$2), SUMIFS(NewEmisData!M:M, NewEmisData!$A:$A, "LDV", NewEmisData!$B:$B, $A32, NewEmisData!$C:$C, $H32, NewEmisData!$D:$D, BG$2))</f>
        <v>1.1157149268450401E-2</v>
      </c>
      <c r="BH32" s="324">
        <f t="shared" si="9"/>
        <v>1.1157149268450401E-2</v>
      </c>
      <c r="BI32" s="324">
        <f>$I32*IF($G32="Pickup", SUMIFS(NewEmisData!E:E, NewEmisData!$A:$A, "Pickup", NewEmisData!$B:$B, $A32, NewEmisData!$C:$C, $H32, NewEmisData!$D:$D, BI$2), SUMIFS(NewEmisData!E:E, NewEmisData!$A:$A, "LDV", NewEmisData!$B:$B, $A32, NewEmisData!$C:$C, $H32, NewEmisData!$D:$D, BI$2))</f>
        <v>7.7707306410078001</v>
      </c>
      <c r="BJ32" s="324">
        <f>$I32*IF($G32="Pickup", SUMIFS(NewEmisData!F:F, NewEmisData!$A:$A, "Pickup", NewEmisData!$B:$B, $A32, NewEmisData!$C:$C, $H32, NewEmisData!$D:$D, BJ$2), SUMIFS(NewEmisData!F:F, NewEmisData!$A:$A, "LDV", NewEmisData!$B:$B, $A32, NewEmisData!$C:$C, $H32, NewEmisData!$D:$D, BJ$2))</f>
        <v>4.4247869376442202</v>
      </c>
      <c r="BK32" s="324">
        <f>$I32*IF($G32="Pickup", SUMIFS(NewEmisData!G:G, NewEmisData!$A:$A, "Pickup", NewEmisData!$B:$B, $A32, NewEmisData!$C:$C, $H32, NewEmisData!$D:$D, BK$2), SUMIFS(NewEmisData!G:G, NewEmisData!$A:$A, "LDV", NewEmisData!$B:$B, $A32, NewEmisData!$C:$C, $H32, NewEmisData!$D:$D, BK$2))</f>
        <v>2.6540717659073501</v>
      </c>
      <c r="BL32" s="324">
        <f>$I32*IF($G32="Pickup", SUMIFS(NewEmisData!H:H, NewEmisData!$A:$A, "Pickup", NewEmisData!$B:$B, $A32, NewEmisData!$C:$C, $H32, NewEmisData!$D:$D, BL$2), SUMIFS(NewEmisData!H:H, NewEmisData!$A:$A, "LDV", NewEmisData!$B:$B, $A32, NewEmisData!$C:$C, $H32, NewEmisData!$D:$D, BL$2))</f>
        <v>2.0604732381170998</v>
      </c>
      <c r="BM32" s="324">
        <f>$I32*IF($G32="Pickup", SUMIFS(NewEmisData!I:I, NewEmisData!$A:$A, "Pickup", NewEmisData!$B:$B, $A32, NewEmisData!$C:$C, $H32, NewEmisData!$D:$D, BM$2), SUMIFS(NewEmisData!I:I, NewEmisData!$A:$A, "LDV", NewEmisData!$B:$B, $A32, NewEmisData!$C:$C, $H32, NewEmisData!$D:$D, BM$2))</f>
        <v>1.4768702583128299</v>
      </c>
      <c r="BN32" s="324">
        <f>$I32*IF($G32="Pickup", SUMIFS(NewEmisData!J:J, NewEmisData!$A:$A, "Pickup", NewEmisData!$B:$B, $A32, NewEmisData!$C:$C, $H32, NewEmisData!$D:$D, BN$2), SUMIFS(NewEmisData!J:J, NewEmisData!$A:$A, "LDV", NewEmisData!$B:$B, $A32, NewEmisData!$C:$C, $H32, NewEmisData!$D:$D, BN$2))</f>
        <v>1.1597745551704699</v>
      </c>
      <c r="BO32" s="324">
        <f>$I32*IF($G32="Pickup", SUMIFS(NewEmisData!K:K, NewEmisData!$A:$A, "Pickup", NewEmisData!$B:$B, $A32, NewEmisData!$C:$C, $H32, NewEmisData!$D:$D, BO$2), SUMIFS(NewEmisData!K:K, NewEmisData!$A:$A, "LDV", NewEmisData!$B:$B, $A32, NewEmisData!$C:$C, $H32, NewEmisData!$D:$D, BO$2))</f>
        <v>1.01795642585422</v>
      </c>
      <c r="BP32" s="324">
        <f>$I32*IF($G32="Pickup", SUMIFS(NewEmisData!L:L, NewEmisData!$A:$A, "Pickup", NewEmisData!$B:$B, $A32, NewEmisData!$C:$C, $H32, NewEmisData!$D:$D, BP$2), SUMIFS(NewEmisData!L:L, NewEmisData!$A:$A, "LDV", NewEmisData!$B:$B, $A32, NewEmisData!$C:$C, $H32, NewEmisData!$D:$D, BP$2))</f>
        <v>0.97243111781319103</v>
      </c>
      <c r="BQ32" s="324">
        <f>$I32*IF($G32="Pickup", SUMIFS(NewEmisData!M:M, NewEmisData!$A:$A, "Pickup", NewEmisData!$B:$B, $A32, NewEmisData!$C:$C, $H32, NewEmisData!$D:$D, BQ$2), SUMIFS(NewEmisData!M:M, NewEmisData!$A:$A, "LDV", NewEmisData!$B:$B, $A32, NewEmisData!$C:$C, $H32, NewEmisData!$D:$D, BQ$2))</f>
        <v>0.94396289100680397</v>
      </c>
      <c r="BR32" s="324">
        <f t="shared" si="10"/>
        <v>0.94396289100680397</v>
      </c>
      <c r="BS32" s="324">
        <f>$I32*IF($G32="Pickup", SUMIFS(NewEmisData!E:E, NewEmisData!$A:$A, "Pickup", NewEmisData!$B:$B, $A32, NewEmisData!$C:$C, $H32, NewEmisData!$D:$D, BS$2), SUMIFS(NewEmisData!E:E, NewEmisData!$A:$A, "LDV", NewEmisData!$B:$B, $A32, NewEmisData!$C:$C, $H32, NewEmisData!$D:$D, BS$2))</f>
        <v>0.868939523792984</v>
      </c>
      <c r="BT32" s="324">
        <f>$I32*IF($G32="Pickup", SUMIFS(NewEmisData!F:F, NewEmisData!$A:$A, "Pickup", NewEmisData!$B:$B, $A32, NewEmisData!$C:$C, $H32, NewEmisData!$D:$D, BT$2), SUMIFS(NewEmisData!F:F, NewEmisData!$A:$A, "LDV", NewEmisData!$B:$B, $A32, NewEmisData!$C:$C, $H32, NewEmisData!$D:$D, BT$2))</f>
        <v>0.46984846516954898</v>
      </c>
      <c r="BU32" s="324">
        <f>$I32*IF($G32="Pickup", SUMIFS(NewEmisData!G:G, NewEmisData!$A:$A, "Pickup", NewEmisData!$B:$B, $A32, NewEmisData!$C:$C, $H32, NewEmisData!$D:$D, BU$2), SUMIFS(NewEmisData!G:G, NewEmisData!$A:$A, "LDV", NewEmisData!$B:$B, $A32, NewEmisData!$C:$C, $H32, NewEmisData!$D:$D, BU$2))</f>
        <v>0.25380786816335299</v>
      </c>
      <c r="BV32" s="324">
        <f>$I32*IF($G32="Pickup", SUMIFS(NewEmisData!H:H, NewEmisData!$A:$A, "Pickup", NewEmisData!$B:$B, $A32, NewEmisData!$C:$C, $H32, NewEmisData!$D:$D, BV$2), SUMIFS(NewEmisData!H:H, NewEmisData!$A:$A, "LDV", NewEmisData!$B:$B, $A32, NewEmisData!$C:$C, $H32, NewEmisData!$D:$D, BV$2))</f>
        <v>0.20500079484657399</v>
      </c>
      <c r="BW32" s="324">
        <f>$I32*IF($G32="Pickup", SUMIFS(NewEmisData!I:I, NewEmisData!$A:$A, "Pickup", NewEmisData!$B:$B, $A32, NewEmisData!$C:$C, $H32, NewEmisData!$D:$D, BW$2), SUMIFS(NewEmisData!I:I, NewEmisData!$A:$A, "LDV", NewEmisData!$B:$B, $A32, NewEmisData!$C:$C, $H32, NewEmisData!$D:$D, BW$2))</f>
        <v>0.15182918417959501</v>
      </c>
      <c r="BX32" s="324">
        <f>$I32*IF($G32="Pickup", SUMIFS(NewEmisData!J:J, NewEmisData!$A:$A, "Pickup", NewEmisData!$B:$B, $A32, NewEmisData!$C:$C, $H32, NewEmisData!$D:$D, BX$2), SUMIFS(NewEmisData!J:J, NewEmisData!$A:$A, "LDV", NewEmisData!$B:$B, $A32, NewEmisData!$C:$C, $H32, NewEmisData!$D:$D, BX$2))</f>
        <v>0.12865137268893501</v>
      </c>
      <c r="BY32" s="324">
        <f>$I32*IF($G32="Pickup", SUMIFS(NewEmisData!K:K, NewEmisData!$A:$A, "Pickup", NewEmisData!$B:$B, $A32, NewEmisData!$C:$C, $H32, NewEmisData!$D:$D, BY$2), SUMIFS(NewEmisData!K:K, NewEmisData!$A:$A, "LDV", NewEmisData!$B:$B, $A32, NewEmisData!$C:$C, $H32, NewEmisData!$D:$D, BY$2))</f>
        <v>0.11591502454704899</v>
      </c>
      <c r="BZ32" s="324">
        <f>$I32*IF($G32="Pickup", SUMIFS(NewEmisData!L:L, NewEmisData!$A:$A, "Pickup", NewEmisData!$B:$B, $A32, NewEmisData!$C:$C, $H32, NewEmisData!$D:$D, BZ$2), SUMIFS(NewEmisData!L:L, NewEmisData!$A:$A, "LDV", NewEmisData!$B:$B, $A32, NewEmisData!$C:$C, $H32, NewEmisData!$D:$D, BZ$2))</f>
        <v>0.110951334785302</v>
      </c>
      <c r="CA32" s="324">
        <f>$I32*IF($G32="Pickup", SUMIFS(NewEmisData!M:M, NewEmisData!$A:$A, "Pickup", NewEmisData!$B:$B, $A32, NewEmisData!$C:$C, $H32, NewEmisData!$D:$D, CA$2), SUMIFS(NewEmisData!M:M, NewEmisData!$A:$A, "LDV", NewEmisData!$B:$B, $A32, NewEmisData!$C:$C, $H32, NewEmisData!$D:$D, CA$2))</f>
        <v>0.10699337260583799</v>
      </c>
      <c r="CB32" s="324">
        <f t="shared" si="11"/>
        <v>0.10699337260583799</v>
      </c>
      <c r="CC32" s="324">
        <f>$I32*IF($G32="Pickup", SUMIFS(NewEmisData!E:E, NewEmisData!$A:$A, "Pickup", NewEmisData!$B:$B, $A32, NewEmisData!$C:$C, $H32, NewEmisData!$D:$D, CC$2), SUMIFS(NewEmisData!E:E, NewEmisData!$A:$A, "LDV", NewEmisData!$B:$B, $A32, NewEmisData!$C:$C, $H32, NewEmisData!$D:$D, CC$2))</f>
        <v>5.1125583760404797E-2</v>
      </c>
      <c r="CD32" s="324">
        <f>$I32*IF($G32="Pickup", SUMIFS(NewEmisData!F:F, NewEmisData!$A:$A, "Pickup", NewEmisData!$B:$B, $A32, NewEmisData!$C:$C, $H32, NewEmisData!$D:$D, CD$2), SUMIFS(NewEmisData!F:F, NewEmisData!$A:$A, "LDV", NewEmisData!$B:$B, $A32, NewEmisData!$C:$C, $H32, NewEmisData!$D:$D, CD$2))</f>
        <v>3.7154393856404101E-2</v>
      </c>
      <c r="CE32" s="324">
        <f>$I32*IF($G32="Pickup", SUMIFS(NewEmisData!G:G, NewEmisData!$A:$A, "Pickup", NewEmisData!$B:$B, $A32, NewEmisData!$C:$C, $H32, NewEmisData!$D:$D, CE$2), SUMIFS(NewEmisData!G:G, NewEmisData!$A:$A, "LDV", NewEmisData!$B:$B, $A32, NewEmisData!$C:$C, $H32, NewEmisData!$D:$D, CE$2))</f>
        <v>2.8853651309577E-2</v>
      </c>
      <c r="CF32" s="324">
        <f>$I32*IF($G32="Pickup", SUMIFS(NewEmisData!H:H, NewEmisData!$A:$A, "Pickup", NewEmisData!$B:$B, $A32, NewEmisData!$C:$C, $H32, NewEmisData!$D:$D, CF$2), SUMIFS(NewEmisData!H:H, NewEmisData!$A:$A, "LDV", NewEmisData!$B:$B, $A32, NewEmisData!$C:$C, $H32, NewEmisData!$D:$D, CF$2))</f>
        <v>2.7537520644524499E-2</v>
      </c>
      <c r="CG32" s="324">
        <f>$I32*IF($G32="Pickup", SUMIFS(NewEmisData!I:I, NewEmisData!$A:$A, "Pickup", NewEmisData!$B:$B, $A32, NewEmisData!$C:$C, $H32, NewEmisData!$D:$D, CG$2), SUMIFS(NewEmisData!I:I, NewEmisData!$A:$A, "LDV", NewEmisData!$B:$B, $A32, NewEmisData!$C:$C, $H32, NewEmisData!$D:$D, CG$2))</f>
        <v>2.6666633761740999E-2</v>
      </c>
      <c r="CH32" s="324">
        <f>$I32*IF($G32="Pickup", SUMIFS(NewEmisData!J:J, NewEmisData!$A:$A, "Pickup", NewEmisData!$B:$B, $A32, NewEmisData!$C:$C, $H32, NewEmisData!$D:$D, CH$2), SUMIFS(NewEmisData!J:J, NewEmisData!$A:$A, "LDV", NewEmisData!$B:$B, $A32, NewEmisData!$C:$C, $H32, NewEmisData!$D:$D, CH$2))</f>
        <v>2.5980348711507999E-2</v>
      </c>
      <c r="CI32" s="324">
        <f>$I32*IF($G32="Pickup", SUMIFS(NewEmisData!K:K, NewEmisData!$A:$A, "Pickup", NewEmisData!$B:$B, $A32, NewEmisData!$C:$C, $H32, NewEmisData!$D:$D, CI$2), SUMIFS(NewEmisData!K:K, NewEmisData!$A:$A, "LDV", NewEmisData!$B:$B, $A32, NewEmisData!$C:$C, $H32, NewEmisData!$D:$D, CI$2))</f>
        <v>2.5978185303944301E-2</v>
      </c>
      <c r="CJ32" s="324">
        <f>$I32*IF($G32="Pickup", SUMIFS(NewEmisData!L:L, NewEmisData!$A:$A, "Pickup", NewEmisData!$B:$B, $A32, NewEmisData!$C:$C, $H32, NewEmisData!$D:$D, CJ$2), SUMIFS(NewEmisData!L:L, NewEmisData!$A:$A, "LDV", NewEmisData!$B:$B, $A32, NewEmisData!$C:$C, $H32, NewEmisData!$D:$D, CJ$2))</f>
        <v>2.5977588735828699E-2</v>
      </c>
      <c r="CK32" s="324">
        <f>$I32*IF($G32="Pickup", SUMIFS(NewEmisData!M:M, NewEmisData!$A:$A, "Pickup", NewEmisData!$B:$B, $A32, NewEmisData!$C:$C, $H32, NewEmisData!$D:$D, CK$2), SUMIFS(NewEmisData!M:M, NewEmisData!$A:$A, "LDV", NewEmisData!$B:$B, $A32, NewEmisData!$C:$C, $H32, NewEmisData!$D:$D, CK$2))</f>
        <v>2.5976994364069798E-2</v>
      </c>
      <c r="CL32" s="324">
        <f t="shared" si="12"/>
        <v>2.5976994364069798E-2</v>
      </c>
      <c r="CM32" s="324">
        <f>$I32*IF($G32="Pickup", SUMIFS(NewEmisData!E:E, NewEmisData!$A:$A, "Pickup", NewEmisData!$B:$B, $A32, NewEmisData!$C:$C, $H32, NewEmisData!$D:$D, CM$2), SUMIFS(NewEmisData!E:E, NewEmisData!$A:$A, "LDV", NewEmisData!$B:$B, $A32, NewEmisData!$C:$C, $H32, NewEmisData!$D:$D, CM$2))</f>
        <v>2.2752592498671498E-2</v>
      </c>
      <c r="CN32" s="324">
        <f>$I32*IF($G32="Pickup", SUMIFS(NewEmisData!F:F, NewEmisData!$A:$A, "Pickup", NewEmisData!$B:$B, $A32, NewEmisData!$C:$C, $H32, NewEmisData!$D:$D, CN$2), SUMIFS(NewEmisData!F:F, NewEmisData!$A:$A, "LDV", NewEmisData!$B:$B, $A32, NewEmisData!$C:$C, $H32, NewEmisData!$D:$D, CN$2))</f>
        <v>1.4156662086893E-2</v>
      </c>
      <c r="CO32" s="324">
        <f>$I32*IF($G32="Pickup", SUMIFS(NewEmisData!G:G, NewEmisData!$A:$A, "Pickup", NewEmisData!$B:$B, $A32, NewEmisData!$C:$C, $H32, NewEmisData!$D:$D, CO$2), SUMIFS(NewEmisData!G:G, NewEmisData!$A:$A, "LDV", NewEmisData!$B:$B, $A32, NewEmisData!$C:$C, $H32, NewEmisData!$D:$D, CO$2))</f>
        <v>9.29628541682684E-3</v>
      </c>
      <c r="CP32" s="324">
        <f>$I32*IF($G32="Pickup", SUMIFS(NewEmisData!H:H, NewEmisData!$A:$A, "Pickup", NewEmisData!$B:$B, $A32, NewEmisData!$C:$C, $H32, NewEmisData!$D:$D, CP$2), SUMIFS(NewEmisData!H:H, NewEmisData!$A:$A, "LDV", NewEmisData!$B:$B, $A32, NewEmisData!$C:$C, $H32, NewEmisData!$D:$D, CP$2))</f>
        <v>7.6962231490179996E-3</v>
      </c>
      <c r="CQ32" s="324">
        <f>$I32*IF($G32="Pickup", SUMIFS(NewEmisData!I:I, NewEmisData!$A:$A, "Pickup", NewEmisData!$B:$B, $A32, NewEmisData!$C:$C, $H32, NewEmisData!$D:$D, CQ$2), SUMIFS(NewEmisData!I:I, NewEmisData!$A:$A, "LDV", NewEmisData!$B:$B, $A32, NewEmisData!$C:$C, $H32, NewEmisData!$D:$D, CQ$2))</f>
        <v>6.9434858281499498E-3</v>
      </c>
      <c r="CR32" s="324">
        <f>$I32*IF($G32="Pickup", SUMIFS(NewEmisData!J:J, NewEmisData!$A:$A, "Pickup", NewEmisData!$B:$B, $A32, NewEmisData!$C:$C, $H32, NewEmisData!$D:$D, CR$2), SUMIFS(NewEmisData!J:J, NewEmisData!$A:$A, "LDV", NewEmisData!$B:$B, $A32, NewEmisData!$C:$C, $H32, NewEmisData!$D:$D, CR$2))</f>
        <v>6.6235501686008101E-3</v>
      </c>
      <c r="CS32" s="324">
        <f>$I32*IF($G32="Pickup", SUMIFS(NewEmisData!K:K, NewEmisData!$A:$A, "Pickup", NewEmisData!$B:$B, $A32, NewEmisData!$C:$C, $H32, NewEmisData!$D:$D, CS$2), SUMIFS(NewEmisData!K:K, NewEmisData!$A:$A, "LDV", NewEmisData!$B:$B, $A32, NewEmisData!$C:$C, $H32, NewEmisData!$D:$D, CS$2))</f>
        <v>6.5909545130035602E-3</v>
      </c>
      <c r="CT32" s="324">
        <f>$I32*IF($G32="Pickup", SUMIFS(NewEmisData!L:L, NewEmisData!$A:$A, "Pickup", NewEmisData!$B:$B, $A32, NewEmisData!$C:$C, $H32, NewEmisData!$D:$D, CT$2), SUMIFS(NewEmisData!L:L, NewEmisData!$A:$A, "LDV", NewEmisData!$B:$B, $A32, NewEmisData!$C:$C, $H32, NewEmisData!$D:$D, CT$2))</f>
        <v>6.5377802107072303E-3</v>
      </c>
      <c r="CU32" s="324">
        <f>$I32*IF($G32="Pickup", SUMIFS(NewEmisData!M:M, NewEmisData!$A:$A, "Pickup", NewEmisData!$B:$B, $A32, NewEmisData!$C:$C, $H32, NewEmisData!$D:$D, CU$2), SUMIFS(NewEmisData!M:M, NewEmisData!$A:$A, "LDV", NewEmisData!$B:$B, $A32, NewEmisData!$C:$C, $H32, NewEmisData!$D:$D, CU$2))</f>
        <v>6.5374275690386098E-3</v>
      </c>
      <c r="CV32" s="324">
        <f t="shared" si="13"/>
        <v>6.5374275690386098E-3</v>
      </c>
      <c r="CW32" s="324">
        <v>4.0498104655261064E-3</v>
      </c>
      <c r="CX32" s="324">
        <v>2.5030350838759993E-3</v>
      </c>
      <c r="CY32" s="324">
        <v>2.1151214403419519E-3</v>
      </c>
      <c r="CZ32" s="324">
        <v>1.7489979687569375E-3</v>
      </c>
      <c r="DA32" s="324">
        <v>1.340486996695321E-3</v>
      </c>
      <c r="DB32" s="324">
        <v>1.0553769116342638E-3</v>
      </c>
      <c r="DC32" s="324">
        <v>1.0132227560056145E-3</v>
      </c>
      <c r="DD32" s="324">
        <v>1.0003159541004489E-3</v>
      </c>
      <c r="DE32" s="324">
        <v>9.9860782000699166E-4</v>
      </c>
      <c r="DF32" s="324">
        <v>9.9860782000699166E-4</v>
      </c>
      <c r="DG32" s="324">
        <f>$I32*IF($G32="Pickup", SUMIFS(NewEmisData!E:E, NewEmisData!$A:$A, "Pickup", NewEmisData!$B:$B, $A32, NewEmisData!$C:$C, $H32, NewEmisData!$D:$D, DG$2), SUMIFS(NewEmisData!E:E, NewEmisData!$A:$A, "LDV", NewEmisData!$B:$B, $A32, NewEmisData!$C:$C, $H32, NewEmisData!$D:$D, DG$2))</f>
        <v>0</v>
      </c>
      <c r="DH32" s="324">
        <f>$I32*IF($G32="Pickup", SUMIFS(NewEmisData!F:F, NewEmisData!$A:$A, "Pickup", NewEmisData!$B:$B, $A32, NewEmisData!$C:$C, $H32, NewEmisData!$D:$D, DH$2), SUMIFS(NewEmisData!F:F, NewEmisData!$A:$A, "LDV", NewEmisData!$B:$B, $A32, NewEmisData!$C:$C, $H32, NewEmisData!$D:$D, DH$2))</f>
        <v>0</v>
      </c>
      <c r="DI32" s="324">
        <f>$I32*IF($G32="Pickup", SUMIFS(NewEmisData!G:G, NewEmisData!$A:$A, "Pickup", NewEmisData!$B:$B, $A32, NewEmisData!$C:$C, $H32, NewEmisData!$D:$D, DI$2), SUMIFS(NewEmisData!G:G, NewEmisData!$A:$A, "LDV", NewEmisData!$B:$B, $A32, NewEmisData!$C:$C, $H32, NewEmisData!$D:$D, DI$2))</f>
        <v>0</v>
      </c>
      <c r="DJ32" s="324">
        <f>$I32*IF($G32="Pickup", SUMIFS(NewEmisData!H:H, NewEmisData!$A:$A, "Pickup", NewEmisData!$B:$B, $A32, NewEmisData!$C:$C, $H32, NewEmisData!$D:$D, DJ$2), SUMIFS(NewEmisData!H:H, NewEmisData!$A:$A, "LDV", NewEmisData!$B:$B, $A32, NewEmisData!$C:$C, $H32, NewEmisData!$D:$D, DJ$2))</f>
        <v>0</v>
      </c>
      <c r="DK32" s="324">
        <f>$I32*IF($G32="Pickup", SUMIFS(NewEmisData!I:I, NewEmisData!$A:$A, "Pickup", NewEmisData!$B:$B, $A32, NewEmisData!$C:$C, $H32, NewEmisData!$D:$D, DK$2), SUMIFS(NewEmisData!I:I, NewEmisData!$A:$A, "LDV", NewEmisData!$B:$B, $A32, NewEmisData!$C:$C, $H32, NewEmisData!$D:$D, DK$2))</f>
        <v>0</v>
      </c>
      <c r="DL32" s="324">
        <f>$I32*IF($G32="Pickup", SUMIFS(NewEmisData!J:J, NewEmisData!$A:$A, "Pickup", NewEmisData!$B:$B, $A32, NewEmisData!$C:$C, $H32, NewEmisData!$D:$D, DL$2), SUMIFS(NewEmisData!J:J, NewEmisData!$A:$A, "LDV", NewEmisData!$B:$B, $A32, NewEmisData!$C:$C, $H32, NewEmisData!$D:$D, DL$2))</f>
        <v>0</v>
      </c>
      <c r="DM32" s="324">
        <f>$I32*IF($G32="Pickup", SUMIFS(NewEmisData!K:K, NewEmisData!$A:$A, "Pickup", NewEmisData!$B:$B, $A32, NewEmisData!$C:$C, $H32, NewEmisData!$D:$D, DM$2), SUMIFS(NewEmisData!K:K, NewEmisData!$A:$A, "LDV", NewEmisData!$B:$B, $A32, NewEmisData!$C:$C, $H32, NewEmisData!$D:$D, DM$2))</f>
        <v>0</v>
      </c>
      <c r="DN32" s="324">
        <f>$I32*IF($G32="Pickup", SUMIFS(NewEmisData!L:L, NewEmisData!$A:$A, "Pickup", NewEmisData!$B:$B, $A32, NewEmisData!$C:$C, $H32, NewEmisData!$D:$D, DN$2), SUMIFS(NewEmisData!L:L, NewEmisData!$A:$A, "LDV", NewEmisData!$B:$B, $A32, NewEmisData!$C:$C, $H32, NewEmisData!$D:$D, DN$2))</f>
        <v>0</v>
      </c>
      <c r="DO32" s="324">
        <f>$I32*IF($G32="Pickup", SUMIFS(NewEmisData!M:M, NewEmisData!$A:$A, "Pickup", NewEmisData!$B:$B, $A32, NewEmisData!$C:$C, $H32, NewEmisData!$D:$D, DO$2), SUMIFS(NewEmisData!M:M, NewEmisData!$A:$A, "LDV", NewEmisData!$B:$B, $A32, NewEmisData!$C:$C, $H32, NewEmisData!$D:$D, DO$2))</f>
        <v>0</v>
      </c>
      <c r="DP32" s="324">
        <f t="shared" si="14"/>
        <v>0</v>
      </c>
      <c r="DQ32" s="324">
        <f>$I32*IF($G32="Pickup", SUMIFS(NewEmisData!E:E, NewEmisData!$A:$A, "Pickup", NewEmisData!$B:$B, $A32, NewEmisData!$C:$C, $H32, NewEmisData!$D:$D, DQ$2), SUMIFS(NewEmisData!E:E, NewEmisData!$A:$A, "LDV", NewEmisData!$B:$B, $A32, NewEmisData!$C:$C, $H32, NewEmisData!$D:$D, DQ$2))</f>
        <v>1.7231430999334701E-2</v>
      </c>
      <c r="DR32" s="324">
        <f>$I32*IF($G32="Pickup", SUMIFS(NewEmisData!F:F, NewEmisData!$A:$A, "Pickup", NewEmisData!$B:$B, $A32, NewEmisData!$C:$C, $H32, NewEmisData!$D:$D, DR$2), SUMIFS(NewEmisData!F:F, NewEmisData!$A:$A, "LDV", NewEmisData!$B:$B, $A32, NewEmisData!$C:$C, $H32, NewEmisData!$D:$D, DR$2))</f>
        <v>8.9963646277585099E-3</v>
      </c>
      <c r="DS32" s="324">
        <f>$I32*IF($G32="Pickup", SUMIFS(NewEmisData!G:G, NewEmisData!$A:$A, "Pickup", NewEmisData!$B:$B, $A32, NewEmisData!$C:$C, $H32, NewEmisData!$D:$D, DS$2), SUMIFS(NewEmisData!G:G, NewEmisData!$A:$A, "LDV", NewEmisData!$B:$B, $A32, NewEmisData!$C:$C, $H32, NewEmisData!$D:$D, DS$2))</f>
        <v>5.6961522615022698E-3</v>
      </c>
      <c r="DT32" s="324">
        <f>$I32*IF($G32="Pickup", SUMIFS(NewEmisData!H:H, NewEmisData!$A:$A, "Pickup", NewEmisData!$B:$B, $A32, NewEmisData!$C:$C, $H32, NewEmisData!$D:$D, DT$2), SUMIFS(NewEmisData!H:H, NewEmisData!$A:$A, "LDV", NewEmisData!$B:$B, $A32, NewEmisData!$C:$C, $H32, NewEmisData!$D:$D, DT$2))</f>
        <v>4.3151143502781096E-3</v>
      </c>
      <c r="DU32" s="324">
        <f>$I32*IF($G32="Pickup", SUMIFS(NewEmisData!I:I, NewEmisData!$A:$A, "Pickup", NewEmisData!$B:$B, $A32, NewEmisData!$C:$C, $H32, NewEmisData!$D:$D, DU$2), SUMIFS(NewEmisData!I:I, NewEmisData!$A:$A, "LDV", NewEmisData!$B:$B, $A32, NewEmisData!$C:$C, $H32, NewEmisData!$D:$D, DU$2))</f>
        <v>3.35028978849721E-3</v>
      </c>
      <c r="DV32" s="324">
        <f>$I32*IF($G32="Pickup", SUMIFS(NewEmisData!J:J, NewEmisData!$A:$A, "Pickup", NewEmisData!$B:$B, $A32, NewEmisData!$C:$C, $H32, NewEmisData!$D:$D, DV$2), SUMIFS(NewEmisData!J:J, NewEmisData!$A:$A, "LDV", NewEmisData!$B:$B, $A32, NewEmisData!$C:$C, $H32, NewEmisData!$D:$D, DV$2))</f>
        <v>2.9288858721300301E-3</v>
      </c>
      <c r="DW32" s="324">
        <f>$I32*IF($G32="Pickup", SUMIFS(NewEmisData!K:K, NewEmisData!$A:$A, "Pickup", NewEmisData!$B:$B, $A32, NewEmisData!$C:$C, $H32, NewEmisData!$D:$D, DW$2), SUMIFS(NewEmisData!K:K, NewEmisData!$A:$A, "LDV", NewEmisData!$B:$B, $A32, NewEmisData!$C:$C, $H32, NewEmisData!$D:$D, DW$2))</f>
        <v>2.6889748661232601E-3</v>
      </c>
      <c r="DX32" s="324">
        <f>$I32*IF($G32="Pickup", SUMIFS(NewEmisData!L:L, NewEmisData!$A:$A, "Pickup", NewEmisData!$B:$B, $A32, NewEmisData!$C:$C, $H32, NewEmisData!$D:$D, DX$2), SUMIFS(NewEmisData!L:L, NewEmisData!$A:$A, "LDV", NewEmisData!$B:$B, $A32, NewEmisData!$C:$C, $H32, NewEmisData!$D:$D, DX$2))</f>
        <v>2.6131014849391301E-3</v>
      </c>
      <c r="DY32" s="324">
        <f>$I32*IF($G32="Pickup", SUMIFS(NewEmisData!M:M, NewEmisData!$A:$A, "Pickup", NewEmisData!$B:$B, $A32, NewEmisData!$C:$C, $H32, NewEmisData!$D:$D, DY$2), SUMIFS(NewEmisData!M:M, NewEmisData!$A:$A, "LDV", NewEmisData!$B:$B, $A32, NewEmisData!$C:$C, $H32, NewEmisData!$D:$D, DY$2))</f>
        <v>2.5757099053792102E-3</v>
      </c>
      <c r="DZ32" s="324">
        <f t="shared" si="15"/>
        <v>2.5757099053792102E-3</v>
      </c>
      <c r="EA32" s="324">
        <f t="shared" si="16"/>
        <v>605.35194063093002</v>
      </c>
      <c r="EB32" s="324">
        <f t="shared" si="17"/>
        <v>575.43677827742204</v>
      </c>
      <c r="EC32" s="324">
        <f t="shared" si="18"/>
        <v>447.50306541281799</v>
      </c>
      <c r="ED32" s="324">
        <f t="shared" si="19"/>
        <v>380.32748601406797</v>
      </c>
      <c r="EE32" s="324">
        <f t="shared" si="20"/>
        <v>328.8508655947</v>
      </c>
      <c r="EF32" s="324">
        <f t="shared" si="21"/>
        <v>299.87343037562698</v>
      </c>
      <c r="EG32" s="324">
        <f t="shared" si="22"/>
        <v>286.96645721008798</v>
      </c>
      <c r="EH32" s="324">
        <f t="shared" si="23"/>
        <v>282.38592098475101</v>
      </c>
      <c r="EI32" s="324">
        <f t="shared" si="24"/>
        <v>280.69816184937503</v>
      </c>
      <c r="EJ32" s="324">
        <f t="shared" si="25"/>
        <v>280.69816184937503</v>
      </c>
      <c r="EK32" s="324">
        <f t="shared" si="26"/>
        <v>0.73999493628111201</v>
      </c>
      <c r="EL32" s="324">
        <f t="shared" si="27"/>
        <v>0.35335240075773999</v>
      </c>
      <c r="EM32" s="324">
        <f t="shared" si="28"/>
        <v>0.18897755292818599</v>
      </c>
      <c r="EN32" s="324">
        <f t="shared" si="29"/>
        <v>0.12218817840455801</v>
      </c>
      <c r="EO32" s="324">
        <f t="shared" si="30"/>
        <v>7.3060825114572805E-2</v>
      </c>
      <c r="EP32" s="324">
        <f t="shared" si="31"/>
        <v>5.3764321341730301E-2</v>
      </c>
      <c r="EQ32" s="324">
        <f t="shared" si="32"/>
        <v>4.5765873698397498E-2</v>
      </c>
      <c r="ER32" s="324">
        <f t="shared" si="33"/>
        <v>4.3548109073897001E-2</v>
      </c>
      <c r="ES32" s="324">
        <f t="shared" si="34"/>
        <v>4.24609775043936E-2</v>
      </c>
      <c r="ET32" s="324">
        <f t="shared" si="35"/>
        <v>4.24609775043936E-2</v>
      </c>
      <c r="EU32" s="324">
        <f t="shared" si="36"/>
        <v>1.04747160569124E-2</v>
      </c>
      <c r="EV32" s="324">
        <f t="shared" si="37"/>
        <v>9.9570764799691708E-3</v>
      </c>
      <c r="EW32" s="324">
        <f t="shared" si="38"/>
        <v>6.4196648888919499E-3</v>
      </c>
      <c r="EX32" s="324">
        <f t="shared" si="39"/>
        <v>5.45599526494426E-3</v>
      </c>
      <c r="EY32" s="324">
        <f t="shared" si="40"/>
        <v>4.7175365225731996E-3</v>
      </c>
      <c r="EZ32" s="324">
        <f t="shared" si="41"/>
        <v>4.3018391726363297E-3</v>
      </c>
      <c r="FA32" s="324">
        <f t="shared" si="42"/>
        <v>4.1166816404986702E-3</v>
      </c>
      <c r="FB32" s="324">
        <f t="shared" si="43"/>
        <v>4.0509726462172697E-3</v>
      </c>
      <c r="FC32" s="324">
        <f t="shared" si="44"/>
        <v>4.0267596573162799E-3</v>
      </c>
      <c r="FD32" s="324">
        <f t="shared" si="45"/>
        <v>4.0267596573162799E-3</v>
      </c>
      <c r="FE32" s="324">
        <f t="shared" si="46"/>
        <v>0.112529836649977</v>
      </c>
      <c r="FF32" s="324">
        <f t="shared" si="47"/>
        <v>0.103764807432247</v>
      </c>
      <c r="FG32" s="324">
        <f t="shared" si="48"/>
        <v>8.1904009889209095E-2</v>
      </c>
      <c r="FH32" s="324">
        <f t="shared" si="49"/>
        <v>8.0372811122020202E-2</v>
      </c>
      <c r="FI32" s="324">
        <f t="shared" si="50"/>
        <v>7.8826850839141593E-2</v>
      </c>
      <c r="FJ32" s="324">
        <f t="shared" si="51"/>
        <v>7.7629471627150906E-2</v>
      </c>
      <c r="FK32" s="324">
        <f t="shared" si="52"/>
        <v>7.6869255276324197E-2</v>
      </c>
      <c r="FL32" s="324">
        <f t="shared" si="53"/>
        <v>7.6489801218608905E-2</v>
      </c>
      <c r="FM32" s="324">
        <f t="shared" si="54"/>
        <v>7.6275890012832595E-2</v>
      </c>
      <c r="FN32" s="324">
        <f t="shared" si="55"/>
        <v>7.6275890012832595E-2</v>
      </c>
      <c r="FO32" s="324">
        <f t="shared" si="56"/>
        <v>2.93140110896879E-2</v>
      </c>
      <c r="FP32" s="324">
        <f t="shared" si="57"/>
        <v>2.15603319614842E-2</v>
      </c>
      <c r="FQ32" s="324">
        <f t="shared" si="58"/>
        <v>1.61359542510712E-2</v>
      </c>
      <c r="FR32" s="324">
        <f t="shared" si="59"/>
        <v>1.4781439172223E-2</v>
      </c>
      <c r="FS32" s="324">
        <f t="shared" si="60"/>
        <v>1.3413837806436801E-2</v>
      </c>
      <c r="FT32" s="324">
        <f t="shared" si="61"/>
        <v>1.2354573478352299E-2</v>
      </c>
      <c r="FU32" s="324">
        <f t="shared" si="62"/>
        <v>1.16820653404197E-2</v>
      </c>
      <c r="FV32" s="324">
        <f t="shared" si="63"/>
        <v>1.13463459698093E-2</v>
      </c>
      <c r="FW32" s="324">
        <f t="shared" si="64"/>
        <v>1.1157149268450401E-2</v>
      </c>
      <c r="FX32" s="324">
        <f t="shared" si="65"/>
        <v>1.1157149268450401E-2</v>
      </c>
    </row>
    <row r="33" spans="1:180" x14ac:dyDescent="0.2">
      <c r="A33" s="298" t="str">
        <f>_xlfn.CONCAT(IF(LEFT(TRIM(A32),1)="*", "*R", "R"), 1+RIGHT(TRIM(A32),1))</f>
        <v>R5</v>
      </c>
      <c r="B33" s="298" t="str">
        <f t="shared" si="86"/>
        <v>TLESSGSL</v>
      </c>
      <c r="C33" s="298" t="str">
        <f t="shared" si="87"/>
        <v>TL.GSL.SS.Existing fleet</v>
      </c>
      <c r="D33" s="294" t="str">
        <f t="shared" si="88"/>
        <v>bn-vmt, bn-vmt/a</v>
      </c>
      <c r="E33" s="294" t="str">
        <f t="shared" si="89"/>
        <v>TLGSL</v>
      </c>
      <c r="F33" s="294" t="str">
        <f t="shared" si="90"/>
        <v>TL</v>
      </c>
      <c r="G33" s="294" t="s">
        <v>424</v>
      </c>
      <c r="H33" s="294" t="s">
        <v>474</v>
      </c>
      <c r="I33" s="294">
        <v>1</v>
      </c>
      <c r="J33" s="308" t="str">
        <f t="shared" si="2"/>
        <v>Small SUV-GSL</v>
      </c>
      <c r="K33" s="324">
        <f>$I33*IF($G33="Pickup", SUMIFS(NewEmisData!E:E, NewEmisData!$A:$A, "Pickup", NewEmisData!$B:$B, $A33, NewEmisData!$C:$C, $H33, NewEmisData!$D:$D, K$2), SUMIFS(NewEmisData!E:E, NewEmisData!$A:$A, "LDV", NewEmisData!$B:$B, $A33, NewEmisData!$C:$C, $H33, NewEmisData!$D:$D, K$2))</f>
        <v>474.817101058422</v>
      </c>
      <c r="L33" s="324">
        <f>$I33*IF($G33="Pickup", SUMIFS(NewEmisData!F:F, NewEmisData!$A:$A, "Pickup", NewEmisData!$B:$B, $A33, NewEmisData!$C:$C, $H33, NewEmisData!$D:$D, L$2), SUMIFS(NewEmisData!F:F, NewEmisData!$A:$A, "LDV", NewEmisData!$B:$B, $A33, NewEmisData!$C:$C, $H33, NewEmisData!$D:$D, L$2))</f>
        <v>451.24703471572099</v>
      </c>
      <c r="M33" s="324">
        <f>$I33*IF($G33="Pickup", SUMIFS(NewEmisData!G:G, NewEmisData!$A:$A, "Pickup", NewEmisData!$B:$B, $A33, NewEmisData!$C:$C, $H33, NewEmisData!$D:$D, M$2), SUMIFS(NewEmisData!G:G, NewEmisData!$A:$A, "LDV", NewEmisData!$B:$B, $A33, NewEmisData!$C:$C, $H33, NewEmisData!$D:$D, M$2))</f>
        <v>359.55406391675598</v>
      </c>
      <c r="N33" s="324">
        <f>$I33*IF($G33="Pickup", SUMIFS(NewEmisData!H:H, NewEmisData!$A:$A, "Pickup", NewEmisData!$B:$B, $A33, NewEmisData!$C:$C, $H33, NewEmisData!$D:$D, N$2), SUMIFS(NewEmisData!H:H, NewEmisData!$A:$A, "LDV", NewEmisData!$B:$B, $A33, NewEmisData!$C:$C, $H33, NewEmisData!$D:$D, N$2))</f>
        <v>306.68867751853497</v>
      </c>
      <c r="O33" s="324">
        <f>$I33*IF($G33="Pickup", SUMIFS(NewEmisData!I:I, NewEmisData!$A:$A, "Pickup", NewEmisData!$B:$B, $A33, NewEmisData!$C:$C, $H33, NewEmisData!$D:$D, O$2), SUMIFS(NewEmisData!I:I, NewEmisData!$A:$A, "LDV", NewEmisData!$B:$B, $A33, NewEmisData!$C:$C, $H33, NewEmisData!$D:$D, O$2))</f>
        <v>266.05693149041099</v>
      </c>
      <c r="P33" s="324">
        <f>$I33*IF($G33="Pickup", SUMIFS(NewEmisData!J:J, NewEmisData!$A:$A, "Pickup", NewEmisData!$B:$B, $A33, NewEmisData!$C:$C, $H33, NewEmisData!$D:$D, P$2), SUMIFS(NewEmisData!J:J, NewEmisData!$A:$A, "LDV", NewEmisData!$B:$B, $A33, NewEmisData!$C:$C, $H33, NewEmisData!$D:$D, P$2))</f>
        <v>243.087176828883</v>
      </c>
      <c r="Q33" s="324">
        <f>$I33*IF($G33="Pickup", SUMIFS(NewEmisData!K:K, NewEmisData!$A:$A, "Pickup", NewEmisData!$B:$B, $A33, NewEmisData!$C:$C, $H33, NewEmisData!$D:$D, Q$2), SUMIFS(NewEmisData!K:K, NewEmisData!$A:$A, "LDV", NewEmisData!$B:$B, $A33, NewEmisData!$C:$C, $H33, NewEmisData!$D:$D, Q$2))</f>
        <v>232.82718030870799</v>
      </c>
      <c r="R33" s="324">
        <f>$I33*IF($G33="Pickup", SUMIFS(NewEmisData!L:L, NewEmisData!$A:$A, "Pickup", NewEmisData!$B:$B, $A33, NewEmisData!$C:$C, $H33, NewEmisData!$D:$D, R$2), SUMIFS(NewEmisData!L:L, NewEmisData!$A:$A, "LDV", NewEmisData!$B:$B, $A33, NewEmisData!$C:$C, $H33, NewEmisData!$D:$D, R$2))</f>
        <v>229.167353178653</v>
      </c>
      <c r="S33" s="324">
        <f>$I33*IF($G33="Pickup", SUMIFS(NewEmisData!M:M, NewEmisData!$A:$A, "Pickup", NewEmisData!$B:$B, $A33, NewEmisData!$C:$C, $H33, NewEmisData!$D:$D, S$2), SUMIFS(NewEmisData!M:M, NewEmisData!$A:$A, "LDV", NewEmisData!$B:$B, $A33, NewEmisData!$C:$C, $H33, NewEmisData!$D:$D, S$2))</f>
        <v>227.80956840287899</v>
      </c>
      <c r="T33" s="324">
        <f t="shared" si="5"/>
        <v>227.80956840287899</v>
      </c>
      <c r="U33" s="324">
        <f>$I33*IF($G33="Pickup", SUMIFS(NewEmisData!E:E, NewEmisData!$A:$A, "Pickup", NewEmisData!$B:$B, $A33, NewEmisData!$C:$C, $H33, NewEmisData!$D:$D, U$2), SUMIFS(NewEmisData!E:E, NewEmisData!$A:$A, "LDV", NewEmisData!$B:$B, $A33, NewEmisData!$C:$C, $H33, NewEmisData!$D:$D, U$2))</f>
        <v>0.70973077210402302</v>
      </c>
      <c r="V33" s="324">
        <f>$I33*IF($G33="Pickup", SUMIFS(NewEmisData!F:F, NewEmisData!$A:$A, "Pickup", NewEmisData!$B:$B, $A33, NewEmisData!$C:$C, $H33, NewEmisData!$D:$D, V$2), SUMIFS(NewEmisData!F:F, NewEmisData!$A:$A, "LDV", NewEmisData!$B:$B, $A33, NewEmisData!$C:$C, $H33, NewEmisData!$D:$D, V$2))</f>
        <v>0.32036907792622199</v>
      </c>
      <c r="W33" s="324">
        <f>$I33*IF($G33="Pickup", SUMIFS(NewEmisData!G:G, NewEmisData!$A:$A, "Pickup", NewEmisData!$B:$B, $A33, NewEmisData!$C:$C, $H33, NewEmisData!$D:$D, W$2), SUMIFS(NewEmisData!G:G, NewEmisData!$A:$A, "LDV", NewEmisData!$B:$B, $A33, NewEmisData!$C:$C, $H33, NewEmisData!$D:$D, W$2))</f>
        <v>0.23974719966536701</v>
      </c>
      <c r="X33" s="324">
        <f>$I33*IF($G33="Pickup", SUMIFS(NewEmisData!H:H, NewEmisData!$A:$A, "Pickup", NewEmisData!$B:$B, $A33, NewEmisData!$C:$C, $H33, NewEmisData!$D:$D, X$2), SUMIFS(NewEmisData!H:H, NewEmisData!$A:$A, "LDV", NewEmisData!$B:$B, $A33, NewEmisData!$C:$C, $H33, NewEmisData!$D:$D, X$2))</f>
        <v>0.160612501035788</v>
      </c>
      <c r="Y33" s="324">
        <f>$I33*IF($G33="Pickup", SUMIFS(NewEmisData!I:I, NewEmisData!$A:$A, "Pickup", NewEmisData!$B:$B, $A33, NewEmisData!$C:$C, $H33, NewEmisData!$D:$D, Y$2), SUMIFS(NewEmisData!I:I, NewEmisData!$A:$A, "LDV", NewEmisData!$B:$B, $A33, NewEmisData!$C:$C, $H33, NewEmisData!$D:$D, Y$2))</f>
        <v>0.10365613117262901</v>
      </c>
      <c r="Z33" s="324">
        <f>$I33*IF($G33="Pickup", SUMIFS(NewEmisData!J:J, NewEmisData!$A:$A, "Pickup", NewEmisData!$B:$B, $A33, NewEmisData!$C:$C, $H33, NewEmisData!$D:$D, Z$2), SUMIFS(NewEmisData!J:J, NewEmisData!$A:$A, "LDV", NewEmisData!$B:$B, $A33, NewEmisData!$C:$C, $H33, NewEmisData!$D:$D, Z$2))</f>
        <v>7.8799994555065797E-2</v>
      </c>
      <c r="AA33" s="324">
        <f>$I33*IF($G33="Pickup", SUMIFS(NewEmisData!K:K, NewEmisData!$A:$A, "Pickup", NewEmisData!$B:$B, $A33, NewEmisData!$C:$C, $H33, NewEmisData!$D:$D, AA$2), SUMIFS(NewEmisData!K:K, NewEmisData!$A:$A, "LDV", NewEmisData!$B:$B, $A33, NewEmisData!$C:$C, $H33, NewEmisData!$D:$D, AA$2))</f>
        <v>6.8646939612850705E-2</v>
      </c>
      <c r="AB33" s="324">
        <f>$I33*IF($G33="Pickup", SUMIFS(NewEmisData!L:L, NewEmisData!$A:$A, "Pickup", NewEmisData!$B:$B, $A33, NewEmisData!$C:$C, $H33, NewEmisData!$D:$D, AB$2), SUMIFS(NewEmisData!L:L, NewEmisData!$A:$A, "LDV", NewEmisData!$B:$B, $A33, NewEmisData!$C:$C, $H33, NewEmisData!$D:$D, AB$2))</f>
        <v>6.5824398729591893E-2</v>
      </c>
      <c r="AC33" s="324">
        <f>$I33*IF($G33="Pickup", SUMIFS(NewEmisData!M:M, NewEmisData!$A:$A, "Pickup", NewEmisData!$B:$B, $A33, NewEmisData!$C:$C, $H33, NewEmisData!$D:$D, AC$2), SUMIFS(NewEmisData!M:M, NewEmisData!$A:$A, "LDV", NewEmisData!$B:$B, $A33, NewEmisData!$C:$C, $H33, NewEmisData!$D:$D, AC$2))</f>
        <v>6.4340803704991095E-2</v>
      </c>
      <c r="AD33" s="324">
        <f t="shared" si="6"/>
        <v>6.4340803704991095E-2</v>
      </c>
      <c r="AE33" s="324">
        <f>$I33*IF($G33="Pickup", SUMIFS(NewEmisData!E:E, NewEmisData!$A:$A, "Pickup", NewEmisData!$B:$B, $A33, NewEmisData!$C:$C, $H33, NewEmisData!$D:$D, AE$2), SUMIFS(NewEmisData!E:E, NewEmisData!$A:$A, "LDV", NewEmisData!$B:$B, $A33, NewEmisData!$C:$C, $H33, NewEmisData!$D:$D, AE$2))</f>
        <v>8.2160020457903906E-3</v>
      </c>
      <c r="AF33" s="324">
        <f>$I33*IF($G33="Pickup", SUMIFS(NewEmisData!F:F, NewEmisData!$A:$A, "Pickup", NewEmisData!$B:$B, $A33, NewEmisData!$C:$C, $H33, NewEmisData!$D:$D, AF$2), SUMIFS(NewEmisData!F:F, NewEmisData!$A:$A, "LDV", NewEmisData!$B:$B, $A33, NewEmisData!$C:$C, $H33, NewEmisData!$D:$D, AF$2))</f>
        <v>7.80815598787189E-3</v>
      </c>
      <c r="AG33" s="324">
        <f>$I33*IF($G33="Pickup", SUMIFS(NewEmisData!G:G, NewEmisData!$A:$A, "Pickup", NewEmisData!$B:$B, $A33, NewEmisData!$C:$C, $H33, NewEmisData!$D:$D, AG$2), SUMIFS(NewEmisData!G:G, NewEmisData!$A:$A, "LDV", NewEmisData!$B:$B, $A33, NewEmisData!$C:$C, $H33, NewEmisData!$D:$D, AG$2))</f>
        <v>5.1579884513251097E-3</v>
      </c>
      <c r="AH33" s="324">
        <f>$I33*IF($G33="Pickup", SUMIFS(NewEmisData!H:H, NewEmisData!$A:$A, "Pickup", NewEmisData!$B:$B, $A33, NewEmisData!$C:$C, $H33, NewEmisData!$D:$D, AH$2), SUMIFS(NewEmisData!H:H, NewEmisData!$A:$A, "LDV", NewEmisData!$B:$B, $A33, NewEmisData!$C:$C, $H33, NewEmisData!$D:$D, AH$2))</f>
        <v>4.3996084263759998E-3</v>
      </c>
      <c r="AI33" s="324">
        <f>$I33*IF($G33="Pickup", SUMIFS(NewEmisData!I:I, NewEmisData!$A:$A, "Pickup", NewEmisData!$B:$B, $A33, NewEmisData!$C:$C, $H33, NewEmisData!$D:$D, AI$2), SUMIFS(NewEmisData!I:I, NewEmisData!$A:$A, "LDV", NewEmisData!$B:$B, $A33, NewEmisData!$C:$C, $H33, NewEmisData!$D:$D, AI$2))</f>
        <v>3.81672539575274E-3</v>
      </c>
      <c r="AJ33" s="324">
        <f>$I33*IF($G33="Pickup", SUMIFS(NewEmisData!J:J, NewEmisData!$A:$A, "Pickup", NewEmisData!$B:$B, $A33, NewEmisData!$C:$C, $H33, NewEmisData!$D:$D, AJ$2), SUMIFS(NewEmisData!J:J, NewEmisData!$A:$A, "LDV", NewEmisData!$B:$B, $A33, NewEmisData!$C:$C, $H33, NewEmisData!$D:$D, AJ$2))</f>
        <v>3.4872096414849999E-3</v>
      </c>
      <c r="AK33" s="324">
        <f>$I33*IF($G33="Pickup", SUMIFS(NewEmisData!K:K, NewEmisData!$A:$A, "Pickup", NewEmisData!$B:$B, $A33, NewEmisData!$C:$C, $H33, NewEmisData!$D:$D, AK$2), SUMIFS(NewEmisData!K:K, NewEmisData!$A:$A, "LDV", NewEmisData!$B:$B, $A33, NewEmisData!$C:$C, $H33, NewEmisData!$D:$D, AK$2))</f>
        <v>3.3400286224750798E-3</v>
      </c>
      <c r="AL33" s="324">
        <f>$I33*IF($G33="Pickup", SUMIFS(NewEmisData!L:L, NewEmisData!$A:$A, "Pickup", NewEmisData!$B:$B, $A33, NewEmisData!$C:$C, $H33, NewEmisData!$D:$D, AL$2), SUMIFS(NewEmisData!L:L, NewEmisData!$A:$A, "LDV", NewEmisData!$B:$B, $A33, NewEmisData!$C:$C, $H33, NewEmisData!$D:$D, AL$2))</f>
        <v>3.2875233288682799E-3</v>
      </c>
      <c r="AM33" s="324">
        <f>$I33*IF($G33="Pickup", SUMIFS(NewEmisData!M:M, NewEmisData!$A:$A, "Pickup", NewEmisData!$B:$B, $A33, NewEmisData!$C:$C, $H33, NewEmisData!$D:$D, AM$2), SUMIFS(NewEmisData!M:M, NewEmisData!$A:$A, "LDV", NewEmisData!$B:$B, $A33, NewEmisData!$C:$C, $H33, NewEmisData!$D:$D, AM$2))</f>
        <v>3.2680461258744399E-3</v>
      </c>
      <c r="AN33" s="324">
        <f t="shared" si="7"/>
        <v>3.2680461258744399E-3</v>
      </c>
      <c r="AO33" s="324">
        <f>$I33*IF($G33="Pickup", SUMIFS(NewEmisData!E:E, NewEmisData!$A:$A, "Pickup", NewEmisData!$B:$B, $A33, NewEmisData!$C:$C, $H33, NewEmisData!$D:$D, AO$2), SUMIFS(NewEmisData!E:E, NewEmisData!$A:$A, "LDV", NewEmisData!$B:$B, $A33, NewEmisData!$C:$C, $H33, NewEmisData!$D:$D, AO$2))</f>
        <v>7.6637268565666605E-2</v>
      </c>
      <c r="AP33" s="324">
        <f>$I33*IF($G33="Pickup", SUMIFS(NewEmisData!F:F, NewEmisData!$A:$A, "Pickup", NewEmisData!$B:$B, $A33, NewEmisData!$C:$C, $H33, NewEmisData!$D:$D, AP$2), SUMIFS(NewEmisData!F:F, NewEmisData!$A:$A, "LDV", NewEmisData!$B:$B, $A33, NewEmisData!$C:$C, $H33, NewEmisData!$D:$D, AP$2))</f>
        <v>7.17220347655846E-2</v>
      </c>
      <c r="AQ33" s="324">
        <f>$I33*IF($G33="Pickup", SUMIFS(NewEmisData!G:G, NewEmisData!$A:$A, "Pickup", NewEmisData!$B:$B, $A33, NewEmisData!$C:$C, $H33, NewEmisData!$D:$D, AQ$2), SUMIFS(NewEmisData!G:G, NewEmisData!$A:$A, "LDV", NewEmisData!$B:$B, $A33, NewEmisData!$C:$C, $H33, NewEmisData!$D:$D, AQ$2))</f>
        <v>5.3063354209187903E-2</v>
      </c>
      <c r="AR33" s="324">
        <f>$I33*IF($G33="Pickup", SUMIFS(NewEmisData!H:H, NewEmisData!$A:$A, "Pickup", NewEmisData!$B:$B, $A33, NewEmisData!$C:$C, $H33, NewEmisData!$D:$D, AR$2), SUMIFS(NewEmisData!H:H, NewEmisData!$A:$A, "LDV", NewEmisData!$B:$B, $A33, NewEmisData!$C:$C, $H33, NewEmisData!$D:$D, AR$2))</f>
        <v>5.1413159178765599E-2</v>
      </c>
      <c r="AS33" s="324">
        <f>$I33*IF($G33="Pickup", SUMIFS(NewEmisData!I:I, NewEmisData!$A:$A, "Pickup", NewEmisData!$B:$B, $A33, NewEmisData!$C:$C, $H33, NewEmisData!$D:$D, AS$2), SUMIFS(NewEmisData!I:I, NewEmisData!$A:$A, "LDV", NewEmisData!$B:$B, $A33, NewEmisData!$C:$C, $H33, NewEmisData!$D:$D, AS$2))</f>
        <v>4.9937748877796798E-2</v>
      </c>
      <c r="AT33" s="324">
        <f>$I33*IF($G33="Pickup", SUMIFS(NewEmisData!J:J, NewEmisData!$A:$A, "Pickup", NewEmisData!$B:$B, $A33, NewEmisData!$C:$C, $H33, NewEmisData!$D:$D, AT$2), SUMIFS(NewEmisData!J:J, NewEmisData!$A:$A, "LDV", NewEmisData!$B:$B, $A33, NewEmisData!$C:$C, $H33, NewEmisData!$D:$D, AT$2))</f>
        <v>4.8737436898882699E-2</v>
      </c>
      <c r="AU33" s="324">
        <f>$I33*IF($G33="Pickup", SUMIFS(NewEmisData!K:K, NewEmisData!$A:$A, "Pickup", NewEmisData!$B:$B, $A33, NewEmisData!$C:$C, $H33, NewEmisData!$D:$D, AU$2), SUMIFS(NewEmisData!K:K, NewEmisData!$A:$A, "LDV", NewEmisData!$B:$B, $A33, NewEmisData!$C:$C, $H33, NewEmisData!$D:$D, AU$2))</f>
        <v>4.7984590527250397E-2</v>
      </c>
      <c r="AV33" s="324">
        <f>$I33*IF($G33="Pickup", SUMIFS(NewEmisData!L:L, NewEmisData!$A:$A, "Pickup", NewEmisData!$B:$B, $A33, NewEmisData!$C:$C, $H33, NewEmisData!$D:$D, AV$2), SUMIFS(NewEmisData!L:L, NewEmisData!$A:$A, "LDV", NewEmisData!$B:$B, $A33, NewEmisData!$C:$C, $H33, NewEmisData!$D:$D, AV$2))</f>
        <v>4.76005320802948E-2</v>
      </c>
      <c r="AW33" s="324">
        <f>$I33*IF($G33="Pickup", SUMIFS(NewEmisData!M:M, NewEmisData!$A:$A, "Pickup", NewEmisData!$B:$B, $A33, NewEmisData!$C:$C, $H33, NewEmisData!$D:$D, AW$2), SUMIFS(NewEmisData!M:M, NewEmisData!$A:$A, "LDV", NewEmisData!$B:$B, $A33, NewEmisData!$C:$C, $H33, NewEmisData!$D:$D, AW$2))</f>
        <v>4.7377866603412998E-2</v>
      </c>
      <c r="AX33" s="324">
        <f t="shared" si="8"/>
        <v>4.7377866603412998E-2</v>
      </c>
      <c r="AY33" s="324">
        <f>$I33*IF($G33="Pickup", SUMIFS(NewEmisData!E:E, NewEmisData!$A:$A, "Pickup", NewEmisData!$B:$B, $A33, NewEmisData!$C:$C, $H33, NewEmisData!$D:$D, AY$2), SUMIFS(NewEmisData!E:E, NewEmisData!$A:$A, "LDV", NewEmisData!$B:$B, $A33, NewEmisData!$C:$C, $H33, NewEmisData!$D:$D, AY$2))</f>
        <v>1.9839679684136899E-2</v>
      </c>
      <c r="AZ33" s="324">
        <f>$I33*IF($G33="Pickup", SUMIFS(NewEmisData!F:F, NewEmisData!$A:$A, "Pickup", NewEmisData!$B:$B, $A33, NewEmisData!$C:$C, $H33, NewEmisData!$D:$D, AZ$2), SUMIFS(NewEmisData!F:F, NewEmisData!$A:$A, "LDV", NewEmisData!$B:$B, $A33, NewEmisData!$C:$C, $H33, NewEmisData!$D:$D, AZ$2))</f>
        <v>1.54915322396613E-2</v>
      </c>
      <c r="BA33" s="324">
        <f>$I33*IF($G33="Pickup", SUMIFS(NewEmisData!G:G, NewEmisData!$A:$A, "Pickup", NewEmisData!$B:$B, $A33, NewEmisData!$C:$C, $H33, NewEmisData!$D:$D, BA$2), SUMIFS(NewEmisData!G:G, NewEmisData!$A:$A, "LDV", NewEmisData!$B:$B, $A33, NewEmisData!$C:$C, $H33, NewEmisData!$D:$D, BA$2))</f>
        <v>1.24856485125612E-2</v>
      </c>
      <c r="BB33" s="324">
        <f>$I33*IF($G33="Pickup", SUMIFS(NewEmisData!H:H, NewEmisData!$A:$A, "Pickup", NewEmisData!$B:$B, $A33, NewEmisData!$C:$C, $H33, NewEmisData!$D:$D, BB$2), SUMIFS(NewEmisData!H:H, NewEmisData!$A:$A, "LDV", NewEmisData!$B:$B, $A33, NewEmisData!$C:$C, $H33, NewEmisData!$D:$D, BB$2))</f>
        <v>1.10258430769824E-2</v>
      </c>
      <c r="BC33" s="324">
        <f>$I33*IF($G33="Pickup", SUMIFS(NewEmisData!I:I, NewEmisData!$A:$A, "Pickup", NewEmisData!$B:$B, $A33, NewEmisData!$C:$C, $H33, NewEmisData!$D:$D, BC$2), SUMIFS(NewEmisData!I:I, NewEmisData!$A:$A, "LDV", NewEmisData!$B:$B, $A33, NewEmisData!$C:$C, $H33, NewEmisData!$D:$D, BC$2))</f>
        <v>9.7206839249302599E-3</v>
      </c>
      <c r="BD33" s="324">
        <f>$I33*IF($G33="Pickup", SUMIFS(NewEmisData!J:J, NewEmisData!$A:$A, "Pickup", NewEmisData!$B:$B, $A33, NewEmisData!$C:$C, $H33, NewEmisData!$D:$D, BD$2), SUMIFS(NewEmisData!J:J, NewEmisData!$A:$A, "LDV", NewEmisData!$B:$B, $A33, NewEmisData!$C:$C, $H33, NewEmisData!$D:$D, BD$2))</f>
        <v>8.6588886279032502E-3</v>
      </c>
      <c r="BE33" s="324">
        <f>$I33*IF($G33="Pickup", SUMIFS(NewEmisData!K:K, NewEmisData!$A:$A, "Pickup", NewEmisData!$B:$B, $A33, NewEmisData!$C:$C, $H33, NewEmisData!$D:$D, BE$2), SUMIFS(NewEmisData!K:K, NewEmisData!$A:$A, "LDV", NewEmisData!$B:$B, $A33, NewEmisData!$C:$C, $H33, NewEmisData!$D:$D, BE$2))</f>
        <v>7.9928948991222996E-3</v>
      </c>
      <c r="BF33" s="324">
        <f>$I33*IF($G33="Pickup", SUMIFS(NewEmisData!L:L, NewEmisData!$A:$A, "Pickup", NewEmisData!$B:$B, $A33, NewEmisData!$C:$C, $H33, NewEmisData!$D:$D, BF$2), SUMIFS(NewEmisData!L:L, NewEmisData!$A:$A, "LDV", NewEmisData!$B:$B, $A33, NewEmisData!$C:$C, $H33, NewEmisData!$D:$D, BF$2))</f>
        <v>7.65317007618625E-3</v>
      </c>
      <c r="BG33" s="324">
        <f>$I33*IF($G33="Pickup", SUMIFS(NewEmisData!M:M, NewEmisData!$A:$A, "Pickup", NewEmisData!$B:$B, $A33, NewEmisData!$C:$C, $H33, NewEmisData!$D:$D, BG$2), SUMIFS(NewEmisData!M:M, NewEmisData!$A:$A, "LDV", NewEmisData!$B:$B, $A33, NewEmisData!$C:$C, $H33, NewEmisData!$D:$D, BG$2))</f>
        <v>7.4561632981935697E-3</v>
      </c>
      <c r="BH33" s="324">
        <f t="shared" si="9"/>
        <v>7.4561632981935697E-3</v>
      </c>
      <c r="BI33" s="324">
        <f>$I33*IF($G33="Pickup", SUMIFS(NewEmisData!E:E, NewEmisData!$A:$A, "Pickup", NewEmisData!$B:$B, $A33, NewEmisData!$C:$C, $H33, NewEmisData!$D:$D, BI$2), SUMIFS(NewEmisData!E:E, NewEmisData!$A:$A, "LDV", NewEmisData!$B:$B, $A33, NewEmisData!$C:$C, $H33, NewEmisData!$D:$D, BI$2))</f>
        <v>6.4220034872518204</v>
      </c>
      <c r="BJ33" s="324">
        <f>$I33*IF($G33="Pickup", SUMIFS(NewEmisData!F:F, NewEmisData!$A:$A, "Pickup", NewEmisData!$B:$B, $A33, NewEmisData!$C:$C, $H33, NewEmisData!$D:$D, BJ$2), SUMIFS(NewEmisData!F:F, NewEmisData!$A:$A, "LDV", NewEmisData!$B:$B, $A33, NewEmisData!$C:$C, $H33, NewEmisData!$D:$D, BJ$2))</f>
        <v>3.8479800836345999</v>
      </c>
      <c r="BK33" s="324">
        <f>$I33*IF($G33="Pickup", SUMIFS(NewEmisData!G:G, NewEmisData!$A:$A, "Pickup", NewEmisData!$B:$B, $A33, NewEmisData!$C:$C, $H33, NewEmisData!$D:$D, BK$2), SUMIFS(NewEmisData!G:G, NewEmisData!$A:$A, "LDV", NewEmisData!$B:$B, $A33, NewEmisData!$C:$C, $H33, NewEmisData!$D:$D, BK$2))</f>
        <v>2.9970734916117499</v>
      </c>
      <c r="BL33" s="324">
        <f>$I33*IF($G33="Pickup", SUMIFS(NewEmisData!H:H, NewEmisData!$A:$A, "Pickup", NewEmisData!$B:$B, $A33, NewEmisData!$C:$C, $H33, NewEmisData!$D:$D, BL$2), SUMIFS(NewEmisData!H:H, NewEmisData!$A:$A, "LDV", NewEmisData!$B:$B, $A33, NewEmisData!$C:$C, $H33, NewEmisData!$D:$D, BL$2))</f>
        <v>2.36472323758924</v>
      </c>
      <c r="BM33" s="324">
        <f>$I33*IF($G33="Pickup", SUMIFS(NewEmisData!I:I, NewEmisData!$A:$A, "Pickup", NewEmisData!$B:$B, $A33, NewEmisData!$C:$C, $H33, NewEmisData!$D:$D, BM$2), SUMIFS(NewEmisData!I:I, NewEmisData!$A:$A, "LDV", NewEmisData!$B:$B, $A33, NewEmisData!$C:$C, $H33, NewEmisData!$D:$D, BM$2))</f>
        <v>1.7421472431707099</v>
      </c>
      <c r="BN33" s="324">
        <f>$I33*IF($G33="Pickup", SUMIFS(NewEmisData!J:J, NewEmisData!$A:$A, "Pickup", NewEmisData!$B:$B, $A33, NewEmisData!$C:$C, $H33, NewEmisData!$D:$D, BN$2), SUMIFS(NewEmisData!J:J, NewEmisData!$A:$A, "LDV", NewEmisData!$B:$B, $A33, NewEmisData!$C:$C, $H33, NewEmisData!$D:$D, BN$2))</f>
        <v>1.3931539503279999</v>
      </c>
      <c r="BO33" s="324">
        <f>$I33*IF($G33="Pickup", SUMIFS(NewEmisData!K:K, NewEmisData!$A:$A, "Pickup", NewEmisData!$B:$B, $A33, NewEmisData!$C:$C, $H33, NewEmisData!$D:$D, BO$2), SUMIFS(NewEmisData!K:K, NewEmisData!$A:$A, "LDV", NewEmisData!$B:$B, $A33, NewEmisData!$C:$C, $H33, NewEmisData!$D:$D, BO$2))</f>
        <v>1.2342051269933401</v>
      </c>
      <c r="BP33" s="324">
        <f>$I33*IF($G33="Pickup", SUMIFS(NewEmisData!L:L, NewEmisData!$A:$A, "Pickup", NewEmisData!$B:$B, $A33, NewEmisData!$C:$C, $H33, NewEmisData!$D:$D, BP$2), SUMIFS(NewEmisData!L:L, NewEmisData!$A:$A, "LDV", NewEmisData!$B:$B, $A33, NewEmisData!$C:$C, $H33, NewEmisData!$D:$D, BP$2))</f>
        <v>1.18127069132138</v>
      </c>
      <c r="BQ33" s="324">
        <f>$I33*IF($G33="Pickup", SUMIFS(NewEmisData!M:M, NewEmisData!$A:$A, "Pickup", NewEmisData!$B:$B, $A33, NewEmisData!$C:$C, $H33, NewEmisData!$D:$D, BQ$2), SUMIFS(NewEmisData!M:M, NewEmisData!$A:$A, "LDV", NewEmisData!$B:$B, $A33, NewEmisData!$C:$C, $H33, NewEmisData!$D:$D, BQ$2))</f>
        <v>1.1484293714755001</v>
      </c>
      <c r="BR33" s="324">
        <f t="shared" si="10"/>
        <v>1.1484293714755001</v>
      </c>
      <c r="BS33" s="324">
        <f>$I33*IF($G33="Pickup", SUMIFS(NewEmisData!E:E, NewEmisData!$A:$A, "Pickup", NewEmisData!$B:$B, $A33, NewEmisData!$C:$C, $H33, NewEmisData!$D:$D, BS$2), SUMIFS(NewEmisData!E:E, NewEmisData!$A:$A, "LDV", NewEmisData!$B:$B, $A33, NewEmisData!$C:$C, $H33, NewEmisData!$D:$D, BS$2))</f>
        <v>0.76625314114096599</v>
      </c>
      <c r="BT33" s="324">
        <f>$I33*IF($G33="Pickup", SUMIFS(NewEmisData!F:F, NewEmisData!$A:$A, "Pickup", NewEmisData!$B:$B, $A33, NewEmisData!$C:$C, $H33, NewEmisData!$D:$D, BT$2), SUMIFS(NewEmisData!F:F, NewEmisData!$A:$A, "LDV", NewEmisData!$B:$B, $A33, NewEmisData!$C:$C, $H33, NewEmisData!$D:$D, BT$2))</f>
        <v>0.42849019580384201</v>
      </c>
      <c r="BU33" s="324">
        <f>$I33*IF($G33="Pickup", SUMIFS(NewEmisData!G:G, NewEmisData!$A:$A, "Pickup", NewEmisData!$B:$B, $A33, NewEmisData!$C:$C, $H33, NewEmisData!$D:$D, BU$2), SUMIFS(NewEmisData!G:G, NewEmisData!$A:$A, "LDV", NewEmisData!$B:$B, $A33, NewEmisData!$C:$C, $H33, NewEmisData!$D:$D, BU$2))</f>
        <v>0.33923869580754101</v>
      </c>
      <c r="BV33" s="324">
        <f>$I33*IF($G33="Pickup", SUMIFS(NewEmisData!H:H, NewEmisData!$A:$A, "Pickup", NewEmisData!$B:$B, $A33, NewEmisData!$C:$C, $H33, NewEmisData!$D:$D, BV$2), SUMIFS(NewEmisData!H:H, NewEmisData!$A:$A, "LDV", NewEmisData!$B:$B, $A33, NewEmisData!$C:$C, $H33, NewEmisData!$D:$D, BV$2))</f>
        <v>0.274572609184357</v>
      </c>
      <c r="BW33" s="324">
        <f>$I33*IF($G33="Pickup", SUMIFS(NewEmisData!I:I, NewEmisData!$A:$A, "Pickup", NewEmisData!$B:$B, $A33, NewEmisData!$C:$C, $H33, NewEmisData!$D:$D, BW$2), SUMIFS(NewEmisData!I:I, NewEmisData!$A:$A, "LDV", NewEmisData!$B:$B, $A33, NewEmisData!$C:$C, $H33, NewEmisData!$D:$D, BW$2))</f>
        <v>0.20444446873760599</v>
      </c>
      <c r="BX33" s="324">
        <f>$I33*IF($G33="Pickup", SUMIFS(NewEmisData!J:J, NewEmisData!$A:$A, "Pickup", NewEmisData!$B:$B, $A33, NewEmisData!$C:$C, $H33, NewEmisData!$D:$D, BX$2), SUMIFS(NewEmisData!J:J, NewEmisData!$A:$A, "LDV", NewEmisData!$B:$B, $A33, NewEmisData!$C:$C, $H33, NewEmisData!$D:$D, BX$2))</f>
        <v>0.170176908378738</v>
      </c>
      <c r="BY33" s="324">
        <f>$I33*IF($G33="Pickup", SUMIFS(NewEmisData!K:K, NewEmisData!$A:$A, "Pickup", NewEmisData!$B:$B, $A33, NewEmisData!$C:$C, $H33, NewEmisData!$D:$D, BY$2), SUMIFS(NewEmisData!K:K, NewEmisData!$A:$A, "LDV", NewEmisData!$B:$B, $A33, NewEmisData!$C:$C, $H33, NewEmisData!$D:$D, BY$2))</f>
        <v>0.152045525981331</v>
      </c>
      <c r="BZ33" s="324">
        <f>$I33*IF($G33="Pickup", SUMIFS(NewEmisData!L:L, NewEmisData!$A:$A, "Pickup", NewEmisData!$B:$B, $A33, NewEmisData!$C:$C, $H33, NewEmisData!$D:$D, BZ$2), SUMIFS(NewEmisData!L:L, NewEmisData!$A:$A, "LDV", NewEmisData!$B:$B, $A33, NewEmisData!$C:$C, $H33, NewEmisData!$D:$D, BZ$2))</f>
        <v>0.14503696159912</v>
      </c>
      <c r="CA33" s="324">
        <f>$I33*IF($G33="Pickup", SUMIFS(NewEmisData!M:M, NewEmisData!$A:$A, "Pickup", NewEmisData!$B:$B, $A33, NewEmisData!$C:$C, $H33, NewEmisData!$D:$D, CA$2), SUMIFS(NewEmisData!M:M, NewEmisData!$A:$A, "LDV", NewEmisData!$B:$B, $A33, NewEmisData!$C:$C, $H33, NewEmisData!$D:$D, CA$2))</f>
        <v>0.139402683427791</v>
      </c>
      <c r="CB33" s="324">
        <f t="shared" si="11"/>
        <v>0.139402683427791</v>
      </c>
      <c r="CC33" s="324">
        <f>$I33*IF($G33="Pickup", SUMIFS(NewEmisData!E:E, NewEmisData!$A:$A, "Pickup", NewEmisData!$B:$B, $A33, NewEmisData!$C:$C, $H33, NewEmisData!$D:$D, CC$2), SUMIFS(NewEmisData!E:E, NewEmisData!$A:$A, "LDV", NewEmisData!$B:$B, $A33, NewEmisData!$C:$C, $H33, NewEmisData!$D:$D, CC$2))</f>
        <v>3.9065075142891502E-2</v>
      </c>
      <c r="CD33" s="324">
        <f>$I33*IF($G33="Pickup", SUMIFS(NewEmisData!F:F, NewEmisData!$A:$A, "Pickup", NewEmisData!$B:$B, $A33, NewEmisData!$C:$C, $H33, NewEmisData!$D:$D, CD$2), SUMIFS(NewEmisData!F:F, NewEmisData!$A:$A, "LDV", NewEmisData!$B:$B, $A33, NewEmisData!$C:$C, $H33, NewEmisData!$D:$D, CD$2))</f>
        <v>2.71884075109541E-2</v>
      </c>
      <c r="CE33" s="324">
        <f>$I33*IF($G33="Pickup", SUMIFS(NewEmisData!G:G, NewEmisData!$A:$A, "Pickup", NewEmisData!$B:$B, $A33, NewEmisData!$C:$C, $H33, NewEmisData!$D:$D, CE$2), SUMIFS(NewEmisData!G:G, NewEmisData!$A:$A, "LDV", NewEmisData!$B:$B, $A33, NewEmisData!$C:$C, $H33, NewEmisData!$D:$D, CE$2))</f>
        <v>2.35915905182916E-2</v>
      </c>
      <c r="CF33" s="324">
        <f>$I33*IF($G33="Pickup", SUMIFS(NewEmisData!H:H, NewEmisData!$A:$A, "Pickup", NewEmisData!$B:$B, $A33, NewEmisData!$C:$C, $H33, NewEmisData!$D:$D, CF$2), SUMIFS(NewEmisData!H:H, NewEmisData!$A:$A, "LDV", NewEmisData!$B:$B, $A33, NewEmisData!$C:$C, $H33, NewEmisData!$D:$D, CF$2))</f>
        <v>2.2519914122574401E-2</v>
      </c>
      <c r="CG33" s="324">
        <f>$I33*IF($G33="Pickup", SUMIFS(NewEmisData!I:I, NewEmisData!$A:$A, "Pickup", NewEmisData!$B:$B, $A33, NewEmisData!$C:$C, $H33, NewEmisData!$D:$D, CG$2), SUMIFS(NewEmisData!I:I, NewEmisData!$A:$A, "LDV", NewEmisData!$B:$B, $A33, NewEmisData!$C:$C, $H33, NewEmisData!$D:$D, CG$2))</f>
        <v>2.1807779866682201E-2</v>
      </c>
      <c r="CH33" s="324">
        <f>$I33*IF($G33="Pickup", SUMIFS(NewEmisData!J:J, NewEmisData!$A:$A, "Pickup", NewEmisData!$B:$B, $A33, NewEmisData!$C:$C, $H33, NewEmisData!$D:$D, CH$2), SUMIFS(NewEmisData!J:J, NewEmisData!$A:$A, "LDV", NewEmisData!$B:$B, $A33, NewEmisData!$C:$C, $H33, NewEmisData!$D:$D, CH$2))</f>
        <v>2.1246517083751901E-2</v>
      </c>
      <c r="CI33" s="324">
        <f>$I33*IF($G33="Pickup", SUMIFS(NewEmisData!K:K, NewEmisData!$A:$A, "Pickup", NewEmisData!$B:$B, $A33, NewEmisData!$C:$C, $H33, NewEmisData!$D:$D, CI$2), SUMIFS(NewEmisData!K:K, NewEmisData!$A:$A, "LDV", NewEmisData!$B:$B, $A33, NewEmisData!$C:$C, $H33, NewEmisData!$D:$D, CI$2))</f>
        <v>2.1244746441372499E-2</v>
      </c>
      <c r="CJ33" s="324">
        <f>$I33*IF($G33="Pickup", SUMIFS(NewEmisData!L:L, NewEmisData!$A:$A, "Pickup", NewEmisData!$B:$B, $A33, NewEmisData!$C:$C, $H33, NewEmisData!$D:$D, CJ$2), SUMIFS(NewEmisData!L:L, NewEmisData!$A:$A, "LDV", NewEmisData!$B:$B, $A33, NewEmisData!$C:$C, $H33, NewEmisData!$D:$D, CJ$2))</f>
        <v>2.1244238664552498E-2</v>
      </c>
      <c r="CK33" s="324">
        <f>$I33*IF($G33="Pickup", SUMIFS(NewEmisData!M:M, NewEmisData!$A:$A, "Pickup", NewEmisData!$B:$B, $A33, NewEmisData!$C:$C, $H33, NewEmisData!$D:$D, CK$2), SUMIFS(NewEmisData!M:M, NewEmisData!$A:$A, "LDV", NewEmisData!$B:$B, $A33, NewEmisData!$C:$C, $H33, NewEmisData!$D:$D, CK$2))</f>
        <v>2.1243800212783201E-2</v>
      </c>
      <c r="CL33" s="324">
        <f t="shared" si="12"/>
        <v>2.1243800212783201E-2</v>
      </c>
      <c r="CM33" s="324">
        <f>$I33*IF($G33="Pickup", SUMIFS(NewEmisData!E:E, NewEmisData!$A:$A, "Pickup", NewEmisData!$B:$B, $A33, NewEmisData!$C:$C, $H33, NewEmisData!$D:$D, CM$2), SUMIFS(NewEmisData!E:E, NewEmisData!$A:$A, "LDV", NewEmisData!$B:$B, $A33, NewEmisData!$C:$C, $H33, NewEmisData!$D:$D, CM$2))</f>
        <v>2.3400482606005499E-2</v>
      </c>
      <c r="CN33" s="324">
        <f>$I33*IF($G33="Pickup", SUMIFS(NewEmisData!F:F, NewEmisData!$A:$A, "Pickup", NewEmisData!$B:$B, $A33, NewEmisData!$C:$C, $H33, NewEmisData!$D:$D, CN$2), SUMIFS(NewEmisData!F:F, NewEmisData!$A:$A, "LDV", NewEmisData!$B:$B, $A33, NewEmisData!$C:$C, $H33, NewEmisData!$D:$D, CN$2))</f>
        <v>1.46264020139097E-2</v>
      </c>
      <c r="CO33" s="324">
        <f>$I33*IF($G33="Pickup", SUMIFS(NewEmisData!G:G, NewEmisData!$A:$A, "Pickup", NewEmisData!$B:$B, $A33, NewEmisData!$C:$C, $H33, NewEmisData!$D:$D, CO$2), SUMIFS(NewEmisData!G:G, NewEmisData!$A:$A, "LDV", NewEmisData!$B:$B, $A33, NewEmisData!$C:$C, $H33, NewEmisData!$D:$D, CO$2))</f>
        <v>1.17594755724597E-2</v>
      </c>
      <c r="CP33" s="324">
        <f>$I33*IF($G33="Pickup", SUMIFS(NewEmisData!H:H, NewEmisData!$A:$A, "Pickup", NewEmisData!$B:$B, $A33, NewEmisData!$C:$C, $H33, NewEmisData!$D:$D, CP$2), SUMIFS(NewEmisData!H:H, NewEmisData!$A:$A, "LDV", NewEmisData!$B:$B, $A33, NewEmisData!$C:$C, $H33, NewEmisData!$D:$D, CP$2))</f>
        <v>9.5913131178771704E-3</v>
      </c>
      <c r="CQ33" s="324">
        <f>$I33*IF($G33="Pickup", SUMIFS(NewEmisData!I:I, NewEmisData!$A:$A, "Pickup", NewEmisData!$B:$B, $A33, NewEmisData!$C:$C, $H33, NewEmisData!$D:$D, CQ$2), SUMIFS(NewEmisData!I:I, NewEmisData!$A:$A, "LDV", NewEmisData!$B:$B, $A33, NewEmisData!$C:$C, $H33, NewEmisData!$D:$D, CQ$2))</f>
        <v>8.49787062067325E-3</v>
      </c>
      <c r="CR33" s="324">
        <f>$I33*IF($G33="Pickup", SUMIFS(NewEmisData!J:J, NewEmisData!$A:$A, "Pickup", NewEmisData!$B:$B, $A33, NewEmisData!$C:$C, $H33, NewEmisData!$D:$D, CR$2), SUMIFS(NewEmisData!J:J, NewEmisData!$A:$A, "LDV", NewEmisData!$B:$B, $A33, NewEmisData!$C:$C, $H33, NewEmisData!$D:$D, CR$2))</f>
        <v>8.0109865110152001E-3</v>
      </c>
      <c r="CS33" s="324">
        <f>$I33*IF($G33="Pickup", SUMIFS(NewEmisData!K:K, NewEmisData!$A:$A, "Pickup", NewEmisData!$B:$B, $A33, NewEmisData!$C:$C, $H33, NewEmisData!$D:$D, CS$2), SUMIFS(NewEmisData!K:K, NewEmisData!$A:$A, "LDV", NewEmisData!$B:$B, $A33, NewEmisData!$C:$C, $H33, NewEmisData!$D:$D, CS$2))</f>
        <v>7.9536784391849198E-3</v>
      </c>
      <c r="CT33" s="324">
        <f>$I33*IF($G33="Pickup", SUMIFS(NewEmisData!L:L, NewEmisData!$A:$A, "Pickup", NewEmisData!$B:$B, $A33, NewEmisData!$C:$C, $H33, NewEmisData!$D:$D, CT$2), SUMIFS(NewEmisData!L:L, NewEmisData!$A:$A, "LDV", NewEmisData!$B:$B, $A33, NewEmisData!$C:$C, $H33, NewEmisData!$D:$D, CT$2))</f>
        <v>7.8603296078806496E-3</v>
      </c>
      <c r="CU33" s="324">
        <f>$I33*IF($G33="Pickup", SUMIFS(NewEmisData!M:M, NewEmisData!$A:$A, "Pickup", NewEmisData!$B:$B, $A33, NewEmisData!$C:$C, $H33, NewEmisData!$D:$D, CU$2), SUMIFS(NewEmisData!M:M, NewEmisData!$A:$A, "LDV", NewEmisData!$B:$B, $A33, NewEmisData!$C:$C, $H33, NewEmisData!$D:$D, CU$2))</f>
        <v>7.8597717488691193E-3</v>
      </c>
      <c r="CV33" s="324">
        <f t="shared" si="13"/>
        <v>7.8597717488691193E-3</v>
      </c>
      <c r="CW33" s="324">
        <v>4.0498104655261064E-3</v>
      </c>
      <c r="CX33" s="324">
        <v>2.5030350838759993E-3</v>
      </c>
      <c r="CY33" s="324">
        <v>2.1151214403419519E-3</v>
      </c>
      <c r="CZ33" s="324">
        <v>1.7489979687569375E-3</v>
      </c>
      <c r="DA33" s="324">
        <v>1.340486996695321E-3</v>
      </c>
      <c r="DB33" s="324">
        <v>1.0553769116342638E-3</v>
      </c>
      <c r="DC33" s="324">
        <v>1.0132227560056145E-3</v>
      </c>
      <c r="DD33" s="324">
        <v>1.0003159541004489E-3</v>
      </c>
      <c r="DE33" s="324">
        <v>9.9860782000699166E-4</v>
      </c>
      <c r="DF33" s="324">
        <v>9.9860782000699166E-4</v>
      </c>
      <c r="DG33" s="324">
        <f>$I33*IF($G33="Pickup", SUMIFS(NewEmisData!E:E, NewEmisData!$A:$A, "Pickup", NewEmisData!$B:$B, $A33, NewEmisData!$C:$C, $H33, NewEmisData!$D:$D, DG$2), SUMIFS(NewEmisData!E:E, NewEmisData!$A:$A, "LDV", NewEmisData!$B:$B, $A33, NewEmisData!$C:$C, $H33, NewEmisData!$D:$D, DG$2))</f>
        <v>0</v>
      </c>
      <c r="DH33" s="324">
        <f>$I33*IF($G33="Pickup", SUMIFS(NewEmisData!F:F, NewEmisData!$A:$A, "Pickup", NewEmisData!$B:$B, $A33, NewEmisData!$C:$C, $H33, NewEmisData!$D:$D, DH$2), SUMIFS(NewEmisData!F:F, NewEmisData!$A:$A, "LDV", NewEmisData!$B:$B, $A33, NewEmisData!$C:$C, $H33, NewEmisData!$D:$D, DH$2))</f>
        <v>0</v>
      </c>
      <c r="DI33" s="324">
        <f>$I33*IF($G33="Pickup", SUMIFS(NewEmisData!G:G, NewEmisData!$A:$A, "Pickup", NewEmisData!$B:$B, $A33, NewEmisData!$C:$C, $H33, NewEmisData!$D:$D, DI$2), SUMIFS(NewEmisData!G:G, NewEmisData!$A:$A, "LDV", NewEmisData!$B:$B, $A33, NewEmisData!$C:$C, $H33, NewEmisData!$D:$D, DI$2))</f>
        <v>0</v>
      </c>
      <c r="DJ33" s="324">
        <f>$I33*IF($G33="Pickup", SUMIFS(NewEmisData!H:H, NewEmisData!$A:$A, "Pickup", NewEmisData!$B:$B, $A33, NewEmisData!$C:$C, $H33, NewEmisData!$D:$D, DJ$2), SUMIFS(NewEmisData!H:H, NewEmisData!$A:$A, "LDV", NewEmisData!$B:$B, $A33, NewEmisData!$C:$C, $H33, NewEmisData!$D:$D, DJ$2))</f>
        <v>0</v>
      </c>
      <c r="DK33" s="324">
        <f>$I33*IF($G33="Pickup", SUMIFS(NewEmisData!I:I, NewEmisData!$A:$A, "Pickup", NewEmisData!$B:$B, $A33, NewEmisData!$C:$C, $H33, NewEmisData!$D:$D, DK$2), SUMIFS(NewEmisData!I:I, NewEmisData!$A:$A, "LDV", NewEmisData!$B:$B, $A33, NewEmisData!$C:$C, $H33, NewEmisData!$D:$D, DK$2))</f>
        <v>0</v>
      </c>
      <c r="DL33" s="324">
        <f>$I33*IF($G33="Pickup", SUMIFS(NewEmisData!J:J, NewEmisData!$A:$A, "Pickup", NewEmisData!$B:$B, $A33, NewEmisData!$C:$C, $H33, NewEmisData!$D:$D, DL$2), SUMIFS(NewEmisData!J:J, NewEmisData!$A:$A, "LDV", NewEmisData!$B:$B, $A33, NewEmisData!$C:$C, $H33, NewEmisData!$D:$D, DL$2))</f>
        <v>0</v>
      </c>
      <c r="DM33" s="324">
        <f>$I33*IF($G33="Pickup", SUMIFS(NewEmisData!K:K, NewEmisData!$A:$A, "Pickup", NewEmisData!$B:$B, $A33, NewEmisData!$C:$C, $H33, NewEmisData!$D:$D, DM$2), SUMIFS(NewEmisData!K:K, NewEmisData!$A:$A, "LDV", NewEmisData!$B:$B, $A33, NewEmisData!$C:$C, $H33, NewEmisData!$D:$D, DM$2))</f>
        <v>0</v>
      </c>
      <c r="DN33" s="324">
        <f>$I33*IF($G33="Pickup", SUMIFS(NewEmisData!L:L, NewEmisData!$A:$A, "Pickup", NewEmisData!$B:$B, $A33, NewEmisData!$C:$C, $H33, NewEmisData!$D:$D, DN$2), SUMIFS(NewEmisData!L:L, NewEmisData!$A:$A, "LDV", NewEmisData!$B:$B, $A33, NewEmisData!$C:$C, $H33, NewEmisData!$D:$D, DN$2))</f>
        <v>0</v>
      </c>
      <c r="DO33" s="324">
        <f>$I33*IF($G33="Pickup", SUMIFS(NewEmisData!M:M, NewEmisData!$A:$A, "Pickup", NewEmisData!$B:$B, $A33, NewEmisData!$C:$C, $H33, NewEmisData!$D:$D, DO$2), SUMIFS(NewEmisData!M:M, NewEmisData!$A:$A, "LDV", NewEmisData!$B:$B, $A33, NewEmisData!$C:$C, $H33, NewEmisData!$D:$D, DO$2))</f>
        <v>0</v>
      </c>
      <c r="DP33" s="324">
        <f t="shared" si="14"/>
        <v>0</v>
      </c>
      <c r="DQ33" s="324">
        <f>$I33*IF($G33="Pickup", SUMIFS(NewEmisData!E:E, NewEmisData!$A:$A, "Pickup", NewEmisData!$B:$B, $A33, NewEmisData!$C:$C, $H33, NewEmisData!$D:$D, DQ$2), SUMIFS(NewEmisData!E:E, NewEmisData!$A:$A, "LDV", NewEmisData!$B:$B, $A33, NewEmisData!$C:$C, $H33, NewEmisData!$D:$D, DQ$2))</f>
        <v>1.5358627671248499E-2</v>
      </c>
      <c r="DR33" s="324">
        <f>$I33*IF($G33="Pickup", SUMIFS(NewEmisData!F:F, NewEmisData!$A:$A, "Pickup", NewEmisData!$B:$B, $A33, NewEmisData!$C:$C, $H33, NewEmisData!$D:$D, DR$2), SUMIFS(NewEmisData!F:F, NewEmisData!$A:$A, "LDV", NewEmisData!$B:$B, $A33, NewEmisData!$C:$C, $H33, NewEmisData!$D:$D, DR$2))</f>
        <v>9.2701502330196205E-3</v>
      </c>
      <c r="DS33" s="324">
        <f>$I33*IF($G33="Pickup", SUMIFS(NewEmisData!G:G, NewEmisData!$A:$A, "Pickup", NewEmisData!$B:$B, $A33, NewEmisData!$C:$C, $H33, NewEmisData!$D:$D, DS$2), SUMIFS(NewEmisData!G:G, NewEmisData!$A:$A, "LDV", NewEmisData!$B:$B, $A33, NewEmisData!$C:$C, $H33, NewEmisData!$D:$D, DS$2))</f>
        <v>7.3800443468092902E-3</v>
      </c>
      <c r="DT33" s="324">
        <f>$I33*IF($G33="Pickup", SUMIFS(NewEmisData!H:H, NewEmisData!$A:$A, "Pickup", NewEmisData!$B:$B, $A33, NewEmisData!$C:$C, $H33, NewEmisData!$D:$D, DT$2), SUMIFS(NewEmisData!H:H, NewEmisData!$A:$A, "LDV", NewEmisData!$B:$B, $A33, NewEmisData!$C:$C, $H33, NewEmisData!$D:$D, DT$2))</f>
        <v>5.7500359883598503E-3</v>
      </c>
      <c r="DU33" s="324">
        <f>$I33*IF($G33="Pickup", SUMIFS(NewEmisData!I:I, NewEmisData!$A:$A, "Pickup", NewEmisData!$B:$B, $A33, NewEmisData!$C:$C, $H33, NewEmisData!$D:$D, DU$2), SUMIFS(NewEmisData!I:I, NewEmisData!$A:$A, "LDV", NewEmisData!$B:$B, $A33, NewEmisData!$C:$C, $H33, NewEmisData!$D:$D, DU$2))</f>
        <v>4.5486358185720301E-3</v>
      </c>
      <c r="DV33" s="324">
        <f>$I33*IF($G33="Pickup", SUMIFS(NewEmisData!J:J, NewEmisData!$A:$A, "Pickup", NewEmisData!$B:$B, $A33, NewEmisData!$C:$C, $H33, NewEmisData!$D:$D, DV$2), SUMIFS(NewEmisData!J:J, NewEmisData!$A:$A, "LDV", NewEmisData!$B:$B, $A33, NewEmisData!$C:$C, $H33, NewEmisData!$D:$D, DV$2))</f>
        <v>3.9745008012961004E-3</v>
      </c>
      <c r="DW33" s="324">
        <f>$I33*IF($G33="Pickup", SUMIFS(NewEmisData!K:K, NewEmisData!$A:$A, "Pickup", NewEmisData!$B:$B, $A33, NewEmisData!$C:$C, $H33, NewEmisData!$D:$D, DW$2), SUMIFS(NewEmisData!K:K, NewEmisData!$A:$A, "LDV", NewEmisData!$B:$B, $A33, NewEmisData!$C:$C, $H33, NewEmisData!$D:$D, DW$2))</f>
        <v>3.6505775807205302E-3</v>
      </c>
      <c r="DX33" s="324">
        <f>$I33*IF($G33="Pickup", SUMIFS(NewEmisData!L:L, NewEmisData!$A:$A, "Pickup", NewEmisData!$B:$B, $A33, NewEmisData!$C:$C, $H33, NewEmisData!$D:$D, DX$2), SUMIFS(NewEmisData!L:L, NewEmisData!$A:$A, "LDV", NewEmisData!$B:$B, $A33, NewEmisData!$C:$C, $H33, NewEmisData!$D:$D, DX$2))</f>
        <v>3.5463484367939599E-3</v>
      </c>
      <c r="DY33" s="324">
        <f>$I33*IF($G33="Pickup", SUMIFS(NewEmisData!M:M, NewEmisData!$A:$A, "Pickup", NewEmisData!$B:$B, $A33, NewEmisData!$C:$C, $H33, NewEmisData!$D:$D, DY$2), SUMIFS(NewEmisData!M:M, NewEmisData!$A:$A, "LDV", NewEmisData!$B:$B, $A33, NewEmisData!$C:$C, $H33, NewEmisData!$D:$D, DY$2))</f>
        <v>3.4918759359810199E-3</v>
      </c>
      <c r="DZ33" s="324">
        <f t="shared" si="15"/>
        <v>3.4918759359810199E-3</v>
      </c>
      <c r="EA33" s="324">
        <f t="shared" si="16"/>
        <v>474.817101058422</v>
      </c>
      <c r="EB33" s="324">
        <f t="shared" si="17"/>
        <v>451.24703471572099</v>
      </c>
      <c r="EC33" s="324">
        <f t="shared" si="18"/>
        <v>359.55406391675598</v>
      </c>
      <c r="ED33" s="324">
        <f t="shared" si="19"/>
        <v>306.68867751853497</v>
      </c>
      <c r="EE33" s="324">
        <f t="shared" si="20"/>
        <v>266.05693149041099</v>
      </c>
      <c r="EF33" s="324">
        <f t="shared" si="21"/>
        <v>243.087176828883</v>
      </c>
      <c r="EG33" s="324">
        <f t="shared" si="22"/>
        <v>232.82718030870799</v>
      </c>
      <c r="EH33" s="324">
        <f t="shared" si="23"/>
        <v>229.167353178653</v>
      </c>
      <c r="EI33" s="324">
        <f t="shared" si="24"/>
        <v>227.80956840287899</v>
      </c>
      <c r="EJ33" s="324">
        <f t="shared" si="25"/>
        <v>227.80956840287899</v>
      </c>
      <c r="EK33" s="324">
        <f t="shared" si="26"/>
        <v>0.70973077210402302</v>
      </c>
      <c r="EL33" s="324">
        <f t="shared" si="27"/>
        <v>0.32036907792622199</v>
      </c>
      <c r="EM33" s="324">
        <f t="shared" si="28"/>
        <v>0.23974719966536701</v>
      </c>
      <c r="EN33" s="324">
        <f t="shared" si="29"/>
        <v>0.160612501035788</v>
      </c>
      <c r="EO33" s="324">
        <f t="shared" si="30"/>
        <v>0.10365613117262901</v>
      </c>
      <c r="EP33" s="324">
        <f t="shared" si="31"/>
        <v>7.8799994555065797E-2</v>
      </c>
      <c r="EQ33" s="324">
        <f t="shared" si="32"/>
        <v>6.8646939612850705E-2</v>
      </c>
      <c r="ER33" s="324">
        <f t="shared" si="33"/>
        <v>6.5824398729591893E-2</v>
      </c>
      <c r="ES33" s="324">
        <f t="shared" si="34"/>
        <v>6.4340803704991095E-2</v>
      </c>
      <c r="ET33" s="324">
        <f t="shared" si="35"/>
        <v>6.4340803704991095E-2</v>
      </c>
      <c r="EU33" s="324">
        <f t="shared" si="36"/>
        <v>8.2160020457903906E-3</v>
      </c>
      <c r="EV33" s="324">
        <f t="shared" si="37"/>
        <v>7.80815598787189E-3</v>
      </c>
      <c r="EW33" s="324">
        <f t="shared" si="38"/>
        <v>5.1579884513251097E-3</v>
      </c>
      <c r="EX33" s="324">
        <f t="shared" si="39"/>
        <v>4.3996084263759998E-3</v>
      </c>
      <c r="EY33" s="324">
        <f t="shared" si="40"/>
        <v>3.81672539575274E-3</v>
      </c>
      <c r="EZ33" s="324">
        <f t="shared" si="41"/>
        <v>3.4872096414849999E-3</v>
      </c>
      <c r="FA33" s="324">
        <f t="shared" si="42"/>
        <v>3.3400286224750798E-3</v>
      </c>
      <c r="FB33" s="324">
        <f t="shared" si="43"/>
        <v>3.2875233288682799E-3</v>
      </c>
      <c r="FC33" s="324">
        <f t="shared" si="44"/>
        <v>3.2680461258744399E-3</v>
      </c>
      <c r="FD33" s="324">
        <f t="shared" si="45"/>
        <v>3.2680461258744399E-3</v>
      </c>
      <c r="FE33" s="324">
        <f t="shared" si="46"/>
        <v>7.6637268565666605E-2</v>
      </c>
      <c r="FF33" s="324">
        <f t="shared" si="47"/>
        <v>7.17220347655846E-2</v>
      </c>
      <c r="FG33" s="324">
        <f t="shared" si="48"/>
        <v>5.3063354209187903E-2</v>
      </c>
      <c r="FH33" s="324">
        <f t="shared" si="49"/>
        <v>5.1413159178765599E-2</v>
      </c>
      <c r="FI33" s="324">
        <f t="shared" si="50"/>
        <v>4.9937748877796798E-2</v>
      </c>
      <c r="FJ33" s="324">
        <f t="shared" si="51"/>
        <v>4.8737436898882699E-2</v>
      </c>
      <c r="FK33" s="324">
        <f t="shared" si="52"/>
        <v>4.7984590527250397E-2</v>
      </c>
      <c r="FL33" s="324">
        <f t="shared" si="53"/>
        <v>4.76005320802948E-2</v>
      </c>
      <c r="FM33" s="324">
        <f t="shared" si="54"/>
        <v>4.7377866603412998E-2</v>
      </c>
      <c r="FN33" s="324">
        <f t="shared" si="55"/>
        <v>4.7377866603412998E-2</v>
      </c>
      <c r="FO33" s="324">
        <f t="shared" si="56"/>
        <v>1.9839679684136899E-2</v>
      </c>
      <c r="FP33" s="324">
        <f t="shared" si="57"/>
        <v>1.54915322396613E-2</v>
      </c>
      <c r="FQ33" s="324">
        <f t="shared" si="58"/>
        <v>1.24856485125612E-2</v>
      </c>
      <c r="FR33" s="324">
        <f t="shared" si="59"/>
        <v>1.10258430769824E-2</v>
      </c>
      <c r="FS33" s="324">
        <f t="shared" si="60"/>
        <v>9.7206839249302599E-3</v>
      </c>
      <c r="FT33" s="324">
        <f t="shared" si="61"/>
        <v>8.6588886279032502E-3</v>
      </c>
      <c r="FU33" s="324">
        <f t="shared" si="62"/>
        <v>7.9928948991222996E-3</v>
      </c>
      <c r="FV33" s="324">
        <f t="shared" si="63"/>
        <v>7.65317007618625E-3</v>
      </c>
      <c r="FW33" s="324">
        <f t="shared" si="64"/>
        <v>7.4561632981935697E-3</v>
      </c>
      <c r="FX33" s="324">
        <f t="shared" si="65"/>
        <v>7.4561632981935697E-3</v>
      </c>
    </row>
    <row r="34" spans="1:180" x14ac:dyDescent="0.2">
      <c r="A34" s="298" t="str">
        <f>_xlfn.CONCAT(IF(LEFT(TRIM(A33),1)="*", "*R", "R"), 1+RIGHT(TRIM(A33),1))</f>
        <v>R6</v>
      </c>
      <c r="B34" s="298" t="str">
        <f t="shared" si="86"/>
        <v>TLESSGSL</v>
      </c>
      <c r="C34" s="298" t="str">
        <f t="shared" si="87"/>
        <v>TL.GSL.SS.Existing fleet</v>
      </c>
      <c r="D34" s="294" t="str">
        <f t="shared" si="88"/>
        <v>bn-vmt, bn-vmt/a</v>
      </c>
      <c r="E34" s="294" t="str">
        <f t="shared" si="89"/>
        <v>TLGSL</v>
      </c>
      <c r="F34" s="294" t="str">
        <f t="shared" si="90"/>
        <v>TL</v>
      </c>
      <c r="G34" s="294" t="s">
        <v>424</v>
      </c>
      <c r="H34" s="294" t="s">
        <v>474</v>
      </c>
      <c r="I34" s="294">
        <v>1</v>
      </c>
      <c r="J34" s="308" t="str">
        <f t="shared" si="2"/>
        <v>Small SUV-GSL</v>
      </c>
      <c r="K34" s="324">
        <f>$I34*IF($G34="Pickup", SUMIFS(NewEmisData!E:E, NewEmisData!$A:$A, "Pickup", NewEmisData!$B:$B, $A34, NewEmisData!$C:$C, $H34, NewEmisData!$D:$D, K$2), SUMIFS(NewEmisData!E:E, NewEmisData!$A:$A, "LDV", NewEmisData!$B:$B, $A34, NewEmisData!$C:$C, $H34, NewEmisData!$D:$D, K$2))</f>
        <v>465.43339574540698</v>
      </c>
      <c r="L34" s="324">
        <f>$I34*IF($G34="Pickup", SUMIFS(NewEmisData!F:F, NewEmisData!$A:$A, "Pickup", NewEmisData!$B:$B, $A34, NewEmisData!$C:$C, $H34, NewEmisData!$D:$D, L$2), SUMIFS(NewEmisData!F:F, NewEmisData!$A:$A, "LDV", NewEmisData!$B:$B, $A34, NewEmisData!$C:$C, $H34, NewEmisData!$D:$D, L$2))</f>
        <v>447.45086858043499</v>
      </c>
      <c r="M34" s="324">
        <f>$I34*IF($G34="Pickup", SUMIFS(NewEmisData!G:G, NewEmisData!$A:$A, "Pickup", NewEmisData!$B:$B, $A34, NewEmisData!$C:$C, $H34, NewEmisData!$D:$D, M$2), SUMIFS(NewEmisData!G:G, NewEmisData!$A:$A, "LDV", NewEmisData!$B:$B, $A34, NewEmisData!$C:$C, $H34, NewEmisData!$D:$D, M$2))</f>
        <v>371.68579631799702</v>
      </c>
      <c r="N34" s="324">
        <f>$I34*IF($G34="Pickup", SUMIFS(NewEmisData!H:H, NewEmisData!$A:$A, "Pickup", NewEmisData!$B:$B, $A34, NewEmisData!$C:$C, $H34, NewEmisData!$D:$D, N$2), SUMIFS(NewEmisData!H:H, NewEmisData!$A:$A, "LDV", NewEmisData!$B:$B, $A34, NewEmisData!$C:$C, $H34, NewEmisData!$D:$D, N$2))</f>
        <v>316.68783468886801</v>
      </c>
      <c r="O34" s="324">
        <f>$I34*IF($G34="Pickup", SUMIFS(NewEmisData!I:I, NewEmisData!$A:$A, "Pickup", NewEmisData!$B:$B, $A34, NewEmisData!$C:$C, $H34, NewEmisData!$D:$D, O$2), SUMIFS(NewEmisData!I:I, NewEmisData!$A:$A, "LDV", NewEmisData!$B:$B, $A34, NewEmisData!$C:$C, $H34, NewEmisData!$D:$D, O$2))</f>
        <v>274.45359564691302</v>
      </c>
      <c r="P34" s="324">
        <f>$I34*IF($G34="Pickup", SUMIFS(NewEmisData!J:J, NewEmisData!$A:$A, "Pickup", NewEmisData!$B:$B, $A34, NewEmisData!$C:$C, $H34, NewEmisData!$D:$D, P$2), SUMIFS(NewEmisData!J:J, NewEmisData!$A:$A, "LDV", NewEmisData!$B:$B, $A34, NewEmisData!$C:$C, $H34, NewEmisData!$D:$D, P$2))</f>
        <v>250.610452801164</v>
      </c>
      <c r="Q34" s="324">
        <f>$I34*IF($G34="Pickup", SUMIFS(NewEmisData!K:K, NewEmisData!$A:$A, "Pickup", NewEmisData!$B:$B, $A34, NewEmisData!$C:$C, $H34, NewEmisData!$D:$D, Q$2), SUMIFS(NewEmisData!K:K, NewEmisData!$A:$A, "LDV", NewEmisData!$B:$B, $A34, NewEmisData!$C:$C, $H34, NewEmisData!$D:$D, Q$2))</f>
        <v>239.96929474207201</v>
      </c>
      <c r="R34" s="324">
        <f>$I34*IF($G34="Pickup", SUMIFS(NewEmisData!L:L, NewEmisData!$A:$A, "Pickup", NewEmisData!$B:$B, $A34, NewEmisData!$C:$C, $H34, NewEmisData!$D:$D, R$2), SUMIFS(NewEmisData!L:L, NewEmisData!$A:$A, "LDV", NewEmisData!$B:$B, $A34, NewEmisData!$C:$C, $H34, NewEmisData!$D:$D, R$2))</f>
        <v>236.17949059358199</v>
      </c>
      <c r="S34" s="324">
        <f>$I34*IF($G34="Pickup", SUMIFS(NewEmisData!M:M, NewEmisData!$A:$A, "Pickup", NewEmisData!$B:$B, $A34, NewEmisData!$C:$C, $H34, NewEmisData!$D:$D, S$2), SUMIFS(NewEmisData!M:M, NewEmisData!$A:$A, "LDV", NewEmisData!$B:$B, $A34, NewEmisData!$C:$C, $H34, NewEmisData!$D:$D, S$2))</f>
        <v>234.77621268414799</v>
      </c>
      <c r="T34" s="324">
        <f t="shared" si="5"/>
        <v>234.77621268414799</v>
      </c>
      <c r="U34" s="324">
        <f>$I34*IF($G34="Pickup", SUMIFS(NewEmisData!E:E, NewEmisData!$A:$A, "Pickup", NewEmisData!$B:$B, $A34, NewEmisData!$C:$C, $H34, NewEmisData!$D:$D, U$2), SUMIFS(NewEmisData!E:E, NewEmisData!$A:$A, "LDV", NewEmisData!$B:$B, $A34, NewEmisData!$C:$C, $H34, NewEmisData!$D:$D, U$2))</f>
        <v>0.76817370125590101</v>
      </c>
      <c r="V34" s="324">
        <f>$I34*IF($G34="Pickup", SUMIFS(NewEmisData!F:F, NewEmisData!$A:$A, "Pickup", NewEmisData!$B:$B, $A34, NewEmisData!$C:$C, $H34, NewEmisData!$D:$D, V$2), SUMIFS(NewEmisData!F:F, NewEmisData!$A:$A, "LDV", NewEmisData!$B:$B, $A34, NewEmisData!$C:$C, $H34, NewEmisData!$D:$D, V$2))</f>
        <v>0.34255400012381199</v>
      </c>
      <c r="W34" s="324">
        <f>$I34*IF($G34="Pickup", SUMIFS(NewEmisData!G:G, NewEmisData!$A:$A, "Pickup", NewEmisData!$B:$B, $A34, NewEmisData!$C:$C, $H34, NewEmisData!$D:$D, W$2), SUMIFS(NewEmisData!G:G, NewEmisData!$A:$A, "LDV", NewEmisData!$B:$B, $A34, NewEmisData!$C:$C, $H34, NewEmisData!$D:$D, W$2))</f>
        <v>0.22026197441968301</v>
      </c>
      <c r="X34" s="324">
        <f>$I34*IF($G34="Pickup", SUMIFS(NewEmisData!H:H, NewEmisData!$A:$A, "Pickup", NewEmisData!$B:$B, $A34, NewEmisData!$C:$C, $H34, NewEmisData!$D:$D, X$2), SUMIFS(NewEmisData!H:H, NewEmisData!$A:$A, "LDV", NewEmisData!$B:$B, $A34, NewEmisData!$C:$C, $H34, NewEmisData!$D:$D, X$2))</f>
        <v>0.146130223505477</v>
      </c>
      <c r="Y34" s="324">
        <f>$I34*IF($G34="Pickup", SUMIFS(NewEmisData!I:I, NewEmisData!$A:$A, "Pickup", NewEmisData!$B:$B, $A34, NewEmisData!$C:$C, $H34, NewEmisData!$D:$D, Y$2), SUMIFS(NewEmisData!I:I, NewEmisData!$A:$A, "LDV", NewEmisData!$B:$B, $A34, NewEmisData!$C:$C, $H34, NewEmisData!$D:$D, Y$2))</f>
        <v>9.25204446820201E-2</v>
      </c>
      <c r="Z34" s="324">
        <f>$I34*IF($G34="Pickup", SUMIFS(NewEmisData!J:J, NewEmisData!$A:$A, "Pickup", NewEmisData!$B:$B, $A34, NewEmisData!$C:$C, $H34, NewEmisData!$D:$D, Z$2), SUMIFS(NewEmisData!J:J, NewEmisData!$A:$A, "LDV", NewEmisData!$B:$B, $A34, NewEmisData!$C:$C, $H34, NewEmisData!$D:$D, Z$2))</f>
        <v>6.9646332093205393E-2</v>
      </c>
      <c r="AA34" s="324">
        <f>$I34*IF($G34="Pickup", SUMIFS(NewEmisData!K:K, NewEmisData!$A:$A, "Pickup", NewEmisData!$B:$B, $A34, NewEmisData!$C:$C, $H34, NewEmisData!$D:$D, AA$2), SUMIFS(NewEmisData!K:K, NewEmisData!$A:$A, "LDV", NewEmisData!$B:$B, $A34, NewEmisData!$C:$C, $H34, NewEmisData!$D:$D, AA$2))</f>
        <v>6.0285539426727999E-2</v>
      </c>
      <c r="AB34" s="324">
        <f>$I34*IF($G34="Pickup", SUMIFS(NewEmisData!L:L, NewEmisData!$A:$A, "Pickup", NewEmisData!$B:$B, $A34, NewEmisData!$C:$C, $H34, NewEmisData!$D:$D, AB$2), SUMIFS(NewEmisData!L:L, NewEmisData!$A:$A, "LDV", NewEmisData!$B:$B, $A34, NewEmisData!$C:$C, $H34, NewEmisData!$D:$D, AB$2))</f>
        <v>5.7685517085836899E-2</v>
      </c>
      <c r="AC34" s="324">
        <f>$I34*IF($G34="Pickup", SUMIFS(NewEmisData!M:M, NewEmisData!$A:$A, "Pickup", NewEmisData!$B:$B, $A34, NewEmisData!$C:$C, $H34, NewEmisData!$D:$D, AC$2), SUMIFS(NewEmisData!M:M, NewEmisData!$A:$A, "LDV", NewEmisData!$B:$B, $A34, NewEmisData!$C:$C, $H34, NewEmisData!$D:$D, AC$2))</f>
        <v>5.6336256806388998E-2</v>
      </c>
      <c r="AD34" s="324">
        <f t="shared" si="6"/>
        <v>5.6336256806388998E-2</v>
      </c>
      <c r="AE34" s="324">
        <f>$I34*IF($G34="Pickup", SUMIFS(NewEmisData!E:E, NewEmisData!$A:$A, "Pickup", NewEmisData!$B:$B, $A34, NewEmisData!$C:$C, $H34, NewEmisData!$D:$D, AE$2), SUMIFS(NewEmisData!E:E, NewEmisData!$A:$A, "LDV", NewEmisData!$B:$B, $A34, NewEmisData!$C:$C, $H34, NewEmisData!$D:$D, AE$2))</f>
        <v>8.0536316527093799E-3</v>
      </c>
      <c r="AF34" s="324">
        <f>$I34*IF($G34="Pickup", SUMIFS(NewEmisData!F:F, NewEmisData!$A:$A, "Pickup", NewEmisData!$B:$B, $A34, NewEmisData!$C:$C, $H34, NewEmisData!$D:$D, AF$2), SUMIFS(NewEmisData!F:F, NewEmisData!$A:$A, "LDV", NewEmisData!$B:$B, $A34, NewEmisData!$C:$C, $H34, NewEmisData!$D:$D, AF$2))</f>
        <v>7.7424694052717798E-3</v>
      </c>
      <c r="AG34" s="324">
        <f>$I34*IF($G34="Pickup", SUMIFS(NewEmisData!G:G, NewEmisData!$A:$A, "Pickup", NewEmisData!$B:$B, $A34, NewEmisData!$C:$C, $H34, NewEmisData!$D:$D, AG$2), SUMIFS(NewEmisData!G:G, NewEmisData!$A:$A, "LDV", NewEmisData!$B:$B, $A34, NewEmisData!$C:$C, $H34, NewEmisData!$D:$D, AG$2))</f>
        <v>5.3320257089092297E-3</v>
      </c>
      <c r="AH34" s="324">
        <f>$I34*IF($G34="Pickup", SUMIFS(NewEmisData!H:H, NewEmisData!$A:$A, "Pickup", NewEmisData!$B:$B, $A34, NewEmisData!$C:$C, $H34, NewEmisData!$D:$D, AH$2), SUMIFS(NewEmisData!H:H, NewEmisData!$A:$A, "LDV", NewEmisData!$B:$B, $A34, NewEmisData!$C:$C, $H34, NewEmisData!$D:$D, AH$2))</f>
        <v>4.5430510168157703E-3</v>
      </c>
      <c r="AI34" s="324">
        <f>$I34*IF($G34="Pickup", SUMIFS(NewEmisData!I:I, NewEmisData!$A:$A, "Pickup", NewEmisData!$B:$B, $A34, NewEmisData!$C:$C, $H34, NewEmisData!$D:$D, AI$2), SUMIFS(NewEmisData!I:I, NewEmisData!$A:$A, "LDV", NewEmisData!$B:$B, $A34, NewEmisData!$C:$C, $H34, NewEmisData!$D:$D, AI$2))</f>
        <v>3.9371785778053803E-3</v>
      </c>
      <c r="AJ34" s="324">
        <f>$I34*IF($G34="Pickup", SUMIFS(NewEmisData!J:J, NewEmisData!$A:$A, "Pickup", NewEmisData!$B:$B, $A34, NewEmisData!$C:$C, $H34, NewEmisData!$D:$D, AJ$2), SUMIFS(NewEmisData!J:J, NewEmisData!$A:$A, "LDV", NewEmisData!$B:$B, $A34, NewEmisData!$C:$C, $H34, NewEmisData!$D:$D, AJ$2))</f>
        <v>3.5951364530025401E-3</v>
      </c>
      <c r="AK34" s="324">
        <f>$I34*IF($G34="Pickup", SUMIFS(NewEmisData!K:K, NewEmisData!$A:$A, "Pickup", NewEmisData!$B:$B, $A34, NewEmisData!$C:$C, $H34, NewEmisData!$D:$D, AK$2), SUMIFS(NewEmisData!K:K, NewEmisData!$A:$A, "LDV", NewEmisData!$B:$B, $A34, NewEmisData!$C:$C, $H34, NewEmisData!$D:$D, AK$2))</f>
        <v>3.4424852382502098E-3</v>
      </c>
      <c r="AL34" s="324">
        <f>$I34*IF($G34="Pickup", SUMIFS(NewEmisData!L:L, NewEmisData!$A:$A, "Pickup", NewEmisData!$B:$B, $A34, NewEmisData!$C:$C, $H34, NewEmisData!$D:$D, AL$2), SUMIFS(NewEmisData!L:L, NewEmisData!$A:$A, "LDV", NewEmisData!$B:$B, $A34, NewEmisData!$C:$C, $H34, NewEmisData!$D:$D, AL$2))</f>
        <v>3.38811619026995E-3</v>
      </c>
      <c r="AM34" s="324">
        <f>$I34*IF($G34="Pickup", SUMIFS(NewEmisData!M:M, NewEmisData!$A:$A, "Pickup", NewEmisData!$B:$B, $A34, NewEmisData!$C:$C, $H34, NewEmisData!$D:$D, AM$2), SUMIFS(NewEmisData!M:M, NewEmisData!$A:$A, "LDV", NewEmisData!$B:$B, $A34, NewEmisData!$C:$C, $H34, NewEmisData!$D:$D, AM$2))</f>
        <v>3.36798790618778E-3</v>
      </c>
      <c r="AN34" s="324">
        <f t="shared" si="7"/>
        <v>3.36798790618778E-3</v>
      </c>
      <c r="AO34" s="324">
        <f>$I34*IF($G34="Pickup", SUMIFS(NewEmisData!E:E, NewEmisData!$A:$A, "Pickup", NewEmisData!$B:$B, $A34, NewEmisData!$C:$C, $H34, NewEmisData!$D:$D, AO$2), SUMIFS(NewEmisData!E:E, NewEmisData!$A:$A, "LDV", NewEmisData!$B:$B, $A34, NewEmisData!$C:$C, $H34, NewEmisData!$D:$D, AO$2))</f>
        <v>7.6317156939691294E-2</v>
      </c>
      <c r="AP34" s="324">
        <f>$I34*IF($G34="Pickup", SUMIFS(NewEmisData!F:F, NewEmisData!$A:$A, "Pickup", NewEmisData!$B:$B, $A34, NewEmisData!$C:$C, $H34, NewEmisData!$D:$D, AP$2), SUMIFS(NewEmisData!F:F, NewEmisData!$A:$A, "LDV", NewEmisData!$B:$B, $A34, NewEmisData!$C:$C, $H34, NewEmisData!$D:$D, AP$2))</f>
        <v>7.1544642944165196E-2</v>
      </c>
      <c r="AQ34" s="324">
        <f>$I34*IF($G34="Pickup", SUMIFS(NewEmisData!G:G, NewEmisData!$A:$A, "Pickup", NewEmisData!$B:$B, $A34, NewEmisData!$C:$C, $H34, NewEmisData!$D:$D, AQ$2), SUMIFS(NewEmisData!G:G, NewEmisData!$A:$A, "LDV", NewEmisData!$B:$B, $A34, NewEmisData!$C:$C, $H34, NewEmisData!$D:$D, AQ$2))</f>
        <v>5.8249743312617203E-2</v>
      </c>
      <c r="AR34" s="324">
        <f>$I34*IF($G34="Pickup", SUMIFS(NewEmisData!H:H, NewEmisData!$A:$A, "Pickup", NewEmisData!$B:$B, $A34, NewEmisData!$C:$C, $H34, NewEmisData!$D:$D, AR$2), SUMIFS(NewEmisData!H:H, NewEmisData!$A:$A, "LDV", NewEmisData!$B:$B, $A34, NewEmisData!$C:$C, $H34, NewEmisData!$D:$D, AR$2))</f>
        <v>5.6730049378736901E-2</v>
      </c>
      <c r="AS34" s="324">
        <f>$I34*IF($G34="Pickup", SUMIFS(NewEmisData!I:I, NewEmisData!$A:$A, "Pickup", NewEmisData!$B:$B, $A34, NewEmisData!$C:$C, $H34, NewEmisData!$D:$D, AS$2), SUMIFS(NewEmisData!I:I, NewEmisData!$A:$A, "LDV", NewEmisData!$B:$B, $A34, NewEmisData!$C:$C, $H34, NewEmisData!$D:$D, AS$2))</f>
        <v>5.5297861804990203E-2</v>
      </c>
      <c r="AT34" s="324">
        <f>$I34*IF($G34="Pickup", SUMIFS(NewEmisData!J:J, NewEmisData!$A:$A, "Pickup", NewEmisData!$B:$B, $A34, NewEmisData!$C:$C, $H34, NewEmisData!$D:$D, AT$2), SUMIFS(NewEmisData!J:J, NewEmisData!$A:$A, "LDV", NewEmisData!$B:$B, $A34, NewEmisData!$C:$C, $H34, NewEmisData!$D:$D, AT$2))</f>
        <v>5.4156352090813403E-2</v>
      </c>
      <c r="AU34" s="324">
        <f>$I34*IF($G34="Pickup", SUMIFS(NewEmisData!K:K, NewEmisData!$A:$A, "Pickup", NewEmisData!$B:$B, $A34, NewEmisData!$C:$C, $H34, NewEmisData!$D:$D, AU$2), SUMIFS(NewEmisData!K:K, NewEmisData!$A:$A, "LDV", NewEmisData!$B:$B, $A34, NewEmisData!$C:$C, $H34, NewEmisData!$D:$D, AU$2))</f>
        <v>5.3430662266944498E-2</v>
      </c>
      <c r="AV34" s="324">
        <f>$I34*IF($G34="Pickup", SUMIFS(NewEmisData!L:L, NewEmisData!$A:$A, "Pickup", NewEmisData!$B:$B, $A34, NewEmisData!$C:$C, $H34, NewEmisData!$D:$D, AV$2), SUMIFS(NewEmisData!L:L, NewEmisData!$A:$A, "LDV", NewEmisData!$B:$B, $A34, NewEmisData!$C:$C, $H34, NewEmisData!$D:$D, AV$2))</f>
        <v>5.3062743786751999E-2</v>
      </c>
      <c r="AW34" s="324">
        <f>$I34*IF($G34="Pickup", SUMIFS(NewEmisData!M:M, NewEmisData!$A:$A, "Pickup", NewEmisData!$B:$B, $A34, NewEmisData!$C:$C, $H34, NewEmisData!$D:$D, AW$2), SUMIFS(NewEmisData!M:M, NewEmisData!$A:$A, "LDV", NewEmisData!$B:$B, $A34, NewEmisData!$C:$C, $H34, NewEmisData!$D:$D, AW$2))</f>
        <v>5.2850768620488903E-2</v>
      </c>
      <c r="AX34" s="324">
        <f t="shared" si="8"/>
        <v>5.2850768620488903E-2</v>
      </c>
      <c r="AY34" s="324">
        <f>$I34*IF($G34="Pickup", SUMIFS(NewEmisData!E:E, NewEmisData!$A:$A, "Pickup", NewEmisData!$B:$B, $A34, NewEmisData!$C:$C, $H34, NewEmisData!$D:$D, AY$2), SUMIFS(NewEmisData!E:E, NewEmisData!$A:$A, "LDV", NewEmisData!$B:$B, $A34, NewEmisData!$C:$C, $H34, NewEmisData!$D:$D, AY$2))</f>
        <v>2.00368746679381E-2</v>
      </c>
      <c r="AZ34" s="324">
        <f>$I34*IF($G34="Pickup", SUMIFS(NewEmisData!F:F, NewEmisData!$A:$A, "Pickup", NewEmisData!$B:$B, $A34, NewEmisData!$C:$C, $H34, NewEmisData!$D:$D, AZ$2), SUMIFS(NewEmisData!F:F, NewEmisData!$A:$A, "LDV", NewEmisData!$B:$B, $A34, NewEmisData!$C:$C, $H34, NewEmisData!$D:$D, AZ$2))</f>
        <v>1.58149288879222E-2</v>
      </c>
      <c r="BA34" s="324">
        <f>$I34*IF($G34="Pickup", SUMIFS(NewEmisData!G:G, NewEmisData!$A:$A, "Pickup", NewEmisData!$B:$B, $A34, NewEmisData!$C:$C, $H34, NewEmisData!$D:$D, BA$2), SUMIFS(NewEmisData!G:G, NewEmisData!$A:$A, "LDV", NewEmisData!$B:$B, $A34, NewEmisData!$C:$C, $H34, NewEmisData!$D:$D, BA$2))</f>
        <v>1.2889012730210401E-2</v>
      </c>
      <c r="BB34" s="324">
        <f>$I34*IF($G34="Pickup", SUMIFS(NewEmisData!H:H, NewEmisData!$A:$A, "Pickup", NewEmisData!$B:$B, $A34, NewEmisData!$C:$C, $H34, NewEmisData!$D:$D, BB$2), SUMIFS(NewEmisData!H:H, NewEmisData!$A:$A, "LDV", NewEmisData!$B:$B, $A34, NewEmisData!$C:$C, $H34, NewEmisData!$D:$D, BB$2))</f>
        <v>1.1544674905883E-2</v>
      </c>
      <c r="BC34" s="324">
        <f>$I34*IF($G34="Pickup", SUMIFS(NewEmisData!I:I, NewEmisData!$A:$A, "Pickup", NewEmisData!$B:$B, $A34, NewEmisData!$C:$C, $H34, NewEmisData!$D:$D, BC$2), SUMIFS(NewEmisData!I:I, NewEmisData!$A:$A, "LDV", NewEmisData!$B:$B, $A34, NewEmisData!$C:$C, $H34, NewEmisData!$D:$D, BC$2))</f>
        <v>1.0277724336371899E-2</v>
      </c>
      <c r="BD34" s="324">
        <f>$I34*IF($G34="Pickup", SUMIFS(NewEmisData!J:J, NewEmisData!$A:$A, "Pickup", NewEmisData!$B:$B, $A34, NewEmisData!$C:$C, $H34, NewEmisData!$D:$D, BD$2), SUMIFS(NewEmisData!J:J, NewEmisData!$A:$A, "LDV", NewEmisData!$B:$B, $A34, NewEmisData!$C:$C, $H34, NewEmisData!$D:$D, BD$2))</f>
        <v>9.2679749278735592E-3</v>
      </c>
      <c r="BE34" s="324">
        <f>$I34*IF($G34="Pickup", SUMIFS(NewEmisData!K:K, NewEmisData!$A:$A, "Pickup", NewEmisData!$B:$B, $A34, NewEmisData!$C:$C, $H34, NewEmisData!$D:$D, BE$2), SUMIFS(NewEmisData!K:K, NewEmisData!$A:$A, "LDV", NewEmisData!$B:$B, $A34, NewEmisData!$C:$C, $H34, NewEmisData!$D:$D, BE$2))</f>
        <v>8.6259896432645099E-3</v>
      </c>
      <c r="BF34" s="324">
        <f>$I34*IF($G34="Pickup", SUMIFS(NewEmisData!L:L, NewEmisData!$A:$A, "Pickup", NewEmisData!$B:$B, $A34, NewEmisData!$C:$C, $H34, NewEmisData!$D:$D, BF$2), SUMIFS(NewEmisData!L:L, NewEmisData!$A:$A, "LDV", NewEmisData!$B:$B, $A34, NewEmisData!$C:$C, $H34, NewEmisData!$D:$D, BF$2))</f>
        <v>8.3004876330209296E-3</v>
      </c>
      <c r="BG34" s="324">
        <f>$I34*IF($G34="Pickup", SUMIFS(NewEmisData!M:M, NewEmisData!$A:$A, "Pickup", NewEmisData!$B:$B, $A34, NewEmisData!$C:$C, $H34, NewEmisData!$D:$D, BG$2), SUMIFS(NewEmisData!M:M, NewEmisData!$A:$A, "LDV", NewEmisData!$B:$B, $A34, NewEmisData!$C:$C, $H34, NewEmisData!$D:$D, BG$2))</f>
        <v>8.1129702157430005E-3</v>
      </c>
      <c r="BH34" s="324">
        <f t="shared" si="9"/>
        <v>8.1129702157430005E-3</v>
      </c>
      <c r="BI34" s="324">
        <f>$I34*IF($G34="Pickup", SUMIFS(NewEmisData!E:E, NewEmisData!$A:$A, "Pickup", NewEmisData!$B:$B, $A34, NewEmisData!$C:$C, $H34, NewEmisData!$D:$D, BI$2), SUMIFS(NewEmisData!E:E, NewEmisData!$A:$A, "LDV", NewEmisData!$B:$B, $A34, NewEmisData!$C:$C, $H34, NewEmisData!$D:$D, BI$2))</f>
        <v>6.1599528865440298</v>
      </c>
      <c r="BJ34" s="324">
        <f>$I34*IF($G34="Pickup", SUMIFS(NewEmisData!F:F, NewEmisData!$A:$A, "Pickup", NewEmisData!$B:$B, $A34, NewEmisData!$C:$C, $H34, NewEmisData!$D:$D, BJ$2), SUMIFS(NewEmisData!F:F, NewEmisData!$A:$A, "LDV", NewEmisData!$B:$B, $A34, NewEmisData!$C:$C, $H34, NewEmisData!$D:$D, BJ$2))</f>
        <v>3.7475170679561298</v>
      </c>
      <c r="BK34" s="324">
        <f>$I34*IF($G34="Pickup", SUMIFS(NewEmisData!G:G, NewEmisData!$A:$A, "Pickup", NewEmisData!$B:$B, $A34, NewEmisData!$C:$C, $H34, NewEmisData!$D:$D, BK$2), SUMIFS(NewEmisData!G:G, NewEmisData!$A:$A, "LDV", NewEmisData!$B:$B, $A34, NewEmisData!$C:$C, $H34, NewEmisData!$D:$D, BK$2))</f>
        <v>2.80366463620466</v>
      </c>
      <c r="BL34" s="324">
        <f>$I34*IF($G34="Pickup", SUMIFS(NewEmisData!H:H, NewEmisData!$A:$A, "Pickup", NewEmisData!$B:$B, $A34, NewEmisData!$C:$C, $H34, NewEmisData!$D:$D, BL$2), SUMIFS(NewEmisData!H:H, NewEmisData!$A:$A, "LDV", NewEmisData!$B:$B, $A34, NewEmisData!$C:$C, $H34, NewEmisData!$D:$D, BL$2))</f>
        <v>2.2038088113149099</v>
      </c>
      <c r="BM34" s="324">
        <f>$I34*IF($G34="Pickup", SUMIFS(NewEmisData!I:I, NewEmisData!$A:$A, "Pickup", NewEmisData!$B:$B, $A34, NewEmisData!$C:$C, $H34, NewEmisData!$D:$D, BM$2), SUMIFS(NewEmisData!I:I, NewEmisData!$A:$A, "LDV", NewEmisData!$B:$B, $A34, NewEmisData!$C:$C, $H34, NewEmisData!$D:$D, BM$2))</f>
        <v>1.6110244723417799</v>
      </c>
      <c r="BN34" s="324">
        <f>$I34*IF($G34="Pickup", SUMIFS(NewEmisData!J:J, NewEmisData!$A:$A, "Pickup", NewEmisData!$B:$B, $A34, NewEmisData!$C:$C, $H34, NewEmisData!$D:$D, BN$2), SUMIFS(NewEmisData!J:J, NewEmisData!$A:$A, "LDV", NewEmisData!$B:$B, $A34, NewEmisData!$C:$C, $H34, NewEmisData!$D:$D, BN$2))</f>
        <v>1.2813570878169001</v>
      </c>
      <c r="BO34" s="324">
        <f>$I34*IF($G34="Pickup", SUMIFS(NewEmisData!K:K, NewEmisData!$A:$A, "Pickup", NewEmisData!$B:$B, $A34, NewEmisData!$C:$C, $H34, NewEmisData!$D:$D, BO$2), SUMIFS(NewEmisData!K:K, NewEmisData!$A:$A, "LDV", NewEmisData!$B:$B, $A34, NewEmisData!$C:$C, $H34, NewEmisData!$D:$D, BO$2))</f>
        <v>1.1316455644238499</v>
      </c>
      <c r="BP34" s="324">
        <f>$I34*IF($G34="Pickup", SUMIFS(NewEmisData!L:L, NewEmisData!$A:$A, "Pickup", NewEmisData!$B:$B, $A34, NewEmisData!$C:$C, $H34, NewEmisData!$D:$D, BP$2), SUMIFS(NewEmisData!L:L, NewEmisData!$A:$A, "LDV", NewEmisData!$B:$B, $A34, NewEmisData!$C:$C, $H34, NewEmisData!$D:$D, BP$2))</f>
        <v>1.0822537615630099</v>
      </c>
      <c r="BQ34" s="324">
        <f>$I34*IF($G34="Pickup", SUMIFS(NewEmisData!M:M, NewEmisData!$A:$A, "Pickup", NewEmisData!$B:$B, $A34, NewEmisData!$C:$C, $H34, NewEmisData!$D:$D, BQ$2), SUMIFS(NewEmisData!M:M, NewEmisData!$A:$A, "LDV", NewEmisData!$B:$B, $A34, NewEmisData!$C:$C, $H34, NewEmisData!$D:$D, BQ$2))</f>
        <v>1.05143374218492</v>
      </c>
      <c r="BR34" s="324">
        <f t="shared" si="10"/>
        <v>1.05143374218492</v>
      </c>
      <c r="BS34" s="324">
        <f>$I34*IF($G34="Pickup", SUMIFS(NewEmisData!E:E, NewEmisData!$A:$A, "Pickup", NewEmisData!$B:$B, $A34, NewEmisData!$C:$C, $H34, NewEmisData!$D:$D, BS$2), SUMIFS(NewEmisData!E:E, NewEmisData!$A:$A, "LDV", NewEmisData!$B:$B, $A34, NewEmisData!$C:$C, $H34, NewEmisData!$D:$D, BS$2))</f>
        <v>0.72787250280402604</v>
      </c>
      <c r="BT34" s="324">
        <f>$I34*IF($G34="Pickup", SUMIFS(NewEmisData!F:F, NewEmisData!$A:$A, "Pickup", NewEmisData!$B:$B, $A34, NewEmisData!$C:$C, $H34, NewEmisData!$D:$D, BT$2), SUMIFS(NewEmisData!F:F, NewEmisData!$A:$A, "LDV", NewEmisData!$B:$B, $A34, NewEmisData!$C:$C, $H34, NewEmisData!$D:$D, BT$2))</f>
        <v>0.40987916241045302</v>
      </c>
      <c r="BU34" s="324">
        <f>$I34*IF($G34="Pickup", SUMIFS(NewEmisData!G:G, NewEmisData!$A:$A, "Pickup", NewEmisData!$B:$B, $A34, NewEmisData!$C:$C, $H34, NewEmisData!$D:$D, BU$2), SUMIFS(NewEmisData!G:G, NewEmisData!$A:$A, "LDV", NewEmisData!$B:$B, $A34, NewEmisData!$C:$C, $H34, NewEmisData!$D:$D, BU$2))</f>
        <v>0.30765788839279401</v>
      </c>
      <c r="BV34" s="324">
        <f>$I34*IF($G34="Pickup", SUMIFS(NewEmisData!H:H, NewEmisData!$A:$A, "Pickup", NewEmisData!$B:$B, $A34, NewEmisData!$C:$C, $H34, NewEmisData!$D:$D, BV$2), SUMIFS(NewEmisData!H:H, NewEmisData!$A:$A, "LDV", NewEmisData!$B:$B, $A34, NewEmisData!$C:$C, $H34, NewEmisData!$D:$D, BV$2))</f>
        <v>0.248891607461663</v>
      </c>
      <c r="BW34" s="324">
        <f>$I34*IF($G34="Pickup", SUMIFS(NewEmisData!I:I, NewEmisData!$A:$A, "Pickup", NewEmisData!$B:$B, $A34, NewEmisData!$C:$C, $H34, NewEmisData!$D:$D, BW$2), SUMIFS(NewEmisData!I:I, NewEmisData!$A:$A, "LDV", NewEmisData!$B:$B, $A34, NewEmisData!$C:$C, $H34, NewEmisData!$D:$D, BW$2))</f>
        <v>0.184861723618618</v>
      </c>
      <c r="BX34" s="324">
        <f>$I34*IF($G34="Pickup", SUMIFS(NewEmisData!J:J, NewEmisData!$A:$A, "Pickup", NewEmisData!$B:$B, $A34, NewEmisData!$C:$C, $H34, NewEmisData!$D:$D, BX$2), SUMIFS(NewEmisData!J:J, NewEmisData!$A:$A, "LDV", NewEmisData!$B:$B, $A34, NewEmisData!$C:$C, $H34, NewEmisData!$D:$D, BX$2))</f>
        <v>0.15433193284657201</v>
      </c>
      <c r="BY34" s="324">
        <f>$I34*IF($G34="Pickup", SUMIFS(NewEmisData!K:K, NewEmisData!$A:$A, "Pickup", NewEmisData!$B:$B, $A34, NewEmisData!$C:$C, $H34, NewEmisData!$D:$D, BY$2), SUMIFS(NewEmisData!K:K, NewEmisData!$A:$A, "LDV", NewEmisData!$B:$B, $A34, NewEmisData!$C:$C, $H34, NewEmisData!$D:$D, BY$2))</f>
        <v>0.138091436876464</v>
      </c>
      <c r="BZ34" s="324">
        <f>$I34*IF($G34="Pickup", SUMIFS(NewEmisData!L:L, NewEmisData!$A:$A, "Pickup", NewEmisData!$B:$B, $A34, NewEmisData!$C:$C, $H34, NewEmisData!$D:$D, BZ$2), SUMIFS(NewEmisData!L:L, NewEmisData!$A:$A, "LDV", NewEmisData!$B:$B, $A34, NewEmisData!$C:$C, $H34, NewEmisData!$D:$D, BZ$2))</f>
        <v>0.131790780313154</v>
      </c>
      <c r="CA34" s="324">
        <f>$I34*IF($G34="Pickup", SUMIFS(NewEmisData!M:M, NewEmisData!$A:$A, "Pickup", NewEmisData!$B:$B, $A34, NewEmisData!$C:$C, $H34, NewEmisData!$D:$D, CA$2), SUMIFS(NewEmisData!M:M, NewEmisData!$A:$A, "LDV", NewEmisData!$B:$B, $A34, NewEmisData!$C:$C, $H34, NewEmisData!$D:$D, CA$2))</f>
        <v>0.126731765091218</v>
      </c>
      <c r="CB34" s="324">
        <f t="shared" si="11"/>
        <v>0.126731765091218</v>
      </c>
      <c r="CC34" s="324">
        <f>$I34*IF($G34="Pickup", SUMIFS(NewEmisData!E:E, NewEmisData!$A:$A, "Pickup", NewEmisData!$B:$B, $A34, NewEmisData!$C:$C, $H34, NewEmisData!$D:$D, CC$2), SUMIFS(NewEmisData!E:E, NewEmisData!$A:$A, "LDV", NewEmisData!$B:$B, $A34, NewEmisData!$C:$C, $H34, NewEmisData!$D:$D, CC$2))</f>
        <v>4.3011353420759103E-2</v>
      </c>
      <c r="CD34" s="324">
        <f>$I34*IF($G34="Pickup", SUMIFS(NewEmisData!F:F, NewEmisData!$A:$A, "Pickup", NewEmisData!$B:$B, $A34, NewEmisData!$C:$C, $H34, NewEmisData!$D:$D, CD$2), SUMIFS(NewEmisData!F:F, NewEmisData!$A:$A, "LDV", NewEmisData!$B:$B, $A34, NewEmisData!$C:$C, $H34, NewEmisData!$D:$D, CD$2))</f>
        <v>2.94035814612091E-2</v>
      </c>
      <c r="CE34" s="324">
        <f>$I34*IF($G34="Pickup", SUMIFS(NewEmisData!G:G, NewEmisData!$A:$A, "Pickup", NewEmisData!$B:$B, $A34, NewEmisData!$C:$C, $H34, NewEmisData!$D:$D, CE$2), SUMIFS(NewEmisData!G:G, NewEmisData!$A:$A, "LDV", NewEmisData!$B:$B, $A34, NewEmisData!$C:$C, $H34, NewEmisData!$D:$D, CE$2))</f>
        <v>2.4328512322630801E-2</v>
      </c>
      <c r="CF34" s="324">
        <f>$I34*IF($G34="Pickup", SUMIFS(NewEmisData!H:H, NewEmisData!$A:$A, "Pickup", NewEmisData!$B:$B, $A34, NewEmisData!$C:$C, $H34, NewEmisData!$D:$D, CF$2), SUMIFS(NewEmisData!H:H, NewEmisData!$A:$A, "LDV", NewEmisData!$B:$B, $A34, NewEmisData!$C:$C, $H34, NewEmisData!$D:$D, CF$2))</f>
        <v>2.3221814353353801E-2</v>
      </c>
      <c r="CG34" s="324">
        <f>$I34*IF($G34="Pickup", SUMIFS(NewEmisData!I:I, NewEmisData!$A:$A, "Pickup", NewEmisData!$B:$B, $A34, NewEmisData!$C:$C, $H34, NewEmisData!$D:$D, CG$2), SUMIFS(NewEmisData!I:I, NewEmisData!$A:$A, "LDV", NewEmisData!$B:$B, $A34, NewEmisData!$C:$C, $H34, NewEmisData!$D:$D, CG$2))</f>
        <v>2.24852392313552E-2</v>
      </c>
      <c r="CH34" s="324">
        <f>$I34*IF($G34="Pickup", SUMIFS(NewEmisData!J:J, NewEmisData!$A:$A, "Pickup", NewEmisData!$B:$B, $A34, NewEmisData!$C:$C, $H34, NewEmisData!$D:$D, CH$2), SUMIFS(NewEmisData!J:J, NewEmisData!$A:$A, "LDV", NewEmisData!$B:$B, $A34, NewEmisData!$C:$C, $H34, NewEmisData!$D:$D, CH$2))</f>
        <v>2.1906542608859401E-2</v>
      </c>
      <c r="CI34" s="324">
        <f>$I34*IF($G34="Pickup", SUMIFS(NewEmisData!K:K, NewEmisData!$A:$A, "Pickup", NewEmisData!$B:$B, $A34, NewEmisData!$C:$C, $H34, NewEmisData!$D:$D, CI$2), SUMIFS(NewEmisData!K:K, NewEmisData!$A:$A, "LDV", NewEmisData!$B:$B, $A34, NewEmisData!$C:$C, $H34, NewEmisData!$D:$D, CI$2))</f>
        <v>2.1904736458690802E-2</v>
      </c>
      <c r="CJ34" s="324">
        <f>$I34*IF($G34="Pickup", SUMIFS(NewEmisData!L:L, NewEmisData!$A:$A, "Pickup", NewEmisData!$B:$B, $A34, NewEmisData!$C:$C, $H34, NewEmisData!$D:$D, CJ$2), SUMIFS(NewEmisData!L:L, NewEmisData!$A:$A, "LDV", NewEmisData!$B:$B, $A34, NewEmisData!$C:$C, $H34, NewEmisData!$D:$D, CJ$2))</f>
        <v>2.19042402298237E-2</v>
      </c>
      <c r="CK34" s="324">
        <f>$I34*IF($G34="Pickup", SUMIFS(NewEmisData!M:M, NewEmisData!$A:$A, "Pickup", NewEmisData!$B:$B, $A34, NewEmisData!$C:$C, $H34, NewEmisData!$D:$D, CK$2), SUMIFS(NewEmisData!M:M, NewEmisData!$A:$A, "LDV", NewEmisData!$B:$B, $A34, NewEmisData!$C:$C, $H34, NewEmisData!$D:$D, CK$2))</f>
        <v>2.1903771981857799E-2</v>
      </c>
      <c r="CL34" s="324">
        <f t="shared" si="12"/>
        <v>2.1903771981857799E-2</v>
      </c>
      <c r="CM34" s="324">
        <f>$I34*IF($G34="Pickup", SUMIFS(NewEmisData!E:E, NewEmisData!$A:$A, "Pickup", NewEmisData!$B:$B, $A34, NewEmisData!$C:$C, $H34, NewEmisData!$D:$D, CM$2), SUMIFS(NewEmisData!E:E, NewEmisData!$A:$A, "LDV", NewEmisData!$B:$B, $A34, NewEmisData!$C:$C, $H34, NewEmisData!$D:$D, CM$2))</f>
        <v>2.1906211645892699E-2</v>
      </c>
      <c r="CN34" s="324">
        <f>$I34*IF($G34="Pickup", SUMIFS(NewEmisData!F:F, NewEmisData!$A:$A, "Pickup", NewEmisData!$B:$B, $A34, NewEmisData!$C:$C, $H34, NewEmisData!$D:$D, CN$2), SUMIFS(NewEmisData!F:F, NewEmisData!$A:$A, "LDV", NewEmisData!$B:$B, $A34, NewEmisData!$C:$C, $H34, NewEmisData!$D:$D, CN$2))</f>
        <v>1.38171562279483E-2</v>
      </c>
      <c r="CO34" s="324">
        <f>$I34*IF($G34="Pickup", SUMIFS(NewEmisData!G:G, NewEmisData!$A:$A, "Pickup", NewEmisData!$B:$B, $A34, NewEmisData!$C:$C, $H34, NewEmisData!$D:$D, CO$2), SUMIFS(NewEmisData!G:G, NewEmisData!$A:$A, "LDV", NewEmisData!$B:$B, $A34, NewEmisData!$C:$C, $H34, NewEmisData!$D:$D, CO$2))</f>
        <v>1.08300618523644E-2</v>
      </c>
      <c r="CP34" s="324">
        <f>$I34*IF($G34="Pickup", SUMIFS(NewEmisData!H:H, NewEmisData!$A:$A, "Pickup", NewEmisData!$B:$B, $A34, NewEmisData!$C:$C, $H34, NewEmisData!$D:$D, CP$2), SUMIFS(NewEmisData!H:H, NewEmisData!$A:$A, "LDV", NewEmisData!$B:$B, $A34, NewEmisData!$C:$C, $H34, NewEmisData!$D:$D, CP$2))</f>
        <v>8.8590497727664592E-3</v>
      </c>
      <c r="CQ34" s="324">
        <f>$I34*IF($G34="Pickup", SUMIFS(NewEmisData!I:I, NewEmisData!$A:$A, "Pickup", NewEmisData!$B:$B, $A34, NewEmisData!$C:$C, $H34, NewEmisData!$D:$D, CQ$2), SUMIFS(NewEmisData!I:I, NewEmisData!$A:$A, "LDV", NewEmisData!$B:$B, $A34, NewEmisData!$C:$C, $H34, NewEmisData!$D:$D, CQ$2))</f>
        <v>7.8772882665567503E-3</v>
      </c>
      <c r="CR34" s="324">
        <f>$I34*IF($G34="Pickup", SUMIFS(NewEmisData!J:J, NewEmisData!$A:$A, "Pickup", NewEmisData!$B:$B, $A34, NewEmisData!$C:$C, $H34, NewEmisData!$D:$D, CR$2), SUMIFS(NewEmisData!J:J, NewEmisData!$A:$A, "LDV", NewEmisData!$B:$B, $A34, NewEmisData!$C:$C, $H34, NewEmisData!$D:$D, CR$2))</f>
        <v>7.4435823260364103E-3</v>
      </c>
      <c r="CS34" s="324">
        <f>$I34*IF($G34="Pickup", SUMIFS(NewEmisData!K:K, NewEmisData!$A:$A, "Pickup", NewEmisData!$B:$B, $A34, NewEmisData!$C:$C, $H34, NewEmisData!$D:$D, CS$2), SUMIFS(NewEmisData!K:K, NewEmisData!$A:$A, "LDV", NewEmisData!$B:$B, $A34, NewEmisData!$C:$C, $H34, NewEmisData!$D:$D, CS$2))</f>
        <v>7.3936885133113802E-3</v>
      </c>
      <c r="CT34" s="324">
        <f>$I34*IF($G34="Pickup", SUMIFS(NewEmisData!L:L, NewEmisData!$A:$A, "Pickup", NewEmisData!$B:$B, $A34, NewEmisData!$C:$C, $H34, NewEmisData!$D:$D, CT$2), SUMIFS(NewEmisData!L:L, NewEmisData!$A:$A, "LDV", NewEmisData!$B:$B, $A34, NewEmisData!$C:$C, $H34, NewEmisData!$D:$D, CT$2))</f>
        <v>7.3123849031120399E-3</v>
      </c>
      <c r="CU34" s="324">
        <f>$I34*IF($G34="Pickup", SUMIFS(NewEmisData!M:M, NewEmisData!$A:$A, "Pickup", NewEmisData!$B:$B, $A34, NewEmisData!$C:$C, $H34, NewEmisData!$D:$D, CU$2), SUMIFS(NewEmisData!M:M, NewEmisData!$A:$A, "LDV", NewEmisData!$B:$B, $A34, NewEmisData!$C:$C, $H34, NewEmisData!$D:$D, CU$2))</f>
        <v>7.31189121492953E-3</v>
      </c>
      <c r="CV34" s="324">
        <f t="shared" si="13"/>
        <v>7.31189121492953E-3</v>
      </c>
      <c r="CW34" s="324">
        <v>4.0498104655261064E-3</v>
      </c>
      <c r="CX34" s="324">
        <v>2.5030350838759993E-3</v>
      </c>
      <c r="CY34" s="324">
        <v>2.1151214403419519E-3</v>
      </c>
      <c r="CZ34" s="324">
        <v>1.7489979687569375E-3</v>
      </c>
      <c r="DA34" s="324">
        <v>1.340486996695321E-3</v>
      </c>
      <c r="DB34" s="324">
        <v>1.0553769116342638E-3</v>
      </c>
      <c r="DC34" s="324">
        <v>1.0132227560056145E-3</v>
      </c>
      <c r="DD34" s="324">
        <v>1.0003159541004489E-3</v>
      </c>
      <c r="DE34" s="324">
        <v>9.9860782000699166E-4</v>
      </c>
      <c r="DF34" s="324">
        <v>9.9860782000699166E-4</v>
      </c>
      <c r="DG34" s="324">
        <f>$I34*IF($G34="Pickup", SUMIFS(NewEmisData!E:E, NewEmisData!$A:$A, "Pickup", NewEmisData!$B:$B, $A34, NewEmisData!$C:$C, $H34, NewEmisData!$D:$D, DG$2), SUMIFS(NewEmisData!E:E, NewEmisData!$A:$A, "LDV", NewEmisData!$B:$B, $A34, NewEmisData!$C:$C, $H34, NewEmisData!$D:$D, DG$2))</f>
        <v>0</v>
      </c>
      <c r="DH34" s="324">
        <f>$I34*IF($G34="Pickup", SUMIFS(NewEmisData!F:F, NewEmisData!$A:$A, "Pickup", NewEmisData!$B:$B, $A34, NewEmisData!$C:$C, $H34, NewEmisData!$D:$D, DH$2), SUMIFS(NewEmisData!F:F, NewEmisData!$A:$A, "LDV", NewEmisData!$B:$B, $A34, NewEmisData!$C:$C, $H34, NewEmisData!$D:$D, DH$2))</f>
        <v>0</v>
      </c>
      <c r="DI34" s="324">
        <f>$I34*IF($G34="Pickup", SUMIFS(NewEmisData!G:G, NewEmisData!$A:$A, "Pickup", NewEmisData!$B:$B, $A34, NewEmisData!$C:$C, $H34, NewEmisData!$D:$D, DI$2), SUMIFS(NewEmisData!G:G, NewEmisData!$A:$A, "LDV", NewEmisData!$B:$B, $A34, NewEmisData!$C:$C, $H34, NewEmisData!$D:$D, DI$2))</f>
        <v>0</v>
      </c>
      <c r="DJ34" s="324">
        <f>$I34*IF($G34="Pickup", SUMIFS(NewEmisData!H:H, NewEmisData!$A:$A, "Pickup", NewEmisData!$B:$B, $A34, NewEmisData!$C:$C, $H34, NewEmisData!$D:$D, DJ$2), SUMIFS(NewEmisData!H:H, NewEmisData!$A:$A, "LDV", NewEmisData!$B:$B, $A34, NewEmisData!$C:$C, $H34, NewEmisData!$D:$D, DJ$2))</f>
        <v>0</v>
      </c>
      <c r="DK34" s="324">
        <f>$I34*IF($G34="Pickup", SUMIFS(NewEmisData!I:I, NewEmisData!$A:$A, "Pickup", NewEmisData!$B:$B, $A34, NewEmisData!$C:$C, $H34, NewEmisData!$D:$D, DK$2), SUMIFS(NewEmisData!I:I, NewEmisData!$A:$A, "LDV", NewEmisData!$B:$B, $A34, NewEmisData!$C:$C, $H34, NewEmisData!$D:$D, DK$2))</f>
        <v>0</v>
      </c>
      <c r="DL34" s="324">
        <f>$I34*IF($G34="Pickup", SUMIFS(NewEmisData!J:J, NewEmisData!$A:$A, "Pickup", NewEmisData!$B:$B, $A34, NewEmisData!$C:$C, $H34, NewEmisData!$D:$D, DL$2), SUMIFS(NewEmisData!J:J, NewEmisData!$A:$A, "LDV", NewEmisData!$B:$B, $A34, NewEmisData!$C:$C, $H34, NewEmisData!$D:$D, DL$2))</f>
        <v>0</v>
      </c>
      <c r="DM34" s="324">
        <f>$I34*IF($G34="Pickup", SUMIFS(NewEmisData!K:K, NewEmisData!$A:$A, "Pickup", NewEmisData!$B:$B, $A34, NewEmisData!$C:$C, $H34, NewEmisData!$D:$D, DM$2), SUMIFS(NewEmisData!K:K, NewEmisData!$A:$A, "LDV", NewEmisData!$B:$B, $A34, NewEmisData!$C:$C, $H34, NewEmisData!$D:$D, DM$2))</f>
        <v>0</v>
      </c>
      <c r="DN34" s="324">
        <f>$I34*IF($G34="Pickup", SUMIFS(NewEmisData!L:L, NewEmisData!$A:$A, "Pickup", NewEmisData!$B:$B, $A34, NewEmisData!$C:$C, $H34, NewEmisData!$D:$D, DN$2), SUMIFS(NewEmisData!L:L, NewEmisData!$A:$A, "LDV", NewEmisData!$B:$B, $A34, NewEmisData!$C:$C, $H34, NewEmisData!$D:$D, DN$2))</f>
        <v>0</v>
      </c>
      <c r="DO34" s="324">
        <f>$I34*IF($G34="Pickup", SUMIFS(NewEmisData!M:M, NewEmisData!$A:$A, "Pickup", NewEmisData!$B:$B, $A34, NewEmisData!$C:$C, $H34, NewEmisData!$D:$D, DO$2), SUMIFS(NewEmisData!M:M, NewEmisData!$A:$A, "LDV", NewEmisData!$B:$B, $A34, NewEmisData!$C:$C, $H34, NewEmisData!$D:$D, DO$2))</f>
        <v>0</v>
      </c>
      <c r="DP34" s="324">
        <f t="shared" si="14"/>
        <v>0</v>
      </c>
      <c r="DQ34" s="324">
        <f>$I34*IF($G34="Pickup", SUMIFS(NewEmisData!E:E, NewEmisData!$A:$A, "Pickup", NewEmisData!$B:$B, $A34, NewEmisData!$C:$C, $H34, NewEmisData!$D:$D, DQ$2), SUMIFS(NewEmisData!E:E, NewEmisData!$A:$A, "LDV", NewEmisData!$B:$B, $A34, NewEmisData!$C:$C, $H34, NewEmisData!$D:$D, DQ$2))</f>
        <v>1.45246052556386E-2</v>
      </c>
      <c r="DR34" s="324">
        <f>$I34*IF($G34="Pickup", SUMIFS(NewEmisData!F:F, NewEmisData!$A:$A, "Pickup", NewEmisData!$B:$B, $A34, NewEmisData!$C:$C, $H34, NewEmisData!$D:$D, DR$2), SUMIFS(NewEmisData!F:F, NewEmisData!$A:$A, "LDV", NewEmisData!$B:$B, $A34, NewEmisData!$C:$C, $H34, NewEmisData!$D:$D, DR$2))</f>
        <v>8.5576317868897907E-3</v>
      </c>
      <c r="DS34" s="324">
        <f>$I34*IF($G34="Pickup", SUMIFS(NewEmisData!G:G, NewEmisData!$A:$A, "Pickup", NewEmisData!$B:$B, $A34, NewEmisData!$C:$C, $H34, NewEmisData!$D:$D, DS$2), SUMIFS(NewEmisData!G:G, NewEmisData!$A:$A, "LDV", NewEmisData!$B:$B, $A34, NewEmisData!$C:$C, $H34, NewEmisData!$D:$D, DS$2))</f>
        <v>6.6798910124453298E-3</v>
      </c>
      <c r="DT34" s="324">
        <f>$I34*IF($G34="Pickup", SUMIFS(NewEmisData!H:H, NewEmisData!$A:$A, "Pickup", NewEmisData!$B:$B, $A34, NewEmisData!$C:$C, $H34, NewEmisData!$D:$D, DT$2), SUMIFS(NewEmisData!H:H, NewEmisData!$A:$A, "LDV", NewEmisData!$B:$B, $A34, NewEmisData!$C:$C, $H34, NewEmisData!$D:$D, DT$2))</f>
        <v>5.1684543516808098E-3</v>
      </c>
      <c r="DU34" s="324">
        <f>$I34*IF($G34="Pickup", SUMIFS(NewEmisData!I:I, NewEmisData!$A:$A, "Pickup", NewEmisData!$B:$B, $A34, NewEmisData!$C:$C, $H34, NewEmisData!$D:$D, DU$2), SUMIFS(NewEmisData!I:I, NewEmisData!$A:$A, "LDV", NewEmisData!$B:$B, $A34, NewEmisData!$C:$C, $H34, NewEmisData!$D:$D, DU$2))</f>
        <v>4.0637666627415803E-3</v>
      </c>
      <c r="DV34" s="324">
        <f>$I34*IF($G34="Pickup", SUMIFS(NewEmisData!J:J, NewEmisData!$A:$A, "Pickup", NewEmisData!$B:$B, $A34, NewEmisData!$C:$C, $H34, NewEmisData!$D:$D, DV$2), SUMIFS(NewEmisData!J:J, NewEmisData!$A:$A, "LDV", NewEmisData!$B:$B, $A34, NewEmisData!$C:$C, $H34, NewEmisData!$D:$D, DV$2))</f>
        <v>3.5439556352963399E-3</v>
      </c>
      <c r="DW34" s="324">
        <f>$I34*IF($G34="Pickup", SUMIFS(NewEmisData!K:K, NewEmisData!$A:$A, "Pickup", NewEmisData!$B:$B, $A34, NewEmisData!$C:$C, $H34, NewEmisData!$D:$D, DW$2), SUMIFS(NewEmisData!K:K, NewEmisData!$A:$A, "LDV", NewEmisData!$B:$B, $A34, NewEmisData!$C:$C, $H34, NewEmisData!$D:$D, DW$2))</f>
        <v>3.25169320270512E-3</v>
      </c>
      <c r="DX34" s="324">
        <f>$I34*IF($G34="Pickup", SUMIFS(NewEmisData!L:L, NewEmisData!$A:$A, "Pickup", NewEmisData!$B:$B, $A34, NewEmisData!$C:$C, $H34, NewEmisData!$D:$D, DX$2), SUMIFS(NewEmisData!L:L, NewEmisData!$A:$A, "LDV", NewEmisData!$B:$B, $A34, NewEmisData!$C:$C, $H34, NewEmisData!$D:$D, DX$2))</f>
        <v>3.1576560516429699E-3</v>
      </c>
      <c r="DY34" s="324">
        <f>$I34*IF($G34="Pickup", SUMIFS(NewEmisData!M:M, NewEmisData!$A:$A, "Pickup", NewEmisData!$B:$B, $A34, NewEmisData!$C:$C, $H34, NewEmisData!$D:$D, DY$2), SUMIFS(NewEmisData!M:M, NewEmisData!$A:$A, "LDV", NewEmisData!$B:$B, $A34, NewEmisData!$C:$C, $H34, NewEmisData!$D:$D, DY$2))</f>
        <v>3.1088285848124E-3</v>
      </c>
      <c r="DZ34" s="324">
        <f t="shared" si="15"/>
        <v>3.1088285848124E-3</v>
      </c>
      <c r="EA34" s="324">
        <f t="shared" si="16"/>
        <v>465.43339574540698</v>
      </c>
      <c r="EB34" s="324">
        <f t="shared" si="17"/>
        <v>447.45086858043499</v>
      </c>
      <c r="EC34" s="324">
        <f t="shared" si="18"/>
        <v>371.68579631799702</v>
      </c>
      <c r="ED34" s="324">
        <f t="shared" si="19"/>
        <v>316.68783468886801</v>
      </c>
      <c r="EE34" s="324">
        <f t="shared" si="20"/>
        <v>274.45359564691302</v>
      </c>
      <c r="EF34" s="324">
        <f t="shared" si="21"/>
        <v>250.610452801164</v>
      </c>
      <c r="EG34" s="324">
        <f t="shared" si="22"/>
        <v>239.96929474207201</v>
      </c>
      <c r="EH34" s="324">
        <f t="shared" si="23"/>
        <v>236.17949059358199</v>
      </c>
      <c r="EI34" s="324">
        <f t="shared" si="24"/>
        <v>234.77621268414799</v>
      </c>
      <c r="EJ34" s="324">
        <f t="shared" si="25"/>
        <v>234.77621268414799</v>
      </c>
      <c r="EK34" s="324">
        <f t="shared" si="26"/>
        <v>0.76817370125590101</v>
      </c>
      <c r="EL34" s="324">
        <f t="shared" si="27"/>
        <v>0.34255400012381199</v>
      </c>
      <c r="EM34" s="324">
        <f t="shared" si="28"/>
        <v>0.22026197441968301</v>
      </c>
      <c r="EN34" s="324">
        <f t="shared" si="29"/>
        <v>0.146130223505477</v>
      </c>
      <c r="EO34" s="324">
        <f t="shared" si="30"/>
        <v>9.25204446820201E-2</v>
      </c>
      <c r="EP34" s="324">
        <f t="shared" si="31"/>
        <v>6.9646332093205393E-2</v>
      </c>
      <c r="EQ34" s="324">
        <f t="shared" si="32"/>
        <v>6.0285539426727999E-2</v>
      </c>
      <c r="ER34" s="324">
        <f t="shared" si="33"/>
        <v>5.7685517085836899E-2</v>
      </c>
      <c r="ES34" s="324">
        <f t="shared" si="34"/>
        <v>5.6336256806388998E-2</v>
      </c>
      <c r="ET34" s="324">
        <f t="shared" si="35"/>
        <v>5.6336256806388998E-2</v>
      </c>
      <c r="EU34" s="324">
        <f t="shared" si="36"/>
        <v>8.0536316527093799E-3</v>
      </c>
      <c r="EV34" s="324">
        <f t="shared" si="37"/>
        <v>7.7424694052717798E-3</v>
      </c>
      <c r="EW34" s="324">
        <f t="shared" si="38"/>
        <v>5.3320257089092297E-3</v>
      </c>
      <c r="EX34" s="324">
        <f t="shared" si="39"/>
        <v>4.5430510168157703E-3</v>
      </c>
      <c r="EY34" s="324">
        <f t="shared" si="40"/>
        <v>3.9371785778053803E-3</v>
      </c>
      <c r="EZ34" s="324">
        <f t="shared" si="41"/>
        <v>3.5951364530025401E-3</v>
      </c>
      <c r="FA34" s="324">
        <f t="shared" si="42"/>
        <v>3.4424852382502098E-3</v>
      </c>
      <c r="FB34" s="324">
        <f t="shared" si="43"/>
        <v>3.38811619026995E-3</v>
      </c>
      <c r="FC34" s="324">
        <f t="shared" si="44"/>
        <v>3.36798790618778E-3</v>
      </c>
      <c r="FD34" s="324">
        <f t="shared" si="45"/>
        <v>3.36798790618778E-3</v>
      </c>
      <c r="FE34" s="324">
        <f t="shared" si="46"/>
        <v>7.6317156939691294E-2</v>
      </c>
      <c r="FF34" s="324">
        <f t="shared" si="47"/>
        <v>7.1544642944165196E-2</v>
      </c>
      <c r="FG34" s="324">
        <f t="shared" si="48"/>
        <v>5.8249743312617203E-2</v>
      </c>
      <c r="FH34" s="324">
        <f t="shared" si="49"/>
        <v>5.6730049378736901E-2</v>
      </c>
      <c r="FI34" s="324">
        <f t="shared" si="50"/>
        <v>5.5297861804990203E-2</v>
      </c>
      <c r="FJ34" s="324">
        <f t="shared" si="51"/>
        <v>5.4156352090813403E-2</v>
      </c>
      <c r="FK34" s="324">
        <f t="shared" si="52"/>
        <v>5.3430662266944498E-2</v>
      </c>
      <c r="FL34" s="324">
        <f t="shared" si="53"/>
        <v>5.3062743786751999E-2</v>
      </c>
      <c r="FM34" s="324">
        <f t="shared" si="54"/>
        <v>5.2850768620488903E-2</v>
      </c>
      <c r="FN34" s="324">
        <f t="shared" si="55"/>
        <v>5.2850768620488903E-2</v>
      </c>
      <c r="FO34" s="324">
        <f t="shared" si="56"/>
        <v>2.00368746679381E-2</v>
      </c>
      <c r="FP34" s="324">
        <f t="shared" si="57"/>
        <v>1.58149288879222E-2</v>
      </c>
      <c r="FQ34" s="324">
        <f t="shared" si="58"/>
        <v>1.2889012730210401E-2</v>
      </c>
      <c r="FR34" s="324">
        <f t="shared" si="59"/>
        <v>1.1544674905883E-2</v>
      </c>
      <c r="FS34" s="324">
        <f t="shared" si="60"/>
        <v>1.0277724336371899E-2</v>
      </c>
      <c r="FT34" s="324">
        <f t="shared" si="61"/>
        <v>9.2679749278735592E-3</v>
      </c>
      <c r="FU34" s="324">
        <f t="shared" si="62"/>
        <v>8.6259896432645099E-3</v>
      </c>
      <c r="FV34" s="324">
        <f t="shared" si="63"/>
        <v>8.3004876330209296E-3</v>
      </c>
      <c r="FW34" s="324">
        <f t="shared" si="64"/>
        <v>8.1129702157430005E-3</v>
      </c>
      <c r="FX34" s="324">
        <f t="shared" si="65"/>
        <v>8.1129702157430005E-3</v>
      </c>
    </row>
    <row r="35" spans="1:180" x14ac:dyDescent="0.2">
      <c r="A35" s="298" t="str">
        <f>IF(LEFT(TRIM(Technologies!B69),1)="*", _xlfn.CONCAT("*","R2"), "R2")</f>
        <v>R2</v>
      </c>
      <c r="B35" s="298" t="str">
        <f>TechData_existing!B12</f>
        <v>TLELSGSL</v>
      </c>
      <c r="C35" s="298" t="str">
        <f>TechData_existing!C12</f>
        <v>TL.GSL.LS.Existing fleet</v>
      </c>
      <c r="D35" s="294" t="str">
        <f>TechData_existing!D12</f>
        <v>bn-vmt, bn-vmt/a</v>
      </c>
      <c r="E35" s="294" t="str">
        <f>TechData_existing!E12</f>
        <v>TLGSL</v>
      </c>
      <c r="F35" s="294" t="str">
        <f>TechData_existing!F12</f>
        <v>TL</v>
      </c>
      <c r="G35" s="294" t="s">
        <v>327</v>
      </c>
      <c r="H35" s="294" t="s">
        <v>474</v>
      </c>
      <c r="I35" s="294">
        <v>1</v>
      </c>
      <c r="J35" s="308" t="str">
        <f t="shared" si="2"/>
        <v>Large SUV-GSL</v>
      </c>
      <c r="K35" s="324">
        <f>$I35*IF($G35="Pickup", SUMIFS(NewEmisData!E:E, NewEmisData!$A:$A, "Pickup", NewEmisData!$B:$B, $A35, NewEmisData!$C:$C, $H35, NewEmisData!$D:$D, K$2), SUMIFS(NewEmisData!E:E, NewEmisData!$A:$A, "LDV", NewEmisData!$B:$B, $A35, NewEmisData!$C:$C, $H35, NewEmisData!$D:$D, K$2))</f>
        <v>477.08587282575797</v>
      </c>
      <c r="L35" s="324">
        <f>$I35*IF($G35="Pickup", SUMIFS(NewEmisData!F:F, NewEmisData!$A:$A, "Pickup", NewEmisData!$B:$B, $A35, NewEmisData!$C:$C, $H35, NewEmisData!$D:$D, L$2), SUMIFS(NewEmisData!F:F, NewEmisData!$A:$A, "LDV", NewEmisData!$B:$B, $A35, NewEmisData!$C:$C, $H35, NewEmisData!$D:$D, L$2))</f>
        <v>459.34104292251902</v>
      </c>
      <c r="M35" s="324">
        <f>$I35*IF($G35="Pickup", SUMIFS(NewEmisData!G:G, NewEmisData!$A:$A, "Pickup", NewEmisData!$B:$B, $A35, NewEmisData!$C:$C, $H35, NewEmisData!$D:$D, M$2), SUMIFS(NewEmisData!G:G, NewEmisData!$A:$A, "LDV", NewEmisData!$B:$B, $A35, NewEmisData!$C:$C, $H35, NewEmisData!$D:$D, M$2))</f>
        <v>447.45896927637102</v>
      </c>
      <c r="N35" s="324">
        <f>$I35*IF($G35="Pickup", SUMIFS(NewEmisData!H:H, NewEmisData!$A:$A, "Pickup", NewEmisData!$B:$B, $A35, NewEmisData!$C:$C, $H35, NewEmisData!$D:$D, N$2), SUMIFS(NewEmisData!H:H, NewEmisData!$A:$A, "LDV", NewEmisData!$B:$B, $A35, NewEmisData!$C:$C, $H35, NewEmisData!$D:$D, N$2))</f>
        <v>380.72392677964001</v>
      </c>
      <c r="O35" s="324">
        <f>$I35*IF($G35="Pickup", SUMIFS(NewEmisData!I:I, NewEmisData!$A:$A, "Pickup", NewEmisData!$B:$B, $A35, NewEmisData!$C:$C, $H35, NewEmisData!$D:$D, O$2), SUMIFS(NewEmisData!I:I, NewEmisData!$A:$A, "LDV", NewEmisData!$B:$B, $A35, NewEmisData!$C:$C, $H35, NewEmisData!$D:$D, O$2))</f>
        <v>329.54737069801098</v>
      </c>
      <c r="P35" s="324">
        <f>$I35*IF($G35="Pickup", SUMIFS(NewEmisData!J:J, NewEmisData!$A:$A, "Pickup", NewEmisData!$B:$B, $A35, NewEmisData!$C:$C, $H35, NewEmisData!$D:$D, P$2), SUMIFS(NewEmisData!J:J, NewEmisData!$A:$A, "LDV", NewEmisData!$B:$B, $A35, NewEmisData!$C:$C, $H35, NewEmisData!$D:$D, P$2))</f>
        <v>300.69829568412598</v>
      </c>
      <c r="Q35" s="324">
        <f>$I35*IF($G35="Pickup", SUMIFS(NewEmisData!K:K, NewEmisData!$A:$A, "Pickup", NewEmisData!$B:$B, $A35, NewEmisData!$C:$C, $H35, NewEmisData!$D:$D, Q$2), SUMIFS(NewEmisData!K:K, NewEmisData!$A:$A, "LDV", NewEmisData!$B:$B, $A35, NewEmisData!$C:$C, $H35, NewEmisData!$D:$D, Q$2))</f>
        <v>287.83799703632701</v>
      </c>
      <c r="R35" s="324">
        <f>$I35*IF($G35="Pickup", SUMIFS(NewEmisData!L:L, NewEmisData!$A:$A, "Pickup", NewEmisData!$B:$B, $A35, NewEmisData!$C:$C, $H35, NewEmisData!$D:$D, R$2), SUMIFS(NewEmisData!L:L, NewEmisData!$A:$A, "LDV", NewEmisData!$B:$B, $A35, NewEmisData!$C:$C, $H35, NewEmisData!$D:$D, R$2))</f>
        <v>283.26610797837998</v>
      </c>
      <c r="S35" s="324">
        <f>$I35*IF($G35="Pickup", SUMIFS(NewEmisData!M:M, NewEmisData!$A:$A, "Pickup", NewEmisData!$B:$B, $A35, NewEmisData!$C:$C, $H35, NewEmisData!$D:$D, S$2), SUMIFS(NewEmisData!M:M, NewEmisData!$A:$A, "LDV", NewEmisData!$B:$B, $A35, NewEmisData!$C:$C, $H35, NewEmisData!$D:$D, S$2))</f>
        <v>281.57834098528099</v>
      </c>
      <c r="T35" s="324">
        <f t="shared" si="5"/>
        <v>281.57834098528099</v>
      </c>
      <c r="U35" s="324">
        <f>$I35*IF($G35="Pickup", SUMIFS(NewEmisData!E:E, NewEmisData!$A:$A, "Pickup", NewEmisData!$B:$B, $A35, NewEmisData!$C:$C, $H35, NewEmisData!$D:$D, U$2), SUMIFS(NewEmisData!E:E, NewEmisData!$A:$A, "LDV", NewEmisData!$B:$B, $A35, NewEmisData!$C:$C, $H35, NewEmisData!$D:$D, U$2))</f>
        <v>0.82339103642645395</v>
      </c>
      <c r="V35" s="324">
        <f>$I35*IF($G35="Pickup", SUMIFS(NewEmisData!F:F, NewEmisData!$A:$A, "Pickup", NewEmisData!$B:$B, $A35, NewEmisData!$C:$C, $H35, NewEmisData!$D:$D, V$2), SUMIFS(NewEmisData!F:F, NewEmisData!$A:$A, "LDV", NewEmisData!$B:$B, $A35, NewEmisData!$C:$C, $H35, NewEmisData!$D:$D, V$2))</f>
        <v>0.360872733315452</v>
      </c>
      <c r="W35" s="324">
        <f>$I35*IF($G35="Pickup", SUMIFS(NewEmisData!G:G, NewEmisData!$A:$A, "Pickup", NewEmisData!$B:$B, $A35, NewEmisData!$C:$C, $H35, NewEmisData!$D:$D, W$2), SUMIFS(NewEmisData!G:G, NewEmisData!$A:$A, "LDV", NewEmisData!$B:$B, $A35, NewEmisData!$C:$C, $H35, NewEmisData!$D:$D, W$2))</f>
        <v>0.21658171178065999</v>
      </c>
      <c r="X35" s="324">
        <f>$I35*IF($G35="Pickup", SUMIFS(NewEmisData!H:H, NewEmisData!$A:$A, "Pickup", NewEmisData!$B:$B, $A35, NewEmisData!$C:$C, $H35, NewEmisData!$D:$D, X$2), SUMIFS(NewEmisData!H:H, NewEmisData!$A:$A, "LDV", NewEmisData!$B:$B, $A35, NewEmisData!$C:$C, $H35, NewEmisData!$D:$D, X$2))</f>
        <v>0.14200533002195401</v>
      </c>
      <c r="Y35" s="324">
        <f>$I35*IF($G35="Pickup", SUMIFS(NewEmisData!I:I, NewEmisData!$A:$A, "Pickup", NewEmisData!$B:$B, $A35, NewEmisData!$C:$C, $H35, NewEmisData!$D:$D, Y$2), SUMIFS(NewEmisData!I:I, NewEmisData!$A:$A, "LDV", NewEmisData!$B:$B, $A35, NewEmisData!$C:$C, $H35, NewEmisData!$D:$D, Y$2))</f>
        <v>8.8016804659711706E-2</v>
      </c>
      <c r="Z35" s="324">
        <f>$I35*IF($G35="Pickup", SUMIFS(NewEmisData!J:J, NewEmisData!$A:$A, "Pickup", NewEmisData!$B:$B, $A35, NewEmisData!$C:$C, $H35, NewEmisData!$D:$D, Z$2), SUMIFS(NewEmisData!J:J, NewEmisData!$A:$A, "LDV", NewEmisData!$B:$B, $A35, NewEmisData!$C:$C, $H35, NewEmisData!$D:$D, Z$2))</f>
        <v>6.5736379947852003E-2</v>
      </c>
      <c r="AA35" s="324">
        <f>$I35*IF($G35="Pickup", SUMIFS(NewEmisData!K:K, NewEmisData!$A:$A, "Pickup", NewEmisData!$B:$B, $A35, NewEmisData!$C:$C, $H35, NewEmisData!$D:$D, AA$2), SUMIFS(NewEmisData!K:K, NewEmisData!$A:$A, "LDV", NewEmisData!$B:$B, $A35, NewEmisData!$C:$C, $H35, NewEmisData!$D:$D, AA$2))</f>
        <v>5.6635638117250503E-2</v>
      </c>
      <c r="AB35" s="324">
        <f>$I35*IF($G35="Pickup", SUMIFS(NewEmisData!L:L, NewEmisData!$A:$A, "Pickup", NewEmisData!$B:$B, $A35, NewEmisData!$C:$C, $H35, NewEmisData!$D:$D, AB$2), SUMIFS(NewEmisData!L:L, NewEmisData!$A:$A, "LDV", NewEmisData!$B:$B, $A35, NewEmisData!$C:$C, $H35, NewEmisData!$D:$D, AB$2))</f>
        <v>5.4115247223223299E-2</v>
      </c>
      <c r="AC35" s="324">
        <f>$I35*IF($G35="Pickup", SUMIFS(NewEmisData!M:M, NewEmisData!$A:$A, "Pickup", NewEmisData!$B:$B, $A35, NewEmisData!$C:$C, $H35, NewEmisData!$D:$D, AC$2), SUMIFS(NewEmisData!M:M, NewEmisData!$A:$A, "LDV", NewEmisData!$B:$B, $A35, NewEmisData!$C:$C, $H35, NewEmisData!$D:$D, AC$2))</f>
        <v>5.2826207223764E-2</v>
      </c>
      <c r="AD35" s="324">
        <f t="shared" si="6"/>
        <v>5.2826207223764E-2</v>
      </c>
      <c r="AE35" s="324">
        <f>$I35*IF($G35="Pickup", SUMIFS(NewEmisData!E:E, NewEmisData!$A:$A, "Pickup", NewEmisData!$B:$B, $A35, NewEmisData!$C:$C, $H35, NewEmisData!$D:$D, AE$2), SUMIFS(NewEmisData!E:E, NewEmisData!$A:$A, "LDV", NewEmisData!$B:$B, $A35, NewEmisData!$C:$C, $H35, NewEmisData!$D:$D, AE$2))</f>
        <v>8.2552586035919695E-3</v>
      </c>
      <c r="AF35" s="324">
        <f>$I35*IF($G35="Pickup", SUMIFS(NewEmisData!F:F, NewEmisData!$A:$A, "Pickup", NewEmisData!$B:$B, $A35, NewEmisData!$C:$C, $H35, NewEmisData!$D:$D, AF$2), SUMIFS(NewEmisData!F:F, NewEmisData!$A:$A, "LDV", NewEmisData!$B:$B, $A35, NewEmisData!$C:$C, $H35, NewEmisData!$D:$D, AF$2))</f>
        <v>7.9482131517538395E-3</v>
      </c>
      <c r="AG35" s="324">
        <f>$I35*IF($G35="Pickup", SUMIFS(NewEmisData!G:G, NewEmisData!$A:$A, "Pickup", NewEmisData!$B:$B, $A35, NewEmisData!$C:$C, $H35, NewEmisData!$D:$D, AG$2), SUMIFS(NewEmisData!G:G, NewEmisData!$A:$A, "LDV", NewEmisData!$B:$B, $A35, NewEmisData!$C:$C, $H35, NewEmisData!$D:$D, AG$2))</f>
        <v>6.4190305556059996E-3</v>
      </c>
      <c r="AH35" s="324">
        <f>$I35*IF($G35="Pickup", SUMIFS(NewEmisData!H:H, NewEmisData!$A:$A, "Pickup", NewEmisData!$B:$B, $A35, NewEmisData!$C:$C, $H35, NewEmisData!$D:$D, AH$2), SUMIFS(NewEmisData!H:H, NewEmisData!$A:$A, "LDV", NewEmisData!$B:$B, $A35, NewEmisData!$C:$C, $H35, NewEmisData!$D:$D, AH$2))</f>
        <v>5.4616828003907899E-3</v>
      </c>
      <c r="AI35" s="324">
        <f>$I35*IF($G35="Pickup", SUMIFS(NewEmisData!I:I, NewEmisData!$A:$A, "Pickup", NewEmisData!$B:$B, $A35, NewEmisData!$C:$C, $H35, NewEmisData!$D:$D, AI$2), SUMIFS(NewEmisData!I:I, NewEmisData!$A:$A, "LDV", NewEmisData!$B:$B, $A35, NewEmisData!$C:$C, $H35, NewEmisData!$D:$D, AI$2))</f>
        <v>4.7275285851957304E-3</v>
      </c>
      <c r="AJ35" s="324">
        <f>$I35*IF($G35="Pickup", SUMIFS(NewEmisData!J:J, NewEmisData!$A:$A, "Pickup", NewEmisData!$B:$B, $A35, NewEmisData!$C:$C, $H35, NewEmisData!$D:$D, AJ$2), SUMIFS(NewEmisData!J:J, NewEmisData!$A:$A, "LDV", NewEmisData!$B:$B, $A35, NewEmisData!$C:$C, $H35, NewEmisData!$D:$D, AJ$2))</f>
        <v>4.3136734611450098E-3</v>
      </c>
      <c r="AK35" s="324">
        <f>$I35*IF($G35="Pickup", SUMIFS(NewEmisData!K:K, NewEmisData!$A:$A, "Pickup", NewEmisData!$B:$B, $A35, NewEmisData!$C:$C, $H35, NewEmisData!$D:$D, AK$2), SUMIFS(NewEmisData!K:K, NewEmisData!$A:$A, "LDV", NewEmisData!$B:$B, $A35, NewEmisData!$C:$C, $H35, NewEmisData!$D:$D, AK$2))</f>
        <v>4.1291858052272803E-3</v>
      </c>
      <c r="AL35" s="324">
        <f>$I35*IF($G35="Pickup", SUMIFS(NewEmisData!L:L, NewEmisData!$A:$A, "Pickup", NewEmisData!$B:$B, $A35, NewEmisData!$C:$C, $H35, NewEmisData!$D:$D, AL$2), SUMIFS(NewEmisData!L:L, NewEmisData!$A:$A, "LDV", NewEmisData!$B:$B, $A35, NewEmisData!$C:$C, $H35, NewEmisData!$D:$D, AL$2))</f>
        <v>4.0635983922117898E-3</v>
      </c>
      <c r="AM35" s="324">
        <f>$I35*IF($G35="Pickup", SUMIFS(NewEmisData!M:M, NewEmisData!$A:$A, "Pickup", NewEmisData!$B:$B, $A35, NewEmisData!$C:$C, $H35, NewEmisData!$D:$D, AM$2), SUMIFS(NewEmisData!M:M, NewEmisData!$A:$A, "LDV", NewEmisData!$B:$B, $A35, NewEmisData!$C:$C, $H35, NewEmisData!$D:$D, AM$2))</f>
        <v>4.0393864318059199E-3</v>
      </c>
      <c r="AN35" s="324">
        <f t="shared" si="7"/>
        <v>4.0393864318059199E-3</v>
      </c>
      <c r="AO35" s="324">
        <f>$I35*IF($G35="Pickup", SUMIFS(NewEmisData!E:E, NewEmisData!$A:$A, "Pickup", NewEmisData!$B:$B, $A35, NewEmisData!$C:$C, $H35, NewEmisData!$D:$D, AO$2), SUMIFS(NewEmisData!E:E, NewEmisData!$A:$A, "LDV", NewEmisData!$B:$B, $A35, NewEmisData!$C:$C, $H35, NewEmisData!$D:$D, AO$2))</f>
        <v>8.1828643727713493E-2</v>
      </c>
      <c r="AP35" s="324">
        <f>$I35*IF($G35="Pickup", SUMIFS(NewEmisData!F:F, NewEmisData!$A:$A, "Pickup", NewEmisData!$B:$B, $A35, NewEmisData!$C:$C, $H35, NewEmisData!$D:$D, AP$2), SUMIFS(NewEmisData!F:F, NewEmisData!$A:$A, "LDV", NewEmisData!$B:$B, $A35, NewEmisData!$C:$C, $H35, NewEmisData!$D:$D, AP$2))</f>
        <v>7.6175839057221195E-2</v>
      </c>
      <c r="AQ35" s="324">
        <f>$I35*IF($G35="Pickup", SUMIFS(NewEmisData!G:G, NewEmisData!$A:$A, "Pickup", NewEmisData!$B:$B, $A35, NewEmisData!$C:$C, $H35, NewEmisData!$D:$D, AQ$2), SUMIFS(NewEmisData!G:G, NewEmisData!$A:$A, "LDV", NewEmisData!$B:$B, $A35, NewEmisData!$C:$C, $H35, NewEmisData!$D:$D, AQ$2))</f>
        <v>8.1302809072104507E-2</v>
      </c>
      <c r="AR35" s="324">
        <f>$I35*IF($G35="Pickup", SUMIFS(NewEmisData!H:H, NewEmisData!$A:$A, "Pickup", NewEmisData!$B:$B, $A35, NewEmisData!$C:$C, $H35, NewEmisData!$D:$D, AR$2), SUMIFS(NewEmisData!H:H, NewEmisData!$A:$A, "LDV", NewEmisData!$B:$B, $A35, NewEmisData!$C:$C, $H35, NewEmisData!$D:$D, AR$2))</f>
        <v>7.9561688690416299E-2</v>
      </c>
      <c r="AS35" s="324">
        <f>$I35*IF($G35="Pickup", SUMIFS(NewEmisData!I:I, NewEmisData!$A:$A, "Pickup", NewEmisData!$B:$B, $A35, NewEmisData!$C:$C, $H35, NewEmisData!$D:$D, AS$2), SUMIFS(NewEmisData!I:I, NewEmisData!$A:$A, "LDV", NewEmisData!$B:$B, $A35, NewEmisData!$C:$C, $H35, NewEmisData!$D:$D, AS$2))</f>
        <v>7.7910530261031605E-2</v>
      </c>
      <c r="AT35" s="324">
        <f>$I35*IF($G35="Pickup", SUMIFS(NewEmisData!J:J, NewEmisData!$A:$A, "Pickup", NewEmisData!$B:$B, $A35, NewEmisData!$C:$C, $H35, NewEmisData!$D:$D, AT$2), SUMIFS(NewEmisData!J:J, NewEmisData!$A:$A, "LDV", NewEmisData!$B:$B, $A35, NewEmisData!$C:$C, $H35, NewEmisData!$D:$D, AT$2))</f>
        <v>7.6590334474495605E-2</v>
      </c>
      <c r="AU35" s="324">
        <f>$I35*IF($G35="Pickup", SUMIFS(NewEmisData!K:K, NewEmisData!$A:$A, "Pickup", NewEmisData!$B:$B, $A35, NewEmisData!$C:$C, $H35, NewEmisData!$D:$D, AU$2), SUMIFS(NewEmisData!K:K, NewEmisData!$A:$A, "LDV", NewEmisData!$B:$B, $A35, NewEmisData!$C:$C, $H35, NewEmisData!$D:$D, AU$2))</f>
        <v>7.5767938917924701E-2</v>
      </c>
      <c r="AV35" s="324">
        <f>$I35*IF($G35="Pickup", SUMIFS(NewEmisData!L:L, NewEmisData!$A:$A, "Pickup", NewEmisData!$B:$B, $A35, NewEmisData!$C:$C, $H35, NewEmisData!$D:$D, AV$2), SUMIFS(NewEmisData!L:L, NewEmisData!$A:$A, "LDV", NewEmisData!$B:$B, $A35, NewEmisData!$C:$C, $H35, NewEmisData!$D:$D, AV$2))</f>
        <v>7.5353710070808794E-2</v>
      </c>
      <c r="AW35" s="324">
        <f>$I35*IF($G35="Pickup", SUMIFS(NewEmisData!M:M, NewEmisData!$A:$A, "Pickup", NewEmisData!$B:$B, $A35, NewEmisData!$C:$C, $H35, NewEmisData!$D:$D, AW$2), SUMIFS(NewEmisData!M:M, NewEmisData!$A:$A, "LDV", NewEmisData!$B:$B, $A35, NewEmisData!$C:$C, $H35, NewEmisData!$D:$D, AW$2))</f>
        <v>7.5117977052891499E-2</v>
      </c>
      <c r="AX35" s="324">
        <f t="shared" si="8"/>
        <v>7.5117977052891499E-2</v>
      </c>
      <c r="AY35" s="324">
        <f>$I35*IF($G35="Pickup", SUMIFS(NewEmisData!E:E, NewEmisData!$A:$A, "Pickup", NewEmisData!$B:$B, $A35, NewEmisData!$C:$C, $H35, NewEmisData!$D:$D, AY$2), SUMIFS(NewEmisData!E:E, NewEmisData!$A:$A, "LDV", NewEmisData!$B:$B, $A35, NewEmisData!$C:$C, $H35, NewEmisData!$D:$D, AY$2))</f>
        <v>2.1998193760633E-2</v>
      </c>
      <c r="AZ35" s="324">
        <f>$I35*IF($G35="Pickup", SUMIFS(NewEmisData!F:F, NewEmisData!$A:$A, "Pickup", NewEmisData!$B:$B, $A35, NewEmisData!$C:$C, $H35, NewEmisData!$D:$D, AZ$2), SUMIFS(NewEmisData!F:F, NewEmisData!$A:$A, "LDV", NewEmisData!$B:$B, $A35, NewEmisData!$C:$C, $H35, NewEmisData!$D:$D, AZ$2))</f>
        <v>1.6997575378008601E-2</v>
      </c>
      <c r="BA35" s="324">
        <f>$I35*IF($G35="Pickup", SUMIFS(NewEmisData!G:G, NewEmisData!$A:$A, "Pickup", NewEmisData!$B:$B, $A35, NewEmisData!$C:$C, $H35, NewEmisData!$D:$D, BA$2), SUMIFS(NewEmisData!G:G, NewEmisData!$A:$A, "LDV", NewEmisData!$B:$B, $A35, NewEmisData!$C:$C, $H35, NewEmisData!$D:$D, BA$2))</f>
        <v>1.6580879412419602E-2</v>
      </c>
      <c r="BB35" s="324">
        <f>$I35*IF($G35="Pickup", SUMIFS(NewEmisData!H:H, NewEmisData!$A:$A, "Pickup", NewEmisData!$B:$B, $A35, NewEmisData!$C:$C, $H35, NewEmisData!$D:$D, BB$2), SUMIFS(NewEmisData!H:H, NewEmisData!$A:$A, "LDV", NewEmisData!$B:$B, $A35, NewEmisData!$C:$C, $H35, NewEmisData!$D:$D, BB$2))</f>
        <v>1.5040645169031801E-2</v>
      </c>
      <c r="BC35" s="324">
        <f>$I35*IF($G35="Pickup", SUMIFS(NewEmisData!I:I, NewEmisData!$A:$A, "Pickup", NewEmisData!$B:$B, $A35, NewEmisData!$C:$C, $H35, NewEmisData!$D:$D, BC$2), SUMIFS(NewEmisData!I:I, NewEmisData!$A:$A, "LDV", NewEmisData!$B:$B, $A35, NewEmisData!$C:$C, $H35, NewEmisData!$D:$D, BC$2))</f>
        <v>1.35799610150696E-2</v>
      </c>
      <c r="BD35" s="324">
        <f>$I35*IF($G35="Pickup", SUMIFS(NewEmisData!J:J, NewEmisData!$A:$A, "Pickup", NewEmisData!$B:$B, $A35, NewEmisData!$C:$C, $H35, NewEmisData!$D:$D, BD$2), SUMIFS(NewEmisData!J:J, NewEmisData!$A:$A, "LDV", NewEmisData!$B:$B, $A35, NewEmisData!$C:$C, $H35, NewEmisData!$D:$D, BD$2))</f>
        <v>1.24120667817219E-2</v>
      </c>
      <c r="BE35" s="324">
        <f>$I35*IF($G35="Pickup", SUMIFS(NewEmisData!K:K, NewEmisData!$A:$A, "Pickup", NewEmisData!$B:$B, $A35, NewEmisData!$C:$C, $H35, NewEmisData!$D:$D, BE$2), SUMIFS(NewEmisData!K:K, NewEmisData!$A:$A, "LDV", NewEmisData!$B:$B, $A35, NewEmisData!$C:$C, $H35, NewEmisData!$D:$D, BE$2))</f>
        <v>1.16845073314224E-2</v>
      </c>
      <c r="BF35" s="324">
        <f>$I35*IF($G35="Pickup", SUMIFS(NewEmisData!L:L, NewEmisData!$A:$A, "Pickup", NewEmisData!$B:$B, $A35, NewEmisData!$C:$C, $H35, NewEmisData!$D:$D, BF$2), SUMIFS(NewEmisData!L:L, NewEmisData!$A:$A, "LDV", NewEmisData!$B:$B, $A35, NewEmisData!$C:$C, $H35, NewEmisData!$D:$D, BF$2))</f>
        <v>1.1318096390010799E-2</v>
      </c>
      <c r="BG35" s="324">
        <f>$I35*IF($G35="Pickup", SUMIFS(NewEmisData!M:M, NewEmisData!$A:$A, "Pickup", NewEmisData!$B:$B, $A35, NewEmisData!$C:$C, $H35, NewEmisData!$D:$D, BG$2), SUMIFS(NewEmisData!M:M, NewEmisData!$A:$A, "LDV", NewEmisData!$B:$B, $A35, NewEmisData!$C:$C, $H35, NewEmisData!$D:$D, BG$2))</f>
        <v>1.1109456757731499E-2</v>
      </c>
      <c r="BH35" s="324">
        <f t="shared" si="9"/>
        <v>1.1109456757731499E-2</v>
      </c>
      <c r="BI35" s="324">
        <f>$I35*IF($G35="Pickup", SUMIFS(NewEmisData!E:E, NewEmisData!$A:$A, "Pickup", NewEmisData!$B:$B, $A35, NewEmisData!$C:$C, $H35, NewEmisData!$D:$D, BI$2), SUMIFS(NewEmisData!E:E, NewEmisData!$A:$A, "LDV", NewEmisData!$B:$B, $A35, NewEmisData!$C:$C, $H35, NewEmisData!$D:$D, BI$2))</f>
        <v>6.6339830086865597</v>
      </c>
      <c r="BJ35" s="324">
        <f>$I35*IF($G35="Pickup", SUMIFS(NewEmisData!F:F, NewEmisData!$A:$A, "Pickup", NewEmisData!$B:$B, $A35, NewEmisData!$C:$C, $H35, NewEmisData!$D:$D, BJ$2), SUMIFS(NewEmisData!F:F, NewEmisData!$A:$A, "LDV", NewEmisData!$B:$B, $A35, NewEmisData!$C:$C, $H35, NewEmisData!$D:$D, BJ$2))</f>
        <v>3.9206205551931301</v>
      </c>
      <c r="BK35" s="324">
        <f>$I35*IF($G35="Pickup", SUMIFS(NewEmisData!G:G, NewEmisData!$A:$A, "Pickup", NewEmisData!$B:$B, $A35, NewEmisData!$C:$C, $H35, NewEmisData!$D:$D, BK$2), SUMIFS(NewEmisData!G:G, NewEmisData!$A:$A, "LDV", NewEmisData!$B:$B, $A35, NewEmisData!$C:$C, $H35, NewEmisData!$D:$D, BK$2))</f>
        <v>3.0174466275096199</v>
      </c>
      <c r="BL35" s="324">
        <f>$I35*IF($G35="Pickup", SUMIFS(NewEmisData!H:H, NewEmisData!$A:$A, "Pickup", NewEmisData!$B:$B, $A35, NewEmisData!$C:$C, $H35, NewEmisData!$D:$D, BL$2), SUMIFS(NewEmisData!H:H, NewEmisData!$A:$A, "LDV", NewEmisData!$B:$B, $A35, NewEmisData!$C:$C, $H35, NewEmisData!$D:$D, BL$2))</f>
        <v>2.3529221673804699</v>
      </c>
      <c r="BM35" s="324">
        <f>$I35*IF($G35="Pickup", SUMIFS(NewEmisData!I:I, NewEmisData!$A:$A, "Pickup", NewEmisData!$B:$B, $A35, NewEmisData!$C:$C, $H35, NewEmisData!$D:$D, BM$2), SUMIFS(NewEmisData!I:I, NewEmisData!$A:$A, "LDV", NewEmisData!$B:$B, $A35, NewEmisData!$C:$C, $H35, NewEmisData!$D:$D, BM$2))</f>
        <v>1.70384058027793</v>
      </c>
      <c r="BN35" s="324">
        <f>$I35*IF($G35="Pickup", SUMIFS(NewEmisData!J:J, NewEmisData!$A:$A, "Pickup", NewEmisData!$B:$B, $A35, NewEmisData!$C:$C, $H35, NewEmisData!$D:$D, BN$2), SUMIFS(NewEmisData!J:J, NewEmisData!$A:$A, "LDV", NewEmisData!$B:$B, $A35, NewEmisData!$C:$C, $H35, NewEmisData!$D:$D, BN$2))</f>
        <v>1.3463730618004399</v>
      </c>
      <c r="BO35" s="324">
        <f>$I35*IF($G35="Pickup", SUMIFS(NewEmisData!K:K, NewEmisData!$A:$A, "Pickup", NewEmisData!$B:$B, $A35, NewEmisData!$C:$C, $H35, NewEmisData!$D:$D, BO$2), SUMIFS(NewEmisData!K:K, NewEmisData!$A:$A, "LDV", NewEmisData!$B:$B, $A35, NewEmisData!$C:$C, $H35, NewEmisData!$D:$D, BO$2))</f>
        <v>1.1858346520835299</v>
      </c>
      <c r="BP35" s="324">
        <f>$I35*IF($G35="Pickup", SUMIFS(NewEmisData!L:L, NewEmisData!$A:$A, "Pickup", NewEmisData!$B:$B, $A35, NewEmisData!$C:$C, $H35, NewEmisData!$D:$D, BP$2), SUMIFS(NewEmisData!L:L, NewEmisData!$A:$A, "LDV", NewEmisData!$B:$B, $A35, NewEmisData!$C:$C, $H35, NewEmisData!$D:$D, BP$2))</f>
        <v>1.1335061554616499</v>
      </c>
      <c r="BQ35" s="324">
        <f>$I35*IF($G35="Pickup", SUMIFS(NewEmisData!M:M, NewEmisData!$A:$A, "Pickup", NewEmisData!$B:$B, $A35, NewEmisData!$C:$C, $H35, NewEmisData!$D:$D, BQ$2), SUMIFS(NewEmisData!M:M, NewEmisData!$A:$A, "LDV", NewEmisData!$B:$B, $A35, NewEmisData!$C:$C, $H35, NewEmisData!$D:$D, BQ$2))</f>
        <v>1.1009029054349999</v>
      </c>
      <c r="BR35" s="324">
        <f t="shared" si="10"/>
        <v>1.1009029054349999</v>
      </c>
      <c r="BS35" s="324">
        <f>$I35*IF($G35="Pickup", SUMIFS(NewEmisData!E:E, NewEmisData!$A:$A, "Pickup", NewEmisData!$B:$B, $A35, NewEmisData!$C:$C, $H35, NewEmisData!$D:$D, BS$2), SUMIFS(NewEmisData!E:E, NewEmisData!$A:$A, "LDV", NewEmisData!$B:$B, $A35, NewEmisData!$C:$C, $H35, NewEmisData!$D:$D, BS$2))</f>
        <v>0.77473150733664098</v>
      </c>
      <c r="BT35" s="324">
        <f>$I35*IF($G35="Pickup", SUMIFS(NewEmisData!F:F, NewEmisData!$A:$A, "Pickup", NewEmisData!$B:$B, $A35, NewEmisData!$C:$C, $H35, NewEmisData!$D:$D, BT$2), SUMIFS(NewEmisData!F:F, NewEmisData!$A:$A, "LDV", NewEmisData!$B:$B, $A35, NewEmisData!$C:$C, $H35, NewEmisData!$D:$D, BT$2))</f>
        <v>0.41904908416840297</v>
      </c>
      <c r="BU35" s="324">
        <f>$I35*IF($G35="Pickup", SUMIFS(NewEmisData!G:G, NewEmisData!$A:$A, "Pickup", NewEmisData!$B:$B, $A35, NewEmisData!$C:$C, $H35, NewEmisData!$D:$D, BU$2), SUMIFS(NewEmisData!G:G, NewEmisData!$A:$A, "LDV", NewEmisData!$B:$B, $A35, NewEmisData!$C:$C, $H35, NewEmisData!$D:$D, BU$2))</f>
        <v>0.30982899515166501</v>
      </c>
      <c r="BV35" s="324">
        <f>$I35*IF($G35="Pickup", SUMIFS(NewEmisData!H:H, NewEmisData!$A:$A, "Pickup", NewEmisData!$B:$B, $A35, NewEmisData!$C:$C, $H35, NewEmisData!$D:$D, BV$2), SUMIFS(NewEmisData!H:H, NewEmisData!$A:$A, "LDV", NewEmisData!$B:$B, $A35, NewEmisData!$C:$C, $H35, NewEmisData!$D:$D, BV$2))</f>
        <v>0.25046259079934602</v>
      </c>
      <c r="BW35" s="324">
        <f>$I35*IF($G35="Pickup", SUMIFS(NewEmisData!I:I, NewEmisData!$A:$A, "Pickup", NewEmisData!$B:$B, $A35, NewEmisData!$C:$C, $H35, NewEmisData!$D:$D, BW$2), SUMIFS(NewEmisData!I:I, NewEmisData!$A:$A, "LDV", NewEmisData!$B:$B, $A35, NewEmisData!$C:$C, $H35, NewEmisData!$D:$D, BW$2))</f>
        <v>0.18616224227516101</v>
      </c>
      <c r="BX35" s="324">
        <f>$I35*IF($G35="Pickup", SUMIFS(NewEmisData!J:J, NewEmisData!$A:$A, "Pickup", NewEmisData!$B:$B, $A35, NewEmisData!$C:$C, $H35, NewEmisData!$D:$D, BX$2), SUMIFS(NewEmisData!J:J, NewEmisData!$A:$A, "LDV", NewEmisData!$B:$B, $A35, NewEmisData!$C:$C, $H35, NewEmisData!$D:$D, BX$2))</f>
        <v>0.15683046751729501</v>
      </c>
      <c r="BY35" s="324">
        <f>$I35*IF($G35="Pickup", SUMIFS(NewEmisData!K:K, NewEmisData!$A:$A, "Pickup", NewEmisData!$B:$B, $A35, NewEmisData!$C:$C, $H35, NewEmisData!$D:$D, BY$2), SUMIFS(NewEmisData!K:K, NewEmisData!$A:$A, "LDV", NewEmisData!$B:$B, $A35, NewEmisData!$C:$C, $H35, NewEmisData!$D:$D, BY$2))</f>
        <v>0.14094000257929501</v>
      </c>
      <c r="BZ35" s="324">
        <f>$I35*IF($G35="Pickup", SUMIFS(NewEmisData!L:L, NewEmisData!$A:$A, "Pickup", NewEmisData!$B:$B, $A35, NewEmisData!$C:$C, $H35, NewEmisData!$D:$D, BZ$2), SUMIFS(NewEmisData!L:L, NewEmisData!$A:$A, "LDV", NewEmisData!$B:$B, $A35, NewEmisData!$C:$C, $H35, NewEmisData!$D:$D, BZ$2))</f>
        <v>0.134774071356623</v>
      </c>
      <c r="CA35" s="324">
        <f>$I35*IF($G35="Pickup", SUMIFS(NewEmisData!M:M, NewEmisData!$A:$A, "Pickup", NewEmisData!$B:$B, $A35, NewEmisData!$C:$C, $H35, NewEmisData!$D:$D, CA$2), SUMIFS(NewEmisData!M:M, NewEmisData!$A:$A, "LDV", NewEmisData!$B:$B, $A35, NewEmisData!$C:$C, $H35, NewEmisData!$D:$D, CA$2))</f>
        <v>0.12984032725640701</v>
      </c>
      <c r="CB35" s="324">
        <f t="shared" si="11"/>
        <v>0.12984032725640701</v>
      </c>
      <c r="CC35" s="324">
        <f>$I35*IF($G35="Pickup", SUMIFS(NewEmisData!E:E, NewEmisData!$A:$A, "Pickup", NewEmisData!$B:$B, $A35, NewEmisData!$C:$C, $H35, NewEmisData!$D:$D, CC$2), SUMIFS(NewEmisData!E:E, NewEmisData!$A:$A, "LDV", NewEmisData!$B:$B, $A35, NewEmisData!$C:$C, $H35, NewEmisData!$D:$D, CC$2))</f>
        <v>4.52789246362666E-2</v>
      </c>
      <c r="CD35" s="324">
        <f>$I35*IF($G35="Pickup", SUMIFS(NewEmisData!F:F, NewEmisData!$A:$A, "Pickup", NewEmisData!$B:$B, $A35, NewEmisData!$C:$C, $H35, NewEmisData!$D:$D, CD$2), SUMIFS(NewEmisData!F:F, NewEmisData!$A:$A, "LDV", NewEmisData!$B:$B, $A35, NewEmisData!$C:$C, $H35, NewEmisData!$D:$D, CD$2))</f>
        <v>3.0659932051567799E-2</v>
      </c>
      <c r="CE35" s="324">
        <f>$I35*IF($G35="Pickup", SUMIFS(NewEmisData!G:G, NewEmisData!$A:$A, "Pickup", NewEmisData!$B:$B, $A35, NewEmisData!$C:$C, $H35, NewEmisData!$D:$D, CE$2), SUMIFS(NewEmisData!G:G, NewEmisData!$A:$A, "LDV", NewEmisData!$B:$B, $A35, NewEmisData!$C:$C, $H35, NewEmisData!$D:$D, CE$2))</f>
        <v>2.8386595157116199E-2</v>
      </c>
      <c r="CF35" s="324">
        <f>$I35*IF($G35="Pickup", SUMIFS(NewEmisData!H:H, NewEmisData!$A:$A, "Pickup", NewEmisData!$B:$B, $A35, NewEmisData!$C:$C, $H35, NewEmisData!$D:$D, CF$2), SUMIFS(NewEmisData!H:H, NewEmisData!$A:$A, "LDV", NewEmisData!$B:$B, $A35, NewEmisData!$C:$C, $H35, NewEmisData!$D:$D, CF$2))</f>
        <v>2.7093413499500101E-2</v>
      </c>
      <c r="CG35" s="324">
        <f>$I35*IF($G35="Pickup", SUMIFS(NewEmisData!I:I, NewEmisData!$A:$A, "Pickup", NewEmisData!$B:$B, $A35, NewEmisData!$C:$C, $H35, NewEmisData!$D:$D, CG$2), SUMIFS(NewEmisData!I:I, NewEmisData!$A:$A, "LDV", NewEmisData!$B:$B, $A35, NewEmisData!$C:$C, $H35, NewEmisData!$D:$D, CG$2))</f>
        <v>2.6239574855980601E-2</v>
      </c>
      <c r="CH35" s="324">
        <f>$I35*IF($G35="Pickup", SUMIFS(NewEmisData!J:J, NewEmisData!$A:$A, "Pickup", NewEmisData!$B:$B, $A35, NewEmisData!$C:$C, $H35, NewEmisData!$D:$D, CH$2), SUMIFS(NewEmisData!J:J, NewEmisData!$A:$A, "LDV", NewEmisData!$B:$B, $A35, NewEmisData!$C:$C, $H35, NewEmisData!$D:$D, CH$2))</f>
        <v>2.5564245202349602E-2</v>
      </c>
      <c r="CI35" s="324">
        <f>$I35*IF($G35="Pickup", SUMIFS(NewEmisData!K:K, NewEmisData!$A:$A, "Pickup", NewEmisData!$B:$B, $A35, NewEmisData!$C:$C, $H35, NewEmisData!$D:$D, CI$2), SUMIFS(NewEmisData!K:K, NewEmisData!$A:$A, "LDV", NewEmisData!$B:$B, $A35, NewEmisData!$C:$C, $H35, NewEmisData!$D:$D, CI$2))</f>
        <v>2.5562136009582501E-2</v>
      </c>
      <c r="CJ35" s="324">
        <f>$I35*IF($G35="Pickup", SUMIFS(NewEmisData!L:L, NewEmisData!$A:$A, "Pickup", NewEmisData!$B:$B, $A35, NewEmisData!$C:$C, $H35, NewEmisData!$D:$D, CJ$2), SUMIFS(NewEmisData!L:L, NewEmisData!$A:$A, "LDV", NewEmisData!$B:$B, $A35, NewEmisData!$C:$C, $H35, NewEmisData!$D:$D, CJ$2))</f>
        <v>2.5561539762266602E-2</v>
      </c>
      <c r="CK35" s="324">
        <f>$I35*IF($G35="Pickup", SUMIFS(NewEmisData!M:M, NewEmisData!$A:$A, "Pickup", NewEmisData!$B:$B, $A35, NewEmisData!$C:$C, $H35, NewEmisData!$D:$D, CK$2), SUMIFS(NewEmisData!M:M, NewEmisData!$A:$A, "LDV", NewEmisData!$B:$B, $A35, NewEmisData!$C:$C, $H35, NewEmisData!$D:$D, CK$2))</f>
        <v>2.5560994254839702E-2</v>
      </c>
      <c r="CL35" s="324">
        <f t="shared" si="12"/>
        <v>2.5560994254839702E-2</v>
      </c>
      <c r="CM35" s="324">
        <f>$I35*IF($G35="Pickup", SUMIFS(NewEmisData!E:E, NewEmisData!$A:$A, "Pickup", NewEmisData!$B:$B, $A35, NewEmisData!$C:$C, $H35, NewEmisData!$D:$D, CM$2), SUMIFS(NewEmisData!E:E, NewEmisData!$A:$A, "LDV", NewEmisData!$B:$B, $A35, NewEmisData!$C:$C, $H35, NewEmisData!$D:$D, CM$2))</f>
        <v>2.2616228111616499E-2</v>
      </c>
      <c r="CN35" s="324">
        <f>$I35*IF($G35="Pickup", SUMIFS(NewEmisData!F:F, NewEmisData!$A:$A, "Pickup", NewEmisData!$B:$B, $A35, NewEmisData!$C:$C, $H35, NewEmisData!$D:$D, CN$2), SUMIFS(NewEmisData!F:F, NewEmisData!$A:$A, "LDV", NewEmisData!$B:$B, $A35, NewEmisData!$C:$C, $H35, NewEmisData!$D:$D, CN$2))</f>
        <v>1.37039938381133E-2</v>
      </c>
      <c r="CO35" s="324">
        <f>$I35*IF($G35="Pickup", SUMIFS(NewEmisData!G:G, NewEmisData!$A:$A, "Pickup", NewEmisData!$B:$B, $A35, NewEmisData!$C:$C, $H35, NewEmisData!$D:$D, CO$2), SUMIFS(NewEmisData!G:G, NewEmisData!$A:$A, "LDV", NewEmisData!$B:$B, $A35, NewEmisData!$C:$C, $H35, NewEmisData!$D:$D, CO$2))</f>
        <v>1.11279535576189E-2</v>
      </c>
      <c r="CP35" s="324">
        <f>$I35*IF($G35="Pickup", SUMIFS(NewEmisData!H:H, NewEmisData!$A:$A, "Pickup", NewEmisData!$B:$B, $A35, NewEmisData!$C:$C, $H35, NewEmisData!$D:$D, CP$2), SUMIFS(NewEmisData!H:H, NewEmisData!$A:$A, "LDV", NewEmisData!$B:$B, $A35, NewEmisData!$C:$C, $H35, NewEmisData!$D:$D, CP$2))</f>
        <v>9.1642249406405796E-3</v>
      </c>
      <c r="CQ35" s="324">
        <f>$I35*IF($G35="Pickup", SUMIFS(NewEmisData!I:I, NewEmisData!$A:$A, "Pickup", NewEmisData!$B:$B, $A35, NewEmisData!$C:$C, $H35, NewEmisData!$D:$D, CQ$2), SUMIFS(NewEmisData!I:I, NewEmisData!$A:$A, "LDV", NewEmisData!$B:$B, $A35, NewEmisData!$C:$C, $H35, NewEmisData!$D:$D, CQ$2))</f>
        <v>8.2157407295701708E-3</v>
      </c>
      <c r="CR35" s="324">
        <f>$I35*IF($G35="Pickup", SUMIFS(NewEmisData!J:J, NewEmisData!$A:$A, "Pickup", NewEmisData!$B:$B, $A35, NewEmisData!$C:$C, $H35, NewEmisData!$D:$D, CR$2), SUMIFS(NewEmisData!J:J, NewEmisData!$A:$A, "LDV", NewEmisData!$B:$B, $A35, NewEmisData!$C:$C, $H35, NewEmisData!$D:$D, CR$2))</f>
        <v>7.8051702943740097E-3</v>
      </c>
      <c r="CS35" s="324">
        <f>$I35*IF($G35="Pickup", SUMIFS(NewEmisData!K:K, NewEmisData!$A:$A, "Pickup", NewEmisData!$B:$B, $A35, NewEmisData!$C:$C, $H35, NewEmisData!$D:$D, CS$2), SUMIFS(NewEmisData!K:K, NewEmisData!$A:$A, "LDV", NewEmisData!$B:$B, $A35, NewEmisData!$C:$C, $H35, NewEmisData!$D:$D, CS$2))</f>
        <v>7.7607552788062101E-3</v>
      </c>
      <c r="CT35" s="324">
        <f>$I35*IF($G35="Pickup", SUMIFS(NewEmisData!L:L, NewEmisData!$A:$A, "Pickup", NewEmisData!$B:$B, $A35, NewEmisData!$C:$C, $H35, NewEmisData!$D:$D, CT$2), SUMIFS(NewEmisData!L:L, NewEmisData!$A:$A, "LDV", NewEmisData!$B:$B, $A35, NewEmisData!$C:$C, $H35, NewEmisData!$D:$D, CT$2))</f>
        <v>7.6883348823828098E-3</v>
      </c>
      <c r="CU35" s="324">
        <f>$I35*IF($G35="Pickup", SUMIFS(NewEmisData!M:M, NewEmisData!$A:$A, "Pickup", NewEmisData!$B:$B, $A35, NewEmisData!$C:$C, $H35, NewEmisData!$D:$D, CU$2), SUMIFS(NewEmisData!M:M, NewEmisData!$A:$A, "LDV", NewEmisData!$B:$B, $A35, NewEmisData!$C:$C, $H35, NewEmisData!$D:$D, CU$2))</f>
        <v>7.6878848286885603E-3</v>
      </c>
      <c r="CV35" s="324">
        <f t="shared" si="13"/>
        <v>7.6878848286885603E-3</v>
      </c>
      <c r="CW35" s="324">
        <v>4.0498104655261064E-3</v>
      </c>
      <c r="CX35" s="324">
        <v>2.5030350838759993E-3</v>
      </c>
      <c r="CY35" s="324">
        <v>2.1151214403419519E-3</v>
      </c>
      <c r="CZ35" s="324">
        <v>1.7489979687569375E-3</v>
      </c>
      <c r="DA35" s="324">
        <v>1.340486996695321E-3</v>
      </c>
      <c r="DB35" s="324">
        <v>1.0553769116342638E-3</v>
      </c>
      <c r="DC35" s="324">
        <v>1.0132227560056145E-3</v>
      </c>
      <c r="DD35" s="324">
        <v>1.0003159541004489E-3</v>
      </c>
      <c r="DE35" s="324">
        <v>9.9860782000699166E-4</v>
      </c>
      <c r="DF35" s="324">
        <v>9.9860782000699166E-4</v>
      </c>
      <c r="DG35" s="324">
        <f>$I35*IF($G35="Pickup", SUMIFS(NewEmisData!E:E, NewEmisData!$A:$A, "Pickup", NewEmisData!$B:$B, $A35, NewEmisData!$C:$C, $H35, NewEmisData!$D:$D, DG$2), SUMIFS(NewEmisData!E:E, NewEmisData!$A:$A, "LDV", NewEmisData!$B:$B, $A35, NewEmisData!$C:$C, $H35, NewEmisData!$D:$D, DG$2))</f>
        <v>0</v>
      </c>
      <c r="DH35" s="324">
        <f>$I35*IF($G35="Pickup", SUMIFS(NewEmisData!F:F, NewEmisData!$A:$A, "Pickup", NewEmisData!$B:$B, $A35, NewEmisData!$C:$C, $H35, NewEmisData!$D:$D, DH$2), SUMIFS(NewEmisData!F:F, NewEmisData!$A:$A, "LDV", NewEmisData!$B:$B, $A35, NewEmisData!$C:$C, $H35, NewEmisData!$D:$D, DH$2))</f>
        <v>0</v>
      </c>
      <c r="DI35" s="324">
        <f>$I35*IF($G35="Pickup", SUMIFS(NewEmisData!G:G, NewEmisData!$A:$A, "Pickup", NewEmisData!$B:$B, $A35, NewEmisData!$C:$C, $H35, NewEmisData!$D:$D, DI$2), SUMIFS(NewEmisData!G:G, NewEmisData!$A:$A, "LDV", NewEmisData!$B:$B, $A35, NewEmisData!$C:$C, $H35, NewEmisData!$D:$D, DI$2))</f>
        <v>0</v>
      </c>
      <c r="DJ35" s="324">
        <f>$I35*IF($G35="Pickup", SUMIFS(NewEmisData!H:H, NewEmisData!$A:$A, "Pickup", NewEmisData!$B:$B, $A35, NewEmisData!$C:$C, $H35, NewEmisData!$D:$D, DJ$2), SUMIFS(NewEmisData!H:H, NewEmisData!$A:$A, "LDV", NewEmisData!$B:$B, $A35, NewEmisData!$C:$C, $H35, NewEmisData!$D:$D, DJ$2))</f>
        <v>0</v>
      </c>
      <c r="DK35" s="324">
        <f>$I35*IF($G35="Pickup", SUMIFS(NewEmisData!I:I, NewEmisData!$A:$A, "Pickup", NewEmisData!$B:$B, $A35, NewEmisData!$C:$C, $H35, NewEmisData!$D:$D, DK$2), SUMIFS(NewEmisData!I:I, NewEmisData!$A:$A, "LDV", NewEmisData!$B:$B, $A35, NewEmisData!$C:$C, $H35, NewEmisData!$D:$D, DK$2))</f>
        <v>0</v>
      </c>
      <c r="DL35" s="324">
        <f>$I35*IF($G35="Pickup", SUMIFS(NewEmisData!J:J, NewEmisData!$A:$A, "Pickup", NewEmisData!$B:$B, $A35, NewEmisData!$C:$C, $H35, NewEmisData!$D:$D, DL$2), SUMIFS(NewEmisData!J:J, NewEmisData!$A:$A, "LDV", NewEmisData!$B:$B, $A35, NewEmisData!$C:$C, $H35, NewEmisData!$D:$D, DL$2))</f>
        <v>0</v>
      </c>
      <c r="DM35" s="324">
        <f>$I35*IF($G35="Pickup", SUMIFS(NewEmisData!K:K, NewEmisData!$A:$A, "Pickup", NewEmisData!$B:$B, $A35, NewEmisData!$C:$C, $H35, NewEmisData!$D:$D, DM$2), SUMIFS(NewEmisData!K:K, NewEmisData!$A:$A, "LDV", NewEmisData!$B:$B, $A35, NewEmisData!$C:$C, $H35, NewEmisData!$D:$D, DM$2))</f>
        <v>0</v>
      </c>
      <c r="DN35" s="324">
        <f>$I35*IF($G35="Pickup", SUMIFS(NewEmisData!L:L, NewEmisData!$A:$A, "Pickup", NewEmisData!$B:$B, $A35, NewEmisData!$C:$C, $H35, NewEmisData!$D:$D, DN$2), SUMIFS(NewEmisData!L:L, NewEmisData!$A:$A, "LDV", NewEmisData!$B:$B, $A35, NewEmisData!$C:$C, $H35, NewEmisData!$D:$D, DN$2))</f>
        <v>0</v>
      </c>
      <c r="DO35" s="324">
        <f>$I35*IF($G35="Pickup", SUMIFS(NewEmisData!M:M, NewEmisData!$A:$A, "Pickup", NewEmisData!$B:$B, $A35, NewEmisData!$C:$C, $H35, NewEmisData!$D:$D, DO$2), SUMIFS(NewEmisData!M:M, NewEmisData!$A:$A, "LDV", NewEmisData!$B:$B, $A35, NewEmisData!$C:$C, $H35, NewEmisData!$D:$D, DO$2))</f>
        <v>0</v>
      </c>
      <c r="DP35" s="324">
        <f t="shared" si="14"/>
        <v>0</v>
      </c>
      <c r="DQ35" s="324">
        <f>$I35*IF($G35="Pickup", SUMIFS(NewEmisData!E:E, NewEmisData!$A:$A, "Pickup", NewEmisData!$B:$B, $A35, NewEmisData!$C:$C, $H35, NewEmisData!$D:$D, DQ$2), SUMIFS(NewEmisData!E:E, NewEmisData!$A:$A, "LDV", NewEmisData!$B:$B, $A35, NewEmisData!$C:$C, $H35, NewEmisData!$D:$D, DQ$2))</f>
        <v>1.53337301393982E-2</v>
      </c>
      <c r="DR35" s="324">
        <f>$I35*IF($G35="Pickup", SUMIFS(NewEmisData!F:F, NewEmisData!$A:$A, "Pickup", NewEmisData!$B:$B, $A35, NewEmisData!$C:$C, $H35, NewEmisData!$D:$D, DR$2), SUMIFS(NewEmisData!F:F, NewEmisData!$A:$A, "LDV", NewEmisData!$B:$B, $A35, NewEmisData!$C:$C, $H35, NewEmisData!$D:$D, DR$2))</f>
        <v>8.5791399504283501E-3</v>
      </c>
      <c r="DS35" s="324">
        <f>$I35*IF($G35="Pickup", SUMIFS(NewEmisData!G:G, NewEmisData!$A:$A, "Pickup", NewEmisData!$B:$B, $A35, NewEmisData!$C:$C, $H35, NewEmisData!$D:$D, DS$2), SUMIFS(NewEmisData!G:G, NewEmisData!$A:$A, "LDV", NewEmisData!$B:$B, $A35, NewEmisData!$C:$C, $H35, NewEmisData!$D:$D, DS$2))</f>
        <v>6.82614050243104E-3</v>
      </c>
      <c r="DT35" s="324">
        <f>$I35*IF($G35="Pickup", SUMIFS(NewEmisData!H:H, NewEmisData!$A:$A, "Pickup", NewEmisData!$B:$B, $A35, NewEmisData!$C:$C, $H35, NewEmisData!$D:$D, DT$2), SUMIFS(NewEmisData!H:H, NewEmisData!$A:$A, "LDV", NewEmisData!$B:$B, $A35, NewEmisData!$C:$C, $H35, NewEmisData!$D:$D, DT$2))</f>
        <v>5.2306090144423403E-3</v>
      </c>
      <c r="DU35" s="324">
        <f>$I35*IF($G35="Pickup", SUMIFS(NewEmisData!I:I, NewEmisData!$A:$A, "Pickup", NewEmisData!$B:$B, $A35, NewEmisData!$C:$C, $H35, NewEmisData!$D:$D, DU$2), SUMIFS(NewEmisData!I:I, NewEmisData!$A:$A, "LDV", NewEmisData!$B:$B, $A35, NewEmisData!$C:$C, $H35, NewEmisData!$D:$D, DU$2))</f>
        <v>4.0991034424651901E-3</v>
      </c>
      <c r="DV35" s="324">
        <f>$I35*IF($G35="Pickup", SUMIFS(NewEmisData!J:J, NewEmisData!$A:$A, "Pickup", NewEmisData!$B:$B, $A35, NewEmisData!$C:$C, $H35, NewEmisData!$D:$D, DV$2), SUMIFS(NewEmisData!J:J, NewEmisData!$A:$A, "LDV", NewEmisData!$B:$B, $A35, NewEmisData!$C:$C, $H35, NewEmisData!$D:$D, DV$2))</f>
        <v>3.5909983676119801E-3</v>
      </c>
      <c r="DW35" s="324">
        <f>$I35*IF($G35="Pickup", SUMIFS(NewEmisData!K:K, NewEmisData!$A:$A, "Pickup", NewEmisData!$B:$B, $A35, NewEmisData!$C:$C, $H35, NewEmisData!$D:$D, DW$2), SUMIFS(NewEmisData!K:K, NewEmisData!$A:$A, "LDV", NewEmisData!$B:$B, $A35, NewEmisData!$C:$C, $H35, NewEmisData!$D:$D, DW$2))</f>
        <v>3.3016556899443999E-3</v>
      </c>
      <c r="DX35" s="324">
        <f>$I35*IF($G35="Pickup", SUMIFS(NewEmisData!L:L, NewEmisData!$A:$A, "Pickup", NewEmisData!$B:$B, $A35, NewEmisData!$C:$C, $H35, NewEmisData!$D:$D, DX$2), SUMIFS(NewEmisData!L:L, NewEmisData!$A:$A, "LDV", NewEmisData!$B:$B, $A35, NewEmisData!$C:$C, $H35, NewEmisData!$D:$D, DX$2))</f>
        <v>3.2097040973390598E-3</v>
      </c>
      <c r="DY35" s="324">
        <f>$I35*IF($G35="Pickup", SUMIFS(NewEmisData!M:M, NewEmisData!$A:$A, "Pickup", NewEmisData!$B:$B, $A35, NewEmisData!$C:$C, $H35, NewEmisData!$D:$D, DY$2), SUMIFS(NewEmisData!M:M, NewEmisData!$A:$A, "LDV", NewEmisData!$B:$B, $A35, NewEmisData!$C:$C, $H35, NewEmisData!$D:$D, DY$2))</f>
        <v>3.1631494921928599E-3</v>
      </c>
      <c r="DZ35" s="324">
        <f t="shared" si="15"/>
        <v>3.1631494921928599E-3</v>
      </c>
      <c r="EA35" s="324">
        <f t="shared" si="16"/>
        <v>477.08587282575797</v>
      </c>
      <c r="EB35" s="324">
        <f t="shared" si="17"/>
        <v>459.34104292251902</v>
      </c>
      <c r="EC35" s="324">
        <f t="shared" si="18"/>
        <v>447.45896927637102</v>
      </c>
      <c r="ED35" s="324">
        <f t="shared" si="19"/>
        <v>380.72392677964001</v>
      </c>
      <c r="EE35" s="324">
        <f t="shared" si="20"/>
        <v>329.54737069801098</v>
      </c>
      <c r="EF35" s="324">
        <f t="shared" si="21"/>
        <v>300.69829568412598</v>
      </c>
      <c r="EG35" s="324">
        <f t="shared" si="22"/>
        <v>287.83799703632701</v>
      </c>
      <c r="EH35" s="324">
        <f t="shared" si="23"/>
        <v>283.26610797837998</v>
      </c>
      <c r="EI35" s="324">
        <f t="shared" si="24"/>
        <v>281.57834098528099</v>
      </c>
      <c r="EJ35" s="324">
        <f t="shared" si="25"/>
        <v>281.57834098528099</v>
      </c>
      <c r="EK35" s="324">
        <f t="shared" si="26"/>
        <v>0.82339103642645395</v>
      </c>
      <c r="EL35" s="324">
        <f t="shared" si="27"/>
        <v>0.360872733315452</v>
      </c>
      <c r="EM35" s="324">
        <f t="shared" si="28"/>
        <v>0.21658171178065999</v>
      </c>
      <c r="EN35" s="324">
        <f t="shared" si="29"/>
        <v>0.14200533002195401</v>
      </c>
      <c r="EO35" s="324">
        <f t="shared" si="30"/>
        <v>8.8016804659711706E-2</v>
      </c>
      <c r="EP35" s="324">
        <f t="shared" si="31"/>
        <v>6.5736379947852003E-2</v>
      </c>
      <c r="EQ35" s="324">
        <f t="shared" si="32"/>
        <v>5.6635638117250503E-2</v>
      </c>
      <c r="ER35" s="324">
        <f t="shared" si="33"/>
        <v>5.4115247223223299E-2</v>
      </c>
      <c r="ES35" s="324">
        <f t="shared" si="34"/>
        <v>5.2826207223764E-2</v>
      </c>
      <c r="ET35" s="324">
        <f t="shared" si="35"/>
        <v>5.2826207223764E-2</v>
      </c>
      <c r="EU35" s="324">
        <f t="shared" si="36"/>
        <v>8.2552586035919695E-3</v>
      </c>
      <c r="EV35" s="324">
        <f t="shared" si="37"/>
        <v>7.9482131517538395E-3</v>
      </c>
      <c r="EW35" s="324">
        <f t="shared" si="38"/>
        <v>6.4190305556059996E-3</v>
      </c>
      <c r="EX35" s="324">
        <f t="shared" si="39"/>
        <v>5.4616828003907899E-3</v>
      </c>
      <c r="EY35" s="324">
        <f t="shared" si="40"/>
        <v>4.7275285851957304E-3</v>
      </c>
      <c r="EZ35" s="324">
        <f t="shared" si="41"/>
        <v>4.3136734611450098E-3</v>
      </c>
      <c r="FA35" s="324">
        <f t="shared" si="42"/>
        <v>4.1291858052272803E-3</v>
      </c>
      <c r="FB35" s="324">
        <f t="shared" si="43"/>
        <v>4.0635983922117898E-3</v>
      </c>
      <c r="FC35" s="324">
        <f t="shared" si="44"/>
        <v>4.0393864318059199E-3</v>
      </c>
      <c r="FD35" s="324">
        <f t="shared" si="45"/>
        <v>4.0393864318059199E-3</v>
      </c>
      <c r="FE35" s="324">
        <f t="shared" si="46"/>
        <v>8.1828643727713493E-2</v>
      </c>
      <c r="FF35" s="324">
        <f t="shared" si="47"/>
        <v>7.6175839057221195E-2</v>
      </c>
      <c r="FG35" s="324">
        <f t="shared" si="48"/>
        <v>8.1302809072104507E-2</v>
      </c>
      <c r="FH35" s="324">
        <f t="shared" si="49"/>
        <v>7.9561688690416299E-2</v>
      </c>
      <c r="FI35" s="324">
        <f t="shared" si="50"/>
        <v>7.7910530261031605E-2</v>
      </c>
      <c r="FJ35" s="324">
        <f t="shared" si="51"/>
        <v>7.6590334474495605E-2</v>
      </c>
      <c r="FK35" s="324">
        <f t="shared" si="52"/>
        <v>7.5767938917924701E-2</v>
      </c>
      <c r="FL35" s="324">
        <f t="shared" si="53"/>
        <v>7.5353710070808794E-2</v>
      </c>
      <c r="FM35" s="324">
        <f t="shared" si="54"/>
        <v>7.5117977052891499E-2</v>
      </c>
      <c r="FN35" s="324">
        <f t="shared" si="55"/>
        <v>7.5117977052891499E-2</v>
      </c>
      <c r="FO35" s="324">
        <f t="shared" si="56"/>
        <v>2.1998193760633E-2</v>
      </c>
      <c r="FP35" s="324">
        <f t="shared" si="57"/>
        <v>1.6997575378008601E-2</v>
      </c>
      <c r="FQ35" s="324">
        <f t="shared" si="58"/>
        <v>1.6580879412419602E-2</v>
      </c>
      <c r="FR35" s="324">
        <f t="shared" si="59"/>
        <v>1.5040645169031801E-2</v>
      </c>
      <c r="FS35" s="324">
        <f t="shared" si="60"/>
        <v>1.35799610150696E-2</v>
      </c>
      <c r="FT35" s="324">
        <f t="shared" si="61"/>
        <v>1.24120667817219E-2</v>
      </c>
      <c r="FU35" s="324">
        <f t="shared" si="62"/>
        <v>1.16845073314224E-2</v>
      </c>
      <c r="FV35" s="324">
        <f t="shared" si="63"/>
        <v>1.1318096390010799E-2</v>
      </c>
      <c r="FW35" s="324">
        <f t="shared" si="64"/>
        <v>1.1109456757731499E-2</v>
      </c>
      <c r="FX35" s="324">
        <f t="shared" si="65"/>
        <v>1.1109456757731499E-2</v>
      </c>
    </row>
    <row r="36" spans="1:180" x14ac:dyDescent="0.2">
      <c r="A36" s="298" t="str">
        <f>_xlfn.CONCAT(IF(LEFT(TRIM(A35),1)="*", "*R", "R"), 1+RIGHT(TRIM(A35),1))</f>
        <v>R3</v>
      </c>
      <c r="B36" s="298" t="str">
        <f t="shared" ref="B36:B39" si="91">B35</f>
        <v>TLELSGSL</v>
      </c>
      <c r="C36" s="298" t="str">
        <f t="shared" ref="C36:C39" si="92">C35</f>
        <v>TL.GSL.LS.Existing fleet</v>
      </c>
      <c r="D36" s="294" t="str">
        <f t="shared" ref="D36:D39" si="93">D35</f>
        <v>bn-vmt, bn-vmt/a</v>
      </c>
      <c r="E36" s="294" t="str">
        <f t="shared" ref="E36:E39" si="94">E35</f>
        <v>TLGSL</v>
      </c>
      <c r="F36" s="294" t="str">
        <f t="shared" ref="F36:F39" si="95">F35</f>
        <v>TL</v>
      </c>
      <c r="G36" s="294" t="s">
        <v>327</v>
      </c>
      <c r="H36" s="294" t="s">
        <v>474</v>
      </c>
      <c r="I36" s="294">
        <v>1</v>
      </c>
      <c r="J36" s="308" t="str">
        <f t="shared" si="2"/>
        <v>Large SUV-GSL</v>
      </c>
      <c r="K36" s="324">
        <f>$I36*IF($G36="Pickup", SUMIFS(NewEmisData!E:E, NewEmisData!$A:$A, "Pickup", NewEmisData!$B:$B, $A36, NewEmisData!$C:$C, $H36, NewEmisData!$D:$D, K$2), SUMIFS(NewEmisData!E:E, NewEmisData!$A:$A, "LDV", NewEmisData!$B:$B, $A36, NewEmisData!$C:$C, $H36, NewEmisData!$D:$D, K$2))</f>
        <v>437.85746964693402</v>
      </c>
      <c r="L36" s="324">
        <f>$I36*IF($G36="Pickup", SUMIFS(NewEmisData!F:F, NewEmisData!$A:$A, "Pickup", NewEmisData!$B:$B, $A36, NewEmisData!$C:$C, $H36, NewEmisData!$D:$D, L$2), SUMIFS(NewEmisData!F:F, NewEmisData!$A:$A, "LDV", NewEmisData!$B:$B, $A36, NewEmisData!$C:$C, $H36, NewEmisData!$D:$D, L$2))</f>
        <v>424.609883045034</v>
      </c>
      <c r="M36" s="324">
        <f>$I36*IF($G36="Pickup", SUMIFS(NewEmisData!G:G, NewEmisData!$A:$A, "Pickup", NewEmisData!$B:$B, $A36, NewEmisData!$C:$C, $H36, NewEmisData!$D:$D, M$2), SUMIFS(NewEmisData!G:G, NewEmisData!$A:$A, "LDV", NewEmisData!$B:$B, $A36, NewEmisData!$C:$C, $H36, NewEmisData!$D:$D, M$2))</f>
        <v>389.26792072260798</v>
      </c>
      <c r="N36" s="324">
        <f>$I36*IF($G36="Pickup", SUMIFS(NewEmisData!H:H, NewEmisData!$A:$A, "Pickup", NewEmisData!$B:$B, $A36, NewEmisData!$C:$C, $H36, NewEmisData!$D:$D, N$2), SUMIFS(NewEmisData!H:H, NewEmisData!$A:$A, "LDV", NewEmisData!$B:$B, $A36, NewEmisData!$C:$C, $H36, NewEmisData!$D:$D, N$2))</f>
        <v>331.09003080375697</v>
      </c>
      <c r="O36" s="324">
        <f>$I36*IF($G36="Pickup", SUMIFS(NewEmisData!I:I, NewEmisData!$A:$A, "Pickup", NewEmisData!$B:$B, $A36, NewEmisData!$C:$C, $H36, NewEmisData!$D:$D, O$2), SUMIFS(NewEmisData!I:I, NewEmisData!$A:$A, "LDV", NewEmisData!$B:$B, $A36, NewEmisData!$C:$C, $H36, NewEmisData!$D:$D, O$2))</f>
        <v>286.46929869872997</v>
      </c>
      <c r="P36" s="324">
        <f>$I36*IF($G36="Pickup", SUMIFS(NewEmisData!J:J, NewEmisData!$A:$A, "Pickup", NewEmisData!$B:$B, $A36, NewEmisData!$C:$C, $H36, NewEmisData!$D:$D, P$2), SUMIFS(NewEmisData!J:J, NewEmisData!$A:$A, "LDV", NewEmisData!$B:$B, $A36, NewEmisData!$C:$C, $H36, NewEmisData!$D:$D, P$2))</f>
        <v>261.33080310252802</v>
      </c>
      <c r="Q36" s="324">
        <f>$I36*IF($G36="Pickup", SUMIFS(NewEmisData!K:K, NewEmisData!$A:$A, "Pickup", NewEmisData!$B:$B, $A36, NewEmisData!$C:$C, $H36, NewEmisData!$D:$D, Q$2), SUMIFS(NewEmisData!K:K, NewEmisData!$A:$A, "LDV", NewEmisData!$B:$B, $A36, NewEmisData!$C:$C, $H36, NewEmisData!$D:$D, Q$2))</f>
        <v>250.12665030232699</v>
      </c>
      <c r="R36" s="324">
        <f>$I36*IF($G36="Pickup", SUMIFS(NewEmisData!L:L, NewEmisData!$A:$A, "Pickup", NewEmisData!$B:$B, $A36, NewEmisData!$C:$C, $H36, NewEmisData!$D:$D, R$2), SUMIFS(NewEmisData!L:L, NewEmisData!$A:$A, "LDV", NewEmisData!$B:$B, $A36, NewEmisData!$C:$C, $H36, NewEmisData!$D:$D, R$2))</f>
        <v>246.146486551527</v>
      </c>
      <c r="S36" s="324">
        <f>$I36*IF($G36="Pickup", SUMIFS(NewEmisData!M:M, NewEmisData!$A:$A, "Pickup", NewEmisData!$B:$B, $A36, NewEmisData!$C:$C, $H36, NewEmisData!$D:$D, S$2), SUMIFS(NewEmisData!M:M, NewEmisData!$A:$A, "LDV", NewEmisData!$B:$B, $A36, NewEmisData!$C:$C, $H36, NewEmisData!$D:$D, S$2))</f>
        <v>244.677818234341</v>
      </c>
      <c r="T36" s="324">
        <f t="shared" si="5"/>
        <v>244.677818234341</v>
      </c>
      <c r="U36" s="324">
        <f>$I36*IF($G36="Pickup", SUMIFS(NewEmisData!E:E, NewEmisData!$A:$A, "Pickup", NewEmisData!$B:$B, $A36, NewEmisData!$C:$C, $H36, NewEmisData!$D:$D, U$2), SUMIFS(NewEmisData!E:E, NewEmisData!$A:$A, "LDV", NewEmisData!$B:$B, $A36, NewEmisData!$C:$C, $H36, NewEmisData!$D:$D, U$2))</f>
        <v>0.78000130642291299</v>
      </c>
      <c r="V36" s="324">
        <f>$I36*IF($G36="Pickup", SUMIFS(NewEmisData!F:F, NewEmisData!$A:$A, "Pickup", NewEmisData!$B:$B, $A36, NewEmisData!$C:$C, $H36, NewEmisData!$D:$D, V$2), SUMIFS(NewEmisData!F:F, NewEmisData!$A:$A, "LDV", NewEmisData!$B:$B, $A36, NewEmisData!$C:$C, $H36, NewEmisData!$D:$D, V$2))</f>
        <v>0.323605278282381</v>
      </c>
      <c r="W36" s="324">
        <f>$I36*IF($G36="Pickup", SUMIFS(NewEmisData!G:G, NewEmisData!$A:$A, "Pickup", NewEmisData!$B:$B, $A36, NewEmisData!$C:$C, $H36, NewEmisData!$D:$D, W$2), SUMIFS(NewEmisData!G:G, NewEmisData!$A:$A, "LDV", NewEmisData!$B:$B, $A36, NewEmisData!$C:$C, $H36, NewEmisData!$D:$D, W$2))</f>
        <v>0.19152446532377701</v>
      </c>
      <c r="X36" s="324">
        <f>$I36*IF($G36="Pickup", SUMIFS(NewEmisData!H:H, NewEmisData!$A:$A, "Pickup", NewEmisData!$B:$B, $A36, NewEmisData!$C:$C, $H36, NewEmisData!$D:$D, X$2), SUMIFS(NewEmisData!H:H, NewEmisData!$A:$A, "LDV", NewEmisData!$B:$B, $A36, NewEmisData!$C:$C, $H36, NewEmisData!$D:$D, X$2))</f>
        <v>0.12537127832280801</v>
      </c>
      <c r="Y36" s="324">
        <f>$I36*IF($G36="Pickup", SUMIFS(NewEmisData!I:I, NewEmisData!$A:$A, "Pickup", NewEmisData!$B:$B, $A36, NewEmisData!$C:$C, $H36, NewEmisData!$D:$D, Y$2), SUMIFS(NewEmisData!I:I, NewEmisData!$A:$A, "LDV", NewEmisData!$B:$B, $A36, NewEmisData!$C:$C, $H36, NewEmisData!$D:$D, Y$2))</f>
        <v>7.6671766649271E-2</v>
      </c>
      <c r="Z36" s="324">
        <f>$I36*IF($G36="Pickup", SUMIFS(NewEmisData!J:J, NewEmisData!$A:$A, "Pickup", NewEmisData!$B:$B, $A36, NewEmisData!$C:$C, $H36, NewEmisData!$D:$D, Z$2), SUMIFS(NewEmisData!J:J, NewEmisData!$A:$A, "LDV", NewEmisData!$B:$B, $A36, NewEmisData!$C:$C, $H36, NewEmisData!$D:$D, Z$2))</f>
        <v>5.7019026656941203E-2</v>
      </c>
      <c r="AA36" s="324">
        <f>$I36*IF($G36="Pickup", SUMIFS(NewEmisData!K:K, NewEmisData!$A:$A, "Pickup", NewEmisData!$B:$B, $A36, NewEmisData!$C:$C, $H36, NewEmisData!$D:$D, AA$2), SUMIFS(NewEmisData!K:K, NewEmisData!$A:$A, "LDV", NewEmisData!$B:$B, $A36, NewEmisData!$C:$C, $H36, NewEmisData!$D:$D, AA$2))</f>
        <v>4.8823281713844202E-2</v>
      </c>
      <c r="AB36" s="324">
        <f>$I36*IF($G36="Pickup", SUMIFS(NewEmisData!L:L, NewEmisData!$A:$A, "Pickup", NewEmisData!$B:$B, $A36, NewEmisData!$C:$C, $H36, NewEmisData!$D:$D, AB$2), SUMIFS(NewEmisData!L:L, NewEmisData!$A:$A, "LDV", NewEmisData!$B:$B, $A36, NewEmisData!$C:$C, $H36, NewEmisData!$D:$D, AB$2))</f>
        <v>4.6542407484685501E-2</v>
      </c>
      <c r="AC36" s="324">
        <f>$I36*IF($G36="Pickup", SUMIFS(NewEmisData!M:M, NewEmisData!$A:$A, "Pickup", NewEmisData!$B:$B, $A36, NewEmisData!$C:$C, $H36, NewEmisData!$D:$D, AC$2), SUMIFS(NewEmisData!M:M, NewEmisData!$A:$A, "LDV", NewEmisData!$B:$B, $A36, NewEmisData!$C:$C, $H36, NewEmisData!$D:$D, AC$2))</f>
        <v>4.5415311435121702E-2</v>
      </c>
      <c r="AD36" s="324">
        <f t="shared" si="6"/>
        <v>4.5415311435121702E-2</v>
      </c>
      <c r="AE36" s="324">
        <f>$I36*IF($G36="Pickup", SUMIFS(NewEmisData!E:E, NewEmisData!$A:$A, "Pickup", NewEmisData!$B:$B, $A36, NewEmisData!$C:$C, $H36, NewEmisData!$D:$D, AE$2), SUMIFS(NewEmisData!E:E, NewEmisData!$A:$A, "LDV", NewEmisData!$B:$B, $A36, NewEmisData!$C:$C, $H36, NewEmisData!$D:$D, AE$2))</f>
        <v>7.5764719154140002E-3</v>
      </c>
      <c r="AF36" s="324">
        <f>$I36*IF($G36="Pickup", SUMIFS(NewEmisData!F:F, NewEmisData!$A:$A, "Pickup", NewEmisData!$B:$B, $A36, NewEmisData!$C:$C, $H36, NewEmisData!$D:$D, AF$2), SUMIFS(NewEmisData!F:F, NewEmisData!$A:$A, "LDV", NewEmisData!$B:$B, $A36, NewEmisData!$C:$C, $H36, NewEmisData!$D:$D, AF$2))</f>
        <v>7.3472400077695399E-3</v>
      </c>
      <c r="AG36" s="324">
        <f>$I36*IF($G36="Pickup", SUMIFS(NewEmisData!G:G, NewEmisData!$A:$A, "Pickup", NewEmisData!$B:$B, $A36, NewEmisData!$C:$C, $H36, NewEmisData!$D:$D, AG$2), SUMIFS(NewEmisData!G:G, NewEmisData!$A:$A, "LDV", NewEmisData!$B:$B, $A36, NewEmisData!$C:$C, $H36, NewEmisData!$D:$D, AG$2))</f>
        <v>5.5842494055705696E-3</v>
      </c>
      <c r="AH36" s="324">
        <f>$I36*IF($G36="Pickup", SUMIFS(NewEmisData!H:H, NewEmisData!$A:$A, "Pickup", NewEmisData!$B:$B, $A36, NewEmisData!$C:$C, $H36, NewEmisData!$D:$D, AH$2), SUMIFS(NewEmisData!H:H, NewEmisData!$A:$A, "LDV", NewEmisData!$B:$B, $A36, NewEmisData!$C:$C, $H36, NewEmisData!$D:$D, AH$2))</f>
        <v>4.7496587466809804E-3</v>
      </c>
      <c r="AI36" s="324">
        <f>$I36*IF($G36="Pickup", SUMIFS(NewEmisData!I:I, NewEmisData!$A:$A, "Pickup", NewEmisData!$B:$B, $A36, NewEmisData!$C:$C, $H36, NewEmisData!$D:$D, AI$2), SUMIFS(NewEmisData!I:I, NewEmisData!$A:$A, "LDV", NewEmisData!$B:$B, $A36, NewEmisData!$C:$C, $H36, NewEmisData!$D:$D, AI$2))</f>
        <v>4.1095518958717504E-3</v>
      </c>
      <c r="AJ36" s="324">
        <f>$I36*IF($G36="Pickup", SUMIFS(NewEmisData!J:J, NewEmisData!$A:$A, "Pickup", NewEmisData!$B:$B, $A36, NewEmisData!$C:$C, $H36, NewEmisData!$D:$D, AJ$2), SUMIFS(NewEmisData!J:J, NewEmisData!$A:$A, "LDV", NewEmisData!$B:$B, $A36, NewEmisData!$C:$C, $H36, NewEmisData!$D:$D, AJ$2))</f>
        <v>3.7489264773323799E-3</v>
      </c>
      <c r="AK36" s="324">
        <f>$I36*IF($G36="Pickup", SUMIFS(NewEmisData!K:K, NewEmisData!$A:$A, "Pickup", NewEmisData!$B:$B, $A36, NewEmisData!$C:$C, $H36, NewEmisData!$D:$D, AK$2), SUMIFS(NewEmisData!K:K, NewEmisData!$A:$A, "LDV", NewEmisData!$B:$B, $A36, NewEmisData!$C:$C, $H36, NewEmisData!$D:$D, AK$2))</f>
        <v>3.5881959766524201E-3</v>
      </c>
      <c r="AL36" s="324">
        <f>$I36*IF($G36="Pickup", SUMIFS(NewEmisData!L:L, NewEmisData!$A:$A, "Pickup", NewEmisData!$B:$B, $A36, NewEmisData!$C:$C, $H36, NewEmisData!$D:$D, AL$2), SUMIFS(NewEmisData!L:L, NewEmisData!$A:$A, "LDV", NewEmisData!$B:$B, $A36, NewEmisData!$C:$C, $H36, NewEmisData!$D:$D, AL$2))</f>
        <v>3.5311006464952199E-3</v>
      </c>
      <c r="AM36" s="324">
        <f>$I36*IF($G36="Pickup", SUMIFS(NewEmisData!M:M, NewEmisData!$A:$A, "Pickup", NewEmisData!$B:$B, $A36, NewEmisData!$C:$C, $H36, NewEmisData!$D:$D, AM$2), SUMIFS(NewEmisData!M:M, NewEmisData!$A:$A, "LDV", NewEmisData!$B:$B, $A36, NewEmisData!$C:$C, $H36, NewEmisData!$D:$D, AM$2))</f>
        <v>3.5100309709840301E-3</v>
      </c>
      <c r="AN36" s="324">
        <f t="shared" si="7"/>
        <v>3.5100309709840301E-3</v>
      </c>
      <c r="AO36" s="324">
        <f>$I36*IF($G36="Pickup", SUMIFS(NewEmisData!E:E, NewEmisData!$A:$A, "Pickup", NewEmisData!$B:$B, $A36, NewEmisData!$C:$C, $H36, NewEmisData!$D:$D, AO$2), SUMIFS(NewEmisData!E:E, NewEmisData!$A:$A, "LDV", NewEmisData!$B:$B, $A36, NewEmisData!$C:$C, $H36, NewEmisData!$D:$D, AO$2))</f>
        <v>6.7831755328566196E-2</v>
      </c>
      <c r="AP36" s="324">
        <f>$I36*IF($G36="Pickup", SUMIFS(NewEmisData!F:F, NewEmisData!$A:$A, "Pickup", NewEmisData!$B:$B, $A36, NewEmisData!$C:$C, $H36, NewEmisData!$D:$D, AP$2), SUMIFS(NewEmisData!F:F, NewEmisData!$A:$A, "LDV", NewEmisData!$B:$B, $A36, NewEmisData!$C:$C, $H36, NewEmisData!$D:$D, AP$2))</f>
        <v>6.3250667156757298E-2</v>
      </c>
      <c r="AQ36" s="324">
        <f>$I36*IF($G36="Pickup", SUMIFS(NewEmisData!G:G, NewEmisData!$A:$A, "Pickup", NewEmisData!$B:$B, $A36, NewEmisData!$C:$C, $H36, NewEmisData!$D:$D, AQ$2), SUMIFS(NewEmisData!G:G, NewEmisData!$A:$A, "LDV", NewEmisData!$B:$B, $A36, NewEmisData!$C:$C, $H36, NewEmisData!$D:$D, AQ$2))</f>
        <v>6.2628417187727006E-2</v>
      </c>
      <c r="AR36" s="324">
        <f>$I36*IF($G36="Pickup", SUMIFS(NewEmisData!H:H, NewEmisData!$A:$A, "Pickup", NewEmisData!$B:$B, $A36, NewEmisData!$C:$C, $H36, NewEmisData!$D:$D, AR$2), SUMIFS(NewEmisData!H:H, NewEmisData!$A:$A, "LDV", NewEmisData!$B:$B, $A36, NewEmisData!$C:$C, $H36, NewEmisData!$D:$D, AR$2))</f>
        <v>6.1216981125607202E-2</v>
      </c>
      <c r="AS36" s="324">
        <f>$I36*IF($G36="Pickup", SUMIFS(NewEmisData!I:I, NewEmisData!$A:$A, "Pickup", NewEmisData!$B:$B, $A36, NewEmisData!$C:$C, $H36, NewEmisData!$D:$D, AS$2), SUMIFS(NewEmisData!I:I, NewEmisData!$A:$A, "LDV", NewEmisData!$B:$B, $A36, NewEmisData!$C:$C, $H36, NewEmisData!$D:$D, AS$2))</f>
        <v>5.9842025439809501E-2</v>
      </c>
      <c r="AT36" s="324">
        <f>$I36*IF($G36="Pickup", SUMIFS(NewEmisData!J:J, NewEmisData!$A:$A, "Pickup", NewEmisData!$B:$B, $A36, NewEmisData!$C:$C, $H36, NewEmisData!$D:$D, AT$2), SUMIFS(NewEmisData!J:J, NewEmisData!$A:$A, "LDV", NewEmisData!$B:$B, $A36, NewEmisData!$C:$C, $H36, NewEmisData!$D:$D, AT$2))</f>
        <v>5.8761885691048198E-2</v>
      </c>
      <c r="AU36" s="324">
        <f>$I36*IF($G36="Pickup", SUMIFS(NewEmisData!K:K, NewEmisData!$A:$A, "Pickup", NewEmisData!$B:$B, $A36, NewEmisData!$C:$C, $H36, NewEmisData!$D:$D, AU$2), SUMIFS(NewEmisData!K:K, NewEmisData!$A:$A, "LDV", NewEmisData!$B:$B, $A36, NewEmisData!$C:$C, $H36, NewEmisData!$D:$D, AU$2))</f>
        <v>5.8072078083983E-2</v>
      </c>
      <c r="AV36" s="324">
        <f>$I36*IF($G36="Pickup", SUMIFS(NewEmisData!L:L, NewEmisData!$A:$A, "Pickup", NewEmisData!$B:$B, $A36, NewEmisData!$C:$C, $H36, NewEmisData!$D:$D, AV$2), SUMIFS(NewEmisData!L:L, NewEmisData!$A:$A, "LDV", NewEmisData!$B:$B, $A36, NewEmisData!$C:$C, $H36, NewEmisData!$D:$D, AV$2))</f>
        <v>5.7726484266030297E-2</v>
      </c>
      <c r="AW36" s="324">
        <f>$I36*IF($G36="Pickup", SUMIFS(NewEmisData!M:M, NewEmisData!$A:$A, "Pickup", NewEmisData!$B:$B, $A36, NewEmisData!$C:$C, $H36, NewEmisData!$D:$D, AW$2), SUMIFS(NewEmisData!M:M, NewEmisData!$A:$A, "LDV", NewEmisData!$B:$B, $A36, NewEmisData!$C:$C, $H36, NewEmisData!$D:$D, AW$2))</f>
        <v>5.7530226905323702E-2</v>
      </c>
      <c r="AX36" s="324">
        <f t="shared" si="8"/>
        <v>5.7530226905323702E-2</v>
      </c>
      <c r="AY36" s="324">
        <f>$I36*IF($G36="Pickup", SUMIFS(NewEmisData!E:E, NewEmisData!$A:$A, "Pickup", NewEmisData!$B:$B, $A36, NewEmisData!$C:$C, $H36, NewEmisData!$D:$D, AY$2), SUMIFS(NewEmisData!E:E, NewEmisData!$A:$A, "LDV", NewEmisData!$B:$B, $A36, NewEmisData!$C:$C, $H36, NewEmisData!$D:$D, AY$2))</f>
        <v>1.8324822567621701E-2</v>
      </c>
      <c r="AZ36" s="324">
        <f>$I36*IF($G36="Pickup", SUMIFS(NewEmisData!F:F, NewEmisData!$A:$A, "Pickup", NewEmisData!$B:$B, $A36, NewEmisData!$C:$C, $H36, NewEmisData!$D:$D, AZ$2), SUMIFS(NewEmisData!F:F, NewEmisData!$A:$A, "LDV", NewEmisData!$B:$B, $A36, NewEmisData!$C:$C, $H36, NewEmisData!$D:$D, AZ$2))</f>
        <v>1.4272294035055699E-2</v>
      </c>
      <c r="BA36" s="324">
        <f>$I36*IF($G36="Pickup", SUMIFS(NewEmisData!G:G, NewEmisData!$A:$A, "Pickup", NewEmisData!$B:$B, $A36, NewEmisData!$C:$C, $H36, NewEmisData!$D:$D, BA$2), SUMIFS(NewEmisData!G:G, NewEmisData!$A:$A, "LDV", NewEmisData!$B:$B, $A36, NewEmisData!$C:$C, $H36, NewEmisData!$D:$D, BA$2))</f>
        <v>1.3165752481838801E-2</v>
      </c>
      <c r="BB36" s="324">
        <f>$I36*IF($G36="Pickup", SUMIFS(NewEmisData!H:H, NewEmisData!$A:$A, "Pickup", NewEmisData!$B:$B, $A36, NewEmisData!$C:$C, $H36, NewEmisData!$D:$D, BB$2), SUMIFS(NewEmisData!H:H, NewEmisData!$A:$A, "LDV", NewEmisData!$B:$B, $A36, NewEmisData!$C:$C, $H36, NewEmisData!$D:$D, BB$2))</f>
        <v>1.1917194849656599E-2</v>
      </c>
      <c r="BC36" s="324">
        <f>$I36*IF($G36="Pickup", SUMIFS(NewEmisData!I:I, NewEmisData!$A:$A, "Pickup", NewEmisData!$B:$B, $A36, NewEmisData!$C:$C, $H36, NewEmisData!$D:$D, BC$2), SUMIFS(NewEmisData!I:I, NewEmisData!$A:$A, "LDV", NewEmisData!$B:$B, $A36, NewEmisData!$C:$C, $H36, NewEmisData!$D:$D, BC$2))</f>
        <v>1.0700861948252101E-2</v>
      </c>
      <c r="BD36" s="324">
        <f>$I36*IF($G36="Pickup", SUMIFS(NewEmisData!J:J, NewEmisData!$A:$A, "Pickup", NewEmisData!$B:$B, $A36, NewEmisData!$C:$C, $H36, NewEmisData!$D:$D, BD$2), SUMIFS(NewEmisData!J:J, NewEmisData!$A:$A, "LDV", NewEmisData!$B:$B, $A36, NewEmisData!$C:$C, $H36, NewEmisData!$D:$D, BD$2))</f>
        <v>9.7453521893521699E-3</v>
      </c>
      <c r="BE36" s="324">
        <f>$I36*IF($G36="Pickup", SUMIFS(NewEmisData!K:K, NewEmisData!$A:$A, "Pickup", NewEmisData!$B:$B, $A36, NewEmisData!$C:$C, $H36, NewEmisData!$D:$D, BE$2), SUMIFS(NewEmisData!K:K, NewEmisData!$A:$A, "LDV", NewEmisData!$B:$B, $A36, NewEmisData!$C:$C, $H36, NewEmisData!$D:$D, BE$2))</f>
        <v>9.1351470976244707E-3</v>
      </c>
      <c r="BF36" s="324">
        <f>$I36*IF($G36="Pickup", SUMIFS(NewEmisData!L:L, NewEmisData!$A:$A, "Pickup", NewEmisData!$B:$B, $A36, NewEmisData!$C:$C, $H36, NewEmisData!$D:$D, BF$2), SUMIFS(NewEmisData!L:L, NewEmisData!$A:$A, "LDV", NewEmisData!$B:$B, $A36, NewEmisData!$C:$C, $H36, NewEmisData!$D:$D, BF$2))</f>
        <v>8.8293874131557606E-3</v>
      </c>
      <c r="BG36" s="324">
        <f>$I36*IF($G36="Pickup", SUMIFS(NewEmisData!M:M, NewEmisData!$A:$A, "Pickup", NewEmisData!$B:$B, $A36, NewEmisData!$C:$C, $H36, NewEmisData!$D:$D, BG$2), SUMIFS(NewEmisData!M:M, NewEmisData!$A:$A, "LDV", NewEmisData!$B:$B, $A36, NewEmisData!$C:$C, $H36, NewEmisData!$D:$D, BG$2))</f>
        <v>8.6558174466142106E-3</v>
      </c>
      <c r="BH36" s="324">
        <f t="shared" si="9"/>
        <v>8.6558174466142106E-3</v>
      </c>
      <c r="BI36" s="324">
        <f>$I36*IF($G36="Pickup", SUMIFS(NewEmisData!E:E, NewEmisData!$A:$A, "Pickup", NewEmisData!$B:$B, $A36, NewEmisData!$C:$C, $H36, NewEmisData!$D:$D, BI$2), SUMIFS(NewEmisData!E:E, NewEmisData!$A:$A, "LDV", NewEmisData!$B:$B, $A36, NewEmisData!$C:$C, $H36, NewEmisData!$D:$D, BI$2))</f>
        <v>5.6341971782511804</v>
      </c>
      <c r="BJ36" s="324">
        <f>$I36*IF($G36="Pickup", SUMIFS(NewEmisData!F:F, NewEmisData!$A:$A, "Pickup", NewEmisData!$B:$B, $A36, NewEmisData!$C:$C, $H36, NewEmisData!$D:$D, BJ$2), SUMIFS(NewEmisData!F:F, NewEmisData!$A:$A, "LDV", NewEmisData!$B:$B, $A36, NewEmisData!$C:$C, $H36, NewEmisData!$D:$D, BJ$2))</f>
        <v>3.2912080717511998</v>
      </c>
      <c r="BK36" s="324">
        <f>$I36*IF($G36="Pickup", SUMIFS(NewEmisData!G:G, NewEmisData!$A:$A, "Pickup", NewEmisData!$B:$B, $A36, NewEmisData!$C:$C, $H36, NewEmisData!$D:$D, BK$2), SUMIFS(NewEmisData!G:G, NewEmisData!$A:$A, "LDV", NewEmisData!$B:$B, $A36, NewEmisData!$C:$C, $H36, NewEmisData!$D:$D, BK$2))</f>
        <v>2.5038449092773698</v>
      </c>
      <c r="BL36" s="324">
        <f>$I36*IF($G36="Pickup", SUMIFS(NewEmisData!H:H, NewEmisData!$A:$A, "Pickup", NewEmisData!$B:$B, $A36, NewEmisData!$C:$C, $H36, NewEmisData!$D:$D, BL$2), SUMIFS(NewEmisData!H:H, NewEmisData!$A:$A, "LDV", NewEmisData!$B:$B, $A36, NewEmisData!$C:$C, $H36, NewEmisData!$D:$D, BL$2))</f>
        <v>1.9586302072503601</v>
      </c>
      <c r="BM36" s="324">
        <f>$I36*IF($G36="Pickup", SUMIFS(NewEmisData!I:I, NewEmisData!$A:$A, "Pickup", NewEmisData!$B:$B, $A36, NewEmisData!$C:$C, $H36, NewEmisData!$D:$D, BM$2), SUMIFS(NewEmisData!I:I, NewEmisData!$A:$A, "LDV", NewEmisData!$B:$B, $A36, NewEmisData!$C:$C, $H36, NewEmisData!$D:$D, BM$2))</f>
        <v>1.4188080704430199</v>
      </c>
      <c r="BN36" s="324">
        <f>$I36*IF($G36="Pickup", SUMIFS(NewEmisData!J:J, NewEmisData!$A:$A, "Pickup", NewEmisData!$B:$B, $A36, NewEmisData!$C:$C, $H36, NewEmisData!$D:$D, BN$2), SUMIFS(NewEmisData!J:J, NewEmisData!$A:$A, "LDV", NewEmisData!$B:$B, $A36, NewEmisData!$C:$C, $H36, NewEmisData!$D:$D, BN$2))</f>
        <v>1.12295829909247</v>
      </c>
      <c r="BO36" s="324">
        <f>$I36*IF($G36="Pickup", SUMIFS(NewEmisData!K:K, NewEmisData!$A:$A, "Pickup", NewEmisData!$B:$B, $A36, NewEmisData!$C:$C, $H36, NewEmisData!$D:$D, BO$2), SUMIFS(NewEmisData!K:K, NewEmisData!$A:$A, "LDV", NewEmisData!$B:$B, $A36, NewEmisData!$C:$C, $H36, NewEmisData!$D:$D, BO$2))</f>
        <v>0.98917470890575399</v>
      </c>
      <c r="BP36" s="324">
        <f>$I36*IF($G36="Pickup", SUMIFS(NewEmisData!L:L, NewEmisData!$A:$A, "Pickup", NewEmisData!$B:$B, $A36, NewEmisData!$C:$C, $H36, NewEmisData!$D:$D, BP$2), SUMIFS(NewEmisData!L:L, NewEmisData!$A:$A, "LDV", NewEmisData!$B:$B, $A36, NewEmisData!$C:$C, $H36, NewEmisData!$D:$D, BP$2))</f>
        <v>0.94587291374607996</v>
      </c>
      <c r="BQ36" s="324">
        <f>$I36*IF($G36="Pickup", SUMIFS(NewEmisData!M:M, NewEmisData!$A:$A, "Pickup", NewEmisData!$B:$B, $A36, NewEmisData!$C:$C, $H36, NewEmisData!$D:$D, BQ$2), SUMIFS(NewEmisData!M:M, NewEmisData!$A:$A, "LDV", NewEmisData!$B:$B, $A36, NewEmisData!$C:$C, $H36, NewEmisData!$D:$D, BQ$2))</f>
        <v>0.91886504762322097</v>
      </c>
      <c r="BR36" s="324">
        <f t="shared" si="10"/>
        <v>0.91886504762322097</v>
      </c>
      <c r="BS36" s="324">
        <f>$I36*IF($G36="Pickup", SUMIFS(NewEmisData!E:E, NewEmisData!$A:$A, "Pickup", NewEmisData!$B:$B, $A36, NewEmisData!$C:$C, $H36, NewEmisData!$D:$D, BS$2), SUMIFS(NewEmisData!E:E, NewEmisData!$A:$A, "LDV", NewEmisData!$B:$B, $A36, NewEmisData!$C:$C, $H36, NewEmisData!$D:$D, BS$2))</f>
        <v>0.64604041020523395</v>
      </c>
      <c r="BT36" s="324">
        <f>$I36*IF($G36="Pickup", SUMIFS(NewEmisData!F:F, NewEmisData!$A:$A, "Pickup", NewEmisData!$B:$B, $A36, NewEmisData!$C:$C, $H36, NewEmisData!$D:$D, BT$2), SUMIFS(NewEmisData!F:F, NewEmisData!$A:$A, "LDV", NewEmisData!$B:$B, $A36, NewEmisData!$C:$C, $H36, NewEmisData!$D:$D, BT$2))</f>
        <v>0.33711601886070303</v>
      </c>
      <c r="BU36" s="324">
        <f>$I36*IF($G36="Pickup", SUMIFS(NewEmisData!G:G, NewEmisData!$A:$A, "Pickup", NewEmisData!$B:$B, $A36, NewEmisData!$C:$C, $H36, NewEmisData!$D:$D, BU$2), SUMIFS(NewEmisData!G:G, NewEmisData!$A:$A, "LDV", NewEmisData!$B:$B, $A36, NewEmisData!$C:$C, $H36, NewEmisData!$D:$D, BU$2))</f>
        <v>0.24835485029207899</v>
      </c>
      <c r="BV36" s="324">
        <f>$I36*IF($G36="Pickup", SUMIFS(NewEmisData!H:H, NewEmisData!$A:$A, "Pickup", NewEmisData!$B:$B, $A36, NewEmisData!$C:$C, $H36, NewEmisData!$D:$D, BV$2), SUMIFS(NewEmisData!H:H, NewEmisData!$A:$A, "LDV", NewEmisData!$B:$B, $A36, NewEmisData!$C:$C, $H36, NewEmisData!$D:$D, BV$2))</f>
        <v>0.20063726173746699</v>
      </c>
      <c r="BW36" s="324">
        <f>$I36*IF($G36="Pickup", SUMIFS(NewEmisData!I:I, NewEmisData!$A:$A, "Pickup", NewEmisData!$B:$B, $A36, NewEmisData!$C:$C, $H36, NewEmisData!$D:$D, BW$2), SUMIFS(NewEmisData!I:I, NewEmisData!$A:$A, "LDV", NewEmisData!$B:$B, $A36, NewEmisData!$C:$C, $H36, NewEmisData!$D:$D, BW$2))</f>
        <v>0.148388069930526</v>
      </c>
      <c r="BX36" s="324">
        <f>$I36*IF($G36="Pickup", SUMIFS(NewEmisData!J:J, NewEmisData!$A:$A, "Pickup", NewEmisData!$B:$B, $A36, NewEmisData!$C:$C, $H36, NewEmisData!$D:$D, BX$2), SUMIFS(NewEmisData!J:J, NewEmisData!$A:$A, "LDV", NewEmisData!$B:$B, $A36, NewEmisData!$C:$C, $H36, NewEmisData!$D:$D, BX$2))</f>
        <v>0.12460657527841699</v>
      </c>
      <c r="BY36" s="324">
        <f>$I36*IF($G36="Pickup", SUMIFS(NewEmisData!K:K, NewEmisData!$A:$A, "Pickup", NewEmisData!$B:$B, $A36, NewEmisData!$C:$C, $H36, NewEmisData!$D:$D, BY$2), SUMIFS(NewEmisData!K:K, NewEmisData!$A:$A, "LDV", NewEmisData!$B:$B, $A36, NewEmisData!$C:$C, $H36, NewEmisData!$D:$D, BY$2))</f>
        <v>0.11177610097077099</v>
      </c>
      <c r="BZ36" s="324">
        <f>$I36*IF($G36="Pickup", SUMIFS(NewEmisData!L:L, NewEmisData!$A:$A, "Pickup", NewEmisData!$B:$B, $A36, NewEmisData!$C:$C, $H36, NewEmisData!$D:$D, BZ$2), SUMIFS(NewEmisData!L:L, NewEmisData!$A:$A, "LDV", NewEmisData!$B:$B, $A36, NewEmisData!$C:$C, $H36, NewEmisData!$D:$D, BZ$2))</f>
        <v>0.10678198489299399</v>
      </c>
      <c r="CA36" s="324">
        <f>$I36*IF($G36="Pickup", SUMIFS(NewEmisData!M:M, NewEmisData!$A:$A, "Pickup", NewEmisData!$B:$B, $A36, NewEmisData!$C:$C, $H36, NewEmisData!$D:$D, CA$2), SUMIFS(NewEmisData!M:M, NewEmisData!$A:$A, "LDV", NewEmisData!$B:$B, $A36, NewEmisData!$C:$C, $H36, NewEmisData!$D:$D, CA$2))</f>
        <v>0.102788686456563</v>
      </c>
      <c r="CB36" s="324">
        <f t="shared" si="11"/>
        <v>0.102788686456563</v>
      </c>
      <c r="CC36" s="324">
        <f>$I36*IF($G36="Pickup", SUMIFS(NewEmisData!E:E, NewEmisData!$A:$A, "Pickup", NewEmisData!$B:$B, $A36, NewEmisData!$C:$C, $H36, NewEmisData!$D:$D, CC$2), SUMIFS(NewEmisData!E:E, NewEmisData!$A:$A, "LDV", NewEmisData!$B:$B, $A36, NewEmisData!$C:$C, $H36, NewEmisData!$D:$D, CC$2))</f>
        <v>4.5186599160421101E-2</v>
      </c>
      <c r="CD36" s="324">
        <f>$I36*IF($G36="Pickup", SUMIFS(NewEmisData!F:F, NewEmisData!$A:$A, "Pickup", NewEmisData!$B:$B, $A36, NewEmisData!$C:$C, $H36, NewEmisData!$D:$D, CD$2), SUMIFS(NewEmisData!F:F, NewEmisData!$A:$A, "LDV", NewEmisData!$B:$B, $A36, NewEmisData!$C:$C, $H36, NewEmisData!$D:$D, CD$2))</f>
        <v>3.0321042660064499E-2</v>
      </c>
      <c r="CE36" s="324">
        <f>$I36*IF($G36="Pickup", SUMIFS(NewEmisData!G:G, NewEmisData!$A:$A, "Pickup", NewEmisData!$B:$B, $A36, NewEmisData!$C:$C, $H36, NewEmisData!$D:$D, CE$2), SUMIFS(NewEmisData!G:G, NewEmisData!$A:$A, "LDV", NewEmisData!$B:$B, $A36, NewEmisData!$C:$C, $H36, NewEmisData!$D:$D, CE$2))</f>
        <v>2.5916716030162101E-2</v>
      </c>
      <c r="CF36" s="324">
        <f>$I36*IF($G36="Pickup", SUMIFS(NewEmisData!H:H, NewEmisData!$A:$A, "Pickup", NewEmisData!$B:$B, $A36, NewEmisData!$C:$C, $H36, NewEmisData!$D:$D, CF$2), SUMIFS(NewEmisData!H:H, NewEmisData!$A:$A, "LDV", NewEmisData!$B:$B, $A36, NewEmisData!$C:$C, $H36, NewEmisData!$D:$D, CF$2))</f>
        <v>2.4735955589537201E-2</v>
      </c>
      <c r="CG36" s="324">
        <f>$I36*IF($G36="Pickup", SUMIFS(NewEmisData!I:I, NewEmisData!$A:$A, "Pickup", NewEmisData!$B:$B, $A36, NewEmisData!$C:$C, $H36, NewEmisData!$D:$D, CG$2), SUMIFS(NewEmisData!I:I, NewEmisData!$A:$A, "LDV", NewEmisData!$B:$B, $A36, NewEmisData!$C:$C, $H36, NewEmisData!$D:$D, CG$2))</f>
        <v>2.39507418397766E-2</v>
      </c>
      <c r="CH36" s="324">
        <f>$I36*IF($G36="Pickup", SUMIFS(NewEmisData!J:J, NewEmisData!$A:$A, "Pickup", NewEmisData!$B:$B, $A36, NewEmisData!$C:$C, $H36, NewEmisData!$D:$D, CH$2), SUMIFS(NewEmisData!J:J, NewEmisData!$A:$A, "LDV", NewEmisData!$B:$B, $A36, NewEmisData!$C:$C, $H36, NewEmisData!$D:$D, CH$2))</f>
        <v>2.33343295652753E-2</v>
      </c>
      <c r="CI36" s="324">
        <f>$I36*IF($G36="Pickup", SUMIFS(NewEmisData!K:K, NewEmisData!$A:$A, "Pickup", NewEmisData!$B:$B, $A36, NewEmisData!$C:$C, $H36, NewEmisData!$D:$D, CI$2), SUMIFS(NewEmisData!K:K, NewEmisData!$A:$A, "LDV", NewEmisData!$B:$B, $A36, NewEmisData!$C:$C, $H36, NewEmisData!$D:$D, CI$2))</f>
        <v>2.33323778682475E-2</v>
      </c>
      <c r="CJ36" s="324">
        <f>$I36*IF($G36="Pickup", SUMIFS(NewEmisData!L:L, NewEmisData!$A:$A, "Pickup", NewEmisData!$B:$B, $A36, NewEmisData!$C:$C, $H36, NewEmisData!$D:$D, CJ$2), SUMIFS(NewEmisData!L:L, NewEmisData!$A:$A, "LDV", NewEmisData!$B:$B, $A36, NewEmisData!$C:$C, $H36, NewEmisData!$D:$D, CJ$2))</f>
        <v>2.3331868508858E-2</v>
      </c>
      <c r="CK36" s="324">
        <f>$I36*IF($G36="Pickup", SUMIFS(NewEmisData!M:M, NewEmisData!$A:$A, "Pickup", NewEmisData!$B:$B, $A36, NewEmisData!$C:$C, $H36, NewEmisData!$D:$D, CK$2), SUMIFS(NewEmisData!M:M, NewEmisData!$A:$A, "LDV", NewEmisData!$B:$B, $A36, NewEmisData!$C:$C, $H36, NewEmisData!$D:$D, CK$2))</f>
        <v>2.3331333840255802E-2</v>
      </c>
      <c r="CL36" s="324">
        <f t="shared" si="12"/>
        <v>2.3331333840255802E-2</v>
      </c>
      <c r="CM36" s="324">
        <f>$I36*IF($G36="Pickup", SUMIFS(NewEmisData!E:E, NewEmisData!$A:$A, "Pickup", NewEmisData!$B:$B, $A36, NewEmisData!$C:$C, $H36, NewEmisData!$D:$D, CM$2), SUMIFS(NewEmisData!E:E, NewEmisData!$A:$A, "LDV", NewEmisData!$B:$B, $A36, NewEmisData!$C:$C, $H36, NewEmisData!$D:$D, CM$2))</f>
        <v>1.8999640989844298E-2</v>
      </c>
      <c r="CN36" s="324">
        <f>$I36*IF($G36="Pickup", SUMIFS(NewEmisData!F:F, NewEmisData!$A:$A, "Pickup", NewEmisData!$B:$B, $A36, NewEmisData!$C:$C, $H36, NewEmisData!$D:$D, CN$2), SUMIFS(NewEmisData!F:F, NewEmisData!$A:$A, "LDV", NewEmisData!$B:$B, $A36, NewEmisData!$C:$C, $H36, NewEmisData!$D:$D, CN$2))</f>
        <v>1.12934038283153E-2</v>
      </c>
      <c r="CO36" s="324">
        <f>$I36*IF($G36="Pickup", SUMIFS(NewEmisData!G:G, NewEmisData!$A:$A, "Pickup", NewEmisData!$B:$B, $A36, NewEmisData!$C:$C, $H36, NewEmisData!$D:$D, CO$2), SUMIFS(NewEmisData!G:G, NewEmisData!$A:$A, "LDV", NewEmisData!$B:$B, $A36, NewEmisData!$C:$C, $H36, NewEmisData!$D:$D, CO$2))</f>
        <v>8.9155864809614994E-3</v>
      </c>
      <c r="CP36" s="324">
        <f>$I36*IF($G36="Pickup", SUMIFS(NewEmisData!H:H, NewEmisData!$A:$A, "Pickup", NewEmisData!$B:$B, $A36, NewEmisData!$C:$C, $H36, NewEmisData!$D:$D, CP$2), SUMIFS(NewEmisData!H:H, NewEmisData!$A:$A, "LDV", NewEmisData!$B:$B, $A36, NewEmisData!$C:$C, $H36, NewEmisData!$D:$D, CP$2))</f>
        <v>7.3372921922104104E-3</v>
      </c>
      <c r="CQ36" s="324">
        <f>$I36*IF($G36="Pickup", SUMIFS(NewEmisData!I:I, NewEmisData!$A:$A, "Pickup", NewEmisData!$B:$B, $A36, NewEmisData!$C:$C, $H36, NewEmisData!$D:$D, CQ$2), SUMIFS(NewEmisData!I:I, NewEmisData!$A:$A, "LDV", NewEmisData!$B:$B, $A36, NewEmisData!$C:$C, $H36, NewEmisData!$D:$D, CQ$2))</f>
        <v>6.5724995115123896E-3</v>
      </c>
      <c r="CR36" s="324">
        <f>$I36*IF($G36="Pickup", SUMIFS(NewEmisData!J:J, NewEmisData!$A:$A, "Pickup", NewEmisData!$B:$B, $A36, NewEmisData!$C:$C, $H36, NewEmisData!$D:$D, CR$2), SUMIFS(NewEmisData!J:J, NewEmisData!$A:$A, "LDV", NewEmisData!$B:$B, $A36, NewEmisData!$C:$C, $H36, NewEmisData!$D:$D, CR$2))</f>
        <v>6.2407197852133098E-3</v>
      </c>
      <c r="CS36" s="324">
        <f>$I36*IF($G36="Pickup", SUMIFS(NewEmisData!K:K, NewEmisData!$A:$A, "Pickup", NewEmisData!$B:$B, $A36, NewEmisData!$C:$C, $H36, NewEmisData!$D:$D, CS$2), SUMIFS(NewEmisData!K:K, NewEmisData!$A:$A, "LDV", NewEmisData!$B:$B, $A36, NewEmisData!$C:$C, $H36, NewEmisData!$D:$D, CS$2))</f>
        <v>6.20457620974787E-3</v>
      </c>
      <c r="CT36" s="324">
        <f>$I36*IF($G36="Pickup", SUMIFS(NewEmisData!L:L, NewEmisData!$A:$A, "Pickup", NewEmisData!$B:$B, $A36, NewEmisData!$C:$C, $H36, NewEmisData!$D:$D, CT$2), SUMIFS(NewEmisData!L:L, NewEmisData!$A:$A, "LDV", NewEmisData!$B:$B, $A36, NewEmisData!$C:$C, $H36, NewEmisData!$D:$D, CT$2))</f>
        <v>6.1456645266433898E-3</v>
      </c>
      <c r="CU36" s="324">
        <f>$I36*IF($G36="Pickup", SUMIFS(NewEmisData!M:M, NewEmisData!$A:$A, "Pickup", NewEmisData!$B:$B, $A36, NewEmisData!$C:$C, $H36, NewEmisData!$D:$D, CU$2), SUMIFS(NewEmisData!M:M, NewEmisData!$A:$A, "LDV", NewEmisData!$B:$B, $A36, NewEmisData!$C:$C, $H36, NewEmisData!$D:$D, CU$2))</f>
        <v>6.1452936234844303E-3</v>
      </c>
      <c r="CV36" s="324">
        <f t="shared" si="13"/>
        <v>6.1452936234844303E-3</v>
      </c>
      <c r="CW36" s="324">
        <v>4.0498104655261064E-3</v>
      </c>
      <c r="CX36" s="324">
        <v>2.5030350838759993E-3</v>
      </c>
      <c r="CY36" s="324">
        <v>2.1151214403419519E-3</v>
      </c>
      <c r="CZ36" s="324">
        <v>1.7489979687569375E-3</v>
      </c>
      <c r="DA36" s="324">
        <v>1.340486996695321E-3</v>
      </c>
      <c r="DB36" s="324">
        <v>1.0553769116342638E-3</v>
      </c>
      <c r="DC36" s="324">
        <v>1.0132227560056145E-3</v>
      </c>
      <c r="DD36" s="324">
        <v>1.0003159541004489E-3</v>
      </c>
      <c r="DE36" s="324">
        <v>9.9860782000699166E-4</v>
      </c>
      <c r="DF36" s="324">
        <v>9.9860782000699166E-4</v>
      </c>
      <c r="DG36" s="324">
        <f>$I36*IF($G36="Pickup", SUMIFS(NewEmisData!E:E, NewEmisData!$A:$A, "Pickup", NewEmisData!$B:$B, $A36, NewEmisData!$C:$C, $H36, NewEmisData!$D:$D, DG$2), SUMIFS(NewEmisData!E:E, NewEmisData!$A:$A, "LDV", NewEmisData!$B:$B, $A36, NewEmisData!$C:$C, $H36, NewEmisData!$D:$D, DG$2))</f>
        <v>0</v>
      </c>
      <c r="DH36" s="324">
        <f>$I36*IF($G36="Pickup", SUMIFS(NewEmisData!F:F, NewEmisData!$A:$A, "Pickup", NewEmisData!$B:$B, $A36, NewEmisData!$C:$C, $H36, NewEmisData!$D:$D, DH$2), SUMIFS(NewEmisData!F:F, NewEmisData!$A:$A, "LDV", NewEmisData!$B:$B, $A36, NewEmisData!$C:$C, $H36, NewEmisData!$D:$D, DH$2))</f>
        <v>0</v>
      </c>
      <c r="DI36" s="324">
        <f>$I36*IF($G36="Pickup", SUMIFS(NewEmisData!G:G, NewEmisData!$A:$A, "Pickup", NewEmisData!$B:$B, $A36, NewEmisData!$C:$C, $H36, NewEmisData!$D:$D, DI$2), SUMIFS(NewEmisData!G:G, NewEmisData!$A:$A, "LDV", NewEmisData!$B:$B, $A36, NewEmisData!$C:$C, $H36, NewEmisData!$D:$D, DI$2))</f>
        <v>0</v>
      </c>
      <c r="DJ36" s="324">
        <f>$I36*IF($G36="Pickup", SUMIFS(NewEmisData!H:H, NewEmisData!$A:$A, "Pickup", NewEmisData!$B:$B, $A36, NewEmisData!$C:$C, $H36, NewEmisData!$D:$D, DJ$2), SUMIFS(NewEmisData!H:H, NewEmisData!$A:$A, "LDV", NewEmisData!$B:$B, $A36, NewEmisData!$C:$C, $H36, NewEmisData!$D:$D, DJ$2))</f>
        <v>0</v>
      </c>
      <c r="DK36" s="324">
        <f>$I36*IF($G36="Pickup", SUMIFS(NewEmisData!I:I, NewEmisData!$A:$A, "Pickup", NewEmisData!$B:$B, $A36, NewEmisData!$C:$C, $H36, NewEmisData!$D:$D, DK$2), SUMIFS(NewEmisData!I:I, NewEmisData!$A:$A, "LDV", NewEmisData!$B:$B, $A36, NewEmisData!$C:$C, $H36, NewEmisData!$D:$D, DK$2))</f>
        <v>0</v>
      </c>
      <c r="DL36" s="324">
        <f>$I36*IF($G36="Pickup", SUMIFS(NewEmisData!J:J, NewEmisData!$A:$A, "Pickup", NewEmisData!$B:$B, $A36, NewEmisData!$C:$C, $H36, NewEmisData!$D:$D, DL$2), SUMIFS(NewEmisData!J:J, NewEmisData!$A:$A, "LDV", NewEmisData!$B:$B, $A36, NewEmisData!$C:$C, $H36, NewEmisData!$D:$D, DL$2))</f>
        <v>0</v>
      </c>
      <c r="DM36" s="324">
        <f>$I36*IF($G36="Pickup", SUMIFS(NewEmisData!K:K, NewEmisData!$A:$A, "Pickup", NewEmisData!$B:$B, $A36, NewEmisData!$C:$C, $H36, NewEmisData!$D:$D, DM$2), SUMIFS(NewEmisData!K:K, NewEmisData!$A:$A, "LDV", NewEmisData!$B:$B, $A36, NewEmisData!$C:$C, $H36, NewEmisData!$D:$D, DM$2))</f>
        <v>0</v>
      </c>
      <c r="DN36" s="324">
        <f>$I36*IF($G36="Pickup", SUMIFS(NewEmisData!L:L, NewEmisData!$A:$A, "Pickup", NewEmisData!$B:$B, $A36, NewEmisData!$C:$C, $H36, NewEmisData!$D:$D, DN$2), SUMIFS(NewEmisData!L:L, NewEmisData!$A:$A, "LDV", NewEmisData!$B:$B, $A36, NewEmisData!$C:$C, $H36, NewEmisData!$D:$D, DN$2))</f>
        <v>0</v>
      </c>
      <c r="DO36" s="324">
        <f>$I36*IF($G36="Pickup", SUMIFS(NewEmisData!M:M, NewEmisData!$A:$A, "Pickup", NewEmisData!$B:$B, $A36, NewEmisData!$C:$C, $H36, NewEmisData!$D:$D, DO$2), SUMIFS(NewEmisData!M:M, NewEmisData!$A:$A, "LDV", NewEmisData!$B:$B, $A36, NewEmisData!$C:$C, $H36, NewEmisData!$D:$D, DO$2))</f>
        <v>0</v>
      </c>
      <c r="DP36" s="324">
        <f t="shared" si="14"/>
        <v>0</v>
      </c>
      <c r="DQ36" s="324">
        <f>$I36*IF($G36="Pickup", SUMIFS(NewEmisData!E:E, NewEmisData!$A:$A, "Pickup", NewEmisData!$B:$B, $A36, NewEmisData!$C:$C, $H36, NewEmisData!$D:$D, DQ$2), SUMIFS(NewEmisData!E:E, NewEmisData!$A:$A, "LDV", NewEmisData!$B:$B, $A36, NewEmisData!$C:$C, $H36, NewEmisData!$D:$D, DQ$2))</f>
        <v>1.28100272800791E-2</v>
      </c>
      <c r="DR36" s="324">
        <f>$I36*IF($G36="Pickup", SUMIFS(NewEmisData!F:F, NewEmisData!$A:$A, "Pickup", NewEmisData!$B:$B, $A36, NewEmisData!$C:$C, $H36, NewEmisData!$D:$D, DR$2), SUMIFS(NewEmisData!F:F, NewEmisData!$A:$A, "LDV", NewEmisData!$B:$B, $A36, NewEmisData!$C:$C, $H36, NewEmisData!$D:$D, DR$2))</f>
        <v>6.9424260700293398E-3</v>
      </c>
      <c r="DS36" s="324">
        <f>$I36*IF($G36="Pickup", SUMIFS(NewEmisData!G:G, NewEmisData!$A:$A, "Pickup", NewEmisData!$B:$B, $A36, NewEmisData!$C:$C, $H36, NewEmisData!$D:$D, DS$2), SUMIFS(NewEmisData!G:G, NewEmisData!$A:$A, "LDV", NewEmisData!$B:$B, $A36, NewEmisData!$C:$C, $H36, NewEmisData!$D:$D, DS$2))</f>
        <v>5.5718062948972597E-3</v>
      </c>
      <c r="DT36" s="324">
        <f>$I36*IF($G36="Pickup", SUMIFS(NewEmisData!H:H, NewEmisData!$A:$A, "Pickup", NewEmisData!$B:$B, $A36, NewEmisData!$C:$C, $H36, NewEmisData!$D:$D, DT$2), SUMIFS(NewEmisData!H:H, NewEmisData!$A:$A, "LDV", NewEmisData!$B:$B, $A36, NewEmisData!$C:$C, $H36, NewEmisData!$D:$D, DT$2))</f>
        <v>4.2603417623007303E-3</v>
      </c>
      <c r="DU36" s="324">
        <f>$I36*IF($G36="Pickup", SUMIFS(NewEmisData!I:I, NewEmisData!$A:$A, "Pickup", NewEmisData!$B:$B, $A36, NewEmisData!$C:$C, $H36, NewEmisData!$D:$D, DU$2), SUMIFS(NewEmisData!I:I, NewEmisData!$A:$A, "LDV", NewEmisData!$B:$B, $A36, NewEmisData!$C:$C, $H36, NewEmisData!$D:$D, DU$2))</f>
        <v>3.31959498333436E-3</v>
      </c>
      <c r="DV36" s="324">
        <f>$I36*IF($G36="Pickup", SUMIFS(NewEmisData!J:J, NewEmisData!$A:$A, "Pickup", NewEmisData!$B:$B, $A36, NewEmisData!$C:$C, $H36, NewEmisData!$D:$D, DV$2), SUMIFS(NewEmisData!J:J, NewEmisData!$A:$A, "LDV", NewEmisData!$B:$B, $A36, NewEmisData!$C:$C, $H36, NewEmisData!$D:$D, DV$2))</f>
        <v>2.8901416801040899E-3</v>
      </c>
      <c r="DW36" s="324">
        <f>$I36*IF($G36="Pickup", SUMIFS(NewEmisData!K:K, NewEmisData!$A:$A, "Pickup", NewEmisData!$B:$B, $A36, NewEmisData!$C:$C, $H36, NewEmisData!$D:$D, DW$2), SUMIFS(NewEmisData!K:K, NewEmisData!$A:$A, "LDV", NewEmisData!$B:$B, $A36, NewEmisData!$C:$C, $H36, NewEmisData!$D:$D, DW$2))</f>
        <v>2.6480526244027302E-3</v>
      </c>
      <c r="DX36" s="324">
        <f>$I36*IF($G36="Pickup", SUMIFS(NewEmisData!L:L, NewEmisData!$A:$A, "Pickup", NewEmisData!$B:$B, $A36, NewEmisData!$C:$C, $H36, NewEmisData!$D:$D, DX$2), SUMIFS(NewEmisData!L:L, NewEmisData!$A:$A, "LDV", NewEmisData!$B:$B, $A36, NewEmisData!$C:$C, $H36, NewEmisData!$D:$D, DX$2))</f>
        <v>2.5707167297103401E-3</v>
      </c>
      <c r="DY36" s="324">
        <f>$I36*IF($G36="Pickup", SUMIFS(NewEmisData!M:M, NewEmisData!$A:$A, "Pickup", NewEmisData!$B:$B, $A36, NewEmisData!$C:$C, $H36, NewEmisData!$D:$D, DY$2), SUMIFS(NewEmisData!M:M, NewEmisData!$A:$A, "LDV", NewEmisData!$B:$B, $A36, NewEmisData!$C:$C, $H36, NewEmisData!$D:$D, DY$2))</f>
        <v>2.5319062605993902E-3</v>
      </c>
      <c r="DZ36" s="324">
        <f t="shared" si="15"/>
        <v>2.5319062605993902E-3</v>
      </c>
      <c r="EA36" s="324">
        <f t="shared" si="16"/>
        <v>437.85746964693402</v>
      </c>
      <c r="EB36" s="324">
        <f t="shared" si="17"/>
        <v>424.609883045034</v>
      </c>
      <c r="EC36" s="324">
        <f t="shared" si="18"/>
        <v>389.26792072260798</v>
      </c>
      <c r="ED36" s="324">
        <f t="shared" si="19"/>
        <v>331.09003080375697</v>
      </c>
      <c r="EE36" s="324">
        <f t="shared" si="20"/>
        <v>286.46929869872997</v>
      </c>
      <c r="EF36" s="324">
        <f t="shared" si="21"/>
        <v>261.33080310252802</v>
      </c>
      <c r="EG36" s="324">
        <f t="shared" si="22"/>
        <v>250.12665030232699</v>
      </c>
      <c r="EH36" s="324">
        <f t="shared" si="23"/>
        <v>246.146486551527</v>
      </c>
      <c r="EI36" s="324">
        <f t="shared" si="24"/>
        <v>244.677818234341</v>
      </c>
      <c r="EJ36" s="324">
        <f t="shared" si="25"/>
        <v>244.677818234341</v>
      </c>
      <c r="EK36" s="324">
        <f t="shared" si="26"/>
        <v>0.78000130642291299</v>
      </c>
      <c r="EL36" s="324">
        <f t="shared" si="27"/>
        <v>0.323605278282381</v>
      </c>
      <c r="EM36" s="324">
        <f t="shared" si="28"/>
        <v>0.19152446532377701</v>
      </c>
      <c r="EN36" s="324">
        <f t="shared" si="29"/>
        <v>0.12537127832280801</v>
      </c>
      <c r="EO36" s="324">
        <f t="shared" si="30"/>
        <v>7.6671766649271E-2</v>
      </c>
      <c r="EP36" s="324">
        <f t="shared" si="31"/>
        <v>5.7019026656941203E-2</v>
      </c>
      <c r="EQ36" s="324">
        <f t="shared" si="32"/>
        <v>4.8823281713844202E-2</v>
      </c>
      <c r="ER36" s="324">
        <f t="shared" si="33"/>
        <v>4.6542407484685501E-2</v>
      </c>
      <c r="ES36" s="324">
        <f t="shared" si="34"/>
        <v>4.5415311435121702E-2</v>
      </c>
      <c r="ET36" s="324">
        <f t="shared" si="35"/>
        <v>4.5415311435121702E-2</v>
      </c>
      <c r="EU36" s="324">
        <f t="shared" si="36"/>
        <v>7.5764719154140002E-3</v>
      </c>
      <c r="EV36" s="324">
        <f t="shared" si="37"/>
        <v>7.3472400077695399E-3</v>
      </c>
      <c r="EW36" s="324">
        <f t="shared" si="38"/>
        <v>5.5842494055705696E-3</v>
      </c>
      <c r="EX36" s="324">
        <f t="shared" si="39"/>
        <v>4.7496587466809804E-3</v>
      </c>
      <c r="EY36" s="324">
        <f t="shared" si="40"/>
        <v>4.1095518958717504E-3</v>
      </c>
      <c r="EZ36" s="324">
        <f t="shared" si="41"/>
        <v>3.7489264773323799E-3</v>
      </c>
      <c r="FA36" s="324">
        <f t="shared" si="42"/>
        <v>3.5881959766524201E-3</v>
      </c>
      <c r="FB36" s="324">
        <f t="shared" si="43"/>
        <v>3.5311006464952199E-3</v>
      </c>
      <c r="FC36" s="324">
        <f t="shared" si="44"/>
        <v>3.5100309709840301E-3</v>
      </c>
      <c r="FD36" s="324">
        <f t="shared" si="45"/>
        <v>3.5100309709840301E-3</v>
      </c>
      <c r="FE36" s="324">
        <f t="shared" si="46"/>
        <v>6.7831755328566196E-2</v>
      </c>
      <c r="FF36" s="324">
        <f t="shared" si="47"/>
        <v>6.3250667156757298E-2</v>
      </c>
      <c r="FG36" s="324">
        <f t="shared" si="48"/>
        <v>6.2628417187727006E-2</v>
      </c>
      <c r="FH36" s="324">
        <f t="shared" si="49"/>
        <v>6.1216981125607202E-2</v>
      </c>
      <c r="FI36" s="324">
        <f t="shared" si="50"/>
        <v>5.9842025439809501E-2</v>
      </c>
      <c r="FJ36" s="324">
        <f t="shared" si="51"/>
        <v>5.8761885691048198E-2</v>
      </c>
      <c r="FK36" s="324">
        <f t="shared" si="52"/>
        <v>5.8072078083983E-2</v>
      </c>
      <c r="FL36" s="324">
        <f t="shared" si="53"/>
        <v>5.7726484266030297E-2</v>
      </c>
      <c r="FM36" s="324">
        <f t="shared" si="54"/>
        <v>5.7530226905323702E-2</v>
      </c>
      <c r="FN36" s="324">
        <f t="shared" si="55"/>
        <v>5.7530226905323702E-2</v>
      </c>
      <c r="FO36" s="324">
        <f t="shared" si="56"/>
        <v>1.8324822567621701E-2</v>
      </c>
      <c r="FP36" s="324">
        <f t="shared" si="57"/>
        <v>1.4272294035055699E-2</v>
      </c>
      <c r="FQ36" s="324">
        <f t="shared" si="58"/>
        <v>1.3165752481838801E-2</v>
      </c>
      <c r="FR36" s="324">
        <f t="shared" si="59"/>
        <v>1.1917194849656599E-2</v>
      </c>
      <c r="FS36" s="324">
        <f t="shared" si="60"/>
        <v>1.0700861948252101E-2</v>
      </c>
      <c r="FT36" s="324">
        <f t="shared" si="61"/>
        <v>9.7453521893521699E-3</v>
      </c>
      <c r="FU36" s="324">
        <f t="shared" si="62"/>
        <v>9.1351470976244707E-3</v>
      </c>
      <c r="FV36" s="324">
        <f t="shared" si="63"/>
        <v>8.8293874131557606E-3</v>
      </c>
      <c r="FW36" s="324">
        <f t="shared" si="64"/>
        <v>8.6558174466142106E-3</v>
      </c>
      <c r="FX36" s="324">
        <f t="shared" si="65"/>
        <v>8.6558174466142106E-3</v>
      </c>
    </row>
    <row r="37" spans="1:180" x14ac:dyDescent="0.2">
      <c r="A37" s="298" t="str">
        <f>_xlfn.CONCAT(IF(LEFT(TRIM(A36),1)="*", "*R", "R"), 1+RIGHT(TRIM(A36),1))</f>
        <v>R4</v>
      </c>
      <c r="B37" s="298" t="str">
        <f t="shared" si="91"/>
        <v>TLELSGSL</v>
      </c>
      <c r="C37" s="298" t="str">
        <f t="shared" si="92"/>
        <v>TL.GSL.LS.Existing fleet</v>
      </c>
      <c r="D37" s="294" t="str">
        <f t="shared" si="93"/>
        <v>bn-vmt, bn-vmt/a</v>
      </c>
      <c r="E37" s="294" t="str">
        <f t="shared" si="94"/>
        <v>TLGSL</v>
      </c>
      <c r="F37" s="294" t="str">
        <f t="shared" si="95"/>
        <v>TL</v>
      </c>
      <c r="G37" s="294" t="s">
        <v>327</v>
      </c>
      <c r="H37" s="294" t="s">
        <v>474</v>
      </c>
      <c r="I37" s="294">
        <v>1</v>
      </c>
      <c r="J37" s="308" t="str">
        <f t="shared" si="2"/>
        <v>Large SUV-GSL</v>
      </c>
      <c r="K37" s="324">
        <f>$I37*IF($G37="Pickup", SUMIFS(NewEmisData!E:E, NewEmisData!$A:$A, "Pickup", NewEmisData!$B:$B, $A37, NewEmisData!$C:$C, $H37, NewEmisData!$D:$D, K$2), SUMIFS(NewEmisData!E:E, NewEmisData!$A:$A, "LDV", NewEmisData!$B:$B, $A37, NewEmisData!$C:$C, $H37, NewEmisData!$D:$D, K$2))</f>
        <v>605.35194063093002</v>
      </c>
      <c r="L37" s="324">
        <f>$I37*IF($G37="Pickup", SUMIFS(NewEmisData!F:F, NewEmisData!$A:$A, "Pickup", NewEmisData!$B:$B, $A37, NewEmisData!$C:$C, $H37, NewEmisData!$D:$D, L$2), SUMIFS(NewEmisData!F:F, NewEmisData!$A:$A, "LDV", NewEmisData!$B:$B, $A37, NewEmisData!$C:$C, $H37, NewEmisData!$D:$D, L$2))</f>
        <v>575.43677827742204</v>
      </c>
      <c r="M37" s="324">
        <f>$I37*IF($G37="Pickup", SUMIFS(NewEmisData!G:G, NewEmisData!$A:$A, "Pickup", NewEmisData!$B:$B, $A37, NewEmisData!$C:$C, $H37, NewEmisData!$D:$D, M$2), SUMIFS(NewEmisData!G:G, NewEmisData!$A:$A, "LDV", NewEmisData!$B:$B, $A37, NewEmisData!$C:$C, $H37, NewEmisData!$D:$D, M$2))</f>
        <v>447.50306541281799</v>
      </c>
      <c r="N37" s="324">
        <f>$I37*IF($G37="Pickup", SUMIFS(NewEmisData!H:H, NewEmisData!$A:$A, "Pickup", NewEmisData!$B:$B, $A37, NewEmisData!$C:$C, $H37, NewEmisData!$D:$D, N$2), SUMIFS(NewEmisData!H:H, NewEmisData!$A:$A, "LDV", NewEmisData!$B:$B, $A37, NewEmisData!$C:$C, $H37, NewEmisData!$D:$D, N$2))</f>
        <v>380.32748601406797</v>
      </c>
      <c r="O37" s="324">
        <f>$I37*IF($G37="Pickup", SUMIFS(NewEmisData!I:I, NewEmisData!$A:$A, "Pickup", NewEmisData!$B:$B, $A37, NewEmisData!$C:$C, $H37, NewEmisData!$D:$D, O$2), SUMIFS(NewEmisData!I:I, NewEmisData!$A:$A, "LDV", NewEmisData!$B:$B, $A37, NewEmisData!$C:$C, $H37, NewEmisData!$D:$D, O$2))</f>
        <v>328.8508655947</v>
      </c>
      <c r="P37" s="324">
        <f>$I37*IF($G37="Pickup", SUMIFS(NewEmisData!J:J, NewEmisData!$A:$A, "Pickup", NewEmisData!$B:$B, $A37, NewEmisData!$C:$C, $H37, NewEmisData!$D:$D, P$2), SUMIFS(NewEmisData!J:J, NewEmisData!$A:$A, "LDV", NewEmisData!$B:$B, $A37, NewEmisData!$C:$C, $H37, NewEmisData!$D:$D, P$2))</f>
        <v>299.87343037562698</v>
      </c>
      <c r="Q37" s="324">
        <f>$I37*IF($G37="Pickup", SUMIFS(NewEmisData!K:K, NewEmisData!$A:$A, "Pickup", NewEmisData!$B:$B, $A37, NewEmisData!$C:$C, $H37, NewEmisData!$D:$D, Q$2), SUMIFS(NewEmisData!K:K, NewEmisData!$A:$A, "LDV", NewEmisData!$B:$B, $A37, NewEmisData!$C:$C, $H37, NewEmisData!$D:$D, Q$2))</f>
        <v>286.96645721008798</v>
      </c>
      <c r="R37" s="324">
        <f>$I37*IF($G37="Pickup", SUMIFS(NewEmisData!L:L, NewEmisData!$A:$A, "Pickup", NewEmisData!$B:$B, $A37, NewEmisData!$C:$C, $H37, NewEmisData!$D:$D, R$2), SUMIFS(NewEmisData!L:L, NewEmisData!$A:$A, "LDV", NewEmisData!$B:$B, $A37, NewEmisData!$C:$C, $H37, NewEmisData!$D:$D, R$2))</f>
        <v>282.38592098475101</v>
      </c>
      <c r="S37" s="324">
        <f>$I37*IF($G37="Pickup", SUMIFS(NewEmisData!M:M, NewEmisData!$A:$A, "Pickup", NewEmisData!$B:$B, $A37, NewEmisData!$C:$C, $H37, NewEmisData!$D:$D, S$2), SUMIFS(NewEmisData!M:M, NewEmisData!$A:$A, "LDV", NewEmisData!$B:$B, $A37, NewEmisData!$C:$C, $H37, NewEmisData!$D:$D, S$2))</f>
        <v>280.69816184937503</v>
      </c>
      <c r="T37" s="324">
        <f t="shared" si="5"/>
        <v>280.69816184937503</v>
      </c>
      <c r="U37" s="324">
        <f>$I37*IF($G37="Pickup", SUMIFS(NewEmisData!E:E, NewEmisData!$A:$A, "Pickup", NewEmisData!$B:$B, $A37, NewEmisData!$C:$C, $H37, NewEmisData!$D:$D, U$2), SUMIFS(NewEmisData!E:E, NewEmisData!$A:$A, "LDV", NewEmisData!$B:$B, $A37, NewEmisData!$C:$C, $H37, NewEmisData!$D:$D, U$2))</f>
        <v>0.73999493628111201</v>
      </c>
      <c r="V37" s="324">
        <f>$I37*IF($G37="Pickup", SUMIFS(NewEmisData!F:F, NewEmisData!$A:$A, "Pickup", NewEmisData!$B:$B, $A37, NewEmisData!$C:$C, $H37, NewEmisData!$D:$D, V$2), SUMIFS(NewEmisData!F:F, NewEmisData!$A:$A, "LDV", NewEmisData!$B:$B, $A37, NewEmisData!$C:$C, $H37, NewEmisData!$D:$D, V$2))</f>
        <v>0.35335240075773999</v>
      </c>
      <c r="W37" s="324">
        <f>$I37*IF($G37="Pickup", SUMIFS(NewEmisData!G:G, NewEmisData!$A:$A, "Pickup", NewEmisData!$B:$B, $A37, NewEmisData!$C:$C, $H37, NewEmisData!$D:$D, W$2), SUMIFS(NewEmisData!G:G, NewEmisData!$A:$A, "LDV", NewEmisData!$B:$B, $A37, NewEmisData!$C:$C, $H37, NewEmisData!$D:$D, W$2))</f>
        <v>0.18897755292818599</v>
      </c>
      <c r="X37" s="324">
        <f>$I37*IF($G37="Pickup", SUMIFS(NewEmisData!H:H, NewEmisData!$A:$A, "Pickup", NewEmisData!$B:$B, $A37, NewEmisData!$C:$C, $H37, NewEmisData!$D:$D, X$2), SUMIFS(NewEmisData!H:H, NewEmisData!$A:$A, "LDV", NewEmisData!$B:$B, $A37, NewEmisData!$C:$C, $H37, NewEmisData!$D:$D, X$2))</f>
        <v>0.12218817840455801</v>
      </c>
      <c r="Y37" s="324">
        <f>$I37*IF($G37="Pickup", SUMIFS(NewEmisData!I:I, NewEmisData!$A:$A, "Pickup", NewEmisData!$B:$B, $A37, NewEmisData!$C:$C, $H37, NewEmisData!$D:$D, Y$2), SUMIFS(NewEmisData!I:I, NewEmisData!$A:$A, "LDV", NewEmisData!$B:$B, $A37, NewEmisData!$C:$C, $H37, NewEmisData!$D:$D, Y$2))</f>
        <v>7.3060825114572805E-2</v>
      </c>
      <c r="Z37" s="324">
        <f>$I37*IF($G37="Pickup", SUMIFS(NewEmisData!J:J, NewEmisData!$A:$A, "Pickup", NewEmisData!$B:$B, $A37, NewEmisData!$C:$C, $H37, NewEmisData!$D:$D, Z$2), SUMIFS(NewEmisData!J:J, NewEmisData!$A:$A, "LDV", NewEmisData!$B:$B, $A37, NewEmisData!$C:$C, $H37, NewEmisData!$D:$D, Z$2))</f>
        <v>5.3764321341730301E-2</v>
      </c>
      <c r="AA37" s="324">
        <f>$I37*IF($G37="Pickup", SUMIFS(NewEmisData!K:K, NewEmisData!$A:$A, "Pickup", NewEmisData!$B:$B, $A37, NewEmisData!$C:$C, $H37, NewEmisData!$D:$D, AA$2), SUMIFS(NewEmisData!K:K, NewEmisData!$A:$A, "LDV", NewEmisData!$B:$B, $A37, NewEmisData!$C:$C, $H37, NewEmisData!$D:$D, AA$2))</f>
        <v>4.5765873698397498E-2</v>
      </c>
      <c r="AB37" s="324">
        <f>$I37*IF($G37="Pickup", SUMIFS(NewEmisData!L:L, NewEmisData!$A:$A, "Pickup", NewEmisData!$B:$B, $A37, NewEmisData!$C:$C, $H37, NewEmisData!$D:$D, AB$2), SUMIFS(NewEmisData!L:L, NewEmisData!$A:$A, "LDV", NewEmisData!$B:$B, $A37, NewEmisData!$C:$C, $H37, NewEmisData!$D:$D, AB$2))</f>
        <v>4.3548109073897001E-2</v>
      </c>
      <c r="AC37" s="324">
        <f>$I37*IF($G37="Pickup", SUMIFS(NewEmisData!M:M, NewEmisData!$A:$A, "Pickup", NewEmisData!$B:$B, $A37, NewEmisData!$C:$C, $H37, NewEmisData!$D:$D, AC$2), SUMIFS(NewEmisData!M:M, NewEmisData!$A:$A, "LDV", NewEmisData!$B:$B, $A37, NewEmisData!$C:$C, $H37, NewEmisData!$D:$D, AC$2))</f>
        <v>4.24609775043936E-2</v>
      </c>
      <c r="AD37" s="324">
        <f t="shared" si="6"/>
        <v>4.24609775043936E-2</v>
      </c>
      <c r="AE37" s="324">
        <f>$I37*IF($G37="Pickup", SUMIFS(NewEmisData!E:E, NewEmisData!$A:$A, "Pickup", NewEmisData!$B:$B, $A37, NewEmisData!$C:$C, $H37, NewEmisData!$D:$D, AE$2), SUMIFS(NewEmisData!E:E, NewEmisData!$A:$A, "LDV", NewEmisData!$B:$B, $A37, NewEmisData!$C:$C, $H37, NewEmisData!$D:$D, AE$2))</f>
        <v>1.04747160569124E-2</v>
      </c>
      <c r="AF37" s="324">
        <f>$I37*IF($G37="Pickup", SUMIFS(NewEmisData!F:F, NewEmisData!$A:$A, "Pickup", NewEmisData!$B:$B, $A37, NewEmisData!$C:$C, $H37, NewEmisData!$D:$D, AF$2), SUMIFS(NewEmisData!F:F, NewEmisData!$A:$A, "LDV", NewEmisData!$B:$B, $A37, NewEmisData!$C:$C, $H37, NewEmisData!$D:$D, AF$2))</f>
        <v>9.9570764799691708E-3</v>
      </c>
      <c r="AG37" s="324">
        <f>$I37*IF($G37="Pickup", SUMIFS(NewEmisData!G:G, NewEmisData!$A:$A, "Pickup", NewEmisData!$B:$B, $A37, NewEmisData!$C:$C, $H37, NewEmisData!$D:$D, AG$2), SUMIFS(NewEmisData!G:G, NewEmisData!$A:$A, "LDV", NewEmisData!$B:$B, $A37, NewEmisData!$C:$C, $H37, NewEmisData!$D:$D, AG$2))</f>
        <v>6.4196648888919499E-3</v>
      </c>
      <c r="AH37" s="324">
        <f>$I37*IF($G37="Pickup", SUMIFS(NewEmisData!H:H, NewEmisData!$A:$A, "Pickup", NewEmisData!$B:$B, $A37, NewEmisData!$C:$C, $H37, NewEmisData!$D:$D, AH$2), SUMIFS(NewEmisData!H:H, NewEmisData!$A:$A, "LDV", NewEmisData!$B:$B, $A37, NewEmisData!$C:$C, $H37, NewEmisData!$D:$D, AH$2))</f>
        <v>5.45599526494426E-3</v>
      </c>
      <c r="AI37" s="324">
        <f>$I37*IF($G37="Pickup", SUMIFS(NewEmisData!I:I, NewEmisData!$A:$A, "Pickup", NewEmisData!$B:$B, $A37, NewEmisData!$C:$C, $H37, NewEmisData!$D:$D, AI$2), SUMIFS(NewEmisData!I:I, NewEmisData!$A:$A, "LDV", NewEmisData!$B:$B, $A37, NewEmisData!$C:$C, $H37, NewEmisData!$D:$D, AI$2))</f>
        <v>4.7175365225731996E-3</v>
      </c>
      <c r="AJ37" s="324">
        <f>$I37*IF($G37="Pickup", SUMIFS(NewEmisData!J:J, NewEmisData!$A:$A, "Pickup", NewEmisData!$B:$B, $A37, NewEmisData!$C:$C, $H37, NewEmisData!$D:$D, AJ$2), SUMIFS(NewEmisData!J:J, NewEmisData!$A:$A, "LDV", NewEmisData!$B:$B, $A37, NewEmisData!$C:$C, $H37, NewEmisData!$D:$D, AJ$2))</f>
        <v>4.3018391726363297E-3</v>
      </c>
      <c r="AK37" s="324">
        <f>$I37*IF($G37="Pickup", SUMIFS(NewEmisData!K:K, NewEmisData!$A:$A, "Pickup", NewEmisData!$B:$B, $A37, NewEmisData!$C:$C, $H37, NewEmisData!$D:$D, AK$2), SUMIFS(NewEmisData!K:K, NewEmisData!$A:$A, "LDV", NewEmisData!$B:$B, $A37, NewEmisData!$C:$C, $H37, NewEmisData!$D:$D, AK$2))</f>
        <v>4.1166816404986702E-3</v>
      </c>
      <c r="AL37" s="324">
        <f>$I37*IF($G37="Pickup", SUMIFS(NewEmisData!L:L, NewEmisData!$A:$A, "Pickup", NewEmisData!$B:$B, $A37, NewEmisData!$C:$C, $H37, NewEmisData!$D:$D, AL$2), SUMIFS(NewEmisData!L:L, NewEmisData!$A:$A, "LDV", NewEmisData!$B:$B, $A37, NewEmisData!$C:$C, $H37, NewEmisData!$D:$D, AL$2))</f>
        <v>4.0509726462172697E-3</v>
      </c>
      <c r="AM37" s="324">
        <f>$I37*IF($G37="Pickup", SUMIFS(NewEmisData!M:M, NewEmisData!$A:$A, "Pickup", NewEmisData!$B:$B, $A37, NewEmisData!$C:$C, $H37, NewEmisData!$D:$D, AM$2), SUMIFS(NewEmisData!M:M, NewEmisData!$A:$A, "LDV", NewEmisData!$B:$B, $A37, NewEmisData!$C:$C, $H37, NewEmisData!$D:$D, AM$2))</f>
        <v>4.0267596573162799E-3</v>
      </c>
      <c r="AN37" s="324">
        <f t="shared" si="7"/>
        <v>4.0267596573162799E-3</v>
      </c>
      <c r="AO37" s="324">
        <f>$I37*IF($G37="Pickup", SUMIFS(NewEmisData!E:E, NewEmisData!$A:$A, "Pickup", NewEmisData!$B:$B, $A37, NewEmisData!$C:$C, $H37, NewEmisData!$D:$D, AO$2), SUMIFS(NewEmisData!E:E, NewEmisData!$A:$A, "LDV", NewEmisData!$B:$B, $A37, NewEmisData!$C:$C, $H37, NewEmisData!$D:$D, AO$2))</f>
        <v>0.112529836649977</v>
      </c>
      <c r="AP37" s="324">
        <f>$I37*IF($G37="Pickup", SUMIFS(NewEmisData!F:F, NewEmisData!$A:$A, "Pickup", NewEmisData!$B:$B, $A37, NewEmisData!$C:$C, $H37, NewEmisData!$D:$D, AP$2), SUMIFS(NewEmisData!F:F, NewEmisData!$A:$A, "LDV", NewEmisData!$B:$B, $A37, NewEmisData!$C:$C, $H37, NewEmisData!$D:$D, AP$2))</f>
        <v>0.103764807432247</v>
      </c>
      <c r="AQ37" s="324">
        <f>$I37*IF($G37="Pickup", SUMIFS(NewEmisData!G:G, NewEmisData!$A:$A, "Pickup", NewEmisData!$B:$B, $A37, NewEmisData!$C:$C, $H37, NewEmisData!$D:$D, AQ$2), SUMIFS(NewEmisData!G:G, NewEmisData!$A:$A, "LDV", NewEmisData!$B:$B, $A37, NewEmisData!$C:$C, $H37, NewEmisData!$D:$D, AQ$2))</f>
        <v>8.1904009889209095E-2</v>
      </c>
      <c r="AR37" s="324">
        <f>$I37*IF($G37="Pickup", SUMIFS(NewEmisData!H:H, NewEmisData!$A:$A, "Pickup", NewEmisData!$B:$B, $A37, NewEmisData!$C:$C, $H37, NewEmisData!$D:$D, AR$2), SUMIFS(NewEmisData!H:H, NewEmisData!$A:$A, "LDV", NewEmisData!$B:$B, $A37, NewEmisData!$C:$C, $H37, NewEmisData!$D:$D, AR$2))</f>
        <v>8.0372811122020202E-2</v>
      </c>
      <c r="AS37" s="324">
        <f>$I37*IF($G37="Pickup", SUMIFS(NewEmisData!I:I, NewEmisData!$A:$A, "Pickup", NewEmisData!$B:$B, $A37, NewEmisData!$C:$C, $H37, NewEmisData!$D:$D, AS$2), SUMIFS(NewEmisData!I:I, NewEmisData!$A:$A, "LDV", NewEmisData!$B:$B, $A37, NewEmisData!$C:$C, $H37, NewEmisData!$D:$D, AS$2))</f>
        <v>7.8826850839141593E-2</v>
      </c>
      <c r="AT37" s="324">
        <f>$I37*IF($G37="Pickup", SUMIFS(NewEmisData!J:J, NewEmisData!$A:$A, "Pickup", NewEmisData!$B:$B, $A37, NewEmisData!$C:$C, $H37, NewEmisData!$D:$D, AT$2), SUMIFS(NewEmisData!J:J, NewEmisData!$A:$A, "LDV", NewEmisData!$B:$B, $A37, NewEmisData!$C:$C, $H37, NewEmisData!$D:$D, AT$2))</f>
        <v>7.7629471627150906E-2</v>
      </c>
      <c r="AU37" s="324">
        <f>$I37*IF($G37="Pickup", SUMIFS(NewEmisData!K:K, NewEmisData!$A:$A, "Pickup", NewEmisData!$B:$B, $A37, NewEmisData!$C:$C, $H37, NewEmisData!$D:$D, AU$2), SUMIFS(NewEmisData!K:K, NewEmisData!$A:$A, "LDV", NewEmisData!$B:$B, $A37, NewEmisData!$C:$C, $H37, NewEmisData!$D:$D, AU$2))</f>
        <v>7.6869255276324197E-2</v>
      </c>
      <c r="AV37" s="324">
        <f>$I37*IF($G37="Pickup", SUMIFS(NewEmisData!L:L, NewEmisData!$A:$A, "Pickup", NewEmisData!$B:$B, $A37, NewEmisData!$C:$C, $H37, NewEmisData!$D:$D, AV$2), SUMIFS(NewEmisData!L:L, NewEmisData!$A:$A, "LDV", NewEmisData!$B:$B, $A37, NewEmisData!$C:$C, $H37, NewEmisData!$D:$D, AV$2))</f>
        <v>7.6489801218608905E-2</v>
      </c>
      <c r="AW37" s="324">
        <f>$I37*IF($G37="Pickup", SUMIFS(NewEmisData!M:M, NewEmisData!$A:$A, "Pickup", NewEmisData!$B:$B, $A37, NewEmisData!$C:$C, $H37, NewEmisData!$D:$D, AW$2), SUMIFS(NewEmisData!M:M, NewEmisData!$A:$A, "LDV", NewEmisData!$B:$B, $A37, NewEmisData!$C:$C, $H37, NewEmisData!$D:$D, AW$2))</f>
        <v>7.6275890012832595E-2</v>
      </c>
      <c r="AX37" s="324">
        <f t="shared" si="8"/>
        <v>7.6275890012832595E-2</v>
      </c>
      <c r="AY37" s="324">
        <f>$I37*IF($G37="Pickup", SUMIFS(NewEmisData!E:E, NewEmisData!$A:$A, "Pickup", NewEmisData!$B:$B, $A37, NewEmisData!$C:$C, $H37, NewEmisData!$D:$D, AY$2), SUMIFS(NewEmisData!E:E, NewEmisData!$A:$A, "LDV", NewEmisData!$B:$B, $A37, NewEmisData!$C:$C, $H37, NewEmisData!$D:$D, AY$2))</f>
        <v>2.93140110896879E-2</v>
      </c>
      <c r="AZ37" s="324">
        <f>$I37*IF($G37="Pickup", SUMIFS(NewEmisData!F:F, NewEmisData!$A:$A, "Pickup", NewEmisData!$B:$B, $A37, NewEmisData!$C:$C, $H37, NewEmisData!$D:$D, AZ$2), SUMIFS(NewEmisData!F:F, NewEmisData!$A:$A, "LDV", NewEmisData!$B:$B, $A37, NewEmisData!$C:$C, $H37, NewEmisData!$D:$D, AZ$2))</f>
        <v>2.15603319614842E-2</v>
      </c>
      <c r="BA37" s="324">
        <f>$I37*IF($G37="Pickup", SUMIFS(NewEmisData!G:G, NewEmisData!$A:$A, "Pickup", NewEmisData!$B:$B, $A37, NewEmisData!$C:$C, $H37, NewEmisData!$D:$D, BA$2), SUMIFS(NewEmisData!G:G, NewEmisData!$A:$A, "LDV", NewEmisData!$B:$B, $A37, NewEmisData!$C:$C, $H37, NewEmisData!$D:$D, BA$2))</f>
        <v>1.61359542510712E-2</v>
      </c>
      <c r="BB37" s="324">
        <f>$I37*IF($G37="Pickup", SUMIFS(NewEmisData!H:H, NewEmisData!$A:$A, "Pickup", NewEmisData!$B:$B, $A37, NewEmisData!$C:$C, $H37, NewEmisData!$D:$D, BB$2), SUMIFS(NewEmisData!H:H, NewEmisData!$A:$A, "LDV", NewEmisData!$B:$B, $A37, NewEmisData!$C:$C, $H37, NewEmisData!$D:$D, BB$2))</f>
        <v>1.4781439172223E-2</v>
      </c>
      <c r="BC37" s="324">
        <f>$I37*IF($G37="Pickup", SUMIFS(NewEmisData!I:I, NewEmisData!$A:$A, "Pickup", NewEmisData!$B:$B, $A37, NewEmisData!$C:$C, $H37, NewEmisData!$D:$D, BC$2), SUMIFS(NewEmisData!I:I, NewEmisData!$A:$A, "LDV", NewEmisData!$B:$B, $A37, NewEmisData!$C:$C, $H37, NewEmisData!$D:$D, BC$2))</f>
        <v>1.3413837806436801E-2</v>
      </c>
      <c r="BD37" s="324">
        <f>$I37*IF($G37="Pickup", SUMIFS(NewEmisData!J:J, NewEmisData!$A:$A, "Pickup", NewEmisData!$B:$B, $A37, NewEmisData!$C:$C, $H37, NewEmisData!$D:$D, BD$2), SUMIFS(NewEmisData!J:J, NewEmisData!$A:$A, "LDV", NewEmisData!$B:$B, $A37, NewEmisData!$C:$C, $H37, NewEmisData!$D:$D, BD$2))</f>
        <v>1.2354573478352299E-2</v>
      </c>
      <c r="BE37" s="324">
        <f>$I37*IF($G37="Pickup", SUMIFS(NewEmisData!K:K, NewEmisData!$A:$A, "Pickup", NewEmisData!$B:$B, $A37, NewEmisData!$C:$C, $H37, NewEmisData!$D:$D, BE$2), SUMIFS(NewEmisData!K:K, NewEmisData!$A:$A, "LDV", NewEmisData!$B:$B, $A37, NewEmisData!$C:$C, $H37, NewEmisData!$D:$D, BE$2))</f>
        <v>1.16820653404197E-2</v>
      </c>
      <c r="BF37" s="324">
        <f>$I37*IF($G37="Pickup", SUMIFS(NewEmisData!L:L, NewEmisData!$A:$A, "Pickup", NewEmisData!$B:$B, $A37, NewEmisData!$C:$C, $H37, NewEmisData!$D:$D, BF$2), SUMIFS(NewEmisData!L:L, NewEmisData!$A:$A, "LDV", NewEmisData!$B:$B, $A37, NewEmisData!$C:$C, $H37, NewEmisData!$D:$D, BF$2))</f>
        <v>1.13463459698093E-2</v>
      </c>
      <c r="BG37" s="324">
        <f>$I37*IF($G37="Pickup", SUMIFS(NewEmisData!M:M, NewEmisData!$A:$A, "Pickup", NewEmisData!$B:$B, $A37, NewEmisData!$C:$C, $H37, NewEmisData!$D:$D, BG$2), SUMIFS(NewEmisData!M:M, NewEmisData!$A:$A, "LDV", NewEmisData!$B:$B, $A37, NewEmisData!$C:$C, $H37, NewEmisData!$D:$D, BG$2))</f>
        <v>1.1157149268450401E-2</v>
      </c>
      <c r="BH37" s="324">
        <f t="shared" si="9"/>
        <v>1.1157149268450401E-2</v>
      </c>
      <c r="BI37" s="324">
        <f>$I37*IF($G37="Pickup", SUMIFS(NewEmisData!E:E, NewEmisData!$A:$A, "Pickup", NewEmisData!$B:$B, $A37, NewEmisData!$C:$C, $H37, NewEmisData!$D:$D, BI$2), SUMIFS(NewEmisData!E:E, NewEmisData!$A:$A, "LDV", NewEmisData!$B:$B, $A37, NewEmisData!$C:$C, $H37, NewEmisData!$D:$D, BI$2))</f>
        <v>7.7707306410078001</v>
      </c>
      <c r="BJ37" s="324">
        <f>$I37*IF($G37="Pickup", SUMIFS(NewEmisData!F:F, NewEmisData!$A:$A, "Pickup", NewEmisData!$B:$B, $A37, NewEmisData!$C:$C, $H37, NewEmisData!$D:$D, BJ$2), SUMIFS(NewEmisData!F:F, NewEmisData!$A:$A, "LDV", NewEmisData!$B:$B, $A37, NewEmisData!$C:$C, $H37, NewEmisData!$D:$D, BJ$2))</f>
        <v>4.4247869376442202</v>
      </c>
      <c r="BK37" s="324">
        <f>$I37*IF($G37="Pickup", SUMIFS(NewEmisData!G:G, NewEmisData!$A:$A, "Pickup", NewEmisData!$B:$B, $A37, NewEmisData!$C:$C, $H37, NewEmisData!$D:$D, BK$2), SUMIFS(NewEmisData!G:G, NewEmisData!$A:$A, "LDV", NewEmisData!$B:$B, $A37, NewEmisData!$C:$C, $H37, NewEmisData!$D:$D, BK$2))</f>
        <v>2.6540717659073501</v>
      </c>
      <c r="BL37" s="324">
        <f>$I37*IF($G37="Pickup", SUMIFS(NewEmisData!H:H, NewEmisData!$A:$A, "Pickup", NewEmisData!$B:$B, $A37, NewEmisData!$C:$C, $H37, NewEmisData!$D:$D, BL$2), SUMIFS(NewEmisData!H:H, NewEmisData!$A:$A, "LDV", NewEmisData!$B:$B, $A37, NewEmisData!$C:$C, $H37, NewEmisData!$D:$D, BL$2))</f>
        <v>2.0604732381170998</v>
      </c>
      <c r="BM37" s="324">
        <f>$I37*IF($G37="Pickup", SUMIFS(NewEmisData!I:I, NewEmisData!$A:$A, "Pickup", NewEmisData!$B:$B, $A37, NewEmisData!$C:$C, $H37, NewEmisData!$D:$D, BM$2), SUMIFS(NewEmisData!I:I, NewEmisData!$A:$A, "LDV", NewEmisData!$B:$B, $A37, NewEmisData!$C:$C, $H37, NewEmisData!$D:$D, BM$2))</f>
        <v>1.4768702583128299</v>
      </c>
      <c r="BN37" s="324">
        <f>$I37*IF($G37="Pickup", SUMIFS(NewEmisData!J:J, NewEmisData!$A:$A, "Pickup", NewEmisData!$B:$B, $A37, NewEmisData!$C:$C, $H37, NewEmisData!$D:$D, BN$2), SUMIFS(NewEmisData!J:J, NewEmisData!$A:$A, "LDV", NewEmisData!$B:$B, $A37, NewEmisData!$C:$C, $H37, NewEmisData!$D:$D, BN$2))</f>
        <v>1.1597745551704699</v>
      </c>
      <c r="BO37" s="324">
        <f>$I37*IF($G37="Pickup", SUMIFS(NewEmisData!K:K, NewEmisData!$A:$A, "Pickup", NewEmisData!$B:$B, $A37, NewEmisData!$C:$C, $H37, NewEmisData!$D:$D, BO$2), SUMIFS(NewEmisData!K:K, NewEmisData!$A:$A, "LDV", NewEmisData!$B:$B, $A37, NewEmisData!$C:$C, $H37, NewEmisData!$D:$D, BO$2))</f>
        <v>1.01795642585422</v>
      </c>
      <c r="BP37" s="324">
        <f>$I37*IF($G37="Pickup", SUMIFS(NewEmisData!L:L, NewEmisData!$A:$A, "Pickup", NewEmisData!$B:$B, $A37, NewEmisData!$C:$C, $H37, NewEmisData!$D:$D, BP$2), SUMIFS(NewEmisData!L:L, NewEmisData!$A:$A, "LDV", NewEmisData!$B:$B, $A37, NewEmisData!$C:$C, $H37, NewEmisData!$D:$D, BP$2))</f>
        <v>0.97243111781319103</v>
      </c>
      <c r="BQ37" s="324">
        <f>$I37*IF($G37="Pickup", SUMIFS(NewEmisData!M:M, NewEmisData!$A:$A, "Pickup", NewEmisData!$B:$B, $A37, NewEmisData!$C:$C, $H37, NewEmisData!$D:$D, BQ$2), SUMIFS(NewEmisData!M:M, NewEmisData!$A:$A, "LDV", NewEmisData!$B:$B, $A37, NewEmisData!$C:$C, $H37, NewEmisData!$D:$D, BQ$2))</f>
        <v>0.94396289100680397</v>
      </c>
      <c r="BR37" s="324">
        <f t="shared" si="10"/>
        <v>0.94396289100680397</v>
      </c>
      <c r="BS37" s="324">
        <f>$I37*IF($G37="Pickup", SUMIFS(NewEmisData!E:E, NewEmisData!$A:$A, "Pickup", NewEmisData!$B:$B, $A37, NewEmisData!$C:$C, $H37, NewEmisData!$D:$D, BS$2), SUMIFS(NewEmisData!E:E, NewEmisData!$A:$A, "LDV", NewEmisData!$B:$B, $A37, NewEmisData!$C:$C, $H37, NewEmisData!$D:$D, BS$2))</f>
        <v>0.868939523792984</v>
      </c>
      <c r="BT37" s="324">
        <f>$I37*IF($G37="Pickup", SUMIFS(NewEmisData!F:F, NewEmisData!$A:$A, "Pickup", NewEmisData!$B:$B, $A37, NewEmisData!$C:$C, $H37, NewEmisData!$D:$D, BT$2), SUMIFS(NewEmisData!F:F, NewEmisData!$A:$A, "LDV", NewEmisData!$B:$B, $A37, NewEmisData!$C:$C, $H37, NewEmisData!$D:$D, BT$2))</f>
        <v>0.46984846516954898</v>
      </c>
      <c r="BU37" s="324">
        <f>$I37*IF($G37="Pickup", SUMIFS(NewEmisData!G:G, NewEmisData!$A:$A, "Pickup", NewEmisData!$B:$B, $A37, NewEmisData!$C:$C, $H37, NewEmisData!$D:$D, BU$2), SUMIFS(NewEmisData!G:G, NewEmisData!$A:$A, "LDV", NewEmisData!$B:$B, $A37, NewEmisData!$C:$C, $H37, NewEmisData!$D:$D, BU$2))</f>
        <v>0.25380786816335299</v>
      </c>
      <c r="BV37" s="324">
        <f>$I37*IF($G37="Pickup", SUMIFS(NewEmisData!H:H, NewEmisData!$A:$A, "Pickup", NewEmisData!$B:$B, $A37, NewEmisData!$C:$C, $H37, NewEmisData!$D:$D, BV$2), SUMIFS(NewEmisData!H:H, NewEmisData!$A:$A, "LDV", NewEmisData!$B:$B, $A37, NewEmisData!$C:$C, $H37, NewEmisData!$D:$D, BV$2))</f>
        <v>0.20500079484657399</v>
      </c>
      <c r="BW37" s="324">
        <f>$I37*IF($G37="Pickup", SUMIFS(NewEmisData!I:I, NewEmisData!$A:$A, "Pickup", NewEmisData!$B:$B, $A37, NewEmisData!$C:$C, $H37, NewEmisData!$D:$D, BW$2), SUMIFS(NewEmisData!I:I, NewEmisData!$A:$A, "LDV", NewEmisData!$B:$B, $A37, NewEmisData!$C:$C, $H37, NewEmisData!$D:$D, BW$2))</f>
        <v>0.15182918417959501</v>
      </c>
      <c r="BX37" s="324">
        <f>$I37*IF($G37="Pickup", SUMIFS(NewEmisData!J:J, NewEmisData!$A:$A, "Pickup", NewEmisData!$B:$B, $A37, NewEmisData!$C:$C, $H37, NewEmisData!$D:$D, BX$2), SUMIFS(NewEmisData!J:J, NewEmisData!$A:$A, "LDV", NewEmisData!$B:$B, $A37, NewEmisData!$C:$C, $H37, NewEmisData!$D:$D, BX$2))</f>
        <v>0.12865137268893501</v>
      </c>
      <c r="BY37" s="324">
        <f>$I37*IF($G37="Pickup", SUMIFS(NewEmisData!K:K, NewEmisData!$A:$A, "Pickup", NewEmisData!$B:$B, $A37, NewEmisData!$C:$C, $H37, NewEmisData!$D:$D, BY$2), SUMIFS(NewEmisData!K:K, NewEmisData!$A:$A, "LDV", NewEmisData!$B:$B, $A37, NewEmisData!$C:$C, $H37, NewEmisData!$D:$D, BY$2))</f>
        <v>0.11591502454704899</v>
      </c>
      <c r="BZ37" s="324">
        <f>$I37*IF($G37="Pickup", SUMIFS(NewEmisData!L:L, NewEmisData!$A:$A, "Pickup", NewEmisData!$B:$B, $A37, NewEmisData!$C:$C, $H37, NewEmisData!$D:$D, BZ$2), SUMIFS(NewEmisData!L:L, NewEmisData!$A:$A, "LDV", NewEmisData!$B:$B, $A37, NewEmisData!$C:$C, $H37, NewEmisData!$D:$D, BZ$2))</f>
        <v>0.110951334785302</v>
      </c>
      <c r="CA37" s="324">
        <f>$I37*IF($G37="Pickup", SUMIFS(NewEmisData!M:M, NewEmisData!$A:$A, "Pickup", NewEmisData!$B:$B, $A37, NewEmisData!$C:$C, $H37, NewEmisData!$D:$D, CA$2), SUMIFS(NewEmisData!M:M, NewEmisData!$A:$A, "LDV", NewEmisData!$B:$B, $A37, NewEmisData!$C:$C, $H37, NewEmisData!$D:$D, CA$2))</f>
        <v>0.10699337260583799</v>
      </c>
      <c r="CB37" s="324">
        <f t="shared" si="11"/>
        <v>0.10699337260583799</v>
      </c>
      <c r="CC37" s="324">
        <f>$I37*IF($G37="Pickup", SUMIFS(NewEmisData!E:E, NewEmisData!$A:$A, "Pickup", NewEmisData!$B:$B, $A37, NewEmisData!$C:$C, $H37, NewEmisData!$D:$D, CC$2), SUMIFS(NewEmisData!E:E, NewEmisData!$A:$A, "LDV", NewEmisData!$B:$B, $A37, NewEmisData!$C:$C, $H37, NewEmisData!$D:$D, CC$2))</f>
        <v>5.1125583760404797E-2</v>
      </c>
      <c r="CD37" s="324">
        <f>$I37*IF($G37="Pickup", SUMIFS(NewEmisData!F:F, NewEmisData!$A:$A, "Pickup", NewEmisData!$B:$B, $A37, NewEmisData!$C:$C, $H37, NewEmisData!$D:$D, CD$2), SUMIFS(NewEmisData!F:F, NewEmisData!$A:$A, "LDV", NewEmisData!$B:$B, $A37, NewEmisData!$C:$C, $H37, NewEmisData!$D:$D, CD$2))</f>
        <v>3.7154393856404101E-2</v>
      </c>
      <c r="CE37" s="324">
        <f>$I37*IF($G37="Pickup", SUMIFS(NewEmisData!G:G, NewEmisData!$A:$A, "Pickup", NewEmisData!$B:$B, $A37, NewEmisData!$C:$C, $H37, NewEmisData!$D:$D, CE$2), SUMIFS(NewEmisData!G:G, NewEmisData!$A:$A, "LDV", NewEmisData!$B:$B, $A37, NewEmisData!$C:$C, $H37, NewEmisData!$D:$D, CE$2))</f>
        <v>2.8853651309577E-2</v>
      </c>
      <c r="CF37" s="324">
        <f>$I37*IF($G37="Pickup", SUMIFS(NewEmisData!H:H, NewEmisData!$A:$A, "Pickup", NewEmisData!$B:$B, $A37, NewEmisData!$C:$C, $H37, NewEmisData!$D:$D, CF$2), SUMIFS(NewEmisData!H:H, NewEmisData!$A:$A, "LDV", NewEmisData!$B:$B, $A37, NewEmisData!$C:$C, $H37, NewEmisData!$D:$D, CF$2))</f>
        <v>2.7537520644524499E-2</v>
      </c>
      <c r="CG37" s="324">
        <f>$I37*IF($G37="Pickup", SUMIFS(NewEmisData!I:I, NewEmisData!$A:$A, "Pickup", NewEmisData!$B:$B, $A37, NewEmisData!$C:$C, $H37, NewEmisData!$D:$D, CG$2), SUMIFS(NewEmisData!I:I, NewEmisData!$A:$A, "LDV", NewEmisData!$B:$B, $A37, NewEmisData!$C:$C, $H37, NewEmisData!$D:$D, CG$2))</f>
        <v>2.6666633761740999E-2</v>
      </c>
      <c r="CH37" s="324">
        <f>$I37*IF($G37="Pickup", SUMIFS(NewEmisData!J:J, NewEmisData!$A:$A, "Pickup", NewEmisData!$B:$B, $A37, NewEmisData!$C:$C, $H37, NewEmisData!$D:$D, CH$2), SUMIFS(NewEmisData!J:J, NewEmisData!$A:$A, "LDV", NewEmisData!$B:$B, $A37, NewEmisData!$C:$C, $H37, NewEmisData!$D:$D, CH$2))</f>
        <v>2.5980348711507999E-2</v>
      </c>
      <c r="CI37" s="324">
        <f>$I37*IF($G37="Pickup", SUMIFS(NewEmisData!K:K, NewEmisData!$A:$A, "Pickup", NewEmisData!$B:$B, $A37, NewEmisData!$C:$C, $H37, NewEmisData!$D:$D, CI$2), SUMIFS(NewEmisData!K:K, NewEmisData!$A:$A, "LDV", NewEmisData!$B:$B, $A37, NewEmisData!$C:$C, $H37, NewEmisData!$D:$D, CI$2))</f>
        <v>2.5978185303944301E-2</v>
      </c>
      <c r="CJ37" s="324">
        <f>$I37*IF($G37="Pickup", SUMIFS(NewEmisData!L:L, NewEmisData!$A:$A, "Pickup", NewEmisData!$B:$B, $A37, NewEmisData!$C:$C, $H37, NewEmisData!$D:$D, CJ$2), SUMIFS(NewEmisData!L:L, NewEmisData!$A:$A, "LDV", NewEmisData!$B:$B, $A37, NewEmisData!$C:$C, $H37, NewEmisData!$D:$D, CJ$2))</f>
        <v>2.5977588735828699E-2</v>
      </c>
      <c r="CK37" s="324">
        <f>$I37*IF($G37="Pickup", SUMIFS(NewEmisData!M:M, NewEmisData!$A:$A, "Pickup", NewEmisData!$B:$B, $A37, NewEmisData!$C:$C, $H37, NewEmisData!$D:$D, CK$2), SUMIFS(NewEmisData!M:M, NewEmisData!$A:$A, "LDV", NewEmisData!$B:$B, $A37, NewEmisData!$C:$C, $H37, NewEmisData!$D:$D, CK$2))</f>
        <v>2.5976994364069798E-2</v>
      </c>
      <c r="CL37" s="324">
        <f t="shared" si="12"/>
        <v>2.5976994364069798E-2</v>
      </c>
      <c r="CM37" s="324">
        <f>$I37*IF($G37="Pickup", SUMIFS(NewEmisData!E:E, NewEmisData!$A:$A, "Pickup", NewEmisData!$B:$B, $A37, NewEmisData!$C:$C, $H37, NewEmisData!$D:$D, CM$2), SUMIFS(NewEmisData!E:E, NewEmisData!$A:$A, "LDV", NewEmisData!$B:$B, $A37, NewEmisData!$C:$C, $H37, NewEmisData!$D:$D, CM$2))</f>
        <v>2.2752592498671498E-2</v>
      </c>
      <c r="CN37" s="324">
        <f>$I37*IF($G37="Pickup", SUMIFS(NewEmisData!F:F, NewEmisData!$A:$A, "Pickup", NewEmisData!$B:$B, $A37, NewEmisData!$C:$C, $H37, NewEmisData!$D:$D, CN$2), SUMIFS(NewEmisData!F:F, NewEmisData!$A:$A, "LDV", NewEmisData!$B:$B, $A37, NewEmisData!$C:$C, $H37, NewEmisData!$D:$D, CN$2))</f>
        <v>1.4156662086893E-2</v>
      </c>
      <c r="CO37" s="324">
        <f>$I37*IF($G37="Pickup", SUMIFS(NewEmisData!G:G, NewEmisData!$A:$A, "Pickup", NewEmisData!$B:$B, $A37, NewEmisData!$C:$C, $H37, NewEmisData!$D:$D, CO$2), SUMIFS(NewEmisData!G:G, NewEmisData!$A:$A, "LDV", NewEmisData!$B:$B, $A37, NewEmisData!$C:$C, $H37, NewEmisData!$D:$D, CO$2))</f>
        <v>9.29628541682684E-3</v>
      </c>
      <c r="CP37" s="324">
        <f>$I37*IF($G37="Pickup", SUMIFS(NewEmisData!H:H, NewEmisData!$A:$A, "Pickup", NewEmisData!$B:$B, $A37, NewEmisData!$C:$C, $H37, NewEmisData!$D:$D, CP$2), SUMIFS(NewEmisData!H:H, NewEmisData!$A:$A, "LDV", NewEmisData!$B:$B, $A37, NewEmisData!$C:$C, $H37, NewEmisData!$D:$D, CP$2))</f>
        <v>7.6962231490179996E-3</v>
      </c>
      <c r="CQ37" s="324">
        <f>$I37*IF($G37="Pickup", SUMIFS(NewEmisData!I:I, NewEmisData!$A:$A, "Pickup", NewEmisData!$B:$B, $A37, NewEmisData!$C:$C, $H37, NewEmisData!$D:$D, CQ$2), SUMIFS(NewEmisData!I:I, NewEmisData!$A:$A, "LDV", NewEmisData!$B:$B, $A37, NewEmisData!$C:$C, $H37, NewEmisData!$D:$D, CQ$2))</f>
        <v>6.9434858281499498E-3</v>
      </c>
      <c r="CR37" s="324">
        <f>$I37*IF($G37="Pickup", SUMIFS(NewEmisData!J:J, NewEmisData!$A:$A, "Pickup", NewEmisData!$B:$B, $A37, NewEmisData!$C:$C, $H37, NewEmisData!$D:$D, CR$2), SUMIFS(NewEmisData!J:J, NewEmisData!$A:$A, "LDV", NewEmisData!$B:$B, $A37, NewEmisData!$C:$C, $H37, NewEmisData!$D:$D, CR$2))</f>
        <v>6.6235501686008101E-3</v>
      </c>
      <c r="CS37" s="324">
        <f>$I37*IF($G37="Pickup", SUMIFS(NewEmisData!K:K, NewEmisData!$A:$A, "Pickup", NewEmisData!$B:$B, $A37, NewEmisData!$C:$C, $H37, NewEmisData!$D:$D, CS$2), SUMIFS(NewEmisData!K:K, NewEmisData!$A:$A, "LDV", NewEmisData!$B:$B, $A37, NewEmisData!$C:$C, $H37, NewEmisData!$D:$D, CS$2))</f>
        <v>6.5909545130035602E-3</v>
      </c>
      <c r="CT37" s="324">
        <f>$I37*IF($G37="Pickup", SUMIFS(NewEmisData!L:L, NewEmisData!$A:$A, "Pickup", NewEmisData!$B:$B, $A37, NewEmisData!$C:$C, $H37, NewEmisData!$D:$D, CT$2), SUMIFS(NewEmisData!L:L, NewEmisData!$A:$A, "LDV", NewEmisData!$B:$B, $A37, NewEmisData!$C:$C, $H37, NewEmisData!$D:$D, CT$2))</f>
        <v>6.5377802107072303E-3</v>
      </c>
      <c r="CU37" s="324">
        <f>$I37*IF($G37="Pickup", SUMIFS(NewEmisData!M:M, NewEmisData!$A:$A, "Pickup", NewEmisData!$B:$B, $A37, NewEmisData!$C:$C, $H37, NewEmisData!$D:$D, CU$2), SUMIFS(NewEmisData!M:M, NewEmisData!$A:$A, "LDV", NewEmisData!$B:$B, $A37, NewEmisData!$C:$C, $H37, NewEmisData!$D:$D, CU$2))</f>
        <v>6.5374275690386098E-3</v>
      </c>
      <c r="CV37" s="324">
        <f t="shared" si="13"/>
        <v>6.5374275690386098E-3</v>
      </c>
      <c r="CW37" s="324">
        <v>4.0498104655261064E-3</v>
      </c>
      <c r="CX37" s="324">
        <v>2.5030350838759993E-3</v>
      </c>
      <c r="CY37" s="324">
        <v>2.1151214403419519E-3</v>
      </c>
      <c r="CZ37" s="324">
        <v>1.7489979687569375E-3</v>
      </c>
      <c r="DA37" s="324">
        <v>1.340486996695321E-3</v>
      </c>
      <c r="DB37" s="324">
        <v>1.0553769116342638E-3</v>
      </c>
      <c r="DC37" s="324">
        <v>1.0132227560056145E-3</v>
      </c>
      <c r="DD37" s="324">
        <v>1.0003159541004489E-3</v>
      </c>
      <c r="DE37" s="324">
        <v>9.9860782000699166E-4</v>
      </c>
      <c r="DF37" s="324">
        <v>9.9860782000699166E-4</v>
      </c>
      <c r="DG37" s="324">
        <f>$I37*IF($G37="Pickup", SUMIFS(NewEmisData!E:E, NewEmisData!$A:$A, "Pickup", NewEmisData!$B:$B, $A37, NewEmisData!$C:$C, $H37, NewEmisData!$D:$D, DG$2), SUMIFS(NewEmisData!E:E, NewEmisData!$A:$A, "LDV", NewEmisData!$B:$B, $A37, NewEmisData!$C:$C, $H37, NewEmisData!$D:$D, DG$2))</f>
        <v>0</v>
      </c>
      <c r="DH37" s="324">
        <f>$I37*IF($G37="Pickup", SUMIFS(NewEmisData!F:F, NewEmisData!$A:$A, "Pickup", NewEmisData!$B:$B, $A37, NewEmisData!$C:$C, $H37, NewEmisData!$D:$D, DH$2), SUMIFS(NewEmisData!F:F, NewEmisData!$A:$A, "LDV", NewEmisData!$B:$B, $A37, NewEmisData!$C:$C, $H37, NewEmisData!$D:$D, DH$2))</f>
        <v>0</v>
      </c>
      <c r="DI37" s="324">
        <f>$I37*IF($G37="Pickup", SUMIFS(NewEmisData!G:G, NewEmisData!$A:$A, "Pickup", NewEmisData!$B:$B, $A37, NewEmisData!$C:$C, $H37, NewEmisData!$D:$D, DI$2), SUMIFS(NewEmisData!G:G, NewEmisData!$A:$A, "LDV", NewEmisData!$B:$B, $A37, NewEmisData!$C:$C, $H37, NewEmisData!$D:$D, DI$2))</f>
        <v>0</v>
      </c>
      <c r="DJ37" s="324">
        <f>$I37*IF($G37="Pickup", SUMIFS(NewEmisData!H:H, NewEmisData!$A:$A, "Pickup", NewEmisData!$B:$B, $A37, NewEmisData!$C:$C, $H37, NewEmisData!$D:$D, DJ$2), SUMIFS(NewEmisData!H:H, NewEmisData!$A:$A, "LDV", NewEmisData!$B:$B, $A37, NewEmisData!$C:$C, $H37, NewEmisData!$D:$D, DJ$2))</f>
        <v>0</v>
      </c>
      <c r="DK37" s="324">
        <f>$I37*IF($G37="Pickup", SUMIFS(NewEmisData!I:I, NewEmisData!$A:$A, "Pickup", NewEmisData!$B:$B, $A37, NewEmisData!$C:$C, $H37, NewEmisData!$D:$D, DK$2), SUMIFS(NewEmisData!I:I, NewEmisData!$A:$A, "LDV", NewEmisData!$B:$B, $A37, NewEmisData!$C:$C, $H37, NewEmisData!$D:$D, DK$2))</f>
        <v>0</v>
      </c>
      <c r="DL37" s="324">
        <f>$I37*IF($G37="Pickup", SUMIFS(NewEmisData!J:J, NewEmisData!$A:$A, "Pickup", NewEmisData!$B:$B, $A37, NewEmisData!$C:$C, $H37, NewEmisData!$D:$D, DL$2), SUMIFS(NewEmisData!J:J, NewEmisData!$A:$A, "LDV", NewEmisData!$B:$B, $A37, NewEmisData!$C:$C, $H37, NewEmisData!$D:$D, DL$2))</f>
        <v>0</v>
      </c>
      <c r="DM37" s="324">
        <f>$I37*IF($G37="Pickup", SUMIFS(NewEmisData!K:K, NewEmisData!$A:$A, "Pickup", NewEmisData!$B:$B, $A37, NewEmisData!$C:$C, $H37, NewEmisData!$D:$D, DM$2), SUMIFS(NewEmisData!K:K, NewEmisData!$A:$A, "LDV", NewEmisData!$B:$B, $A37, NewEmisData!$C:$C, $H37, NewEmisData!$D:$D, DM$2))</f>
        <v>0</v>
      </c>
      <c r="DN37" s="324">
        <f>$I37*IF($G37="Pickup", SUMIFS(NewEmisData!L:L, NewEmisData!$A:$A, "Pickup", NewEmisData!$B:$B, $A37, NewEmisData!$C:$C, $H37, NewEmisData!$D:$D, DN$2), SUMIFS(NewEmisData!L:L, NewEmisData!$A:$A, "LDV", NewEmisData!$B:$B, $A37, NewEmisData!$C:$C, $H37, NewEmisData!$D:$D, DN$2))</f>
        <v>0</v>
      </c>
      <c r="DO37" s="324">
        <f>$I37*IF($G37="Pickup", SUMIFS(NewEmisData!M:M, NewEmisData!$A:$A, "Pickup", NewEmisData!$B:$B, $A37, NewEmisData!$C:$C, $H37, NewEmisData!$D:$D, DO$2), SUMIFS(NewEmisData!M:M, NewEmisData!$A:$A, "LDV", NewEmisData!$B:$B, $A37, NewEmisData!$C:$C, $H37, NewEmisData!$D:$D, DO$2))</f>
        <v>0</v>
      </c>
      <c r="DP37" s="324">
        <f t="shared" si="14"/>
        <v>0</v>
      </c>
      <c r="DQ37" s="324">
        <f>$I37*IF($G37="Pickup", SUMIFS(NewEmisData!E:E, NewEmisData!$A:$A, "Pickup", NewEmisData!$B:$B, $A37, NewEmisData!$C:$C, $H37, NewEmisData!$D:$D, DQ$2), SUMIFS(NewEmisData!E:E, NewEmisData!$A:$A, "LDV", NewEmisData!$B:$B, $A37, NewEmisData!$C:$C, $H37, NewEmisData!$D:$D, DQ$2))</f>
        <v>1.7231430999334701E-2</v>
      </c>
      <c r="DR37" s="324">
        <f>$I37*IF($G37="Pickup", SUMIFS(NewEmisData!F:F, NewEmisData!$A:$A, "Pickup", NewEmisData!$B:$B, $A37, NewEmisData!$C:$C, $H37, NewEmisData!$D:$D, DR$2), SUMIFS(NewEmisData!F:F, NewEmisData!$A:$A, "LDV", NewEmisData!$B:$B, $A37, NewEmisData!$C:$C, $H37, NewEmisData!$D:$D, DR$2))</f>
        <v>8.9963646277585099E-3</v>
      </c>
      <c r="DS37" s="324">
        <f>$I37*IF($G37="Pickup", SUMIFS(NewEmisData!G:G, NewEmisData!$A:$A, "Pickup", NewEmisData!$B:$B, $A37, NewEmisData!$C:$C, $H37, NewEmisData!$D:$D, DS$2), SUMIFS(NewEmisData!G:G, NewEmisData!$A:$A, "LDV", NewEmisData!$B:$B, $A37, NewEmisData!$C:$C, $H37, NewEmisData!$D:$D, DS$2))</f>
        <v>5.6961522615022698E-3</v>
      </c>
      <c r="DT37" s="324">
        <f>$I37*IF($G37="Pickup", SUMIFS(NewEmisData!H:H, NewEmisData!$A:$A, "Pickup", NewEmisData!$B:$B, $A37, NewEmisData!$C:$C, $H37, NewEmisData!$D:$D, DT$2), SUMIFS(NewEmisData!H:H, NewEmisData!$A:$A, "LDV", NewEmisData!$B:$B, $A37, NewEmisData!$C:$C, $H37, NewEmisData!$D:$D, DT$2))</f>
        <v>4.3151143502781096E-3</v>
      </c>
      <c r="DU37" s="324">
        <f>$I37*IF($G37="Pickup", SUMIFS(NewEmisData!I:I, NewEmisData!$A:$A, "Pickup", NewEmisData!$B:$B, $A37, NewEmisData!$C:$C, $H37, NewEmisData!$D:$D, DU$2), SUMIFS(NewEmisData!I:I, NewEmisData!$A:$A, "LDV", NewEmisData!$B:$B, $A37, NewEmisData!$C:$C, $H37, NewEmisData!$D:$D, DU$2))</f>
        <v>3.35028978849721E-3</v>
      </c>
      <c r="DV37" s="324">
        <f>$I37*IF($G37="Pickup", SUMIFS(NewEmisData!J:J, NewEmisData!$A:$A, "Pickup", NewEmisData!$B:$B, $A37, NewEmisData!$C:$C, $H37, NewEmisData!$D:$D, DV$2), SUMIFS(NewEmisData!J:J, NewEmisData!$A:$A, "LDV", NewEmisData!$B:$B, $A37, NewEmisData!$C:$C, $H37, NewEmisData!$D:$D, DV$2))</f>
        <v>2.9288858721300301E-3</v>
      </c>
      <c r="DW37" s="324">
        <f>$I37*IF($G37="Pickup", SUMIFS(NewEmisData!K:K, NewEmisData!$A:$A, "Pickup", NewEmisData!$B:$B, $A37, NewEmisData!$C:$C, $H37, NewEmisData!$D:$D, DW$2), SUMIFS(NewEmisData!K:K, NewEmisData!$A:$A, "LDV", NewEmisData!$B:$B, $A37, NewEmisData!$C:$C, $H37, NewEmisData!$D:$D, DW$2))</f>
        <v>2.6889748661232601E-3</v>
      </c>
      <c r="DX37" s="324">
        <f>$I37*IF($G37="Pickup", SUMIFS(NewEmisData!L:L, NewEmisData!$A:$A, "Pickup", NewEmisData!$B:$B, $A37, NewEmisData!$C:$C, $H37, NewEmisData!$D:$D, DX$2), SUMIFS(NewEmisData!L:L, NewEmisData!$A:$A, "LDV", NewEmisData!$B:$B, $A37, NewEmisData!$C:$C, $H37, NewEmisData!$D:$D, DX$2))</f>
        <v>2.6131014849391301E-3</v>
      </c>
      <c r="DY37" s="324">
        <f>$I37*IF($G37="Pickup", SUMIFS(NewEmisData!M:M, NewEmisData!$A:$A, "Pickup", NewEmisData!$B:$B, $A37, NewEmisData!$C:$C, $H37, NewEmisData!$D:$D, DY$2), SUMIFS(NewEmisData!M:M, NewEmisData!$A:$A, "LDV", NewEmisData!$B:$B, $A37, NewEmisData!$C:$C, $H37, NewEmisData!$D:$D, DY$2))</f>
        <v>2.5757099053792102E-3</v>
      </c>
      <c r="DZ37" s="324">
        <f t="shared" si="15"/>
        <v>2.5757099053792102E-3</v>
      </c>
      <c r="EA37" s="324">
        <f t="shared" si="16"/>
        <v>605.35194063093002</v>
      </c>
      <c r="EB37" s="324">
        <f t="shared" si="17"/>
        <v>575.43677827742204</v>
      </c>
      <c r="EC37" s="324">
        <f t="shared" si="18"/>
        <v>447.50306541281799</v>
      </c>
      <c r="ED37" s="324">
        <f t="shared" si="19"/>
        <v>380.32748601406797</v>
      </c>
      <c r="EE37" s="324">
        <f t="shared" si="20"/>
        <v>328.8508655947</v>
      </c>
      <c r="EF37" s="324">
        <f t="shared" si="21"/>
        <v>299.87343037562698</v>
      </c>
      <c r="EG37" s="324">
        <f t="shared" si="22"/>
        <v>286.96645721008798</v>
      </c>
      <c r="EH37" s="324">
        <f t="shared" si="23"/>
        <v>282.38592098475101</v>
      </c>
      <c r="EI37" s="324">
        <f t="shared" si="24"/>
        <v>280.69816184937503</v>
      </c>
      <c r="EJ37" s="324">
        <f t="shared" si="25"/>
        <v>280.69816184937503</v>
      </c>
      <c r="EK37" s="324">
        <f t="shared" si="26"/>
        <v>0.73999493628111201</v>
      </c>
      <c r="EL37" s="324">
        <f t="shared" si="27"/>
        <v>0.35335240075773999</v>
      </c>
      <c r="EM37" s="324">
        <f t="shared" si="28"/>
        <v>0.18897755292818599</v>
      </c>
      <c r="EN37" s="324">
        <f t="shared" si="29"/>
        <v>0.12218817840455801</v>
      </c>
      <c r="EO37" s="324">
        <f t="shared" si="30"/>
        <v>7.3060825114572805E-2</v>
      </c>
      <c r="EP37" s="324">
        <f t="shared" si="31"/>
        <v>5.3764321341730301E-2</v>
      </c>
      <c r="EQ37" s="324">
        <f t="shared" si="32"/>
        <v>4.5765873698397498E-2</v>
      </c>
      <c r="ER37" s="324">
        <f t="shared" si="33"/>
        <v>4.3548109073897001E-2</v>
      </c>
      <c r="ES37" s="324">
        <f t="shared" si="34"/>
        <v>4.24609775043936E-2</v>
      </c>
      <c r="ET37" s="324">
        <f t="shared" si="35"/>
        <v>4.24609775043936E-2</v>
      </c>
      <c r="EU37" s="324">
        <f t="shared" si="36"/>
        <v>1.04747160569124E-2</v>
      </c>
      <c r="EV37" s="324">
        <f t="shared" si="37"/>
        <v>9.9570764799691708E-3</v>
      </c>
      <c r="EW37" s="324">
        <f t="shared" si="38"/>
        <v>6.4196648888919499E-3</v>
      </c>
      <c r="EX37" s="324">
        <f t="shared" si="39"/>
        <v>5.45599526494426E-3</v>
      </c>
      <c r="EY37" s="324">
        <f t="shared" si="40"/>
        <v>4.7175365225731996E-3</v>
      </c>
      <c r="EZ37" s="324">
        <f t="shared" si="41"/>
        <v>4.3018391726363297E-3</v>
      </c>
      <c r="FA37" s="324">
        <f t="shared" si="42"/>
        <v>4.1166816404986702E-3</v>
      </c>
      <c r="FB37" s="324">
        <f t="shared" si="43"/>
        <v>4.0509726462172697E-3</v>
      </c>
      <c r="FC37" s="324">
        <f t="shared" si="44"/>
        <v>4.0267596573162799E-3</v>
      </c>
      <c r="FD37" s="324">
        <f t="shared" si="45"/>
        <v>4.0267596573162799E-3</v>
      </c>
      <c r="FE37" s="324">
        <f t="shared" si="46"/>
        <v>0.112529836649977</v>
      </c>
      <c r="FF37" s="324">
        <f t="shared" si="47"/>
        <v>0.103764807432247</v>
      </c>
      <c r="FG37" s="324">
        <f t="shared" si="48"/>
        <v>8.1904009889209095E-2</v>
      </c>
      <c r="FH37" s="324">
        <f t="shared" si="49"/>
        <v>8.0372811122020202E-2</v>
      </c>
      <c r="FI37" s="324">
        <f t="shared" si="50"/>
        <v>7.8826850839141593E-2</v>
      </c>
      <c r="FJ37" s="324">
        <f t="shared" si="51"/>
        <v>7.7629471627150906E-2</v>
      </c>
      <c r="FK37" s="324">
        <f t="shared" si="52"/>
        <v>7.6869255276324197E-2</v>
      </c>
      <c r="FL37" s="324">
        <f t="shared" si="53"/>
        <v>7.6489801218608905E-2</v>
      </c>
      <c r="FM37" s="324">
        <f t="shared" si="54"/>
        <v>7.6275890012832595E-2</v>
      </c>
      <c r="FN37" s="324">
        <f t="shared" si="55"/>
        <v>7.6275890012832595E-2</v>
      </c>
      <c r="FO37" s="324">
        <f t="shared" si="56"/>
        <v>2.93140110896879E-2</v>
      </c>
      <c r="FP37" s="324">
        <f t="shared" si="57"/>
        <v>2.15603319614842E-2</v>
      </c>
      <c r="FQ37" s="324">
        <f t="shared" si="58"/>
        <v>1.61359542510712E-2</v>
      </c>
      <c r="FR37" s="324">
        <f t="shared" si="59"/>
        <v>1.4781439172223E-2</v>
      </c>
      <c r="FS37" s="324">
        <f t="shared" si="60"/>
        <v>1.3413837806436801E-2</v>
      </c>
      <c r="FT37" s="324">
        <f t="shared" si="61"/>
        <v>1.2354573478352299E-2</v>
      </c>
      <c r="FU37" s="324">
        <f t="shared" si="62"/>
        <v>1.16820653404197E-2</v>
      </c>
      <c r="FV37" s="324">
        <f t="shared" si="63"/>
        <v>1.13463459698093E-2</v>
      </c>
      <c r="FW37" s="324">
        <f t="shared" si="64"/>
        <v>1.1157149268450401E-2</v>
      </c>
      <c r="FX37" s="324">
        <f t="shared" si="65"/>
        <v>1.1157149268450401E-2</v>
      </c>
    </row>
    <row r="38" spans="1:180" x14ac:dyDescent="0.2">
      <c r="A38" s="298" t="str">
        <f>_xlfn.CONCAT(IF(LEFT(TRIM(A37),1)="*", "*R", "R"), 1+RIGHT(TRIM(A37),1))</f>
        <v>R5</v>
      </c>
      <c r="B38" s="298" t="str">
        <f t="shared" si="91"/>
        <v>TLELSGSL</v>
      </c>
      <c r="C38" s="298" t="str">
        <f t="shared" si="92"/>
        <v>TL.GSL.LS.Existing fleet</v>
      </c>
      <c r="D38" s="294" t="str">
        <f t="shared" si="93"/>
        <v>bn-vmt, bn-vmt/a</v>
      </c>
      <c r="E38" s="294" t="str">
        <f t="shared" si="94"/>
        <v>TLGSL</v>
      </c>
      <c r="F38" s="294" t="str">
        <f t="shared" si="95"/>
        <v>TL</v>
      </c>
      <c r="G38" s="294" t="s">
        <v>327</v>
      </c>
      <c r="H38" s="294" t="s">
        <v>474</v>
      </c>
      <c r="I38" s="294">
        <v>1</v>
      </c>
      <c r="J38" s="308" t="str">
        <f t="shared" si="2"/>
        <v>Large SUV-GSL</v>
      </c>
      <c r="K38" s="324">
        <f>$I38*IF($G38="Pickup", SUMIFS(NewEmisData!E:E, NewEmisData!$A:$A, "Pickup", NewEmisData!$B:$B, $A38, NewEmisData!$C:$C, $H38, NewEmisData!$D:$D, K$2), SUMIFS(NewEmisData!E:E, NewEmisData!$A:$A, "LDV", NewEmisData!$B:$B, $A38, NewEmisData!$C:$C, $H38, NewEmisData!$D:$D, K$2))</f>
        <v>474.817101058422</v>
      </c>
      <c r="L38" s="324">
        <f>$I38*IF($G38="Pickup", SUMIFS(NewEmisData!F:F, NewEmisData!$A:$A, "Pickup", NewEmisData!$B:$B, $A38, NewEmisData!$C:$C, $H38, NewEmisData!$D:$D, L$2), SUMIFS(NewEmisData!F:F, NewEmisData!$A:$A, "LDV", NewEmisData!$B:$B, $A38, NewEmisData!$C:$C, $H38, NewEmisData!$D:$D, L$2))</f>
        <v>451.24703471572099</v>
      </c>
      <c r="M38" s="324">
        <f>$I38*IF($G38="Pickup", SUMIFS(NewEmisData!G:G, NewEmisData!$A:$A, "Pickup", NewEmisData!$B:$B, $A38, NewEmisData!$C:$C, $H38, NewEmisData!$D:$D, M$2), SUMIFS(NewEmisData!G:G, NewEmisData!$A:$A, "LDV", NewEmisData!$B:$B, $A38, NewEmisData!$C:$C, $H38, NewEmisData!$D:$D, M$2))</f>
        <v>359.55406391675598</v>
      </c>
      <c r="N38" s="324">
        <f>$I38*IF($G38="Pickup", SUMIFS(NewEmisData!H:H, NewEmisData!$A:$A, "Pickup", NewEmisData!$B:$B, $A38, NewEmisData!$C:$C, $H38, NewEmisData!$D:$D, N$2), SUMIFS(NewEmisData!H:H, NewEmisData!$A:$A, "LDV", NewEmisData!$B:$B, $A38, NewEmisData!$C:$C, $H38, NewEmisData!$D:$D, N$2))</f>
        <v>306.68867751853497</v>
      </c>
      <c r="O38" s="324">
        <f>$I38*IF($G38="Pickup", SUMIFS(NewEmisData!I:I, NewEmisData!$A:$A, "Pickup", NewEmisData!$B:$B, $A38, NewEmisData!$C:$C, $H38, NewEmisData!$D:$D, O$2), SUMIFS(NewEmisData!I:I, NewEmisData!$A:$A, "LDV", NewEmisData!$B:$B, $A38, NewEmisData!$C:$C, $H38, NewEmisData!$D:$D, O$2))</f>
        <v>266.05693149041099</v>
      </c>
      <c r="P38" s="324">
        <f>$I38*IF($G38="Pickup", SUMIFS(NewEmisData!J:J, NewEmisData!$A:$A, "Pickup", NewEmisData!$B:$B, $A38, NewEmisData!$C:$C, $H38, NewEmisData!$D:$D, P$2), SUMIFS(NewEmisData!J:J, NewEmisData!$A:$A, "LDV", NewEmisData!$B:$B, $A38, NewEmisData!$C:$C, $H38, NewEmisData!$D:$D, P$2))</f>
        <v>243.087176828883</v>
      </c>
      <c r="Q38" s="324">
        <f>$I38*IF($G38="Pickup", SUMIFS(NewEmisData!K:K, NewEmisData!$A:$A, "Pickup", NewEmisData!$B:$B, $A38, NewEmisData!$C:$C, $H38, NewEmisData!$D:$D, Q$2), SUMIFS(NewEmisData!K:K, NewEmisData!$A:$A, "LDV", NewEmisData!$B:$B, $A38, NewEmisData!$C:$C, $H38, NewEmisData!$D:$D, Q$2))</f>
        <v>232.82718030870799</v>
      </c>
      <c r="R38" s="324">
        <f>$I38*IF($G38="Pickup", SUMIFS(NewEmisData!L:L, NewEmisData!$A:$A, "Pickup", NewEmisData!$B:$B, $A38, NewEmisData!$C:$C, $H38, NewEmisData!$D:$D, R$2), SUMIFS(NewEmisData!L:L, NewEmisData!$A:$A, "LDV", NewEmisData!$B:$B, $A38, NewEmisData!$C:$C, $H38, NewEmisData!$D:$D, R$2))</f>
        <v>229.167353178653</v>
      </c>
      <c r="S38" s="324">
        <f>$I38*IF($G38="Pickup", SUMIFS(NewEmisData!M:M, NewEmisData!$A:$A, "Pickup", NewEmisData!$B:$B, $A38, NewEmisData!$C:$C, $H38, NewEmisData!$D:$D, S$2), SUMIFS(NewEmisData!M:M, NewEmisData!$A:$A, "LDV", NewEmisData!$B:$B, $A38, NewEmisData!$C:$C, $H38, NewEmisData!$D:$D, S$2))</f>
        <v>227.80956840287899</v>
      </c>
      <c r="T38" s="324">
        <f t="shared" si="5"/>
        <v>227.80956840287899</v>
      </c>
      <c r="U38" s="324">
        <f>$I38*IF($G38="Pickup", SUMIFS(NewEmisData!E:E, NewEmisData!$A:$A, "Pickup", NewEmisData!$B:$B, $A38, NewEmisData!$C:$C, $H38, NewEmisData!$D:$D, U$2), SUMIFS(NewEmisData!E:E, NewEmisData!$A:$A, "LDV", NewEmisData!$B:$B, $A38, NewEmisData!$C:$C, $H38, NewEmisData!$D:$D, U$2))</f>
        <v>0.70973077210402302</v>
      </c>
      <c r="V38" s="324">
        <f>$I38*IF($G38="Pickup", SUMIFS(NewEmisData!F:F, NewEmisData!$A:$A, "Pickup", NewEmisData!$B:$B, $A38, NewEmisData!$C:$C, $H38, NewEmisData!$D:$D, V$2), SUMIFS(NewEmisData!F:F, NewEmisData!$A:$A, "LDV", NewEmisData!$B:$B, $A38, NewEmisData!$C:$C, $H38, NewEmisData!$D:$D, V$2))</f>
        <v>0.32036907792622199</v>
      </c>
      <c r="W38" s="324">
        <f>$I38*IF($G38="Pickup", SUMIFS(NewEmisData!G:G, NewEmisData!$A:$A, "Pickup", NewEmisData!$B:$B, $A38, NewEmisData!$C:$C, $H38, NewEmisData!$D:$D, W$2), SUMIFS(NewEmisData!G:G, NewEmisData!$A:$A, "LDV", NewEmisData!$B:$B, $A38, NewEmisData!$C:$C, $H38, NewEmisData!$D:$D, W$2))</f>
        <v>0.23974719966536701</v>
      </c>
      <c r="X38" s="324">
        <f>$I38*IF($G38="Pickup", SUMIFS(NewEmisData!H:H, NewEmisData!$A:$A, "Pickup", NewEmisData!$B:$B, $A38, NewEmisData!$C:$C, $H38, NewEmisData!$D:$D, X$2), SUMIFS(NewEmisData!H:H, NewEmisData!$A:$A, "LDV", NewEmisData!$B:$B, $A38, NewEmisData!$C:$C, $H38, NewEmisData!$D:$D, X$2))</f>
        <v>0.160612501035788</v>
      </c>
      <c r="Y38" s="324">
        <f>$I38*IF($G38="Pickup", SUMIFS(NewEmisData!I:I, NewEmisData!$A:$A, "Pickup", NewEmisData!$B:$B, $A38, NewEmisData!$C:$C, $H38, NewEmisData!$D:$D, Y$2), SUMIFS(NewEmisData!I:I, NewEmisData!$A:$A, "LDV", NewEmisData!$B:$B, $A38, NewEmisData!$C:$C, $H38, NewEmisData!$D:$D, Y$2))</f>
        <v>0.10365613117262901</v>
      </c>
      <c r="Z38" s="324">
        <f>$I38*IF($G38="Pickup", SUMIFS(NewEmisData!J:J, NewEmisData!$A:$A, "Pickup", NewEmisData!$B:$B, $A38, NewEmisData!$C:$C, $H38, NewEmisData!$D:$D, Z$2), SUMIFS(NewEmisData!J:J, NewEmisData!$A:$A, "LDV", NewEmisData!$B:$B, $A38, NewEmisData!$C:$C, $H38, NewEmisData!$D:$D, Z$2))</f>
        <v>7.8799994555065797E-2</v>
      </c>
      <c r="AA38" s="324">
        <f>$I38*IF($G38="Pickup", SUMIFS(NewEmisData!K:K, NewEmisData!$A:$A, "Pickup", NewEmisData!$B:$B, $A38, NewEmisData!$C:$C, $H38, NewEmisData!$D:$D, AA$2), SUMIFS(NewEmisData!K:K, NewEmisData!$A:$A, "LDV", NewEmisData!$B:$B, $A38, NewEmisData!$C:$C, $H38, NewEmisData!$D:$D, AA$2))</f>
        <v>6.8646939612850705E-2</v>
      </c>
      <c r="AB38" s="324">
        <f>$I38*IF($G38="Pickup", SUMIFS(NewEmisData!L:L, NewEmisData!$A:$A, "Pickup", NewEmisData!$B:$B, $A38, NewEmisData!$C:$C, $H38, NewEmisData!$D:$D, AB$2), SUMIFS(NewEmisData!L:L, NewEmisData!$A:$A, "LDV", NewEmisData!$B:$B, $A38, NewEmisData!$C:$C, $H38, NewEmisData!$D:$D, AB$2))</f>
        <v>6.5824398729591893E-2</v>
      </c>
      <c r="AC38" s="324">
        <f>$I38*IF($G38="Pickup", SUMIFS(NewEmisData!M:M, NewEmisData!$A:$A, "Pickup", NewEmisData!$B:$B, $A38, NewEmisData!$C:$C, $H38, NewEmisData!$D:$D, AC$2), SUMIFS(NewEmisData!M:M, NewEmisData!$A:$A, "LDV", NewEmisData!$B:$B, $A38, NewEmisData!$C:$C, $H38, NewEmisData!$D:$D, AC$2))</f>
        <v>6.4340803704991095E-2</v>
      </c>
      <c r="AD38" s="324">
        <f t="shared" si="6"/>
        <v>6.4340803704991095E-2</v>
      </c>
      <c r="AE38" s="324">
        <f>$I38*IF($G38="Pickup", SUMIFS(NewEmisData!E:E, NewEmisData!$A:$A, "Pickup", NewEmisData!$B:$B, $A38, NewEmisData!$C:$C, $H38, NewEmisData!$D:$D, AE$2), SUMIFS(NewEmisData!E:E, NewEmisData!$A:$A, "LDV", NewEmisData!$B:$B, $A38, NewEmisData!$C:$C, $H38, NewEmisData!$D:$D, AE$2))</f>
        <v>8.2160020457903906E-3</v>
      </c>
      <c r="AF38" s="324">
        <f>$I38*IF($G38="Pickup", SUMIFS(NewEmisData!F:F, NewEmisData!$A:$A, "Pickup", NewEmisData!$B:$B, $A38, NewEmisData!$C:$C, $H38, NewEmisData!$D:$D, AF$2), SUMIFS(NewEmisData!F:F, NewEmisData!$A:$A, "LDV", NewEmisData!$B:$B, $A38, NewEmisData!$C:$C, $H38, NewEmisData!$D:$D, AF$2))</f>
        <v>7.80815598787189E-3</v>
      </c>
      <c r="AG38" s="324">
        <f>$I38*IF($G38="Pickup", SUMIFS(NewEmisData!G:G, NewEmisData!$A:$A, "Pickup", NewEmisData!$B:$B, $A38, NewEmisData!$C:$C, $H38, NewEmisData!$D:$D, AG$2), SUMIFS(NewEmisData!G:G, NewEmisData!$A:$A, "LDV", NewEmisData!$B:$B, $A38, NewEmisData!$C:$C, $H38, NewEmisData!$D:$D, AG$2))</f>
        <v>5.1579884513251097E-3</v>
      </c>
      <c r="AH38" s="324">
        <f>$I38*IF($G38="Pickup", SUMIFS(NewEmisData!H:H, NewEmisData!$A:$A, "Pickup", NewEmisData!$B:$B, $A38, NewEmisData!$C:$C, $H38, NewEmisData!$D:$D, AH$2), SUMIFS(NewEmisData!H:H, NewEmisData!$A:$A, "LDV", NewEmisData!$B:$B, $A38, NewEmisData!$C:$C, $H38, NewEmisData!$D:$D, AH$2))</f>
        <v>4.3996084263759998E-3</v>
      </c>
      <c r="AI38" s="324">
        <f>$I38*IF($G38="Pickup", SUMIFS(NewEmisData!I:I, NewEmisData!$A:$A, "Pickup", NewEmisData!$B:$B, $A38, NewEmisData!$C:$C, $H38, NewEmisData!$D:$D, AI$2), SUMIFS(NewEmisData!I:I, NewEmisData!$A:$A, "LDV", NewEmisData!$B:$B, $A38, NewEmisData!$C:$C, $H38, NewEmisData!$D:$D, AI$2))</f>
        <v>3.81672539575274E-3</v>
      </c>
      <c r="AJ38" s="324">
        <f>$I38*IF($G38="Pickup", SUMIFS(NewEmisData!J:J, NewEmisData!$A:$A, "Pickup", NewEmisData!$B:$B, $A38, NewEmisData!$C:$C, $H38, NewEmisData!$D:$D, AJ$2), SUMIFS(NewEmisData!J:J, NewEmisData!$A:$A, "LDV", NewEmisData!$B:$B, $A38, NewEmisData!$C:$C, $H38, NewEmisData!$D:$D, AJ$2))</f>
        <v>3.4872096414849999E-3</v>
      </c>
      <c r="AK38" s="324">
        <f>$I38*IF($G38="Pickup", SUMIFS(NewEmisData!K:K, NewEmisData!$A:$A, "Pickup", NewEmisData!$B:$B, $A38, NewEmisData!$C:$C, $H38, NewEmisData!$D:$D, AK$2), SUMIFS(NewEmisData!K:K, NewEmisData!$A:$A, "LDV", NewEmisData!$B:$B, $A38, NewEmisData!$C:$C, $H38, NewEmisData!$D:$D, AK$2))</f>
        <v>3.3400286224750798E-3</v>
      </c>
      <c r="AL38" s="324">
        <f>$I38*IF($G38="Pickup", SUMIFS(NewEmisData!L:L, NewEmisData!$A:$A, "Pickup", NewEmisData!$B:$B, $A38, NewEmisData!$C:$C, $H38, NewEmisData!$D:$D, AL$2), SUMIFS(NewEmisData!L:L, NewEmisData!$A:$A, "LDV", NewEmisData!$B:$B, $A38, NewEmisData!$C:$C, $H38, NewEmisData!$D:$D, AL$2))</f>
        <v>3.2875233288682799E-3</v>
      </c>
      <c r="AM38" s="324">
        <f>$I38*IF($G38="Pickup", SUMIFS(NewEmisData!M:M, NewEmisData!$A:$A, "Pickup", NewEmisData!$B:$B, $A38, NewEmisData!$C:$C, $H38, NewEmisData!$D:$D, AM$2), SUMIFS(NewEmisData!M:M, NewEmisData!$A:$A, "LDV", NewEmisData!$B:$B, $A38, NewEmisData!$C:$C, $H38, NewEmisData!$D:$D, AM$2))</f>
        <v>3.2680461258744399E-3</v>
      </c>
      <c r="AN38" s="324">
        <f t="shared" si="7"/>
        <v>3.2680461258744399E-3</v>
      </c>
      <c r="AO38" s="324">
        <f>$I38*IF($G38="Pickup", SUMIFS(NewEmisData!E:E, NewEmisData!$A:$A, "Pickup", NewEmisData!$B:$B, $A38, NewEmisData!$C:$C, $H38, NewEmisData!$D:$D, AO$2), SUMIFS(NewEmisData!E:E, NewEmisData!$A:$A, "LDV", NewEmisData!$B:$B, $A38, NewEmisData!$C:$C, $H38, NewEmisData!$D:$D, AO$2))</f>
        <v>7.6637268565666605E-2</v>
      </c>
      <c r="AP38" s="324">
        <f>$I38*IF($G38="Pickup", SUMIFS(NewEmisData!F:F, NewEmisData!$A:$A, "Pickup", NewEmisData!$B:$B, $A38, NewEmisData!$C:$C, $H38, NewEmisData!$D:$D, AP$2), SUMIFS(NewEmisData!F:F, NewEmisData!$A:$A, "LDV", NewEmisData!$B:$B, $A38, NewEmisData!$C:$C, $H38, NewEmisData!$D:$D, AP$2))</f>
        <v>7.17220347655846E-2</v>
      </c>
      <c r="AQ38" s="324">
        <f>$I38*IF($G38="Pickup", SUMIFS(NewEmisData!G:G, NewEmisData!$A:$A, "Pickup", NewEmisData!$B:$B, $A38, NewEmisData!$C:$C, $H38, NewEmisData!$D:$D, AQ$2), SUMIFS(NewEmisData!G:G, NewEmisData!$A:$A, "LDV", NewEmisData!$B:$B, $A38, NewEmisData!$C:$C, $H38, NewEmisData!$D:$D, AQ$2))</f>
        <v>5.3063354209187903E-2</v>
      </c>
      <c r="AR38" s="324">
        <f>$I38*IF($G38="Pickup", SUMIFS(NewEmisData!H:H, NewEmisData!$A:$A, "Pickup", NewEmisData!$B:$B, $A38, NewEmisData!$C:$C, $H38, NewEmisData!$D:$D, AR$2), SUMIFS(NewEmisData!H:H, NewEmisData!$A:$A, "LDV", NewEmisData!$B:$B, $A38, NewEmisData!$C:$C, $H38, NewEmisData!$D:$D, AR$2))</f>
        <v>5.1413159178765599E-2</v>
      </c>
      <c r="AS38" s="324">
        <f>$I38*IF($G38="Pickup", SUMIFS(NewEmisData!I:I, NewEmisData!$A:$A, "Pickup", NewEmisData!$B:$B, $A38, NewEmisData!$C:$C, $H38, NewEmisData!$D:$D, AS$2), SUMIFS(NewEmisData!I:I, NewEmisData!$A:$A, "LDV", NewEmisData!$B:$B, $A38, NewEmisData!$C:$C, $H38, NewEmisData!$D:$D, AS$2))</f>
        <v>4.9937748877796798E-2</v>
      </c>
      <c r="AT38" s="324">
        <f>$I38*IF($G38="Pickup", SUMIFS(NewEmisData!J:J, NewEmisData!$A:$A, "Pickup", NewEmisData!$B:$B, $A38, NewEmisData!$C:$C, $H38, NewEmisData!$D:$D, AT$2), SUMIFS(NewEmisData!J:J, NewEmisData!$A:$A, "LDV", NewEmisData!$B:$B, $A38, NewEmisData!$C:$C, $H38, NewEmisData!$D:$D, AT$2))</f>
        <v>4.8737436898882699E-2</v>
      </c>
      <c r="AU38" s="324">
        <f>$I38*IF($G38="Pickup", SUMIFS(NewEmisData!K:K, NewEmisData!$A:$A, "Pickup", NewEmisData!$B:$B, $A38, NewEmisData!$C:$C, $H38, NewEmisData!$D:$D, AU$2), SUMIFS(NewEmisData!K:K, NewEmisData!$A:$A, "LDV", NewEmisData!$B:$B, $A38, NewEmisData!$C:$C, $H38, NewEmisData!$D:$D, AU$2))</f>
        <v>4.7984590527250397E-2</v>
      </c>
      <c r="AV38" s="324">
        <f>$I38*IF($G38="Pickup", SUMIFS(NewEmisData!L:L, NewEmisData!$A:$A, "Pickup", NewEmisData!$B:$B, $A38, NewEmisData!$C:$C, $H38, NewEmisData!$D:$D, AV$2), SUMIFS(NewEmisData!L:L, NewEmisData!$A:$A, "LDV", NewEmisData!$B:$B, $A38, NewEmisData!$C:$C, $H38, NewEmisData!$D:$D, AV$2))</f>
        <v>4.76005320802948E-2</v>
      </c>
      <c r="AW38" s="324">
        <f>$I38*IF($G38="Pickup", SUMIFS(NewEmisData!M:M, NewEmisData!$A:$A, "Pickup", NewEmisData!$B:$B, $A38, NewEmisData!$C:$C, $H38, NewEmisData!$D:$D, AW$2), SUMIFS(NewEmisData!M:M, NewEmisData!$A:$A, "LDV", NewEmisData!$B:$B, $A38, NewEmisData!$C:$C, $H38, NewEmisData!$D:$D, AW$2))</f>
        <v>4.7377866603412998E-2</v>
      </c>
      <c r="AX38" s="324">
        <f t="shared" si="8"/>
        <v>4.7377866603412998E-2</v>
      </c>
      <c r="AY38" s="324">
        <f>$I38*IF($G38="Pickup", SUMIFS(NewEmisData!E:E, NewEmisData!$A:$A, "Pickup", NewEmisData!$B:$B, $A38, NewEmisData!$C:$C, $H38, NewEmisData!$D:$D, AY$2), SUMIFS(NewEmisData!E:E, NewEmisData!$A:$A, "LDV", NewEmisData!$B:$B, $A38, NewEmisData!$C:$C, $H38, NewEmisData!$D:$D, AY$2))</f>
        <v>1.9839679684136899E-2</v>
      </c>
      <c r="AZ38" s="324">
        <f>$I38*IF($G38="Pickup", SUMIFS(NewEmisData!F:F, NewEmisData!$A:$A, "Pickup", NewEmisData!$B:$B, $A38, NewEmisData!$C:$C, $H38, NewEmisData!$D:$D, AZ$2), SUMIFS(NewEmisData!F:F, NewEmisData!$A:$A, "LDV", NewEmisData!$B:$B, $A38, NewEmisData!$C:$C, $H38, NewEmisData!$D:$D, AZ$2))</f>
        <v>1.54915322396613E-2</v>
      </c>
      <c r="BA38" s="324">
        <f>$I38*IF($G38="Pickup", SUMIFS(NewEmisData!G:G, NewEmisData!$A:$A, "Pickup", NewEmisData!$B:$B, $A38, NewEmisData!$C:$C, $H38, NewEmisData!$D:$D, BA$2), SUMIFS(NewEmisData!G:G, NewEmisData!$A:$A, "LDV", NewEmisData!$B:$B, $A38, NewEmisData!$C:$C, $H38, NewEmisData!$D:$D, BA$2))</f>
        <v>1.24856485125612E-2</v>
      </c>
      <c r="BB38" s="324">
        <f>$I38*IF($G38="Pickup", SUMIFS(NewEmisData!H:H, NewEmisData!$A:$A, "Pickup", NewEmisData!$B:$B, $A38, NewEmisData!$C:$C, $H38, NewEmisData!$D:$D, BB$2), SUMIFS(NewEmisData!H:H, NewEmisData!$A:$A, "LDV", NewEmisData!$B:$B, $A38, NewEmisData!$C:$C, $H38, NewEmisData!$D:$D, BB$2))</f>
        <v>1.10258430769824E-2</v>
      </c>
      <c r="BC38" s="324">
        <f>$I38*IF($G38="Pickup", SUMIFS(NewEmisData!I:I, NewEmisData!$A:$A, "Pickup", NewEmisData!$B:$B, $A38, NewEmisData!$C:$C, $H38, NewEmisData!$D:$D, BC$2), SUMIFS(NewEmisData!I:I, NewEmisData!$A:$A, "LDV", NewEmisData!$B:$B, $A38, NewEmisData!$C:$C, $H38, NewEmisData!$D:$D, BC$2))</f>
        <v>9.7206839249302599E-3</v>
      </c>
      <c r="BD38" s="324">
        <f>$I38*IF($G38="Pickup", SUMIFS(NewEmisData!J:J, NewEmisData!$A:$A, "Pickup", NewEmisData!$B:$B, $A38, NewEmisData!$C:$C, $H38, NewEmisData!$D:$D, BD$2), SUMIFS(NewEmisData!J:J, NewEmisData!$A:$A, "LDV", NewEmisData!$B:$B, $A38, NewEmisData!$C:$C, $H38, NewEmisData!$D:$D, BD$2))</f>
        <v>8.6588886279032502E-3</v>
      </c>
      <c r="BE38" s="324">
        <f>$I38*IF($G38="Pickup", SUMIFS(NewEmisData!K:K, NewEmisData!$A:$A, "Pickup", NewEmisData!$B:$B, $A38, NewEmisData!$C:$C, $H38, NewEmisData!$D:$D, BE$2), SUMIFS(NewEmisData!K:K, NewEmisData!$A:$A, "LDV", NewEmisData!$B:$B, $A38, NewEmisData!$C:$C, $H38, NewEmisData!$D:$D, BE$2))</f>
        <v>7.9928948991222996E-3</v>
      </c>
      <c r="BF38" s="324">
        <f>$I38*IF($G38="Pickup", SUMIFS(NewEmisData!L:L, NewEmisData!$A:$A, "Pickup", NewEmisData!$B:$B, $A38, NewEmisData!$C:$C, $H38, NewEmisData!$D:$D, BF$2), SUMIFS(NewEmisData!L:L, NewEmisData!$A:$A, "LDV", NewEmisData!$B:$B, $A38, NewEmisData!$C:$C, $H38, NewEmisData!$D:$D, BF$2))</f>
        <v>7.65317007618625E-3</v>
      </c>
      <c r="BG38" s="324">
        <f>$I38*IF($G38="Pickup", SUMIFS(NewEmisData!M:M, NewEmisData!$A:$A, "Pickup", NewEmisData!$B:$B, $A38, NewEmisData!$C:$C, $H38, NewEmisData!$D:$D, BG$2), SUMIFS(NewEmisData!M:M, NewEmisData!$A:$A, "LDV", NewEmisData!$B:$B, $A38, NewEmisData!$C:$C, $H38, NewEmisData!$D:$D, BG$2))</f>
        <v>7.4561632981935697E-3</v>
      </c>
      <c r="BH38" s="324">
        <f t="shared" si="9"/>
        <v>7.4561632981935697E-3</v>
      </c>
      <c r="BI38" s="324">
        <f>$I38*IF($G38="Pickup", SUMIFS(NewEmisData!E:E, NewEmisData!$A:$A, "Pickup", NewEmisData!$B:$B, $A38, NewEmisData!$C:$C, $H38, NewEmisData!$D:$D, BI$2), SUMIFS(NewEmisData!E:E, NewEmisData!$A:$A, "LDV", NewEmisData!$B:$B, $A38, NewEmisData!$C:$C, $H38, NewEmisData!$D:$D, BI$2))</f>
        <v>6.4220034872518204</v>
      </c>
      <c r="BJ38" s="324">
        <f>$I38*IF($G38="Pickup", SUMIFS(NewEmisData!F:F, NewEmisData!$A:$A, "Pickup", NewEmisData!$B:$B, $A38, NewEmisData!$C:$C, $H38, NewEmisData!$D:$D, BJ$2), SUMIFS(NewEmisData!F:F, NewEmisData!$A:$A, "LDV", NewEmisData!$B:$B, $A38, NewEmisData!$C:$C, $H38, NewEmisData!$D:$D, BJ$2))</f>
        <v>3.8479800836345999</v>
      </c>
      <c r="BK38" s="324">
        <f>$I38*IF($G38="Pickup", SUMIFS(NewEmisData!G:G, NewEmisData!$A:$A, "Pickup", NewEmisData!$B:$B, $A38, NewEmisData!$C:$C, $H38, NewEmisData!$D:$D, BK$2), SUMIFS(NewEmisData!G:G, NewEmisData!$A:$A, "LDV", NewEmisData!$B:$B, $A38, NewEmisData!$C:$C, $H38, NewEmisData!$D:$D, BK$2))</f>
        <v>2.9970734916117499</v>
      </c>
      <c r="BL38" s="324">
        <f>$I38*IF($G38="Pickup", SUMIFS(NewEmisData!H:H, NewEmisData!$A:$A, "Pickup", NewEmisData!$B:$B, $A38, NewEmisData!$C:$C, $H38, NewEmisData!$D:$D, BL$2), SUMIFS(NewEmisData!H:H, NewEmisData!$A:$A, "LDV", NewEmisData!$B:$B, $A38, NewEmisData!$C:$C, $H38, NewEmisData!$D:$D, BL$2))</f>
        <v>2.36472323758924</v>
      </c>
      <c r="BM38" s="324">
        <f>$I38*IF($G38="Pickup", SUMIFS(NewEmisData!I:I, NewEmisData!$A:$A, "Pickup", NewEmisData!$B:$B, $A38, NewEmisData!$C:$C, $H38, NewEmisData!$D:$D, BM$2), SUMIFS(NewEmisData!I:I, NewEmisData!$A:$A, "LDV", NewEmisData!$B:$B, $A38, NewEmisData!$C:$C, $H38, NewEmisData!$D:$D, BM$2))</f>
        <v>1.7421472431707099</v>
      </c>
      <c r="BN38" s="324">
        <f>$I38*IF($G38="Pickup", SUMIFS(NewEmisData!J:J, NewEmisData!$A:$A, "Pickup", NewEmisData!$B:$B, $A38, NewEmisData!$C:$C, $H38, NewEmisData!$D:$D, BN$2), SUMIFS(NewEmisData!J:J, NewEmisData!$A:$A, "LDV", NewEmisData!$B:$B, $A38, NewEmisData!$C:$C, $H38, NewEmisData!$D:$D, BN$2))</f>
        <v>1.3931539503279999</v>
      </c>
      <c r="BO38" s="324">
        <f>$I38*IF($G38="Pickup", SUMIFS(NewEmisData!K:K, NewEmisData!$A:$A, "Pickup", NewEmisData!$B:$B, $A38, NewEmisData!$C:$C, $H38, NewEmisData!$D:$D, BO$2), SUMIFS(NewEmisData!K:K, NewEmisData!$A:$A, "LDV", NewEmisData!$B:$B, $A38, NewEmisData!$C:$C, $H38, NewEmisData!$D:$D, BO$2))</f>
        <v>1.2342051269933401</v>
      </c>
      <c r="BP38" s="324">
        <f>$I38*IF($G38="Pickup", SUMIFS(NewEmisData!L:L, NewEmisData!$A:$A, "Pickup", NewEmisData!$B:$B, $A38, NewEmisData!$C:$C, $H38, NewEmisData!$D:$D, BP$2), SUMIFS(NewEmisData!L:L, NewEmisData!$A:$A, "LDV", NewEmisData!$B:$B, $A38, NewEmisData!$C:$C, $H38, NewEmisData!$D:$D, BP$2))</f>
        <v>1.18127069132138</v>
      </c>
      <c r="BQ38" s="324">
        <f>$I38*IF($G38="Pickup", SUMIFS(NewEmisData!M:M, NewEmisData!$A:$A, "Pickup", NewEmisData!$B:$B, $A38, NewEmisData!$C:$C, $H38, NewEmisData!$D:$D, BQ$2), SUMIFS(NewEmisData!M:M, NewEmisData!$A:$A, "LDV", NewEmisData!$B:$B, $A38, NewEmisData!$C:$C, $H38, NewEmisData!$D:$D, BQ$2))</f>
        <v>1.1484293714755001</v>
      </c>
      <c r="BR38" s="324">
        <f t="shared" si="10"/>
        <v>1.1484293714755001</v>
      </c>
      <c r="BS38" s="324">
        <f>$I38*IF($G38="Pickup", SUMIFS(NewEmisData!E:E, NewEmisData!$A:$A, "Pickup", NewEmisData!$B:$B, $A38, NewEmisData!$C:$C, $H38, NewEmisData!$D:$D, BS$2), SUMIFS(NewEmisData!E:E, NewEmisData!$A:$A, "LDV", NewEmisData!$B:$B, $A38, NewEmisData!$C:$C, $H38, NewEmisData!$D:$D, BS$2))</f>
        <v>0.76625314114096599</v>
      </c>
      <c r="BT38" s="324">
        <f>$I38*IF($G38="Pickup", SUMIFS(NewEmisData!F:F, NewEmisData!$A:$A, "Pickup", NewEmisData!$B:$B, $A38, NewEmisData!$C:$C, $H38, NewEmisData!$D:$D, BT$2), SUMIFS(NewEmisData!F:F, NewEmisData!$A:$A, "LDV", NewEmisData!$B:$B, $A38, NewEmisData!$C:$C, $H38, NewEmisData!$D:$D, BT$2))</f>
        <v>0.42849019580384201</v>
      </c>
      <c r="BU38" s="324">
        <f>$I38*IF($G38="Pickup", SUMIFS(NewEmisData!G:G, NewEmisData!$A:$A, "Pickup", NewEmisData!$B:$B, $A38, NewEmisData!$C:$C, $H38, NewEmisData!$D:$D, BU$2), SUMIFS(NewEmisData!G:G, NewEmisData!$A:$A, "LDV", NewEmisData!$B:$B, $A38, NewEmisData!$C:$C, $H38, NewEmisData!$D:$D, BU$2))</f>
        <v>0.33923869580754101</v>
      </c>
      <c r="BV38" s="324">
        <f>$I38*IF($G38="Pickup", SUMIFS(NewEmisData!H:H, NewEmisData!$A:$A, "Pickup", NewEmisData!$B:$B, $A38, NewEmisData!$C:$C, $H38, NewEmisData!$D:$D, BV$2), SUMIFS(NewEmisData!H:H, NewEmisData!$A:$A, "LDV", NewEmisData!$B:$B, $A38, NewEmisData!$C:$C, $H38, NewEmisData!$D:$D, BV$2))</f>
        <v>0.274572609184357</v>
      </c>
      <c r="BW38" s="324">
        <f>$I38*IF($G38="Pickup", SUMIFS(NewEmisData!I:I, NewEmisData!$A:$A, "Pickup", NewEmisData!$B:$B, $A38, NewEmisData!$C:$C, $H38, NewEmisData!$D:$D, BW$2), SUMIFS(NewEmisData!I:I, NewEmisData!$A:$A, "LDV", NewEmisData!$B:$B, $A38, NewEmisData!$C:$C, $H38, NewEmisData!$D:$D, BW$2))</f>
        <v>0.20444446873760599</v>
      </c>
      <c r="BX38" s="324">
        <f>$I38*IF($G38="Pickup", SUMIFS(NewEmisData!J:J, NewEmisData!$A:$A, "Pickup", NewEmisData!$B:$B, $A38, NewEmisData!$C:$C, $H38, NewEmisData!$D:$D, BX$2), SUMIFS(NewEmisData!J:J, NewEmisData!$A:$A, "LDV", NewEmisData!$B:$B, $A38, NewEmisData!$C:$C, $H38, NewEmisData!$D:$D, BX$2))</f>
        <v>0.170176908378738</v>
      </c>
      <c r="BY38" s="324">
        <f>$I38*IF($G38="Pickup", SUMIFS(NewEmisData!K:K, NewEmisData!$A:$A, "Pickup", NewEmisData!$B:$B, $A38, NewEmisData!$C:$C, $H38, NewEmisData!$D:$D, BY$2), SUMIFS(NewEmisData!K:K, NewEmisData!$A:$A, "LDV", NewEmisData!$B:$B, $A38, NewEmisData!$C:$C, $H38, NewEmisData!$D:$D, BY$2))</f>
        <v>0.152045525981331</v>
      </c>
      <c r="BZ38" s="324">
        <f>$I38*IF($G38="Pickup", SUMIFS(NewEmisData!L:L, NewEmisData!$A:$A, "Pickup", NewEmisData!$B:$B, $A38, NewEmisData!$C:$C, $H38, NewEmisData!$D:$D, BZ$2), SUMIFS(NewEmisData!L:L, NewEmisData!$A:$A, "LDV", NewEmisData!$B:$B, $A38, NewEmisData!$C:$C, $H38, NewEmisData!$D:$D, BZ$2))</f>
        <v>0.14503696159912</v>
      </c>
      <c r="CA38" s="324">
        <f>$I38*IF($G38="Pickup", SUMIFS(NewEmisData!M:M, NewEmisData!$A:$A, "Pickup", NewEmisData!$B:$B, $A38, NewEmisData!$C:$C, $H38, NewEmisData!$D:$D, CA$2), SUMIFS(NewEmisData!M:M, NewEmisData!$A:$A, "LDV", NewEmisData!$B:$B, $A38, NewEmisData!$C:$C, $H38, NewEmisData!$D:$D, CA$2))</f>
        <v>0.139402683427791</v>
      </c>
      <c r="CB38" s="324">
        <f t="shared" si="11"/>
        <v>0.139402683427791</v>
      </c>
      <c r="CC38" s="324">
        <f>$I38*IF($G38="Pickup", SUMIFS(NewEmisData!E:E, NewEmisData!$A:$A, "Pickup", NewEmisData!$B:$B, $A38, NewEmisData!$C:$C, $H38, NewEmisData!$D:$D, CC$2), SUMIFS(NewEmisData!E:E, NewEmisData!$A:$A, "LDV", NewEmisData!$B:$B, $A38, NewEmisData!$C:$C, $H38, NewEmisData!$D:$D, CC$2))</f>
        <v>3.9065075142891502E-2</v>
      </c>
      <c r="CD38" s="324">
        <f>$I38*IF($G38="Pickup", SUMIFS(NewEmisData!F:F, NewEmisData!$A:$A, "Pickup", NewEmisData!$B:$B, $A38, NewEmisData!$C:$C, $H38, NewEmisData!$D:$D, CD$2), SUMIFS(NewEmisData!F:F, NewEmisData!$A:$A, "LDV", NewEmisData!$B:$B, $A38, NewEmisData!$C:$C, $H38, NewEmisData!$D:$D, CD$2))</f>
        <v>2.71884075109541E-2</v>
      </c>
      <c r="CE38" s="324">
        <f>$I38*IF($G38="Pickup", SUMIFS(NewEmisData!G:G, NewEmisData!$A:$A, "Pickup", NewEmisData!$B:$B, $A38, NewEmisData!$C:$C, $H38, NewEmisData!$D:$D, CE$2), SUMIFS(NewEmisData!G:G, NewEmisData!$A:$A, "LDV", NewEmisData!$B:$B, $A38, NewEmisData!$C:$C, $H38, NewEmisData!$D:$D, CE$2))</f>
        <v>2.35915905182916E-2</v>
      </c>
      <c r="CF38" s="324">
        <f>$I38*IF($G38="Pickup", SUMIFS(NewEmisData!H:H, NewEmisData!$A:$A, "Pickup", NewEmisData!$B:$B, $A38, NewEmisData!$C:$C, $H38, NewEmisData!$D:$D, CF$2), SUMIFS(NewEmisData!H:H, NewEmisData!$A:$A, "LDV", NewEmisData!$B:$B, $A38, NewEmisData!$C:$C, $H38, NewEmisData!$D:$D, CF$2))</f>
        <v>2.2519914122574401E-2</v>
      </c>
      <c r="CG38" s="324">
        <f>$I38*IF($G38="Pickup", SUMIFS(NewEmisData!I:I, NewEmisData!$A:$A, "Pickup", NewEmisData!$B:$B, $A38, NewEmisData!$C:$C, $H38, NewEmisData!$D:$D, CG$2), SUMIFS(NewEmisData!I:I, NewEmisData!$A:$A, "LDV", NewEmisData!$B:$B, $A38, NewEmisData!$C:$C, $H38, NewEmisData!$D:$D, CG$2))</f>
        <v>2.1807779866682201E-2</v>
      </c>
      <c r="CH38" s="324">
        <f>$I38*IF($G38="Pickup", SUMIFS(NewEmisData!J:J, NewEmisData!$A:$A, "Pickup", NewEmisData!$B:$B, $A38, NewEmisData!$C:$C, $H38, NewEmisData!$D:$D, CH$2), SUMIFS(NewEmisData!J:J, NewEmisData!$A:$A, "LDV", NewEmisData!$B:$B, $A38, NewEmisData!$C:$C, $H38, NewEmisData!$D:$D, CH$2))</f>
        <v>2.1246517083751901E-2</v>
      </c>
      <c r="CI38" s="324">
        <f>$I38*IF($G38="Pickup", SUMIFS(NewEmisData!K:K, NewEmisData!$A:$A, "Pickup", NewEmisData!$B:$B, $A38, NewEmisData!$C:$C, $H38, NewEmisData!$D:$D, CI$2), SUMIFS(NewEmisData!K:K, NewEmisData!$A:$A, "LDV", NewEmisData!$B:$B, $A38, NewEmisData!$C:$C, $H38, NewEmisData!$D:$D, CI$2))</f>
        <v>2.1244746441372499E-2</v>
      </c>
      <c r="CJ38" s="324">
        <f>$I38*IF($G38="Pickup", SUMIFS(NewEmisData!L:L, NewEmisData!$A:$A, "Pickup", NewEmisData!$B:$B, $A38, NewEmisData!$C:$C, $H38, NewEmisData!$D:$D, CJ$2), SUMIFS(NewEmisData!L:L, NewEmisData!$A:$A, "LDV", NewEmisData!$B:$B, $A38, NewEmisData!$C:$C, $H38, NewEmisData!$D:$D, CJ$2))</f>
        <v>2.1244238664552498E-2</v>
      </c>
      <c r="CK38" s="324">
        <f>$I38*IF($G38="Pickup", SUMIFS(NewEmisData!M:M, NewEmisData!$A:$A, "Pickup", NewEmisData!$B:$B, $A38, NewEmisData!$C:$C, $H38, NewEmisData!$D:$D, CK$2), SUMIFS(NewEmisData!M:M, NewEmisData!$A:$A, "LDV", NewEmisData!$B:$B, $A38, NewEmisData!$C:$C, $H38, NewEmisData!$D:$D, CK$2))</f>
        <v>2.1243800212783201E-2</v>
      </c>
      <c r="CL38" s="324">
        <f t="shared" si="12"/>
        <v>2.1243800212783201E-2</v>
      </c>
      <c r="CM38" s="324">
        <f>$I38*IF($G38="Pickup", SUMIFS(NewEmisData!E:E, NewEmisData!$A:$A, "Pickup", NewEmisData!$B:$B, $A38, NewEmisData!$C:$C, $H38, NewEmisData!$D:$D, CM$2), SUMIFS(NewEmisData!E:E, NewEmisData!$A:$A, "LDV", NewEmisData!$B:$B, $A38, NewEmisData!$C:$C, $H38, NewEmisData!$D:$D, CM$2))</f>
        <v>2.3400482606005499E-2</v>
      </c>
      <c r="CN38" s="324">
        <f>$I38*IF($G38="Pickup", SUMIFS(NewEmisData!F:F, NewEmisData!$A:$A, "Pickup", NewEmisData!$B:$B, $A38, NewEmisData!$C:$C, $H38, NewEmisData!$D:$D, CN$2), SUMIFS(NewEmisData!F:F, NewEmisData!$A:$A, "LDV", NewEmisData!$B:$B, $A38, NewEmisData!$C:$C, $H38, NewEmisData!$D:$D, CN$2))</f>
        <v>1.46264020139097E-2</v>
      </c>
      <c r="CO38" s="324">
        <f>$I38*IF($G38="Pickup", SUMIFS(NewEmisData!G:G, NewEmisData!$A:$A, "Pickup", NewEmisData!$B:$B, $A38, NewEmisData!$C:$C, $H38, NewEmisData!$D:$D, CO$2), SUMIFS(NewEmisData!G:G, NewEmisData!$A:$A, "LDV", NewEmisData!$B:$B, $A38, NewEmisData!$C:$C, $H38, NewEmisData!$D:$D, CO$2))</f>
        <v>1.17594755724597E-2</v>
      </c>
      <c r="CP38" s="324">
        <f>$I38*IF($G38="Pickup", SUMIFS(NewEmisData!H:H, NewEmisData!$A:$A, "Pickup", NewEmisData!$B:$B, $A38, NewEmisData!$C:$C, $H38, NewEmisData!$D:$D, CP$2), SUMIFS(NewEmisData!H:H, NewEmisData!$A:$A, "LDV", NewEmisData!$B:$B, $A38, NewEmisData!$C:$C, $H38, NewEmisData!$D:$D, CP$2))</f>
        <v>9.5913131178771704E-3</v>
      </c>
      <c r="CQ38" s="324">
        <f>$I38*IF($G38="Pickup", SUMIFS(NewEmisData!I:I, NewEmisData!$A:$A, "Pickup", NewEmisData!$B:$B, $A38, NewEmisData!$C:$C, $H38, NewEmisData!$D:$D, CQ$2), SUMIFS(NewEmisData!I:I, NewEmisData!$A:$A, "LDV", NewEmisData!$B:$B, $A38, NewEmisData!$C:$C, $H38, NewEmisData!$D:$D, CQ$2))</f>
        <v>8.49787062067325E-3</v>
      </c>
      <c r="CR38" s="324">
        <f>$I38*IF($G38="Pickup", SUMIFS(NewEmisData!J:J, NewEmisData!$A:$A, "Pickup", NewEmisData!$B:$B, $A38, NewEmisData!$C:$C, $H38, NewEmisData!$D:$D, CR$2), SUMIFS(NewEmisData!J:J, NewEmisData!$A:$A, "LDV", NewEmisData!$B:$B, $A38, NewEmisData!$C:$C, $H38, NewEmisData!$D:$D, CR$2))</f>
        <v>8.0109865110152001E-3</v>
      </c>
      <c r="CS38" s="324">
        <f>$I38*IF($G38="Pickup", SUMIFS(NewEmisData!K:K, NewEmisData!$A:$A, "Pickup", NewEmisData!$B:$B, $A38, NewEmisData!$C:$C, $H38, NewEmisData!$D:$D, CS$2), SUMIFS(NewEmisData!K:K, NewEmisData!$A:$A, "LDV", NewEmisData!$B:$B, $A38, NewEmisData!$C:$C, $H38, NewEmisData!$D:$D, CS$2))</f>
        <v>7.9536784391849198E-3</v>
      </c>
      <c r="CT38" s="324">
        <f>$I38*IF($G38="Pickup", SUMIFS(NewEmisData!L:L, NewEmisData!$A:$A, "Pickup", NewEmisData!$B:$B, $A38, NewEmisData!$C:$C, $H38, NewEmisData!$D:$D, CT$2), SUMIFS(NewEmisData!L:L, NewEmisData!$A:$A, "LDV", NewEmisData!$B:$B, $A38, NewEmisData!$C:$C, $H38, NewEmisData!$D:$D, CT$2))</f>
        <v>7.8603296078806496E-3</v>
      </c>
      <c r="CU38" s="324">
        <f>$I38*IF($G38="Pickup", SUMIFS(NewEmisData!M:M, NewEmisData!$A:$A, "Pickup", NewEmisData!$B:$B, $A38, NewEmisData!$C:$C, $H38, NewEmisData!$D:$D, CU$2), SUMIFS(NewEmisData!M:M, NewEmisData!$A:$A, "LDV", NewEmisData!$B:$B, $A38, NewEmisData!$C:$C, $H38, NewEmisData!$D:$D, CU$2))</f>
        <v>7.8597717488691193E-3</v>
      </c>
      <c r="CV38" s="324">
        <f t="shared" si="13"/>
        <v>7.8597717488691193E-3</v>
      </c>
      <c r="CW38" s="324">
        <v>4.0498104655261064E-3</v>
      </c>
      <c r="CX38" s="324">
        <v>2.5030350838759993E-3</v>
      </c>
      <c r="CY38" s="324">
        <v>2.1151214403419519E-3</v>
      </c>
      <c r="CZ38" s="324">
        <v>1.7489979687569375E-3</v>
      </c>
      <c r="DA38" s="324">
        <v>1.340486996695321E-3</v>
      </c>
      <c r="DB38" s="324">
        <v>1.0553769116342638E-3</v>
      </c>
      <c r="DC38" s="324">
        <v>1.0132227560056145E-3</v>
      </c>
      <c r="DD38" s="324">
        <v>1.0003159541004489E-3</v>
      </c>
      <c r="DE38" s="324">
        <v>9.9860782000699166E-4</v>
      </c>
      <c r="DF38" s="324">
        <v>9.9860782000699166E-4</v>
      </c>
      <c r="DG38" s="324">
        <f>$I38*IF($G38="Pickup", SUMIFS(NewEmisData!E:E, NewEmisData!$A:$A, "Pickup", NewEmisData!$B:$B, $A38, NewEmisData!$C:$C, $H38, NewEmisData!$D:$D, DG$2), SUMIFS(NewEmisData!E:E, NewEmisData!$A:$A, "LDV", NewEmisData!$B:$B, $A38, NewEmisData!$C:$C, $H38, NewEmisData!$D:$D, DG$2))</f>
        <v>0</v>
      </c>
      <c r="DH38" s="324">
        <f>$I38*IF($G38="Pickup", SUMIFS(NewEmisData!F:F, NewEmisData!$A:$A, "Pickup", NewEmisData!$B:$B, $A38, NewEmisData!$C:$C, $H38, NewEmisData!$D:$D, DH$2), SUMIFS(NewEmisData!F:F, NewEmisData!$A:$A, "LDV", NewEmisData!$B:$B, $A38, NewEmisData!$C:$C, $H38, NewEmisData!$D:$D, DH$2))</f>
        <v>0</v>
      </c>
      <c r="DI38" s="324">
        <f>$I38*IF($G38="Pickup", SUMIFS(NewEmisData!G:G, NewEmisData!$A:$A, "Pickup", NewEmisData!$B:$B, $A38, NewEmisData!$C:$C, $H38, NewEmisData!$D:$D, DI$2), SUMIFS(NewEmisData!G:G, NewEmisData!$A:$A, "LDV", NewEmisData!$B:$B, $A38, NewEmisData!$C:$C, $H38, NewEmisData!$D:$D, DI$2))</f>
        <v>0</v>
      </c>
      <c r="DJ38" s="324">
        <f>$I38*IF($G38="Pickup", SUMIFS(NewEmisData!H:H, NewEmisData!$A:$A, "Pickup", NewEmisData!$B:$B, $A38, NewEmisData!$C:$C, $H38, NewEmisData!$D:$D, DJ$2), SUMIFS(NewEmisData!H:H, NewEmisData!$A:$A, "LDV", NewEmisData!$B:$B, $A38, NewEmisData!$C:$C, $H38, NewEmisData!$D:$D, DJ$2))</f>
        <v>0</v>
      </c>
      <c r="DK38" s="324">
        <f>$I38*IF($G38="Pickup", SUMIFS(NewEmisData!I:I, NewEmisData!$A:$A, "Pickup", NewEmisData!$B:$B, $A38, NewEmisData!$C:$C, $H38, NewEmisData!$D:$D, DK$2), SUMIFS(NewEmisData!I:I, NewEmisData!$A:$A, "LDV", NewEmisData!$B:$B, $A38, NewEmisData!$C:$C, $H38, NewEmisData!$D:$D, DK$2))</f>
        <v>0</v>
      </c>
      <c r="DL38" s="324">
        <f>$I38*IF($G38="Pickup", SUMIFS(NewEmisData!J:J, NewEmisData!$A:$A, "Pickup", NewEmisData!$B:$B, $A38, NewEmisData!$C:$C, $H38, NewEmisData!$D:$D, DL$2), SUMIFS(NewEmisData!J:J, NewEmisData!$A:$A, "LDV", NewEmisData!$B:$B, $A38, NewEmisData!$C:$C, $H38, NewEmisData!$D:$D, DL$2))</f>
        <v>0</v>
      </c>
      <c r="DM38" s="324">
        <f>$I38*IF($G38="Pickup", SUMIFS(NewEmisData!K:K, NewEmisData!$A:$A, "Pickup", NewEmisData!$B:$B, $A38, NewEmisData!$C:$C, $H38, NewEmisData!$D:$D, DM$2), SUMIFS(NewEmisData!K:K, NewEmisData!$A:$A, "LDV", NewEmisData!$B:$B, $A38, NewEmisData!$C:$C, $H38, NewEmisData!$D:$D, DM$2))</f>
        <v>0</v>
      </c>
      <c r="DN38" s="324">
        <f>$I38*IF($G38="Pickup", SUMIFS(NewEmisData!L:L, NewEmisData!$A:$A, "Pickup", NewEmisData!$B:$B, $A38, NewEmisData!$C:$C, $H38, NewEmisData!$D:$D, DN$2), SUMIFS(NewEmisData!L:L, NewEmisData!$A:$A, "LDV", NewEmisData!$B:$B, $A38, NewEmisData!$C:$C, $H38, NewEmisData!$D:$D, DN$2))</f>
        <v>0</v>
      </c>
      <c r="DO38" s="324">
        <f>$I38*IF($G38="Pickup", SUMIFS(NewEmisData!M:M, NewEmisData!$A:$A, "Pickup", NewEmisData!$B:$B, $A38, NewEmisData!$C:$C, $H38, NewEmisData!$D:$D, DO$2), SUMIFS(NewEmisData!M:M, NewEmisData!$A:$A, "LDV", NewEmisData!$B:$B, $A38, NewEmisData!$C:$C, $H38, NewEmisData!$D:$D, DO$2))</f>
        <v>0</v>
      </c>
      <c r="DP38" s="324">
        <f t="shared" si="14"/>
        <v>0</v>
      </c>
      <c r="DQ38" s="324">
        <f>$I38*IF($G38="Pickup", SUMIFS(NewEmisData!E:E, NewEmisData!$A:$A, "Pickup", NewEmisData!$B:$B, $A38, NewEmisData!$C:$C, $H38, NewEmisData!$D:$D, DQ$2), SUMIFS(NewEmisData!E:E, NewEmisData!$A:$A, "LDV", NewEmisData!$B:$B, $A38, NewEmisData!$C:$C, $H38, NewEmisData!$D:$D, DQ$2))</f>
        <v>1.5358627671248499E-2</v>
      </c>
      <c r="DR38" s="324">
        <f>$I38*IF($G38="Pickup", SUMIFS(NewEmisData!F:F, NewEmisData!$A:$A, "Pickup", NewEmisData!$B:$B, $A38, NewEmisData!$C:$C, $H38, NewEmisData!$D:$D, DR$2), SUMIFS(NewEmisData!F:F, NewEmisData!$A:$A, "LDV", NewEmisData!$B:$B, $A38, NewEmisData!$C:$C, $H38, NewEmisData!$D:$D, DR$2))</f>
        <v>9.2701502330196205E-3</v>
      </c>
      <c r="DS38" s="324">
        <f>$I38*IF($G38="Pickup", SUMIFS(NewEmisData!G:G, NewEmisData!$A:$A, "Pickup", NewEmisData!$B:$B, $A38, NewEmisData!$C:$C, $H38, NewEmisData!$D:$D, DS$2), SUMIFS(NewEmisData!G:G, NewEmisData!$A:$A, "LDV", NewEmisData!$B:$B, $A38, NewEmisData!$C:$C, $H38, NewEmisData!$D:$D, DS$2))</f>
        <v>7.3800443468092902E-3</v>
      </c>
      <c r="DT38" s="324">
        <f>$I38*IF($G38="Pickup", SUMIFS(NewEmisData!H:H, NewEmisData!$A:$A, "Pickup", NewEmisData!$B:$B, $A38, NewEmisData!$C:$C, $H38, NewEmisData!$D:$D, DT$2), SUMIFS(NewEmisData!H:H, NewEmisData!$A:$A, "LDV", NewEmisData!$B:$B, $A38, NewEmisData!$C:$C, $H38, NewEmisData!$D:$D, DT$2))</f>
        <v>5.7500359883598503E-3</v>
      </c>
      <c r="DU38" s="324">
        <f>$I38*IF($G38="Pickup", SUMIFS(NewEmisData!I:I, NewEmisData!$A:$A, "Pickup", NewEmisData!$B:$B, $A38, NewEmisData!$C:$C, $H38, NewEmisData!$D:$D, DU$2), SUMIFS(NewEmisData!I:I, NewEmisData!$A:$A, "LDV", NewEmisData!$B:$B, $A38, NewEmisData!$C:$C, $H38, NewEmisData!$D:$D, DU$2))</f>
        <v>4.5486358185720301E-3</v>
      </c>
      <c r="DV38" s="324">
        <f>$I38*IF($G38="Pickup", SUMIFS(NewEmisData!J:J, NewEmisData!$A:$A, "Pickup", NewEmisData!$B:$B, $A38, NewEmisData!$C:$C, $H38, NewEmisData!$D:$D, DV$2), SUMIFS(NewEmisData!J:J, NewEmisData!$A:$A, "LDV", NewEmisData!$B:$B, $A38, NewEmisData!$C:$C, $H38, NewEmisData!$D:$D, DV$2))</f>
        <v>3.9745008012961004E-3</v>
      </c>
      <c r="DW38" s="324">
        <f>$I38*IF($G38="Pickup", SUMIFS(NewEmisData!K:K, NewEmisData!$A:$A, "Pickup", NewEmisData!$B:$B, $A38, NewEmisData!$C:$C, $H38, NewEmisData!$D:$D, DW$2), SUMIFS(NewEmisData!K:K, NewEmisData!$A:$A, "LDV", NewEmisData!$B:$B, $A38, NewEmisData!$C:$C, $H38, NewEmisData!$D:$D, DW$2))</f>
        <v>3.6505775807205302E-3</v>
      </c>
      <c r="DX38" s="324">
        <f>$I38*IF($G38="Pickup", SUMIFS(NewEmisData!L:L, NewEmisData!$A:$A, "Pickup", NewEmisData!$B:$B, $A38, NewEmisData!$C:$C, $H38, NewEmisData!$D:$D, DX$2), SUMIFS(NewEmisData!L:L, NewEmisData!$A:$A, "LDV", NewEmisData!$B:$B, $A38, NewEmisData!$C:$C, $H38, NewEmisData!$D:$D, DX$2))</f>
        <v>3.5463484367939599E-3</v>
      </c>
      <c r="DY38" s="324">
        <f>$I38*IF($G38="Pickup", SUMIFS(NewEmisData!M:M, NewEmisData!$A:$A, "Pickup", NewEmisData!$B:$B, $A38, NewEmisData!$C:$C, $H38, NewEmisData!$D:$D, DY$2), SUMIFS(NewEmisData!M:M, NewEmisData!$A:$A, "LDV", NewEmisData!$B:$B, $A38, NewEmisData!$C:$C, $H38, NewEmisData!$D:$D, DY$2))</f>
        <v>3.4918759359810199E-3</v>
      </c>
      <c r="DZ38" s="324">
        <f t="shared" si="15"/>
        <v>3.4918759359810199E-3</v>
      </c>
      <c r="EA38" s="324">
        <f t="shared" si="16"/>
        <v>474.817101058422</v>
      </c>
      <c r="EB38" s="324">
        <f t="shared" si="17"/>
        <v>451.24703471572099</v>
      </c>
      <c r="EC38" s="324">
        <f t="shared" si="18"/>
        <v>359.55406391675598</v>
      </c>
      <c r="ED38" s="324">
        <f t="shared" si="19"/>
        <v>306.68867751853497</v>
      </c>
      <c r="EE38" s="324">
        <f t="shared" si="20"/>
        <v>266.05693149041099</v>
      </c>
      <c r="EF38" s="324">
        <f t="shared" si="21"/>
        <v>243.087176828883</v>
      </c>
      <c r="EG38" s="324">
        <f t="shared" si="22"/>
        <v>232.82718030870799</v>
      </c>
      <c r="EH38" s="324">
        <f t="shared" si="23"/>
        <v>229.167353178653</v>
      </c>
      <c r="EI38" s="324">
        <f t="shared" si="24"/>
        <v>227.80956840287899</v>
      </c>
      <c r="EJ38" s="324">
        <f t="shared" si="25"/>
        <v>227.80956840287899</v>
      </c>
      <c r="EK38" s="324">
        <f t="shared" si="26"/>
        <v>0.70973077210402302</v>
      </c>
      <c r="EL38" s="324">
        <f t="shared" si="27"/>
        <v>0.32036907792622199</v>
      </c>
      <c r="EM38" s="324">
        <f t="shared" si="28"/>
        <v>0.23974719966536701</v>
      </c>
      <c r="EN38" s="324">
        <f t="shared" si="29"/>
        <v>0.160612501035788</v>
      </c>
      <c r="EO38" s="324">
        <f t="shared" si="30"/>
        <v>0.10365613117262901</v>
      </c>
      <c r="EP38" s="324">
        <f t="shared" si="31"/>
        <v>7.8799994555065797E-2</v>
      </c>
      <c r="EQ38" s="324">
        <f t="shared" si="32"/>
        <v>6.8646939612850705E-2</v>
      </c>
      <c r="ER38" s="324">
        <f t="shared" si="33"/>
        <v>6.5824398729591893E-2</v>
      </c>
      <c r="ES38" s="324">
        <f t="shared" si="34"/>
        <v>6.4340803704991095E-2</v>
      </c>
      <c r="ET38" s="324">
        <f t="shared" si="35"/>
        <v>6.4340803704991095E-2</v>
      </c>
      <c r="EU38" s="324">
        <f t="shared" si="36"/>
        <v>8.2160020457903906E-3</v>
      </c>
      <c r="EV38" s="324">
        <f t="shared" si="37"/>
        <v>7.80815598787189E-3</v>
      </c>
      <c r="EW38" s="324">
        <f t="shared" si="38"/>
        <v>5.1579884513251097E-3</v>
      </c>
      <c r="EX38" s="324">
        <f t="shared" si="39"/>
        <v>4.3996084263759998E-3</v>
      </c>
      <c r="EY38" s="324">
        <f t="shared" si="40"/>
        <v>3.81672539575274E-3</v>
      </c>
      <c r="EZ38" s="324">
        <f t="shared" si="41"/>
        <v>3.4872096414849999E-3</v>
      </c>
      <c r="FA38" s="324">
        <f t="shared" si="42"/>
        <v>3.3400286224750798E-3</v>
      </c>
      <c r="FB38" s="324">
        <f t="shared" si="43"/>
        <v>3.2875233288682799E-3</v>
      </c>
      <c r="FC38" s="324">
        <f t="shared" si="44"/>
        <v>3.2680461258744399E-3</v>
      </c>
      <c r="FD38" s="324">
        <f t="shared" si="45"/>
        <v>3.2680461258744399E-3</v>
      </c>
      <c r="FE38" s="324">
        <f t="shared" si="46"/>
        <v>7.6637268565666605E-2</v>
      </c>
      <c r="FF38" s="324">
        <f t="shared" si="47"/>
        <v>7.17220347655846E-2</v>
      </c>
      <c r="FG38" s="324">
        <f t="shared" si="48"/>
        <v>5.3063354209187903E-2</v>
      </c>
      <c r="FH38" s="324">
        <f t="shared" si="49"/>
        <v>5.1413159178765599E-2</v>
      </c>
      <c r="FI38" s="324">
        <f t="shared" si="50"/>
        <v>4.9937748877796798E-2</v>
      </c>
      <c r="FJ38" s="324">
        <f t="shared" si="51"/>
        <v>4.8737436898882699E-2</v>
      </c>
      <c r="FK38" s="324">
        <f t="shared" si="52"/>
        <v>4.7984590527250397E-2</v>
      </c>
      <c r="FL38" s="324">
        <f t="shared" si="53"/>
        <v>4.76005320802948E-2</v>
      </c>
      <c r="FM38" s="324">
        <f t="shared" si="54"/>
        <v>4.7377866603412998E-2</v>
      </c>
      <c r="FN38" s="324">
        <f t="shared" si="55"/>
        <v>4.7377866603412998E-2</v>
      </c>
      <c r="FO38" s="324">
        <f t="shared" si="56"/>
        <v>1.9839679684136899E-2</v>
      </c>
      <c r="FP38" s="324">
        <f t="shared" si="57"/>
        <v>1.54915322396613E-2</v>
      </c>
      <c r="FQ38" s="324">
        <f t="shared" si="58"/>
        <v>1.24856485125612E-2</v>
      </c>
      <c r="FR38" s="324">
        <f t="shared" si="59"/>
        <v>1.10258430769824E-2</v>
      </c>
      <c r="FS38" s="324">
        <f t="shared" si="60"/>
        <v>9.7206839249302599E-3</v>
      </c>
      <c r="FT38" s="324">
        <f t="shared" si="61"/>
        <v>8.6588886279032502E-3</v>
      </c>
      <c r="FU38" s="324">
        <f t="shared" si="62"/>
        <v>7.9928948991222996E-3</v>
      </c>
      <c r="FV38" s="324">
        <f t="shared" si="63"/>
        <v>7.65317007618625E-3</v>
      </c>
      <c r="FW38" s="324">
        <f t="shared" si="64"/>
        <v>7.4561632981935697E-3</v>
      </c>
      <c r="FX38" s="324">
        <f t="shared" si="65"/>
        <v>7.4561632981935697E-3</v>
      </c>
    </row>
    <row r="39" spans="1:180" x14ac:dyDescent="0.2">
      <c r="A39" s="298" t="str">
        <f>_xlfn.CONCAT(IF(LEFT(TRIM(A38),1)="*", "*R", "R"), 1+RIGHT(TRIM(A38),1))</f>
        <v>R6</v>
      </c>
      <c r="B39" s="298" t="str">
        <f t="shared" si="91"/>
        <v>TLELSGSL</v>
      </c>
      <c r="C39" s="298" t="str">
        <f t="shared" si="92"/>
        <v>TL.GSL.LS.Existing fleet</v>
      </c>
      <c r="D39" s="294" t="str">
        <f t="shared" si="93"/>
        <v>bn-vmt, bn-vmt/a</v>
      </c>
      <c r="E39" s="294" t="str">
        <f t="shared" si="94"/>
        <v>TLGSL</v>
      </c>
      <c r="F39" s="294" t="str">
        <f t="shared" si="95"/>
        <v>TL</v>
      </c>
      <c r="G39" s="294" t="s">
        <v>327</v>
      </c>
      <c r="H39" s="294" t="s">
        <v>474</v>
      </c>
      <c r="I39" s="294">
        <v>1</v>
      </c>
      <c r="J39" s="308" t="str">
        <f t="shared" si="2"/>
        <v>Large SUV-GSL</v>
      </c>
      <c r="K39" s="324">
        <f>$I39*IF($G39="Pickup", SUMIFS(NewEmisData!E:E, NewEmisData!$A:$A, "Pickup", NewEmisData!$B:$B, $A39, NewEmisData!$C:$C, $H39, NewEmisData!$D:$D, K$2), SUMIFS(NewEmisData!E:E, NewEmisData!$A:$A, "LDV", NewEmisData!$B:$B, $A39, NewEmisData!$C:$C, $H39, NewEmisData!$D:$D, K$2))</f>
        <v>465.43339574540698</v>
      </c>
      <c r="L39" s="324">
        <f>$I39*IF($G39="Pickup", SUMIFS(NewEmisData!F:F, NewEmisData!$A:$A, "Pickup", NewEmisData!$B:$B, $A39, NewEmisData!$C:$C, $H39, NewEmisData!$D:$D, L$2), SUMIFS(NewEmisData!F:F, NewEmisData!$A:$A, "LDV", NewEmisData!$B:$B, $A39, NewEmisData!$C:$C, $H39, NewEmisData!$D:$D, L$2))</f>
        <v>447.45086858043499</v>
      </c>
      <c r="M39" s="324">
        <f>$I39*IF($G39="Pickup", SUMIFS(NewEmisData!G:G, NewEmisData!$A:$A, "Pickup", NewEmisData!$B:$B, $A39, NewEmisData!$C:$C, $H39, NewEmisData!$D:$D, M$2), SUMIFS(NewEmisData!G:G, NewEmisData!$A:$A, "LDV", NewEmisData!$B:$B, $A39, NewEmisData!$C:$C, $H39, NewEmisData!$D:$D, M$2))</f>
        <v>371.68579631799702</v>
      </c>
      <c r="N39" s="324">
        <f>$I39*IF($G39="Pickup", SUMIFS(NewEmisData!H:H, NewEmisData!$A:$A, "Pickup", NewEmisData!$B:$B, $A39, NewEmisData!$C:$C, $H39, NewEmisData!$D:$D, N$2), SUMIFS(NewEmisData!H:H, NewEmisData!$A:$A, "LDV", NewEmisData!$B:$B, $A39, NewEmisData!$C:$C, $H39, NewEmisData!$D:$D, N$2))</f>
        <v>316.68783468886801</v>
      </c>
      <c r="O39" s="324">
        <f>$I39*IF($G39="Pickup", SUMIFS(NewEmisData!I:I, NewEmisData!$A:$A, "Pickup", NewEmisData!$B:$B, $A39, NewEmisData!$C:$C, $H39, NewEmisData!$D:$D, O$2), SUMIFS(NewEmisData!I:I, NewEmisData!$A:$A, "LDV", NewEmisData!$B:$B, $A39, NewEmisData!$C:$C, $H39, NewEmisData!$D:$D, O$2))</f>
        <v>274.45359564691302</v>
      </c>
      <c r="P39" s="324">
        <f>$I39*IF($G39="Pickup", SUMIFS(NewEmisData!J:J, NewEmisData!$A:$A, "Pickup", NewEmisData!$B:$B, $A39, NewEmisData!$C:$C, $H39, NewEmisData!$D:$D, P$2), SUMIFS(NewEmisData!J:J, NewEmisData!$A:$A, "LDV", NewEmisData!$B:$B, $A39, NewEmisData!$C:$C, $H39, NewEmisData!$D:$D, P$2))</f>
        <v>250.610452801164</v>
      </c>
      <c r="Q39" s="324">
        <f>$I39*IF($G39="Pickup", SUMIFS(NewEmisData!K:K, NewEmisData!$A:$A, "Pickup", NewEmisData!$B:$B, $A39, NewEmisData!$C:$C, $H39, NewEmisData!$D:$D, Q$2), SUMIFS(NewEmisData!K:K, NewEmisData!$A:$A, "LDV", NewEmisData!$B:$B, $A39, NewEmisData!$C:$C, $H39, NewEmisData!$D:$D, Q$2))</f>
        <v>239.96929474207201</v>
      </c>
      <c r="R39" s="324">
        <f>$I39*IF($G39="Pickup", SUMIFS(NewEmisData!L:L, NewEmisData!$A:$A, "Pickup", NewEmisData!$B:$B, $A39, NewEmisData!$C:$C, $H39, NewEmisData!$D:$D, R$2), SUMIFS(NewEmisData!L:L, NewEmisData!$A:$A, "LDV", NewEmisData!$B:$B, $A39, NewEmisData!$C:$C, $H39, NewEmisData!$D:$D, R$2))</f>
        <v>236.17949059358199</v>
      </c>
      <c r="S39" s="324">
        <f>$I39*IF($G39="Pickup", SUMIFS(NewEmisData!M:M, NewEmisData!$A:$A, "Pickup", NewEmisData!$B:$B, $A39, NewEmisData!$C:$C, $H39, NewEmisData!$D:$D, S$2), SUMIFS(NewEmisData!M:M, NewEmisData!$A:$A, "LDV", NewEmisData!$B:$B, $A39, NewEmisData!$C:$C, $H39, NewEmisData!$D:$D, S$2))</f>
        <v>234.77621268414799</v>
      </c>
      <c r="T39" s="324">
        <f t="shared" si="5"/>
        <v>234.77621268414799</v>
      </c>
      <c r="U39" s="324">
        <f>$I39*IF($G39="Pickup", SUMIFS(NewEmisData!E:E, NewEmisData!$A:$A, "Pickup", NewEmisData!$B:$B, $A39, NewEmisData!$C:$C, $H39, NewEmisData!$D:$D, U$2), SUMIFS(NewEmisData!E:E, NewEmisData!$A:$A, "LDV", NewEmisData!$B:$B, $A39, NewEmisData!$C:$C, $H39, NewEmisData!$D:$D, U$2))</f>
        <v>0.76817370125590101</v>
      </c>
      <c r="V39" s="324">
        <f>$I39*IF($G39="Pickup", SUMIFS(NewEmisData!F:F, NewEmisData!$A:$A, "Pickup", NewEmisData!$B:$B, $A39, NewEmisData!$C:$C, $H39, NewEmisData!$D:$D, V$2), SUMIFS(NewEmisData!F:F, NewEmisData!$A:$A, "LDV", NewEmisData!$B:$B, $A39, NewEmisData!$C:$C, $H39, NewEmisData!$D:$D, V$2))</f>
        <v>0.34255400012381199</v>
      </c>
      <c r="W39" s="324">
        <f>$I39*IF($G39="Pickup", SUMIFS(NewEmisData!G:G, NewEmisData!$A:$A, "Pickup", NewEmisData!$B:$B, $A39, NewEmisData!$C:$C, $H39, NewEmisData!$D:$D, W$2), SUMIFS(NewEmisData!G:G, NewEmisData!$A:$A, "LDV", NewEmisData!$B:$B, $A39, NewEmisData!$C:$C, $H39, NewEmisData!$D:$D, W$2))</f>
        <v>0.22026197441968301</v>
      </c>
      <c r="X39" s="324">
        <f>$I39*IF($G39="Pickup", SUMIFS(NewEmisData!H:H, NewEmisData!$A:$A, "Pickup", NewEmisData!$B:$B, $A39, NewEmisData!$C:$C, $H39, NewEmisData!$D:$D, X$2), SUMIFS(NewEmisData!H:H, NewEmisData!$A:$A, "LDV", NewEmisData!$B:$B, $A39, NewEmisData!$C:$C, $H39, NewEmisData!$D:$D, X$2))</f>
        <v>0.146130223505477</v>
      </c>
      <c r="Y39" s="324">
        <f>$I39*IF($G39="Pickup", SUMIFS(NewEmisData!I:I, NewEmisData!$A:$A, "Pickup", NewEmisData!$B:$B, $A39, NewEmisData!$C:$C, $H39, NewEmisData!$D:$D, Y$2), SUMIFS(NewEmisData!I:I, NewEmisData!$A:$A, "LDV", NewEmisData!$B:$B, $A39, NewEmisData!$C:$C, $H39, NewEmisData!$D:$D, Y$2))</f>
        <v>9.25204446820201E-2</v>
      </c>
      <c r="Z39" s="324">
        <f>$I39*IF($G39="Pickup", SUMIFS(NewEmisData!J:J, NewEmisData!$A:$A, "Pickup", NewEmisData!$B:$B, $A39, NewEmisData!$C:$C, $H39, NewEmisData!$D:$D, Z$2), SUMIFS(NewEmisData!J:J, NewEmisData!$A:$A, "LDV", NewEmisData!$B:$B, $A39, NewEmisData!$C:$C, $H39, NewEmisData!$D:$D, Z$2))</f>
        <v>6.9646332093205393E-2</v>
      </c>
      <c r="AA39" s="324">
        <f>$I39*IF($G39="Pickup", SUMIFS(NewEmisData!K:K, NewEmisData!$A:$A, "Pickup", NewEmisData!$B:$B, $A39, NewEmisData!$C:$C, $H39, NewEmisData!$D:$D, AA$2), SUMIFS(NewEmisData!K:K, NewEmisData!$A:$A, "LDV", NewEmisData!$B:$B, $A39, NewEmisData!$C:$C, $H39, NewEmisData!$D:$D, AA$2))</f>
        <v>6.0285539426727999E-2</v>
      </c>
      <c r="AB39" s="324">
        <f>$I39*IF($G39="Pickup", SUMIFS(NewEmisData!L:L, NewEmisData!$A:$A, "Pickup", NewEmisData!$B:$B, $A39, NewEmisData!$C:$C, $H39, NewEmisData!$D:$D, AB$2), SUMIFS(NewEmisData!L:L, NewEmisData!$A:$A, "LDV", NewEmisData!$B:$B, $A39, NewEmisData!$C:$C, $H39, NewEmisData!$D:$D, AB$2))</f>
        <v>5.7685517085836899E-2</v>
      </c>
      <c r="AC39" s="324">
        <f>$I39*IF($G39="Pickup", SUMIFS(NewEmisData!M:M, NewEmisData!$A:$A, "Pickup", NewEmisData!$B:$B, $A39, NewEmisData!$C:$C, $H39, NewEmisData!$D:$D, AC$2), SUMIFS(NewEmisData!M:M, NewEmisData!$A:$A, "LDV", NewEmisData!$B:$B, $A39, NewEmisData!$C:$C, $H39, NewEmisData!$D:$D, AC$2))</f>
        <v>5.6336256806388998E-2</v>
      </c>
      <c r="AD39" s="324">
        <f t="shared" si="6"/>
        <v>5.6336256806388998E-2</v>
      </c>
      <c r="AE39" s="324">
        <f>$I39*IF($G39="Pickup", SUMIFS(NewEmisData!E:E, NewEmisData!$A:$A, "Pickup", NewEmisData!$B:$B, $A39, NewEmisData!$C:$C, $H39, NewEmisData!$D:$D, AE$2), SUMIFS(NewEmisData!E:E, NewEmisData!$A:$A, "LDV", NewEmisData!$B:$B, $A39, NewEmisData!$C:$C, $H39, NewEmisData!$D:$D, AE$2))</f>
        <v>8.0536316527093799E-3</v>
      </c>
      <c r="AF39" s="324">
        <f>$I39*IF($G39="Pickup", SUMIFS(NewEmisData!F:F, NewEmisData!$A:$A, "Pickup", NewEmisData!$B:$B, $A39, NewEmisData!$C:$C, $H39, NewEmisData!$D:$D, AF$2), SUMIFS(NewEmisData!F:F, NewEmisData!$A:$A, "LDV", NewEmisData!$B:$B, $A39, NewEmisData!$C:$C, $H39, NewEmisData!$D:$D, AF$2))</f>
        <v>7.7424694052717798E-3</v>
      </c>
      <c r="AG39" s="324">
        <f>$I39*IF($G39="Pickup", SUMIFS(NewEmisData!G:G, NewEmisData!$A:$A, "Pickup", NewEmisData!$B:$B, $A39, NewEmisData!$C:$C, $H39, NewEmisData!$D:$D, AG$2), SUMIFS(NewEmisData!G:G, NewEmisData!$A:$A, "LDV", NewEmisData!$B:$B, $A39, NewEmisData!$C:$C, $H39, NewEmisData!$D:$D, AG$2))</f>
        <v>5.3320257089092297E-3</v>
      </c>
      <c r="AH39" s="324">
        <f>$I39*IF($G39="Pickup", SUMIFS(NewEmisData!H:H, NewEmisData!$A:$A, "Pickup", NewEmisData!$B:$B, $A39, NewEmisData!$C:$C, $H39, NewEmisData!$D:$D, AH$2), SUMIFS(NewEmisData!H:H, NewEmisData!$A:$A, "LDV", NewEmisData!$B:$B, $A39, NewEmisData!$C:$C, $H39, NewEmisData!$D:$D, AH$2))</f>
        <v>4.5430510168157703E-3</v>
      </c>
      <c r="AI39" s="324">
        <f>$I39*IF($G39="Pickup", SUMIFS(NewEmisData!I:I, NewEmisData!$A:$A, "Pickup", NewEmisData!$B:$B, $A39, NewEmisData!$C:$C, $H39, NewEmisData!$D:$D, AI$2), SUMIFS(NewEmisData!I:I, NewEmisData!$A:$A, "LDV", NewEmisData!$B:$B, $A39, NewEmisData!$C:$C, $H39, NewEmisData!$D:$D, AI$2))</f>
        <v>3.9371785778053803E-3</v>
      </c>
      <c r="AJ39" s="324">
        <f>$I39*IF($G39="Pickup", SUMIFS(NewEmisData!J:J, NewEmisData!$A:$A, "Pickup", NewEmisData!$B:$B, $A39, NewEmisData!$C:$C, $H39, NewEmisData!$D:$D, AJ$2), SUMIFS(NewEmisData!J:J, NewEmisData!$A:$A, "LDV", NewEmisData!$B:$B, $A39, NewEmisData!$C:$C, $H39, NewEmisData!$D:$D, AJ$2))</f>
        <v>3.5951364530025401E-3</v>
      </c>
      <c r="AK39" s="324">
        <f>$I39*IF($G39="Pickup", SUMIFS(NewEmisData!K:K, NewEmisData!$A:$A, "Pickup", NewEmisData!$B:$B, $A39, NewEmisData!$C:$C, $H39, NewEmisData!$D:$D, AK$2), SUMIFS(NewEmisData!K:K, NewEmisData!$A:$A, "LDV", NewEmisData!$B:$B, $A39, NewEmisData!$C:$C, $H39, NewEmisData!$D:$D, AK$2))</f>
        <v>3.4424852382502098E-3</v>
      </c>
      <c r="AL39" s="324">
        <f>$I39*IF($G39="Pickup", SUMIFS(NewEmisData!L:L, NewEmisData!$A:$A, "Pickup", NewEmisData!$B:$B, $A39, NewEmisData!$C:$C, $H39, NewEmisData!$D:$D, AL$2), SUMIFS(NewEmisData!L:L, NewEmisData!$A:$A, "LDV", NewEmisData!$B:$B, $A39, NewEmisData!$C:$C, $H39, NewEmisData!$D:$D, AL$2))</f>
        <v>3.38811619026995E-3</v>
      </c>
      <c r="AM39" s="324">
        <f>$I39*IF($G39="Pickup", SUMIFS(NewEmisData!M:M, NewEmisData!$A:$A, "Pickup", NewEmisData!$B:$B, $A39, NewEmisData!$C:$C, $H39, NewEmisData!$D:$D, AM$2), SUMIFS(NewEmisData!M:M, NewEmisData!$A:$A, "LDV", NewEmisData!$B:$B, $A39, NewEmisData!$C:$C, $H39, NewEmisData!$D:$D, AM$2))</f>
        <v>3.36798790618778E-3</v>
      </c>
      <c r="AN39" s="324">
        <f t="shared" si="7"/>
        <v>3.36798790618778E-3</v>
      </c>
      <c r="AO39" s="324">
        <f>$I39*IF($G39="Pickup", SUMIFS(NewEmisData!E:E, NewEmisData!$A:$A, "Pickup", NewEmisData!$B:$B, $A39, NewEmisData!$C:$C, $H39, NewEmisData!$D:$D, AO$2), SUMIFS(NewEmisData!E:E, NewEmisData!$A:$A, "LDV", NewEmisData!$B:$B, $A39, NewEmisData!$C:$C, $H39, NewEmisData!$D:$D, AO$2))</f>
        <v>7.6317156939691294E-2</v>
      </c>
      <c r="AP39" s="324">
        <f>$I39*IF($G39="Pickup", SUMIFS(NewEmisData!F:F, NewEmisData!$A:$A, "Pickup", NewEmisData!$B:$B, $A39, NewEmisData!$C:$C, $H39, NewEmisData!$D:$D, AP$2), SUMIFS(NewEmisData!F:F, NewEmisData!$A:$A, "LDV", NewEmisData!$B:$B, $A39, NewEmisData!$C:$C, $H39, NewEmisData!$D:$D, AP$2))</f>
        <v>7.1544642944165196E-2</v>
      </c>
      <c r="AQ39" s="324">
        <f>$I39*IF($G39="Pickup", SUMIFS(NewEmisData!G:G, NewEmisData!$A:$A, "Pickup", NewEmisData!$B:$B, $A39, NewEmisData!$C:$C, $H39, NewEmisData!$D:$D, AQ$2), SUMIFS(NewEmisData!G:G, NewEmisData!$A:$A, "LDV", NewEmisData!$B:$B, $A39, NewEmisData!$C:$C, $H39, NewEmisData!$D:$D, AQ$2))</f>
        <v>5.8249743312617203E-2</v>
      </c>
      <c r="AR39" s="324">
        <f>$I39*IF($G39="Pickup", SUMIFS(NewEmisData!H:H, NewEmisData!$A:$A, "Pickup", NewEmisData!$B:$B, $A39, NewEmisData!$C:$C, $H39, NewEmisData!$D:$D, AR$2), SUMIFS(NewEmisData!H:H, NewEmisData!$A:$A, "LDV", NewEmisData!$B:$B, $A39, NewEmisData!$C:$C, $H39, NewEmisData!$D:$D, AR$2))</f>
        <v>5.6730049378736901E-2</v>
      </c>
      <c r="AS39" s="324">
        <f>$I39*IF($G39="Pickup", SUMIFS(NewEmisData!I:I, NewEmisData!$A:$A, "Pickup", NewEmisData!$B:$B, $A39, NewEmisData!$C:$C, $H39, NewEmisData!$D:$D, AS$2), SUMIFS(NewEmisData!I:I, NewEmisData!$A:$A, "LDV", NewEmisData!$B:$B, $A39, NewEmisData!$C:$C, $H39, NewEmisData!$D:$D, AS$2))</f>
        <v>5.5297861804990203E-2</v>
      </c>
      <c r="AT39" s="324">
        <f>$I39*IF($G39="Pickup", SUMIFS(NewEmisData!J:J, NewEmisData!$A:$A, "Pickup", NewEmisData!$B:$B, $A39, NewEmisData!$C:$C, $H39, NewEmisData!$D:$D, AT$2), SUMIFS(NewEmisData!J:J, NewEmisData!$A:$A, "LDV", NewEmisData!$B:$B, $A39, NewEmisData!$C:$C, $H39, NewEmisData!$D:$D, AT$2))</f>
        <v>5.4156352090813403E-2</v>
      </c>
      <c r="AU39" s="324">
        <f>$I39*IF($G39="Pickup", SUMIFS(NewEmisData!K:K, NewEmisData!$A:$A, "Pickup", NewEmisData!$B:$B, $A39, NewEmisData!$C:$C, $H39, NewEmisData!$D:$D, AU$2), SUMIFS(NewEmisData!K:K, NewEmisData!$A:$A, "LDV", NewEmisData!$B:$B, $A39, NewEmisData!$C:$C, $H39, NewEmisData!$D:$D, AU$2))</f>
        <v>5.3430662266944498E-2</v>
      </c>
      <c r="AV39" s="324">
        <f>$I39*IF($G39="Pickup", SUMIFS(NewEmisData!L:L, NewEmisData!$A:$A, "Pickup", NewEmisData!$B:$B, $A39, NewEmisData!$C:$C, $H39, NewEmisData!$D:$D, AV$2), SUMIFS(NewEmisData!L:L, NewEmisData!$A:$A, "LDV", NewEmisData!$B:$B, $A39, NewEmisData!$C:$C, $H39, NewEmisData!$D:$D, AV$2))</f>
        <v>5.3062743786751999E-2</v>
      </c>
      <c r="AW39" s="324">
        <f>$I39*IF($G39="Pickup", SUMIFS(NewEmisData!M:M, NewEmisData!$A:$A, "Pickup", NewEmisData!$B:$B, $A39, NewEmisData!$C:$C, $H39, NewEmisData!$D:$D, AW$2), SUMIFS(NewEmisData!M:M, NewEmisData!$A:$A, "LDV", NewEmisData!$B:$B, $A39, NewEmisData!$C:$C, $H39, NewEmisData!$D:$D, AW$2))</f>
        <v>5.2850768620488903E-2</v>
      </c>
      <c r="AX39" s="324">
        <f t="shared" si="8"/>
        <v>5.2850768620488903E-2</v>
      </c>
      <c r="AY39" s="324">
        <f>$I39*IF($G39="Pickup", SUMIFS(NewEmisData!E:E, NewEmisData!$A:$A, "Pickup", NewEmisData!$B:$B, $A39, NewEmisData!$C:$C, $H39, NewEmisData!$D:$D, AY$2), SUMIFS(NewEmisData!E:E, NewEmisData!$A:$A, "LDV", NewEmisData!$B:$B, $A39, NewEmisData!$C:$C, $H39, NewEmisData!$D:$D, AY$2))</f>
        <v>2.00368746679381E-2</v>
      </c>
      <c r="AZ39" s="324">
        <f>$I39*IF($G39="Pickup", SUMIFS(NewEmisData!F:F, NewEmisData!$A:$A, "Pickup", NewEmisData!$B:$B, $A39, NewEmisData!$C:$C, $H39, NewEmisData!$D:$D, AZ$2), SUMIFS(NewEmisData!F:F, NewEmisData!$A:$A, "LDV", NewEmisData!$B:$B, $A39, NewEmisData!$C:$C, $H39, NewEmisData!$D:$D, AZ$2))</f>
        <v>1.58149288879222E-2</v>
      </c>
      <c r="BA39" s="324">
        <f>$I39*IF($G39="Pickup", SUMIFS(NewEmisData!G:G, NewEmisData!$A:$A, "Pickup", NewEmisData!$B:$B, $A39, NewEmisData!$C:$C, $H39, NewEmisData!$D:$D, BA$2), SUMIFS(NewEmisData!G:G, NewEmisData!$A:$A, "LDV", NewEmisData!$B:$B, $A39, NewEmisData!$C:$C, $H39, NewEmisData!$D:$D, BA$2))</f>
        <v>1.2889012730210401E-2</v>
      </c>
      <c r="BB39" s="324">
        <f>$I39*IF($G39="Pickup", SUMIFS(NewEmisData!H:H, NewEmisData!$A:$A, "Pickup", NewEmisData!$B:$B, $A39, NewEmisData!$C:$C, $H39, NewEmisData!$D:$D, BB$2), SUMIFS(NewEmisData!H:H, NewEmisData!$A:$A, "LDV", NewEmisData!$B:$B, $A39, NewEmisData!$C:$C, $H39, NewEmisData!$D:$D, BB$2))</f>
        <v>1.1544674905883E-2</v>
      </c>
      <c r="BC39" s="324">
        <f>$I39*IF($G39="Pickup", SUMIFS(NewEmisData!I:I, NewEmisData!$A:$A, "Pickup", NewEmisData!$B:$B, $A39, NewEmisData!$C:$C, $H39, NewEmisData!$D:$D, BC$2), SUMIFS(NewEmisData!I:I, NewEmisData!$A:$A, "LDV", NewEmisData!$B:$B, $A39, NewEmisData!$C:$C, $H39, NewEmisData!$D:$D, BC$2))</f>
        <v>1.0277724336371899E-2</v>
      </c>
      <c r="BD39" s="324">
        <f>$I39*IF($G39="Pickup", SUMIFS(NewEmisData!J:J, NewEmisData!$A:$A, "Pickup", NewEmisData!$B:$B, $A39, NewEmisData!$C:$C, $H39, NewEmisData!$D:$D, BD$2), SUMIFS(NewEmisData!J:J, NewEmisData!$A:$A, "LDV", NewEmisData!$B:$B, $A39, NewEmisData!$C:$C, $H39, NewEmisData!$D:$D, BD$2))</f>
        <v>9.2679749278735592E-3</v>
      </c>
      <c r="BE39" s="324">
        <f>$I39*IF($G39="Pickup", SUMIFS(NewEmisData!K:K, NewEmisData!$A:$A, "Pickup", NewEmisData!$B:$B, $A39, NewEmisData!$C:$C, $H39, NewEmisData!$D:$D, BE$2), SUMIFS(NewEmisData!K:K, NewEmisData!$A:$A, "LDV", NewEmisData!$B:$B, $A39, NewEmisData!$C:$C, $H39, NewEmisData!$D:$D, BE$2))</f>
        <v>8.6259896432645099E-3</v>
      </c>
      <c r="BF39" s="324">
        <f>$I39*IF($G39="Pickup", SUMIFS(NewEmisData!L:L, NewEmisData!$A:$A, "Pickup", NewEmisData!$B:$B, $A39, NewEmisData!$C:$C, $H39, NewEmisData!$D:$D, BF$2), SUMIFS(NewEmisData!L:L, NewEmisData!$A:$A, "LDV", NewEmisData!$B:$B, $A39, NewEmisData!$C:$C, $H39, NewEmisData!$D:$D, BF$2))</f>
        <v>8.3004876330209296E-3</v>
      </c>
      <c r="BG39" s="324">
        <f>$I39*IF($G39="Pickup", SUMIFS(NewEmisData!M:M, NewEmisData!$A:$A, "Pickup", NewEmisData!$B:$B, $A39, NewEmisData!$C:$C, $H39, NewEmisData!$D:$D, BG$2), SUMIFS(NewEmisData!M:M, NewEmisData!$A:$A, "LDV", NewEmisData!$B:$B, $A39, NewEmisData!$C:$C, $H39, NewEmisData!$D:$D, BG$2))</f>
        <v>8.1129702157430005E-3</v>
      </c>
      <c r="BH39" s="324">
        <f t="shared" si="9"/>
        <v>8.1129702157430005E-3</v>
      </c>
      <c r="BI39" s="324">
        <f>$I39*IF($G39="Pickup", SUMIFS(NewEmisData!E:E, NewEmisData!$A:$A, "Pickup", NewEmisData!$B:$B, $A39, NewEmisData!$C:$C, $H39, NewEmisData!$D:$D, BI$2), SUMIFS(NewEmisData!E:E, NewEmisData!$A:$A, "LDV", NewEmisData!$B:$B, $A39, NewEmisData!$C:$C, $H39, NewEmisData!$D:$D, BI$2))</f>
        <v>6.1599528865440298</v>
      </c>
      <c r="BJ39" s="324">
        <f>$I39*IF($G39="Pickup", SUMIFS(NewEmisData!F:F, NewEmisData!$A:$A, "Pickup", NewEmisData!$B:$B, $A39, NewEmisData!$C:$C, $H39, NewEmisData!$D:$D, BJ$2), SUMIFS(NewEmisData!F:F, NewEmisData!$A:$A, "LDV", NewEmisData!$B:$B, $A39, NewEmisData!$C:$C, $H39, NewEmisData!$D:$D, BJ$2))</f>
        <v>3.7475170679561298</v>
      </c>
      <c r="BK39" s="324">
        <f>$I39*IF($G39="Pickup", SUMIFS(NewEmisData!G:G, NewEmisData!$A:$A, "Pickup", NewEmisData!$B:$B, $A39, NewEmisData!$C:$C, $H39, NewEmisData!$D:$D, BK$2), SUMIFS(NewEmisData!G:G, NewEmisData!$A:$A, "LDV", NewEmisData!$B:$B, $A39, NewEmisData!$C:$C, $H39, NewEmisData!$D:$D, BK$2))</f>
        <v>2.80366463620466</v>
      </c>
      <c r="BL39" s="324">
        <f>$I39*IF($G39="Pickup", SUMIFS(NewEmisData!H:H, NewEmisData!$A:$A, "Pickup", NewEmisData!$B:$B, $A39, NewEmisData!$C:$C, $H39, NewEmisData!$D:$D, BL$2), SUMIFS(NewEmisData!H:H, NewEmisData!$A:$A, "LDV", NewEmisData!$B:$B, $A39, NewEmisData!$C:$C, $H39, NewEmisData!$D:$D, BL$2))</f>
        <v>2.2038088113149099</v>
      </c>
      <c r="BM39" s="324">
        <f>$I39*IF($G39="Pickup", SUMIFS(NewEmisData!I:I, NewEmisData!$A:$A, "Pickup", NewEmisData!$B:$B, $A39, NewEmisData!$C:$C, $H39, NewEmisData!$D:$D, BM$2), SUMIFS(NewEmisData!I:I, NewEmisData!$A:$A, "LDV", NewEmisData!$B:$B, $A39, NewEmisData!$C:$C, $H39, NewEmisData!$D:$D, BM$2))</f>
        <v>1.6110244723417799</v>
      </c>
      <c r="BN39" s="324">
        <f>$I39*IF($G39="Pickup", SUMIFS(NewEmisData!J:J, NewEmisData!$A:$A, "Pickup", NewEmisData!$B:$B, $A39, NewEmisData!$C:$C, $H39, NewEmisData!$D:$D, BN$2), SUMIFS(NewEmisData!J:J, NewEmisData!$A:$A, "LDV", NewEmisData!$B:$B, $A39, NewEmisData!$C:$C, $H39, NewEmisData!$D:$D, BN$2))</f>
        <v>1.2813570878169001</v>
      </c>
      <c r="BO39" s="324">
        <f>$I39*IF($G39="Pickup", SUMIFS(NewEmisData!K:K, NewEmisData!$A:$A, "Pickup", NewEmisData!$B:$B, $A39, NewEmisData!$C:$C, $H39, NewEmisData!$D:$D, BO$2), SUMIFS(NewEmisData!K:K, NewEmisData!$A:$A, "LDV", NewEmisData!$B:$B, $A39, NewEmisData!$C:$C, $H39, NewEmisData!$D:$D, BO$2))</f>
        <v>1.1316455644238499</v>
      </c>
      <c r="BP39" s="324">
        <f>$I39*IF($G39="Pickup", SUMIFS(NewEmisData!L:L, NewEmisData!$A:$A, "Pickup", NewEmisData!$B:$B, $A39, NewEmisData!$C:$C, $H39, NewEmisData!$D:$D, BP$2), SUMIFS(NewEmisData!L:L, NewEmisData!$A:$A, "LDV", NewEmisData!$B:$B, $A39, NewEmisData!$C:$C, $H39, NewEmisData!$D:$D, BP$2))</f>
        <v>1.0822537615630099</v>
      </c>
      <c r="BQ39" s="324">
        <f>$I39*IF($G39="Pickup", SUMIFS(NewEmisData!M:M, NewEmisData!$A:$A, "Pickup", NewEmisData!$B:$B, $A39, NewEmisData!$C:$C, $H39, NewEmisData!$D:$D, BQ$2), SUMIFS(NewEmisData!M:M, NewEmisData!$A:$A, "LDV", NewEmisData!$B:$B, $A39, NewEmisData!$C:$C, $H39, NewEmisData!$D:$D, BQ$2))</f>
        <v>1.05143374218492</v>
      </c>
      <c r="BR39" s="324">
        <f t="shared" si="10"/>
        <v>1.05143374218492</v>
      </c>
      <c r="BS39" s="324">
        <f>$I39*IF($G39="Pickup", SUMIFS(NewEmisData!E:E, NewEmisData!$A:$A, "Pickup", NewEmisData!$B:$B, $A39, NewEmisData!$C:$C, $H39, NewEmisData!$D:$D, BS$2), SUMIFS(NewEmisData!E:E, NewEmisData!$A:$A, "LDV", NewEmisData!$B:$B, $A39, NewEmisData!$C:$C, $H39, NewEmisData!$D:$D, BS$2))</f>
        <v>0.72787250280402604</v>
      </c>
      <c r="BT39" s="324">
        <f>$I39*IF($G39="Pickup", SUMIFS(NewEmisData!F:F, NewEmisData!$A:$A, "Pickup", NewEmisData!$B:$B, $A39, NewEmisData!$C:$C, $H39, NewEmisData!$D:$D, BT$2), SUMIFS(NewEmisData!F:F, NewEmisData!$A:$A, "LDV", NewEmisData!$B:$B, $A39, NewEmisData!$C:$C, $H39, NewEmisData!$D:$D, BT$2))</f>
        <v>0.40987916241045302</v>
      </c>
      <c r="BU39" s="324">
        <f>$I39*IF($G39="Pickup", SUMIFS(NewEmisData!G:G, NewEmisData!$A:$A, "Pickup", NewEmisData!$B:$B, $A39, NewEmisData!$C:$C, $H39, NewEmisData!$D:$D, BU$2), SUMIFS(NewEmisData!G:G, NewEmisData!$A:$A, "LDV", NewEmisData!$B:$B, $A39, NewEmisData!$C:$C, $H39, NewEmisData!$D:$D, BU$2))</f>
        <v>0.30765788839279401</v>
      </c>
      <c r="BV39" s="324">
        <f>$I39*IF($G39="Pickup", SUMIFS(NewEmisData!H:H, NewEmisData!$A:$A, "Pickup", NewEmisData!$B:$B, $A39, NewEmisData!$C:$C, $H39, NewEmisData!$D:$D, BV$2), SUMIFS(NewEmisData!H:H, NewEmisData!$A:$A, "LDV", NewEmisData!$B:$B, $A39, NewEmisData!$C:$C, $H39, NewEmisData!$D:$D, BV$2))</f>
        <v>0.248891607461663</v>
      </c>
      <c r="BW39" s="324">
        <f>$I39*IF($G39="Pickup", SUMIFS(NewEmisData!I:I, NewEmisData!$A:$A, "Pickup", NewEmisData!$B:$B, $A39, NewEmisData!$C:$C, $H39, NewEmisData!$D:$D, BW$2), SUMIFS(NewEmisData!I:I, NewEmisData!$A:$A, "LDV", NewEmisData!$B:$B, $A39, NewEmisData!$C:$C, $H39, NewEmisData!$D:$D, BW$2))</f>
        <v>0.184861723618618</v>
      </c>
      <c r="BX39" s="324">
        <f>$I39*IF($G39="Pickup", SUMIFS(NewEmisData!J:J, NewEmisData!$A:$A, "Pickup", NewEmisData!$B:$B, $A39, NewEmisData!$C:$C, $H39, NewEmisData!$D:$D, BX$2), SUMIFS(NewEmisData!J:J, NewEmisData!$A:$A, "LDV", NewEmisData!$B:$B, $A39, NewEmisData!$C:$C, $H39, NewEmisData!$D:$D, BX$2))</f>
        <v>0.15433193284657201</v>
      </c>
      <c r="BY39" s="324">
        <f>$I39*IF($G39="Pickup", SUMIFS(NewEmisData!K:K, NewEmisData!$A:$A, "Pickup", NewEmisData!$B:$B, $A39, NewEmisData!$C:$C, $H39, NewEmisData!$D:$D, BY$2), SUMIFS(NewEmisData!K:K, NewEmisData!$A:$A, "LDV", NewEmisData!$B:$B, $A39, NewEmisData!$C:$C, $H39, NewEmisData!$D:$D, BY$2))</f>
        <v>0.138091436876464</v>
      </c>
      <c r="BZ39" s="324">
        <f>$I39*IF($G39="Pickup", SUMIFS(NewEmisData!L:L, NewEmisData!$A:$A, "Pickup", NewEmisData!$B:$B, $A39, NewEmisData!$C:$C, $H39, NewEmisData!$D:$D, BZ$2), SUMIFS(NewEmisData!L:L, NewEmisData!$A:$A, "LDV", NewEmisData!$B:$B, $A39, NewEmisData!$C:$C, $H39, NewEmisData!$D:$D, BZ$2))</f>
        <v>0.131790780313154</v>
      </c>
      <c r="CA39" s="324">
        <f>$I39*IF($G39="Pickup", SUMIFS(NewEmisData!M:M, NewEmisData!$A:$A, "Pickup", NewEmisData!$B:$B, $A39, NewEmisData!$C:$C, $H39, NewEmisData!$D:$D, CA$2), SUMIFS(NewEmisData!M:M, NewEmisData!$A:$A, "LDV", NewEmisData!$B:$B, $A39, NewEmisData!$C:$C, $H39, NewEmisData!$D:$D, CA$2))</f>
        <v>0.126731765091218</v>
      </c>
      <c r="CB39" s="324">
        <f t="shared" si="11"/>
        <v>0.126731765091218</v>
      </c>
      <c r="CC39" s="324">
        <f>$I39*IF($G39="Pickup", SUMIFS(NewEmisData!E:E, NewEmisData!$A:$A, "Pickup", NewEmisData!$B:$B, $A39, NewEmisData!$C:$C, $H39, NewEmisData!$D:$D, CC$2), SUMIFS(NewEmisData!E:E, NewEmisData!$A:$A, "LDV", NewEmisData!$B:$B, $A39, NewEmisData!$C:$C, $H39, NewEmisData!$D:$D, CC$2))</f>
        <v>4.3011353420759103E-2</v>
      </c>
      <c r="CD39" s="324">
        <f>$I39*IF($G39="Pickup", SUMIFS(NewEmisData!F:F, NewEmisData!$A:$A, "Pickup", NewEmisData!$B:$B, $A39, NewEmisData!$C:$C, $H39, NewEmisData!$D:$D, CD$2), SUMIFS(NewEmisData!F:F, NewEmisData!$A:$A, "LDV", NewEmisData!$B:$B, $A39, NewEmisData!$C:$C, $H39, NewEmisData!$D:$D, CD$2))</f>
        <v>2.94035814612091E-2</v>
      </c>
      <c r="CE39" s="324">
        <f>$I39*IF($G39="Pickup", SUMIFS(NewEmisData!G:G, NewEmisData!$A:$A, "Pickup", NewEmisData!$B:$B, $A39, NewEmisData!$C:$C, $H39, NewEmisData!$D:$D, CE$2), SUMIFS(NewEmisData!G:G, NewEmisData!$A:$A, "LDV", NewEmisData!$B:$B, $A39, NewEmisData!$C:$C, $H39, NewEmisData!$D:$D, CE$2))</f>
        <v>2.4328512322630801E-2</v>
      </c>
      <c r="CF39" s="324">
        <f>$I39*IF($G39="Pickup", SUMIFS(NewEmisData!H:H, NewEmisData!$A:$A, "Pickup", NewEmisData!$B:$B, $A39, NewEmisData!$C:$C, $H39, NewEmisData!$D:$D, CF$2), SUMIFS(NewEmisData!H:H, NewEmisData!$A:$A, "LDV", NewEmisData!$B:$B, $A39, NewEmisData!$C:$C, $H39, NewEmisData!$D:$D, CF$2))</f>
        <v>2.3221814353353801E-2</v>
      </c>
      <c r="CG39" s="324">
        <f>$I39*IF($G39="Pickup", SUMIFS(NewEmisData!I:I, NewEmisData!$A:$A, "Pickup", NewEmisData!$B:$B, $A39, NewEmisData!$C:$C, $H39, NewEmisData!$D:$D, CG$2), SUMIFS(NewEmisData!I:I, NewEmisData!$A:$A, "LDV", NewEmisData!$B:$B, $A39, NewEmisData!$C:$C, $H39, NewEmisData!$D:$D, CG$2))</f>
        <v>2.24852392313552E-2</v>
      </c>
      <c r="CH39" s="324">
        <f>$I39*IF($G39="Pickup", SUMIFS(NewEmisData!J:J, NewEmisData!$A:$A, "Pickup", NewEmisData!$B:$B, $A39, NewEmisData!$C:$C, $H39, NewEmisData!$D:$D, CH$2), SUMIFS(NewEmisData!J:J, NewEmisData!$A:$A, "LDV", NewEmisData!$B:$B, $A39, NewEmisData!$C:$C, $H39, NewEmisData!$D:$D, CH$2))</f>
        <v>2.1906542608859401E-2</v>
      </c>
      <c r="CI39" s="324">
        <f>$I39*IF($G39="Pickup", SUMIFS(NewEmisData!K:K, NewEmisData!$A:$A, "Pickup", NewEmisData!$B:$B, $A39, NewEmisData!$C:$C, $H39, NewEmisData!$D:$D, CI$2), SUMIFS(NewEmisData!K:K, NewEmisData!$A:$A, "LDV", NewEmisData!$B:$B, $A39, NewEmisData!$C:$C, $H39, NewEmisData!$D:$D, CI$2))</f>
        <v>2.1904736458690802E-2</v>
      </c>
      <c r="CJ39" s="324">
        <f>$I39*IF($G39="Pickup", SUMIFS(NewEmisData!L:L, NewEmisData!$A:$A, "Pickup", NewEmisData!$B:$B, $A39, NewEmisData!$C:$C, $H39, NewEmisData!$D:$D, CJ$2), SUMIFS(NewEmisData!L:L, NewEmisData!$A:$A, "LDV", NewEmisData!$B:$B, $A39, NewEmisData!$C:$C, $H39, NewEmisData!$D:$D, CJ$2))</f>
        <v>2.19042402298237E-2</v>
      </c>
      <c r="CK39" s="324">
        <f>$I39*IF($G39="Pickup", SUMIFS(NewEmisData!M:M, NewEmisData!$A:$A, "Pickup", NewEmisData!$B:$B, $A39, NewEmisData!$C:$C, $H39, NewEmisData!$D:$D, CK$2), SUMIFS(NewEmisData!M:M, NewEmisData!$A:$A, "LDV", NewEmisData!$B:$B, $A39, NewEmisData!$C:$C, $H39, NewEmisData!$D:$D, CK$2))</f>
        <v>2.1903771981857799E-2</v>
      </c>
      <c r="CL39" s="324">
        <f t="shared" si="12"/>
        <v>2.1903771981857799E-2</v>
      </c>
      <c r="CM39" s="324">
        <f>$I39*IF($G39="Pickup", SUMIFS(NewEmisData!E:E, NewEmisData!$A:$A, "Pickup", NewEmisData!$B:$B, $A39, NewEmisData!$C:$C, $H39, NewEmisData!$D:$D, CM$2), SUMIFS(NewEmisData!E:E, NewEmisData!$A:$A, "LDV", NewEmisData!$B:$B, $A39, NewEmisData!$C:$C, $H39, NewEmisData!$D:$D, CM$2))</f>
        <v>2.1906211645892699E-2</v>
      </c>
      <c r="CN39" s="324">
        <f>$I39*IF($G39="Pickup", SUMIFS(NewEmisData!F:F, NewEmisData!$A:$A, "Pickup", NewEmisData!$B:$B, $A39, NewEmisData!$C:$C, $H39, NewEmisData!$D:$D, CN$2), SUMIFS(NewEmisData!F:F, NewEmisData!$A:$A, "LDV", NewEmisData!$B:$B, $A39, NewEmisData!$C:$C, $H39, NewEmisData!$D:$D, CN$2))</f>
        <v>1.38171562279483E-2</v>
      </c>
      <c r="CO39" s="324">
        <f>$I39*IF($G39="Pickup", SUMIFS(NewEmisData!G:G, NewEmisData!$A:$A, "Pickup", NewEmisData!$B:$B, $A39, NewEmisData!$C:$C, $H39, NewEmisData!$D:$D, CO$2), SUMIFS(NewEmisData!G:G, NewEmisData!$A:$A, "LDV", NewEmisData!$B:$B, $A39, NewEmisData!$C:$C, $H39, NewEmisData!$D:$D, CO$2))</f>
        <v>1.08300618523644E-2</v>
      </c>
      <c r="CP39" s="324">
        <f>$I39*IF($G39="Pickup", SUMIFS(NewEmisData!H:H, NewEmisData!$A:$A, "Pickup", NewEmisData!$B:$B, $A39, NewEmisData!$C:$C, $H39, NewEmisData!$D:$D, CP$2), SUMIFS(NewEmisData!H:H, NewEmisData!$A:$A, "LDV", NewEmisData!$B:$B, $A39, NewEmisData!$C:$C, $H39, NewEmisData!$D:$D, CP$2))</f>
        <v>8.8590497727664592E-3</v>
      </c>
      <c r="CQ39" s="324">
        <f>$I39*IF($G39="Pickup", SUMIFS(NewEmisData!I:I, NewEmisData!$A:$A, "Pickup", NewEmisData!$B:$B, $A39, NewEmisData!$C:$C, $H39, NewEmisData!$D:$D, CQ$2), SUMIFS(NewEmisData!I:I, NewEmisData!$A:$A, "LDV", NewEmisData!$B:$B, $A39, NewEmisData!$C:$C, $H39, NewEmisData!$D:$D, CQ$2))</f>
        <v>7.8772882665567503E-3</v>
      </c>
      <c r="CR39" s="324">
        <f>$I39*IF($G39="Pickup", SUMIFS(NewEmisData!J:J, NewEmisData!$A:$A, "Pickup", NewEmisData!$B:$B, $A39, NewEmisData!$C:$C, $H39, NewEmisData!$D:$D, CR$2), SUMIFS(NewEmisData!J:J, NewEmisData!$A:$A, "LDV", NewEmisData!$B:$B, $A39, NewEmisData!$C:$C, $H39, NewEmisData!$D:$D, CR$2))</f>
        <v>7.4435823260364103E-3</v>
      </c>
      <c r="CS39" s="324">
        <f>$I39*IF($G39="Pickup", SUMIFS(NewEmisData!K:K, NewEmisData!$A:$A, "Pickup", NewEmisData!$B:$B, $A39, NewEmisData!$C:$C, $H39, NewEmisData!$D:$D, CS$2), SUMIFS(NewEmisData!K:K, NewEmisData!$A:$A, "LDV", NewEmisData!$B:$B, $A39, NewEmisData!$C:$C, $H39, NewEmisData!$D:$D, CS$2))</f>
        <v>7.3936885133113802E-3</v>
      </c>
      <c r="CT39" s="324">
        <f>$I39*IF($G39="Pickup", SUMIFS(NewEmisData!L:L, NewEmisData!$A:$A, "Pickup", NewEmisData!$B:$B, $A39, NewEmisData!$C:$C, $H39, NewEmisData!$D:$D, CT$2), SUMIFS(NewEmisData!L:L, NewEmisData!$A:$A, "LDV", NewEmisData!$B:$B, $A39, NewEmisData!$C:$C, $H39, NewEmisData!$D:$D, CT$2))</f>
        <v>7.3123849031120399E-3</v>
      </c>
      <c r="CU39" s="324">
        <f>$I39*IF($G39="Pickup", SUMIFS(NewEmisData!M:M, NewEmisData!$A:$A, "Pickup", NewEmisData!$B:$B, $A39, NewEmisData!$C:$C, $H39, NewEmisData!$D:$D, CU$2), SUMIFS(NewEmisData!M:M, NewEmisData!$A:$A, "LDV", NewEmisData!$B:$B, $A39, NewEmisData!$C:$C, $H39, NewEmisData!$D:$D, CU$2))</f>
        <v>7.31189121492953E-3</v>
      </c>
      <c r="CV39" s="324">
        <f t="shared" si="13"/>
        <v>7.31189121492953E-3</v>
      </c>
      <c r="CW39" s="324">
        <v>4.0498104655261064E-3</v>
      </c>
      <c r="CX39" s="324">
        <v>2.5030350838759993E-3</v>
      </c>
      <c r="CY39" s="324">
        <v>2.1151214403419519E-3</v>
      </c>
      <c r="CZ39" s="324">
        <v>1.7489979687569375E-3</v>
      </c>
      <c r="DA39" s="324">
        <v>1.340486996695321E-3</v>
      </c>
      <c r="DB39" s="324">
        <v>1.0553769116342638E-3</v>
      </c>
      <c r="DC39" s="324">
        <v>1.0132227560056145E-3</v>
      </c>
      <c r="DD39" s="324">
        <v>1.0003159541004489E-3</v>
      </c>
      <c r="DE39" s="324">
        <v>9.9860782000699166E-4</v>
      </c>
      <c r="DF39" s="324">
        <v>9.9860782000699166E-4</v>
      </c>
      <c r="DG39" s="324">
        <f>$I39*IF($G39="Pickup", SUMIFS(NewEmisData!E:E, NewEmisData!$A:$A, "Pickup", NewEmisData!$B:$B, $A39, NewEmisData!$C:$C, $H39, NewEmisData!$D:$D, DG$2), SUMIFS(NewEmisData!E:E, NewEmisData!$A:$A, "LDV", NewEmisData!$B:$B, $A39, NewEmisData!$C:$C, $H39, NewEmisData!$D:$D, DG$2))</f>
        <v>0</v>
      </c>
      <c r="DH39" s="324">
        <f>$I39*IF($G39="Pickup", SUMIFS(NewEmisData!F:F, NewEmisData!$A:$A, "Pickup", NewEmisData!$B:$B, $A39, NewEmisData!$C:$C, $H39, NewEmisData!$D:$D, DH$2), SUMIFS(NewEmisData!F:F, NewEmisData!$A:$A, "LDV", NewEmisData!$B:$B, $A39, NewEmisData!$C:$C, $H39, NewEmisData!$D:$D, DH$2))</f>
        <v>0</v>
      </c>
      <c r="DI39" s="324">
        <f>$I39*IF($G39="Pickup", SUMIFS(NewEmisData!G:G, NewEmisData!$A:$A, "Pickup", NewEmisData!$B:$B, $A39, NewEmisData!$C:$C, $H39, NewEmisData!$D:$D, DI$2), SUMIFS(NewEmisData!G:G, NewEmisData!$A:$A, "LDV", NewEmisData!$B:$B, $A39, NewEmisData!$C:$C, $H39, NewEmisData!$D:$D, DI$2))</f>
        <v>0</v>
      </c>
      <c r="DJ39" s="324">
        <f>$I39*IF($G39="Pickup", SUMIFS(NewEmisData!H:H, NewEmisData!$A:$A, "Pickup", NewEmisData!$B:$B, $A39, NewEmisData!$C:$C, $H39, NewEmisData!$D:$D, DJ$2), SUMIFS(NewEmisData!H:H, NewEmisData!$A:$A, "LDV", NewEmisData!$B:$B, $A39, NewEmisData!$C:$C, $H39, NewEmisData!$D:$D, DJ$2))</f>
        <v>0</v>
      </c>
      <c r="DK39" s="324">
        <f>$I39*IF($G39="Pickup", SUMIFS(NewEmisData!I:I, NewEmisData!$A:$A, "Pickup", NewEmisData!$B:$B, $A39, NewEmisData!$C:$C, $H39, NewEmisData!$D:$D, DK$2), SUMIFS(NewEmisData!I:I, NewEmisData!$A:$A, "LDV", NewEmisData!$B:$B, $A39, NewEmisData!$C:$C, $H39, NewEmisData!$D:$D, DK$2))</f>
        <v>0</v>
      </c>
      <c r="DL39" s="324">
        <f>$I39*IF($G39="Pickup", SUMIFS(NewEmisData!J:J, NewEmisData!$A:$A, "Pickup", NewEmisData!$B:$B, $A39, NewEmisData!$C:$C, $H39, NewEmisData!$D:$D, DL$2), SUMIFS(NewEmisData!J:J, NewEmisData!$A:$A, "LDV", NewEmisData!$B:$B, $A39, NewEmisData!$C:$C, $H39, NewEmisData!$D:$D, DL$2))</f>
        <v>0</v>
      </c>
      <c r="DM39" s="324">
        <f>$I39*IF($G39="Pickup", SUMIFS(NewEmisData!K:K, NewEmisData!$A:$A, "Pickup", NewEmisData!$B:$B, $A39, NewEmisData!$C:$C, $H39, NewEmisData!$D:$D, DM$2), SUMIFS(NewEmisData!K:K, NewEmisData!$A:$A, "LDV", NewEmisData!$B:$B, $A39, NewEmisData!$C:$C, $H39, NewEmisData!$D:$D, DM$2))</f>
        <v>0</v>
      </c>
      <c r="DN39" s="324">
        <f>$I39*IF($G39="Pickup", SUMIFS(NewEmisData!L:L, NewEmisData!$A:$A, "Pickup", NewEmisData!$B:$B, $A39, NewEmisData!$C:$C, $H39, NewEmisData!$D:$D, DN$2), SUMIFS(NewEmisData!L:L, NewEmisData!$A:$A, "LDV", NewEmisData!$B:$B, $A39, NewEmisData!$C:$C, $H39, NewEmisData!$D:$D, DN$2))</f>
        <v>0</v>
      </c>
      <c r="DO39" s="324">
        <f>$I39*IF($G39="Pickup", SUMIFS(NewEmisData!M:M, NewEmisData!$A:$A, "Pickup", NewEmisData!$B:$B, $A39, NewEmisData!$C:$C, $H39, NewEmisData!$D:$D, DO$2), SUMIFS(NewEmisData!M:M, NewEmisData!$A:$A, "LDV", NewEmisData!$B:$B, $A39, NewEmisData!$C:$C, $H39, NewEmisData!$D:$D, DO$2))</f>
        <v>0</v>
      </c>
      <c r="DP39" s="324">
        <f t="shared" si="14"/>
        <v>0</v>
      </c>
      <c r="DQ39" s="324">
        <f>$I39*IF($G39="Pickup", SUMIFS(NewEmisData!E:E, NewEmisData!$A:$A, "Pickup", NewEmisData!$B:$B, $A39, NewEmisData!$C:$C, $H39, NewEmisData!$D:$D, DQ$2), SUMIFS(NewEmisData!E:E, NewEmisData!$A:$A, "LDV", NewEmisData!$B:$B, $A39, NewEmisData!$C:$C, $H39, NewEmisData!$D:$D, DQ$2))</f>
        <v>1.45246052556386E-2</v>
      </c>
      <c r="DR39" s="324">
        <f>$I39*IF($G39="Pickup", SUMIFS(NewEmisData!F:F, NewEmisData!$A:$A, "Pickup", NewEmisData!$B:$B, $A39, NewEmisData!$C:$C, $H39, NewEmisData!$D:$D, DR$2), SUMIFS(NewEmisData!F:F, NewEmisData!$A:$A, "LDV", NewEmisData!$B:$B, $A39, NewEmisData!$C:$C, $H39, NewEmisData!$D:$D, DR$2))</f>
        <v>8.5576317868897907E-3</v>
      </c>
      <c r="DS39" s="324">
        <f>$I39*IF($G39="Pickup", SUMIFS(NewEmisData!G:G, NewEmisData!$A:$A, "Pickup", NewEmisData!$B:$B, $A39, NewEmisData!$C:$C, $H39, NewEmisData!$D:$D, DS$2), SUMIFS(NewEmisData!G:G, NewEmisData!$A:$A, "LDV", NewEmisData!$B:$B, $A39, NewEmisData!$C:$C, $H39, NewEmisData!$D:$D, DS$2))</f>
        <v>6.6798910124453298E-3</v>
      </c>
      <c r="DT39" s="324">
        <f>$I39*IF($G39="Pickup", SUMIFS(NewEmisData!H:H, NewEmisData!$A:$A, "Pickup", NewEmisData!$B:$B, $A39, NewEmisData!$C:$C, $H39, NewEmisData!$D:$D, DT$2), SUMIFS(NewEmisData!H:H, NewEmisData!$A:$A, "LDV", NewEmisData!$B:$B, $A39, NewEmisData!$C:$C, $H39, NewEmisData!$D:$D, DT$2))</f>
        <v>5.1684543516808098E-3</v>
      </c>
      <c r="DU39" s="324">
        <f>$I39*IF($G39="Pickup", SUMIFS(NewEmisData!I:I, NewEmisData!$A:$A, "Pickup", NewEmisData!$B:$B, $A39, NewEmisData!$C:$C, $H39, NewEmisData!$D:$D, DU$2), SUMIFS(NewEmisData!I:I, NewEmisData!$A:$A, "LDV", NewEmisData!$B:$B, $A39, NewEmisData!$C:$C, $H39, NewEmisData!$D:$D, DU$2))</f>
        <v>4.0637666627415803E-3</v>
      </c>
      <c r="DV39" s="324">
        <f>$I39*IF($G39="Pickup", SUMIFS(NewEmisData!J:J, NewEmisData!$A:$A, "Pickup", NewEmisData!$B:$B, $A39, NewEmisData!$C:$C, $H39, NewEmisData!$D:$D, DV$2), SUMIFS(NewEmisData!J:J, NewEmisData!$A:$A, "LDV", NewEmisData!$B:$B, $A39, NewEmisData!$C:$C, $H39, NewEmisData!$D:$D, DV$2))</f>
        <v>3.5439556352963399E-3</v>
      </c>
      <c r="DW39" s="324">
        <f>$I39*IF($G39="Pickup", SUMIFS(NewEmisData!K:K, NewEmisData!$A:$A, "Pickup", NewEmisData!$B:$B, $A39, NewEmisData!$C:$C, $H39, NewEmisData!$D:$D, DW$2), SUMIFS(NewEmisData!K:K, NewEmisData!$A:$A, "LDV", NewEmisData!$B:$B, $A39, NewEmisData!$C:$C, $H39, NewEmisData!$D:$D, DW$2))</f>
        <v>3.25169320270512E-3</v>
      </c>
      <c r="DX39" s="324">
        <f>$I39*IF($G39="Pickup", SUMIFS(NewEmisData!L:L, NewEmisData!$A:$A, "Pickup", NewEmisData!$B:$B, $A39, NewEmisData!$C:$C, $H39, NewEmisData!$D:$D, DX$2), SUMIFS(NewEmisData!L:L, NewEmisData!$A:$A, "LDV", NewEmisData!$B:$B, $A39, NewEmisData!$C:$C, $H39, NewEmisData!$D:$D, DX$2))</f>
        <v>3.1576560516429699E-3</v>
      </c>
      <c r="DY39" s="324">
        <f>$I39*IF($G39="Pickup", SUMIFS(NewEmisData!M:M, NewEmisData!$A:$A, "Pickup", NewEmisData!$B:$B, $A39, NewEmisData!$C:$C, $H39, NewEmisData!$D:$D, DY$2), SUMIFS(NewEmisData!M:M, NewEmisData!$A:$A, "LDV", NewEmisData!$B:$B, $A39, NewEmisData!$C:$C, $H39, NewEmisData!$D:$D, DY$2))</f>
        <v>3.1088285848124E-3</v>
      </c>
      <c r="DZ39" s="324">
        <f t="shared" si="15"/>
        <v>3.1088285848124E-3</v>
      </c>
      <c r="EA39" s="324">
        <f t="shared" si="16"/>
        <v>465.43339574540698</v>
      </c>
      <c r="EB39" s="324">
        <f t="shared" si="17"/>
        <v>447.45086858043499</v>
      </c>
      <c r="EC39" s="324">
        <f t="shared" si="18"/>
        <v>371.68579631799702</v>
      </c>
      <c r="ED39" s="324">
        <f t="shared" si="19"/>
        <v>316.68783468886801</v>
      </c>
      <c r="EE39" s="324">
        <f t="shared" si="20"/>
        <v>274.45359564691302</v>
      </c>
      <c r="EF39" s="324">
        <f t="shared" si="21"/>
        <v>250.610452801164</v>
      </c>
      <c r="EG39" s="324">
        <f t="shared" si="22"/>
        <v>239.96929474207201</v>
      </c>
      <c r="EH39" s="324">
        <f t="shared" si="23"/>
        <v>236.17949059358199</v>
      </c>
      <c r="EI39" s="324">
        <f t="shared" si="24"/>
        <v>234.77621268414799</v>
      </c>
      <c r="EJ39" s="324">
        <f t="shared" si="25"/>
        <v>234.77621268414799</v>
      </c>
      <c r="EK39" s="324">
        <f t="shared" si="26"/>
        <v>0.76817370125590101</v>
      </c>
      <c r="EL39" s="324">
        <f t="shared" si="27"/>
        <v>0.34255400012381199</v>
      </c>
      <c r="EM39" s="324">
        <f t="shared" si="28"/>
        <v>0.22026197441968301</v>
      </c>
      <c r="EN39" s="324">
        <f t="shared" si="29"/>
        <v>0.146130223505477</v>
      </c>
      <c r="EO39" s="324">
        <f t="shared" si="30"/>
        <v>9.25204446820201E-2</v>
      </c>
      <c r="EP39" s="324">
        <f t="shared" si="31"/>
        <v>6.9646332093205393E-2</v>
      </c>
      <c r="EQ39" s="324">
        <f t="shared" si="32"/>
        <v>6.0285539426727999E-2</v>
      </c>
      <c r="ER39" s="324">
        <f t="shared" si="33"/>
        <v>5.7685517085836899E-2</v>
      </c>
      <c r="ES39" s="324">
        <f t="shared" si="34"/>
        <v>5.6336256806388998E-2</v>
      </c>
      <c r="ET39" s="324">
        <f t="shared" si="35"/>
        <v>5.6336256806388998E-2</v>
      </c>
      <c r="EU39" s="324">
        <f t="shared" si="36"/>
        <v>8.0536316527093799E-3</v>
      </c>
      <c r="EV39" s="324">
        <f t="shared" si="37"/>
        <v>7.7424694052717798E-3</v>
      </c>
      <c r="EW39" s="324">
        <f t="shared" si="38"/>
        <v>5.3320257089092297E-3</v>
      </c>
      <c r="EX39" s="324">
        <f t="shared" si="39"/>
        <v>4.5430510168157703E-3</v>
      </c>
      <c r="EY39" s="324">
        <f t="shared" si="40"/>
        <v>3.9371785778053803E-3</v>
      </c>
      <c r="EZ39" s="324">
        <f t="shared" si="41"/>
        <v>3.5951364530025401E-3</v>
      </c>
      <c r="FA39" s="324">
        <f t="shared" si="42"/>
        <v>3.4424852382502098E-3</v>
      </c>
      <c r="FB39" s="324">
        <f t="shared" si="43"/>
        <v>3.38811619026995E-3</v>
      </c>
      <c r="FC39" s="324">
        <f t="shared" si="44"/>
        <v>3.36798790618778E-3</v>
      </c>
      <c r="FD39" s="324">
        <f t="shared" si="45"/>
        <v>3.36798790618778E-3</v>
      </c>
      <c r="FE39" s="324">
        <f t="shared" si="46"/>
        <v>7.6317156939691294E-2</v>
      </c>
      <c r="FF39" s="324">
        <f t="shared" si="47"/>
        <v>7.1544642944165196E-2</v>
      </c>
      <c r="FG39" s="324">
        <f t="shared" si="48"/>
        <v>5.8249743312617203E-2</v>
      </c>
      <c r="FH39" s="324">
        <f t="shared" si="49"/>
        <v>5.6730049378736901E-2</v>
      </c>
      <c r="FI39" s="324">
        <f t="shared" si="50"/>
        <v>5.5297861804990203E-2</v>
      </c>
      <c r="FJ39" s="324">
        <f t="shared" si="51"/>
        <v>5.4156352090813403E-2</v>
      </c>
      <c r="FK39" s="324">
        <f t="shared" si="52"/>
        <v>5.3430662266944498E-2</v>
      </c>
      <c r="FL39" s="324">
        <f t="shared" si="53"/>
        <v>5.3062743786751999E-2</v>
      </c>
      <c r="FM39" s="324">
        <f t="shared" si="54"/>
        <v>5.2850768620488903E-2</v>
      </c>
      <c r="FN39" s="324">
        <f t="shared" si="55"/>
        <v>5.2850768620488903E-2</v>
      </c>
      <c r="FO39" s="324">
        <f t="shared" si="56"/>
        <v>2.00368746679381E-2</v>
      </c>
      <c r="FP39" s="324">
        <f t="shared" si="57"/>
        <v>1.58149288879222E-2</v>
      </c>
      <c r="FQ39" s="324">
        <f t="shared" si="58"/>
        <v>1.2889012730210401E-2</v>
      </c>
      <c r="FR39" s="324">
        <f t="shared" si="59"/>
        <v>1.1544674905883E-2</v>
      </c>
      <c r="FS39" s="324">
        <f t="shared" si="60"/>
        <v>1.0277724336371899E-2</v>
      </c>
      <c r="FT39" s="324">
        <f t="shared" si="61"/>
        <v>9.2679749278735592E-3</v>
      </c>
      <c r="FU39" s="324">
        <f t="shared" si="62"/>
        <v>8.6259896432645099E-3</v>
      </c>
      <c r="FV39" s="324">
        <f t="shared" si="63"/>
        <v>8.3004876330209296E-3</v>
      </c>
      <c r="FW39" s="324">
        <f t="shared" si="64"/>
        <v>8.1129702157430005E-3</v>
      </c>
      <c r="FX39" s="324">
        <f t="shared" si="65"/>
        <v>8.1129702157430005E-3</v>
      </c>
    </row>
    <row r="40" spans="1:180" x14ac:dyDescent="0.2">
      <c r="A40" s="298" t="str">
        <f>IF(LEFT(TRIM(Technologies!B70),1)="*", _xlfn.CONCAT("*","R2"), "R2")</f>
        <v>R2</v>
      </c>
      <c r="B40" s="298" t="str">
        <f>TechData_existing!B13</f>
        <v>TLEMGSL</v>
      </c>
      <c r="C40" s="298" t="str">
        <f>TechData_existing!C13</f>
        <v>TL.GSL.M.Existing Fleet</v>
      </c>
      <c r="D40" s="294" t="str">
        <f>TechData_existing!D13</f>
        <v>bn-vmt, bn-vmt/a</v>
      </c>
      <c r="E40" s="294" t="str">
        <f>TechData_existing!E13</f>
        <v>TLGSL</v>
      </c>
      <c r="F40" s="294" t="str">
        <f>TechData_existing!F13</f>
        <v>TL</v>
      </c>
      <c r="G40" s="294" t="s">
        <v>478</v>
      </c>
      <c r="H40" s="294" t="s">
        <v>474</v>
      </c>
      <c r="I40" s="294">
        <v>1</v>
      </c>
      <c r="J40" s="308" t="str">
        <f t="shared" si="2"/>
        <v>Minivan-GSL</v>
      </c>
      <c r="K40" s="324">
        <f>$I40*IF($G40="Pickup", SUMIFS(NewEmisData!E:E, NewEmisData!$A:$A, "Pickup", NewEmisData!$B:$B, $A40, NewEmisData!$C:$C, $H40, NewEmisData!$D:$D, K$2), SUMIFS(NewEmisData!E:E, NewEmisData!$A:$A, "LDV", NewEmisData!$B:$B, $A40, NewEmisData!$C:$C, $H40, NewEmisData!$D:$D, K$2))</f>
        <v>477.08587282575797</v>
      </c>
      <c r="L40" s="324">
        <f>$I40*IF($G40="Pickup", SUMIFS(NewEmisData!F:F, NewEmisData!$A:$A, "Pickup", NewEmisData!$B:$B, $A40, NewEmisData!$C:$C, $H40, NewEmisData!$D:$D, L$2), SUMIFS(NewEmisData!F:F, NewEmisData!$A:$A, "LDV", NewEmisData!$B:$B, $A40, NewEmisData!$C:$C, $H40, NewEmisData!$D:$D, L$2))</f>
        <v>459.34104292251902</v>
      </c>
      <c r="M40" s="324">
        <f>$I40*IF($G40="Pickup", SUMIFS(NewEmisData!G:G, NewEmisData!$A:$A, "Pickup", NewEmisData!$B:$B, $A40, NewEmisData!$C:$C, $H40, NewEmisData!$D:$D, M$2), SUMIFS(NewEmisData!G:G, NewEmisData!$A:$A, "LDV", NewEmisData!$B:$B, $A40, NewEmisData!$C:$C, $H40, NewEmisData!$D:$D, M$2))</f>
        <v>447.45896927637102</v>
      </c>
      <c r="N40" s="324">
        <f>$I40*IF($G40="Pickup", SUMIFS(NewEmisData!H:H, NewEmisData!$A:$A, "Pickup", NewEmisData!$B:$B, $A40, NewEmisData!$C:$C, $H40, NewEmisData!$D:$D, N$2), SUMIFS(NewEmisData!H:H, NewEmisData!$A:$A, "LDV", NewEmisData!$B:$B, $A40, NewEmisData!$C:$C, $H40, NewEmisData!$D:$D, N$2))</f>
        <v>380.72392677964001</v>
      </c>
      <c r="O40" s="324">
        <f>$I40*IF($G40="Pickup", SUMIFS(NewEmisData!I:I, NewEmisData!$A:$A, "Pickup", NewEmisData!$B:$B, $A40, NewEmisData!$C:$C, $H40, NewEmisData!$D:$D, O$2), SUMIFS(NewEmisData!I:I, NewEmisData!$A:$A, "LDV", NewEmisData!$B:$B, $A40, NewEmisData!$C:$C, $H40, NewEmisData!$D:$D, O$2))</f>
        <v>329.54737069801098</v>
      </c>
      <c r="P40" s="324">
        <f>$I40*IF($G40="Pickup", SUMIFS(NewEmisData!J:J, NewEmisData!$A:$A, "Pickup", NewEmisData!$B:$B, $A40, NewEmisData!$C:$C, $H40, NewEmisData!$D:$D, P$2), SUMIFS(NewEmisData!J:J, NewEmisData!$A:$A, "LDV", NewEmisData!$B:$B, $A40, NewEmisData!$C:$C, $H40, NewEmisData!$D:$D, P$2))</f>
        <v>300.69829568412598</v>
      </c>
      <c r="Q40" s="324">
        <f>$I40*IF($G40="Pickup", SUMIFS(NewEmisData!K:K, NewEmisData!$A:$A, "Pickup", NewEmisData!$B:$B, $A40, NewEmisData!$C:$C, $H40, NewEmisData!$D:$D, Q$2), SUMIFS(NewEmisData!K:K, NewEmisData!$A:$A, "LDV", NewEmisData!$B:$B, $A40, NewEmisData!$C:$C, $H40, NewEmisData!$D:$D, Q$2))</f>
        <v>287.83799703632701</v>
      </c>
      <c r="R40" s="324">
        <f>$I40*IF($G40="Pickup", SUMIFS(NewEmisData!L:L, NewEmisData!$A:$A, "Pickup", NewEmisData!$B:$B, $A40, NewEmisData!$C:$C, $H40, NewEmisData!$D:$D, R$2), SUMIFS(NewEmisData!L:L, NewEmisData!$A:$A, "LDV", NewEmisData!$B:$B, $A40, NewEmisData!$C:$C, $H40, NewEmisData!$D:$D, R$2))</f>
        <v>283.26610797837998</v>
      </c>
      <c r="S40" s="324">
        <f>$I40*IF($G40="Pickup", SUMIFS(NewEmisData!M:M, NewEmisData!$A:$A, "Pickup", NewEmisData!$B:$B, $A40, NewEmisData!$C:$C, $H40, NewEmisData!$D:$D, S$2), SUMIFS(NewEmisData!M:M, NewEmisData!$A:$A, "LDV", NewEmisData!$B:$B, $A40, NewEmisData!$C:$C, $H40, NewEmisData!$D:$D, S$2))</f>
        <v>281.57834098528099</v>
      </c>
      <c r="T40" s="324">
        <f t="shared" si="5"/>
        <v>281.57834098528099</v>
      </c>
      <c r="U40" s="324">
        <f>$I40*IF($G40="Pickup", SUMIFS(NewEmisData!E:E, NewEmisData!$A:$A, "Pickup", NewEmisData!$B:$B, $A40, NewEmisData!$C:$C, $H40, NewEmisData!$D:$D, U$2), SUMIFS(NewEmisData!E:E, NewEmisData!$A:$A, "LDV", NewEmisData!$B:$B, $A40, NewEmisData!$C:$C, $H40, NewEmisData!$D:$D, U$2))</f>
        <v>0.82339103642645395</v>
      </c>
      <c r="V40" s="324">
        <f>$I40*IF($G40="Pickup", SUMIFS(NewEmisData!F:F, NewEmisData!$A:$A, "Pickup", NewEmisData!$B:$B, $A40, NewEmisData!$C:$C, $H40, NewEmisData!$D:$D, V$2), SUMIFS(NewEmisData!F:F, NewEmisData!$A:$A, "LDV", NewEmisData!$B:$B, $A40, NewEmisData!$C:$C, $H40, NewEmisData!$D:$D, V$2))</f>
        <v>0.360872733315452</v>
      </c>
      <c r="W40" s="324">
        <f>$I40*IF($G40="Pickup", SUMIFS(NewEmisData!G:G, NewEmisData!$A:$A, "Pickup", NewEmisData!$B:$B, $A40, NewEmisData!$C:$C, $H40, NewEmisData!$D:$D, W$2), SUMIFS(NewEmisData!G:G, NewEmisData!$A:$A, "LDV", NewEmisData!$B:$B, $A40, NewEmisData!$C:$C, $H40, NewEmisData!$D:$D, W$2))</f>
        <v>0.21658171178065999</v>
      </c>
      <c r="X40" s="324">
        <f>$I40*IF($G40="Pickup", SUMIFS(NewEmisData!H:H, NewEmisData!$A:$A, "Pickup", NewEmisData!$B:$B, $A40, NewEmisData!$C:$C, $H40, NewEmisData!$D:$D, X$2), SUMIFS(NewEmisData!H:H, NewEmisData!$A:$A, "LDV", NewEmisData!$B:$B, $A40, NewEmisData!$C:$C, $H40, NewEmisData!$D:$D, X$2))</f>
        <v>0.14200533002195401</v>
      </c>
      <c r="Y40" s="324">
        <f>$I40*IF($G40="Pickup", SUMIFS(NewEmisData!I:I, NewEmisData!$A:$A, "Pickup", NewEmisData!$B:$B, $A40, NewEmisData!$C:$C, $H40, NewEmisData!$D:$D, Y$2), SUMIFS(NewEmisData!I:I, NewEmisData!$A:$A, "LDV", NewEmisData!$B:$B, $A40, NewEmisData!$C:$C, $H40, NewEmisData!$D:$D, Y$2))</f>
        <v>8.8016804659711706E-2</v>
      </c>
      <c r="Z40" s="324">
        <f>$I40*IF($G40="Pickup", SUMIFS(NewEmisData!J:J, NewEmisData!$A:$A, "Pickup", NewEmisData!$B:$B, $A40, NewEmisData!$C:$C, $H40, NewEmisData!$D:$D, Z$2), SUMIFS(NewEmisData!J:J, NewEmisData!$A:$A, "LDV", NewEmisData!$B:$B, $A40, NewEmisData!$C:$C, $H40, NewEmisData!$D:$D, Z$2))</f>
        <v>6.5736379947852003E-2</v>
      </c>
      <c r="AA40" s="324">
        <f>$I40*IF($G40="Pickup", SUMIFS(NewEmisData!K:K, NewEmisData!$A:$A, "Pickup", NewEmisData!$B:$B, $A40, NewEmisData!$C:$C, $H40, NewEmisData!$D:$D, AA$2), SUMIFS(NewEmisData!K:K, NewEmisData!$A:$A, "LDV", NewEmisData!$B:$B, $A40, NewEmisData!$C:$C, $H40, NewEmisData!$D:$D, AA$2))</f>
        <v>5.6635638117250503E-2</v>
      </c>
      <c r="AB40" s="324">
        <f>$I40*IF($G40="Pickup", SUMIFS(NewEmisData!L:L, NewEmisData!$A:$A, "Pickup", NewEmisData!$B:$B, $A40, NewEmisData!$C:$C, $H40, NewEmisData!$D:$D, AB$2), SUMIFS(NewEmisData!L:L, NewEmisData!$A:$A, "LDV", NewEmisData!$B:$B, $A40, NewEmisData!$C:$C, $H40, NewEmisData!$D:$D, AB$2))</f>
        <v>5.4115247223223299E-2</v>
      </c>
      <c r="AC40" s="324">
        <f>$I40*IF($G40="Pickup", SUMIFS(NewEmisData!M:M, NewEmisData!$A:$A, "Pickup", NewEmisData!$B:$B, $A40, NewEmisData!$C:$C, $H40, NewEmisData!$D:$D, AC$2), SUMIFS(NewEmisData!M:M, NewEmisData!$A:$A, "LDV", NewEmisData!$B:$B, $A40, NewEmisData!$C:$C, $H40, NewEmisData!$D:$D, AC$2))</f>
        <v>5.2826207223764E-2</v>
      </c>
      <c r="AD40" s="324">
        <f t="shared" si="6"/>
        <v>5.2826207223764E-2</v>
      </c>
      <c r="AE40" s="324">
        <f>$I40*IF($G40="Pickup", SUMIFS(NewEmisData!E:E, NewEmisData!$A:$A, "Pickup", NewEmisData!$B:$B, $A40, NewEmisData!$C:$C, $H40, NewEmisData!$D:$D, AE$2), SUMIFS(NewEmisData!E:E, NewEmisData!$A:$A, "LDV", NewEmisData!$B:$B, $A40, NewEmisData!$C:$C, $H40, NewEmisData!$D:$D, AE$2))</f>
        <v>8.2552586035919695E-3</v>
      </c>
      <c r="AF40" s="324">
        <f>$I40*IF($G40="Pickup", SUMIFS(NewEmisData!F:F, NewEmisData!$A:$A, "Pickup", NewEmisData!$B:$B, $A40, NewEmisData!$C:$C, $H40, NewEmisData!$D:$D, AF$2), SUMIFS(NewEmisData!F:F, NewEmisData!$A:$A, "LDV", NewEmisData!$B:$B, $A40, NewEmisData!$C:$C, $H40, NewEmisData!$D:$D, AF$2))</f>
        <v>7.9482131517538395E-3</v>
      </c>
      <c r="AG40" s="324">
        <f>$I40*IF($G40="Pickup", SUMIFS(NewEmisData!G:G, NewEmisData!$A:$A, "Pickup", NewEmisData!$B:$B, $A40, NewEmisData!$C:$C, $H40, NewEmisData!$D:$D, AG$2), SUMIFS(NewEmisData!G:G, NewEmisData!$A:$A, "LDV", NewEmisData!$B:$B, $A40, NewEmisData!$C:$C, $H40, NewEmisData!$D:$D, AG$2))</f>
        <v>6.4190305556059996E-3</v>
      </c>
      <c r="AH40" s="324">
        <f>$I40*IF($G40="Pickup", SUMIFS(NewEmisData!H:H, NewEmisData!$A:$A, "Pickup", NewEmisData!$B:$B, $A40, NewEmisData!$C:$C, $H40, NewEmisData!$D:$D, AH$2), SUMIFS(NewEmisData!H:H, NewEmisData!$A:$A, "LDV", NewEmisData!$B:$B, $A40, NewEmisData!$C:$C, $H40, NewEmisData!$D:$D, AH$2))</f>
        <v>5.4616828003907899E-3</v>
      </c>
      <c r="AI40" s="324">
        <f>$I40*IF($G40="Pickup", SUMIFS(NewEmisData!I:I, NewEmisData!$A:$A, "Pickup", NewEmisData!$B:$B, $A40, NewEmisData!$C:$C, $H40, NewEmisData!$D:$D, AI$2), SUMIFS(NewEmisData!I:I, NewEmisData!$A:$A, "LDV", NewEmisData!$B:$B, $A40, NewEmisData!$C:$C, $H40, NewEmisData!$D:$D, AI$2))</f>
        <v>4.7275285851957304E-3</v>
      </c>
      <c r="AJ40" s="324">
        <f>$I40*IF($G40="Pickup", SUMIFS(NewEmisData!J:J, NewEmisData!$A:$A, "Pickup", NewEmisData!$B:$B, $A40, NewEmisData!$C:$C, $H40, NewEmisData!$D:$D, AJ$2), SUMIFS(NewEmisData!J:J, NewEmisData!$A:$A, "LDV", NewEmisData!$B:$B, $A40, NewEmisData!$C:$C, $H40, NewEmisData!$D:$D, AJ$2))</f>
        <v>4.3136734611450098E-3</v>
      </c>
      <c r="AK40" s="324">
        <f>$I40*IF($G40="Pickup", SUMIFS(NewEmisData!K:K, NewEmisData!$A:$A, "Pickup", NewEmisData!$B:$B, $A40, NewEmisData!$C:$C, $H40, NewEmisData!$D:$D, AK$2), SUMIFS(NewEmisData!K:K, NewEmisData!$A:$A, "LDV", NewEmisData!$B:$B, $A40, NewEmisData!$C:$C, $H40, NewEmisData!$D:$D, AK$2))</f>
        <v>4.1291858052272803E-3</v>
      </c>
      <c r="AL40" s="324">
        <f>$I40*IF($G40="Pickup", SUMIFS(NewEmisData!L:L, NewEmisData!$A:$A, "Pickup", NewEmisData!$B:$B, $A40, NewEmisData!$C:$C, $H40, NewEmisData!$D:$D, AL$2), SUMIFS(NewEmisData!L:L, NewEmisData!$A:$A, "LDV", NewEmisData!$B:$B, $A40, NewEmisData!$C:$C, $H40, NewEmisData!$D:$D, AL$2))</f>
        <v>4.0635983922117898E-3</v>
      </c>
      <c r="AM40" s="324">
        <f>$I40*IF($G40="Pickup", SUMIFS(NewEmisData!M:M, NewEmisData!$A:$A, "Pickup", NewEmisData!$B:$B, $A40, NewEmisData!$C:$C, $H40, NewEmisData!$D:$D, AM$2), SUMIFS(NewEmisData!M:M, NewEmisData!$A:$A, "LDV", NewEmisData!$B:$B, $A40, NewEmisData!$C:$C, $H40, NewEmisData!$D:$D, AM$2))</f>
        <v>4.0393864318059199E-3</v>
      </c>
      <c r="AN40" s="324">
        <f t="shared" si="7"/>
        <v>4.0393864318059199E-3</v>
      </c>
      <c r="AO40" s="324">
        <f>$I40*IF($G40="Pickup", SUMIFS(NewEmisData!E:E, NewEmisData!$A:$A, "Pickup", NewEmisData!$B:$B, $A40, NewEmisData!$C:$C, $H40, NewEmisData!$D:$D, AO$2), SUMIFS(NewEmisData!E:E, NewEmisData!$A:$A, "LDV", NewEmisData!$B:$B, $A40, NewEmisData!$C:$C, $H40, NewEmisData!$D:$D, AO$2))</f>
        <v>8.1828643727713493E-2</v>
      </c>
      <c r="AP40" s="324">
        <f>$I40*IF($G40="Pickup", SUMIFS(NewEmisData!F:F, NewEmisData!$A:$A, "Pickup", NewEmisData!$B:$B, $A40, NewEmisData!$C:$C, $H40, NewEmisData!$D:$D, AP$2), SUMIFS(NewEmisData!F:F, NewEmisData!$A:$A, "LDV", NewEmisData!$B:$B, $A40, NewEmisData!$C:$C, $H40, NewEmisData!$D:$D, AP$2))</f>
        <v>7.6175839057221195E-2</v>
      </c>
      <c r="AQ40" s="324">
        <f>$I40*IF($G40="Pickup", SUMIFS(NewEmisData!G:G, NewEmisData!$A:$A, "Pickup", NewEmisData!$B:$B, $A40, NewEmisData!$C:$C, $H40, NewEmisData!$D:$D, AQ$2), SUMIFS(NewEmisData!G:G, NewEmisData!$A:$A, "LDV", NewEmisData!$B:$B, $A40, NewEmisData!$C:$C, $H40, NewEmisData!$D:$D, AQ$2))</f>
        <v>8.1302809072104507E-2</v>
      </c>
      <c r="AR40" s="324">
        <f>$I40*IF($G40="Pickup", SUMIFS(NewEmisData!H:H, NewEmisData!$A:$A, "Pickup", NewEmisData!$B:$B, $A40, NewEmisData!$C:$C, $H40, NewEmisData!$D:$D, AR$2), SUMIFS(NewEmisData!H:H, NewEmisData!$A:$A, "LDV", NewEmisData!$B:$B, $A40, NewEmisData!$C:$C, $H40, NewEmisData!$D:$D, AR$2))</f>
        <v>7.9561688690416299E-2</v>
      </c>
      <c r="AS40" s="324">
        <f>$I40*IF($G40="Pickup", SUMIFS(NewEmisData!I:I, NewEmisData!$A:$A, "Pickup", NewEmisData!$B:$B, $A40, NewEmisData!$C:$C, $H40, NewEmisData!$D:$D, AS$2), SUMIFS(NewEmisData!I:I, NewEmisData!$A:$A, "LDV", NewEmisData!$B:$B, $A40, NewEmisData!$C:$C, $H40, NewEmisData!$D:$D, AS$2))</f>
        <v>7.7910530261031605E-2</v>
      </c>
      <c r="AT40" s="324">
        <f>$I40*IF($G40="Pickup", SUMIFS(NewEmisData!J:J, NewEmisData!$A:$A, "Pickup", NewEmisData!$B:$B, $A40, NewEmisData!$C:$C, $H40, NewEmisData!$D:$D, AT$2), SUMIFS(NewEmisData!J:J, NewEmisData!$A:$A, "LDV", NewEmisData!$B:$B, $A40, NewEmisData!$C:$C, $H40, NewEmisData!$D:$D, AT$2))</f>
        <v>7.6590334474495605E-2</v>
      </c>
      <c r="AU40" s="324">
        <f>$I40*IF($G40="Pickup", SUMIFS(NewEmisData!K:K, NewEmisData!$A:$A, "Pickup", NewEmisData!$B:$B, $A40, NewEmisData!$C:$C, $H40, NewEmisData!$D:$D, AU$2), SUMIFS(NewEmisData!K:K, NewEmisData!$A:$A, "LDV", NewEmisData!$B:$B, $A40, NewEmisData!$C:$C, $H40, NewEmisData!$D:$D, AU$2))</f>
        <v>7.5767938917924701E-2</v>
      </c>
      <c r="AV40" s="324">
        <f>$I40*IF($G40="Pickup", SUMIFS(NewEmisData!L:L, NewEmisData!$A:$A, "Pickup", NewEmisData!$B:$B, $A40, NewEmisData!$C:$C, $H40, NewEmisData!$D:$D, AV$2), SUMIFS(NewEmisData!L:L, NewEmisData!$A:$A, "LDV", NewEmisData!$B:$B, $A40, NewEmisData!$C:$C, $H40, NewEmisData!$D:$D, AV$2))</f>
        <v>7.5353710070808794E-2</v>
      </c>
      <c r="AW40" s="324">
        <f>$I40*IF($G40="Pickup", SUMIFS(NewEmisData!M:M, NewEmisData!$A:$A, "Pickup", NewEmisData!$B:$B, $A40, NewEmisData!$C:$C, $H40, NewEmisData!$D:$D, AW$2), SUMIFS(NewEmisData!M:M, NewEmisData!$A:$A, "LDV", NewEmisData!$B:$B, $A40, NewEmisData!$C:$C, $H40, NewEmisData!$D:$D, AW$2))</f>
        <v>7.5117977052891499E-2</v>
      </c>
      <c r="AX40" s="324">
        <f t="shared" si="8"/>
        <v>7.5117977052891499E-2</v>
      </c>
      <c r="AY40" s="324">
        <f>$I40*IF($G40="Pickup", SUMIFS(NewEmisData!E:E, NewEmisData!$A:$A, "Pickup", NewEmisData!$B:$B, $A40, NewEmisData!$C:$C, $H40, NewEmisData!$D:$D, AY$2), SUMIFS(NewEmisData!E:E, NewEmisData!$A:$A, "LDV", NewEmisData!$B:$B, $A40, NewEmisData!$C:$C, $H40, NewEmisData!$D:$D, AY$2))</f>
        <v>2.1998193760633E-2</v>
      </c>
      <c r="AZ40" s="324">
        <f>$I40*IF($G40="Pickup", SUMIFS(NewEmisData!F:F, NewEmisData!$A:$A, "Pickup", NewEmisData!$B:$B, $A40, NewEmisData!$C:$C, $H40, NewEmisData!$D:$D, AZ$2), SUMIFS(NewEmisData!F:F, NewEmisData!$A:$A, "LDV", NewEmisData!$B:$B, $A40, NewEmisData!$C:$C, $H40, NewEmisData!$D:$D, AZ$2))</f>
        <v>1.6997575378008601E-2</v>
      </c>
      <c r="BA40" s="324">
        <f>$I40*IF($G40="Pickup", SUMIFS(NewEmisData!G:G, NewEmisData!$A:$A, "Pickup", NewEmisData!$B:$B, $A40, NewEmisData!$C:$C, $H40, NewEmisData!$D:$D, BA$2), SUMIFS(NewEmisData!G:G, NewEmisData!$A:$A, "LDV", NewEmisData!$B:$B, $A40, NewEmisData!$C:$C, $H40, NewEmisData!$D:$D, BA$2))</f>
        <v>1.6580879412419602E-2</v>
      </c>
      <c r="BB40" s="324">
        <f>$I40*IF($G40="Pickup", SUMIFS(NewEmisData!H:H, NewEmisData!$A:$A, "Pickup", NewEmisData!$B:$B, $A40, NewEmisData!$C:$C, $H40, NewEmisData!$D:$D, BB$2), SUMIFS(NewEmisData!H:H, NewEmisData!$A:$A, "LDV", NewEmisData!$B:$B, $A40, NewEmisData!$C:$C, $H40, NewEmisData!$D:$D, BB$2))</f>
        <v>1.5040645169031801E-2</v>
      </c>
      <c r="BC40" s="324">
        <f>$I40*IF($G40="Pickup", SUMIFS(NewEmisData!I:I, NewEmisData!$A:$A, "Pickup", NewEmisData!$B:$B, $A40, NewEmisData!$C:$C, $H40, NewEmisData!$D:$D, BC$2), SUMIFS(NewEmisData!I:I, NewEmisData!$A:$A, "LDV", NewEmisData!$B:$B, $A40, NewEmisData!$C:$C, $H40, NewEmisData!$D:$D, BC$2))</f>
        <v>1.35799610150696E-2</v>
      </c>
      <c r="BD40" s="324">
        <f>$I40*IF($G40="Pickup", SUMIFS(NewEmisData!J:J, NewEmisData!$A:$A, "Pickup", NewEmisData!$B:$B, $A40, NewEmisData!$C:$C, $H40, NewEmisData!$D:$D, BD$2), SUMIFS(NewEmisData!J:J, NewEmisData!$A:$A, "LDV", NewEmisData!$B:$B, $A40, NewEmisData!$C:$C, $H40, NewEmisData!$D:$D, BD$2))</f>
        <v>1.24120667817219E-2</v>
      </c>
      <c r="BE40" s="324">
        <f>$I40*IF($G40="Pickup", SUMIFS(NewEmisData!K:K, NewEmisData!$A:$A, "Pickup", NewEmisData!$B:$B, $A40, NewEmisData!$C:$C, $H40, NewEmisData!$D:$D, BE$2), SUMIFS(NewEmisData!K:K, NewEmisData!$A:$A, "LDV", NewEmisData!$B:$B, $A40, NewEmisData!$C:$C, $H40, NewEmisData!$D:$D, BE$2))</f>
        <v>1.16845073314224E-2</v>
      </c>
      <c r="BF40" s="324">
        <f>$I40*IF($G40="Pickup", SUMIFS(NewEmisData!L:L, NewEmisData!$A:$A, "Pickup", NewEmisData!$B:$B, $A40, NewEmisData!$C:$C, $H40, NewEmisData!$D:$D, BF$2), SUMIFS(NewEmisData!L:L, NewEmisData!$A:$A, "LDV", NewEmisData!$B:$B, $A40, NewEmisData!$C:$C, $H40, NewEmisData!$D:$D, BF$2))</f>
        <v>1.1318096390010799E-2</v>
      </c>
      <c r="BG40" s="324">
        <f>$I40*IF($G40="Pickup", SUMIFS(NewEmisData!M:M, NewEmisData!$A:$A, "Pickup", NewEmisData!$B:$B, $A40, NewEmisData!$C:$C, $H40, NewEmisData!$D:$D, BG$2), SUMIFS(NewEmisData!M:M, NewEmisData!$A:$A, "LDV", NewEmisData!$B:$B, $A40, NewEmisData!$C:$C, $H40, NewEmisData!$D:$D, BG$2))</f>
        <v>1.1109456757731499E-2</v>
      </c>
      <c r="BH40" s="324">
        <f t="shared" si="9"/>
        <v>1.1109456757731499E-2</v>
      </c>
      <c r="BI40" s="324">
        <f>$I40*IF($G40="Pickup", SUMIFS(NewEmisData!E:E, NewEmisData!$A:$A, "Pickup", NewEmisData!$B:$B, $A40, NewEmisData!$C:$C, $H40, NewEmisData!$D:$D, BI$2), SUMIFS(NewEmisData!E:E, NewEmisData!$A:$A, "LDV", NewEmisData!$B:$B, $A40, NewEmisData!$C:$C, $H40, NewEmisData!$D:$D, BI$2))</f>
        <v>6.6339830086865597</v>
      </c>
      <c r="BJ40" s="324">
        <f>$I40*IF($G40="Pickup", SUMIFS(NewEmisData!F:F, NewEmisData!$A:$A, "Pickup", NewEmisData!$B:$B, $A40, NewEmisData!$C:$C, $H40, NewEmisData!$D:$D, BJ$2), SUMIFS(NewEmisData!F:F, NewEmisData!$A:$A, "LDV", NewEmisData!$B:$B, $A40, NewEmisData!$C:$C, $H40, NewEmisData!$D:$D, BJ$2))</f>
        <v>3.9206205551931301</v>
      </c>
      <c r="BK40" s="324">
        <f>$I40*IF($G40="Pickup", SUMIFS(NewEmisData!G:G, NewEmisData!$A:$A, "Pickup", NewEmisData!$B:$B, $A40, NewEmisData!$C:$C, $H40, NewEmisData!$D:$D, BK$2), SUMIFS(NewEmisData!G:G, NewEmisData!$A:$A, "LDV", NewEmisData!$B:$B, $A40, NewEmisData!$C:$C, $H40, NewEmisData!$D:$D, BK$2))</f>
        <v>3.0174466275096199</v>
      </c>
      <c r="BL40" s="324">
        <f>$I40*IF($G40="Pickup", SUMIFS(NewEmisData!H:H, NewEmisData!$A:$A, "Pickup", NewEmisData!$B:$B, $A40, NewEmisData!$C:$C, $H40, NewEmisData!$D:$D, BL$2), SUMIFS(NewEmisData!H:H, NewEmisData!$A:$A, "LDV", NewEmisData!$B:$B, $A40, NewEmisData!$C:$C, $H40, NewEmisData!$D:$D, BL$2))</f>
        <v>2.3529221673804699</v>
      </c>
      <c r="BM40" s="324">
        <f>$I40*IF($G40="Pickup", SUMIFS(NewEmisData!I:I, NewEmisData!$A:$A, "Pickup", NewEmisData!$B:$B, $A40, NewEmisData!$C:$C, $H40, NewEmisData!$D:$D, BM$2), SUMIFS(NewEmisData!I:I, NewEmisData!$A:$A, "LDV", NewEmisData!$B:$B, $A40, NewEmisData!$C:$C, $H40, NewEmisData!$D:$D, BM$2))</f>
        <v>1.70384058027793</v>
      </c>
      <c r="BN40" s="324">
        <f>$I40*IF($G40="Pickup", SUMIFS(NewEmisData!J:J, NewEmisData!$A:$A, "Pickup", NewEmisData!$B:$B, $A40, NewEmisData!$C:$C, $H40, NewEmisData!$D:$D, BN$2), SUMIFS(NewEmisData!J:J, NewEmisData!$A:$A, "LDV", NewEmisData!$B:$B, $A40, NewEmisData!$C:$C, $H40, NewEmisData!$D:$D, BN$2))</f>
        <v>1.3463730618004399</v>
      </c>
      <c r="BO40" s="324">
        <f>$I40*IF($G40="Pickup", SUMIFS(NewEmisData!K:K, NewEmisData!$A:$A, "Pickup", NewEmisData!$B:$B, $A40, NewEmisData!$C:$C, $H40, NewEmisData!$D:$D, BO$2), SUMIFS(NewEmisData!K:K, NewEmisData!$A:$A, "LDV", NewEmisData!$B:$B, $A40, NewEmisData!$C:$C, $H40, NewEmisData!$D:$D, BO$2))</f>
        <v>1.1858346520835299</v>
      </c>
      <c r="BP40" s="324">
        <f>$I40*IF($G40="Pickup", SUMIFS(NewEmisData!L:L, NewEmisData!$A:$A, "Pickup", NewEmisData!$B:$B, $A40, NewEmisData!$C:$C, $H40, NewEmisData!$D:$D, BP$2), SUMIFS(NewEmisData!L:L, NewEmisData!$A:$A, "LDV", NewEmisData!$B:$B, $A40, NewEmisData!$C:$C, $H40, NewEmisData!$D:$D, BP$2))</f>
        <v>1.1335061554616499</v>
      </c>
      <c r="BQ40" s="324">
        <f>$I40*IF($G40="Pickup", SUMIFS(NewEmisData!M:M, NewEmisData!$A:$A, "Pickup", NewEmisData!$B:$B, $A40, NewEmisData!$C:$C, $H40, NewEmisData!$D:$D, BQ$2), SUMIFS(NewEmisData!M:M, NewEmisData!$A:$A, "LDV", NewEmisData!$B:$B, $A40, NewEmisData!$C:$C, $H40, NewEmisData!$D:$D, BQ$2))</f>
        <v>1.1009029054349999</v>
      </c>
      <c r="BR40" s="324">
        <f t="shared" si="10"/>
        <v>1.1009029054349999</v>
      </c>
      <c r="BS40" s="324">
        <f>$I40*IF($G40="Pickup", SUMIFS(NewEmisData!E:E, NewEmisData!$A:$A, "Pickup", NewEmisData!$B:$B, $A40, NewEmisData!$C:$C, $H40, NewEmisData!$D:$D, BS$2), SUMIFS(NewEmisData!E:E, NewEmisData!$A:$A, "LDV", NewEmisData!$B:$B, $A40, NewEmisData!$C:$C, $H40, NewEmisData!$D:$D, BS$2))</f>
        <v>0.77473150733664098</v>
      </c>
      <c r="BT40" s="324">
        <f>$I40*IF($G40="Pickup", SUMIFS(NewEmisData!F:F, NewEmisData!$A:$A, "Pickup", NewEmisData!$B:$B, $A40, NewEmisData!$C:$C, $H40, NewEmisData!$D:$D, BT$2), SUMIFS(NewEmisData!F:F, NewEmisData!$A:$A, "LDV", NewEmisData!$B:$B, $A40, NewEmisData!$C:$C, $H40, NewEmisData!$D:$D, BT$2))</f>
        <v>0.41904908416840297</v>
      </c>
      <c r="BU40" s="324">
        <f>$I40*IF($G40="Pickup", SUMIFS(NewEmisData!G:G, NewEmisData!$A:$A, "Pickup", NewEmisData!$B:$B, $A40, NewEmisData!$C:$C, $H40, NewEmisData!$D:$D, BU$2), SUMIFS(NewEmisData!G:G, NewEmisData!$A:$A, "LDV", NewEmisData!$B:$B, $A40, NewEmisData!$C:$C, $H40, NewEmisData!$D:$D, BU$2))</f>
        <v>0.30982899515166501</v>
      </c>
      <c r="BV40" s="324">
        <f>$I40*IF($G40="Pickup", SUMIFS(NewEmisData!H:H, NewEmisData!$A:$A, "Pickup", NewEmisData!$B:$B, $A40, NewEmisData!$C:$C, $H40, NewEmisData!$D:$D, BV$2), SUMIFS(NewEmisData!H:H, NewEmisData!$A:$A, "LDV", NewEmisData!$B:$B, $A40, NewEmisData!$C:$C, $H40, NewEmisData!$D:$D, BV$2))</f>
        <v>0.25046259079934602</v>
      </c>
      <c r="BW40" s="324">
        <f>$I40*IF($G40="Pickup", SUMIFS(NewEmisData!I:I, NewEmisData!$A:$A, "Pickup", NewEmisData!$B:$B, $A40, NewEmisData!$C:$C, $H40, NewEmisData!$D:$D, BW$2), SUMIFS(NewEmisData!I:I, NewEmisData!$A:$A, "LDV", NewEmisData!$B:$B, $A40, NewEmisData!$C:$C, $H40, NewEmisData!$D:$D, BW$2))</f>
        <v>0.18616224227516101</v>
      </c>
      <c r="BX40" s="324">
        <f>$I40*IF($G40="Pickup", SUMIFS(NewEmisData!J:J, NewEmisData!$A:$A, "Pickup", NewEmisData!$B:$B, $A40, NewEmisData!$C:$C, $H40, NewEmisData!$D:$D, BX$2), SUMIFS(NewEmisData!J:J, NewEmisData!$A:$A, "LDV", NewEmisData!$B:$B, $A40, NewEmisData!$C:$C, $H40, NewEmisData!$D:$D, BX$2))</f>
        <v>0.15683046751729501</v>
      </c>
      <c r="BY40" s="324">
        <f>$I40*IF($G40="Pickup", SUMIFS(NewEmisData!K:K, NewEmisData!$A:$A, "Pickup", NewEmisData!$B:$B, $A40, NewEmisData!$C:$C, $H40, NewEmisData!$D:$D, BY$2), SUMIFS(NewEmisData!K:K, NewEmisData!$A:$A, "LDV", NewEmisData!$B:$B, $A40, NewEmisData!$C:$C, $H40, NewEmisData!$D:$D, BY$2))</f>
        <v>0.14094000257929501</v>
      </c>
      <c r="BZ40" s="324">
        <f>$I40*IF($G40="Pickup", SUMIFS(NewEmisData!L:L, NewEmisData!$A:$A, "Pickup", NewEmisData!$B:$B, $A40, NewEmisData!$C:$C, $H40, NewEmisData!$D:$D, BZ$2), SUMIFS(NewEmisData!L:L, NewEmisData!$A:$A, "LDV", NewEmisData!$B:$B, $A40, NewEmisData!$C:$C, $H40, NewEmisData!$D:$D, BZ$2))</f>
        <v>0.134774071356623</v>
      </c>
      <c r="CA40" s="324">
        <f>$I40*IF($G40="Pickup", SUMIFS(NewEmisData!M:M, NewEmisData!$A:$A, "Pickup", NewEmisData!$B:$B, $A40, NewEmisData!$C:$C, $H40, NewEmisData!$D:$D, CA$2), SUMIFS(NewEmisData!M:M, NewEmisData!$A:$A, "LDV", NewEmisData!$B:$B, $A40, NewEmisData!$C:$C, $H40, NewEmisData!$D:$D, CA$2))</f>
        <v>0.12984032725640701</v>
      </c>
      <c r="CB40" s="324">
        <f t="shared" si="11"/>
        <v>0.12984032725640701</v>
      </c>
      <c r="CC40" s="324">
        <f>$I40*IF($G40="Pickup", SUMIFS(NewEmisData!E:E, NewEmisData!$A:$A, "Pickup", NewEmisData!$B:$B, $A40, NewEmisData!$C:$C, $H40, NewEmisData!$D:$D, CC$2), SUMIFS(NewEmisData!E:E, NewEmisData!$A:$A, "LDV", NewEmisData!$B:$B, $A40, NewEmisData!$C:$C, $H40, NewEmisData!$D:$D, CC$2))</f>
        <v>4.52789246362666E-2</v>
      </c>
      <c r="CD40" s="324">
        <f>$I40*IF($G40="Pickup", SUMIFS(NewEmisData!F:F, NewEmisData!$A:$A, "Pickup", NewEmisData!$B:$B, $A40, NewEmisData!$C:$C, $H40, NewEmisData!$D:$D, CD$2), SUMIFS(NewEmisData!F:F, NewEmisData!$A:$A, "LDV", NewEmisData!$B:$B, $A40, NewEmisData!$C:$C, $H40, NewEmisData!$D:$D, CD$2))</f>
        <v>3.0659932051567799E-2</v>
      </c>
      <c r="CE40" s="324">
        <f>$I40*IF($G40="Pickup", SUMIFS(NewEmisData!G:G, NewEmisData!$A:$A, "Pickup", NewEmisData!$B:$B, $A40, NewEmisData!$C:$C, $H40, NewEmisData!$D:$D, CE$2), SUMIFS(NewEmisData!G:G, NewEmisData!$A:$A, "LDV", NewEmisData!$B:$B, $A40, NewEmisData!$C:$C, $H40, NewEmisData!$D:$D, CE$2))</f>
        <v>2.8386595157116199E-2</v>
      </c>
      <c r="CF40" s="324">
        <f>$I40*IF($G40="Pickup", SUMIFS(NewEmisData!H:H, NewEmisData!$A:$A, "Pickup", NewEmisData!$B:$B, $A40, NewEmisData!$C:$C, $H40, NewEmisData!$D:$D, CF$2), SUMIFS(NewEmisData!H:H, NewEmisData!$A:$A, "LDV", NewEmisData!$B:$B, $A40, NewEmisData!$C:$C, $H40, NewEmisData!$D:$D, CF$2))</f>
        <v>2.7093413499500101E-2</v>
      </c>
      <c r="CG40" s="324">
        <f>$I40*IF($G40="Pickup", SUMIFS(NewEmisData!I:I, NewEmisData!$A:$A, "Pickup", NewEmisData!$B:$B, $A40, NewEmisData!$C:$C, $H40, NewEmisData!$D:$D, CG$2), SUMIFS(NewEmisData!I:I, NewEmisData!$A:$A, "LDV", NewEmisData!$B:$B, $A40, NewEmisData!$C:$C, $H40, NewEmisData!$D:$D, CG$2))</f>
        <v>2.6239574855980601E-2</v>
      </c>
      <c r="CH40" s="324">
        <f>$I40*IF($G40="Pickup", SUMIFS(NewEmisData!J:J, NewEmisData!$A:$A, "Pickup", NewEmisData!$B:$B, $A40, NewEmisData!$C:$C, $H40, NewEmisData!$D:$D, CH$2), SUMIFS(NewEmisData!J:J, NewEmisData!$A:$A, "LDV", NewEmisData!$B:$B, $A40, NewEmisData!$C:$C, $H40, NewEmisData!$D:$D, CH$2))</f>
        <v>2.5564245202349602E-2</v>
      </c>
      <c r="CI40" s="324">
        <f>$I40*IF($G40="Pickup", SUMIFS(NewEmisData!K:K, NewEmisData!$A:$A, "Pickup", NewEmisData!$B:$B, $A40, NewEmisData!$C:$C, $H40, NewEmisData!$D:$D, CI$2), SUMIFS(NewEmisData!K:K, NewEmisData!$A:$A, "LDV", NewEmisData!$B:$B, $A40, NewEmisData!$C:$C, $H40, NewEmisData!$D:$D, CI$2))</f>
        <v>2.5562136009582501E-2</v>
      </c>
      <c r="CJ40" s="324">
        <f>$I40*IF($G40="Pickup", SUMIFS(NewEmisData!L:L, NewEmisData!$A:$A, "Pickup", NewEmisData!$B:$B, $A40, NewEmisData!$C:$C, $H40, NewEmisData!$D:$D, CJ$2), SUMIFS(NewEmisData!L:L, NewEmisData!$A:$A, "LDV", NewEmisData!$B:$B, $A40, NewEmisData!$C:$C, $H40, NewEmisData!$D:$D, CJ$2))</f>
        <v>2.5561539762266602E-2</v>
      </c>
      <c r="CK40" s="324">
        <f>$I40*IF($G40="Pickup", SUMIFS(NewEmisData!M:M, NewEmisData!$A:$A, "Pickup", NewEmisData!$B:$B, $A40, NewEmisData!$C:$C, $H40, NewEmisData!$D:$D, CK$2), SUMIFS(NewEmisData!M:M, NewEmisData!$A:$A, "LDV", NewEmisData!$B:$B, $A40, NewEmisData!$C:$C, $H40, NewEmisData!$D:$D, CK$2))</f>
        <v>2.5560994254839702E-2</v>
      </c>
      <c r="CL40" s="324">
        <f t="shared" si="12"/>
        <v>2.5560994254839702E-2</v>
      </c>
      <c r="CM40" s="324">
        <f>$I40*IF($G40="Pickup", SUMIFS(NewEmisData!E:E, NewEmisData!$A:$A, "Pickup", NewEmisData!$B:$B, $A40, NewEmisData!$C:$C, $H40, NewEmisData!$D:$D, CM$2), SUMIFS(NewEmisData!E:E, NewEmisData!$A:$A, "LDV", NewEmisData!$B:$B, $A40, NewEmisData!$C:$C, $H40, NewEmisData!$D:$D, CM$2))</f>
        <v>2.2616228111616499E-2</v>
      </c>
      <c r="CN40" s="324">
        <f>$I40*IF($G40="Pickup", SUMIFS(NewEmisData!F:F, NewEmisData!$A:$A, "Pickup", NewEmisData!$B:$B, $A40, NewEmisData!$C:$C, $H40, NewEmisData!$D:$D, CN$2), SUMIFS(NewEmisData!F:F, NewEmisData!$A:$A, "LDV", NewEmisData!$B:$B, $A40, NewEmisData!$C:$C, $H40, NewEmisData!$D:$D, CN$2))</f>
        <v>1.37039938381133E-2</v>
      </c>
      <c r="CO40" s="324">
        <f>$I40*IF($G40="Pickup", SUMIFS(NewEmisData!G:G, NewEmisData!$A:$A, "Pickup", NewEmisData!$B:$B, $A40, NewEmisData!$C:$C, $H40, NewEmisData!$D:$D, CO$2), SUMIFS(NewEmisData!G:G, NewEmisData!$A:$A, "LDV", NewEmisData!$B:$B, $A40, NewEmisData!$C:$C, $H40, NewEmisData!$D:$D, CO$2))</f>
        <v>1.11279535576189E-2</v>
      </c>
      <c r="CP40" s="324">
        <f>$I40*IF($G40="Pickup", SUMIFS(NewEmisData!H:H, NewEmisData!$A:$A, "Pickup", NewEmisData!$B:$B, $A40, NewEmisData!$C:$C, $H40, NewEmisData!$D:$D, CP$2), SUMIFS(NewEmisData!H:H, NewEmisData!$A:$A, "LDV", NewEmisData!$B:$B, $A40, NewEmisData!$C:$C, $H40, NewEmisData!$D:$D, CP$2))</f>
        <v>9.1642249406405796E-3</v>
      </c>
      <c r="CQ40" s="324">
        <f>$I40*IF($G40="Pickup", SUMIFS(NewEmisData!I:I, NewEmisData!$A:$A, "Pickup", NewEmisData!$B:$B, $A40, NewEmisData!$C:$C, $H40, NewEmisData!$D:$D, CQ$2), SUMIFS(NewEmisData!I:I, NewEmisData!$A:$A, "LDV", NewEmisData!$B:$B, $A40, NewEmisData!$C:$C, $H40, NewEmisData!$D:$D, CQ$2))</f>
        <v>8.2157407295701708E-3</v>
      </c>
      <c r="CR40" s="324">
        <f>$I40*IF($G40="Pickup", SUMIFS(NewEmisData!J:J, NewEmisData!$A:$A, "Pickup", NewEmisData!$B:$B, $A40, NewEmisData!$C:$C, $H40, NewEmisData!$D:$D, CR$2), SUMIFS(NewEmisData!J:J, NewEmisData!$A:$A, "LDV", NewEmisData!$B:$B, $A40, NewEmisData!$C:$C, $H40, NewEmisData!$D:$D, CR$2))</f>
        <v>7.8051702943740097E-3</v>
      </c>
      <c r="CS40" s="324">
        <f>$I40*IF($G40="Pickup", SUMIFS(NewEmisData!K:K, NewEmisData!$A:$A, "Pickup", NewEmisData!$B:$B, $A40, NewEmisData!$C:$C, $H40, NewEmisData!$D:$D, CS$2), SUMIFS(NewEmisData!K:K, NewEmisData!$A:$A, "LDV", NewEmisData!$B:$B, $A40, NewEmisData!$C:$C, $H40, NewEmisData!$D:$D, CS$2))</f>
        <v>7.7607552788062101E-3</v>
      </c>
      <c r="CT40" s="324">
        <f>$I40*IF($G40="Pickup", SUMIFS(NewEmisData!L:L, NewEmisData!$A:$A, "Pickup", NewEmisData!$B:$B, $A40, NewEmisData!$C:$C, $H40, NewEmisData!$D:$D, CT$2), SUMIFS(NewEmisData!L:L, NewEmisData!$A:$A, "LDV", NewEmisData!$B:$B, $A40, NewEmisData!$C:$C, $H40, NewEmisData!$D:$D, CT$2))</f>
        <v>7.6883348823828098E-3</v>
      </c>
      <c r="CU40" s="324">
        <f>$I40*IF($G40="Pickup", SUMIFS(NewEmisData!M:M, NewEmisData!$A:$A, "Pickup", NewEmisData!$B:$B, $A40, NewEmisData!$C:$C, $H40, NewEmisData!$D:$D, CU$2), SUMIFS(NewEmisData!M:M, NewEmisData!$A:$A, "LDV", NewEmisData!$B:$B, $A40, NewEmisData!$C:$C, $H40, NewEmisData!$D:$D, CU$2))</f>
        <v>7.6878848286885603E-3</v>
      </c>
      <c r="CV40" s="324">
        <f t="shared" si="13"/>
        <v>7.6878848286885603E-3</v>
      </c>
      <c r="CW40" s="324">
        <v>4.0498104655261064E-3</v>
      </c>
      <c r="CX40" s="324">
        <v>2.5030350838759993E-3</v>
      </c>
      <c r="CY40" s="324">
        <v>2.1151214403419519E-3</v>
      </c>
      <c r="CZ40" s="324">
        <v>1.7489979687569375E-3</v>
      </c>
      <c r="DA40" s="324">
        <v>1.340486996695321E-3</v>
      </c>
      <c r="DB40" s="324">
        <v>1.0553769116342638E-3</v>
      </c>
      <c r="DC40" s="324">
        <v>1.0132227560056145E-3</v>
      </c>
      <c r="DD40" s="324">
        <v>1.0003159541004489E-3</v>
      </c>
      <c r="DE40" s="324">
        <v>9.9860782000699166E-4</v>
      </c>
      <c r="DF40" s="324">
        <v>9.9860782000699166E-4</v>
      </c>
      <c r="DG40" s="324">
        <f>$I40*IF($G40="Pickup", SUMIFS(NewEmisData!E:E, NewEmisData!$A:$A, "Pickup", NewEmisData!$B:$B, $A40, NewEmisData!$C:$C, $H40, NewEmisData!$D:$D, DG$2), SUMIFS(NewEmisData!E:E, NewEmisData!$A:$A, "LDV", NewEmisData!$B:$B, $A40, NewEmisData!$C:$C, $H40, NewEmisData!$D:$D, DG$2))</f>
        <v>0</v>
      </c>
      <c r="DH40" s="324">
        <f>$I40*IF($G40="Pickup", SUMIFS(NewEmisData!F:F, NewEmisData!$A:$A, "Pickup", NewEmisData!$B:$B, $A40, NewEmisData!$C:$C, $H40, NewEmisData!$D:$D, DH$2), SUMIFS(NewEmisData!F:F, NewEmisData!$A:$A, "LDV", NewEmisData!$B:$B, $A40, NewEmisData!$C:$C, $H40, NewEmisData!$D:$D, DH$2))</f>
        <v>0</v>
      </c>
      <c r="DI40" s="324">
        <f>$I40*IF($G40="Pickup", SUMIFS(NewEmisData!G:G, NewEmisData!$A:$A, "Pickup", NewEmisData!$B:$B, $A40, NewEmisData!$C:$C, $H40, NewEmisData!$D:$D, DI$2), SUMIFS(NewEmisData!G:G, NewEmisData!$A:$A, "LDV", NewEmisData!$B:$B, $A40, NewEmisData!$C:$C, $H40, NewEmisData!$D:$D, DI$2))</f>
        <v>0</v>
      </c>
      <c r="DJ40" s="324">
        <f>$I40*IF($G40="Pickup", SUMIFS(NewEmisData!H:H, NewEmisData!$A:$A, "Pickup", NewEmisData!$B:$B, $A40, NewEmisData!$C:$C, $H40, NewEmisData!$D:$D, DJ$2), SUMIFS(NewEmisData!H:H, NewEmisData!$A:$A, "LDV", NewEmisData!$B:$B, $A40, NewEmisData!$C:$C, $H40, NewEmisData!$D:$D, DJ$2))</f>
        <v>0</v>
      </c>
      <c r="DK40" s="324">
        <f>$I40*IF($G40="Pickup", SUMIFS(NewEmisData!I:I, NewEmisData!$A:$A, "Pickup", NewEmisData!$B:$B, $A40, NewEmisData!$C:$C, $H40, NewEmisData!$D:$D, DK$2), SUMIFS(NewEmisData!I:I, NewEmisData!$A:$A, "LDV", NewEmisData!$B:$B, $A40, NewEmisData!$C:$C, $H40, NewEmisData!$D:$D, DK$2))</f>
        <v>0</v>
      </c>
      <c r="DL40" s="324">
        <f>$I40*IF($G40="Pickup", SUMIFS(NewEmisData!J:J, NewEmisData!$A:$A, "Pickup", NewEmisData!$B:$B, $A40, NewEmisData!$C:$C, $H40, NewEmisData!$D:$D, DL$2), SUMIFS(NewEmisData!J:J, NewEmisData!$A:$A, "LDV", NewEmisData!$B:$B, $A40, NewEmisData!$C:$C, $H40, NewEmisData!$D:$D, DL$2))</f>
        <v>0</v>
      </c>
      <c r="DM40" s="324">
        <f>$I40*IF($G40="Pickup", SUMIFS(NewEmisData!K:K, NewEmisData!$A:$A, "Pickup", NewEmisData!$B:$B, $A40, NewEmisData!$C:$C, $H40, NewEmisData!$D:$D, DM$2), SUMIFS(NewEmisData!K:K, NewEmisData!$A:$A, "LDV", NewEmisData!$B:$B, $A40, NewEmisData!$C:$C, $H40, NewEmisData!$D:$D, DM$2))</f>
        <v>0</v>
      </c>
      <c r="DN40" s="324">
        <f>$I40*IF($G40="Pickup", SUMIFS(NewEmisData!L:L, NewEmisData!$A:$A, "Pickup", NewEmisData!$B:$B, $A40, NewEmisData!$C:$C, $H40, NewEmisData!$D:$D, DN$2), SUMIFS(NewEmisData!L:L, NewEmisData!$A:$A, "LDV", NewEmisData!$B:$B, $A40, NewEmisData!$C:$C, $H40, NewEmisData!$D:$D, DN$2))</f>
        <v>0</v>
      </c>
      <c r="DO40" s="324">
        <f>$I40*IF($G40="Pickup", SUMIFS(NewEmisData!M:M, NewEmisData!$A:$A, "Pickup", NewEmisData!$B:$B, $A40, NewEmisData!$C:$C, $H40, NewEmisData!$D:$D, DO$2), SUMIFS(NewEmisData!M:M, NewEmisData!$A:$A, "LDV", NewEmisData!$B:$B, $A40, NewEmisData!$C:$C, $H40, NewEmisData!$D:$D, DO$2))</f>
        <v>0</v>
      </c>
      <c r="DP40" s="324">
        <f t="shared" si="14"/>
        <v>0</v>
      </c>
      <c r="DQ40" s="324">
        <f>$I40*IF($G40="Pickup", SUMIFS(NewEmisData!E:E, NewEmisData!$A:$A, "Pickup", NewEmisData!$B:$B, $A40, NewEmisData!$C:$C, $H40, NewEmisData!$D:$D, DQ$2), SUMIFS(NewEmisData!E:E, NewEmisData!$A:$A, "LDV", NewEmisData!$B:$B, $A40, NewEmisData!$C:$C, $H40, NewEmisData!$D:$D, DQ$2))</f>
        <v>1.53337301393982E-2</v>
      </c>
      <c r="DR40" s="324">
        <f>$I40*IF($G40="Pickup", SUMIFS(NewEmisData!F:F, NewEmisData!$A:$A, "Pickup", NewEmisData!$B:$B, $A40, NewEmisData!$C:$C, $H40, NewEmisData!$D:$D, DR$2), SUMIFS(NewEmisData!F:F, NewEmisData!$A:$A, "LDV", NewEmisData!$B:$B, $A40, NewEmisData!$C:$C, $H40, NewEmisData!$D:$D, DR$2))</f>
        <v>8.5791399504283501E-3</v>
      </c>
      <c r="DS40" s="324">
        <f>$I40*IF($G40="Pickup", SUMIFS(NewEmisData!G:G, NewEmisData!$A:$A, "Pickup", NewEmisData!$B:$B, $A40, NewEmisData!$C:$C, $H40, NewEmisData!$D:$D, DS$2), SUMIFS(NewEmisData!G:G, NewEmisData!$A:$A, "LDV", NewEmisData!$B:$B, $A40, NewEmisData!$C:$C, $H40, NewEmisData!$D:$D, DS$2))</f>
        <v>6.82614050243104E-3</v>
      </c>
      <c r="DT40" s="324">
        <f>$I40*IF($G40="Pickup", SUMIFS(NewEmisData!H:H, NewEmisData!$A:$A, "Pickup", NewEmisData!$B:$B, $A40, NewEmisData!$C:$C, $H40, NewEmisData!$D:$D, DT$2), SUMIFS(NewEmisData!H:H, NewEmisData!$A:$A, "LDV", NewEmisData!$B:$B, $A40, NewEmisData!$C:$C, $H40, NewEmisData!$D:$D, DT$2))</f>
        <v>5.2306090144423403E-3</v>
      </c>
      <c r="DU40" s="324">
        <f>$I40*IF($G40="Pickup", SUMIFS(NewEmisData!I:I, NewEmisData!$A:$A, "Pickup", NewEmisData!$B:$B, $A40, NewEmisData!$C:$C, $H40, NewEmisData!$D:$D, DU$2), SUMIFS(NewEmisData!I:I, NewEmisData!$A:$A, "LDV", NewEmisData!$B:$B, $A40, NewEmisData!$C:$C, $H40, NewEmisData!$D:$D, DU$2))</f>
        <v>4.0991034424651901E-3</v>
      </c>
      <c r="DV40" s="324">
        <f>$I40*IF($G40="Pickup", SUMIFS(NewEmisData!J:J, NewEmisData!$A:$A, "Pickup", NewEmisData!$B:$B, $A40, NewEmisData!$C:$C, $H40, NewEmisData!$D:$D, DV$2), SUMIFS(NewEmisData!J:J, NewEmisData!$A:$A, "LDV", NewEmisData!$B:$B, $A40, NewEmisData!$C:$C, $H40, NewEmisData!$D:$D, DV$2))</f>
        <v>3.5909983676119801E-3</v>
      </c>
      <c r="DW40" s="324">
        <f>$I40*IF($G40="Pickup", SUMIFS(NewEmisData!K:K, NewEmisData!$A:$A, "Pickup", NewEmisData!$B:$B, $A40, NewEmisData!$C:$C, $H40, NewEmisData!$D:$D, DW$2), SUMIFS(NewEmisData!K:K, NewEmisData!$A:$A, "LDV", NewEmisData!$B:$B, $A40, NewEmisData!$C:$C, $H40, NewEmisData!$D:$D, DW$2))</f>
        <v>3.3016556899443999E-3</v>
      </c>
      <c r="DX40" s="324">
        <f>$I40*IF($G40="Pickup", SUMIFS(NewEmisData!L:L, NewEmisData!$A:$A, "Pickup", NewEmisData!$B:$B, $A40, NewEmisData!$C:$C, $H40, NewEmisData!$D:$D, DX$2), SUMIFS(NewEmisData!L:L, NewEmisData!$A:$A, "LDV", NewEmisData!$B:$B, $A40, NewEmisData!$C:$C, $H40, NewEmisData!$D:$D, DX$2))</f>
        <v>3.2097040973390598E-3</v>
      </c>
      <c r="DY40" s="324">
        <f>$I40*IF($G40="Pickup", SUMIFS(NewEmisData!M:M, NewEmisData!$A:$A, "Pickup", NewEmisData!$B:$B, $A40, NewEmisData!$C:$C, $H40, NewEmisData!$D:$D, DY$2), SUMIFS(NewEmisData!M:M, NewEmisData!$A:$A, "LDV", NewEmisData!$B:$B, $A40, NewEmisData!$C:$C, $H40, NewEmisData!$D:$D, DY$2))</f>
        <v>3.1631494921928599E-3</v>
      </c>
      <c r="DZ40" s="324">
        <f t="shared" si="15"/>
        <v>3.1631494921928599E-3</v>
      </c>
      <c r="EA40" s="324">
        <f t="shared" si="16"/>
        <v>477.08587282575797</v>
      </c>
      <c r="EB40" s="324">
        <f t="shared" si="17"/>
        <v>459.34104292251902</v>
      </c>
      <c r="EC40" s="324">
        <f t="shared" si="18"/>
        <v>447.45896927637102</v>
      </c>
      <c r="ED40" s="324">
        <f t="shared" si="19"/>
        <v>380.72392677964001</v>
      </c>
      <c r="EE40" s="324">
        <f t="shared" si="20"/>
        <v>329.54737069801098</v>
      </c>
      <c r="EF40" s="324">
        <f t="shared" si="21"/>
        <v>300.69829568412598</v>
      </c>
      <c r="EG40" s="324">
        <f t="shared" si="22"/>
        <v>287.83799703632701</v>
      </c>
      <c r="EH40" s="324">
        <f t="shared" si="23"/>
        <v>283.26610797837998</v>
      </c>
      <c r="EI40" s="324">
        <f t="shared" si="24"/>
        <v>281.57834098528099</v>
      </c>
      <c r="EJ40" s="324">
        <f t="shared" si="25"/>
        <v>281.57834098528099</v>
      </c>
      <c r="EK40" s="324">
        <f t="shared" si="26"/>
        <v>0.82339103642645395</v>
      </c>
      <c r="EL40" s="324">
        <f t="shared" si="27"/>
        <v>0.360872733315452</v>
      </c>
      <c r="EM40" s="324">
        <f t="shared" si="28"/>
        <v>0.21658171178065999</v>
      </c>
      <c r="EN40" s="324">
        <f t="shared" si="29"/>
        <v>0.14200533002195401</v>
      </c>
      <c r="EO40" s="324">
        <f t="shared" si="30"/>
        <v>8.8016804659711706E-2</v>
      </c>
      <c r="EP40" s="324">
        <f t="shared" si="31"/>
        <v>6.5736379947852003E-2</v>
      </c>
      <c r="EQ40" s="324">
        <f t="shared" si="32"/>
        <v>5.6635638117250503E-2</v>
      </c>
      <c r="ER40" s="324">
        <f t="shared" si="33"/>
        <v>5.4115247223223299E-2</v>
      </c>
      <c r="ES40" s="324">
        <f t="shared" si="34"/>
        <v>5.2826207223764E-2</v>
      </c>
      <c r="ET40" s="324">
        <f t="shared" si="35"/>
        <v>5.2826207223764E-2</v>
      </c>
      <c r="EU40" s="324">
        <f t="shared" si="36"/>
        <v>8.2552586035919695E-3</v>
      </c>
      <c r="EV40" s="324">
        <f t="shared" si="37"/>
        <v>7.9482131517538395E-3</v>
      </c>
      <c r="EW40" s="324">
        <f t="shared" si="38"/>
        <v>6.4190305556059996E-3</v>
      </c>
      <c r="EX40" s="324">
        <f t="shared" si="39"/>
        <v>5.4616828003907899E-3</v>
      </c>
      <c r="EY40" s="324">
        <f t="shared" si="40"/>
        <v>4.7275285851957304E-3</v>
      </c>
      <c r="EZ40" s="324">
        <f t="shared" si="41"/>
        <v>4.3136734611450098E-3</v>
      </c>
      <c r="FA40" s="324">
        <f t="shared" si="42"/>
        <v>4.1291858052272803E-3</v>
      </c>
      <c r="FB40" s="324">
        <f t="shared" si="43"/>
        <v>4.0635983922117898E-3</v>
      </c>
      <c r="FC40" s="324">
        <f t="shared" si="44"/>
        <v>4.0393864318059199E-3</v>
      </c>
      <c r="FD40" s="324">
        <f t="shared" si="45"/>
        <v>4.0393864318059199E-3</v>
      </c>
      <c r="FE40" s="324">
        <f t="shared" si="46"/>
        <v>8.1828643727713493E-2</v>
      </c>
      <c r="FF40" s="324">
        <f t="shared" si="47"/>
        <v>7.6175839057221195E-2</v>
      </c>
      <c r="FG40" s="324">
        <f t="shared" si="48"/>
        <v>8.1302809072104507E-2</v>
      </c>
      <c r="FH40" s="324">
        <f t="shared" si="49"/>
        <v>7.9561688690416299E-2</v>
      </c>
      <c r="FI40" s="324">
        <f t="shared" si="50"/>
        <v>7.7910530261031605E-2</v>
      </c>
      <c r="FJ40" s="324">
        <f t="shared" si="51"/>
        <v>7.6590334474495605E-2</v>
      </c>
      <c r="FK40" s="324">
        <f t="shared" si="52"/>
        <v>7.5767938917924701E-2</v>
      </c>
      <c r="FL40" s="324">
        <f t="shared" si="53"/>
        <v>7.5353710070808794E-2</v>
      </c>
      <c r="FM40" s="324">
        <f t="shared" si="54"/>
        <v>7.5117977052891499E-2</v>
      </c>
      <c r="FN40" s="324">
        <f t="shared" si="55"/>
        <v>7.5117977052891499E-2</v>
      </c>
      <c r="FO40" s="324">
        <f t="shared" si="56"/>
        <v>2.1998193760633E-2</v>
      </c>
      <c r="FP40" s="324">
        <f t="shared" si="57"/>
        <v>1.6997575378008601E-2</v>
      </c>
      <c r="FQ40" s="324">
        <f t="shared" si="58"/>
        <v>1.6580879412419602E-2</v>
      </c>
      <c r="FR40" s="324">
        <f t="shared" si="59"/>
        <v>1.5040645169031801E-2</v>
      </c>
      <c r="FS40" s="324">
        <f t="shared" si="60"/>
        <v>1.35799610150696E-2</v>
      </c>
      <c r="FT40" s="324">
        <f t="shared" si="61"/>
        <v>1.24120667817219E-2</v>
      </c>
      <c r="FU40" s="324">
        <f t="shared" si="62"/>
        <v>1.16845073314224E-2</v>
      </c>
      <c r="FV40" s="324">
        <f t="shared" si="63"/>
        <v>1.1318096390010799E-2</v>
      </c>
      <c r="FW40" s="324">
        <f t="shared" si="64"/>
        <v>1.1109456757731499E-2</v>
      </c>
      <c r="FX40" s="324">
        <f t="shared" si="65"/>
        <v>1.1109456757731499E-2</v>
      </c>
    </row>
    <row r="41" spans="1:180" x14ac:dyDescent="0.2">
      <c r="A41" s="298" t="str">
        <f>_xlfn.CONCAT(IF(LEFT(TRIM(A40),1)="*", "*R", "R"), 1+RIGHT(TRIM(A40),1))</f>
        <v>R3</v>
      </c>
      <c r="B41" s="298" t="str">
        <f t="shared" ref="B41:B44" si="96">B40</f>
        <v>TLEMGSL</v>
      </c>
      <c r="C41" s="298" t="str">
        <f t="shared" ref="C41:C44" si="97">C40</f>
        <v>TL.GSL.M.Existing Fleet</v>
      </c>
      <c r="D41" s="294" t="str">
        <f t="shared" ref="D41:D44" si="98">D40</f>
        <v>bn-vmt, bn-vmt/a</v>
      </c>
      <c r="E41" s="294" t="str">
        <f t="shared" ref="E41:E44" si="99">E40</f>
        <v>TLGSL</v>
      </c>
      <c r="F41" s="294" t="str">
        <f t="shared" ref="F41:F44" si="100">F40</f>
        <v>TL</v>
      </c>
      <c r="G41" s="294" t="s">
        <v>478</v>
      </c>
      <c r="H41" s="294" t="s">
        <v>474</v>
      </c>
      <c r="I41" s="294">
        <v>1</v>
      </c>
      <c r="J41" s="308" t="str">
        <f t="shared" si="2"/>
        <v>Minivan-GSL</v>
      </c>
      <c r="K41" s="324">
        <f>$I41*IF($G41="Pickup", SUMIFS(NewEmisData!E:E, NewEmisData!$A:$A, "Pickup", NewEmisData!$B:$B, $A41, NewEmisData!$C:$C, $H41, NewEmisData!$D:$D, K$2), SUMIFS(NewEmisData!E:E, NewEmisData!$A:$A, "LDV", NewEmisData!$B:$B, $A41, NewEmisData!$C:$C, $H41, NewEmisData!$D:$D, K$2))</f>
        <v>437.85746964693402</v>
      </c>
      <c r="L41" s="324">
        <f>$I41*IF($G41="Pickup", SUMIFS(NewEmisData!F:F, NewEmisData!$A:$A, "Pickup", NewEmisData!$B:$B, $A41, NewEmisData!$C:$C, $H41, NewEmisData!$D:$D, L$2), SUMIFS(NewEmisData!F:F, NewEmisData!$A:$A, "LDV", NewEmisData!$B:$B, $A41, NewEmisData!$C:$C, $H41, NewEmisData!$D:$D, L$2))</f>
        <v>424.609883045034</v>
      </c>
      <c r="M41" s="324">
        <f>$I41*IF($G41="Pickup", SUMIFS(NewEmisData!G:G, NewEmisData!$A:$A, "Pickup", NewEmisData!$B:$B, $A41, NewEmisData!$C:$C, $H41, NewEmisData!$D:$D, M$2), SUMIFS(NewEmisData!G:G, NewEmisData!$A:$A, "LDV", NewEmisData!$B:$B, $A41, NewEmisData!$C:$C, $H41, NewEmisData!$D:$D, M$2))</f>
        <v>389.26792072260798</v>
      </c>
      <c r="N41" s="324">
        <f>$I41*IF($G41="Pickup", SUMIFS(NewEmisData!H:H, NewEmisData!$A:$A, "Pickup", NewEmisData!$B:$B, $A41, NewEmisData!$C:$C, $H41, NewEmisData!$D:$D, N$2), SUMIFS(NewEmisData!H:H, NewEmisData!$A:$A, "LDV", NewEmisData!$B:$B, $A41, NewEmisData!$C:$C, $H41, NewEmisData!$D:$D, N$2))</f>
        <v>331.09003080375697</v>
      </c>
      <c r="O41" s="324">
        <f>$I41*IF($G41="Pickup", SUMIFS(NewEmisData!I:I, NewEmisData!$A:$A, "Pickup", NewEmisData!$B:$B, $A41, NewEmisData!$C:$C, $H41, NewEmisData!$D:$D, O$2), SUMIFS(NewEmisData!I:I, NewEmisData!$A:$A, "LDV", NewEmisData!$B:$B, $A41, NewEmisData!$C:$C, $H41, NewEmisData!$D:$D, O$2))</f>
        <v>286.46929869872997</v>
      </c>
      <c r="P41" s="324">
        <f>$I41*IF($G41="Pickup", SUMIFS(NewEmisData!J:J, NewEmisData!$A:$A, "Pickup", NewEmisData!$B:$B, $A41, NewEmisData!$C:$C, $H41, NewEmisData!$D:$D, P$2), SUMIFS(NewEmisData!J:J, NewEmisData!$A:$A, "LDV", NewEmisData!$B:$B, $A41, NewEmisData!$C:$C, $H41, NewEmisData!$D:$D, P$2))</f>
        <v>261.33080310252802</v>
      </c>
      <c r="Q41" s="324">
        <f>$I41*IF($G41="Pickup", SUMIFS(NewEmisData!K:K, NewEmisData!$A:$A, "Pickup", NewEmisData!$B:$B, $A41, NewEmisData!$C:$C, $H41, NewEmisData!$D:$D, Q$2), SUMIFS(NewEmisData!K:K, NewEmisData!$A:$A, "LDV", NewEmisData!$B:$B, $A41, NewEmisData!$C:$C, $H41, NewEmisData!$D:$D, Q$2))</f>
        <v>250.12665030232699</v>
      </c>
      <c r="R41" s="324">
        <f>$I41*IF($G41="Pickup", SUMIFS(NewEmisData!L:L, NewEmisData!$A:$A, "Pickup", NewEmisData!$B:$B, $A41, NewEmisData!$C:$C, $H41, NewEmisData!$D:$D, R$2), SUMIFS(NewEmisData!L:L, NewEmisData!$A:$A, "LDV", NewEmisData!$B:$B, $A41, NewEmisData!$C:$C, $H41, NewEmisData!$D:$D, R$2))</f>
        <v>246.146486551527</v>
      </c>
      <c r="S41" s="324">
        <f>$I41*IF($G41="Pickup", SUMIFS(NewEmisData!M:M, NewEmisData!$A:$A, "Pickup", NewEmisData!$B:$B, $A41, NewEmisData!$C:$C, $H41, NewEmisData!$D:$D, S$2), SUMIFS(NewEmisData!M:M, NewEmisData!$A:$A, "LDV", NewEmisData!$B:$B, $A41, NewEmisData!$C:$C, $H41, NewEmisData!$D:$D, S$2))</f>
        <v>244.677818234341</v>
      </c>
      <c r="T41" s="324">
        <f t="shared" si="5"/>
        <v>244.677818234341</v>
      </c>
      <c r="U41" s="324">
        <f>$I41*IF($G41="Pickup", SUMIFS(NewEmisData!E:E, NewEmisData!$A:$A, "Pickup", NewEmisData!$B:$B, $A41, NewEmisData!$C:$C, $H41, NewEmisData!$D:$D, U$2), SUMIFS(NewEmisData!E:E, NewEmisData!$A:$A, "LDV", NewEmisData!$B:$B, $A41, NewEmisData!$C:$C, $H41, NewEmisData!$D:$D, U$2))</f>
        <v>0.78000130642291299</v>
      </c>
      <c r="V41" s="324">
        <f>$I41*IF($G41="Pickup", SUMIFS(NewEmisData!F:F, NewEmisData!$A:$A, "Pickup", NewEmisData!$B:$B, $A41, NewEmisData!$C:$C, $H41, NewEmisData!$D:$D, V$2), SUMIFS(NewEmisData!F:F, NewEmisData!$A:$A, "LDV", NewEmisData!$B:$B, $A41, NewEmisData!$C:$C, $H41, NewEmisData!$D:$D, V$2))</f>
        <v>0.323605278282381</v>
      </c>
      <c r="W41" s="324">
        <f>$I41*IF($G41="Pickup", SUMIFS(NewEmisData!G:G, NewEmisData!$A:$A, "Pickup", NewEmisData!$B:$B, $A41, NewEmisData!$C:$C, $H41, NewEmisData!$D:$D, W$2), SUMIFS(NewEmisData!G:G, NewEmisData!$A:$A, "LDV", NewEmisData!$B:$B, $A41, NewEmisData!$C:$C, $H41, NewEmisData!$D:$D, W$2))</f>
        <v>0.19152446532377701</v>
      </c>
      <c r="X41" s="324">
        <f>$I41*IF($G41="Pickup", SUMIFS(NewEmisData!H:H, NewEmisData!$A:$A, "Pickup", NewEmisData!$B:$B, $A41, NewEmisData!$C:$C, $H41, NewEmisData!$D:$D, X$2), SUMIFS(NewEmisData!H:H, NewEmisData!$A:$A, "LDV", NewEmisData!$B:$B, $A41, NewEmisData!$C:$C, $H41, NewEmisData!$D:$D, X$2))</f>
        <v>0.12537127832280801</v>
      </c>
      <c r="Y41" s="324">
        <f>$I41*IF($G41="Pickup", SUMIFS(NewEmisData!I:I, NewEmisData!$A:$A, "Pickup", NewEmisData!$B:$B, $A41, NewEmisData!$C:$C, $H41, NewEmisData!$D:$D, Y$2), SUMIFS(NewEmisData!I:I, NewEmisData!$A:$A, "LDV", NewEmisData!$B:$B, $A41, NewEmisData!$C:$C, $H41, NewEmisData!$D:$D, Y$2))</f>
        <v>7.6671766649271E-2</v>
      </c>
      <c r="Z41" s="324">
        <f>$I41*IF($G41="Pickup", SUMIFS(NewEmisData!J:J, NewEmisData!$A:$A, "Pickup", NewEmisData!$B:$B, $A41, NewEmisData!$C:$C, $H41, NewEmisData!$D:$D, Z$2), SUMIFS(NewEmisData!J:J, NewEmisData!$A:$A, "LDV", NewEmisData!$B:$B, $A41, NewEmisData!$C:$C, $H41, NewEmisData!$D:$D, Z$2))</f>
        <v>5.7019026656941203E-2</v>
      </c>
      <c r="AA41" s="324">
        <f>$I41*IF($G41="Pickup", SUMIFS(NewEmisData!K:K, NewEmisData!$A:$A, "Pickup", NewEmisData!$B:$B, $A41, NewEmisData!$C:$C, $H41, NewEmisData!$D:$D, AA$2), SUMIFS(NewEmisData!K:K, NewEmisData!$A:$A, "LDV", NewEmisData!$B:$B, $A41, NewEmisData!$C:$C, $H41, NewEmisData!$D:$D, AA$2))</f>
        <v>4.8823281713844202E-2</v>
      </c>
      <c r="AB41" s="324">
        <f>$I41*IF($G41="Pickup", SUMIFS(NewEmisData!L:L, NewEmisData!$A:$A, "Pickup", NewEmisData!$B:$B, $A41, NewEmisData!$C:$C, $H41, NewEmisData!$D:$D, AB$2), SUMIFS(NewEmisData!L:L, NewEmisData!$A:$A, "LDV", NewEmisData!$B:$B, $A41, NewEmisData!$C:$C, $H41, NewEmisData!$D:$D, AB$2))</f>
        <v>4.6542407484685501E-2</v>
      </c>
      <c r="AC41" s="324">
        <f>$I41*IF($G41="Pickup", SUMIFS(NewEmisData!M:M, NewEmisData!$A:$A, "Pickup", NewEmisData!$B:$B, $A41, NewEmisData!$C:$C, $H41, NewEmisData!$D:$D, AC$2), SUMIFS(NewEmisData!M:M, NewEmisData!$A:$A, "LDV", NewEmisData!$B:$B, $A41, NewEmisData!$C:$C, $H41, NewEmisData!$D:$D, AC$2))</f>
        <v>4.5415311435121702E-2</v>
      </c>
      <c r="AD41" s="324">
        <f t="shared" si="6"/>
        <v>4.5415311435121702E-2</v>
      </c>
      <c r="AE41" s="324">
        <f>$I41*IF($G41="Pickup", SUMIFS(NewEmisData!E:E, NewEmisData!$A:$A, "Pickup", NewEmisData!$B:$B, $A41, NewEmisData!$C:$C, $H41, NewEmisData!$D:$D, AE$2), SUMIFS(NewEmisData!E:E, NewEmisData!$A:$A, "LDV", NewEmisData!$B:$B, $A41, NewEmisData!$C:$C, $H41, NewEmisData!$D:$D, AE$2))</f>
        <v>7.5764719154140002E-3</v>
      </c>
      <c r="AF41" s="324">
        <f>$I41*IF($G41="Pickup", SUMIFS(NewEmisData!F:F, NewEmisData!$A:$A, "Pickup", NewEmisData!$B:$B, $A41, NewEmisData!$C:$C, $H41, NewEmisData!$D:$D, AF$2), SUMIFS(NewEmisData!F:F, NewEmisData!$A:$A, "LDV", NewEmisData!$B:$B, $A41, NewEmisData!$C:$C, $H41, NewEmisData!$D:$D, AF$2))</f>
        <v>7.3472400077695399E-3</v>
      </c>
      <c r="AG41" s="324">
        <f>$I41*IF($G41="Pickup", SUMIFS(NewEmisData!G:G, NewEmisData!$A:$A, "Pickup", NewEmisData!$B:$B, $A41, NewEmisData!$C:$C, $H41, NewEmisData!$D:$D, AG$2), SUMIFS(NewEmisData!G:G, NewEmisData!$A:$A, "LDV", NewEmisData!$B:$B, $A41, NewEmisData!$C:$C, $H41, NewEmisData!$D:$D, AG$2))</f>
        <v>5.5842494055705696E-3</v>
      </c>
      <c r="AH41" s="324">
        <f>$I41*IF($G41="Pickup", SUMIFS(NewEmisData!H:H, NewEmisData!$A:$A, "Pickup", NewEmisData!$B:$B, $A41, NewEmisData!$C:$C, $H41, NewEmisData!$D:$D, AH$2), SUMIFS(NewEmisData!H:H, NewEmisData!$A:$A, "LDV", NewEmisData!$B:$B, $A41, NewEmisData!$C:$C, $H41, NewEmisData!$D:$D, AH$2))</f>
        <v>4.7496587466809804E-3</v>
      </c>
      <c r="AI41" s="324">
        <f>$I41*IF($G41="Pickup", SUMIFS(NewEmisData!I:I, NewEmisData!$A:$A, "Pickup", NewEmisData!$B:$B, $A41, NewEmisData!$C:$C, $H41, NewEmisData!$D:$D, AI$2), SUMIFS(NewEmisData!I:I, NewEmisData!$A:$A, "LDV", NewEmisData!$B:$B, $A41, NewEmisData!$C:$C, $H41, NewEmisData!$D:$D, AI$2))</f>
        <v>4.1095518958717504E-3</v>
      </c>
      <c r="AJ41" s="324">
        <f>$I41*IF($G41="Pickup", SUMIFS(NewEmisData!J:J, NewEmisData!$A:$A, "Pickup", NewEmisData!$B:$B, $A41, NewEmisData!$C:$C, $H41, NewEmisData!$D:$D, AJ$2), SUMIFS(NewEmisData!J:J, NewEmisData!$A:$A, "LDV", NewEmisData!$B:$B, $A41, NewEmisData!$C:$C, $H41, NewEmisData!$D:$D, AJ$2))</f>
        <v>3.7489264773323799E-3</v>
      </c>
      <c r="AK41" s="324">
        <f>$I41*IF($G41="Pickup", SUMIFS(NewEmisData!K:K, NewEmisData!$A:$A, "Pickup", NewEmisData!$B:$B, $A41, NewEmisData!$C:$C, $H41, NewEmisData!$D:$D, AK$2), SUMIFS(NewEmisData!K:K, NewEmisData!$A:$A, "LDV", NewEmisData!$B:$B, $A41, NewEmisData!$C:$C, $H41, NewEmisData!$D:$D, AK$2))</f>
        <v>3.5881959766524201E-3</v>
      </c>
      <c r="AL41" s="324">
        <f>$I41*IF($G41="Pickup", SUMIFS(NewEmisData!L:L, NewEmisData!$A:$A, "Pickup", NewEmisData!$B:$B, $A41, NewEmisData!$C:$C, $H41, NewEmisData!$D:$D, AL$2), SUMIFS(NewEmisData!L:L, NewEmisData!$A:$A, "LDV", NewEmisData!$B:$B, $A41, NewEmisData!$C:$C, $H41, NewEmisData!$D:$D, AL$2))</f>
        <v>3.5311006464952199E-3</v>
      </c>
      <c r="AM41" s="324">
        <f>$I41*IF($G41="Pickup", SUMIFS(NewEmisData!M:M, NewEmisData!$A:$A, "Pickup", NewEmisData!$B:$B, $A41, NewEmisData!$C:$C, $H41, NewEmisData!$D:$D, AM$2), SUMIFS(NewEmisData!M:M, NewEmisData!$A:$A, "LDV", NewEmisData!$B:$B, $A41, NewEmisData!$C:$C, $H41, NewEmisData!$D:$D, AM$2))</f>
        <v>3.5100309709840301E-3</v>
      </c>
      <c r="AN41" s="324">
        <f t="shared" si="7"/>
        <v>3.5100309709840301E-3</v>
      </c>
      <c r="AO41" s="324">
        <f>$I41*IF($G41="Pickup", SUMIFS(NewEmisData!E:E, NewEmisData!$A:$A, "Pickup", NewEmisData!$B:$B, $A41, NewEmisData!$C:$C, $H41, NewEmisData!$D:$D, AO$2), SUMIFS(NewEmisData!E:E, NewEmisData!$A:$A, "LDV", NewEmisData!$B:$B, $A41, NewEmisData!$C:$C, $H41, NewEmisData!$D:$D, AO$2))</f>
        <v>6.7831755328566196E-2</v>
      </c>
      <c r="AP41" s="324">
        <f>$I41*IF($G41="Pickup", SUMIFS(NewEmisData!F:F, NewEmisData!$A:$A, "Pickup", NewEmisData!$B:$B, $A41, NewEmisData!$C:$C, $H41, NewEmisData!$D:$D, AP$2), SUMIFS(NewEmisData!F:F, NewEmisData!$A:$A, "LDV", NewEmisData!$B:$B, $A41, NewEmisData!$C:$C, $H41, NewEmisData!$D:$D, AP$2))</f>
        <v>6.3250667156757298E-2</v>
      </c>
      <c r="AQ41" s="324">
        <f>$I41*IF($G41="Pickup", SUMIFS(NewEmisData!G:G, NewEmisData!$A:$A, "Pickup", NewEmisData!$B:$B, $A41, NewEmisData!$C:$C, $H41, NewEmisData!$D:$D, AQ$2), SUMIFS(NewEmisData!G:G, NewEmisData!$A:$A, "LDV", NewEmisData!$B:$B, $A41, NewEmisData!$C:$C, $H41, NewEmisData!$D:$D, AQ$2))</f>
        <v>6.2628417187727006E-2</v>
      </c>
      <c r="AR41" s="324">
        <f>$I41*IF($G41="Pickup", SUMIFS(NewEmisData!H:H, NewEmisData!$A:$A, "Pickup", NewEmisData!$B:$B, $A41, NewEmisData!$C:$C, $H41, NewEmisData!$D:$D, AR$2), SUMIFS(NewEmisData!H:H, NewEmisData!$A:$A, "LDV", NewEmisData!$B:$B, $A41, NewEmisData!$C:$C, $H41, NewEmisData!$D:$D, AR$2))</f>
        <v>6.1216981125607202E-2</v>
      </c>
      <c r="AS41" s="324">
        <f>$I41*IF($G41="Pickup", SUMIFS(NewEmisData!I:I, NewEmisData!$A:$A, "Pickup", NewEmisData!$B:$B, $A41, NewEmisData!$C:$C, $H41, NewEmisData!$D:$D, AS$2), SUMIFS(NewEmisData!I:I, NewEmisData!$A:$A, "LDV", NewEmisData!$B:$B, $A41, NewEmisData!$C:$C, $H41, NewEmisData!$D:$D, AS$2))</f>
        <v>5.9842025439809501E-2</v>
      </c>
      <c r="AT41" s="324">
        <f>$I41*IF($G41="Pickup", SUMIFS(NewEmisData!J:J, NewEmisData!$A:$A, "Pickup", NewEmisData!$B:$B, $A41, NewEmisData!$C:$C, $H41, NewEmisData!$D:$D, AT$2), SUMIFS(NewEmisData!J:J, NewEmisData!$A:$A, "LDV", NewEmisData!$B:$B, $A41, NewEmisData!$C:$C, $H41, NewEmisData!$D:$D, AT$2))</f>
        <v>5.8761885691048198E-2</v>
      </c>
      <c r="AU41" s="324">
        <f>$I41*IF($G41="Pickup", SUMIFS(NewEmisData!K:K, NewEmisData!$A:$A, "Pickup", NewEmisData!$B:$B, $A41, NewEmisData!$C:$C, $H41, NewEmisData!$D:$D, AU$2), SUMIFS(NewEmisData!K:K, NewEmisData!$A:$A, "LDV", NewEmisData!$B:$B, $A41, NewEmisData!$C:$C, $H41, NewEmisData!$D:$D, AU$2))</f>
        <v>5.8072078083983E-2</v>
      </c>
      <c r="AV41" s="324">
        <f>$I41*IF($G41="Pickup", SUMIFS(NewEmisData!L:L, NewEmisData!$A:$A, "Pickup", NewEmisData!$B:$B, $A41, NewEmisData!$C:$C, $H41, NewEmisData!$D:$D, AV$2), SUMIFS(NewEmisData!L:L, NewEmisData!$A:$A, "LDV", NewEmisData!$B:$B, $A41, NewEmisData!$C:$C, $H41, NewEmisData!$D:$D, AV$2))</f>
        <v>5.7726484266030297E-2</v>
      </c>
      <c r="AW41" s="324">
        <f>$I41*IF($G41="Pickup", SUMIFS(NewEmisData!M:M, NewEmisData!$A:$A, "Pickup", NewEmisData!$B:$B, $A41, NewEmisData!$C:$C, $H41, NewEmisData!$D:$D, AW$2), SUMIFS(NewEmisData!M:M, NewEmisData!$A:$A, "LDV", NewEmisData!$B:$B, $A41, NewEmisData!$C:$C, $H41, NewEmisData!$D:$D, AW$2))</f>
        <v>5.7530226905323702E-2</v>
      </c>
      <c r="AX41" s="324">
        <f t="shared" si="8"/>
        <v>5.7530226905323702E-2</v>
      </c>
      <c r="AY41" s="324">
        <f>$I41*IF($G41="Pickup", SUMIFS(NewEmisData!E:E, NewEmisData!$A:$A, "Pickup", NewEmisData!$B:$B, $A41, NewEmisData!$C:$C, $H41, NewEmisData!$D:$D, AY$2), SUMIFS(NewEmisData!E:E, NewEmisData!$A:$A, "LDV", NewEmisData!$B:$B, $A41, NewEmisData!$C:$C, $H41, NewEmisData!$D:$D, AY$2))</f>
        <v>1.8324822567621701E-2</v>
      </c>
      <c r="AZ41" s="324">
        <f>$I41*IF($G41="Pickup", SUMIFS(NewEmisData!F:F, NewEmisData!$A:$A, "Pickup", NewEmisData!$B:$B, $A41, NewEmisData!$C:$C, $H41, NewEmisData!$D:$D, AZ$2), SUMIFS(NewEmisData!F:F, NewEmisData!$A:$A, "LDV", NewEmisData!$B:$B, $A41, NewEmisData!$C:$C, $H41, NewEmisData!$D:$D, AZ$2))</f>
        <v>1.4272294035055699E-2</v>
      </c>
      <c r="BA41" s="324">
        <f>$I41*IF($G41="Pickup", SUMIFS(NewEmisData!G:G, NewEmisData!$A:$A, "Pickup", NewEmisData!$B:$B, $A41, NewEmisData!$C:$C, $H41, NewEmisData!$D:$D, BA$2), SUMIFS(NewEmisData!G:G, NewEmisData!$A:$A, "LDV", NewEmisData!$B:$B, $A41, NewEmisData!$C:$C, $H41, NewEmisData!$D:$D, BA$2))</f>
        <v>1.3165752481838801E-2</v>
      </c>
      <c r="BB41" s="324">
        <f>$I41*IF($G41="Pickup", SUMIFS(NewEmisData!H:H, NewEmisData!$A:$A, "Pickup", NewEmisData!$B:$B, $A41, NewEmisData!$C:$C, $H41, NewEmisData!$D:$D, BB$2), SUMIFS(NewEmisData!H:H, NewEmisData!$A:$A, "LDV", NewEmisData!$B:$B, $A41, NewEmisData!$C:$C, $H41, NewEmisData!$D:$D, BB$2))</f>
        <v>1.1917194849656599E-2</v>
      </c>
      <c r="BC41" s="324">
        <f>$I41*IF($G41="Pickup", SUMIFS(NewEmisData!I:I, NewEmisData!$A:$A, "Pickup", NewEmisData!$B:$B, $A41, NewEmisData!$C:$C, $H41, NewEmisData!$D:$D, BC$2), SUMIFS(NewEmisData!I:I, NewEmisData!$A:$A, "LDV", NewEmisData!$B:$B, $A41, NewEmisData!$C:$C, $H41, NewEmisData!$D:$D, BC$2))</f>
        <v>1.0700861948252101E-2</v>
      </c>
      <c r="BD41" s="324">
        <f>$I41*IF($G41="Pickup", SUMIFS(NewEmisData!J:J, NewEmisData!$A:$A, "Pickup", NewEmisData!$B:$B, $A41, NewEmisData!$C:$C, $H41, NewEmisData!$D:$D, BD$2), SUMIFS(NewEmisData!J:J, NewEmisData!$A:$A, "LDV", NewEmisData!$B:$B, $A41, NewEmisData!$C:$C, $H41, NewEmisData!$D:$D, BD$2))</f>
        <v>9.7453521893521699E-3</v>
      </c>
      <c r="BE41" s="324">
        <f>$I41*IF($G41="Pickup", SUMIFS(NewEmisData!K:K, NewEmisData!$A:$A, "Pickup", NewEmisData!$B:$B, $A41, NewEmisData!$C:$C, $H41, NewEmisData!$D:$D, BE$2), SUMIFS(NewEmisData!K:K, NewEmisData!$A:$A, "LDV", NewEmisData!$B:$B, $A41, NewEmisData!$C:$C, $H41, NewEmisData!$D:$D, BE$2))</f>
        <v>9.1351470976244707E-3</v>
      </c>
      <c r="BF41" s="324">
        <f>$I41*IF($G41="Pickup", SUMIFS(NewEmisData!L:L, NewEmisData!$A:$A, "Pickup", NewEmisData!$B:$B, $A41, NewEmisData!$C:$C, $H41, NewEmisData!$D:$D, BF$2), SUMIFS(NewEmisData!L:L, NewEmisData!$A:$A, "LDV", NewEmisData!$B:$B, $A41, NewEmisData!$C:$C, $H41, NewEmisData!$D:$D, BF$2))</f>
        <v>8.8293874131557606E-3</v>
      </c>
      <c r="BG41" s="324">
        <f>$I41*IF($G41="Pickup", SUMIFS(NewEmisData!M:M, NewEmisData!$A:$A, "Pickup", NewEmisData!$B:$B, $A41, NewEmisData!$C:$C, $H41, NewEmisData!$D:$D, BG$2), SUMIFS(NewEmisData!M:M, NewEmisData!$A:$A, "LDV", NewEmisData!$B:$B, $A41, NewEmisData!$C:$C, $H41, NewEmisData!$D:$D, BG$2))</f>
        <v>8.6558174466142106E-3</v>
      </c>
      <c r="BH41" s="324">
        <f t="shared" si="9"/>
        <v>8.6558174466142106E-3</v>
      </c>
      <c r="BI41" s="324">
        <f>$I41*IF($G41="Pickup", SUMIFS(NewEmisData!E:E, NewEmisData!$A:$A, "Pickup", NewEmisData!$B:$B, $A41, NewEmisData!$C:$C, $H41, NewEmisData!$D:$D, BI$2), SUMIFS(NewEmisData!E:E, NewEmisData!$A:$A, "LDV", NewEmisData!$B:$B, $A41, NewEmisData!$C:$C, $H41, NewEmisData!$D:$D, BI$2))</f>
        <v>5.6341971782511804</v>
      </c>
      <c r="BJ41" s="324">
        <f>$I41*IF($G41="Pickup", SUMIFS(NewEmisData!F:F, NewEmisData!$A:$A, "Pickup", NewEmisData!$B:$B, $A41, NewEmisData!$C:$C, $H41, NewEmisData!$D:$D, BJ$2), SUMIFS(NewEmisData!F:F, NewEmisData!$A:$A, "LDV", NewEmisData!$B:$B, $A41, NewEmisData!$C:$C, $H41, NewEmisData!$D:$D, BJ$2))</f>
        <v>3.2912080717511998</v>
      </c>
      <c r="BK41" s="324">
        <f>$I41*IF($G41="Pickup", SUMIFS(NewEmisData!G:G, NewEmisData!$A:$A, "Pickup", NewEmisData!$B:$B, $A41, NewEmisData!$C:$C, $H41, NewEmisData!$D:$D, BK$2), SUMIFS(NewEmisData!G:G, NewEmisData!$A:$A, "LDV", NewEmisData!$B:$B, $A41, NewEmisData!$C:$C, $H41, NewEmisData!$D:$D, BK$2))</f>
        <v>2.5038449092773698</v>
      </c>
      <c r="BL41" s="324">
        <f>$I41*IF($G41="Pickup", SUMIFS(NewEmisData!H:H, NewEmisData!$A:$A, "Pickup", NewEmisData!$B:$B, $A41, NewEmisData!$C:$C, $H41, NewEmisData!$D:$D, BL$2), SUMIFS(NewEmisData!H:H, NewEmisData!$A:$A, "LDV", NewEmisData!$B:$B, $A41, NewEmisData!$C:$C, $H41, NewEmisData!$D:$D, BL$2))</f>
        <v>1.9586302072503601</v>
      </c>
      <c r="BM41" s="324">
        <f>$I41*IF($G41="Pickup", SUMIFS(NewEmisData!I:I, NewEmisData!$A:$A, "Pickup", NewEmisData!$B:$B, $A41, NewEmisData!$C:$C, $H41, NewEmisData!$D:$D, BM$2), SUMIFS(NewEmisData!I:I, NewEmisData!$A:$A, "LDV", NewEmisData!$B:$B, $A41, NewEmisData!$C:$C, $H41, NewEmisData!$D:$D, BM$2))</f>
        <v>1.4188080704430199</v>
      </c>
      <c r="BN41" s="324">
        <f>$I41*IF($G41="Pickup", SUMIFS(NewEmisData!J:J, NewEmisData!$A:$A, "Pickup", NewEmisData!$B:$B, $A41, NewEmisData!$C:$C, $H41, NewEmisData!$D:$D, BN$2), SUMIFS(NewEmisData!J:J, NewEmisData!$A:$A, "LDV", NewEmisData!$B:$B, $A41, NewEmisData!$C:$C, $H41, NewEmisData!$D:$D, BN$2))</f>
        <v>1.12295829909247</v>
      </c>
      <c r="BO41" s="324">
        <f>$I41*IF($G41="Pickup", SUMIFS(NewEmisData!K:K, NewEmisData!$A:$A, "Pickup", NewEmisData!$B:$B, $A41, NewEmisData!$C:$C, $H41, NewEmisData!$D:$D, BO$2), SUMIFS(NewEmisData!K:K, NewEmisData!$A:$A, "LDV", NewEmisData!$B:$B, $A41, NewEmisData!$C:$C, $H41, NewEmisData!$D:$D, BO$2))</f>
        <v>0.98917470890575399</v>
      </c>
      <c r="BP41" s="324">
        <f>$I41*IF($G41="Pickup", SUMIFS(NewEmisData!L:L, NewEmisData!$A:$A, "Pickup", NewEmisData!$B:$B, $A41, NewEmisData!$C:$C, $H41, NewEmisData!$D:$D, BP$2), SUMIFS(NewEmisData!L:L, NewEmisData!$A:$A, "LDV", NewEmisData!$B:$B, $A41, NewEmisData!$C:$C, $H41, NewEmisData!$D:$D, BP$2))</f>
        <v>0.94587291374607996</v>
      </c>
      <c r="BQ41" s="324">
        <f>$I41*IF($G41="Pickup", SUMIFS(NewEmisData!M:M, NewEmisData!$A:$A, "Pickup", NewEmisData!$B:$B, $A41, NewEmisData!$C:$C, $H41, NewEmisData!$D:$D, BQ$2), SUMIFS(NewEmisData!M:M, NewEmisData!$A:$A, "LDV", NewEmisData!$B:$B, $A41, NewEmisData!$C:$C, $H41, NewEmisData!$D:$D, BQ$2))</f>
        <v>0.91886504762322097</v>
      </c>
      <c r="BR41" s="324">
        <f t="shared" si="10"/>
        <v>0.91886504762322097</v>
      </c>
      <c r="BS41" s="324">
        <f>$I41*IF($G41="Pickup", SUMIFS(NewEmisData!E:E, NewEmisData!$A:$A, "Pickup", NewEmisData!$B:$B, $A41, NewEmisData!$C:$C, $H41, NewEmisData!$D:$D, BS$2), SUMIFS(NewEmisData!E:E, NewEmisData!$A:$A, "LDV", NewEmisData!$B:$B, $A41, NewEmisData!$C:$C, $H41, NewEmisData!$D:$D, BS$2))</f>
        <v>0.64604041020523395</v>
      </c>
      <c r="BT41" s="324">
        <f>$I41*IF($G41="Pickup", SUMIFS(NewEmisData!F:F, NewEmisData!$A:$A, "Pickup", NewEmisData!$B:$B, $A41, NewEmisData!$C:$C, $H41, NewEmisData!$D:$D, BT$2), SUMIFS(NewEmisData!F:F, NewEmisData!$A:$A, "LDV", NewEmisData!$B:$B, $A41, NewEmisData!$C:$C, $H41, NewEmisData!$D:$D, BT$2))</f>
        <v>0.33711601886070303</v>
      </c>
      <c r="BU41" s="324">
        <f>$I41*IF($G41="Pickup", SUMIFS(NewEmisData!G:G, NewEmisData!$A:$A, "Pickup", NewEmisData!$B:$B, $A41, NewEmisData!$C:$C, $H41, NewEmisData!$D:$D, BU$2), SUMIFS(NewEmisData!G:G, NewEmisData!$A:$A, "LDV", NewEmisData!$B:$B, $A41, NewEmisData!$C:$C, $H41, NewEmisData!$D:$D, BU$2))</f>
        <v>0.24835485029207899</v>
      </c>
      <c r="BV41" s="324">
        <f>$I41*IF($G41="Pickup", SUMIFS(NewEmisData!H:H, NewEmisData!$A:$A, "Pickup", NewEmisData!$B:$B, $A41, NewEmisData!$C:$C, $H41, NewEmisData!$D:$D, BV$2), SUMIFS(NewEmisData!H:H, NewEmisData!$A:$A, "LDV", NewEmisData!$B:$B, $A41, NewEmisData!$C:$C, $H41, NewEmisData!$D:$D, BV$2))</f>
        <v>0.20063726173746699</v>
      </c>
      <c r="BW41" s="324">
        <f>$I41*IF($G41="Pickup", SUMIFS(NewEmisData!I:I, NewEmisData!$A:$A, "Pickup", NewEmisData!$B:$B, $A41, NewEmisData!$C:$C, $H41, NewEmisData!$D:$D, BW$2), SUMIFS(NewEmisData!I:I, NewEmisData!$A:$A, "LDV", NewEmisData!$B:$B, $A41, NewEmisData!$C:$C, $H41, NewEmisData!$D:$D, BW$2))</f>
        <v>0.148388069930526</v>
      </c>
      <c r="BX41" s="324">
        <f>$I41*IF($G41="Pickup", SUMIFS(NewEmisData!J:J, NewEmisData!$A:$A, "Pickup", NewEmisData!$B:$B, $A41, NewEmisData!$C:$C, $H41, NewEmisData!$D:$D, BX$2), SUMIFS(NewEmisData!J:J, NewEmisData!$A:$A, "LDV", NewEmisData!$B:$B, $A41, NewEmisData!$C:$C, $H41, NewEmisData!$D:$D, BX$2))</f>
        <v>0.12460657527841699</v>
      </c>
      <c r="BY41" s="324">
        <f>$I41*IF($G41="Pickup", SUMIFS(NewEmisData!K:K, NewEmisData!$A:$A, "Pickup", NewEmisData!$B:$B, $A41, NewEmisData!$C:$C, $H41, NewEmisData!$D:$D, BY$2), SUMIFS(NewEmisData!K:K, NewEmisData!$A:$A, "LDV", NewEmisData!$B:$B, $A41, NewEmisData!$C:$C, $H41, NewEmisData!$D:$D, BY$2))</f>
        <v>0.11177610097077099</v>
      </c>
      <c r="BZ41" s="324">
        <f>$I41*IF($G41="Pickup", SUMIFS(NewEmisData!L:L, NewEmisData!$A:$A, "Pickup", NewEmisData!$B:$B, $A41, NewEmisData!$C:$C, $H41, NewEmisData!$D:$D, BZ$2), SUMIFS(NewEmisData!L:L, NewEmisData!$A:$A, "LDV", NewEmisData!$B:$B, $A41, NewEmisData!$C:$C, $H41, NewEmisData!$D:$D, BZ$2))</f>
        <v>0.10678198489299399</v>
      </c>
      <c r="CA41" s="324">
        <f>$I41*IF($G41="Pickup", SUMIFS(NewEmisData!M:M, NewEmisData!$A:$A, "Pickup", NewEmisData!$B:$B, $A41, NewEmisData!$C:$C, $H41, NewEmisData!$D:$D, CA$2), SUMIFS(NewEmisData!M:M, NewEmisData!$A:$A, "LDV", NewEmisData!$B:$B, $A41, NewEmisData!$C:$C, $H41, NewEmisData!$D:$D, CA$2))</f>
        <v>0.102788686456563</v>
      </c>
      <c r="CB41" s="324">
        <f t="shared" si="11"/>
        <v>0.102788686456563</v>
      </c>
      <c r="CC41" s="324">
        <f>$I41*IF($G41="Pickup", SUMIFS(NewEmisData!E:E, NewEmisData!$A:$A, "Pickup", NewEmisData!$B:$B, $A41, NewEmisData!$C:$C, $H41, NewEmisData!$D:$D, CC$2), SUMIFS(NewEmisData!E:E, NewEmisData!$A:$A, "LDV", NewEmisData!$B:$B, $A41, NewEmisData!$C:$C, $H41, NewEmisData!$D:$D, CC$2))</f>
        <v>4.5186599160421101E-2</v>
      </c>
      <c r="CD41" s="324">
        <f>$I41*IF($G41="Pickup", SUMIFS(NewEmisData!F:F, NewEmisData!$A:$A, "Pickup", NewEmisData!$B:$B, $A41, NewEmisData!$C:$C, $H41, NewEmisData!$D:$D, CD$2), SUMIFS(NewEmisData!F:F, NewEmisData!$A:$A, "LDV", NewEmisData!$B:$B, $A41, NewEmisData!$C:$C, $H41, NewEmisData!$D:$D, CD$2))</f>
        <v>3.0321042660064499E-2</v>
      </c>
      <c r="CE41" s="324">
        <f>$I41*IF($G41="Pickup", SUMIFS(NewEmisData!G:G, NewEmisData!$A:$A, "Pickup", NewEmisData!$B:$B, $A41, NewEmisData!$C:$C, $H41, NewEmisData!$D:$D, CE$2), SUMIFS(NewEmisData!G:G, NewEmisData!$A:$A, "LDV", NewEmisData!$B:$B, $A41, NewEmisData!$C:$C, $H41, NewEmisData!$D:$D, CE$2))</f>
        <v>2.5916716030162101E-2</v>
      </c>
      <c r="CF41" s="324">
        <f>$I41*IF($G41="Pickup", SUMIFS(NewEmisData!H:H, NewEmisData!$A:$A, "Pickup", NewEmisData!$B:$B, $A41, NewEmisData!$C:$C, $H41, NewEmisData!$D:$D, CF$2), SUMIFS(NewEmisData!H:H, NewEmisData!$A:$A, "LDV", NewEmisData!$B:$B, $A41, NewEmisData!$C:$C, $H41, NewEmisData!$D:$D, CF$2))</f>
        <v>2.4735955589537201E-2</v>
      </c>
      <c r="CG41" s="324">
        <f>$I41*IF($G41="Pickup", SUMIFS(NewEmisData!I:I, NewEmisData!$A:$A, "Pickup", NewEmisData!$B:$B, $A41, NewEmisData!$C:$C, $H41, NewEmisData!$D:$D, CG$2), SUMIFS(NewEmisData!I:I, NewEmisData!$A:$A, "LDV", NewEmisData!$B:$B, $A41, NewEmisData!$C:$C, $H41, NewEmisData!$D:$D, CG$2))</f>
        <v>2.39507418397766E-2</v>
      </c>
      <c r="CH41" s="324">
        <f>$I41*IF($G41="Pickup", SUMIFS(NewEmisData!J:J, NewEmisData!$A:$A, "Pickup", NewEmisData!$B:$B, $A41, NewEmisData!$C:$C, $H41, NewEmisData!$D:$D, CH$2), SUMIFS(NewEmisData!J:J, NewEmisData!$A:$A, "LDV", NewEmisData!$B:$B, $A41, NewEmisData!$C:$C, $H41, NewEmisData!$D:$D, CH$2))</f>
        <v>2.33343295652753E-2</v>
      </c>
      <c r="CI41" s="324">
        <f>$I41*IF($G41="Pickup", SUMIFS(NewEmisData!K:K, NewEmisData!$A:$A, "Pickup", NewEmisData!$B:$B, $A41, NewEmisData!$C:$C, $H41, NewEmisData!$D:$D, CI$2), SUMIFS(NewEmisData!K:K, NewEmisData!$A:$A, "LDV", NewEmisData!$B:$B, $A41, NewEmisData!$C:$C, $H41, NewEmisData!$D:$D, CI$2))</f>
        <v>2.33323778682475E-2</v>
      </c>
      <c r="CJ41" s="324">
        <f>$I41*IF($G41="Pickup", SUMIFS(NewEmisData!L:L, NewEmisData!$A:$A, "Pickup", NewEmisData!$B:$B, $A41, NewEmisData!$C:$C, $H41, NewEmisData!$D:$D, CJ$2), SUMIFS(NewEmisData!L:L, NewEmisData!$A:$A, "LDV", NewEmisData!$B:$B, $A41, NewEmisData!$C:$C, $H41, NewEmisData!$D:$D, CJ$2))</f>
        <v>2.3331868508858E-2</v>
      </c>
      <c r="CK41" s="324">
        <f>$I41*IF($G41="Pickup", SUMIFS(NewEmisData!M:M, NewEmisData!$A:$A, "Pickup", NewEmisData!$B:$B, $A41, NewEmisData!$C:$C, $H41, NewEmisData!$D:$D, CK$2), SUMIFS(NewEmisData!M:M, NewEmisData!$A:$A, "LDV", NewEmisData!$B:$B, $A41, NewEmisData!$C:$C, $H41, NewEmisData!$D:$D, CK$2))</f>
        <v>2.3331333840255802E-2</v>
      </c>
      <c r="CL41" s="324">
        <f t="shared" si="12"/>
        <v>2.3331333840255802E-2</v>
      </c>
      <c r="CM41" s="324">
        <f>$I41*IF($G41="Pickup", SUMIFS(NewEmisData!E:E, NewEmisData!$A:$A, "Pickup", NewEmisData!$B:$B, $A41, NewEmisData!$C:$C, $H41, NewEmisData!$D:$D, CM$2), SUMIFS(NewEmisData!E:E, NewEmisData!$A:$A, "LDV", NewEmisData!$B:$B, $A41, NewEmisData!$C:$C, $H41, NewEmisData!$D:$D, CM$2))</f>
        <v>1.8999640989844298E-2</v>
      </c>
      <c r="CN41" s="324">
        <f>$I41*IF($G41="Pickup", SUMIFS(NewEmisData!F:F, NewEmisData!$A:$A, "Pickup", NewEmisData!$B:$B, $A41, NewEmisData!$C:$C, $H41, NewEmisData!$D:$D, CN$2), SUMIFS(NewEmisData!F:F, NewEmisData!$A:$A, "LDV", NewEmisData!$B:$B, $A41, NewEmisData!$C:$C, $H41, NewEmisData!$D:$D, CN$2))</f>
        <v>1.12934038283153E-2</v>
      </c>
      <c r="CO41" s="324">
        <f>$I41*IF($G41="Pickup", SUMIFS(NewEmisData!G:G, NewEmisData!$A:$A, "Pickup", NewEmisData!$B:$B, $A41, NewEmisData!$C:$C, $H41, NewEmisData!$D:$D, CO$2), SUMIFS(NewEmisData!G:G, NewEmisData!$A:$A, "LDV", NewEmisData!$B:$B, $A41, NewEmisData!$C:$C, $H41, NewEmisData!$D:$D, CO$2))</f>
        <v>8.9155864809614994E-3</v>
      </c>
      <c r="CP41" s="324">
        <f>$I41*IF($G41="Pickup", SUMIFS(NewEmisData!H:H, NewEmisData!$A:$A, "Pickup", NewEmisData!$B:$B, $A41, NewEmisData!$C:$C, $H41, NewEmisData!$D:$D, CP$2), SUMIFS(NewEmisData!H:H, NewEmisData!$A:$A, "LDV", NewEmisData!$B:$B, $A41, NewEmisData!$C:$C, $H41, NewEmisData!$D:$D, CP$2))</f>
        <v>7.3372921922104104E-3</v>
      </c>
      <c r="CQ41" s="324">
        <f>$I41*IF($G41="Pickup", SUMIFS(NewEmisData!I:I, NewEmisData!$A:$A, "Pickup", NewEmisData!$B:$B, $A41, NewEmisData!$C:$C, $H41, NewEmisData!$D:$D, CQ$2), SUMIFS(NewEmisData!I:I, NewEmisData!$A:$A, "LDV", NewEmisData!$B:$B, $A41, NewEmisData!$C:$C, $H41, NewEmisData!$D:$D, CQ$2))</f>
        <v>6.5724995115123896E-3</v>
      </c>
      <c r="CR41" s="324">
        <f>$I41*IF($G41="Pickup", SUMIFS(NewEmisData!J:J, NewEmisData!$A:$A, "Pickup", NewEmisData!$B:$B, $A41, NewEmisData!$C:$C, $H41, NewEmisData!$D:$D, CR$2), SUMIFS(NewEmisData!J:J, NewEmisData!$A:$A, "LDV", NewEmisData!$B:$B, $A41, NewEmisData!$C:$C, $H41, NewEmisData!$D:$D, CR$2))</f>
        <v>6.2407197852133098E-3</v>
      </c>
      <c r="CS41" s="324">
        <f>$I41*IF($G41="Pickup", SUMIFS(NewEmisData!K:K, NewEmisData!$A:$A, "Pickup", NewEmisData!$B:$B, $A41, NewEmisData!$C:$C, $H41, NewEmisData!$D:$D, CS$2), SUMIFS(NewEmisData!K:K, NewEmisData!$A:$A, "LDV", NewEmisData!$B:$B, $A41, NewEmisData!$C:$C, $H41, NewEmisData!$D:$D, CS$2))</f>
        <v>6.20457620974787E-3</v>
      </c>
      <c r="CT41" s="324">
        <f>$I41*IF($G41="Pickup", SUMIFS(NewEmisData!L:L, NewEmisData!$A:$A, "Pickup", NewEmisData!$B:$B, $A41, NewEmisData!$C:$C, $H41, NewEmisData!$D:$D, CT$2), SUMIFS(NewEmisData!L:L, NewEmisData!$A:$A, "LDV", NewEmisData!$B:$B, $A41, NewEmisData!$C:$C, $H41, NewEmisData!$D:$D, CT$2))</f>
        <v>6.1456645266433898E-3</v>
      </c>
      <c r="CU41" s="324">
        <f>$I41*IF($G41="Pickup", SUMIFS(NewEmisData!M:M, NewEmisData!$A:$A, "Pickup", NewEmisData!$B:$B, $A41, NewEmisData!$C:$C, $H41, NewEmisData!$D:$D, CU$2), SUMIFS(NewEmisData!M:M, NewEmisData!$A:$A, "LDV", NewEmisData!$B:$B, $A41, NewEmisData!$C:$C, $H41, NewEmisData!$D:$D, CU$2))</f>
        <v>6.1452936234844303E-3</v>
      </c>
      <c r="CV41" s="324">
        <f t="shared" si="13"/>
        <v>6.1452936234844303E-3</v>
      </c>
      <c r="CW41" s="324">
        <v>4.0498104655261064E-3</v>
      </c>
      <c r="CX41" s="324">
        <v>2.5030350838759993E-3</v>
      </c>
      <c r="CY41" s="324">
        <v>2.1151214403419519E-3</v>
      </c>
      <c r="CZ41" s="324">
        <v>1.7489979687569375E-3</v>
      </c>
      <c r="DA41" s="324">
        <v>1.340486996695321E-3</v>
      </c>
      <c r="DB41" s="324">
        <v>1.0553769116342638E-3</v>
      </c>
      <c r="DC41" s="324">
        <v>1.0132227560056145E-3</v>
      </c>
      <c r="DD41" s="324">
        <v>1.0003159541004489E-3</v>
      </c>
      <c r="DE41" s="324">
        <v>9.9860782000699166E-4</v>
      </c>
      <c r="DF41" s="324">
        <v>9.9860782000699166E-4</v>
      </c>
      <c r="DG41" s="324">
        <f>$I41*IF($G41="Pickup", SUMIFS(NewEmisData!E:E, NewEmisData!$A:$A, "Pickup", NewEmisData!$B:$B, $A41, NewEmisData!$C:$C, $H41, NewEmisData!$D:$D, DG$2), SUMIFS(NewEmisData!E:E, NewEmisData!$A:$A, "LDV", NewEmisData!$B:$B, $A41, NewEmisData!$C:$C, $H41, NewEmisData!$D:$D, DG$2))</f>
        <v>0</v>
      </c>
      <c r="DH41" s="324">
        <f>$I41*IF($G41="Pickup", SUMIFS(NewEmisData!F:F, NewEmisData!$A:$A, "Pickup", NewEmisData!$B:$B, $A41, NewEmisData!$C:$C, $H41, NewEmisData!$D:$D, DH$2), SUMIFS(NewEmisData!F:F, NewEmisData!$A:$A, "LDV", NewEmisData!$B:$B, $A41, NewEmisData!$C:$C, $H41, NewEmisData!$D:$D, DH$2))</f>
        <v>0</v>
      </c>
      <c r="DI41" s="324">
        <f>$I41*IF($G41="Pickup", SUMIFS(NewEmisData!G:G, NewEmisData!$A:$A, "Pickup", NewEmisData!$B:$B, $A41, NewEmisData!$C:$C, $H41, NewEmisData!$D:$D, DI$2), SUMIFS(NewEmisData!G:G, NewEmisData!$A:$A, "LDV", NewEmisData!$B:$B, $A41, NewEmisData!$C:$C, $H41, NewEmisData!$D:$D, DI$2))</f>
        <v>0</v>
      </c>
      <c r="DJ41" s="324">
        <f>$I41*IF($G41="Pickup", SUMIFS(NewEmisData!H:H, NewEmisData!$A:$A, "Pickup", NewEmisData!$B:$B, $A41, NewEmisData!$C:$C, $H41, NewEmisData!$D:$D, DJ$2), SUMIFS(NewEmisData!H:H, NewEmisData!$A:$A, "LDV", NewEmisData!$B:$B, $A41, NewEmisData!$C:$C, $H41, NewEmisData!$D:$D, DJ$2))</f>
        <v>0</v>
      </c>
      <c r="DK41" s="324">
        <f>$I41*IF($G41="Pickup", SUMIFS(NewEmisData!I:I, NewEmisData!$A:$A, "Pickup", NewEmisData!$B:$B, $A41, NewEmisData!$C:$C, $H41, NewEmisData!$D:$D, DK$2), SUMIFS(NewEmisData!I:I, NewEmisData!$A:$A, "LDV", NewEmisData!$B:$B, $A41, NewEmisData!$C:$C, $H41, NewEmisData!$D:$D, DK$2))</f>
        <v>0</v>
      </c>
      <c r="DL41" s="324">
        <f>$I41*IF($G41="Pickup", SUMIFS(NewEmisData!J:J, NewEmisData!$A:$A, "Pickup", NewEmisData!$B:$B, $A41, NewEmisData!$C:$C, $H41, NewEmisData!$D:$D, DL$2), SUMIFS(NewEmisData!J:J, NewEmisData!$A:$A, "LDV", NewEmisData!$B:$B, $A41, NewEmisData!$C:$C, $H41, NewEmisData!$D:$D, DL$2))</f>
        <v>0</v>
      </c>
      <c r="DM41" s="324">
        <f>$I41*IF($G41="Pickup", SUMIFS(NewEmisData!K:K, NewEmisData!$A:$A, "Pickup", NewEmisData!$B:$B, $A41, NewEmisData!$C:$C, $H41, NewEmisData!$D:$D, DM$2), SUMIFS(NewEmisData!K:K, NewEmisData!$A:$A, "LDV", NewEmisData!$B:$B, $A41, NewEmisData!$C:$C, $H41, NewEmisData!$D:$D, DM$2))</f>
        <v>0</v>
      </c>
      <c r="DN41" s="324">
        <f>$I41*IF($G41="Pickup", SUMIFS(NewEmisData!L:L, NewEmisData!$A:$A, "Pickup", NewEmisData!$B:$B, $A41, NewEmisData!$C:$C, $H41, NewEmisData!$D:$D, DN$2), SUMIFS(NewEmisData!L:L, NewEmisData!$A:$A, "LDV", NewEmisData!$B:$B, $A41, NewEmisData!$C:$C, $H41, NewEmisData!$D:$D, DN$2))</f>
        <v>0</v>
      </c>
      <c r="DO41" s="324">
        <f>$I41*IF($G41="Pickup", SUMIFS(NewEmisData!M:M, NewEmisData!$A:$A, "Pickup", NewEmisData!$B:$B, $A41, NewEmisData!$C:$C, $H41, NewEmisData!$D:$D, DO$2), SUMIFS(NewEmisData!M:M, NewEmisData!$A:$A, "LDV", NewEmisData!$B:$B, $A41, NewEmisData!$C:$C, $H41, NewEmisData!$D:$D, DO$2))</f>
        <v>0</v>
      </c>
      <c r="DP41" s="324">
        <f t="shared" si="14"/>
        <v>0</v>
      </c>
      <c r="DQ41" s="324">
        <f>$I41*IF($G41="Pickup", SUMIFS(NewEmisData!E:E, NewEmisData!$A:$A, "Pickup", NewEmisData!$B:$B, $A41, NewEmisData!$C:$C, $H41, NewEmisData!$D:$D, DQ$2), SUMIFS(NewEmisData!E:E, NewEmisData!$A:$A, "LDV", NewEmisData!$B:$B, $A41, NewEmisData!$C:$C, $H41, NewEmisData!$D:$D, DQ$2))</f>
        <v>1.28100272800791E-2</v>
      </c>
      <c r="DR41" s="324">
        <f>$I41*IF($G41="Pickup", SUMIFS(NewEmisData!F:F, NewEmisData!$A:$A, "Pickup", NewEmisData!$B:$B, $A41, NewEmisData!$C:$C, $H41, NewEmisData!$D:$D, DR$2), SUMIFS(NewEmisData!F:F, NewEmisData!$A:$A, "LDV", NewEmisData!$B:$B, $A41, NewEmisData!$C:$C, $H41, NewEmisData!$D:$D, DR$2))</f>
        <v>6.9424260700293398E-3</v>
      </c>
      <c r="DS41" s="324">
        <f>$I41*IF($G41="Pickup", SUMIFS(NewEmisData!G:G, NewEmisData!$A:$A, "Pickup", NewEmisData!$B:$B, $A41, NewEmisData!$C:$C, $H41, NewEmisData!$D:$D, DS$2), SUMIFS(NewEmisData!G:G, NewEmisData!$A:$A, "LDV", NewEmisData!$B:$B, $A41, NewEmisData!$C:$C, $H41, NewEmisData!$D:$D, DS$2))</f>
        <v>5.5718062948972597E-3</v>
      </c>
      <c r="DT41" s="324">
        <f>$I41*IF($G41="Pickup", SUMIFS(NewEmisData!H:H, NewEmisData!$A:$A, "Pickup", NewEmisData!$B:$B, $A41, NewEmisData!$C:$C, $H41, NewEmisData!$D:$D, DT$2), SUMIFS(NewEmisData!H:H, NewEmisData!$A:$A, "LDV", NewEmisData!$B:$B, $A41, NewEmisData!$C:$C, $H41, NewEmisData!$D:$D, DT$2))</f>
        <v>4.2603417623007303E-3</v>
      </c>
      <c r="DU41" s="324">
        <f>$I41*IF($G41="Pickup", SUMIFS(NewEmisData!I:I, NewEmisData!$A:$A, "Pickup", NewEmisData!$B:$B, $A41, NewEmisData!$C:$C, $H41, NewEmisData!$D:$D, DU$2), SUMIFS(NewEmisData!I:I, NewEmisData!$A:$A, "LDV", NewEmisData!$B:$B, $A41, NewEmisData!$C:$C, $H41, NewEmisData!$D:$D, DU$2))</f>
        <v>3.31959498333436E-3</v>
      </c>
      <c r="DV41" s="324">
        <f>$I41*IF($G41="Pickup", SUMIFS(NewEmisData!J:J, NewEmisData!$A:$A, "Pickup", NewEmisData!$B:$B, $A41, NewEmisData!$C:$C, $H41, NewEmisData!$D:$D, DV$2), SUMIFS(NewEmisData!J:J, NewEmisData!$A:$A, "LDV", NewEmisData!$B:$B, $A41, NewEmisData!$C:$C, $H41, NewEmisData!$D:$D, DV$2))</f>
        <v>2.8901416801040899E-3</v>
      </c>
      <c r="DW41" s="324">
        <f>$I41*IF($G41="Pickup", SUMIFS(NewEmisData!K:K, NewEmisData!$A:$A, "Pickup", NewEmisData!$B:$B, $A41, NewEmisData!$C:$C, $H41, NewEmisData!$D:$D, DW$2), SUMIFS(NewEmisData!K:K, NewEmisData!$A:$A, "LDV", NewEmisData!$B:$B, $A41, NewEmisData!$C:$C, $H41, NewEmisData!$D:$D, DW$2))</f>
        <v>2.6480526244027302E-3</v>
      </c>
      <c r="DX41" s="324">
        <f>$I41*IF($G41="Pickup", SUMIFS(NewEmisData!L:L, NewEmisData!$A:$A, "Pickup", NewEmisData!$B:$B, $A41, NewEmisData!$C:$C, $H41, NewEmisData!$D:$D, DX$2), SUMIFS(NewEmisData!L:L, NewEmisData!$A:$A, "LDV", NewEmisData!$B:$B, $A41, NewEmisData!$C:$C, $H41, NewEmisData!$D:$D, DX$2))</f>
        <v>2.5707167297103401E-3</v>
      </c>
      <c r="DY41" s="324">
        <f>$I41*IF($G41="Pickup", SUMIFS(NewEmisData!M:M, NewEmisData!$A:$A, "Pickup", NewEmisData!$B:$B, $A41, NewEmisData!$C:$C, $H41, NewEmisData!$D:$D, DY$2), SUMIFS(NewEmisData!M:M, NewEmisData!$A:$A, "LDV", NewEmisData!$B:$B, $A41, NewEmisData!$C:$C, $H41, NewEmisData!$D:$D, DY$2))</f>
        <v>2.5319062605993902E-3</v>
      </c>
      <c r="DZ41" s="324">
        <f t="shared" si="15"/>
        <v>2.5319062605993902E-3</v>
      </c>
      <c r="EA41" s="324">
        <f t="shared" si="16"/>
        <v>437.85746964693402</v>
      </c>
      <c r="EB41" s="324">
        <f t="shared" si="17"/>
        <v>424.609883045034</v>
      </c>
      <c r="EC41" s="324">
        <f t="shared" si="18"/>
        <v>389.26792072260798</v>
      </c>
      <c r="ED41" s="324">
        <f t="shared" si="19"/>
        <v>331.09003080375697</v>
      </c>
      <c r="EE41" s="324">
        <f t="shared" si="20"/>
        <v>286.46929869872997</v>
      </c>
      <c r="EF41" s="324">
        <f t="shared" si="21"/>
        <v>261.33080310252802</v>
      </c>
      <c r="EG41" s="324">
        <f t="shared" si="22"/>
        <v>250.12665030232699</v>
      </c>
      <c r="EH41" s="324">
        <f t="shared" si="23"/>
        <v>246.146486551527</v>
      </c>
      <c r="EI41" s="324">
        <f t="shared" si="24"/>
        <v>244.677818234341</v>
      </c>
      <c r="EJ41" s="324">
        <f t="shared" si="25"/>
        <v>244.677818234341</v>
      </c>
      <c r="EK41" s="324">
        <f t="shared" si="26"/>
        <v>0.78000130642291299</v>
      </c>
      <c r="EL41" s="324">
        <f t="shared" si="27"/>
        <v>0.323605278282381</v>
      </c>
      <c r="EM41" s="324">
        <f t="shared" si="28"/>
        <v>0.19152446532377701</v>
      </c>
      <c r="EN41" s="324">
        <f t="shared" si="29"/>
        <v>0.12537127832280801</v>
      </c>
      <c r="EO41" s="324">
        <f t="shared" si="30"/>
        <v>7.6671766649271E-2</v>
      </c>
      <c r="EP41" s="324">
        <f t="shared" si="31"/>
        <v>5.7019026656941203E-2</v>
      </c>
      <c r="EQ41" s="324">
        <f t="shared" si="32"/>
        <v>4.8823281713844202E-2</v>
      </c>
      <c r="ER41" s="324">
        <f t="shared" si="33"/>
        <v>4.6542407484685501E-2</v>
      </c>
      <c r="ES41" s="324">
        <f t="shared" si="34"/>
        <v>4.5415311435121702E-2</v>
      </c>
      <c r="ET41" s="324">
        <f t="shared" si="35"/>
        <v>4.5415311435121702E-2</v>
      </c>
      <c r="EU41" s="324">
        <f t="shared" si="36"/>
        <v>7.5764719154140002E-3</v>
      </c>
      <c r="EV41" s="324">
        <f t="shared" si="37"/>
        <v>7.3472400077695399E-3</v>
      </c>
      <c r="EW41" s="324">
        <f t="shared" si="38"/>
        <v>5.5842494055705696E-3</v>
      </c>
      <c r="EX41" s="324">
        <f t="shared" si="39"/>
        <v>4.7496587466809804E-3</v>
      </c>
      <c r="EY41" s="324">
        <f t="shared" si="40"/>
        <v>4.1095518958717504E-3</v>
      </c>
      <c r="EZ41" s="324">
        <f t="shared" si="41"/>
        <v>3.7489264773323799E-3</v>
      </c>
      <c r="FA41" s="324">
        <f t="shared" si="42"/>
        <v>3.5881959766524201E-3</v>
      </c>
      <c r="FB41" s="324">
        <f t="shared" si="43"/>
        <v>3.5311006464952199E-3</v>
      </c>
      <c r="FC41" s="324">
        <f t="shared" si="44"/>
        <v>3.5100309709840301E-3</v>
      </c>
      <c r="FD41" s="324">
        <f t="shared" si="45"/>
        <v>3.5100309709840301E-3</v>
      </c>
      <c r="FE41" s="324">
        <f t="shared" si="46"/>
        <v>6.7831755328566196E-2</v>
      </c>
      <c r="FF41" s="324">
        <f t="shared" si="47"/>
        <v>6.3250667156757298E-2</v>
      </c>
      <c r="FG41" s="324">
        <f t="shared" si="48"/>
        <v>6.2628417187727006E-2</v>
      </c>
      <c r="FH41" s="324">
        <f t="shared" si="49"/>
        <v>6.1216981125607202E-2</v>
      </c>
      <c r="FI41" s="324">
        <f t="shared" si="50"/>
        <v>5.9842025439809501E-2</v>
      </c>
      <c r="FJ41" s="324">
        <f t="shared" si="51"/>
        <v>5.8761885691048198E-2</v>
      </c>
      <c r="FK41" s="324">
        <f t="shared" si="52"/>
        <v>5.8072078083983E-2</v>
      </c>
      <c r="FL41" s="324">
        <f t="shared" si="53"/>
        <v>5.7726484266030297E-2</v>
      </c>
      <c r="FM41" s="324">
        <f t="shared" si="54"/>
        <v>5.7530226905323702E-2</v>
      </c>
      <c r="FN41" s="324">
        <f t="shared" si="55"/>
        <v>5.7530226905323702E-2</v>
      </c>
      <c r="FO41" s="324">
        <f t="shared" si="56"/>
        <v>1.8324822567621701E-2</v>
      </c>
      <c r="FP41" s="324">
        <f t="shared" si="57"/>
        <v>1.4272294035055699E-2</v>
      </c>
      <c r="FQ41" s="324">
        <f t="shared" si="58"/>
        <v>1.3165752481838801E-2</v>
      </c>
      <c r="FR41" s="324">
        <f t="shared" si="59"/>
        <v>1.1917194849656599E-2</v>
      </c>
      <c r="FS41" s="324">
        <f t="shared" si="60"/>
        <v>1.0700861948252101E-2</v>
      </c>
      <c r="FT41" s="324">
        <f t="shared" si="61"/>
        <v>9.7453521893521699E-3</v>
      </c>
      <c r="FU41" s="324">
        <f t="shared" si="62"/>
        <v>9.1351470976244707E-3</v>
      </c>
      <c r="FV41" s="324">
        <f t="shared" si="63"/>
        <v>8.8293874131557606E-3</v>
      </c>
      <c r="FW41" s="324">
        <f t="shared" si="64"/>
        <v>8.6558174466142106E-3</v>
      </c>
      <c r="FX41" s="324">
        <f t="shared" si="65"/>
        <v>8.6558174466142106E-3</v>
      </c>
    </row>
    <row r="42" spans="1:180" x14ac:dyDescent="0.2">
      <c r="A42" s="298" t="str">
        <f>_xlfn.CONCAT(IF(LEFT(TRIM(A41),1)="*", "*R", "R"), 1+RIGHT(TRIM(A41),1))</f>
        <v>R4</v>
      </c>
      <c r="B42" s="298" t="str">
        <f t="shared" si="96"/>
        <v>TLEMGSL</v>
      </c>
      <c r="C42" s="298" t="str">
        <f t="shared" si="97"/>
        <v>TL.GSL.M.Existing Fleet</v>
      </c>
      <c r="D42" s="294" t="str">
        <f t="shared" si="98"/>
        <v>bn-vmt, bn-vmt/a</v>
      </c>
      <c r="E42" s="294" t="str">
        <f t="shared" si="99"/>
        <v>TLGSL</v>
      </c>
      <c r="F42" s="294" t="str">
        <f t="shared" si="100"/>
        <v>TL</v>
      </c>
      <c r="G42" s="294" t="s">
        <v>478</v>
      </c>
      <c r="H42" s="294" t="s">
        <v>474</v>
      </c>
      <c r="I42" s="294">
        <v>1</v>
      </c>
      <c r="J42" s="308" t="str">
        <f t="shared" ref="J42:J74" si="101">CONCATENATE(G42,"-",H42)</f>
        <v>Minivan-GSL</v>
      </c>
      <c r="K42" s="324">
        <f>$I42*IF($G42="Pickup", SUMIFS(NewEmisData!E:E, NewEmisData!$A:$A, "Pickup", NewEmisData!$B:$B, $A42, NewEmisData!$C:$C, $H42, NewEmisData!$D:$D, K$2), SUMIFS(NewEmisData!E:E, NewEmisData!$A:$A, "LDV", NewEmisData!$B:$B, $A42, NewEmisData!$C:$C, $H42, NewEmisData!$D:$D, K$2))</f>
        <v>605.35194063093002</v>
      </c>
      <c r="L42" s="324">
        <f>$I42*IF($G42="Pickup", SUMIFS(NewEmisData!F:F, NewEmisData!$A:$A, "Pickup", NewEmisData!$B:$B, $A42, NewEmisData!$C:$C, $H42, NewEmisData!$D:$D, L$2), SUMIFS(NewEmisData!F:F, NewEmisData!$A:$A, "LDV", NewEmisData!$B:$B, $A42, NewEmisData!$C:$C, $H42, NewEmisData!$D:$D, L$2))</f>
        <v>575.43677827742204</v>
      </c>
      <c r="M42" s="324">
        <f>$I42*IF($G42="Pickup", SUMIFS(NewEmisData!G:G, NewEmisData!$A:$A, "Pickup", NewEmisData!$B:$B, $A42, NewEmisData!$C:$C, $H42, NewEmisData!$D:$D, M$2), SUMIFS(NewEmisData!G:G, NewEmisData!$A:$A, "LDV", NewEmisData!$B:$B, $A42, NewEmisData!$C:$C, $H42, NewEmisData!$D:$D, M$2))</f>
        <v>447.50306541281799</v>
      </c>
      <c r="N42" s="324">
        <f>$I42*IF($G42="Pickup", SUMIFS(NewEmisData!H:H, NewEmisData!$A:$A, "Pickup", NewEmisData!$B:$B, $A42, NewEmisData!$C:$C, $H42, NewEmisData!$D:$D, N$2), SUMIFS(NewEmisData!H:H, NewEmisData!$A:$A, "LDV", NewEmisData!$B:$B, $A42, NewEmisData!$C:$C, $H42, NewEmisData!$D:$D, N$2))</f>
        <v>380.32748601406797</v>
      </c>
      <c r="O42" s="324">
        <f>$I42*IF($G42="Pickup", SUMIFS(NewEmisData!I:I, NewEmisData!$A:$A, "Pickup", NewEmisData!$B:$B, $A42, NewEmisData!$C:$C, $H42, NewEmisData!$D:$D, O$2), SUMIFS(NewEmisData!I:I, NewEmisData!$A:$A, "LDV", NewEmisData!$B:$B, $A42, NewEmisData!$C:$C, $H42, NewEmisData!$D:$D, O$2))</f>
        <v>328.8508655947</v>
      </c>
      <c r="P42" s="324">
        <f>$I42*IF($G42="Pickup", SUMIFS(NewEmisData!J:J, NewEmisData!$A:$A, "Pickup", NewEmisData!$B:$B, $A42, NewEmisData!$C:$C, $H42, NewEmisData!$D:$D, P$2), SUMIFS(NewEmisData!J:J, NewEmisData!$A:$A, "LDV", NewEmisData!$B:$B, $A42, NewEmisData!$C:$C, $H42, NewEmisData!$D:$D, P$2))</f>
        <v>299.87343037562698</v>
      </c>
      <c r="Q42" s="324">
        <f>$I42*IF($G42="Pickup", SUMIFS(NewEmisData!K:K, NewEmisData!$A:$A, "Pickup", NewEmisData!$B:$B, $A42, NewEmisData!$C:$C, $H42, NewEmisData!$D:$D, Q$2), SUMIFS(NewEmisData!K:K, NewEmisData!$A:$A, "LDV", NewEmisData!$B:$B, $A42, NewEmisData!$C:$C, $H42, NewEmisData!$D:$D, Q$2))</f>
        <v>286.96645721008798</v>
      </c>
      <c r="R42" s="324">
        <f>$I42*IF($G42="Pickup", SUMIFS(NewEmisData!L:L, NewEmisData!$A:$A, "Pickup", NewEmisData!$B:$B, $A42, NewEmisData!$C:$C, $H42, NewEmisData!$D:$D, R$2), SUMIFS(NewEmisData!L:L, NewEmisData!$A:$A, "LDV", NewEmisData!$B:$B, $A42, NewEmisData!$C:$C, $H42, NewEmisData!$D:$D, R$2))</f>
        <v>282.38592098475101</v>
      </c>
      <c r="S42" s="324">
        <f>$I42*IF($G42="Pickup", SUMIFS(NewEmisData!M:M, NewEmisData!$A:$A, "Pickup", NewEmisData!$B:$B, $A42, NewEmisData!$C:$C, $H42, NewEmisData!$D:$D, S$2), SUMIFS(NewEmisData!M:M, NewEmisData!$A:$A, "LDV", NewEmisData!$B:$B, $A42, NewEmisData!$C:$C, $H42, NewEmisData!$D:$D, S$2))</f>
        <v>280.69816184937503</v>
      </c>
      <c r="T42" s="324">
        <f t="shared" si="5"/>
        <v>280.69816184937503</v>
      </c>
      <c r="U42" s="324">
        <f>$I42*IF($G42="Pickup", SUMIFS(NewEmisData!E:E, NewEmisData!$A:$A, "Pickup", NewEmisData!$B:$B, $A42, NewEmisData!$C:$C, $H42, NewEmisData!$D:$D, U$2), SUMIFS(NewEmisData!E:E, NewEmisData!$A:$A, "LDV", NewEmisData!$B:$B, $A42, NewEmisData!$C:$C, $H42, NewEmisData!$D:$D, U$2))</f>
        <v>0.73999493628111201</v>
      </c>
      <c r="V42" s="324">
        <f>$I42*IF($G42="Pickup", SUMIFS(NewEmisData!F:F, NewEmisData!$A:$A, "Pickup", NewEmisData!$B:$B, $A42, NewEmisData!$C:$C, $H42, NewEmisData!$D:$D, V$2), SUMIFS(NewEmisData!F:F, NewEmisData!$A:$A, "LDV", NewEmisData!$B:$B, $A42, NewEmisData!$C:$C, $H42, NewEmisData!$D:$D, V$2))</f>
        <v>0.35335240075773999</v>
      </c>
      <c r="W42" s="324">
        <f>$I42*IF($G42="Pickup", SUMIFS(NewEmisData!G:G, NewEmisData!$A:$A, "Pickup", NewEmisData!$B:$B, $A42, NewEmisData!$C:$C, $H42, NewEmisData!$D:$D, W$2), SUMIFS(NewEmisData!G:G, NewEmisData!$A:$A, "LDV", NewEmisData!$B:$B, $A42, NewEmisData!$C:$C, $H42, NewEmisData!$D:$D, W$2))</f>
        <v>0.18897755292818599</v>
      </c>
      <c r="X42" s="324">
        <f>$I42*IF($G42="Pickup", SUMIFS(NewEmisData!H:H, NewEmisData!$A:$A, "Pickup", NewEmisData!$B:$B, $A42, NewEmisData!$C:$C, $H42, NewEmisData!$D:$D, X$2), SUMIFS(NewEmisData!H:H, NewEmisData!$A:$A, "LDV", NewEmisData!$B:$B, $A42, NewEmisData!$C:$C, $H42, NewEmisData!$D:$D, X$2))</f>
        <v>0.12218817840455801</v>
      </c>
      <c r="Y42" s="324">
        <f>$I42*IF($G42="Pickup", SUMIFS(NewEmisData!I:I, NewEmisData!$A:$A, "Pickup", NewEmisData!$B:$B, $A42, NewEmisData!$C:$C, $H42, NewEmisData!$D:$D, Y$2), SUMIFS(NewEmisData!I:I, NewEmisData!$A:$A, "LDV", NewEmisData!$B:$B, $A42, NewEmisData!$C:$C, $H42, NewEmisData!$D:$D, Y$2))</f>
        <v>7.3060825114572805E-2</v>
      </c>
      <c r="Z42" s="324">
        <f>$I42*IF($G42="Pickup", SUMIFS(NewEmisData!J:J, NewEmisData!$A:$A, "Pickup", NewEmisData!$B:$B, $A42, NewEmisData!$C:$C, $H42, NewEmisData!$D:$D, Z$2), SUMIFS(NewEmisData!J:J, NewEmisData!$A:$A, "LDV", NewEmisData!$B:$B, $A42, NewEmisData!$C:$C, $H42, NewEmisData!$D:$D, Z$2))</f>
        <v>5.3764321341730301E-2</v>
      </c>
      <c r="AA42" s="324">
        <f>$I42*IF($G42="Pickup", SUMIFS(NewEmisData!K:K, NewEmisData!$A:$A, "Pickup", NewEmisData!$B:$B, $A42, NewEmisData!$C:$C, $H42, NewEmisData!$D:$D, AA$2), SUMIFS(NewEmisData!K:K, NewEmisData!$A:$A, "LDV", NewEmisData!$B:$B, $A42, NewEmisData!$C:$C, $H42, NewEmisData!$D:$D, AA$2))</f>
        <v>4.5765873698397498E-2</v>
      </c>
      <c r="AB42" s="324">
        <f>$I42*IF($G42="Pickup", SUMIFS(NewEmisData!L:L, NewEmisData!$A:$A, "Pickup", NewEmisData!$B:$B, $A42, NewEmisData!$C:$C, $H42, NewEmisData!$D:$D, AB$2), SUMIFS(NewEmisData!L:L, NewEmisData!$A:$A, "LDV", NewEmisData!$B:$B, $A42, NewEmisData!$C:$C, $H42, NewEmisData!$D:$D, AB$2))</f>
        <v>4.3548109073897001E-2</v>
      </c>
      <c r="AC42" s="324">
        <f>$I42*IF($G42="Pickup", SUMIFS(NewEmisData!M:M, NewEmisData!$A:$A, "Pickup", NewEmisData!$B:$B, $A42, NewEmisData!$C:$C, $H42, NewEmisData!$D:$D, AC$2), SUMIFS(NewEmisData!M:M, NewEmisData!$A:$A, "LDV", NewEmisData!$B:$B, $A42, NewEmisData!$C:$C, $H42, NewEmisData!$D:$D, AC$2))</f>
        <v>4.24609775043936E-2</v>
      </c>
      <c r="AD42" s="324">
        <f t="shared" si="6"/>
        <v>4.24609775043936E-2</v>
      </c>
      <c r="AE42" s="324">
        <f>$I42*IF($G42="Pickup", SUMIFS(NewEmisData!E:E, NewEmisData!$A:$A, "Pickup", NewEmisData!$B:$B, $A42, NewEmisData!$C:$C, $H42, NewEmisData!$D:$D, AE$2), SUMIFS(NewEmisData!E:E, NewEmisData!$A:$A, "LDV", NewEmisData!$B:$B, $A42, NewEmisData!$C:$C, $H42, NewEmisData!$D:$D, AE$2))</f>
        <v>1.04747160569124E-2</v>
      </c>
      <c r="AF42" s="324">
        <f>$I42*IF($G42="Pickup", SUMIFS(NewEmisData!F:F, NewEmisData!$A:$A, "Pickup", NewEmisData!$B:$B, $A42, NewEmisData!$C:$C, $H42, NewEmisData!$D:$D, AF$2), SUMIFS(NewEmisData!F:F, NewEmisData!$A:$A, "LDV", NewEmisData!$B:$B, $A42, NewEmisData!$C:$C, $H42, NewEmisData!$D:$D, AF$2))</f>
        <v>9.9570764799691708E-3</v>
      </c>
      <c r="AG42" s="324">
        <f>$I42*IF($G42="Pickup", SUMIFS(NewEmisData!G:G, NewEmisData!$A:$A, "Pickup", NewEmisData!$B:$B, $A42, NewEmisData!$C:$C, $H42, NewEmisData!$D:$D, AG$2), SUMIFS(NewEmisData!G:G, NewEmisData!$A:$A, "LDV", NewEmisData!$B:$B, $A42, NewEmisData!$C:$C, $H42, NewEmisData!$D:$D, AG$2))</f>
        <v>6.4196648888919499E-3</v>
      </c>
      <c r="AH42" s="324">
        <f>$I42*IF($G42="Pickup", SUMIFS(NewEmisData!H:H, NewEmisData!$A:$A, "Pickup", NewEmisData!$B:$B, $A42, NewEmisData!$C:$C, $H42, NewEmisData!$D:$D, AH$2), SUMIFS(NewEmisData!H:H, NewEmisData!$A:$A, "LDV", NewEmisData!$B:$B, $A42, NewEmisData!$C:$C, $H42, NewEmisData!$D:$D, AH$2))</f>
        <v>5.45599526494426E-3</v>
      </c>
      <c r="AI42" s="324">
        <f>$I42*IF($G42="Pickup", SUMIFS(NewEmisData!I:I, NewEmisData!$A:$A, "Pickup", NewEmisData!$B:$B, $A42, NewEmisData!$C:$C, $H42, NewEmisData!$D:$D, AI$2), SUMIFS(NewEmisData!I:I, NewEmisData!$A:$A, "LDV", NewEmisData!$B:$B, $A42, NewEmisData!$C:$C, $H42, NewEmisData!$D:$D, AI$2))</f>
        <v>4.7175365225731996E-3</v>
      </c>
      <c r="AJ42" s="324">
        <f>$I42*IF($G42="Pickup", SUMIFS(NewEmisData!J:J, NewEmisData!$A:$A, "Pickup", NewEmisData!$B:$B, $A42, NewEmisData!$C:$C, $H42, NewEmisData!$D:$D, AJ$2), SUMIFS(NewEmisData!J:J, NewEmisData!$A:$A, "LDV", NewEmisData!$B:$B, $A42, NewEmisData!$C:$C, $H42, NewEmisData!$D:$D, AJ$2))</f>
        <v>4.3018391726363297E-3</v>
      </c>
      <c r="AK42" s="324">
        <f>$I42*IF($G42="Pickup", SUMIFS(NewEmisData!K:K, NewEmisData!$A:$A, "Pickup", NewEmisData!$B:$B, $A42, NewEmisData!$C:$C, $H42, NewEmisData!$D:$D, AK$2), SUMIFS(NewEmisData!K:K, NewEmisData!$A:$A, "LDV", NewEmisData!$B:$B, $A42, NewEmisData!$C:$C, $H42, NewEmisData!$D:$D, AK$2))</f>
        <v>4.1166816404986702E-3</v>
      </c>
      <c r="AL42" s="324">
        <f>$I42*IF($G42="Pickup", SUMIFS(NewEmisData!L:L, NewEmisData!$A:$A, "Pickup", NewEmisData!$B:$B, $A42, NewEmisData!$C:$C, $H42, NewEmisData!$D:$D, AL$2), SUMIFS(NewEmisData!L:L, NewEmisData!$A:$A, "LDV", NewEmisData!$B:$B, $A42, NewEmisData!$C:$C, $H42, NewEmisData!$D:$D, AL$2))</f>
        <v>4.0509726462172697E-3</v>
      </c>
      <c r="AM42" s="324">
        <f>$I42*IF($G42="Pickup", SUMIFS(NewEmisData!M:M, NewEmisData!$A:$A, "Pickup", NewEmisData!$B:$B, $A42, NewEmisData!$C:$C, $H42, NewEmisData!$D:$D, AM$2), SUMIFS(NewEmisData!M:M, NewEmisData!$A:$A, "LDV", NewEmisData!$B:$B, $A42, NewEmisData!$C:$C, $H42, NewEmisData!$D:$D, AM$2))</f>
        <v>4.0267596573162799E-3</v>
      </c>
      <c r="AN42" s="324">
        <f t="shared" si="7"/>
        <v>4.0267596573162799E-3</v>
      </c>
      <c r="AO42" s="324">
        <f>$I42*IF($G42="Pickup", SUMIFS(NewEmisData!E:E, NewEmisData!$A:$A, "Pickup", NewEmisData!$B:$B, $A42, NewEmisData!$C:$C, $H42, NewEmisData!$D:$D, AO$2), SUMIFS(NewEmisData!E:E, NewEmisData!$A:$A, "LDV", NewEmisData!$B:$B, $A42, NewEmisData!$C:$C, $H42, NewEmisData!$D:$D, AO$2))</f>
        <v>0.112529836649977</v>
      </c>
      <c r="AP42" s="324">
        <f>$I42*IF($G42="Pickup", SUMIFS(NewEmisData!F:F, NewEmisData!$A:$A, "Pickup", NewEmisData!$B:$B, $A42, NewEmisData!$C:$C, $H42, NewEmisData!$D:$D, AP$2), SUMIFS(NewEmisData!F:F, NewEmisData!$A:$A, "LDV", NewEmisData!$B:$B, $A42, NewEmisData!$C:$C, $H42, NewEmisData!$D:$D, AP$2))</f>
        <v>0.103764807432247</v>
      </c>
      <c r="AQ42" s="324">
        <f>$I42*IF($G42="Pickup", SUMIFS(NewEmisData!G:G, NewEmisData!$A:$A, "Pickup", NewEmisData!$B:$B, $A42, NewEmisData!$C:$C, $H42, NewEmisData!$D:$D, AQ$2), SUMIFS(NewEmisData!G:G, NewEmisData!$A:$A, "LDV", NewEmisData!$B:$B, $A42, NewEmisData!$C:$C, $H42, NewEmisData!$D:$D, AQ$2))</f>
        <v>8.1904009889209095E-2</v>
      </c>
      <c r="AR42" s="324">
        <f>$I42*IF($G42="Pickup", SUMIFS(NewEmisData!H:H, NewEmisData!$A:$A, "Pickup", NewEmisData!$B:$B, $A42, NewEmisData!$C:$C, $H42, NewEmisData!$D:$D, AR$2), SUMIFS(NewEmisData!H:H, NewEmisData!$A:$A, "LDV", NewEmisData!$B:$B, $A42, NewEmisData!$C:$C, $H42, NewEmisData!$D:$D, AR$2))</f>
        <v>8.0372811122020202E-2</v>
      </c>
      <c r="AS42" s="324">
        <f>$I42*IF($G42="Pickup", SUMIFS(NewEmisData!I:I, NewEmisData!$A:$A, "Pickup", NewEmisData!$B:$B, $A42, NewEmisData!$C:$C, $H42, NewEmisData!$D:$D, AS$2), SUMIFS(NewEmisData!I:I, NewEmisData!$A:$A, "LDV", NewEmisData!$B:$B, $A42, NewEmisData!$C:$C, $H42, NewEmisData!$D:$D, AS$2))</f>
        <v>7.8826850839141593E-2</v>
      </c>
      <c r="AT42" s="324">
        <f>$I42*IF($G42="Pickup", SUMIFS(NewEmisData!J:J, NewEmisData!$A:$A, "Pickup", NewEmisData!$B:$B, $A42, NewEmisData!$C:$C, $H42, NewEmisData!$D:$D, AT$2), SUMIFS(NewEmisData!J:J, NewEmisData!$A:$A, "LDV", NewEmisData!$B:$B, $A42, NewEmisData!$C:$C, $H42, NewEmisData!$D:$D, AT$2))</f>
        <v>7.7629471627150906E-2</v>
      </c>
      <c r="AU42" s="324">
        <f>$I42*IF($G42="Pickup", SUMIFS(NewEmisData!K:K, NewEmisData!$A:$A, "Pickup", NewEmisData!$B:$B, $A42, NewEmisData!$C:$C, $H42, NewEmisData!$D:$D, AU$2), SUMIFS(NewEmisData!K:K, NewEmisData!$A:$A, "LDV", NewEmisData!$B:$B, $A42, NewEmisData!$C:$C, $H42, NewEmisData!$D:$D, AU$2))</f>
        <v>7.6869255276324197E-2</v>
      </c>
      <c r="AV42" s="324">
        <f>$I42*IF($G42="Pickup", SUMIFS(NewEmisData!L:L, NewEmisData!$A:$A, "Pickup", NewEmisData!$B:$B, $A42, NewEmisData!$C:$C, $H42, NewEmisData!$D:$D, AV$2), SUMIFS(NewEmisData!L:L, NewEmisData!$A:$A, "LDV", NewEmisData!$B:$B, $A42, NewEmisData!$C:$C, $H42, NewEmisData!$D:$D, AV$2))</f>
        <v>7.6489801218608905E-2</v>
      </c>
      <c r="AW42" s="324">
        <f>$I42*IF($G42="Pickup", SUMIFS(NewEmisData!M:M, NewEmisData!$A:$A, "Pickup", NewEmisData!$B:$B, $A42, NewEmisData!$C:$C, $H42, NewEmisData!$D:$D, AW$2), SUMIFS(NewEmisData!M:M, NewEmisData!$A:$A, "LDV", NewEmisData!$B:$B, $A42, NewEmisData!$C:$C, $H42, NewEmisData!$D:$D, AW$2))</f>
        <v>7.6275890012832595E-2</v>
      </c>
      <c r="AX42" s="324">
        <f t="shared" si="8"/>
        <v>7.6275890012832595E-2</v>
      </c>
      <c r="AY42" s="324">
        <f>$I42*IF($G42="Pickup", SUMIFS(NewEmisData!E:E, NewEmisData!$A:$A, "Pickup", NewEmisData!$B:$B, $A42, NewEmisData!$C:$C, $H42, NewEmisData!$D:$D, AY$2), SUMIFS(NewEmisData!E:E, NewEmisData!$A:$A, "LDV", NewEmisData!$B:$B, $A42, NewEmisData!$C:$C, $H42, NewEmisData!$D:$D, AY$2))</f>
        <v>2.93140110896879E-2</v>
      </c>
      <c r="AZ42" s="324">
        <f>$I42*IF($G42="Pickup", SUMIFS(NewEmisData!F:F, NewEmisData!$A:$A, "Pickup", NewEmisData!$B:$B, $A42, NewEmisData!$C:$C, $H42, NewEmisData!$D:$D, AZ$2), SUMIFS(NewEmisData!F:F, NewEmisData!$A:$A, "LDV", NewEmisData!$B:$B, $A42, NewEmisData!$C:$C, $H42, NewEmisData!$D:$D, AZ$2))</f>
        <v>2.15603319614842E-2</v>
      </c>
      <c r="BA42" s="324">
        <f>$I42*IF($G42="Pickup", SUMIFS(NewEmisData!G:G, NewEmisData!$A:$A, "Pickup", NewEmisData!$B:$B, $A42, NewEmisData!$C:$C, $H42, NewEmisData!$D:$D, BA$2), SUMIFS(NewEmisData!G:G, NewEmisData!$A:$A, "LDV", NewEmisData!$B:$B, $A42, NewEmisData!$C:$C, $H42, NewEmisData!$D:$D, BA$2))</f>
        <v>1.61359542510712E-2</v>
      </c>
      <c r="BB42" s="324">
        <f>$I42*IF($G42="Pickup", SUMIFS(NewEmisData!H:H, NewEmisData!$A:$A, "Pickup", NewEmisData!$B:$B, $A42, NewEmisData!$C:$C, $H42, NewEmisData!$D:$D, BB$2), SUMIFS(NewEmisData!H:H, NewEmisData!$A:$A, "LDV", NewEmisData!$B:$B, $A42, NewEmisData!$C:$C, $H42, NewEmisData!$D:$D, BB$2))</f>
        <v>1.4781439172223E-2</v>
      </c>
      <c r="BC42" s="324">
        <f>$I42*IF($G42="Pickup", SUMIFS(NewEmisData!I:I, NewEmisData!$A:$A, "Pickup", NewEmisData!$B:$B, $A42, NewEmisData!$C:$C, $H42, NewEmisData!$D:$D, BC$2), SUMIFS(NewEmisData!I:I, NewEmisData!$A:$A, "LDV", NewEmisData!$B:$B, $A42, NewEmisData!$C:$C, $H42, NewEmisData!$D:$D, BC$2))</f>
        <v>1.3413837806436801E-2</v>
      </c>
      <c r="BD42" s="324">
        <f>$I42*IF($G42="Pickup", SUMIFS(NewEmisData!J:J, NewEmisData!$A:$A, "Pickup", NewEmisData!$B:$B, $A42, NewEmisData!$C:$C, $H42, NewEmisData!$D:$D, BD$2), SUMIFS(NewEmisData!J:J, NewEmisData!$A:$A, "LDV", NewEmisData!$B:$B, $A42, NewEmisData!$C:$C, $H42, NewEmisData!$D:$D, BD$2))</f>
        <v>1.2354573478352299E-2</v>
      </c>
      <c r="BE42" s="324">
        <f>$I42*IF($G42="Pickup", SUMIFS(NewEmisData!K:K, NewEmisData!$A:$A, "Pickup", NewEmisData!$B:$B, $A42, NewEmisData!$C:$C, $H42, NewEmisData!$D:$D, BE$2), SUMIFS(NewEmisData!K:K, NewEmisData!$A:$A, "LDV", NewEmisData!$B:$B, $A42, NewEmisData!$C:$C, $H42, NewEmisData!$D:$D, BE$2))</f>
        <v>1.16820653404197E-2</v>
      </c>
      <c r="BF42" s="324">
        <f>$I42*IF($G42="Pickup", SUMIFS(NewEmisData!L:L, NewEmisData!$A:$A, "Pickup", NewEmisData!$B:$B, $A42, NewEmisData!$C:$C, $H42, NewEmisData!$D:$D, BF$2), SUMIFS(NewEmisData!L:L, NewEmisData!$A:$A, "LDV", NewEmisData!$B:$B, $A42, NewEmisData!$C:$C, $H42, NewEmisData!$D:$D, BF$2))</f>
        <v>1.13463459698093E-2</v>
      </c>
      <c r="BG42" s="324">
        <f>$I42*IF($G42="Pickup", SUMIFS(NewEmisData!M:M, NewEmisData!$A:$A, "Pickup", NewEmisData!$B:$B, $A42, NewEmisData!$C:$C, $H42, NewEmisData!$D:$D, BG$2), SUMIFS(NewEmisData!M:M, NewEmisData!$A:$A, "LDV", NewEmisData!$B:$B, $A42, NewEmisData!$C:$C, $H42, NewEmisData!$D:$D, BG$2))</f>
        <v>1.1157149268450401E-2</v>
      </c>
      <c r="BH42" s="324">
        <f t="shared" si="9"/>
        <v>1.1157149268450401E-2</v>
      </c>
      <c r="BI42" s="324">
        <f>$I42*IF($G42="Pickup", SUMIFS(NewEmisData!E:E, NewEmisData!$A:$A, "Pickup", NewEmisData!$B:$B, $A42, NewEmisData!$C:$C, $H42, NewEmisData!$D:$D, BI$2), SUMIFS(NewEmisData!E:E, NewEmisData!$A:$A, "LDV", NewEmisData!$B:$B, $A42, NewEmisData!$C:$C, $H42, NewEmisData!$D:$D, BI$2))</f>
        <v>7.7707306410078001</v>
      </c>
      <c r="BJ42" s="324">
        <f>$I42*IF($G42="Pickup", SUMIFS(NewEmisData!F:F, NewEmisData!$A:$A, "Pickup", NewEmisData!$B:$B, $A42, NewEmisData!$C:$C, $H42, NewEmisData!$D:$D, BJ$2), SUMIFS(NewEmisData!F:F, NewEmisData!$A:$A, "LDV", NewEmisData!$B:$B, $A42, NewEmisData!$C:$C, $H42, NewEmisData!$D:$D, BJ$2))</f>
        <v>4.4247869376442202</v>
      </c>
      <c r="BK42" s="324">
        <f>$I42*IF($G42="Pickup", SUMIFS(NewEmisData!G:G, NewEmisData!$A:$A, "Pickup", NewEmisData!$B:$B, $A42, NewEmisData!$C:$C, $H42, NewEmisData!$D:$D, BK$2), SUMIFS(NewEmisData!G:G, NewEmisData!$A:$A, "LDV", NewEmisData!$B:$B, $A42, NewEmisData!$C:$C, $H42, NewEmisData!$D:$D, BK$2))</f>
        <v>2.6540717659073501</v>
      </c>
      <c r="BL42" s="324">
        <f>$I42*IF($G42="Pickup", SUMIFS(NewEmisData!H:H, NewEmisData!$A:$A, "Pickup", NewEmisData!$B:$B, $A42, NewEmisData!$C:$C, $H42, NewEmisData!$D:$D, BL$2), SUMIFS(NewEmisData!H:H, NewEmisData!$A:$A, "LDV", NewEmisData!$B:$B, $A42, NewEmisData!$C:$C, $H42, NewEmisData!$D:$D, BL$2))</f>
        <v>2.0604732381170998</v>
      </c>
      <c r="BM42" s="324">
        <f>$I42*IF($G42="Pickup", SUMIFS(NewEmisData!I:I, NewEmisData!$A:$A, "Pickup", NewEmisData!$B:$B, $A42, NewEmisData!$C:$C, $H42, NewEmisData!$D:$D, BM$2), SUMIFS(NewEmisData!I:I, NewEmisData!$A:$A, "LDV", NewEmisData!$B:$B, $A42, NewEmisData!$C:$C, $H42, NewEmisData!$D:$D, BM$2))</f>
        <v>1.4768702583128299</v>
      </c>
      <c r="BN42" s="324">
        <f>$I42*IF($G42="Pickup", SUMIFS(NewEmisData!J:J, NewEmisData!$A:$A, "Pickup", NewEmisData!$B:$B, $A42, NewEmisData!$C:$C, $H42, NewEmisData!$D:$D, BN$2), SUMIFS(NewEmisData!J:J, NewEmisData!$A:$A, "LDV", NewEmisData!$B:$B, $A42, NewEmisData!$C:$C, $H42, NewEmisData!$D:$D, BN$2))</f>
        <v>1.1597745551704699</v>
      </c>
      <c r="BO42" s="324">
        <f>$I42*IF($G42="Pickup", SUMIFS(NewEmisData!K:K, NewEmisData!$A:$A, "Pickup", NewEmisData!$B:$B, $A42, NewEmisData!$C:$C, $H42, NewEmisData!$D:$D, BO$2), SUMIFS(NewEmisData!K:K, NewEmisData!$A:$A, "LDV", NewEmisData!$B:$B, $A42, NewEmisData!$C:$C, $H42, NewEmisData!$D:$D, BO$2))</f>
        <v>1.01795642585422</v>
      </c>
      <c r="BP42" s="324">
        <f>$I42*IF($G42="Pickup", SUMIFS(NewEmisData!L:L, NewEmisData!$A:$A, "Pickup", NewEmisData!$B:$B, $A42, NewEmisData!$C:$C, $H42, NewEmisData!$D:$D, BP$2), SUMIFS(NewEmisData!L:L, NewEmisData!$A:$A, "LDV", NewEmisData!$B:$B, $A42, NewEmisData!$C:$C, $H42, NewEmisData!$D:$D, BP$2))</f>
        <v>0.97243111781319103</v>
      </c>
      <c r="BQ42" s="324">
        <f>$I42*IF($G42="Pickup", SUMIFS(NewEmisData!M:M, NewEmisData!$A:$A, "Pickup", NewEmisData!$B:$B, $A42, NewEmisData!$C:$C, $H42, NewEmisData!$D:$D, BQ$2), SUMIFS(NewEmisData!M:M, NewEmisData!$A:$A, "LDV", NewEmisData!$B:$B, $A42, NewEmisData!$C:$C, $H42, NewEmisData!$D:$D, BQ$2))</f>
        <v>0.94396289100680397</v>
      </c>
      <c r="BR42" s="324">
        <f t="shared" si="10"/>
        <v>0.94396289100680397</v>
      </c>
      <c r="BS42" s="324">
        <f>$I42*IF($G42="Pickup", SUMIFS(NewEmisData!E:E, NewEmisData!$A:$A, "Pickup", NewEmisData!$B:$B, $A42, NewEmisData!$C:$C, $H42, NewEmisData!$D:$D, BS$2), SUMIFS(NewEmisData!E:E, NewEmisData!$A:$A, "LDV", NewEmisData!$B:$B, $A42, NewEmisData!$C:$C, $H42, NewEmisData!$D:$D, BS$2))</f>
        <v>0.868939523792984</v>
      </c>
      <c r="BT42" s="324">
        <f>$I42*IF($G42="Pickup", SUMIFS(NewEmisData!F:F, NewEmisData!$A:$A, "Pickup", NewEmisData!$B:$B, $A42, NewEmisData!$C:$C, $H42, NewEmisData!$D:$D, BT$2), SUMIFS(NewEmisData!F:F, NewEmisData!$A:$A, "LDV", NewEmisData!$B:$B, $A42, NewEmisData!$C:$C, $H42, NewEmisData!$D:$D, BT$2))</f>
        <v>0.46984846516954898</v>
      </c>
      <c r="BU42" s="324">
        <f>$I42*IF($G42="Pickup", SUMIFS(NewEmisData!G:G, NewEmisData!$A:$A, "Pickup", NewEmisData!$B:$B, $A42, NewEmisData!$C:$C, $H42, NewEmisData!$D:$D, BU$2), SUMIFS(NewEmisData!G:G, NewEmisData!$A:$A, "LDV", NewEmisData!$B:$B, $A42, NewEmisData!$C:$C, $H42, NewEmisData!$D:$D, BU$2))</f>
        <v>0.25380786816335299</v>
      </c>
      <c r="BV42" s="324">
        <f>$I42*IF($G42="Pickup", SUMIFS(NewEmisData!H:H, NewEmisData!$A:$A, "Pickup", NewEmisData!$B:$B, $A42, NewEmisData!$C:$C, $H42, NewEmisData!$D:$D, BV$2), SUMIFS(NewEmisData!H:H, NewEmisData!$A:$A, "LDV", NewEmisData!$B:$B, $A42, NewEmisData!$C:$C, $H42, NewEmisData!$D:$D, BV$2))</f>
        <v>0.20500079484657399</v>
      </c>
      <c r="BW42" s="324">
        <f>$I42*IF($G42="Pickup", SUMIFS(NewEmisData!I:I, NewEmisData!$A:$A, "Pickup", NewEmisData!$B:$B, $A42, NewEmisData!$C:$C, $H42, NewEmisData!$D:$D, BW$2), SUMIFS(NewEmisData!I:I, NewEmisData!$A:$A, "LDV", NewEmisData!$B:$B, $A42, NewEmisData!$C:$C, $H42, NewEmisData!$D:$D, BW$2))</f>
        <v>0.15182918417959501</v>
      </c>
      <c r="BX42" s="324">
        <f>$I42*IF($G42="Pickup", SUMIFS(NewEmisData!J:J, NewEmisData!$A:$A, "Pickup", NewEmisData!$B:$B, $A42, NewEmisData!$C:$C, $H42, NewEmisData!$D:$D, BX$2), SUMIFS(NewEmisData!J:J, NewEmisData!$A:$A, "LDV", NewEmisData!$B:$B, $A42, NewEmisData!$C:$C, $H42, NewEmisData!$D:$D, BX$2))</f>
        <v>0.12865137268893501</v>
      </c>
      <c r="BY42" s="324">
        <f>$I42*IF($G42="Pickup", SUMIFS(NewEmisData!K:K, NewEmisData!$A:$A, "Pickup", NewEmisData!$B:$B, $A42, NewEmisData!$C:$C, $H42, NewEmisData!$D:$D, BY$2), SUMIFS(NewEmisData!K:K, NewEmisData!$A:$A, "LDV", NewEmisData!$B:$B, $A42, NewEmisData!$C:$C, $H42, NewEmisData!$D:$D, BY$2))</f>
        <v>0.11591502454704899</v>
      </c>
      <c r="BZ42" s="324">
        <f>$I42*IF($G42="Pickup", SUMIFS(NewEmisData!L:L, NewEmisData!$A:$A, "Pickup", NewEmisData!$B:$B, $A42, NewEmisData!$C:$C, $H42, NewEmisData!$D:$D, BZ$2), SUMIFS(NewEmisData!L:L, NewEmisData!$A:$A, "LDV", NewEmisData!$B:$B, $A42, NewEmisData!$C:$C, $H42, NewEmisData!$D:$D, BZ$2))</f>
        <v>0.110951334785302</v>
      </c>
      <c r="CA42" s="324">
        <f>$I42*IF($G42="Pickup", SUMIFS(NewEmisData!M:M, NewEmisData!$A:$A, "Pickup", NewEmisData!$B:$B, $A42, NewEmisData!$C:$C, $H42, NewEmisData!$D:$D, CA$2), SUMIFS(NewEmisData!M:M, NewEmisData!$A:$A, "LDV", NewEmisData!$B:$B, $A42, NewEmisData!$C:$C, $H42, NewEmisData!$D:$D, CA$2))</f>
        <v>0.10699337260583799</v>
      </c>
      <c r="CB42" s="324">
        <f t="shared" si="11"/>
        <v>0.10699337260583799</v>
      </c>
      <c r="CC42" s="324">
        <f>$I42*IF($G42="Pickup", SUMIFS(NewEmisData!E:E, NewEmisData!$A:$A, "Pickup", NewEmisData!$B:$B, $A42, NewEmisData!$C:$C, $H42, NewEmisData!$D:$D, CC$2), SUMIFS(NewEmisData!E:E, NewEmisData!$A:$A, "LDV", NewEmisData!$B:$B, $A42, NewEmisData!$C:$C, $H42, NewEmisData!$D:$D, CC$2))</f>
        <v>5.1125583760404797E-2</v>
      </c>
      <c r="CD42" s="324">
        <f>$I42*IF($G42="Pickup", SUMIFS(NewEmisData!F:F, NewEmisData!$A:$A, "Pickup", NewEmisData!$B:$B, $A42, NewEmisData!$C:$C, $H42, NewEmisData!$D:$D, CD$2), SUMIFS(NewEmisData!F:F, NewEmisData!$A:$A, "LDV", NewEmisData!$B:$B, $A42, NewEmisData!$C:$C, $H42, NewEmisData!$D:$D, CD$2))</f>
        <v>3.7154393856404101E-2</v>
      </c>
      <c r="CE42" s="324">
        <f>$I42*IF($G42="Pickup", SUMIFS(NewEmisData!G:G, NewEmisData!$A:$A, "Pickup", NewEmisData!$B:$B, $A42, NewEmisData!$C:$C, $H42, NewEmisData!$D:$D, CE$2), SUMIFS(NewEmisData!G:G, NewEmisData!$A:$A, "LDV", NewEmisData!$B:$B, $A42, NewEmisData!$C:$C, $H42, NewEmisData!$D:$D, CE$2))</f>
        <v>2.8853651309577E-2</v>
      </c>
      <c r="CF42" s="324">
        <f>$I42*IF($G42="Pickup", SUMIFS(NewEmisData!H:H, NewEmisData!$A:$A, "Pickup", NewEmisData!$B:$B, $A42, NewEmisData!$C:$C, $H42, NewEmisData!$D:$D, CF$2), SUMIFS(NewEmisData!H:H, NewEmisData!$A:$A, "LDV", NewEmisData!$B:$B, $A42, NewEmisData!$C:$C, $H42, NewEmisData!$D:$D, CF$2))</f>
        <v>2.7537520644524499E-2</v>
      </c>
      <c r="CG42" s="324">
        <f>$I42*IF($G42="Pickup", SUMIFS(NewEmisData!I:I, NewEmisData!$A:$A, "Pickup", NewEmisData!$B:$B, $A42, NewEmisData!$C:$C, $H42, NewEmisData!$D:$D, CG$2), SUMIFS(NewEmisData!I:I, NewEmisData!$A:$A, "LDV", NewEmisData!$B:$B, $A42, NewEmisData!$C:$C, $H42, NewEmisData!$D:$D, CG$2))</f>
        <v>2.6666633761740999E-2</v>
      </c>
      <c r="CH42" s="324">
        <f>$I42*IF($G42="Pickup", SUMIFS(NewEmisData!J:J, NewEmisData!$A:$A, "Pickup", NewEmisData!$B:$B, $A42, NewEmisData!$C:$C, $H42, NewEmisData!$D:$D, CH$2), SUMIFS(NewEmisData!J:J, NewEmisData!$A:$A, "LDV", NewEmisData!$B:$B, $A42, NewEmisData!$C:$C, $H42, NewEmisData!$D:$D, CH$2))</f>
        <v>2.5980348711507999E-2</v>
      </c>
      <c r="CI42" s="324">
        <f>$I42*IF($G42="Pickup", SUMIFS(NewEmisData!K:K, NewEmisData!$A:$A, "Pickup", NewEmisData!$B:$B, $A42, NewEmisData!$C:$C, $H42, NewEmisData!$D:$D, CI$2), SUMIFS(NewEmisData!K:K, NewEmisData!$A:$A, "LDV", NewEmisData!$B:$B, $A42, NewEmisData!$C:$C, $H42, NewEmisData!$D:$D, CI$2))</f>
        <v>2.5978185303944301E-2</v>
      </c>
      <c r="CJ42" s="324">
        <f>$I42*IF($G42="Pickup", SUMIFS(NewEmisData!L:L, NewEmisData!$A:$A, "Pickup", NewEmisData!$B:$B, $A42, NewEmisData!$C:$C, $H42, NewEmisData!$D:$D, CJ$2), SUMIFS(NewEmisData!L:L, NewEmisData!$A:$A, "LDV", NewEmisData!$B:$B, $A42, NewEmisData!$C:$C, $H42, NewEmisData!$D:$D, CJ$2))</f>
        <v>2.5977588735828699E-2</v>
      </c>
      <c r="CK42" s="324">
        <f>$I42*IF($G42="Pickup", SUMIFS(NewEmisData!M:M, NewEmisData!$A:$A, "Pickup", NewEmisData!$B:$B, $A42, NewEmisData!$C:$C, $H42, NewEmisData!$D:$D, CK$2), SUMIFS(NewEmisData!M:M, NewEmisData!$A:$A, "LDV", NewEmisData!$B:$B, $A42, NewEmisData!$C:$C, $H42, NewEmisData!$D:$D, CK$2))</f>
        <v>2.5976994364069798E-2</v>
      </c>
      <c r="CL42" s="324">
        <f t="shared" si="12"/>
        <v>2.5976994364069798E-2</v>
      </c>
      <c r="CM42" s="324">
        <f>$I42*IF($G42="Pickup", SUMIFS(NewEmisData!E:E, NewEmisData!$A:$A, "Pickup", NewEmisData!$B:$B, $A42, NewEmisData!$C:$C, $H42, NewEmisData!$D:$D, CM$2), SUMIFS(NewEmisData!E:E, NewEmisData!$A:$A, "LDV", NewEmisData!$B:$B, $A42, NewEmisData!$C:$C, $H42, NewEmisData!$D:$D, CM$2))</f>
        <v>2.2752592498671498E-2</v>
      </c>
      <c r="CN42" s="324">
        <f>$I42*IF($G42="Pickup", SUMIFS(NewEmisData!F:F, NewEmisData!$A:$A, "Pickup", NewEmisData!$B:$B, $A42, NewEmisData!$C:$C, $H42, NewEmisData!$D:$D, CN$2), SUMIFS(NewEmisData!F:F, NewEmisData!$A:$A, "LDV", NewEmisData!$B:$B, $A42, NewEmisData!$C:$C, $H42, NewEmisData!$D:$D, CN$2))</f>
        <v>1.4156662086893E-2</v>
      </c>
      <c r="CO42" s="324">
        <f>$I42*IF($G42="Pickup", SUMIFS(NewEmisData!G:G, NewEmisData!$A:$A, "Pickup", NewEmisData!$B:$B, $A42, NewEmisData!$C:$C, $H42, NewEmisData!$D:$D, CO$2), SUMIFS(NewEmisData!G:G, NewEmisData!$A:$A, "LDV", NewEmisData!$B:$B, $A42, NewEmisData!$C:$C, $H42, NewEmisData!$D:$D, CO$2))</f>
        <v>9.29628541682684E-3</v>
      </c>
      <c r="CP42" s="324">
        <f>$I42*IF($G42="Pickup", SUMIFS(NewEmisData!H:H, NewEmisData!$A:$A, "Pickup", NewEmisData!$B:$B, $A42, NewEmisData!$C:$C, $H42, NewEmisData!$D:$D, CP$2), SUMIFS(NewEmisData!H:H, NewEmisData!$A:$A, "LDV", NewEmisData!$B:$B, $A42, NewEmisData!$C:$C, $H42, NewEmisData!$D:$D, CP$2))</f>
        <v>7.6962231490179996E-3</v>
      </c>
      <c r="CQ42" s="324">
        <f>$I42*IF($G42="Pickup", SUMIFS(NewEmisData!I:I, NewEmisData!$A:$A, "Pickup", NewEmisData!$B:$B, $A42, NewEmisData!$C:$C, $H42, NewEmisData!$D:$D, CQ$2), SUMIFS(NewEmisData!I:I, NewEmisData!$A:$A, "LDV", NewEmisData!$B:$B, $A42, NewEmisData!$C:$C, $H42, NewEmisData!$D:$D, CQ$2))</f>
        <v>6.9434858281499498E-3</v>
      </c>
      <c r="CR42" s="324">
        <f>$I42*IF($G42="Pickup", SUMIFS(NewEmisData!J:J, NewEmisData!$A:$A, "Pickup", NewEmisData!$B:$B, $A42, NewEmisData!$C:$C, $H42, NewEmisData!$D:$D, CR$2), SUMIFS(NewEmisData!J:J, NewEmisData!$A:$A, "LDV", NewEmisData!$B:$B, $A42, NewEmisData!$C:$C, $H42, NewEmisData!$D:$D, CR$2))</f>
        <v>6.6235501686008101E-3</v>
      </c>
      <c r="CS42" s="324">
        <f>$I42*IF($G42="Pickup", SUMIFS(NewEmisData!K:K, NewEmisData!$A:$A, "Pickup", NewEmisData!$B:$B, $A42, NewEmisData!$C:$C, $H42, NewEmisData!$D:$D, CS$2), SUMIFS(NewEmisData!K:K, NewEmisData!$A:$A, "LDV", NewEmisData!$B:$B, $A42, NewEmisData!$C:$C, $H42, NewEmisData!$D:$D, CS$2))</f>
        <v>6.5909545130035602E-3</v>
      </c>
      <c r="CT42" s="324">
        <f>$I42*IF($G42="Pickup", SUMIFS(NewEmisData!L:L, NewEmisData!$A:$A, "Pickup", NewEmisData!$B:$B, $A42, NewEmisData!$C:$C, $H42, NewEmisData!$D:$D, CT$2), SUMIFS(NewEmisData!L:L, NewEmisData!$A:$A, "LDV", NewEmisData!$B:$B, $A42, NewEmisData!$C:$C, $H42, NewEmisData!$D:$D, CT$2))</f>
        <v>6.5377802107072303E-3</v>
      </c>
      <c r="CU42" s="324">
        <f>$I42*IF($G42="Pickup", SUMIFS(NewEmisData!M:M, NewEmisData!$A:$A, "Pickup", NewEmisData!$B:$B, $A42, NewEmisData!$C:$C, $H42, NewEmisData!$D:$D, CU$2), SUMIFS(NewEmisData!M:M, NewEmisData!$A:$A, "LDV", NewEmisData!$B:$B, $A42, NewEmisData!$C:$C, $H42, NewEmisData!$D:$D, CU$2))</f>
        <v>6.5374275690386098E-3</v>
      </c>
      <c r="CV42" s="324">
        <f t="shared" si="13"/>
        <v>6.5374275690386098E-3</v>
      </c>
      <c r="CW42" s="324">
        <v>4.0498104655261064E-3</v>
      </c>
      <c r="CX42" s="324">
        <v>2.5030350838759993E-3</v>
      </c>
      <c r="CY42" s="324">
        <v>2.1151214403419519E-3</v>
      </c>
      <c r="CZ42" s="324">
        <v>1.7489979687569375E-3</v>
      </c>
      <c r="DA42" s="324">
        <v>1.340486996695321E-3</v>
      </c>
      <c r="DB42" s="324">
        <v>1.0553769116342638E-3</v>
      </c>
      <c r="DC42" s="324">
        <v>1.0132227560056145E-3</v>
      </c>
      <c r="DD42" s="324">
        <v>1.0003159541004489E-3</v>
      </c>
      <c r="DE42" s="324">
        <v>9.9860782000699166E-4</v>
      </c>
      <c r="DF42" s="324">
        <v>9.9860782000699166E-4</v>
      </c>
      <c r="DG42" s="324">
        <f>$I42*IF($G42="Pickup", SUMIFS(NewEmisData!E:E, NewEmisData!$A:$A, "Pickup", NewEmisData!$B:$B, $A42, NewEmisData!$C:$C, $H42, NewEmisData!$D:$D, DG$2), SUMIFS(NewEmisData!E:E, NewEmisData!$A:$A, "LDV", NewEmisData!$B:$B, $A42, NewEmisData!$C:$C, $H42, NewEmisData!$D:$D, DG$2))</f>
        <v>0</v>
      </c>
      <c r="DH42" s="324">
        <f>$I42*IF($G42="Pickup", SUMIFS(NewEmisData!F:F, NewEmisData!$A:$A, "Pickup", NewEmisData!$B:$B, $A42, NewEmisData!$C:$C, $H42, NewEmisData!$D:$D, DH$2), SUMIFS(NewEmisData!F:F, NewEmisData!$A:$A, "LDV", NewEmisData!$B:$B, $A42, NewEmisData!$C:$C, $H42, NewEmisData!$D:$D, DH$2))</f>
        <v>0</v>
      </c>
      <c r="DI42" s="324">
        <f>$I42*IF($G42="Pickup", SUMIFS(NewEmisData!G:G, NewEmisData!$A:$A, "Pickup", NewEmisData!$B:$B, $A42, NewEmisData!$C:$C, $H42, NewEmisData!$D:$D, DI$2), SUMIFS(NewEmisData!G:G, NewEmisData!$A:$A, "LDV", NewEmisData!$B:$B, $A42, NewEmisData!$C:$C, $H42, NewEmisData!$D:$D, DI$2))</f>
        <v>0</v>
      </c>
      <c r="DJ42" s="324">
        <f>$I42*IF($G42="Pickup", SUMIFS(NewEmisData!H:H, NewEmisData!$A:$A, "Pickup", NewEmisData!$B:$B, $A42, NewEmisData!$C:$C, $H42, NewEmisData!$D:$D, DJ$2), SUMIFS(NewEmisData!H:H, NewEmisData!$A:$A, "LDV", NewEmisData!$B:$B, $A42, NewEmisData!$C:$C, $H42, NewEmisData!$D:$D, DJ$2))</f>
        <v>0</v>
      </c>
      <c r="DK42" s="324">
        <f>$I42*IF($G42="Pickup", SUMIFS(NewEmisData!I:I, NewEmisData!$A:$A, "Pickup", NewEmisData!$B:$B, $A42, NewEmisData!$C:$C, $H42, NewEmisData!$D:$D, DK$2), SUMIFS(NewEmisData!I:I, NewEmisData!$A:$A, "LDV", NewEmisData!$B:$B, $A42, NewEmisData!$C:$C, $H42, NewEmisData!$D:$D, DK$2))</f>
        <v>0</v>
      </c>
      <c r="DL42" s="324">
        <f>$I42*IF($G42="Pickup", SUMIFS(NewEmisData!J:J, NewEmisData!$A:$A, "Pickup", NewEmisData!$B:$B, $A42, NewEmisData!$C:$C, $H42, NewEmisData!$D:$D, DL$2), SUMIFS(NewEmisData!J:J, NewEmisData!$A:$A, "LDV", NewEmisData!$B:$B, $A42, NewEmisData!$C:$C, $H42, NewEmisData!$D:$D, DL$2))</f>
        <v>0</v>
      </c>
      <c r="DM42" s="324">
        <f>$I42*IF($G42="Pickup", SUMIFS(NewEmisData!K:K, NewEmisData!$A:$A, "Pickup", NewEmisData!$B:$B, $A42, NewEmisData!$C:$C, $H42, NewEmisData!$D:$D, DM$2), SUMIFS(NewEmisData!K:K, NewEmisData!$A:$A, "LDV", NewEmisData!$B:$B, $A42, NewEmisData!$C:$C, $H42, NewEmisData!$D:$D, DM$2))</f>
        <v>0</v>
      </c>
      <c r="DN42" s="324">
        <f>$I42*IF($G42="Pickup", SUMIFS(NewEmisData!L:L, NewEmisData!$A:$A, "Pickup", NewEmisData!$B:$B, $A42, NewEmisData!$C:$C, $H42, NewEmisData!$D:$D, DN$2), SUMIFS(NewEmisData!L:L, NewEmisData!$A:$A, "LDV", NewEmisData!$B:$B, $A42, NewEmisData!$C:$C, $H42, NewEmisData!$D:$D, DN$2))</f>
        <v>0</v>
      </c>
      <c r="DO42" s="324">
        <f>$I42*IF($G42="Pickup", SUMIFS(NewEmisData!M:M, NewEmisData!$A:$A, "Pickup", NewEmisData!$B:$B, $A42, NewEmisData!$C:$C, $H42, NewEmisData!$D:$D, DO$2), SUMIFS(NewEmisData!M:M, NewEmisData!$A:$A, "LDV", NewEmisData!$B:$B, $A42, NewEmisData!$C:$C, $H42, NewEmisData!$D:$D, DO$2))</f>
        <v>0</v>
      </c>
      <c r="DP42" s="324">
        <f t="shared" si="14"/>
        <v>0</v>
      </c>
      <c r="DQ42" s="324">
        <f>$I42*IF($G42="Pickup", SUMIFS(NewEmisData!E:E, NewEmisData!$A:$A, "Pickup", NewEmisData!$B:$B, $A42, NewEmisData!$C:$C, $H42, NewEmisData!$D:$D, DQ$2), SUMIFS(NewEmisData!E:E, NewEmisData!$A:$A, "LDV", NewEmisData!$B:$B, $A42, NewEmisData!$C:$C, $H42, NewEmisData!$D:$D, DQ$2))</f>
        <v>1.7231430999334701E-2</v>
      </c>
      <c r="DR42" s="324">
        <f>$I42*IF($G42="Pickup", SUMIFS(NewEmisData!F:F, NewEmisData!$A:$A, "Pickup", NewEmisData!$B:$B, $A42, NewEmisData!$C:$C, $H42, NewEmisData!$D:$D, DR$2), SUMIFS(NewEmisData!F:F, NewEmisData!$A:$A, "LDV", NewEmisData!$B:$B, $A42, NewEmisData!$C:$C, $H42, NewEmisData!$D:$D, DR$2))</f>
        <v>8.9963646277585099E-3</v>
      </c>
      <c r="DS42" s="324">
        <f>$I42*IF($G42="Pickup", SUMIFS(NewEmisData!G:G, NewEmisData!$A:$A, "Pickup", NewEmisData!$B:$B, $A42, NewEmisData!$C:$C, $H42, NewEmisData!$D:$D, DS$2), SUMIFS(NewEmisData!G:G, NewEmisData!$A:$A, "LDV", NewEmisData!$B:$B, $A42, NewEmisData!$C:$C, $H42, NewEmisData!$D:$D, DS$2))</f>
        <v>5.6961522615022698E-3</v>
      </c>
      <c r="DT42" s="324">
        <f>$I42*IF($G42="Pickup", SUMIFS(NewEmisData!H:H, NewEmisData!$A:$A, "Pickup", NewEmisData!$B:$B, $A42, NewEmisData!$C:$C, $H42, NewEmisData!$D:$D, DT$2), SUMIFS(NewEmisData!H:H, NewEmisData!$A:$A, "LDV", NewEmisData!$B:$B, $A42, NewEmisData!$C:$C, $H42, NewEmisData!$D:$D, DT$2))</f>
        <v>4.3151143502781096E-3</v>
      </c>
      <c r="DU42" s="324">
        <f>$I42*IF($G42="Pickup", SUMIFS(NewEmisData!I:I, NewEmisData!$A:$A, "Pickup", NewEmisData!$B:$B, $A42, NewEmisData!$C:$C, $H42, NewEmisData!$D:$D, DU$2), SUMIFS(NewEmisData!I:I, NewEmisData!$A:$A, "LDV", NewEmisData!$B:$B, $A42, NewEmisData!$C:$C, $H42, NewEmisData!$D:$D, DU$2))</f>
        <v>3.35028978849721E-3</v>
      </c>
      <c r="DV42" s="324">
        <f>$I42*IF($G42="Pickup", SUMIFS(NewEmisData!J:J, NewEmisData!$A:$A, "Pickup", NewEmisData!$B:$B, $A42, NewEmisData!$C:$C, $H42, NewEmisData!$D:$D, DV$2), SUMIFS(NewEmisData!J:J, NewEmisData!$A:$A, "LDV", NewEmisData!$B:$B, $A42, NewEmisData!$C:$C, $H42, NewEmisData!$D:$D, DV$2))</f>
        <v>2.9288858721300301E-3</v>
      </c>
      <c r="DW42" s="324">
        <f>$I42*IF($G42="Pickup", SUMIFS(NewEmisData!K:K, NewEmisData!$A:$A, "Pickup", NewEmisData!$B:$B, $A42, NewEmisData!$C:$C, $H42, NewEmisData!$D:$D, DW$2), SUMIFS(NewEmisData!K:K, NewEmisData!$A:$A, "LDV", NewEmisData!$B:$B, $A42, NewEmisData!$C:$C, $H42, NewEmisData!$D:$D, DW$2))</f>
        <v>2.6889748661232601E-3</v>
      </c>
      <c r="DX42" s="324">
        <f>$I42*IF($G42="Pickup", SUMIFS(NewEmisData!L:L, NewEmisData!$A:$A, "Pickup", NewEmisData!$B:$B, $A42, NewEmisData!$C:$C, $H42, NewEmisData!$D:$D, DX$2), SUMIFS(NewEmisData!L:L, NewEmisData!$A:$A, "LDV", NewEmisData!$B:$B, $A42, NewEmisData!$C:$C, $H42, NewEmisData!$D:$D, DX$2))</f>
        <v>2.6131014849391301E-3</v>
      </c>
      <c r="DY42" s="324">
        <f>$I42*IF($G42="Pickup", SUMIFS(NewEmisData!M:M, NewEmisData!$A:$A, "Pickup", NewEmisData!$B:$B, $A42, NewEmisData!$C:$C, $H42, NewEmisData!$D:$D, DY$2), SUMIFS(NewEmisData!M:M, NewEmisData!$A:$A, "LDV", NewEmisData!$B:$B, $A42, NewEmisData!$C:$C, $H42, NewEmisData!$D:$D, DY$2))</f>
        <v>2.5757099053792102E-3</v>
      </c>
      <c r="DZ42" s="324">
        <f t="shared" si="15"/>
        <v>2.5757099053792102E-3</v>
      </c>
      <c r="EA42" s="324">
        <f t="shared" si="16"/>
        <v>605.35194063093002</v>
      </c>
      <c r="EB42" s="324">
        <f t="shared" si="17"/>
        <v>575.43677827742204</v>
      </c>
      <c r="EC42" s="324">
        <f t="shared" si="18"/>
        <v>447.50306541281799</v>
      </c>
      <c r="ED42" s="324">
        <f t="shared" si="19"/>
        <v>380.32748601406797</v>
      </c>
      <c r="EE42" s="324">
        <f t="shared" si="20"/>
        <v>328.8508655947</v>
      </c>
      <c r="EF42" s="324">
        <f t="shared" si="21"/>
        <v>299.87343037562698</v>
      </c>
      <c r="EG42" s="324">
        <f t="shared" si="22"/>
        <v>286.96645721008798</v>
      </c>
      <c r="EH42" s="324">
        <f t="shared" si="23"/>
        <v>282.38592098475101</v>
      </c>
      <c r="EI42" s="324">
        <f t="shared" si="24"/>
        <v>280.69816184937503</v>
      </c>
      <c r="EJ42" s="324">
        <f t="shared" si="25"/>
        <v>280.69816184937503</v>
      </c>
      <c r="EK42" s="324">
        <f t="shared" si="26"/>
        <v>0.73999493628111201</v>
      </c>
      <c r="EL42" s="324">
        <f t="shared" si="27"/>
        <v>0.35335240075773999</v>
      </c>
      <c r="EM42" s="324">
        <f t="shared" si="28"/>
        <v>0.18897755292818599</v>
      </c>
      <c r="EN42" s="324">
        <f t="shared" si="29"/>
        <v>0.12218817840455801</v>
      </c>
      <c r="EO42" s="324">
        <f t="shared" si="30"/>
        <v>7.3060825114572805E-2</v>
      </c>
      <c r="EP42" s="324">
        <f t="shared" si="31"/>
        <v>5.3764321341730301E-2</v>
      </c>
      <c r="EQ42" s="324">
        <f t="shared" si="32"/>
        <v>4.5765873698397498E-2</v>
      </c>
      <c r="ER42" s="324">
        <f t="shared" si="33"/>
        <v>4.3548109073897001E-2</v>
      </c>
      <c r="ES42" s="324">
        <f t="shared" si="34"/>
        <v>4.24609775043936E-2</v>
      </c>
      <c r="ET42" s="324">
        <f t="shared" si="35"/>
        <v>4.24609775043936E-2</v>
      </c>
      <c r="EU42" s="324">
        <f t="shared" si="36"/>
        <v>1.04747160569124E-2</v>
      </c>
      <c r="EV42" s="324">
        <f t="shared" si="37"/>
        <v>9.9570764799691708E-3</v>
      </c>
      <c r="EW42" s="324">
        <f t="shared" si="38"/>
        <v>6.4196648888919499E-3</v>
      </c>
      <c r="EX42" s="324">
        <f t="shared" si="39"/>
        <v>5.45599526494426E-3</v>
      </c>
      <c r="EY42" s="324">
        <f t="shared" si="40"/>
        <v>4.7175365225731996E-3</v>
      </c>
      <c r="EZ42" s="324">
        <f t="shared" si="41"/>
        <v>4.3018391726363297E-3</v>
      </c>
      <c r="FA42" s="324">
        <f t="shared" si="42"/>
        <v>4.1166816404986702E-3</v>
      </c>
      <c r="FB42" s="324">
        <f t="shared" si="43"/>
        <v>4.0509726462172697E-3</v>
      </c>
      <c r="FC42" s="324">
        <f t="shared" si="44"/>
        <v>4.0267596573162799E-3</v>
      </c>
      <c r="FD42" s="324">
        <f t="shared" si="45"/>
        <v>4.0267596573162799E-3</v>
      </c>
      <c r="FE42" s="324">
        <f t="shared" si="46"/>
        <v>0.112529836649977</v>
      </c>
      <c r="FF42" s="324">
        <f t="shared" si="47"/>
        <v>0.103764807432247</v>
      </c>
      <c r="FG42" s="324">
        <f t="shared" si="48"/>
        <v>8.1904009889209095E-2</v>
      </c>
      <c r="FH42" s="324">
        <f t="shared" si="49"/>
        <v>8.0372811122020202E-2</v>
      </c>
      <c r="FI42" s="324">
        <f t="shared" si="50"/>
        <v>7.8826850839141593E-2</v>
      </c>
      <c r="FJ42" s="324">
        <f t="shared" si="51"/>
        <v>7.7629471627150906E-2</v>
      </c>
      <c r="FK42" s="324">
        <f t="shared" si="52"/>
        <v>7.6869255276324197E-2</v>
      </c>
      <c r="FL42" s="324">
        <f t="shared" si="53"/>
        <v>7.6489801218608905E-2</v>
      </c>
      <c r="FM42" s="324">
        <f t="shared" si="54"/>
        <v>7.6275890012832595E-2</v>
      </c>
      <c r="FN42" s="324">
        <f t="shared" si="55"/>
        <v>7.6275890012832595E-2</v>
      </c>
      <c r="FO42" s="324">
        <f t="shared" si="56"/>
        <v>2.93140110896879E-2</v>
      </c>
      <c r="FP42" s="324">
        <f t="shared" si="57"/>
        <v>2.15603319614842E-2</v>
      </c>
      <c r="FQ42" s="324">
        <f t="shared" si="58"/>
        <v>1.61359542510712E-2</v>
      </c>
      <c r="FR42" s="324">
        <f t="shared" si="59"/>
        <v>1.4781439172223E-2</v>
      </c>
      <c r="FS42" s="324">
        <f t="shared" si="60"/>
        <v>1.3413837806436801E-2</v>
      </c>
      <c r="FT42" s="324">
        <f t="shared" si="61"/>
        <v>1.2354573478352299E-2</v>
      </c>
      <c r="FU42" s="324">
        <f t="shared" si="62"/>
        <v>1.16820653404197E-2</v>
      </c>
      <c r="FV42" s="324">
        <f t="shared" si="63"/>
        <v>1.13463459698093E-2</v>
      </c>
      <c r="FW42" s="324">
        <f t="shared" si="64"/>
        <v>1.1157149268450401E-2</v>
      </c>
      <c r="FX42" s="324">
        <f t="shared" si="65"/>
        <v>1.1157149268450401E-2</v>
      </c>
    </row>
    <row r="43" spans="1:180" x14ac:dyDescent="0.2">
      <c r="A43" s="298" t="str">
        <f>_xlfn.CONCAT(IF(LEFT(TRIM(A42),1)="*", "*R", "R"), 1+RIGHT(TRIM(A42),1))</f>
        <v>R5</v>
      </c>
      <c r="B43" s="298" t="str">
        <f t="shared" si="96"/>
        <v>TLEMGSL</v>
      </c>
      <c r="C43" s="298" t="str">
        <f t="shared" si="97"/>
        <v>TL.GSL.M.Existing Fleet</v>
      </c>
      <c r="D43" s="294" t="str">
        <f t="shared" si="98"/>
        <v>bn-vmt, bn-vmt/a</v>
      </c>
      <c r="E43" s="294" t="str">
        <f t="shared" si="99"/>
        <v>TLGSL</v>
      </c>
      <c r="F43" s="294" t="str">
        <f t="shared" si="100"/>
        <v>TL</v>
      </c>
      <c r="G43" s="294" t="s">
        <v>478</v>
      </c>
      <c r="H43" s="294" t="s">
        <v>474</v>
      </c>
      <c r="I43" s="294">
        <v>1</v>
      </c>
      <c r="J43" s="308" t="str">
        <f t="shared" si="101"/>
        <v>Minivan-GSL</v>
      </c>
      <c r="K43" s="324">
        <f>$I43*IF($G43="Pickup", SUMIFS(NewEmisData!E:E, NewEmisData!$A:$A, "Pickup", NewEmisData!$B:$B, $A43, NewEmisData!$C:$C, $H43, NewEmisData!$D:$D, K$2), SUMIFS(NewEmisData!E:E, NewEmisData!$A:$A, "LDV", NewEmisData!$B:$B, $A43, NewEmisData!$C:$C, $H43, NewEmisData!$D:$D, K$2))</f>
        <v>474.817101058422</v>
      </c>
      <c r="L43" s="324">
        <f>$I43*IF($G43="Pickup", SUMIFS(NewEmisData!F:F, NewEmisData!$A:$A, "Pickup", NewEmisData!$B:$B, $A43, NewEmisData!$C:$C, $H43, NewEmisData!$D:$D, L$2), SUMIFS(NewEmisData!F:F, NewEmisData!$A:$A, "LDV", NewEmisData!$B:$B, $A43, NewEmisData!$C:$C, $H43, NewEmisData!$D:$D, L$2))</f>
        <v>451.24703471572099</v>
      </c>
      <c r="M43" s="324">
        <f>$I43*IF($G43="Pickup", SUMIFS(NewEmisData!G:G, NewEmisData!$A:$A, "Pickup", NewEmisData!$B:$B, $A43, NewEmisData!$C:$C, $H43, NewEmisData!$D:$D, M$2), SUMIFS(NewEmisData!G:G, NewEmisData!$A:$A, "LDV", NewEmisData!$B:$B, $A43, NewEmisData!$C:$C, $H43, NewEmisData!$D:$D, M$2))</f>
        <v>359.55406391675598</v>
      </c>
      <c r="N43" s="324">
        <f>$I43*IF($G43="Pickup", SUMIFS(NewEmisData!H:H, NewEmisData!$A:$A, "Pickup", NewEmisData!$B:$B, $A43, NewEmisData!$C:$C, $H43, NewEmisData!$D:$D, N$2), SUMIFS(NewEmisData!H:H, NewEmisData!$A:$A, "LDV", NewEmisData!$B:$B, $A43, NewEmisData!$C:$C, $H43, NewEmisData!$D:$D, N$2))</f>
        <v>306.68867751853497</v>
      </c>
      <c r="O43" s="324">
        <f>$I43*IF($G43="Pickup", SUMIFS(NewEmisData!I:I, NewEmisData!$A:$A, "Pickup", NewEmisData!$B:$B, $A43, NewEmisData!$C:$C, $H43, NewEmisData!$D:$D, O$2), SUMIFS(NewEmisData!I:I, NewEmisData!$A:$A, "LDV", NewEmisData!$B:$B, $A43, NewEmisData!$C:$C, $H43, NewEmisData!$D:$D, O$2))</f>
        <v>266.05693149041099</v>
      </c>
      <c r="P43" s="324">
        <f>$I43*IF($G43="Pickup", SUMIFS(NewEmisData!J:J, NewEmisData!$A:$A, "Pickup", NewEmisData!$B:$B, $A43, NewEmisData!$C:$C, $H43, NewEmisData!$D:$D, P$2), SUMIFS(NewEmisData!J:J, NewEmisData!$A:$A, "LDV", NewEmisData!$B:$B, $A43, NewEmisData!$C:$C, $H43, NewEmisData!$D:$D, P$2))</f>
        <v>243.087176828883</v>
      </c>
      <c r="Q43" s="324">
        <f>$I43*IF($G43="Pickup", SUMIFS(NewEmisData!K:K, NewEmisData!$A:$A, "Pickup", NewEmisData!$B:$B, $A43, NewEmisData!$C:$C, $H43, NewEmisData!$D:$D, Q$2), SUMIFS(NewEmisData!K:K, NewEmisData!$A:$A, "LDV", NewEmisData!$B:$B, $A43, NewEmisData!$C:$C, $H43, NewEmisData!$D:$D, Q$2))</f>
        <v>232.82718030870799</v>
      </c>
      <c r="R43" s="324">
        <f>$I43*IF($G43="Pickup", SUMIFS(NewEmisData!L:L, NewEmisData!$A:$A, "Pickup", NewEmisData!$B:$B, $A43, NewEmisData!$C:$C, $H43, NewEmisData!$D:$D, R$2), SUMIFS(NewEmisData!L:L, NewEmisData!$A:$A, "LDV", NewEmisData!$B:$B, $A43, NewEmisData!$C:$C, $H43, NewEmisData!$D:$D, R$2))</f>
        <v>229.167353178653</v>
      </c>
      <c r="S43" s="324">
        <f>$I43*IF($G43="Pickup", SUMIFS(NewEmisData!M:M, NewEmisData!$A:$A, "Pickup", NewEmisData!$B:$B, $A43, NewEmisData!$C:$C, $H43, NewEmisData!$D:$D, S$2), SUMIFS(NewEmisData!M:M, NewEmisData!$A:$A, "LDV", NewEmisData!$B:$B, $A43, NewEmisData!$C:$C, $H43, NewEmisData!$D:$D, S$2))</f>
        <v>227.80956840287899</v>
      </c>
      <c r="T43" s="324">
        <f t="shared" si="5"/>
        <v>227.80956840287899</v>
      </c>
      <c r="U43" s="324">
        <f>$I43*IF($G43="Pickup", SUMIFS(NewEmisData!E:E, NewEmisData!$A:$A, "Pickup", NewEmisData!$B:$B, $A43, NewEmisData!$C:$C, $H43, NewEmisData!$D:$D, U$2), SUMIFS(NewEmisData!E:E, NewEmisData!$A:$A, "LDV", NewEmisData!$B:$B, $A43, NewEmisData!$C:$C, $H43, NewEmisData!$D:$D, U$2))</f>
        <v>0.70973077210402302</v>
      </c>
      <c r="V43" s="324">
        <f>$I43*IF($G43="Pickup", SUMIFS(NewEmisData!F:F, NewEmisData!$A:$A, "Pickup", NewEmisData!$B:$B, $A43, NewEmisData!$C:$C, $H43, NewEmisData!$D:$D, V$2), SUMIFS(NewEmisData!F:F, NewEmisData!$A:$A, "LDV", NewEmisData!$B:$B, $A43, NewEmisData!$C:$C, $H43, NewEmisData!$D:$D, V$2))</f>
        <v>0.32036907792622199</v>
      </c>
      <c r="W43" s="324">
        <f>$I43*IF($G43="Pickup", SUMIFS(NewEmisData!G:G, NewEmisData!$A:$A, "Pickup", NewEmisData!$B:$B, $A43, NewEmisData!$C:$C, $H43, NewEmisData!$D:$D, W$2), SUMIFS(NewEmisData!G:G, NewEmisData!$A:$A, "LDV", NewEmisData!$B:$B, $A43, NewEmisData!$C:$C, $H43, NewEmisData!$D:$D, W$2))</f>
        <v>0.23974719966536701</v>
      </c>
      <c r="X43" s="324">
        <f>$I43*IF($G43="Pickup", SUMIFS(NewEmisData!H:H, NewEmisData!$A:$A, "Pickup", NewEmisData!$B:$B, $A43, NewEmisData!$C:$C, $H43, NewEmisData!$D:$D, X$2), SUMIFS(NewEmisData!H:H, NewEmisData!$A:$A, "LDV", NewEmisData!$B:$B, $A43, NewEmisData!$C:$C, $H43, NewEmisData!$D:$D, X$2))</f>
        <v>0.160612501035788</v>
      </c>
      <c r="Y43" s="324">
        <f>$I43*IF($G43="Pickup", SUMIFS(NewEmisData!I:I, NewEmisData!$A:$A, "Pickup", NewEmisData!$B:$B, $A43, NewEmisData!$C:$C, $H43, NewEmisData!$D:$D, Y$2), SUMIFS(NewEmisData!I:I, NewEmisData!$A:$A, "LDV", NewEmisData!$B:$B, $A43, NewEmisData!$C:$C, $H43, NewEmisData!$D:$D, Y$2))</f>
        <v>0.10365613117262901</v>
      </c>
      <c r="Z43" s="324">
        <f>$I43*IF($G43="Pickup", SUMIFS(NewEmisData!J:J, NewEmisData!$A:$A, "Pickup", NewEmisData!$B:$B, $A43, NewEmisData!$C:$C, $H43, NewEmisData!$D:$D, Z$2), SUMIFS(NewEmisData!J:J, NewEmisData!$A:$A, "LDV", NewEmisData!$B:$B, $A43, NewEmisData!$C:$C, $H43, NewEmisData!$D:$D, Z$2))</f>
        <v>7.8799994555065797E-2</v>
      </c>
      <c r="AA43" s="324">
        <f>$I43*IF($G43="Pickup", SUMIFS(NewEmisData!K:K, NewEmisData!$A:$A, "Pickup", NewEmisData!$B:$B, $A43, NewEmisData!$C:$C, $H43, NewEmisData!$D:$D, AA$2), SUMIFS(NewEmisData!K:K, NewEmisData!$A:$A, "LDV", NewEmisData!$B:$B, $A43, NewEmisData!$C:$C, $H43, NewEmisData!$D:$D, AA$2))</f>
        <v>6.8646939612850705E-2</v>
      </c>
      <c r="AB43" s="324">
        <f>$I43*IF($G43="Pickup", SUMIFS(NewEmisData!L:L, NewEmisData!$A:$A, "Pickup", NewEmisData!$B:$B, $A43, NewEmisData!$C:$C, $H43, NewEmisData!$D:$D, AB$2), SUMIFS(NewEmisData!L:L, NewEmisData!$A:$A, "LDV", NewEmisData!$B:$B, $A43, NewEmisData!$C:$C, $H43, NewEmisData!$D:$D, AB$2))</f>
        <v>6.5824398729591893E-2</v>
      </c>
      <c r="AC43" s="324">
        <f>$I43*IF($G43="Pickup", SUMIFS(NewEmisData!M:M, NewEmisData!$A:$A, "Pickup", NewEmisData!$B:$B, $A43, NewEmisData!$C:$C, $H43, NewEmisData!$D:$D, AC$2), SUMIFS(NewEmisData!M:M, NewEmisData!$A:$A, "LDV", NewEmisData!$B:$B, $A43, NewEmisData!$C:$C, $H43, NewEmisData!$D:$D, AC$2))</f>
        <v>6.4340803704991095E-2</v>
      </c>
      <c r="AD43" s="324">
        <f t="shared" si="6"/>
        <v>6.4340803704991095E-2</v>
      </c>
      <c r="AE43" s="324">
        <f>$I43*IF($G43="Pickup", SUMIFS(NewEmisData!E:E, NewEmisData!$A:$A, "Pickup", NewEmisData!$B:$B, $A43, NewEmisData!$C:$C, $H43, NewEmisData!$D:$D, AE$2), SUMIFS(NewEmisData!E:E, NewEmisData!$A:$A, "LDV", NewEmisData!$B:$B, $A43, NewEmisData!$C:$C, $H43, NewEmisData!$D:$D, AE$2))</f>
        <v>8.2160020457903906E-3</v>
      </c>
      <c r="AF43" s="324">
        <f>$I43*IF($G43="Pickup", SUMIFS(NewEmisData!F:F, NewEmisData!$A:$A, "Pickup", NewEmisData!$B:$B, $A43, NewEmisData!$C:$C, $H43, NewEmisData!$D:$D, AF$2), SUMIFS(NewEmisData!F:F, NewEmisData!$A:$A, "LDV", NewEmisData!$B:$B, $A43, NewEmisData!$C:$C, $H43, NewEmisData!$D:$D, AF$2))</f>
        <v>7.80815598787189E-3</v>
      </c>
      <c r="AG43" s="324">
        <f>$I43*IF($G43="Pickup", SUMIFS(NewEmisData!G:G, NewEmisData!$A:$A, "Pickup", NewEmisData!$B:$B, $A43, NewEmisData!$C:$C, $H43, NewEmisData!$D:$D, AG$2), SUMIFS(NewEmisData!G:G, NewEmisData!$A:$A, "LDV", NewEmisData!$B:$B, $A43, NewEmisData!$C:$C, $H43, NewEmisData!$D:$D, AG$2))</f>
        <v>5.1579884513251097E-3</v>
      </c>
      <c r="AH43" s="324">
        <f>$I43*IF($G43="Pickup", SUMIFS(NewEmisData!H:H, NewEmisData!$A:$A, "Pickup", NewEmisData!$B:$B, $A43, NewEmisData!$C:$C, $H43, NewEmisData!$D:$D, AH$2), SUMIFS(NewEmisData!H:H, NewEmisData!$A:$A, "LDV", NewEmisData!$B:$B, $A43, NewEmisData!$C:$C, $H43, NewEmisData!$D:$D, AH$2))</f>
        <v>4.3996084263759998E-3</v>
      </c>
      <c r="AI43" s="324">
        <f>$I43*IF($G43="Pickup", SUMIFS(NewEmisData!I:I, NewEmisData!$A:$A, "Pickup", NewEmisData!$B:$B, $A43, NewEmisData!$C:$C, $H43, NewEmisData!$D:$D, AI$2), SUMIFS(NewEmisData!I:I, NewEmisData!$A:$A, "LDV", NewEmisData!$B:$B, $A43, NewEmisData!$C:$C, $H43, NewEmisData!$D:$D, AI$2))</f>
        <v>3.81672539575274E-3</v>
      </c>
      <c r="AJ43" s="324">
        <f>$I43*IF($G43="Pickup", SUMIFS(NewEmisData!J:J, NewEmisData!$A:$A, "Pickup", NewEmisData!$B:$B, $A43, NewEmisData!$C:$C, $H43, NewEmisData!$D:$D, AJ$2), SUMIFS(NewEmisData!J:J, NewEmisData!$A:$A, "LDV", NewEmisData!$B:$B, $A43, NewEmisData!$C:$C, $H43, NewEmisData!$D:$D, AJ$2))</f>
        <v>3.4872096414849999E-3</v>
      </c>
      <c r="AK43" s="324">
        <f>$I43*IF($G43="Pickup", SUMIFS(NewEmisData!K:K, NewEmisData!$A:$A, "Pickup", NewEmisData!$B:$B, $A43, NewEmisData!$C:$C, $H43, NewEmisData!$D:$D, AK$2), SUMIFS(NewEmisData!K:K, NewEmisData!$A:$A, "LDV", NewEmisData!$B:$B, $A43, NewEmisData!$C:$C, $H43, NewEmisData!$D:$D, AK$2))</f>
        <v>3.3400286224750798E-3</v>
      </c>
      <c r="AL43" s="324">
        <f>$I43*IF($G43="Pickup", SUMIFS(NewEmisData!L:L, NewEmisData!$A:$A, "Pickup", NewEmisData!$B:$B, $A43, NewEmisData!$C:$C, $H43, NewEmisData!$D:$D, AL$2), SUMIFS(NewEmisData!L:L, NewEmisData!$A:$A, "LDV", NewEmisData!$B:$B, $A43, NewEmisData!$C:$C, $H43, NewEmisData!$D:$D, AL$2))</f>
        <v>3.2875233288682799E-3</v>
      </c>
      <c r="AM43" s="324">
        <f>$I43*IF($G43="Pickup", SUMIFS(NewEmisData!M:M, NewEmisData!$A:$A, "Pickup", NewEmisData!$B:$B, $A43, NewEmisData!$C:$C, $H43, NewEmisData!$D:$D, AM$2), SUMIFS(NewEmisData!M:M, NewEmisData!$A:$A, "LDV", NewEmisData!$B:$B, $A43, NewEmisData!$C:$C, $H43, NewEmisData!$D:$D, AM$2))</f>
        <v>3.2680461258744399E-3</v>
      </c>
      <c r="AN43" s="324">
        <f t="shared" si="7"/>
        <v>3.2680461258744399E-3</v>
      </c>
      <c r="AO43" s="324">
        <f>$I43*IF($G43="Pickup", SUMIFS(NewEmisData!E:E, NewEmisData!$A:$A, "Pickup", NewEmisData!$B:$B, $A43, NewEmisData!$C:$C, $H43, NewEmisData!$D:$D, AO$2), SUMIFS(NewEmisData!E:E, NewEmisData!$A:$A, "LDV", NewEmisData!$B:$B, $A43, NewEmisData!$C:$C, $H43, NewEmisData!$D:$D, AO$2))</f>
        <v>7.6637268565666605E-2</v>
      </c>
      <c r="AP43" s="324">
        <f>$I43*IF($G43="Pickup", SUMIFS(NewEmisData!F:F, NewEmisData!$A:$A, "Pickup", NewEmisData!$B:$B, $A43, NewEmisData!$C:$C, $H43, NewEmisData!$D:$D, AP$2), SUMIFS(NewEmisData!F:F, NewEmisData!$A:$A, "LDV", NewEmisData!$B:$B, $A43, NewEmisData!$C:$C, $H43, NewEmisData!$D:$D, AP$2))</f>
        <v>7.17220347655846E-2</v>
      </c>
      <c r="AQ43" s="324">
        <f>$I43*IF($G43="Pickup", SUMIFS(NewEmisData!G:G, NewEmisData!$A:$A, "Pickup", NewEmisData!$B:$B, $A43, NewEmisData!$C:$C, $H43, NewEmisData!$D:$D, AQ$2), SUMIFS(NewEmisData!G:G, NewEmisData!$A:$A, "LDV", NewEmisData!$B:$B, $A43, NewEmisData!$C:$C, $H43, NewEmisData!$D:$D, AQ$2))</f>
        <v>5.3063354209187903E-2</v>
      </c>
      <c r="AR43" s="324">
        <f>$I43*IF($G43="Pickup", SUMIFS(NewEmisData!H:H, NewEmisData!$A:$A, "Pickup", NewEmisData!$B:$B, $A43, NewEmisData!$C:$C, $H43, NewEmisData!$D:$D, AR$2), SUMIFS(NewEmisData!H:H, NewEmisData!$A:$A, "LDV", NewEmisData!$B:$B, $A43, NewEmisData!$C:$C, $H43, NewEmisData!$D:$D, AR$2))</f>
        <v>5.1413159178765599E-2</v>
      </c>
      <c r="AS43" s="324">
        <f>$I43*IF($G43="Pickup", SUMIFS(NewEmisData!I:I, NewEmisData!$A:$A, "Pickup", NewEmisData!$B:$B, $A43, NewEmisData!$C:$C, $H43, NewEmisData!$D:$D, AS$2), SUMIFS(NewEmisData!I:I, NewEmisData!$A:$A, "LDV", NewEmisData!$B:$B, $A43, NewEmisData!$C:$C, $H43, NewEmisData!$D:$D, AS$2))</f>
        <v>4.9937748877796798E-2</v>
      </c>
      <c r="AT43" s="324">
        <f>$I43*IF($G43="Pickup", SUMIFS(NewEmisData!J:J, NewEmisData!$A:$A, "Pickup", NewEmisData!$B:$B, $A43, NewEmisData!$C:$C, $H43, NewEmisData!$D:$D, AT$2), SUMIFS(NewEmisData!J:J, NewEmisData!$A:$A, "LDV", NewEmisData!$B:$B, $A43, NewEmisData!$C:$C, $H43, NewEmisData!$D:$D, AT$2))</f>
        <v>4.8737436898882699E-2</v>
      </c>
      <c r="AU43" s="324">
        <f>$I43*IF($G43="Pickup", SUMIFS(NewEmisData!K:K, NewEmisData!$A:$A, "Pickup", NewEmisData!$B:$B, $A43, NewEmisData!$C:$C, $H43, NewEmisData!$D:$D, AU$2), SUMIFS(NewEmisData!K:K, NewEmisData!$A:$A, "LDV", NewEmisData!$B:$B, $A43, NewEmisData!$C:$C, $H43, NewEmisData!$D:$D, AU$2))</f>
        <v>4.7984590527250397E-2</v>
      </c>
      <c r="AV43" s="324">
        <f>$I43*IF($G43="Pickup", SUMIFS(NewEmisData!L:L, NewEmisData!$A:$A, "Pickup", NewEmisData!$B:$B, $A43, NewEmisData!$C:$C, $H43, NewEmisData!$D:$D, AV$2), SUMIFS(NewEmisData!L:L, NewEmisData!$A:$A, "LDV", NewEmisData!$B:$B, $A43, NewEmisData!$C:$C, $H43, NewEmisData!$D:$D, AV$2))</f>
        <v>4.76005320802948E-2</v>
      </c>
      <c r="AW43" s="324">
        <f>$I43*IF($G43="Pickup", SUMIFS(NewEmisData!M:M, NewEmisData!$A:$A, "Pickup", NewEmisData!$B:$B, $A43, NewEmisData!$C:$C, $H43, NewEmisData!$D:$D, AW$2), SUMIFS(NewEmisData!M:M, NewEmisData!$A:$A, "LDV", NewEmisData!$B:$B, $A43, NewEmisData!$C:$C, $H43, NewEmisData!$D:$D, AW$2))</f>
        <v>4.7377866603412998E-2</v>
      </c>
      <c r="AX43" s="324">
        <f t="shared" si="8"/>
        <v>4.7377866603412998E-2</v>
      </c>
      <c r="AY43" s="324">
        <f>$I43*IF($G43="Pickup", SUMIFS(NewEmisData!E:E, NewEmisData!$A:$A, "Pickup", NewEmisData!$B:$B, $A43, NewEmisData!$C:$C, $H43, NewEmisData!$D:$D, AY$2), SUMIFS(NewEmisData!E:E, NewEmisData!$A:$A, "LDV", NewEmisData!$B:$B, $A43, NewEmisData!$C:$C, $H43, NewEmisData!$D:$D, AY$2))</f>
        <v>1.9839679684136899E-2</v>
      </c>
      <c r="AZ43" s="324">
        <f>$I43*IF($G43="Pickup", SUMIFS(NewEmisData!F:F, NewEmisData!$A:$A, "Pickup", NewEmisData!$B:$B, $A43, NewEmisData!$C:$C, $H43, NewEmisData!$D:$D, AZ$2), SUMIFS(NewEmisData!F:F, NewEmisData!$A:$A, "LDV", NewEmisData!$B:$B, $A43, NewEmisData!$C:$C, $H43, NewEmisData!$D:$D, AZ$2))</f>
        <v>1.54915322396613E-2</v>
      </c>
      <c r="BA43" s="324">
        <f>$I43*IF($G43="Pickup", SUMIFS(NewEmisData!G:G, NewEmisData!$A:$A, "Pickup", NewEmisData!$B:$B, $A43, NewEmisData!$C:$C, $H43, NewEmisData!$D:$D, BA$2), SUMIFS(NewEmisData!G:G, NewEmisData!$A:$A, "LDV", NewEmisData!$B:$B, $A43, NewEmisData!$C:$C, $H43, NewEmisData!$D:$D, BA$2))</f>
        <v>1.24856485125612E-2</v>
      </c>
      <c r="BB43" s="324">
        <f>$I43*IF($G43="Pickup", SUMIFS(NewEmisData!H:H, NewEmisData!$A:$A, "Pickup", NewEmisData!$B:$B, $A43, NewEmisData!$C:$C, $H43, NewEmisData!$D:$D, BB$2), SUMIFS(NewEmisData!H:H, NewEmisData!$A:$A, "LDV", NewEmisData!$B:$B, $A43, NewEmisData!$C:$C, $H43, NewEmisData!$D:$D, BB$2))</f>
        <v>1.10258430769824E-2</v>
      </c>
      <c r="BC43" s="324">
        <f>$I43*IF($G43="Pickup", SUMIFS(NewEmisData!I:I, NewEmisData!$A:$A, "Pickup", NewEmisData!$B:$B, $A43, NewEmisData!$C:$C, $H43, NewEmisData!$D:$D, BC$2), SUMIFS(NewEmisData!I:I, NewEmisData!$A:$A, "LDV", NewEmisData!$B:$B, $A43, NewEmisData!$C:$C, $H43, NewEmisData!$D:$D, BC$2))</f>
        <v>9.7206839249302599E-3</v>
      </c>
      <c r="BD43" s="324">
        <f>$I43*IF($G43="Pickup", SUMIFS(NewEmisData!J:J, NewEmisData!$A:$A, "Pickup", NewEmisData!$B:$B, $A43, NewEmisData!$C:$C, $H43, NewEmisData!$D:$D, BD$2), SUMIFS(NewEmisData!J:J, NewEmisData!$A:$A, "LDV", NewEmisData!$B:$B, $A43, NewEmisData!$C:$C, $H43, NewEmisData!$D:$D, BD$2))</f>
        <v>8.6588886279032502E-3</v>
      </c>
      <c r="BE43" s="324">
        <f>$I43*IF($G43="Pickup", SUMIFS(NewEmisData!K:K, NewEmisData!$A:$A, "Pickup", NewEmisData!$B:$B, $A43, NewEmisData!$C:$C, $H43, NewEmisData!$D:$D, BE$2), SUMIFS(NewEmisData!K:K, NewEmisData!$A:$A, "LDV", NewEmisData!$B:$B, $A43, NewEmisData!$C:$C, $H43, NewEmisData!$D:$D, BE$2))</f>
        <v>7.9928948991222996E-3</v>
      </c>
      <c r="BF43" s="324">
        <f>$I43*IF($G43="Pickup", SUMIFS(NewEmisData!L:L, NewEmisData!$A:$A, "Pickup", NewEmisData!$B:$B, $A43, NewEmisData!$C:$C, $H43, NewEmisData!$D:$D, BF$2), SUMIFS(NewEmisData!L:L, NewEmisData!$A:$A, "LDV", NewEmisData!$B:$B, $A43, NewEmisData!$C:$C, $H43, NewEmisData!$D:$D, BF$2))</f>
        <v>7.65317007618625E-3</v>
      </c>
      <c r="BG43" s="324">
        <f>$I43*IF($G43="Pickup", SUMIFS(NewEmisData!M:M, NewEmisData!$A:$A, "Pickup", NewEmisData!$B:$B, $A43, NewEmisData!$C:$C, $H43, NewEmisData!$D:$D, BG$2), SUMIFS(NewEmisData!M:M, NewEmisData!$A:$A, "LDV", NewEmisData!$B:$B, $A43, NewEmisData!$C:$C, $H43, NewEmisData!$D:$D, BG$2))</f>
        <v>7.4561632981935697E-3</v>
      </c>
      <c r="BH43" s="324">
        <f t="shared" si="9"/>
        <v>7.4561632981935697E-3</v>
      </c>
      <c r="BI43" s="324">
        <f>$I43*IF($G43="Pickup", SUMIFS(NewEmisData!E:E, NewEmisData!$A:$A, "Pickup", NewEmisData!$B:$B, $A43, NewEmisData!$C:$C, $H43, NewEmisData!$D:$D, BI$2), SUMIFS(NewEmisData!E:E, NewEmisData!$A:$A, "LDV", NewEmisData!$B:$B, $A43, NewEmisData!$C:$C, $H43, NewEmisData!$D:$D, BI$2))</f>
        <v>6.4220034872518204</v>
      </c>
      <c r="BJ43" s="324">
        <f>$I43*IF($G43="Pickup", SUMIFS(NewEmisData!F:F, NewEmisData!$A:$A, "Pickup", NewEmisData!$B:$B, $A43, NewEmisData!$C:$C, $H43, NewEmisData!$D:$D, BJ$2), SUMIFS(NewEmisData!F:F, NewEmisData!$A:$A, "LDV", NewEmisData!$B:$B, $A43, NewEmisData!$C:$C, $H43, NewEmisData!$D:$D, BJ$2))</f>
        <v>3.8479800836345999</v>
      </c>
      <c r="BK43" s="324">
        <f>$I43*IF($G43="Pickup", SUMIFS(NewEmisData!G:G, NewEmisData!$A:$A, "Pickup", NewEmisData!$B:$B, $A43, NewEmisData!$C:$C, $H43, NewEmisData!$D:$D, BK$2), SUMIFS(NewEmisData!G:G, NewEmisData!$A:$A, "LDV", NewEmisData!$B:$B, $A43, NewEmisData!$C:$C, $H43, NewEmisData!$D:$D, BK$2))</f>
        <v>2.9970734916117499</v>
      </c>
      <c r="BL43" s="324">
        <f>$I43*IF($G43="Pickup", SUMIFS(NewEmisData!H:H, NewEmisData!$A:$A, "Pickup", NewEmisData!$B:$B, $A43, NewEmisData!$C:$C, $H43, NewEmisData!$D:$D, BL$2), SUMIFS(NewEmisData!H:H, NewEmisData!$A:$A, "LDV", NewEmisData!$B:$B, $A43, NewEmisData!$C:$C, $H43, NewEmisData!$D:$D, BL$2))</f>
        <v>2.36472323758924</v>
      </c>
      <c r="BM43" s="324">
        <f>$I43*IF($G43="Pickup", SUMIFS(NewEmisData!I:I, NewEmisData!$A:$A, "Pickup", NewEmisData!$B:$B, $A43, NewEmisData!$C:$C, $H43, NewEmisData!$D:$D, BM$2), SUMIFS(NewEmisData!I:I, NewEmisData!$A:$A, "LDV", NewEmisData!$B:$B, $A43, NewEmisData!$C:$C, $H43, NewEmisData!$D:$D, BM$2))</f>
        <v>1.7421472431707099</v>
      </c>
      <c r="BN43" s="324">
        <f>$I43*IF($G43="Pickup", SUMIFS(NewEmisData!J:J, NewEmisData!$A:$A, "Pickup", NewEmisData!$B:$B, $A43, NewEmisData!$C:$C, $H43, NewEmisData!$D:$D, BN$2), SUMIFS(NewEmisData!J:J, NewEmisData!$A:$A, "LDV", NewEmisData!$B:$B, $A43, NewEmisData!$C:$C, $H43, NewEmisData!$D:$D, BN$2))</f>
        <v>1.3931539503279999</v>
      </c>
      <c r="BO43" s="324">
        <f>$I43*IF($G43="Pickup", SUMIFS(NewEmisData!K:K, NewEmisData!$A:$A, "Pickup", NewEmisData!$B:$B, $A43, NewEmisData!$C:$C, $H43, NewEmisData!$D:$D, BO$2), SUMIFS(NewEmisData!K:K, NewEmisData!$A:$A, "LDV", NewEmisData!$B:$B, $A43, NewEmisData!$C:$C, $H43, NewEmisData!$D:$D, BO$2))</f>
        <v>1.2342051269933401</v>
      </c>
      <c r="BP43" s="324">
        <f>$I43*IF($G43="Pickup", SUMIFS(NewEmisData!L:L, NewEmisData!$A:$A, "Pickup", NewEmisData!$B:$B, $A43, NewEmisData!$C:$C, $H43, NewEmisData!$D:$D, BP$2), SUMIFS(NewEmisData!L:L, NewEmisData!$A:$A, "LDV", NewEmisData!$B:$B, $A43, NewEmisData!$C:$C, $H43, NewEmisData!$D:$D, BP$2))</f>
        <v>1.18127069132138</v>
      </c>
      <c r="BQ43" s="324">
        <f>$I43*IF($G43="Pickup", SUMIFS(NewEmisData!M:M, NewEmisData!$A:$A, "Pickup", NewEmisData!$B:$B, $A43, NewEmisData!$C:$C, $H43, NewEmisData!$D:$D, BQ$2), SUMIFS(NewEmisData!M:M, NewEmisData!$A:$A, "LDV", NewEmisData!$B:$B, $A43, NewEmisData!$C:$C, $H43, NewEmisData!$D:$D, BQ$2))</f>
        <v>1.1484293714755001</v>
      </c>
      <c r="BR43" s="324">
        <f t="shared" si="10"/>
        <v>1.1484293714755001</v>
      </c>
      <c r="BS43" s="324">
        <f>$I43*IF($G43="Pickup", SUMIFS(NewEmisData!E:E, NewEmisData!$A:$A, "Pickup", NewEmisData!$B:$B, $A43, NewEmisData!$C:$C, $H43, NewEmisData!$D:$D, BS$2), SUMIFS(NewEmisData!E:E, NewEmisData!$A:$A, "LDV", NewEmisData!$B:$B, $A43, NewEmisData!$C:$C, $H43, NewEmisData!$D:$D, BS$2))</f>
        <v>0.76625314114096599</v>
      </c>
      <c r="BT43" s="324">
        <f>$I43*IF($G43="Pickup", SUMIFS(NewEmisData!F:F, NewEmisData!$A:$A, "Pickup", NewEmisData!$B:$B, $A43, NewEmisData!$C:$C, $H43, NewEmisData!$D:$D, BT$2), SUMIFS(NewEmisData!F:F, NewEmisData!$A:$A, "LDV", NewEmisData!$B:$B, $A43, NewEmisData!$C:$C, $H43, NewEmisData!$D:$D, BT$2))</f>
        <v>0.42849019580384201</v>
      </c>
      <c r="BU43" s="324">
        <f>$I43*IF($G43="Pickup", SUMIFS(NewEmisData!G:G, NewEmisData!$A:$A, "Pickup", NewEmisData!$B:$B, $A43, NewEmisData!$C:$C, $H43, NewEmisData!$D:$D, BU$2), SUMIFS(NewEmisData!G:G, NewEmisData!$A:$A, "LDV", NewEmisData!$B:$B, $A43, NewEmisData!$C:$C, $H43, NewEmisData!$D:$D, BU$2))</f>
        <v>0.33923869580754101</v>
      </c>
      <c r="BV43" s="324">
        <f>$I43*IF($G43="Pickup", SUMIFS(NewEmisData!H:H, NewEmisData!$A:$A, "Pickup", NewEmisData!$B:$B, $A43, NewEmisData!$C:$C, $H43, NewEmisData!$D:$D, BV$2), SUMIFS(NewEmisData!H:H, NewEmisData!$A:$A, "LDV", NewEmisData!$B:$B, $A43, NewEmisData!$C:$C, $H43, NewEmisData!$D:$D, BV$2))</f>
        <v>0.274572609184357</v>
      </c>
      <c r="BW43" s="324">
        <f>$I43*IF($G43="Pickup", SUMIFS(NewEmisData!I:I, NewEmisData!$A:$A, "Pickup", NewEmisData!$B:$B, $A43, NewEmisData!$C:$C, $H43, NewEmisData!$D:$D, BW$2), SUMIFS(NewEmisData!I:I, NewEmisData!$A:$A, "LDV", NewEmisData!$B:$B, $A43, NewEmisData!$C:$C, $H43, NewEmisData!$D:$D, BW$2))</f>
        <v>0.20444446873760599</v>
      </c>
      <c r="BX43" s="324">
        <f>$I43*IF($G43="Pickup", SUMIFS(NewEmisData!J:J, NewEmisData!$A:$A, "Pickup", NewEmisData!$B:$B, $A43, NewEmisData!$C:$C, $H43, NewEmisData!$D:$D, BX$2), SUMIFS(NewEmisData!J:J, NewEmisData!$A:$A, "LDV", NewEmisData!$B:$B, $A43, NewEmisData!$C:$C, $H43, NewEmisData!$D:$D, BX$2))</f>
        <v>0.170176908378738</v>
      </c>
      <c r="BY43" s="324">
        <f>$I43*IF($G43="Pickup", SUMIFS(NewEmisData!K:K, NewEmisData!$A:$A, "Pickup", NewEmisData!$B:$B, $A43, NewEmisData!$C:$C, $H43, NewEmisData!$D:$D, BY$2), SUMIFS(NewEmisData!K:K, NewEmisData!$A:$A, "LDV", NewEmisData!$B:$B, $A43, NewEmisData!$C:$C, $H43, NewEmisData!$D:$D, BY$2))</f>
        <v>0.152045525981331</v>
      </c>
      <c r="BZ43" s="324">
        <f>$I43*IF($G43="Pickup", SUMIFS(NewEmisData!L:L, NewEmisData!$A:$A, "Pickup", NewEmisData!$B:$B, $A43, NewEmisData!$C:$C, $H43, NewEmisData!$D:$D, BZ$2), SUMIFS(NewEmisData!L:L, NewEmisData!$A:$A, "LDV", NewEmisData!$B:$B, $A43, NewEmisData!$C:$C, $H43, NewEmisData!$D:$D, BZ$2))</f>
        <v>0.14503696159912</v>
      </c>
      <c r="CA43" s="324">
        <f>$I43*IF($G43="Pickup", SUMIFS(NewEmisData!M:M, NewEmisData!$A:$A, "Pickup", NewEmisData!$B:$B, $A43, NewEmisData!$C:$C, $H43, NewEmisData!$D:$D, CA$2), SUMIFS(NewEmisData!M:M, NewEmisData!$A:$A, "LDV", NewEmisData!$B:$B, $A43, NewEmisData!$C:$C, $H43, NewEmisData!$D:$D, CA$2))</f>
        <v>0.139402683427791</v>
      </c>
      <c r="CB43" s="324">
        <f t="shared" si="11"/>
        <v>0.139402683427791</v>
      </c>
      <c r="CC43" s="324">
        <f>$I43*IF($G43="Pickup", SUMIFS(NewEmisData!E:E, NewEmisData!$A:$A, "Pickup", NewEmisData!$B:$B, $A43, NewEmisData!$C:$C, $H43, NewEmisData!$D:$D, CC$2), SUMIFS(NewEmisData!E:E, NewEmisData!$A:$A, "LDV", NewEmisData!$B:$B, $A43, NewEmisData!$C:$C, $H43, NewEmisData!$D:$D, CC$2))</f>
        <v>3.9065075142891502E-2</v>
      </c>
      <c r="CD43" s="324">
        <f>$I43*IF($G43="Pickup", SUMIFS(NewEmisData!F:F, NewEmisData!$A:$A, "Pickup", NewEmisData!$B:$B, $A43, NewEmisData!$C:$C, $H43, NewEmisData!$D:$D, CD$2), SUMIFS(NewEmisData!F:F, NewEmisData!$A:$A, "LDV", NewEmisData!$B:$B, $A43, NewEmisData!$C:$C, $H43, NewEmisData!$D:$D, CD$2))</f>
        <v>2.71884075109541E-2</v>
      </c>
      <c r="CE43" s="324">
        <f>$I43*IF($G43="Pickup", SUMIFS(NewEmisData!G:G, NewEmisData!$A:$A, "Pickup", NewEmisData!$B:$B, $A43, NewEmisData!$C:$C, $H43, NewEmisData!$D:$D, CE$2), SUMIFS(NewEmisData!G:G, NewEmisData!$A:$A, "LDV", NewEmisData!$B:$B, $A43, NewEmisData!$C:$C, $H43, NewEmisData!$D:$D, CE$2))</f>
        <v>2.35915905182916E-2</v>
      </c>
      <c r="CF43" s="324">
        <f>$I43*IF($G43="Pickup", SUMIFS(NewEmisData!H:H, NewEmisData!$A:$A, "Pickup", NewEmisData!$B:$B, $A43, NewEmisData!$C:$C, $H43, NewEmisData!$D:$D, CF$2), SUMIFS(NewEmisData!H:H, NewEmisData!$A:$A, "LDV", NewEmisData!$B:$B, $A43, NewEmisData!$C:$C, $H43, NewEmisData!$D:$D, CF$2))</f>
        <v>2.2519914122574401E-2</v>
      </c>
      <c r="CG43" s="324">
        <f>$I43*IF($G43="Pickup", SUMIFS(NewEmisData!I:I, NewEmisData!$A:$A, "Pickup", NewEmisData!$B:$B, $A43, NewEmisData!$C:$C, $H43, NewEmisData!$D:$D, CG$2), SUMIFS(NewEmisData!I:I, NewEmisData!$A:$A, "LDV", NewEmisData!$B:$B, $A43, NewEmisData!$C:$C, $H43, NewEmisData!$D:$D, CG$2))</f>
        <v>2.1807779866682201E-2</v>
      </c>
      <c r="CH43" s="324">
        <f>$I43*IF($G43="Pickup", SUMIFS(NewEmisData!J:J, NewEmisData!$A:$A, "Pickup", NewEmisData!$B:$B, $A43, NewEmisData!$C:$C, $H43, NewEmisData!$D:$D, CH$2), SUMIFS(NewEmisData!J:J, NewEmisData!$A:$A, "LDV", NewEmisData!$B:$B, $A43, NewEmisData!$C:$C, $H43, NewEmisData!$D:$D, CH$2))</f>
        <v>2.1246517083751901E-2</v>
      </c>
      <c r="CI43" s="324">
        <f>$I43*IF($G43="Pickup", SUMIFS(NewEmisData!K:K, NewEmisData!$A:$A, "Pickup", NewEmisData!$B:$B, $A43, NewEmisData!$C:$C, $H43, NewEmisData!$D:$D, CI$2), SUMIFS(NewEmisData!K:K, NewEmisData!$A:$A, "LDV", NewEmisData!$B:$B, $A43, NewEmisData!$C:$C, $H43, NewEmisData!$D:$D, CI$2))</f>
        <v>2.1244746441372499E-2</v>
      </c>
      <c r="CJ43" s="324">
        <f>$I43*IF($G43="Pickup", SUMIFS(NewEmisData!L:L, NewEmisData!$A:$A, "Pickup", NewEmisData!$B:$B, $A43, NewEmisData!$C:$C, $H43, NewEmisData!$D:$D, CJ$2), SUMIFS(NewEmisData!L:L, NewEmisData!$A:$A, "LDV", NewEmisData!$B:$B, $A43, NewEmisData!$C:$C, $H43, NewEmisData!$D:$D, CJ$2))</f>
        <v>2.1244238664552498E-2</v>
      </c>
      <c r="CK43" s="324">
        <f>$I43*IF($G43="Pickup", SUMIFS(NewEmisData!M:M, NewEmisData!$A:$A, "Pickup", NewEmisData!$B:$B, $A43, NewEmisData!$C:$C, $H43, NewEmisData!$D:$D, CK$2), SUMIFS(NewEmisData!M:M, NewEmisData!$A:$A, "LDV", NewEmisData!$B:$B, $A43, NewEmisData!$C:$C, $H43, NewEmisData!$D:$D, CK$2))</f>
        <v>2.1243800212783201E-2</v>
      </c>
      <c r="CL43" s="324">
        <f t="shared" si="12"/>
        <v>2.1243800212783201E-2</v>
      </c>
      <c r="CM43" s="324">
        <f>$I43*IF($G43="Pickup", SUMIFS(NewEmisData!E:E, NewEmisData!$A:$A, "Pickup", NewEmisData!$B:$B, $A43, NewEmisData!$C:$C, $H43, NewEmisData!$D:$D, CM$2), SUMIFS(NewEmisData!E:E, NewEmisData!$A:$A, "LDV", NewEmisData!$B:$B, $A43, NewEmisData!$C:$C, $H43, NewEmisData!$D:$D, CM$2))</f>
        <v>2.3400482606005499E-2</v>
      </c>
      <c r="CN43" s="324">
        <f>$I43*IF($G43="Pickup", SUMIFS(NewEmisData!F:F, NewEmisData!$A:$A, "Pickup", NewEmisData!$B:$B, $A43, NewEmisData!$C:$C, $H43, NewEmisData!$D:$D, CN$2), SUMIFS(NewEmisData!F:F, NewEmisData!$A:$A, "LDV", NewEmisData!$B:$B, $A43, NewEmisData!$C:$C, $H43, NewEmisData!$D:$D, CN$2))</f>
        <v>1.46264020139097E-2</v>
      </c>
      <c r="CO43" s="324">
        <f>$I43*IF($G43="Pickup", SUMIFS(NewEmisData!G:G, NewEmisData!$A:$A, "Pickup", NewEmisData!$B:$B, $A43, NewEmisData!$C:$C, $H43, NewEmisData!$D:$D, CO$2), SUMIFS(NewEmisData!G:G, NewEmisData!$A:$A, "LDV", NewEmisData!$B:$B, $A43, NewEmisData!$C:$C, $H43, NewEmisData!$D:$D, CO$2))</f>
        <v>1.17594755724597E-2</v>
      </c>
      <c r="CP43" s="324">
        <f>$I43*IF($G43="Pickup", SUMIFS(NewEmisData!H:H, NewEmisData!$A:$A, "Pickup", NewEmisData!$B:$B, $A43, NewEmisData!$C:$C, $H43, NewEmisData!$D:$D, CP$2), SUMIFS(NewEmisData!H:H, NewEmisData!$A:$A, "LDV", NewEmisData!$B:$B, $A43, NewEmisData!$C:$C, $H43, NewEmisData!$D:$D, CP$2))</f>
        <v>9.5913131178771704E-3</v>
      </c>
      <c r="CQ43" s="324">
        <f>$I43*IF($G43="Pickup", SUMIFS(NewEmisData!I:I, NewEmisData!$A:$A, "Pickup", NewEmisData!$B:$B, $A43, NewEmisData!$C:$C, $H43, NewEmisData!$D:$D, CQ$2), SUMIFS(NewEmisData!I:I, NewEmisData!$A:$A, "LDV", NewEmisData!$B:$B, $A43, NewEmisData!$C:$C, $H43, NewEmisData!$D:$D, CQ$2))</f>
        <v>8.49787062067325E-3</v>
      </c>
      <c r="CR43" s="324">
        <f>$I43*IF($G43="Pickup", SUMIFS(NewEmisData!J:J, NewEmisData!$A:$A, "Pickup", NewEmisData!$B:$B, $A43, NewEmisData!$C:$C, $H43, NewEmisData!$D:$D, CR$2), SUMIFS(NewEmisData!J:J, NewEmisData!$A:$A, "LDV", NewEmisData!$B:$B, $A43, NewEmisData!$C:$C, $H43, NewEmisData!$D:$D, CR$2))</f>
        <v>8.0109865110152001E-3</v>
      </c>
      <c r="CS43" s="324">
        <f>$I43*IF($G43="Pickup", SUMIFS(NewEmisData!K:K, NewEmisData!$A:$A, "Pickup", NewEmisData!$B:$B, $A43, NewEmisData!$C:$C, $H43, NewEmisData!$D:$D, CS$2), SUMIFS(NewEmisData!K:K, NewEmisData!$A:$A, "LDV", NewEmisData!$B:$B, $A43, NewEmisData!$C:$C, $H43, NewEmisData!$D:$D, CS$2))</f>
        <v>7.9536784391849198E-3</v>
      </c>
      <c r="CT43" s="324">
        <f>$I43*IF($G43="Pickup", SUMIFS(NewEmisData!L:L, NewEmisData!$A:$A, "Pickup", NewEmisData!$B:$B, $A43, NewEmisData!$C:$C, $H43, NewEmisData!$D:$D, CT$2), SUMIFS(NewEmisData!L:L, NewEmisData!$A:$A, "LDV", NewEmisData!$B:$B, $A43, NewEmisData!$C:$C, $H43, NewEmisData!$D:$D, CT$2))</f>
        <v>7.8603296078806496E-3</v>
      </c>
      <c r="CU43" s="324">
        <f>$I43*IF($G43="Pickup", SUMIFS(NewEmisData!M:M, NewEmisData!$A:$A, "Pickup", NewEmisData!$B:$B, $A43, NewEmisData!$C:$C, $H43, NewEmisData!$D:$D, CU$2), SUMIFS(NewEmisData!M:M, NewEmisData!$A:$A, "LDV", NewEmisData!$B:$B, $A43, NewEmisData!$C:$C, $H43, NewEmisData!$D:$D, CU$2))</f>
        <v>7.8597717488691193E-3</v>
      </c>
      <c r="CV43" s="324">
        <f t="shared" si="13"/>
        <v>7.8597717488691193E-3</v>
      </c>
      <c r="CW43" s="324">
        <v>4.0498104655261064E-3</v>
      </c>
      <c r="CX43" s="324">
        <v>2.5030350838759993E-3</v>
      </c>
      <c r="CY43" s="324">
        <v>2.1151214403419519E-3</v>
      </c>
      <c r="CZ43" s="324">
        <v>1.7489979687569375E-3</v>
      </c>
      <c r="DA43" s="324">
        <v>1.340486996695321E-3</v>
      </c>
      <c r="DB43" s="324">
        <v>1.0553769116342638E-3</v>
      </c>
      <c r="DC43" s="324">
        <v>1.0132227560056145E-3</v>
      </c>
      <c r="DD43" s="324">
        <v>1.0003159541004489E-3</v>
      </c>
      <c r="DE43" s="324">
        <v>9.9860782000699166E-4</v>
      </c>
      <c r="DF43" s="324">
        <v>9.9860782000699166E-4</v>
      </c>
      <c r="DG43" s="324">
        <f>$I43*IF($G43="Pickup", SUMIFS(NewEmisData!E:E, NewEmisData!$A:$A, "Pickup", NewEmisData!$B:$B, $A43, NewEmisData!$C:$C, $H43, NewEmisData!$D:$D, DG$2), SUMIFS(NewEmisData!E:E, NewEmisData!$A:$A, "LDV", NewEmisData!$B:$B, $A43, NewEmisData!$C:$C, $H43, NewEmisData!$D:$D, DG$2))</f>
        <v>0</v>
      </c>
      <c r="DH43" s="324">
        <f>$I43*IF($G43="Pickup", SUMIFS(NewEmisData!F:F, NewEmisData!$A:$A, "Pickup", NewEmisData!$B:$B, $A43, NewEmisData!$C:$C, $H43, NewEmisData!$D:$D, DH$2), SUMIFS(NewEmisData!F:F, NewEmisData!$A:$A, "LDV", NewEmisData!$B:$B, $A43, NewEmisData!$C:$C, $H43, NewEmisData!$D:$D, DH$2))</f>
        <v>0</v>
      </c>
      <c r="DI43" s="324">
        <f>$I43*IF($G43="Pickup", SUMIFS(NewEmisData!G:G, NewEmisData!$A:$A, "Pickup", NewEmisData!$B:$B, $A43, NewEmisData!$C:$C, $H43, NewEmisData!$D:$D, DI$2), SUMIFS(NewEmisData!G:G, NewEmisData!$A:$A, "LDV", NewEmisData!$B:$B, $A43, NewEmisData!$C:$C, $H43, NewEmisData!$D:$D, DI$2))</f>
        <v>0</v>
      </c>
      <c r="DJ43" s="324">
        <f>$I43*IF($G43="Pickup", SUMIFS(NewEmisData!H:H, NewEmisData!$A:$A, "Pickup", NewEmisData!$B:$B, $A43, NewEmisData!$C:$C, $H43, NewEmisData!$D:$D, DJ$2), SUMIFS(NewEmisData!H:H, NewEmisData!$A:$A, "LDV", NewEmisData!$B:$B, $A43, NewEmisData!$C:$C, $H43, NewEmisData!$D:$D, DJ$2))</f>
        <v>0</v>
      </c>
      <c r="DK43" s="324">
        <f>$I43*IF($G43="Pickup", SUMIFS(NewEmisData!I:I, NewEmisData!$A:$A, "Pickup", NewEmisData!$B:$B, $A43, NewEmisData!$C:$C, $H43, NewEmisData!$D:$D, DK$2), SUMIFS(NewEmisData!I:I, NewEmisData!$A:$A, "LDV", NewEmisData!$B:$B, $A43, NewEmisData!$C:$C, $H43, NewEmisData!$D:$D, DK$2))</f>
        <v>0</v>
      </c>
      <c r="DL43" s="324">
        <f>$I43*IF($G43="Pickup", SUMIFS(NewEmisData!J:J, NewEmisData!$A:$A, "Pickup", NewEmisData!$B:$B, $A43, NewEmisData!$C:$C, $H43, NewEmisData!$D:$D, DL$2), SUMIFS(NewEmisData!J:J, NewEmisData!$A:$A, "LDV", NewEmisData!$B:$B, $A43, NewEmisData!$C:$C, $H43, NewEmisData!$D:$D, DL$2))</f>
        <v>0</v>
      </c>
      <c r="DM43" s="324">
        <f>$I43*IF($G43="Pickup", SUMIFS(NewEmisData!K:K, NewEmisData!$A:$A, "Pickup", NewEmisData!$B:$B, $A43, NewEmisData!$C:$C, $H43, NewEmisData!$D:$D, DM$2), SUMIFS(NewEmisData!K:K, NewEmisData!$A:$A, "LDV", NewEmisData!$B:$B, $A43, NewEmisData!$C:$C, $H43, NewEmisData!$D:$D, DM$2))</f>
        <v>0</v>
      </c>
      <c r="DN43" s="324">
        <f>$I43*IF($G43="Pickup", SUMIFS(NewEmisData!L:L, NewEmisData!$A:$A, "Pickup", NewEmisData!$B:$B, $A43, NewEmisData!$C:$C, $H43, NewEmisData!$D:$D, DN$2), SUMIFS(NewEmisData!L:L, NewEmisData!$A:$A, "LDV", NewEmisData!$B:$B, $A43, NewEmisData!$C:$C, $H43, NewEmisData!$D:$D, DN$2))</f>
        <v>0</v>
      </c>
      <c r="DO43" s="324">
        <f>$I43*IF($G43="Pickup", SUMIFS(NewEmisData!M:M, NewEmisData!$A:$A, "Pickup", NewEmisData!$B:$B, $A43, NewEmisData!$C:$C, $H43, NewEmisData!$D:$D, DO$2), SUMIFS(NewEmisData!M:M, NewEmisData!$A:$A, "LDV", NewEmisData!$B:$B, $A43, NewEmisData!$C:$C, $H43, NewEmisData!$D:$D, DO$2))</f>
        <v>0</v>
      </c>
      <c r="DP43" s="324">
        <f t="shared" si="14"/>
        <v>0</v>
      </c>
      <c r="DQ43" s="324">
        <f>$I43*IF($G43="Pickup", SUMIFS(NewEmisData!E:E, NewEmisData!$A:$A, "Pickup", NewEmisData!$B:$B, $A43, NewEmisData!$C:$C, $H43, NewEmisData!$D:$D, DQ$2), SUMIFS(NewEmisData!E:E, NewEmisData!$A:$A, "LDV", NewEmisData!$B:$B, $A43, NewEmisData!$C:$C, $H43, NewEmisData!$D:$D, DQ$2))</f>
        <v>1.5358627671248499E-2</v>
      </c>
      <c r="DR43" s="324">
        <f>$I43*IF($G43="Pickup", SUMIFS(NewEmisData!F:F, NewEmisData!$A:$A, "Pickup", NewEmisData!$B:$B, $A43, NewEmisData!$C:$C, $H43, NewEmisData!$D:$D, DR$2), SUMIFS(NewEmisData!F:F, NewEmisData!$A:$A, "LDV", NewEmisData!$B:$B, $A43, NewEmisData!$C:$C, $H43, NewEmisData!$D:$D, DR$2))</f>
        <v>9.2701502330196205E-3</v>
      </c>
      <c r="DS43" s="324">
        <f>$I43*IF($G43="Pickup", SUMIFS(NewEmisData!G:G, NewEmisData!$A:$A, "Pickup", NewEmisData!$B:$B, $A43, NewEmisData!$C:$C, $H43, NewEmisData!$D:$D, DS$2), SUMIFS(NewEmisData!G:G, NewEmisData!$A:$A, "LDV", NewEmisData!$B:$B, $A43, NewEmisData!$C:$C, $H43, NewEmisData!$D:$D, DS$2))</f>
        <v>7.3800443468092902E-3</v>
      </c>
      <c r="DT43" s="324">
        <f>$I43*IF($G43="Pickup", SUMIFS(NewEmisData!H:H, NewEmisData!$A:$A, "Pickup", NewEmisData!$B:$B, $A43, NewEmisData!$C:$C, $H43, NewEmisData!$D:$D, DT$2), SUMIFS(NewEmisData!H:H, NewEmisData!$A:$A, "LDV", NewEmisData!$B:$B, $A43, NewEmisData!$C:$C, $H43, NewEmisData!$D:$D, DT$2))</f>
        <v>5.7500359883598503E-3</v>
      </c>
      <c r="DU43" s="324">
        <f>$I43*IF($G43="Pickup", SUMIFS(NewEmisData!I:I, NewEmisData!$A:$A, "Pickup", NewEmisData!$B:$B, $A43, NewEmisData!$C:$C, $H43, NewEmisData!$D:$D, DU$2), SUMIFS(NewEmisData!I:I, NewEmisData!$A:$A, "LDV", NewEmisData!$B:$B, $A43, NewEmisData!$C:$C, $H43, NewEmisData!$D:$D, DU$2))</f>
        <v>4.5486358185720301E-3</v>
      </c>
      <c r="DV43" s="324">
        <f>$I43*IF($G43="Pickup", SUMIFS(NewEmisData!J:J, NewEmisData!$A:$A, "Pickup", NewEmisData!$B:$B, $A43, NewEmisData!$C:$C, $H43, NewEmisData!$D:$D, DV$2), SUMIFS(NewEmisData!J:J, NewEmisData!$A:$A, "LDV", NewEmisData!$B:$B, $A43, NewEmisData!$C:$C, $H43, NewEmisData!$D:$D, DV$2))</f>
        <v>3.9745008012961004E-3</v>
      </c>
      <c r="DW43" s="324">
        <f>$I43*IF($G43="Pickup", SUMIFS(NewEmisData!K:K, NewEmisData!$A:$A, "Pickup", NewEmisData!$B:$B, $A43, NewEmisData!$C:$C, $H43, NewEmisData!$D:$D, DW$2), SUMIFS(NewEmisData!K:K, NewEmisData!$A:$A, "LDV", NewEmisData!$B:$B, $A43, NewEmisData!$C:$C, $H43, NewEmisData!$D:$D, DW$2))</f>
        <v>3.6505775807205302E-3</v>
      </c>
      <c r="DX43" s="324">
        <f>$I43*IF($G43="Pickup", SUMIFS(NewEmisData!L:L, NewEmisData!$A:$A, "Pickup", NewEmisData!$B:$B, $A43, NewEmisData!$C:$C, $H43, NewEmisData!$D:$D, DX$2), SUMIFS(NewEmisData!L:L, NewEmisData!$A:$A, "LDV", NewEmisData!$B:$B, $A43, NewEmisData!$C:$C, $H43, NewEmisData!$D:$D, DX$2))</f>
        <v>3.5463484367939599E-3</v>
      </c>
      <c r="DY43" s="324">
        <f>$I43*IF($G43="Pickup", SUMIFS(NewEmisData!M:M, NewEmisData!$A:$A, "Pickup", NewEmisData!$B:$B, $A43, NewEmisData!$C:$C, $H43, NewEmisData!$D:$D, DY$2), SUMIFS(NewEmisData!M:M, NewEmisData!$A:$A, "LDV", NewEmisData!$B:$B, $A43, NewEmisData!$C:$C, $H43, NewEmisData!$D:$D, DY$2))</f>
        <v>3.4918759359810199E-3</v>
      </c>
      <c r="DZ43" s="324">
        <f t="shared" si="15"/>
        <v>3.4918759359810199E-3</v>
      </c>
      <c r="EA43" s="324">
        <f t="shared" si="16"/>
        <v>474.817101058422</v>
      </c>
      <c r="EB43" s="324">
        <f t="shared" si="17"/>
        <v>451.24703471572099</v>
      </c>
      <c r="EC43" s="324">
        <f t="shared" si="18"/>
        <v>359.55406391675598</v>
      </c>
      <c r="ED43" s="324">
        <f t="shared" si="19"/>
        <v>306.68867751853497</v>
      </c>
      <c r="EE43" s="324">
        <f t="shared" si="20"/>
        <v>266.05693149041099</v>
      </c>
      <c r="EF43" s="324">
        <f t="shared" si="21"/>
        <v>243.087176828883</v>
      </c>
      <c r="EG43" s="324">
        <f t="shared" si="22"/>
        <v>232.82718030870799</v>
      </c>
      <c r="EH43" s="324">
        <f t="shared" si="23"/>
        <v>229.167353178653</v>
      </c>
      <c r="EI43" s="324">
        <f t="shared" si="24"/>
        <v>227.80956840287899</v>
      </c>
      <c r="EJ43" s="324">
        <f t="shared" si="25"/>
        <v>227.80956840287899</v>
      </c>
      <c r="EK43" s="324">
        <f t="shared" si="26"/>
        <v>0.70973077210402302</v>
      </c>
      <c r="EL43" s="324">
        <f t="shared" si="27"/>
        <v>0.32036907792622199</v>
      </c>
      <c r="EM43" s="324">
        <f t="shared" si="28"/>
        <v>0.23974719966536701</v>
      </c>
      <c r="EN43" s="324">
        <f t="shared" si="29"/>
        <v>0.160612501035788</v>
      </c>
      <c r="EO43" s="324">
        <f t="shared" si="30"/>
        <v>0.10365613117262901</v>
      </c>
      <c r="EP43" s="324">
        <f t="shared" si="31"/>
        <v>7.8799994555065797E-2</v>
      </c>
      <c r="EQ43" s="324">
        <f t="shared" si="32"/>
        <v>6.8646939612850705E-2</v>
      </c>
      <c r="ER43" s="324">
        <f t="shared" si="33"/>
        <v>6.5824398729591893E-2</v>
      </c>
      <c r="ES43" s="324">
        <f t="shared" si="34"/>
        <v>6.4340803704991095E-2</v>
      </c>
      <c r="ET43" s="324">
        <f t="shared" si="35"/>
        <v>6.4340803704991095E-2</v>
      </c>
      <c r="EU43" s="324">
        <f t="shared" si="36"/>
        <v>8.2160020457903906E-3</v>
      </c>
      <c r="EV43" s="324">
        <f t="shared" si="37"/>
        <v>7.80815598787189E-3</v>
      </c>
      <c r="EW43" s="324">
        <f t="shared" si="38"/>
        <v>5.1579884513251097E-3</v>
      </c>
      <c r="EX43" s="324">
        <f t="shared" si="39"/>
        <v>4.3996084263759998E-3</v>
      </c>
      <c r="EY43" s="324">
        <f t="shared" si="40"/>
        <v>3.81672539575274E-3</v>
      </c>
      <c r="EZ43" s="324">
        <f t="shared" si="41"/>
        <v>3.4872096414849999E-3</v>
      </c>
      <c r="FA43" s="324">
        <f t="shared" si="42"/>
        <v>3.3400286224750798E-3</v>
      </c>
      <c r="FB43" s="324">
        <f t="shared" si="43"/>
        <v>3.2875233288682799E-3</v>
      </c>
      <c r="FC43" s="324">
        <f t="shared" si="44"/>
        <v>3.2680461258744399E-3</v>
      </c>
      <c r="FD43" s="324">
        <f t="shared" si="45"/>
        <v>3.2680461258744399E-3</v>
      </c>
      <c r="FE43" s="324">
        <f t="shared" si="46"/>
        <v>7.6637268565666605E-2</v>
      </c>
      <c r="FF43" s="324">
        <f t="shared" si="47"/>
        <v>7.17220347655846E-2</v>
      </c>
      <c r="FG43" s="324">
        <f t="shared" si="48"/>
        <v>5.3063354209187903E-2</v>
      </c>
      <c r="FH43" s="324">
        <f t="shared" si="49"/>
        <v>5.1413159178765599E-2</v>
      </c>
      <c r="FI43" s="324">
        <f t="shared" si="50"/>
        <v>4.9937748877796798E-2</v>
      </c>
      <c r="FJ43" s="324">
        <f t="shared" si="51"/>
        <v>4.8737436898882699E-2</v>
      </c>
      <c r="FK43" s="324">
        <f t="shared" si="52"/>
        <v>4.7984590527250397E-2</v>
      </c>
      <c r="FL43" s="324">
        <f t="shared" si="53"/>
        <v>4.76005320802948E-2</v>
      </c>
      <c r="FM43" s="324">
        <f t="shared" si="54"/>
        <v>4.7377866603412998E-2</v>
      </c>
      <c r="FN43" s="324">
        <f t="shared" si="55"/>
        <v>4.7377866603412998E-2</v>
      </c>
      <c r="FO43" s="324">
        <f t="shared" si="56"/>
        <v>1.9839679684136899E-2</v>
      </c>
      <c r="FP43" s="324">
        <f t="shared" si="57"/>
        <v>1.54915322396613E-2</v>
      </c>
      <c r="FQ43" s="324">
        <f t="shared" si="58"/>
        <v>1.24856485125612E-2</v>
      </c>
      <c r="FR43" s="324">
        <f t="shared" si="59"/>
        <v>1.10258430769824E-2</v>
      </c>
      <c r="FS43" s="324">
        <f t="shared" si="60"/>
        <v>9.7206839249302599E-3</v>
      </c>
      <c r="FT43" s="324">
        <f t="shared" si="61"/>
        <v>8.6588886279032502E-3</v>
      </c>
      <c r="FU43" s="324">
        <f t="shared" si="62"/>
        <v>7.9928948991222996E-3</v>
      </c>
      <c r="FV43" s="324">
        <f t="shared" si="63"/>
        <v>7.65317007618625E-3</v>
      </c>
      <c r="FW43" s="324">
        <f t="shared" si="64"/>
        <v>7.4561632981935697E-3</v>
      </c>
      <c r="FX43" s="324">
        <f t="shared" si="65"/>
        <v>7.4561632981935697E-3</v>
      </c>
    </row>
    <row r="44" spans="1:180" x14ac:dyDescent="0.2">
      <c r="A44" s="298" t="str">
        <f>_xlfn.CONCAT(IF(LEFT(TRIM(A43),1)="*", "*R", "R"), 1+RIGHT(TRIM(A43),1))</f>
        <v>R6</v>
      </c>
      <c r="B44" s="298" t="str">
        <f t="shared" si="96"/>
        <v>TLEMGSL</v>
      </c>
      <c r="C44" s="298" t="str">
        <f t="shared" si="97"/>
        <v>TL.GSL.M.Existing Fleet</v>
      </c>
      <c r="D44" s="294" t="str">
        <f t="shared" si="98"/>
        <v>bn-vmt, bn-vmt/a</v>
      </c>
      <c r="E44" s="294" t="str">
        <f t="shared" si="99"/>
        <v>TLGSL</v>
      </c>
      <c r="F44" s="294" t="str">
        <f t="shared" si="100"/>
        <v>TL</v>
      </c>
      <c r="G44" s="294" t="s">
        <v>478</v>
      </c>
      <c r="H44" s="294" t="s">
        <v>474</v>
      </c>
      <c r="I44" s="294">
        <v>1</v>
      </c>
      <c r="J44" s="308" t="str">
        <f t="shared" si="101"/>
        <v>Minivan-GSL</v>
      </c>
      <c r="K44" s="324">
        <f>$I44*IF($G44="Pickup", SUMIFS(NewEmisData!E:E, NewEmisData!$A:$A, "Pickup", NewEmisData!$B:$B, $A44, NewEmisData!$C:$C, $H44, NewEmisData!$D:$D, K$2), SUMIFS(NewEmisData!E:E, NewEmisData!$A:$A, "LDV", NewEmisData!$B:$B, $A44, NewEmisData!$C:$C, $H44, NewEmisData!$D:$D, K$2))</f>
        <v>465.43339574540698</v>
      </c>
      <c r="L44" s="324">
        <f>$I44*IF($G44="Pickup", SUMIFS(NewEmisData!F:F, NewEmisData!$A:$A, "Pickup", NewEmisData!$B:$B, $A44, NewEmisData!$C:$C, $H44, NewEmisData!$D:$D, L$2), SUMIFS(NewEmisData!F:F, NewEmisData!$A:$A, "LDV", NewEmisData!$B:$B, $A44, NewEmisData!$C:$C, $H44, NewEmisData!$D:$D, L$2))</f>
        <v>447.45086858043499</v>
      </c>
      <c r="M44" s="324">
        <f>$I44*IF($G44="Pickup", SUMIFS(NewEmisData!G:G, NewEmisData!$A:$A, "Pickup", NewEmisData!$B:$B, $A44, NewEmisData!$C:$C, $H44, NewEmisData!$D:$D, M$2), SUMIFS(NewEmisData!G:G, NewEmisData!$A:$A, "LDV", NewEmisData!$B:$B, $A44, NewEmisData!$C:$C, $H44, NewEmisData!$D:$D, M$2))</f>
        <v>371.68579631799702</v>
      </c>
      <c r="N44" s="324">
        <f>$I44*IF($G44="Pickup", SUMIFS(NewEmisData!H:H, NewEmisData!$A:$A, "Pickup", NewEmisData!$B:$B, $A44, NewEmisData!$C:$C, $H44, NewEmisData!$D:$D, N$2), SUMIFS(NewEmisData!H:H, NewEmisData!$A:$A, "LDV", NewEmisData!$B:$B, $A44, NewEmisData!$C:$C, $H44, NewEmisData!$D:$D, N$2))</f>
        <v>316.68783468886801</v>
      </c>
      <c r="O44" s="324">
        <f>$I44*IF($G44="Pickup", SUMIFS(NewEmisData!I:I, NewEmisData!$A:$A, "Pickup", NewEmisData!$B:$B, $A44, NewEmisData!$C:$C, $H44, NewEmisData!$D:$D, O$2), SUMIFS(NewEmisData!I:I, NewEmisData!$A:$A, "LDV", NewEmisData!$B:$B, $A44, NewEmisData!$C:$C, $H44, NewEmisData!$D:$D, O$2))</f>
        <v>274.45359564691302</v>
      </c>
      <c r="P44" s="324">
        <f>$I44*IF($G44="Pickup", SUMIFS(NewEmisData!J:J, NewEmisData!$A:$A, "Pickup", NewEmisData!$B:$B, $A44, NewEmisData!$C:$C, $H44, NewEmisData!$D:$D, P$2), SUMIFS(NewEmisData!J:J, NewEmisData!$A:$A, "LDV", NewEmisData!$B:$B, $A44, NewEmisData!$C:$C, $H44, NewEmisData!$D:$D, P$2))</f>
        <v>250.610452801164</v>
      </c>
      <c r="Q44" s="324">
        <f>$I44*IF($G44="Pickup", SUMIFS(NewEmisData!K:K, NewEmisData!$A:$A, "Pickup", NewEmisData!$B:$B, $A44, NewEmisData!$C:$C, $H44, NewEmisData!$D:$D, Q$2), SUMIFS(NewEmisData!K:K, NewEmisData!$A:$A, "LDV", NewEmisData!$B:$B, $A44, NewEmisData!$C:$C, $H44, NewEmisData!$D:$D, Q$2))</f>
        <v>239.96929474207201</v>
      </c>
      <c r="R44" s="324">
        <f>$I44*IF($G44="Pickup", SUMIFS(NewEmisData!L:L, NewEmisData!$A:$A, "Pickup", NewEmisData!$B:$B, $A44, NewEmisData!$C:$C, $H44, NewEmisData!$D:$D, R$2), SUMIFS(NewEmisData!L:L, NewEmisData!$A:$A, "LDV", NewEmisData!$B:$B, $A44, NewEmisData!$C:$C, $H44, NewEmisData!$D:$D, R$2))</f>
        <v>236.17949059358199</v>
      </c>
      <c r="S44" s="324">
        <f>$I44*IF($G44="Pickup", SUMIFS(NewEmisData!M:M, NewEmisData!$A:$A, "Pickup", NewEmisData!$B:$B, $A44, NewEmisData!$C:$C, $H44, NewEmisData!$D:$D, S$2), SUMIFS(NewEmisData!M:M, NewEmisData!$A:$A, "LDV", NewEmisData!$B:$B, $A44, NewEmisData!$C:$C, $H44, NewEmisData!$D:$D, S$2))</f>
        <v>234.77621268414799</v>
      </c>
      <c r="T44" s="324">
        <f t="shared" si="5"/>
        <v>234.77621268414799</v>
      </c>
      <c r="U44" s="324">
        <f>$I44*IF($G44="Pickup", SUMIFS(NewEmisData!E:E, NewEmisData!$A:$A, "Pickup", NewEmisData!$B:$B, $A44, NewEmisData!$C:$C, $H44, NewEmisData!$D:$D, U$2), SUMIFS(NewEmisData!E:E, NewEmisData!$A:$A, "LDV", NewEmisData!$B:$B, $A44, NewEmisData!$C:$C, $H44, NewEmisData!$D:$D, U$2))</f>
        <v>0.76817370125590101</v>
      </c>
      <c r="V44" s="324">
        <f>$I44*IF($G44="Pickup", SUMIFS(NewEmisData!F:F, NewEmisData!$A:$A, "Pickup", NewEmisData!$B:$B, $A44, NewEmisData!$C:$C, $H44, NewEmisData!$D:$D, V$2), SUMIFS(NewEmisData!F:F, NewEmisData!$A:$A, "LDV", NewEmisData!$B:$B, $A44, NewEmisData!$C:$C, $H44, NewEmisData!$D:$D, V$2))</f>
        <v>0.34255400012381199</v>
      </c>
      <c r="W44" s="324">
        <f>$I44*IF($G44="Pickup", SUMIFS(NewEmisData!G:G, NewEmisData!$A:$A, "Pickup", NewEmisData!$B:$B, $A44, NewEmisData!$C:$C, $H44, NewEmisData!$D:$D, W$2), SUMIFS(NewEmisData!G:G, NewEmisData!$A:$A, "LDV", NewEmisData!$B:$B, $A44, NewEmisData!$C:$C, $H44, NewEmisData!$D:$D, W$2))</f>
        <v>0.22026197441968301</v>
      </c>
      <c r="X44" s="324">
        <f>$I44*IF($G44="Pickup", SUMIFS(NewEmisData!H:H, NewEmisData!$A:$A, "Pickup", NewEmisData!$B:$B, $A44, NewEmisData!$C:$C, $H44, NewEmisData!$D:$D, X$2), SUMIFS(NewEmisData!H:H, NewEmisData!$A:$A, "LDV", NewEmisData!$B:$B, $A44, NewEmisData!$C:$C, $H44, NewEmisData!$D:$D, X$2))</f>
        <v>0.146130223505477</v>
      </c>
      <c r="Y44" s="324">
        <f>$I44*IF($G44="Pickup", SUMIFS(NewEmisData!I:I, NewEmisData!$A:$A, "Pickup", NewEmisData!$B:$B, $A44, NewEmisData!$C:$C, $H44, NewEmisData!$D:$D, Y$2), SUMIFS(NewEmisData!I:I, NewEmisData!$A:$A, "LDV", NewEmisData!$B:$B, $A44, NewEmisData!$C:$C, $H44, NewEmisData!$D:$D, Y$2))</f>
        <v>9.25204446820201E-2</v>
      </c>
      <c r="Z44" s="324">
        <f>$I44*IF($G44="Pickup", SUMIFS(NewEmisData!J:J, NewEmisData!$A:$A, "Pickup", NewEmisData!$B:$B, $A44, NewEmisData!$C:$C, $H44, NewEmisData!$D:$D, Z$2), SUMIFS(NewEmisData!J:J, NewEmisData!$A:$A, "LDV", NewEmisData!$B:$B, $A44, NewEmisData!$C:$C, $H44, NewEmisData!$D:$D, Z$2))</f>
        <v>6.9646332093205393E-2</v>
      </c>
      <c r="AA44" s="324">
        <f>$I44*IF($G44="Pickup", SUMIFS(NewEmisData!K:K, NewEmisData!$A:$A, "Pickup", NewEmisData!$B:$B, $A44, NewEmisData!$C:$C, $H44, NewEmisData!$D:$D, AA$2), SUMIFS(NewEmisData!K:K, NewEmisData!$A:$A, "LDV", NewEmisData!$B:$B, $A44, NewEmisData!$C:$C, $H44, NewEmisData!$D:$D, AA$2))</f>
        <v>6.0285539426727999E-2</v>
      </c>
      <c r="AB44" s="324">
        <f>$I44*IF($G44="Pickup", SUMIFS(NewEmisData!L:L, NewEmisData!$A:$A, "Pickup", NewEmisData!$B:$B, $A44, NewEmisData!$C:$C, $H44, NewEmisData!$D:$D, AB$2), SUMIFS(NewEmisData!L:L, NewEmisData!$A:$A, "LDV", NewEmisData!$B:$B, $A44, NewEmisData!$C:$C, $H44, NewEmisData!$D:$D, AB$2))</f>
        <v>5.7685517085836899E-2</v>
      </c>
      <c r="AC44" s="324">
        <f>$I44*IF($G44="Pickup", SUMIFS(NewEmisData!M:M, NewEmisData!$A:$A, "Pickup", NewEmisData!$B:$B, $A44, NewEmisData!$C:$C, $H44, NewEmisData!$D:$D, AC$2), SUMIFS(NewEmisData!M:M, NewEmisData!$A:$A, "LDV", NewEmisData!$B:$B, $A44, NewEmisData!$C:$C, $H44, NewEmisData!$D:$D, AC$2))</f>
        <v>5.6336256806388998E-2</v>
      </c>
      <c r="AD44" s="324">
        <f t="shared" si="6"/>
        <v>5.6336256806388998E-2</v>
      </c>
      <c r="AE44" s="324">
        <f>$I44*IF($G44="Pickup", SUMIFS(NewEmisData!E:E, NewEmisData!$A:$A, "Pickup", NewEmisData!$B:$B, $A44, NewEmisData!$C:$C, $H44, NewEmisData!$D:$D, AE$2), SUMIFS(NewEmisData!E:E, NewEmisData!$A:$A, "LDV", NewEmisData!$B:$B, $A44, NewEmisData!$C:$C, $H44, NewEmisData!$D:$D, AE$2))</f>
        <v>8.0536316527093799E-3</v>
      </c>
      <c r="AF44" s="324">
        <f>$I44*IF($G44="Pickup", SUMIFS(NewEmisData!F:F, NewEmisData!$A:$A, "Pickup", NewEmisData!$B:$B, $A44, NewEmisData!$C:$C, $H44, NewEmisData!$D:$D, AF$2), SUMIFS(NewEmisData!F:F, NewEmisData!$A:$A, "LDV", NewEmisData!$B:$B, $A44, NewEmisData!$C:$C, $H44, NewEmisData!$D:$D, AF$2))</f>
        <v>7.7424694052717798E-3</v>
      </c>
      <c r="AG44" s="324">
        <f>$I44*IF($G44="Pickup", SUMIFS(NewEmisData!G:G, NewEmisData!$A:$A, "Pickup", NewEmisData!$B:$B, $A44, NewEmisData!$C:$C, $H44, NewEmisData!$D:$D, AG$2), SUMIFS(NewEmisData!G:G, NewEmisData!$A:$A, "LDV", NewEmisData!$B:$B, $A44, NewEmisData!$C:$C, $H44, NewEmisData!$D:$D, AG$2))</f>
        <v>5.3320257089092297E-3</v>
      </c>
      <c r="AH44" s="324">
        <f>$I44*IF($G44="Pickup", SUMIFS(NewEmisData!H:H, NewEmisData!$A:$A, "Pickup", NewEmisData!$B:$B, $A44, NewEmisData!$C:$C, $H44, NewEmisData!$D:$D, AH$2), SUMIFS(NewEmisData!H:H, NewEmisData!$A:$A, "LDV", NewEmisData!$B:$B, $A44, NewEmisData!$C:$C, $H44, NewEmisData!$D:$D, AH$2))</f>
        <v>4.5430510168157703E-3</v>
      </c>
      <c r="AI44" s="324">
        <f>$I44*IF($G44="Pickup", SUMIFS(NewEmisData!I:I, NewEmisData!$A:$A, "Pickup", NewEmisData!$B:$B, $A44, NewEmisData!$C:$C, $H44, NewEmisData!$D:$D, AI$2), SUMIFS(NewEmisData!I:I, NewEmisData!$A:$A, "LDV", NewEmisData!$B:$B, $A44, NewEmisData!$C:$C, $H44, NewEmisData!$D:$D, AI$2))</f>
        <v>3.9371785778053803E-3</v>
      </c>
      <c r="AJ44" s="324">
        <f>$I44*IF($G44="Pickup", SUMIFS(NewEmisData!J:J, NewEmisData!$A:$A, "Pickup", NewEmisData!$B:$B, $A44, NewEmisData!$C:$C, $H44, NewEmisData!$D:$D, AJ$2), SUMIFS(NewEmisData!J:J, NewEmisData!$A:$A, "LDV", NewEmisData!$B:$B, $A44, NewEmisData!$C:$C, $H44, NewEmisData!$D:$D, AJ$2))</f>
        <v>3.5951364530025401E-3</v>
      </c>
      <c r="AK44" s="324">
        <f>$I44*IF($G44="Pickup", SUMIFS(NewEmisData!K:K, NewEmisData!$A:$A, "Pickup", NewEmisData!$B:$B, $A44, NewEmisData!$C:$C, $H44, NewEmisData!$D:$D, AK$2), SUMIFS(NewEmisData!K:K, NewEmisData!$A:$A, "LDV", NewEmisData!$B:$B, $A44, NewEmisData!$C:$C, $H44, NewEmisData!$D:$D, AK$2))</f>
        <v>3.4424852382502098E-3</v>
      </c>
      <c r="AL44" s="324">
        <f>$I44*IF($G44="Pickup", SUMIFS(NewEmisData!L:L, NewEmisData!$A:$A, "Pickup", NewEmisData!$B:$B, $A44, NewEmisData!$C:$C, $H44, NewEmisData!$D:$D, AL$2), SUMIFS(NewEmisData!L:L, NewEmisData!$A:$A, "LDV", NewEmisData!$B:$B, $A44, NewEmisData!$C:$C, $H44, NewEmisData!$D:$D, AL$2))</f>
        <v>3.38811619026995E-3</v>
      </c>
      <c r="AM44" s="324">
        <f>$I44*IF($G44="Pickup", SUMIFS(NewEmisData!M:M, NewEmisData!$A:$A, "Pickup", NewEmisData!$B:$B, $A44, NewEmisData!$C:$C, $H44, NewEmisData!$D:$D, AM$2), SUMIFS(NewEmisData!M:M, NewEmisData!$A:$A, "LDV", NewEmisData!$B:$B, $A44, NewEmisData!$C:$C, $H44, NewEmisData!$D:$D, AM$2))</f>
        <v>3.36798790618778E-3</v>
      </c>
      <c r="AN44" s="324">
        <f t="shared" si="7"/>
        <v>3.36798790618778E-3</v>
      </c>
      <c r="AO44" s="324">
        <f>$I44*IF($G44="Pickup", SUMIFS(NewEmisData!E:E, NewEmisData!$A:$A, "Pickup", NewEmisData!$B:$B, $A44, NewEmisData!$C:$C, $H44, NewEmisData!$D:$D, AO$2), SUMIFS(NewEmisData!E:E, NewEmisData!$A:$A, "LDV", NewEmisData!$B:$B, $A44, NewEmisData!$C:$C, $H44, NewEmisData!$D:$D, AO$2))</f>
        <v>7.6317156939691294E-2</v>
      </c>
      <c r="AP44" s="324">
        <f>$I44*IF($G44="Pickup", SUMIFS(NewEmisData!F:F, NewEmisData!$A:$A, "Pickup", NewEmisData!$B:$B, $A44, NewEmisData!$C:$C, $H44, NewEmisData!$D:$D, AP$2), SUMIFS(NewEmisData!F:F, NewEmisData!$A:$A, "LDV", NewEmisData!$B:$B, $A44, NewEmisData!$C:$C, $H44, NewEmisData!$D:$D, AP$2))</f>
        <v>7.1544642944165196E-2</v>
      </c>
      <c r="AQ44" s="324">
        <f>$I44*IF($G44="Pickup", SUMIFS(NewEmisData!G:G, NewEmisData!$A:$A, "Pickup", NewEmisData!$B:$B, $A44, NewEmisData!$C:$C, $H44, NewEmisData!$D:$D, AQ$2), SUMIFS(NewEmisData!G:G, NewEmisData!$A:$A, "LDV", NewEmisData!$B:$B, $A44, NewEmisData!$C:$C, $H44, NewEmisData!$D:$D, AQ$2))</f>
        <v>5.8249743312617203E-2</v>
      </c>
      <c r="AR44" s="324">
        <f>$I44*IF($G44="Pickup", SUMIFS(NewEmisData!H:H, NewEmisData!$A:$A, "Pickup", NewEmisData!$B:$B, $A44, NewEmisData!$C:$C, $H44, NewEmisData!$D:$D, AR$2), SUMIFS(NewEmisData!H:H, NewEmisData!$A:$A, "LDV", NewEmisData!$B:$B, $A44, NewEmisData!$C:$C, $H44, NewEmisData!$D:$D, AR$2))</f>
        <v>5.6730049378736901E-2</v>
      </c>
      <c r="AS44" s="324">
        <f>$I44*IF($G44="Pickup", SUMIFS(NewEmisData!I:I, NewEmisData!$A:$A, "Pickup", NewEmisData!$B:$B, $A44, NewEmisData!$C:$C, $H44, NewEmisData!$D:$D, AS$2), SUMIFS(NewEmisData!I:I, NewEmisData!$A:$A, "LDV", NewEmisData!$B:$B, $A44, NewEmisData!$C:$C, $H44, NewEmisData!$D:$D, AS$2))</f>
        <v>5.5297861804990203E-2</v>
      </c>
      <c r="AT44" s="324">
        <f>$I44*IF($G44="Pickup", SUMIFS(NewEmisData!J:J, NewEmisData!$A:$A, "Pickup", NewEmisData!$B:$B, $A44, NewEmisData!$C:$C, $H44, NewEmisData!$D:$D, AT$2), SUMIFS(NewEmisData!J:J, NewEmisData!$A:$A, "LDV", NewEmisData!$B:$B, $A44, NewEmisData!$C:$C, $H44, NewEmisData!$D:$D, AT$2))</f>
        <v>5.4156352090813403E-2</v>
      </c>
      <c r="AU44" s="324">
        <f>$I44*IF($G44="Pickup", SUMIFS(NewEmisData!K:K, NewEmisData!$A:$A, "Pickup", NewEmisData!$B:$B, $A44, NewEmisData!$C:$C, $H44, NewEmisData!$D:$D, AU$2), SUMIFS(NewEmisData!K:K, NewEmisData!$A:$A, "LDV", NewEmisData!$B:$B, $A44, NewEmisData!$C:$C, $H44, NewEmisData!$D:$D, AU$2))</f>
        <v>5.3430662266944498E-2</v>
      </c>
      <c r="AV44" s="324">
        <f>$I44*IF($G44="Pickup", SUMIFS(NewEmisData!L:L, NewEmisData!$A:$A, "Pickup", NewEmisData!$B:$B, $A44, NewEmisData!$C:$C, $H44, NewEmisData!$D:$D, AV$2), SUMIFS(NewEmisData!L:L, NewEmisData!$A:$A, "LDV", NewEmisData!$B:$B, $A44, NewEmisData!$C:$C, $H44, NewEmisData!$D:$D, AV$2))</f>
        <v>5.3062743786751999E-2</v>
      </c>
      <c r="AW44" s="324">
        <f>$I44*IF($G44="Pickup", SUMIFS(NewEmisData!M:M, NewEmisData!$A:$A, "Pickup", NewEmisData!$B:$B, $A44, NewEmisData!$C:$C, $H44, NewEmisData!$D:$D, AW$2), SUMIFS(NewEmisData!M:M, NewEmisData!$A:$A, "LDV", NewEmisData!$B:$B, $A44, NewEmisData!$C:$C, $H44, NewEmisData!$D:$D, AW$2))</f>
        <v>5.2850768620488903E-2</v>
      </c>
      <c r="AX44" s="324">
        <f t="shared" si="8"/>
        <v>5.2850768620488903E-2</v>
      </c>
      <c r="AY44" s="324">
        <f>$I44*IF($G44="Pickup", SUMIFS(NewEmisData!E:E, NewEmisData!$A:$A, "Pickup", NewEmisData!$B:$B, $A44, NewEmisData!$C:$C, $H44, NewEmisData!$D:$D, AY$2), SUMIFS(NewEmisData!E:E, NewEmisData!$A:$A, "LDV", NewEmisData!$B:$B, $A44, NewEmisData!$C:$C, $H44, NewEmisData!$D:$D, AY$2))</f>
        <v>2.00368746679381E-2</v>
      </c>
      <c r="AZ44" s="324">
        <f>$I44*IF($G44="Pickup", SUMIFS(NewEmisData!F:F, NewEmisData!$A:$A, "Pickup", NewEmisData!$B:$B, $A44, NewEmisData!$C:$C, $H44, NewEmisData!$D:$D, AZ$2), SUMIFS(NewEmisData!F:F, NewEmisData!$A:$A, "LDV", NewEmisData!$B:$B, $A44, NewEmisData!$C:$C, $H44, NewEmisData!$D:$D, AZ$2))</f>
        <v>1.58149288879222E-2</v>
      </c>
      <c r="BA44" s="324">
        <f>$I44*IF($G44="Pickup", SUMIFS(NewEmisData!G:G, NewEmisData!$A:$A, "Pickup", NewEmisData!$B:$B, $A44, NewEmisData!$C:$C, $H44, NewEmisData!$D:$D, BA$2), SUMIFS(NewEmisData!G:G, NewEmisData!$A:$A, "LDV", NewEmisData!$B:$B, $A44, NewEmisData!$C:$C, $H44, NewEmisData!$D:$D, BA$2))</f>
        <v>1.2889012730210401E-2</v>
      </c>
      <c r="BB44" s="324">
        <f>$I44*IF($G44="Pickup", SUMIFS(NewEmisData!H:H, NewEmisData!$A:$A, "Pickup", NewEmisData!$B:$B, $A44, NewEmisData!$C:$C, $H44, NewEmisData!$D:$D, BB$2), SUMIFS(NewEmisData!H:H, NewEmisData!$A:$A, "LDV", NewEmisData!$B:$B, $A44, NewEmisData!$C:$C, $H44, NewEmisData!$D:$D, BB$2))</f>
        <v>1.1544674905883E-2</v>
      </c>
      <c r="BC44" s="324">
        <f>$I44*IF($G44="Pickup", SUMIFS(NewEmisData!I:I, NewEmisData!$A:$A, "Pickup", NewEmisData!$B:$B, $A44, NewEmisData!$C:$C, $H44, NewEmisData!$D:$D, BC$2), SUMIFS(NewEmisData!I:I, NewEmisData!$A:$A, "LDV", NewEmisData!$B:$B, $A44, NewEmisData!$C:$C, $H44, NewEmisData!$D:$D, BC$2))</f>
        <v>1.0277724336371899E-2</v>
      </c>
      <c r="BD44" s="324">
        <f>$I44*IF($G44="Pickup", SUMIFS(NewEmisData!J:J, NewEmisData!$A:$A, "Pickup", NewEmisData!$B:$B, $A44, NewEmisData!$C:$C, $H44, NewEmisData!$D:$D, BD$2), SUMIFS(NewEmisData!J:J, NewEmisData!$A:$A, "LDV", NewEmisData!$B:$B, $A44, NewEmisData!$C:$C, $H44, NewEmisData!$D:$D, BD$2))</f>
        <v>9.2679749278735592E-3</v>
      </c>
      <c r="BE44" s="324">
        <f>$I44*IF($G44="Pickup", SUMIFS(NewEmisData!K:K, NewEmisData!$A:$A, "Pickup", NewEmisData!$B:$B, $A44, NewEmisData!$C:$C, $H44, NewEmisData!$D:$D, BE$2), SUMIFS(NewEmisData!K:K, NewEmisData!$A:$A, "LDV", NewEmisData!$B:$B, $A44, NewEmisData!$C:$C, $H44, NewEmisData!$D:$D, BE$2))</f>
        <v>8.6259896432645099E-3</v>
      </c>
      <c r="BF44" s="324">
        <f>$I44*IF($G44="Pickup", SUMIFS(NewEmisData!L:L, NewEmisData!$A:$A, "Pickup", NewEmisData!$B:$B, $A44, NewEmisData!$C:$C, $H44, NewEmisData!$D:$D, BF$2), SUMIFS(NewEmisData!L:L, NewEmisData!$A:$A, "LDV", NewEmisData!$B:$B, $A44, NewEmisData!$C:$C, $H44, NewEmisData!$D:$D, BF$2))</f>
        <v>8.3004876330209296E-3</v>
      </c>
      <c r="BG44" s="324">
        <f>$I44*IF($G44="Pickup", SUMIFS(NewEmisData!M:M, NewEmisData!$A:$A, "Pickup", NewEmisData!$B:$B, $A44, NewEmisData!$C:$C, $H44, NewEmisData!$D:$D, BG$2), SUMIFS(NewEmisData!M:M, NewEmisData!$A:$A, "LDV", NewEmisData!$B:$B, $A44, NewEmisData!$C:$C, $H44, NewEmisData!$D:$D, BG$2))</f>
        <v>8.1129702157430005E-3</v>
      </c>
      <c r="BH44" s="324">
        <f t="shared" si="9"/>
        <v>8.1129702157430005E-3</v>
      </c>
      <c r="BI44" s="324">
        <f>$I44*IF($G44="Pickup", SUMIFS(NewEmisData!E:E, NewEmisData!$A:$A, "Pickup", NewEmisData!$B:$B, $A44, NewEmisData!$C:$C, $H44, NewEmisData!$D:$D, BI$2), SUMIFS(NewEmisData!E:E, NewEmisData!$A:$A, "LDV", NewEmisData!$B:$B, $A44, NewEmisData!$C:$C, $H44, NewEmisData!$D:$D, BI$2))</f>
        <v>6.1599528865440298</v>
      </c>
      <c r="BJ44" s="324">
        <f>$I44*IF($G44="Pickup", SUMIFS(NewEmisData!F:F, NewEmisData!$A:$A, "Pickup", NewEmisData!$B:$B, $A44, NewEmisData!$C:$C, $H44, NewEmisData!$D:$D, BJ$2), SUMIFS(NewEmisData!F:F, NewEmisData!$A:$A, "LDV", NewEmisData!$B:$B, $A44, NewEmisData!$C:$C, $H44, NewEmisData!$D:$D, BJ$2))</f>
        <v>3.7475170679561298</v>
      </c>
      <c r="BK44" s="324">
        <f>$I44*IF($G44="Pickup", SUMIFS(NewEmisData!G:G, NewEmisData!$A:$A, "Pickup", NewEmisData!$B:$B, $A44, NewEmisData!$C:$C, $H44, NewEmisData!$D:$D, BK$2), SUMIFS(NewEmisData!G:G, NewEmisData!$A:$A, "LDV", NewEmisData!$B:$B, $A44, NewEmisData!$C:$C, $H44, NewEmisData!$D:$D, BK$2))</f>
        <v>2.80366463620466</v>
      </c>
      <c r="BL44" s="324">
        <f>$I44*IF($G44="Pickup", SUMIFS(NewEmisData!H:H, NewEmisData!$A:$A, "Pickup", NewEmisData!$B:$B, $A44, NewEmisData!$C:$C, $H44, NewEmisData!$D:$D, BL$2), SUMIFS(NewEmisData!H:H, NewEmisData!$A:$A, "LDV", NewEmisData!$B:$B, $A44, NewEmisData!$C:$C, $H44, NewEmisData!$D:$D, BL$2))</f>
        <v>2.2038088113149099</v>
      </c>
      <c r="BM44" s="324">
        <f>$I44*IF($G44="Pickup", SUMIFS(NewEmisData!I:I, NewEmisData!$A:$A, "Pickup", NewEmisData!$B:$B, $A44, NewEmisData!$C:$C, $H44, NewEmisData!$D:$D, BM$2), SUMIFS(NewEmisData!I:I, NewEmisData!$A:$A, "LDV", NewEmisData!$B:$B, $A44, NewEmisData!$C:$C, $H44, NewEmisData!$D:$D, BM$2))</f>
        <v>1.6110244723417799</v>
      </c>
      <c r="BN44" s="324">
        <f>$I44*IF($G44="Pickup", SUMIFS(NewEmisData!J:J, NewEmisData!$A:$A, "Pickup", NewEmisData!$B:$B, $A44, NewEmisData!$C:$C, $H44, NewEmisData!$D:$D, BN$2), SUMIFS(NewEmisData!J:J, NewEmisData!$A:$A, "LDV", NewEmisData!$B:$B, $A44, NewEmisData!$C:$C, $H44, NewEmisData!$D:$D, BN$2))</f>
        <v>1.2813570878169001</v>
      </c>
      <c r="BO44" s="324">
        <f>$I44*IF($G44="Pickup", SUMIFS(NewEmisData!K:K, NewEmisData!$A:$A, "Pickup", NewEmisData!$B:$B, $A44, NewEmisData!$C:$C, $H44, NewEmisData!$D:$D, BO$2), SUMIFS(NewEmisData!K:K, NewEmisData!$A:$A, "LDV", NewEmisData!$B:$B, $A44, NewEmisData!$C:$C, $H44, NewEmisData!$D:$D, BO$2))</f>
        <v>1.1316455644238499</v>
      </c>
      <c r="BP44" s="324">
        <f>$I44*IF($G44="Pickup", SUMIFS(NewEmisData!L:L, NewEmisData!$A:$A, "Pickup", NewEmisData!$B:$B, $A44, NewEmisData!$C:$C, $H44, NewEmisData!$D:$D, BP$2), SUMIFS(NewEmisData!L:L, NewEmisData!$A:$A, "LDV", NewEmisData!$B:$B, $A44, NewEmisData!$C:$C, $H44, NewEmisData!$D:$D, BP$2))</f>
        <v>1.0822537615630099</v>
      </c>
      <c r="BQ44" s="324">
        <f>$I44*IF($G44="Pickup", SUMIFS(NewEmisData!M:M, NewEmisData!$A:$A, "Pickup", NewEmisData!$B:$B, $A44, NewEmisData!$C:$C, $H44, NewEmisData!$D:$D, BQ$2), SUMIFS(NewEmisData!M:M, NewEmisData!$A:$A, "LDV", NewEmisData!$B:$B, $A44, NewEmisData!$C:$C, $H44, NewEmisData!$D:$D, BQ$2))</f>
        <v>1.05143374218492</v>
      </c>
      <c r="BR44" s="324">
        <f t="shared" si="10"/>
        <v>1.05143374218492</v>
      </c>
      <c r="BS44" s="324">
        <f>$I44*IF($G44="Pickup", SUMIFS(NewEmisData!E:E, NewEmisData!$A:$A, "Pickup", NewEmisData!$B:$B, $A44, NewEmisData!$C:$C, $H44, NewEmisData!$D:$D, BS$2), SUMIFS(NewEmisData!E:E, NewEmisData!$A:$A, "LDV", NewEmisData!$B:$B, $A44, NewEmisData!$C:$C, $H44, NewEmisData!$D:$D, BS$2))</f>
        <v>0.72787250280402604</v>
      </c>
      <c r="BT44" s="324">
        <f>$I44*IF($G44="Pickup", SUMIFS(NewEmisData!F:F, NewEmisData!$A:$A, "Pickup", NewEmisData!$B:$B, $A44, NewEmisData!$C:$C, $H44, NewEmisData!$D:$D, BT$2), SUMIFS(NewEmisData!F:F, NewEmisData!$A:$A, "LDV", NewEmisData!$B:$B, $A44, NewEmisData!$C:$C, $H44, NewEmisData!$D:$D, BT$2))</f>
        <v>0.40987916241045302</v>
      </c>
      <c r="BU44" s="324">
        <f>$I44*IF($G44="Pickup", SUMIFS(NewEmisData!G:G, NewEmisData!$A:$A, "Pickup", NewEmisData!$B:$B, $A44, NewEmisData!$C:$C, $H44, NewEmisData!$D:$D, BU$2), SUMIFS(NewEmisData!G:G, NewEmisData!$A:$A, "LDV", NewEmisData!$B:$B, $A44, NewEmisData!$C:$C, $H44, NewEmisData!$D:$D, BU$2))</f>
        <v>0.30765788839279401</v>
      </c>
      <c r="BV44" s="324">
        <f>$I44*IF($G44="Pickup", SUMIFS(NewEmisData!H:H, NewEmisData!$A:$A, "Pickup", NewEmisData!$B:$B, $A44, NewEmisData!$C:$C, $H44, NewEmisData!$D:$D, BV$2), SUMIFS(NewEmisData!H:H, NewEmisData!$A:$A, "LDV", NewEmisData!$B:$B, $A44, NewEmisData!$C:$C, $H44, NewEmisData!$D:$D, BV$2))</f>
        <v>0.248891607461663</v>
      </c>
      <c r="BW44" s="324">
        <f>$I44*IF($G44="Pickup", SUMIFS(NewEmisData!I:I, NewEmisData!$A:$A, "Pickup", NewEmisData!$B:$B, $A44, NewEmisData!$C:$C, $H44, NewEmisData!$D:$D, BW$2), SUMIFS(NewEmisData!I:I, NewEmisData!$A:$A, "LDV", NewEmisData!$B:$B, $A44, NewEmisData!$C:$C, $H44, NewEmisData!$D:$D, BW$2))</f>
        <v>0.184861723618618</v>
      </c>
      <c r="BX44" s="324">
        <f>$I44*IF($G44="Pickup", SUMIFS(NewEmisData!J:J, NewEmisData!$A:$A, "Pickup", NewEmisData!$B:$B, $A44, NewEmisData!$C:$C, $H44, NewEmisData!$D:$D, BX$2), SUMIFS(NewEmisData!J:J, NewEmisData!$A:$A, "LDV", NewEmisData!$B:$B, $A44, NewEmisData!$C:$C, $H44, NewEmisData!$D:$D, BX$2))</f>
        <v>0.15433193284657201</v>
      </c>
      <c r="BY44" s="324">
        <f>$I44*IF($G44="Pickup", SUMIFS(NewEmisData!K:K, NewEmisData!$A:$A, "Pickup", NewEmisData!$B:$B, $A44, NewEmisData!$C:$C, $H44, NewEmisData!$D:$D, BY$2), SUMIFS(NewEmisData!K:K, NewEmisData!$A:$A, "LDV", NewEmisData!$B:$B, $A44, NewEmisData!$C:$C, $H44, NewEmisData!$D:$D, BY$2))</f>
        <v>0.138091436876464</v>
      </c>
      <c r="BZ44" s="324">
        <f>$I44*IF($G44="Pickup", SUMIFS(NewEmisData!L:L, NewEmisData!$A:$A, "Pickup", NewEmisData!$B:$B, $A44, NewEmisData!$C:$C, $H44, NewEmisData!$D:$D, BZ$2), SUMIFS(NewEmisData!L:L, NewEmisData!$A:$A, "LDV", NewEmisData!$B:$B, $A44, NewEmisData!$C:$C, $H44, NewEmisData!$D:$D, BZ$2))</f>
        <v>0.131790780313154</v>
      </c>
      <c r="CA44" s="324">
        <f>$I44*IF($G44="Pickup", SUMIFS(NewEmisData!M:M, NewEmisData!$A:$A, "Pickup", NewEmisData!$B:$B, $A44, NewEmisData!$C:$C, $H44, NewEmisData!$D:$D, CA$2), SUMIFS(NewEmisData!M:M, NewEmisData!$A:$A, "LDV", NewEmisData!$B:$B, $A44, NewEmisData!$C:$C, $H44, NewEmisData!$D:$D, CA$2))</f>
        <v>0.126731765091218</v>
      </c>
      <c r="CB44" s="324">
        <f t="shared" si="11"/>
        <v>0.126731765091218</v>
      </c>
      <c r="CC44" s="324">
        <f>$I44*IF($G44="Pickup", SUMIFS(NewEmisData!E:E, NewEmisData!$A:$A, "Pickup", NewEmisData!$B:$B, $A44, NewEmisData!$C:$C, $H44, NewEmisData!$D:$D, CC$2), SUMIFS(NewEmisData!E:E, NewEmisData!$A:$A, "LDV", NewEmisData!$B:$B, $A44, NewEmisData!$C:$C, $H44, NewEmisData!$D:$D, CC$2))</f>
        <v>4.3011353420759103E-2</v>
      </c>
      <c r="CD44" s="324">
        <f>$I44*IF($G44="Pickup", SUMIFS(NewEmisData!F:F, NewEmisData!$A:$A, "Pickup", NewEmisData!$B:$B, $A44, NewEmisData!$C:$C, $H44, NewEmisData!$D:$D, CD$2), SUMIFS(NewEmisData!F:F, NewEmisData!$A:$A, "LDV", NewEmisData!$B:$B, $A44, NewEmisData!$C:$C, $H44, NewEmisData!$D:$D, CD$2))</f>
        <v>2.94035814612091E-2</v>
      </c>
      <c r="CE44" s="324">
        <f>$I44*IF($G44="Pickup", SUMIFS(NewEmisData!G:G, NewEmisData!$A:$A, "Pickup", NewEmisData!$B:$B, $A44, NewEmisData!$C:$C, $H44, NewEmisData!$D:$D, CE$2), SUMIFS(NewEmisData!G:G, NewEmisData!$A:$A, "LDV", NewEmisData!$B:$B, $A44, NewEmisData!$C:$C, $H44, NewEmisData!$D:$D, CE$2))</f>
        <v>2.4328512322630801E-2</v>
      </c>
      <c r="CF44" s="324">
        <f>$I44*IF($G44="Pickup", SUMIFS(NewEmisData!H:H, NewEmisData!$A:$A, "Pickup", NewEmisData!$B:$B, $A44, NewEmisData!$C:$C, $H44, NewEmisData!$D:$D, CF$2), SUMIFS(NewEmisData!H:H, NewEmisData!$A:$A, "LDV", NewEmisData!$B:$B, $A44, NewEmisData!$C:$C, $H44, NewEmisData!$D:$D, CF$2))</f>
        <v>2.3221814353353801E-2</v>
      </c>
      <c r="CG44" s="324">
        <f>$I44*IF($G44="Pickup", SUMIFS(NewEmisData!I:I, NewEmisData!$A:$A, "Pickup", NewEmisData!$B:$B, $A44, NewEmisData!$C:$C, $H44, NewEmisData!$D:$D, CG$2), SUMIFS(NewEmisData!I:I, NewEmisData!$A:$A, "LDV", NewEmisData!$B:$B, $A44, NewEmisData!$C:$C, $H44, NewEmisData!$D:$D, CG$2))</f>
        <v>2.24852392313552E-2</v>
      </c>
      <c r="CH44" s="324">
        <f>$I44*IF($G44="Pickup", SUMIFS(NewEmisData!J:J, NewEmisData!$A:$A, "Pickup", NewEmisData!$B:$B, $A44, NewEmisData!$C:$C, $H44, NewEmisData!$D:$D, CH$2), SUMIFS(NewEmisData!J:J, NewEmisData!$A:$A, "LDV", NewEmisData!$B:$B, $A44, NewEmisData!$C:$C, $H44, NewEmisData!$D:$D, CH$2))</f>
        <v>2.1906542608859401E-2</v>
      </c>
      <c r="CI44" s="324">
        <f>$I44*IF($G44="Pickup", SUMIFS(NewEmisData!K:K, NewEmisData!$A:$A, "Pickup", NewEmisData!$B:$B, $A44, NewEmisData!$C:$C, $H44, NewEmisData!$D:$D, CI$2), SUMIFS(NewEmisData!K:K, NewEmisData!$A:$A, "LDV", NewEmisData!$B:$B, $A44, NewEmisData!$C:$C, $H44, NewEmisData!$D:$D, CI$2))</f>
        <v>2.1904736458690802E-2</v>
      </c>
      <c r="CJ44" s="324">
        <f>$I44*IF($G44="Pickup", SUMIFS(NewEmisData!L:L, NewEmisData!$A:$A, "Pickup", NewEmisData!$B:$B, $A44, NewEmisData!$C:$C, $H44, NewEmisData!$D:$D, CJ$2), SUMIFS(NewEmisData!L:L, NewEmisData!$A:$A, "LDV", NewEmisData!$B:$B, $A44, NewEmisData!$C:$C, $H44, NewEmisData!$D:$D, CJ$2))</f>
        <v>2.19042402298237E-2</v>
      </c>
      <c r="CK44" s="324">
        <f>$I44*IF($G44="Pickup", SUMIFS(NewEmisData!M:M, NewEmisData!$A:$A, "Pickup", NewEmisData!$B:$B, $A44, NewEmisData!$C:$C, $H44, NewEmisData!$D:$D, CK$2), SUMIFS(NewEmisData!M:M, NewEmisData!$A:$A, "LDV", NewEmisData!$B:$B, $A44, NewEmisData!$C:$C, $H44, NewEmisData!$D:$D, CK$2))</f>
        <v>2.1903771981857799E-2</v>
      </c>
      <c r="CL44" s="324">
        <f t="shared" si="12"/>
        <v>2.1903771981857799E-2</v>
      </c>
      <c r="CM44" s="324">
        <f>$I44*IF($G44="Pickup", SUMIFS(NewEmisData!E:E, NewEmisData!$A:$A, "Pickup", NewEmisData!$B:$B, $A44, NewEmisData!$C:$C, $H44, NewEmisData!$D:$D, CM$2), SUMIFS(NewEmisData!E:E, NewEmisData!$A:$A, "LDV", NewEmisData!$B:$B, $A44, NewEmisData!$C:$C, $H44, NewEmisData!$D:$D, CM$2))</f>
        <v>2.1906211645892699E-2</v>
      </c>
      <c r="CN44" s="324">
        <f>$I44*IF($G44="Pickup", SUMIFS(NewEmisData!F:F, NewEmisData!$A:$A, "Pickup", NewEmisData!$B:$B, $A44, NewEmisData!$C:$C, $H44, NewEmisData!$D:$D, CN$2), SUMIFS(NewEmisData!F:F, NewEmisData!$A:$A, "LDV", NewEmisData!$B:$B, $A44, NewEmisData!$C:$C, $H44, NewEmisData!$D:$D, CN$2))</f>
        <v>1.38171562279483E-2</v>
      </c>
      <c r="CO44" s="324">
        <f>$I44*IF($G44="Pickup", SUMIFS(NewEmisData!G:G, NewEmisData!$A:$A, "Pickup", NewEmisData!$B:$B, $A44, NewEmisData!$C:$C, $H44, NewEmisData!$D:$D, CO$2), SUMIFS(NewEmisData!G:G, NewEmisData!$A:$A, "LDV", NewEmisData!$B:$B, $A44, NewEmisData!$C:$C, $H44, NewEmisData!$D:$D, CO$2))</f>
        <v>1.08300618523644E-2</v>
      </c>
      <c r="CP44" s="324">
        <f>$I44*IF($G44="Pickup", SUMIFS(NewEmisData!H:H, NewEmisData!$A:$A, "Pickup", NewEmisData!$B:$B, $A44, NewEmisData!$C:$C, $H44, NewEmisData!$D:$D, CP$2), SUMIFS(NewEmisData!H:H, NewEmisData!$A:$A, "LDV", NewEmisData!$B:$B, $A44, NewEmisData!$C:$C, $H44, NewEmisData!$D:$D, CP$2))</f>
        <v>8.8590497727664592E-3</v>
      </c>
      <c r="CQ44" s="324">
        <f>$I44*IF($G44="Pickup", SUMIFS(NewEmisData!I:I, NewEmisData!$A:$A, "Pickup", NewEmisData!$B:$B, $A44, NewEmisData!$C:$C, $H44, NewEmisData!$D:$D, CQ$2), SUMIFS(NewEmisData!I:I, NewEmisData!$A:$A, "LDV", NewEmisData!$B:$B, $A44, NewEmisData!$C:$C, $H44, NewEmisData!$D:$D, CQ$2))</f>
        <v>7.8772882665567503E-3</v>
      </c>
      <c r="CR44" s="324">
        <f>$I44*IF($G44="Pickup", SUMIFS(NewEmisData!J:J, NewEmisData!$A:$A, "Pickup", NewEmisData!$B:$B, $A44, NewEmisData!$C:$C, $H44, NewEmisData!$D:$D, CR$2), SUMIFS(NewEmisData!J:J, NewEmisData!$A:$A, "LDV", NewEmisData!$B:$B, $A44, NewEmisData!$C:$C, $H44, NewEmisData!$D:$D, CR$2))</f>
        <v>7.4435823260364103E-3</v>
      </c>
      <c r="CS44" s="324">
        <f>$I44*IF($G44="Pickup", SUMIFS(NewEmisData!K:K, NewEmisData!$A:$A, "Pickup", NewEmisData!$B:$B, $A44, NewEmisData!$C:$C, $H44, NewEmisData!$D:$D, CS$2), SUMIFS(NewEmisData!K:K, NewEmisData!$A:$A, "LDV", NewEmisData!$B:$B, $A44, NewEmisData!$C:$C, $H44, NewEmisData!$D:$D, CS$2))</f>
        <v>7.3936885133113802E-3</v>
      </c>
      <c r="CT44" s="324">
        <f>$I44*IF($G44="Pickup", SUMIFS(NewEmisData!L:L, NewEmisData!$A:$A, "Pickup", NewEmisData!$B:$B, $A44, NewEmisData!$C:$C, $H44, NewEmisData!$D:$D, CT$2), SUMIFS(NewEmisData!L:L, NewEmisData!$A:$A, "LDV", NewEmisData!$B:$B, $A44, NewEmisData!$C:$C, $H44, NewEmisData!$D:$D, CT$2))</f>
        <v>7.3123849031120399E-3</v>
      </c>
      <c r="CU44" s="324">
        <f>$I44*IF($G44="Pickup", SUMIFS(NewEmisData!M:M, NewEmisData!$A:$A, "Pickup", NewEmisData!$B:$B, $A44, NewEmisData!$C:$C, $H44, NewEmisData!$D:$D, CU$2), SUMIFS(NewEmisData!M:M, NewEmisData!$A:$A, "LDV", NewEmisData!$B:$B, $A44, NewEmisData!$C:$C, $H44, NewEmisData!$D:$D, CU$2))</f>
        <v>7.31189121492953E-3</v>
      </c>
      <c r="CV44" s="324">
        <f t="shared" si="13"/>
        <v>7.31189121492953E-3</v>
      </c>
      <c r="CW44" s="324">
        <v>4.0498104655261064E-3</v>
      </c>
      <c r="CX44" s="324">
        <v>2.5030350838759993E-3</v>
      </c>
      <c r="CY44" s="324">
        <v>2.1151214403419519E-3</v>
      </c>
      <c r="CZ44" s="324">
        <v>1.7489979687569375E-3</v>
      </c>
      <c r="DA44" s="324">
        <v>1.340486996695321E-3</v>
      </c>
      <c r="DB44" s="324">
        <v>1.0553769116342638E-3</v>
      </c>
      <c r="DC44" s="324">
        <v>1.0132227560056145E-3</v>
      </c>
      <c r="DD44" s="324">
        <v>1.0003159541004489E-3</v>
      </c>
      <c r="DE44" s="324">
        <v>9.9860782000699166E-4</v>
      </c>
      <c r="DF44" s="324">
        <v>9.9860782000699166E-4</v>
      </c>
      <c r="DG44" s="324">
        <f>$I44*IF($G44="Pickup", SUMIFS(NewEmisData!E:E, NewEmisData!$A:$A, "Pickup", NewEmisData!$B:$B, $A44, NewEmisData!$C:$C, $H44, NewEmisData!$D:$D, DG$2), SUMIFS(NewEmisData!E:E, NewEmisData!$A:$A, "LDV", NewEmisData!$B:$B, $A44, NewEmisData!$C:$C, $H44, NewEmisData!$D:$D, DG$2))</f>
        <v>0</v>
      </c>
      <c r="DH44" s="324">
        <f>$I44*IF($G44="Pickup", SUMIFS(NewEmisData!F:F, NewEmisData!$A:$A, "Pickup", NewEmisData!$B:$B, $A44, NewEmisData!$C:$C, $H44, NewEmisData!$D:$D, DH$2), SUMIFS(NewEmisData!F:F, NewEmisData!$A:$A, "LDV", NewEmisData!$B:$B, $A44, NewEmisData!$C:$C, $H44, NewEmisData!$D:$D, DH$2))</f>
        <v>0</v>
      </c>
      <c r="DI44" s="324">
        <f>$I44*IF($G44="Pickup", SUMIFS(NewEmisData!G:G, NewEmisData!$A:$A, "Pickup", NewEmisData!$B:$B, $A44, NewEmisData!$C:$C, $H44, NewEmisData!$D:$D, DI$2), SUMIFS(NewEmisData!G:G, NewEmisData!$A:$A, "LDV", NewEmisData!$B:$B, $A44, NewEmisData!$C:$C, $H44, NewEmisData!$D:$D, DI$2))</f>
        <v>0</v>
      </c>
      <c r="DJ44" s="324">
        <f>$I44*IF($G44="Pickup", SUMIFS(NewEmisData!H:H, NewEmisData!$A:$A, "Pickup", NewEmisData!$B:$B, $A44, NewEmisData!$C:$C, $H44, NewEmisData!$D:$D, DJ$2), SUMIFS(NewEmisData!H:H, NewEmisData!$A:$A, "LDV", NewEmisData!$B:$B, $A44, NewEmisData!$C:$C, $H44, NewEmisData!$D:$D, DJ$2))</f>
        <v>0</v>
      </c>
      <c r="DK44" s="324">
        <f>$I44*IF($G44="Pickup", SUMIFS(NewEmisData!I:I, NewEmisData!$A:$A, "Pickup", NewEmisData!$B:$B, $A44, NewEmisData!$C:$C, $H44, NewEmisData!$D:$D, DK$2), SUMIFS(NewEmisData!I:I, NewEmisData!$A:$A, "LDV", NewEmisData!$B:$B, $A44, NewEmisData!$C:$C, $H44, NewEmisData!$D:$D, DK$2))</f>
        <v>0</v>
      </c>
      <c r="DL44" s="324">
        <f>$I44*IF($G44="Pickup", SUMIFS(NewEmisData!J:J, NewEmisData!$A:$A, "Pickup", NewEmisData!$B:$B, $A44, NewEmisData!$C:$C, $H44, NewEmisData!$D:$D, DL$2), SUMIFS(NewEmisData!J:J, NewEmisData!$A:$A, "LDV", NewEmisData!$B:$B, $A44, NewEmisData!$C:$C, $H44, NewEmisData!$D:$D, DL$2))</f>
        <v>0</v>
      </c>
      <c r="DM44" s="324">
        <f>$I44*IF($G44="Pickup", SUMIFS(NewEmisData!K:K, NewEmisData!$A:$A, "Pickup", NewEmisData!$B:$B, $A44, NewEmisData!$C:$C, $H44, NewEmisData!$D:$D, DM$2), SUMIFS(NewEmisData!K:K, NewEmisData!$A:$A, "LDV", NewEmisData!$B:$B, $A44, NewEmisData!$C:$C, $H44, NewEmisData!$D:$D, DM$2))</f>
        <v>0</v>
      </c>
      <c r="DN44" s="324">
        <f>$I44*IF($G44="Pickup", SUMIFS(NewEmisData!L:L, NewEmisData!$A:$A, "Pickup", NewEmisData!$B:$B, $A44, NewEmisData!$C:$C, $H44, NewEmisData!$D:$D, DN$2), SUMIFS(NewEmisData!L:L, NewEmisData!$A:$A, "LDV", NewEmisData!$B:$B, $A44, NewEmisData!$C:$C, $H44, NewEmisData!$D:$D, DN$2))</f>
        <v>0</v>
      </c>
      <c r="DO44" s="324">
        <f>$I44*IF($G44="Pickup", SUMIFS(NewEmisData!M:M, NewEmisData!$A:$A, "Pickup", NewEmisData!$B:$B, $A44, NewEmisData!$C:$C, $H44, NewEmisData!$D:$D, DO$2), SUMIFS(NewEmisData!M:M, NewEmisData!$A:$A, "LDV", NewEmisData!$B:$B, $A44, NewEmisData!$C:$C, $H44, NewEmisData!$D:$D, DO$2))</f>
        <v>0</v>
      </c>
      <c r="DP44" s="324">
        <f t="shared" si="14"/>
        <v>0</v>
      </c>
      <c r="DQ44" s="324">
        <f>$I44*IF($G44="Pickup", SUMIFS(NewEmisData!E:E, NewEmisData!$A:$A, "Pickup", NewEmisData!$B:$B, $A44, NewEmisData!$C:$C, $H44, NewEmisData!$D:$D, DQ$2), SUMIFS(NewEmisData!E:E, NewEmisData!$A:$A, "LDV", NewEmisData!$B:$B, $A44, NewEmisData!$C:$C, $H44, NewEmisData!$D:$D, DQ$2))</f>
        <v>1.45246052556386E-2</v>
      </c>
      <c r="DR44" s="324">
        <f>$I44*IF($G44="Pickup", SUMIFS(NewEmisData!F:F, NewEmisData!$A:$A, "Pickup", NewEmisData!$B:$B, $A44, NewEmisData!$C:$C, $H44, NewEmisData!$D:$D, DR$2), SUMIFS(NewEmisData!F:F, NewEmisData!$A:$A, "LDV", NewEmisData!$B:$B, $A44, NewEmisData!$C:$C, $H44, NewEmisData!$D:$D, DR$2))</f>
        <v>8.5576317868897907E-3</v>
      </c>
      <c r="DS44" s="324">
        <f>$I44*IF($G44="Pickup", SUMIFS(NewEmisData!G:G, NewEmisData!$A:$A, "Pickup", NewEmisData!$B:$B, $A44, NewEmisData!$C:$C, $H44, NewEmisData!$D:$D, DS$2), SUMIFS(NewEmisData!G:G, NewEmisData!$A:$A, "LDV", NewEmisData!$B:$B, $A44, NewEmisData!$C:$C, $H44, NewEmisData!$D:$D, DS$2))</f>
        <v>6.6798910124453298E-3</v>
      </c>
      <c r="DT44" s="324">
        <f>$I44*IF($G44="Pickup", SUMIFS(NewEmisData!H:H, NewEmisData!$A:$A, "Pickup", NewEmisData!$B:$B, $A44, NewEmisData!$C:$C, $H44, NewEmisData!$D:$D, DT$2), SUMIFS(NewEmisData!H:H, NewEmisData!$A:$A, "LDV", NewEmisData!$B:$B, $A44, NewEmisData!$C:$C, $H44, NewEmisData!$D:$D, DT$2))</f>
        <v>5.1684543516808098E-3</v>
      </c>
      <c r="DU44" s="324">
        <f>$I44*IF($G44="Pickup", SUMIFS(NewEmisData!I:I, NewEmisData!$A:$A, "Pickup", NewEmisData!$B:$B, $A44, NewEmisData!$C:$C, $H44, NewEmisData!$D:$D, DU$2), SUMIFS(NewEmisData!I:I, NewEmisData!$A:$A, "LDV", NewEmisData!$B:$B, $A44, NewEmisData!$C:$C, $H44, NewEmisData!$D:$D, DU$2))</f>
        <v>4.0637666627415803E-3</v>
      </c>
      <c r="DV44" s="324">
        <f>$I44*IF($G44="Pickup", SUMIFS(NewEmisData!J:J, NewEmisData!$A:$A, "Pickup", NewEmisData!$B:$B, $A44, NewEmisData!$C:$C, $H44, NewEmisData!$D:$D, DV$2), SUMIFS(NewEmisData!J:J, NewEmisData!$A:$A, "LDV", NewEmisData!$B:$B, $A44, NewEmisData!$C:$C, $H44, NewEmisData!$D:$D, DV$2))</f>
        <v>3.5439556352963399E-3</v>
      </c>
      <c r="DW44" s="324">
        <f>$I44*IF($G44="Pickup", SUMIFS(NewEmisData!K:K, NewEmisData!$A:$A, "Pickup", NewEmisData!$B:$B, $A44, NewEmisData!$C:$C, $H44, NewEmisData!$D:$D, DW$2), SUMIFS(NewEmisData!K:K, NewEmisData!$A:$A, "LDV", NewEmisData!$B:$B, $A44, NewEmisData!$C:$C, $H44, NewEmisData!$D:$D, DW$2))</f>
        <v>3.25169320270512E-3</v>
      </c>
      <c r="DX44" s="324">
        <f>$I44*IF($G44="Pickup", SUMIFS(NewEmisData!L:L, NewEmisData!$A:$A, "Pickup", NewEmisData!$B:$B, $A44, NewEmisData!$C:$C, $H44, NewEmisData!$D:$D, DX$2), SUMIFS(NewEmisData!L:L, NewEmisData!$A:$A, "LDV", NewEmisData!$B:$B, $A44, NewEmisData!$C:$C, $H44, NewEmisData!$D:$D, DX$2))</f>
        <v>3.1576560516429699E-3</v>
      </c>
      <c r="DY44" s="324">
        <f>$I44*IF($G44="Pickup", SUMIFS(NewEmisData!M:M, NewEmisData!$A:$A, "Pickup", NewEmisData!$B:$B, $A44, NewEmisData!$C:$C, $H44, NewEmisData!$D:$D, DY$2), SUMIFS(NewEmisData!M:M, NewEmisData!$A:$A, "LDV", NewEmisData!$B:$B, $A44, NewEmisData!$C:$C, $H44, NewEmisData!$D:$D, DY$2))</f>
        <v>3.1088285848124E-3</v>
      </c>
      <c r="DZ44" s="324">
        <f t="shared" si="15"/>
        <v>3.1088285848124E-3</v>
      </c>
      <c r="EA44" s="324">
        <f t="shared" si="16"/>
        <v>465.43339574540698</v>
      </c>
      <c r="EB44" s="324">
        <f t="shared" si="17"/>
        <v>447.45086858043499</v>
      </c>
      <c r="EC44" s="324">
        <f t="shared" si="18"/>
        <v>371.68579631799702</v>
      </c>
      <c r="ED44" s="324">
        <f t="shared" si="19"/>
        <v>316.68783468886801</v>
      </c>
      <c r="EE44" s="324">
        <f t="shared" si="20"/>
        <v>274.45359564691302</v>
      </c>
      <c r="EF44" s="324">
        <f t="shared" si="21"/>
        <v>250.610452801164</v>
      </c>
      <c r="EG44" s="324">
        <f t="shared" si="22"/>
        <v>239.96929474207201</v>
      </c>
      <c r="EH44" s="324">
        <f t="shared" si="23"/>
        <v>236.17949059358199</v>
      </c>
      <c r="EI44" s="324">
        <f t="shared" si="24"/>
        <v>234.77621268414799</v>
      </c>
      <c r="EJ44" s="324">
        <f t="shared" si="25"/>
        <v>234.77621268414799</v>
      </c>
      <c r="EK44" s="324">
        <f t="shared" si="26"/>
        <v>0.76817370125590101</v>
      </c>
      <c r="EL44" s="324">
        <f t="shared" si="27"/>
        <v>0.34255400012381199</v>
      </c>
      <c r="EM44" s="324">
        <f t="shared" si="28"/>
        <v>0.22026197441968301</v>
      </c>
      <c r="EN44" s="324">
        <f t="shared" si="29"/>
        <v>0.146130223505477</v>
      </c>
      <c r="EO44" s="324">
        <f t="shared" si="30"/>
        <v>9.25204446820201E-2</v>
      </c>
      <c r="EP44" s="324">
        <f t="shared" si="31"/>
        <v>6.9646332093205393E-2</v>
      </c>
      <c r="EQ44" s="324">
        <f t="shared" si="32"/>
        <v>6.0285539426727999E-2</v>
      </c>
      <c r="ER44" s="324">
        <f t="shared" si="33"/>
        <v>5.7685517085836899E-2</v>
      </c>
      <c r="ES44" s="324">
        <f t="shared" si="34"/>
        <v>5.6336256806388998E-2</v>
      </c>
      <c r="ET44" s="324">
        <f t="shared" si="35"/>
        <v>5.6336256806388998E-2</v>
      </c>
      <c r="EU44" s="324">
        <f t="shared" si="36"/>
        <v>8.0536316527093799E-3</v>
      </c>
      <c r="EV44" s="324">
        <f t="shared" si="37"/>
        <v>7.7424694052717798E-3</v>
      </c>
      <c r="EW44" s="324">
        <f t="shared" si="38"/>
        <v>5.3320257089092297E-3</v>
      </c>
      <c r="EX44" s="324">
        <f t="shared" si="39"/>
        <v>4.5430510168157703E-3</v>
      </c>
      <c r="EY44" s="324">
        <f t="shared" si="40"/>
        <v>3.9371785778053803E-3</v>
      </c>
      <c r="EZ44" s="324">
        <f t="shared" si="41"/>
        <v>3.5951364530025401E-3</v>
      </c>
      <c r="FA44" s="324">
        <f t="shared" si="42"/>
        <v>3.4424852382502098E-3</v>
      </c>
      <c r="FB44" s="324">
        <f t="shared" si="43"/>
        <v>3.38811619026995E-3</v>
      </c>
      <c r="FC44" s="324">
        <f t="shared" si="44"/>
        <v>3.36798790618778E-3</v>
      </c>
      <c r="FD44" s="324">
        <f t="shared" si="45"/>
        <v>3.36798790618778E-3</v>
      </c>
      <c r="FE44" s="324">
        <f t="shared" si="46"/>
        <v>7.6317156939691294E-2</v>
      </c>
      <c r="FF44" s="324">
        <f t="shared" si="47"/>
        <v>7.1544642944165196E-2</v>
      </c>
      <c r="FG44" s="324">
        <f t="shared" si="48"/>
        <v>5.8249743312617203E-2</v>
      </c>
      <c r="FH44" s="324">
        <f t="shared" si="49"/>
        <v>5.6730049378736901E-2</v>
      </c>
      <c r="FI44" s="324">
        <f t="shared" si="50"/>
        <v>5.5297861804990203E-2</v>
      </c>
      <c r="FJ44" s="324">
        <f t="shared" si="51"/>
        <v>5.4156352090813403E-2</v>
      </c>
      <c r="FK44" s="324">
        <f t="shared" si="52"/>
        <v>5.3430662266944498E-2</v>
      </c>
      <c r="FL44" s="324">
        <f t="shared" si="53"/>
        <v>5.3062743786751999E-2</v>
      </c>
      <c r="FM44" s="324">
        <f t="shared" si="54"/>
        <v>5.2850768620488903E-2</v>
      </c>
      <c r="FN44" s="324">
        <f t="shared" si="55"/>
        <v>5.2850768620488903E-2</v>
      </c>
      <c r="FO44" s="324">
        <f t="shared" si="56"/>
        <v>2.00368746679381E-2</v>
      </c>
      <c r="FP44" s="324">
        <f t="shared" si="57"/>
        <v>1.58149288879222E-2</v>
      </c>
      <c r="FQ44" s="324">
        <f t="shared" si="58"/>
        <v>1.2889012730210401E-2</v>
      </c>
      <c r="FR44" s="324">
        <f t="shared" si="59"/>
        <v>1.1544674905883E-2</v>
      </c>
      <c r="FS44" s="324">
        <f t="shared" si="60"/>
        <v>1.0277724336371899E-2</v>
      </c>
      <c r="FT44" s="324">
        <f t="shared" si="61"/>
        <v>9.2679749278735592E-3</v>
      </c>
      <c r="FU44" s="324">
        <f t="shared" si="62"/>
        <v>8.6259896432645099E-3</v>
      </c>
      <c r="FV44" s="324">
        <f t="shared" si="63"/>
        <v>8.3004876330209296E-3</v>
      </c>
      <c r="FW44" s="324">
        <f t="shared" si="64"/>
        <v>8.1129702157430005E-3</v>
      </c>
      <c r="FX44" s="324">
        <f t="shared" si="65"/>
        <v>8.1129702157430005E-3</v>
      </c>
    </row>
    <row r="45" spans="1:180" x14ac:dyDescent="0.2">
      <c r="A45" s="298" t="str">
        <f>IF(LEFT(TRIM(Technologies!B71),1)="*", _xlfn.CONCAT("*","R2"), "R2")</f>
        <v>R2</v>
      </c>
      <c r="B45" s="298" t="str">
        <f>TechData_existing!B14</f>
        <v>TLEPGSL</v>
      </c>
      <c r="C45" s="298" t="str">
        <f>TechData_existing!C14</f>
        <v>TL.GSL.P.Existing Fleet</v>
      </c>
      <c r="D45" s="294" t="str">
        <f>TechData_existing!D14</f>
        <v>bn-vmt, bn-vmt/a</v>
      </c>
      <c r="E45" s="294" t="str">
        <f>TechData_existing!E14</f>
        <v>TLGSL</v>
      </c>
      <c r="F45" s="294" t="str">
        <f>TechData_existing!F14</f>
        <v>TL</v>
      </c>
      <c r="G45" s="294" t="s">
        <v>329</v>
      </c>
      <c r="H45" s="294" t="s">
        <v>474</v>
      </c>
      <c r="I45" s="294">
        <v>1</v>
      </c>
      <c r="J45" s="308" t="str">
        <f t="shared" si="101"/>
        <v>Pickup-GSL</v>
      </c>
      <c r="K45" s="324">
        <f>$I45*IF($G45="Pickup", SUMIFS(NewEmisData!E:E, NewEmisData!$A:$A, "Pickup", NewEmisData!$B:$B, $A45, NewEmisData!$C:$C, $H45, NewEmisData!$D:$D, K$2), SUMIFS(NewEmisData!E:E, NewEmisData!$A:$A, "LDV", NewEmisData!$B:$B, $A45, NewEmisData!$C:$C, $H45, NewEmisData!$D:$D, K$2))</f>
        <v>643.29881695558004</v>
      </c>
      <c r="L45" s="324">
        <f>$I45*IF($G45="Pickup", SUMIFS(NewEmisData!F:F, NewEmisData!$A:$A, "Pickup", NewEmisData!$B:$B, $A45, NewEmisData!$C:$C, $H45, NewEmisData!$D:$D, L$2), SUMIFS(NewEmisData!F:F, NewEmisData!$A:$A, "LDV", NewEmisData!$B:$B, $A45, NewEmisData!$C:$C, $H45, NewEmisData!$D:$D, L$2))</f>
        <v>583.43082633307301</v>
      </c>
      <c r="M45" s="324">
        <f>$I45*IF($G45="Pickup", SUMIFS(NewEmisData!G:G, NewEmisData!$A:$A, "Pickup", NewEmisData!$B:$B, $A45, NewEmisData!$C:$C, $H45, NewEmisData!$D:$D, M$2), SUMIFS(NewEmisData!G:G, NewEmisData!$A:$A, "LDV", NewEmisData!$B:$B, $A45, NewEmisData!$C:$C, $H45, NewEmisData!$D:$D, M$2))</f>
        <v>563.26223885442596</v>
      </c>
      <c r="N45" s="324">
        <f>$I45*IF($G45="Pickup", SUMIFS(NewEmisData!H:H, NewEmisData!$A:$A, "Pickup", NewEmisData!$B:$B, $A45, NewEmisData!$C:$C, $H45, NewEmisData!$D:$D, N$2), SUMIFS(NewEmisData!H:H, NewEmisData!$A:$A, "LDV", NewEmisData!$B:$B, $A45, NewEmisData!$C:$C, $H45, NewEmisData!$D:$D, N$2))</f>
        <v>471.244671967888</v>
      </c>
      <c r="O45" s="324">
        <f>$I45*IF($G45="Pickup", SUMIFS(NewEmisData!I:I, NewEmisData!$A:$A, "Pickup", NewEmisData!$B:$B, $A45, NewEmisData!$C:$C, $H45, NewEmisData!$D:$D, O$2), SUMIFS(NewEmisData!I:I, NewEmisData!$A:$A, "LDV", NewEmisData!$B:$B, $A45, NewEmisData!$C:$C, $H45, NewEmisData!$D:$D, O$2))</f>
        <v>412.13992934500197</v>
      </c>
      <c r="P45" s="324">
        <f>$I45*IF($G45="Pickup", SUMIFS(NewEmisData!J:J, NewEmisData!$A:$A, "Pickup", NewEmisData!$B:$B, $A45, NewEmisData!$C:$C, $H45, NewEmisData!$D:$D, P$2), SUMIFS(NewEmisData!J:J, NewEmisData!$A:$A, "LDV", NewEmisData!$B:$B, $A45, NewEmisData!$C:$C, $H45, NewEmisData!$D:$D, P$2))</f>
        <v>382.15841850216998</v>
      </c>
      <c r="Q45" s="324">
        <f>$I45*IF($G45="Pickup", SUMIFS(NewEmisData!K:K, NewEmisData!$A:$A, "Pickup", NewEmisData!$B:$B, $A45, NewEmisData!$C:$C, $H45, NewEmisData!$D:$D, Q$2), SUMIFS(NewEmisData!K:K, NewEmisData!$A:$A, "LDV", NewEmisData!$B:$B, $A45, NewEmisData!$C:$C, $H45, NewEmisData!$D:$D, Q$2))</f>
        <v>369.00588961547999</v>
      </c>
      <c r="R45" s="324">
        <f>$I45*IF($G45="Pickup", SUMIFS(NewEmisData!L:L, NewEmisData!$A:$A, "Pickup", NewEmisData!$B:$B, $A45, NewEmisData!$C:$C, $H45, NewEmisData!$D:$D, R$2), SUMIFS(NewEmisData!L:L, NewEmisData!$A:$A, "LDV", NewEmisData!$B:$B, $A45, NewEmisData!$C:$C, $H45, NewEmisData!$D:$D, R$2))</f>
        <v>366.289622530256</v>
      </c>
      <c r="S45" s="324">
        <f>$I45*IF($G45="Pickup", SUMIFS(NewEmisData!M:M, NewEmisData!$A:$A, "Pickup", NewEmisData!$B:$B, $A45, NewEmisData!$C:$C, $H45, NewEmisData!$D:$D, S$2), SUMIFS(NewEmisData!M:M, NewEmisData!$A:$A, "LDV", NewEmisData!$B:$B, $A45, NewEmisData!$C:$C, $H45, NewEmisData!$D:$D, S$2))</f>
        <v>365.86844674955302</v>
      </c>
      <c r="T45" s="324">
        <f t="shared" si="5"/>
        <v>365.86844674955302</v>
      </c>
      <c r="U45" s="324">
        <f>$I45*IF($G45="Pickup", SUMIFS(NewEmisData!E:E, NewEmisData!$A:$A, "Pickup", NewEmisData!$B:$B, $A45, NewEmisData!$C:$C, $H45, NewEmisData!$D:$D, U$2), SUMIFS(NewEmisData!E:E, NewEmisData!$A:$A, "LDV", NewEmisData!$B:$B, $A45, NewEmisData!$C:$C, $H45, NewEmisData!$D:$D, U$2))</f>
        <v>1.0718533711852101</v>
      </c>
      <c r="V45" s="324">
        <f>$I45*IF($G45="Pickup", SUMIFS(NewEmisData!F:F, NewEmisData!$A:$A, "Pickup", NewEmisData!$B:$B, $A45, NewEmisData!$C:$C, $H45, NewEmisData!$D:$D, V$2), SUMIFS(NewEmisData!F:F, NewEmisData!$A:$A, "LDV", NewEmisData!$B:$B, $A45, NewEmisData!$C:$C, $H45, NewEmisData!$D:$D, V$2))</f>
        <v>0.36460893881337703</v>
      </c>
      <c r="W45" s="324">
        <f>$I45*IF($G45="Pickup", SUMIFS(NewEmisData!G:G, NewEmisData!$A:$A, "Pickup", NewEmisData!$B:$B, $A45, NewEmisData!$C:$C, $H45, NewEmisData!$D:$D, W$2), SUMIFS(NewEmisData!G:G, NewEmisData!$A:$A, "LDV", NewEmisData!$B:$B, $A45, NewEmisData!$C:$C, $H45, NewEmisData!$D:$D, W$2))</f>
        <v>0.21511450722659001</v>
      </c>
      <c r="X45" s="324">
        <f>$I45*IF($G45="Pickup", SUMIFS(NewEmisData!H:H, NewEmisData!$A:$A, "Pickup", NewEmisData!$B:$B, $A45, NewEmisData!$C:$C, $H45, NewEmisData!$D:$D, X$2), SUMIFS(NewEmisData!H:H, NewEmisData!$A:$A, "LDV", NewEmisData!$B:$B, $A45, NewEmisData!$C:$C, $H45, NewEmisData!$D:$D, X$2))</f>
        <v>0.139073943805895</v>
      </c>
      <c r="Y45" s="324">
        <f>$I45*IF($G45="Pickup", SUMIFS(NewEmisData!I:I, NewEmisData!$A:$A, "Pickup", NewEmisData!$B:$B, $A45, NewEmisData!$C:$C, $H45, NewEmisData!$D:$D, Y$2), SUMIFS(NewEmisData!I:I, NewEmisData!$A:$A, "LDV", NewEmisData!$B:$B, $A45, NewEmisData!$C:$C, $H45, NewEmisData!$D:$D, Y$2))</f>
        <v>9.3994703060775397E-2</v>
      </c>
      <c r="Z45" s="324">
        <f>$I45*IF($G45="Pickup", SUMIFS(NewEmisData!J:J, NewEmisData!$A:$A, "Pickup", NewEmisData!$B:$B, $A45, NewEmisData!$C:$C, $H45, NewEmisData!$D:$D, Z$2), SUMIFS(NewEmisData!J:J, NewEmisData!$A:$A, "LDV", NewEmisData!$B:$B, $A45, NewEmisData!$C:$C, $H45, NewEmisData!$D:$D, Z$2))</f>
        <v>6.4842069109482106E-2</v>
      </c>
      <c r="AA45" s="324">
        <f>$I45*IF($G45="Pickup", SUMIFS(NewEmisData!K:K, NewEmisData!$A:$A, "Pickup", NewEmisData!$B:$B, $A45, NewEmisData!$C:$C, $H45, NewEmisData!$D:$D, AA$2), SUMIFS(NewEmisData!K:K, NewEmisData!$A:$A, "LDV", NewEmisData!$B:$B, $A45, NewEmisData!$C:$C, $H45, NewEmisData!$D:$D, AA$2))</f>
        <v>5.3324297371198003E-2</v>
      </c>
      <c r="AB45" s="324">
        <f>$I45*IF($G45="Pickup", SUMIFS(NewEmisData!L:L, NewEmisData!$A:$A, "Pickup", NewEmisData!$B:$B, $A45, NewEmisData!$C:$C, $H45, NewEmisData!$D:$D, AB$2), SUMIFS(NewEmisData!L:L, NewEmisData!$A:$A, "LDV", NewEmisData!$B:$B, $A45, NewEmisData!$C:$C, $H45, NewEmisData!$D:$D, AB$2))</f>
        <v>5.1077075101125899E-2</v>
      </c>
      <c r="AC45" s="324">
        <f>$I45*IF($G45="Pickup", SUMIFS(NewEmisData!M:M, NewEmisData!$A:$A, "Pickup", NewEmisData!$B:$B, $A45, NewEmisData!$C:$C, $H45, NewEmisData!$D:$D, AC$2), SUMIFS(NewEmisData!M:M, NewEmisData!$A:$A, "LDV", NewEmisData!$B:$B, $A45, NewEmisData!$C:$C, $H45, NewEmisData!$D:$D, AC$2))</f>
        <v>5.0515001573367802E-2</v>
      </c>
      <c r="AD45" s="324">
        <f t="shared" si="6"/>
        <v>5.0515001573367802E-2</v>
      </c>
      <c r="AE45" s="324">
        <f>$I45*IF($G45="Pickup", SUMIFS(NewEmisData!E:E, NewEmisData!$A:$A, "Pickup", NewEmisData!$B:$B, $A45, NewEmisData!$C:$C, $H45, NewEmisData!$D:$D, AE$2), SUMIFS(NewEmisData!E:E, NewEmisData!$A:$A, "LDV", NewEmisData!$B:$B, $A45, NewEmisData!$C:$C, $H45, NewEmisData!$D:$D, AE$2))</f>
        <v>1.1131330015415801E-2</v>
      </c>
      <c r="AF45" s="324">
        <f>$I45*IF($G45="Pickup", SUMIFS(NewEmisData!F:F, NewEmisData!$A:$A, "Pickup", NewEmisData!$B:$B, $A45, NewEmisData!$C:$C, $H45, NewEmisData!$D:$D, AF$2), SUMIFS(NewEmisData!F:F, NewEmisData!$A:$A, "LDV", NewEmisData!$B:$B, $A45, NewEmisData!$C:$C, $H45, NewEmisData!$D:$D, AF$2))</f>
        <v>1.0095400092945701E-2</v>
      </c>
      <c r="AG45" s="324">
        <f>$I45*IF($G45="Pickup", SUMIFS(NewEmisData!G:G, NewEmisData!$A:$A, "Pickup", NewEmisData!$B:$B, $A45, NewEmisData!$C:$C, $H45, NewEmisData!$D:$D, AG$2), SUMIFS(NewEmisData!G:G, NewEmisData!$A:$A, "LDV", NewEmisData!$B:$B, $A45, NewEmisData!$C:$C, $H45, NewEmisData!$D:$D, AG$2))</f>
        <v>8.0802908150159908E-3</v>
      </c>
      <c r="AH45" s="324">
        <f>$I45*IF($G45="Pickup", SUMIFS(NewEmisData!H:H, NewEmisData!$A:$A, "Pickup", NewEmisData!$B:$B, $A45, NewEmisData!$C:$C, $H45, NewEmisData!$D:$D, AH$2), SUMIFS(NewEmisData!H:H, NewEmisData!$A:$A, "LDV", NewEmisData!$B:$B, $A45, NewEmisData!$C:$C, $H45, NewEmisData!$D:$D, AH$2))</f>
        <v>6.7602528861516898E-3</v>
      </c>
      <c r="AI45" s="324">
        <f>$I45*IF($G45="Pickup", SUMIFS(NewEmisData!I:I, NewEmisData!$A:$A, "Pickup", NewEmisData!$B:$B, $A45, NewEmisData!$C:$C, $H45, NewEmisData!$D:$D, AI$2), SUMIFS(NewEmisData!I:I, NewEmisData!$A:$A, "LDV", NewEmisData!$B:$B, $A45, NewEmisData!$C:$C, $H45, NewEmisData!$D:$D, AI$2))</f>
        <v>5.91236027599469E-3</v>
      </c>
      <c r="AJ45" s="324">
        <f>$I45*IF($G45="Pickup", SUMIFS(NewEmisData!J:J, NewEmisData!$A:$A, "Pickup", NewEmisData!$B:$B, $A45, NewEmisData!$C:$C, $H45, NewEmisData!$D:$D, AJ$2), SUMIFS(NewEmisData!J:J, NewEmisData!$A:$A, "LDV", NewEmisData!$B:$B, $A45, NewEmisData!$C:$C, $H45, NewEmisData!$D:$D, AJ$2))</f>
        <v>5.4822597906763401E-3</v>
      </c>
      <c r="AK45" s="324">
        <f>$I45*IF($G45="Pickup", SUMIFS(NewEmisData!K:K, NewEmisData!$A:$A, "Pickup", NewEmisData!$B:$B, $A45, NewEmisData!$C:$C, $H45, NewEmisData!$D:$D, AK$2), SUMIFS(NewEmisData!K:K, NewEmisData!$A:$A, "LDV", NewEmisData!$B:$B, $A45, NewEmisData!$C:$C, $H45, NewEmisData!$D:$D, AK$2))</f>
        <v>5.2935788275333302E-3</v>
      </c>
      <c r="AL45" s="324">
        <f>$I45*IF($G45="Pickup", SUMIFS(NewEmisData!L:L, NewEmisData!$A:$A, "Pickup", NewEmisData!$B:$B, $A45, NewEmisData!$C:$C, $H45, NewEmisData!$D:$D, AL$2), SUMIFS(NewEmisData!L:L, NewEmisData!$A:$A, "LDV", NewEmisData!$B:$B, $A45, NewEmisData!$C:$C, $H45, NewEmisData!$D:$D, AL$2))</f>
        <v>5.2546135130106296E-3</v>
      </c>
      <c r="AM45" s="324">
        <f>$I45*IF($G45="Pickup", SUMIFS(NewEmisData!M:M, NewEmisData!$A:$A, "Pickup", NewEmisData!$B:$B, $A45, NewEmisData!$C:$C, $H45, NewEmisData!$D:$D, AM$2), SUMIFS(NewEmisData!M:M, NewEmisData!$A:$A, "LDV", NewEmisData!$B:$B, $A45, NewEmisData!$C:$C, $H45, NewEmisData!$D:$D, AM$2))</f>
        <v>5.2485706596045499E-3</v>
      </c>
      <c r="AN45" s="324">
        <f t="shared" si="7"/>
        <v>5.2485706596045499E-3</v>
      </c>
      <c r="AO45" s="324">
        <f>$I45*IF($G45="Pickup", SUMIFS(NewEmisData!E:E, NewEmisData!$A:$A, "Pickup", NewEmisData!$B:$B, $A45, NewEmisData!$C:$C, $H45, NewEmisData!$D:$D, AO$2), SUMIFS(NewEmisData!E:E, NewEmisData!$A:$A, "LDV", NewEmisData!$B:$B, $A45, NewEmisData!$C:$C, $H45, NewEmisData!$D:$D, AO$2))</f>
        <v>8.4672967273815902E-2</v>
      </c>
      <c r="AP45" s="324">
        <f>$I45*IF($G45="Pickup", SUMIFS(NewEmisData!F:F, NewEmisData!$A:$A, "Pickup", NewEmisData!$B:$B, $A45, NewEmisData!$C:$C, $H45, NewEmisData!$D:$D, AP$2), SUMIFS(NewEmisData!F:F, NewEmisData!$A:$A, "LDV", NewEmisData!$B:$B, $A45, NewEmisData!$C:$C, $H45, NewEmisData!$D:$D, AP$2))</f>
        <v>8.05962896778539E-2</v>
      </c>
      <c r="AQ45" s="324">
        <f>$I45*IF($G45="Pickup", SUMIFS(NewEmisData!G:G, NewEmisData!$A:$A, "Pickup", NewEmisData!$B:$B, $A45, NewEmisData!$C:$C, $H45, NewEmisData!$D:$D, AQ$2), SUMIFS(NewEmisData!G:G, NewEmisData!$A:$A, "LDV", NewEmisData!$B:$B, $A45, NewEmisData!$C:$C, $H45, NewEmisData!$D:$D, AQ$2))</f>
        <v>8.8160367229529593E-2</v>
      </c>
      <c r="AR45" s="324">
        <f>$I45*IF($G45="Pickup", SUMIFS(NewEmisData!H:H, NewEmisData!$A:$A, "Pickup", NewEmisData!$B:$B, $A45, NewEmisData!$C:$C, $H45, NewEmisData!$D:$D, AR$2), SUMIFS(NewEmisData!H:H, NewEmisData!$A:$A, "LDV", NewEmisData!$B:$B, $A45, NewEmisData!$C:$C, $H45, NewEmisData!$D:$D, AR$2))</f>
        <v>8.6879117258843994E-2</v>
      </c>
      <c r="AS45" s="324">
        <f>$I45*IF($G45="Pickup", SUMIFS(NewEmisData!I:I, NewEmisData!$A:$A, "Pickup", NewEmisData!$B:$B, $A45, NewEmisData!$C:$C, $H45, NewEmisData!$D:$D, AS$2), SUMIFS(NewEmisData!I:I, NewEmisData!$A:$A, "LDV", NewEmisData!$B:$B, $A45, NewEmisData!$C:$C, $H45, NewEmisData!$D:$D, AS$2))</f>
        <v>8.54475878127927E-2</v>
      </c>
      <c r="AT45" s="324">
        <f>$I45*IF($G45="Pickup", SUMIFS(NewEmisData!J:J, NewEmisData!$A:$A, "Pickup", NewEmisData!$B:$B, $A45, NewEmisData!$C:$C, $H45, NewEmisData!$D:$D, AT$2), SUMIFS(NewEmisData!J:J, NewEmisData!$A:$A, "LDV", NewEmisData!$B:$B, $A45, NewEmisData!$C:$C, $H45, NewEmisData!$D:$D, AT$2))</f>
        <v>8.4196574123060697E-2</v>
      </c>
      <c r="AU45" s="324">
        <f>$I45*IF($G45="Pickup", SUMIFS(NewEmisData!K:K, NewEmisData!$A:$A, "Pickup", NewEmisData!$B:$B, $A45, NewEmisData!$C:$C, $H45, NewEmisData!$D:$D, AU$2), SUMIFS(NewEmisData!K:K, NewEmisData!$A:$A, "LDV", NewEmisData!$B:$B, $A45, NewEmisData!$C:$C, $H45, NewEmisData!$D:$D, AU$2))</f>
        <v>8.3484871045575698E-2</v>
      </c>
      <c r="AV45" s="324">
        <f>$I45*IF($G45="Pickup", SUMIFS(NewEmisData!L:L, NewEmisData!$A:$A, "Pickup", NewEmisData!$B:$B, $A45, NewEmisData!$C:$C, $H45, NewEmisData!$D:$D, AV$2), SUMIFS(NewEmisData!L:L, NewEmisData!$A:$A, "LDV", NewEmisData!$B:$B, $A45, NewEmisData!$C:$C, $H45, NewEmisData!$D:$D, AV$2))</f>
        <v>8.3214240833257597E-2</v>
      </c>
      <c r="AW45" s="324">
        <f>$I45*IF($G45="Pickup", SUMIFS(NewEmisData!M:M, NewEmisData!$A:$A, "Pickup", NewEmisData!$B:$B, $A45, NewEmisData!$C:$C, $H45, NewEmisData!$D:$D, AW$2), SUMIFS(NewEmisData!M:M, NewEmisData!$A:$A, "LDV", NewEmisData!$B:$B, $A45, NewEmisData!$C:$C, $H45, NewEmisData!$D:$D, AW$2))</f>
        <v>8.3146851731389901E-2</v>
      </c>
      <c r="AX45" s="324">
        <f t="shared" si="8"/>
        <v>8.3146851731389901E-2</v>
      </c>
      <c r="AY45" s="324">
        <f>$I45*IF($G45="Pickup", SUMIFS(NewEmisData!E:E, NewEmisData!$A:$A, "Pickup", NewEmisData!$B:$B, $A45, NewEmisData!$C:$C, $H45, NewEmisData!$D:$D, AY$2), SUMIFS(NewEmisData!E:E, NewEmisData!$A:$A, "LDV", NewEmisData!$B:$B, $A45, NewEmisData!$C:$C, $H45, NewEmisData!$D:$D, AY$2))</f>
        <v>1.9937709526913299E-2</v>
      </c>
      <c r="AZ45" s="324">
        <f>$I45*IF($G45="Pickup", SUMIFS(NewEmisData!F:F, NewEmisData!$A:$A, "Pickup", NewEmisData!$B:$B, $A45, NewEmisData!$C:$C, $H45, NewEmisData!$D:$D, AZ$2), SUMIFS(NewEmisData!F:F, NewEmisData!$A:$A, "LDV", NewEmisData!$B:$B, $A45, NewEmisData!$C:$C, $H45, NewEmisData!$D:$D, AZ$2))</f>
        <v>1.6339868026240802E-2</v>
      </c>
      <c r="BA45" s="324">
        <f>$I45*IF($G45="Pickup", SUMIFS(NewEmisData!G:G, NewEmisData!$A:$A, "Pickup", NewEmisData!$B:$B, $A45, NewEmisData!$C:$C, $H45, NewEmisData!$D:$D, BA$2), SUMIFS(NewEmisData!G:G, NewEmisData!$A:$A, "LDV", NewEmisData!$B:$B, $A45, NewEmisData!$C:$C, $H45, NewEmisData!$D:$D, BA$2))</f>
        <v>1.6728363465573801E-2</v>
      </c>
      <c r="BB45" s="324">
        <f>$I45*IF($G45="Pickup", SUMIFS(NewEmisData!H:H, NewEmisData!$A:$A, "Pickup", NewEmisData!$B:$B, $A45, NewEmisData!$C:$C, $H45, NewEmisData!$D:$D, BB$2), SUMIFS(NewEmisData!H:H, NewEmisData!$A:$A, "LDV", NewEmisData!$B:$B, $A45, NewEmisData!$C:$C, $H45, NewEmisData!$D:$D, BB$2))</f>
        <v>1.55904538446416E-2</v>
      </c>
      <c r="BC45" s="324">
        <f>$I45*IF($G45="Pickup", SUMIFS(NewEmisData!I:I, NewEmisData!$A:$A, "Pickup", NewEmisData!$B:$B, $A45, NewEmisData!$C:$C, $H45, NewEmisData!$D:$D, BC$2), SUMIFS(NewEmisData!I:I, NewEmisData!$A:$A, "LDV", NewEmisData!$B:$B, $A45, NewEmisData!$C:$C, $H45, NewEmisData!$D:$D, BC$2))</f>
        <v>1.4321167303148301E-2</v>
      </c>
      <c r="BD45" s="324">
        <f>$I45*IF($G45="Pickup", SUMIFS(NewEmisData!J:J, NewEmisData!$A:$A, "Pickup", NewEmisData!$B:$B, $A45, NewEmisData!$C:$C, $H45, NewEmisData!$D:$D, BD$2), SUMIFS(NewEmisData!J:J, NewEmisData!$A:$A, "LDV", NewEmisData!$B:$B, $A45, NewEmisData!$C:$C, $H45, NewEmisData!$D:$D, BD$2))</f>
        <v>1.3213602203576201E-2</v>
      </c>
      <c r="BE45" s="324">
        <f>$I45*IF($G45="Pickup", SUMIFS(NewEmisData!K:K, NewEmisData!$A:$A, "Pickup", NewEmisData!$B:$B, $A45, NewEmisData!$C:$C, $H45, NewEmisData!$D:$D, BE$2), SUMIFS(NewEmisData!K:K, NewEmisData!$A:$A, "LDV", NewEmisData!$B:$B, $A45, NewEmisData!$C:$C, $H45, NewEmisData!$D:$D, BE$2))</f>
        <v>1.2583846199447499E-2</v>
      </c>
      <c r="BF45" s="324">
        <f>$I45*IF($G45="Pickup", SUMIFS(NewEmisData!L:L, NewEmisData!$A:$A, "Pickup", NewEmisData!$B:$B, $A45, NewEmisData!$C:$C, $H45, NewEmisData!$D:$D, BF$2), SUMIFS(NewEmisData!L:L, NewEmisData!$A:$A, "LDV", NewEmisData!$B:$B, $A45, NewEmisData!$C:$C, $H45, NewEmisData!$D:$D, BF$2))</f>
        <v>1.2344410378048599E-2</v>
      </c>
      <c r="BG45" s="324">
        <f>$I45*IF($G45="Pickup", SUMIFS(NewEmisData!M:M, NewEmisData!$A:$A, "Pickup", NewEmisData!$B:$B, $A45, NewEmisData!$C:$C, $H45, NewEmisData!$D:$D, BG$2), SUMIFS(NewEmisData!M:M, NewEmisData!$A:$A, "LDV", NewEmisData!$B:$B, $A45, NewEmisData!$C:$C, $H45, NewEmisData!$D:$D, BG$2))</f>
        <v>1.2284860332200101E-2</v>
      </c>
      <c r="BH45" s="324">
        <f t="shared" si="9"/>
        <v>1.2284860332200101E-2</v>
      </c>
      <c r="BI45" s="324">
        <f>$I45*IF($G45="Pickup", SUMIFS(NewEmisData!E:E, NewEmisData!$A:$A, "Pickup", NewEmisData!$B:$B, $A45, NewEmisData!$C:$C, $H45, NewEmisData!$D:$D, BI$2), SUMIFS(NewEmisData!E:E, NewEmisData!$A:$A, "LDV", NewEmisData!$B:$B, $A45, NewEmisData!$C:$C, $H45, NewEmisData!$D:$D, BI$2))</f>
        <v>8.3724484739757798</v>
      </c>
      <c r="BJ45" s="324">
        <f>$I45*IF($G45="Pickup", SUMIFS(NewEmisData!F:F, NewEmisData!$A:$A, "Pickup", NewEmisData!$B:$B, $A45, NewEmisData!$C:$C, $H45, NewEmisData!$D:$D, BJ$2), SUMIFS(NewEmisData!F:F, NewEmisData!$A:$A, "LDV", NewEmisData!$B:$B, $A45, NewEmisData!$C:$C, $H45, NewEmisData!$D:$D, BJ$2))</f>
        <v>4.1627465742497201</v>
      </c>
      <c r="BK45" s="324">
        <f>$I45*IF($G45="Pickup", SUMIFS(NewEmisData!G:G, NewEmisData!$A:$A, "Pickup", NewEmisData!$B:$B, $A45, NewEmisData!$C:$C, $H45, NewEmisData!$D:$D, BK$2), SUMIFS(NewEmisData!G:G, NewEmisData!$A:$A, "LDV", NewEmisData!$B:$B, $A45, NewEmisData!$C:$C, $H45, NewEmisData!$D:$D, BK$2))</f>
        <v>3.1751202223930601</v>
      </c>
      <c r="BL45" s="324">
        <f>$I45*IF($G45="Pickup", SUMIFS(NewEmisData!H:H, NewEmisData!$A:$A, "Pickup", NewEmisData!$B:$B, $A45, NewEmisData!$C:$C, $H45, NewEmisData!$D:$D, BL$2), SUMIFS(NewEmisData!H:H, NewEmisData!$A:$A, "LDV", NewEmisData!$B:$B, $A45, NewEmisData!$C:$C, $H45, NewEmisData!$D:$D, BL$2))</f>
        <v>2.4249939689765201</v>
      </c>
      <c r="BM45" s="324">
        <f>$I45*IF($G45="Pickup", SUMIFS(NewEmisData!I:I, NewEmisData!$A:$A, "Pickup", NewEmisData!$B:$B, $A45, NewEmisData!$C:$C, $H45, NewEmisData!$D:$D, BM$2), SUMIFS(NewEmisData!I:I, NewEmisData!$A:$A, "LDV", NewEmisData!$B:$B, $A45, NewEmisData!$C:$C, $H45, NewEmisData!$D:$D, BM$2))</f>
        <v>1.70690688791968</v>
      </c>
      <c r="BN45" s="324">
        <f>$I45*IF($G45="Pickup", SUMIFS(NewEmisData!J:J, NewEmisData!$A:$A, "Pickup", NewEmisData!$B:$B, $A45, NewEmisData!$C:$C, $H45, NewEmisData!$D:$D, BN$2), SUMIFS(NewEmisData!J:J, NewEmisData!$A:$A, "LDV", NewEmisData!$B:$B, $A45, NewEmisData!$C:$C, $H45, NewEmisData!$D:$D, BN$2))</f>
        <v>1.2514395964623399</v>
      </c>
      <c r="BO45" s="324">
        <f>$I45*IF($G45="Pickup", SUMIFS(NewEmisData!K:K, NewEmisData!$A:$A, "Pickup", NewEmisData!$B:$B, $A45, NewEmisData!$C:$C, $H45, NewEmisData!$D:$D, BO$2), SUMIFS(NewEmisData!K:K, NewEmisData!$A:$A, "LDV", NewEmisData!$B:$B, $A45, NewEmisData!$C:$C, $H45, NewEmisData!$D:$D, BO$2))</f>
        <v>1.08513363287536</v>
      </c>
      <c r="BP45" s="324">
        <f>$I45*IF($G45="Pickup", SUMIFS(NewEmisData!L:L, NewEmisData!$A:$A, "Pickup", NewEmisData!$B:$B, $A45, NewEmisData!$C:$C, $H45, NewEmisData!$D:$D, BP$2), SUMIFS(NewEmisData!L:L, NewEmisData!$A:$A, "LDV", NewEmisData!$B:$B, $A45, NewEmisData!$C:$C, $H45, NewEmisData!$D:$D, BP$2))</f>
        <v>1.0523853124874001</v>
      </c>
      <c r="BQ45" s="324">
        <f>$I45*IF($G45="Pickup", SUMIFS(NewEmisData!M:M, NewEmisData!$A:$A, "Pickup", NewEmisData!$B:$B, $A45, NewEmisData!$C:$C, $H45, NewEmisData!$D:$D, BQ$2), SUMIFS(NewEmisData!M:M, NewEmisData!$A:$A, "LDV", NewEmisData!$B:$B, $A45, NewEmisData!$C:$C, $H45, NewEmisData!$D:$D, BQ$2))</f>
        <v>1.0428628562345901</v>
      </c>
      <c r="BR45" s="324">
        <f t="shared" si="10"/>
        <v>1.0428628562345901</v>
      </c>
      <c r="BS45" s="324">
        <f>$I45*IF($G45="Pickup", SUMIFS(NewEmisData!E:E, NewEmisData!$A:$A, "Pickup", NewEmisData!$B:$B, $A45, NewEmisData!$C:$C, $H45, NewEmisData!$D:$D, BS$2), SUMIFS(NewEmisData!E:E, NewEmisData!$A:$A, "LDV", NewEmisData!$B:$B, $A45, NewEmisData!$C:$C, $H45, NewEmisData!$D:$D, BS$2))</f>
        <v>0.75410467086382504</v>
      </c>
      <c r="BT45" s="324">
        <f>$I45*IF($G45="Pickup", SUMIFS(NewEmisData!F:F, NewEmisData!$A:$A, "Pickup", NewEmisData!$B:$B, $A45, NewEmisData!$C:$C, $H45, NewEmisData!$D:$D, BT$2), SUMIFS(NewEmisData!F:F, NewEmisData!$A:$A, "LDV", NewEmisData!$B:$B, $A45, NewEmisData!$C:$C, $H45, NewEmisData!$D:$D, BT$2))</f>
        <v>0.30716529341050203</v>
      </c>
      <c r="BU45" s="324">
        <f>$I45*IF($G45="Pickup", SUMIFS(NewEmisData!G:G, NewEmisData!$A:$A, "Pickup", NewEmisData!$B:$B, $A45, NewEmisData!$C:$C, $H45, NewEmisData!$D:$D, BU$2), SUMIFS(NewEmisData!G:G, NewEmisData!$A:$A, "LDV", NewEmisData!$B:$B, $A45, NewEmisData!$C:$C, $H45, NewEmisData!$D:$D, BU$2))</f>
        <v>0.218458543904193</v>
      </c>
      <c r="BV45" s="324">
        <f>$I45*IF($G45="Pickup", SUMIFS(NewEmisData!H:H, NewEmisData!$A:$A, "Pickup", NewEmisData!$B:$B, $A45, NewEmisData!$C:$C, $H45, NewEmisData!$D:$D, BV$2), SUMIFS(NewEmisData!H:H, NewEmisData!$A:$A, "LDV", NewEmisData!$B:$B, $A45, NewEmisData!$C:$C, $H45, NewEmisData!$D:$D, BV$2))</f>
        <v>0.174207304630736</v>
      </c>
      <c r="BW45" s="324">
        <f>$I45*IF($G45="Pickup", SUMIFS(NewEmisData!I:I, NewEmisData!$A:$A, "Pickup", NewEmisData!$B:$B, $A45, NewEmisData!$C:$C, $H45, NewEmisData!$D:$D, BW$2), SUMIFS(NewEmisData!I:I, NewEmisData!$A:$A, "LDV", NewEmisData!$B:$B, $A45, NewEmisData!$C:$C, $H45, NewEmisData!$D:$D, BW$2))</f>
        <v>0.13536180371571599</v>
      </c>
      <c r="BX45" s="324">
        <f>$I45*IF($G45="Pickup", SUMIFS(NewEmisData!J:J, NewEmisData!$A:$A, "Pickup", NewEmisData!$B:$B, $A45, NewEmisData!$C:$C, $H45, NewEmisData!$D:$D, BX$2), SUMIFS(NewEmisData!J:J, NewEmisData!$A:$A, "LDV", NewEmisData!$B:$B, $A45, NewEmisData!$C:$C, $H45, NewEmisData!$D:$D, BX$2))</f>
        <v>0.11114380654549</v>
      </c>
      <c r="BY45" s="324">
        <f>$I45*IF($G45="Pickup", SUMIFS(NewEmisData!K:K, NewEmisData!$A:$A, "Pickup", NewEmisData!$B:$B, $A45, NewEmisData!$C:$C, $H45, NewEmisData!$D:$D, BY$2), SUMIFS(NewEmisData!K:K, NewEmisData!$A:$A, "LDV", NewEmisData!$B:$B, $A45, NewEmisData!$C:$C, $H45, NewEmisData!$D:$D, BY$2))</f>
        <v>0.10034512501771201</v>
      </c>
      <c r="BZ45" s="324">
        <f>$I45*IF($G45="Pickup", SUMIFS(NewEmisData!L:L, NewEmisData!$A:$A, "Pickup", NewEmisData!$B:$B, $A45, NewEmisData!$C:$C, $H45, NewEmisData!$D:$D, BZ$2), SUMIFS(NewEmisData!L:L, NewEmisData!$A:$A, "LDV", NewEmisData!$B:$B, $A45, NewEmisData!$C:$C, $H45, NewEmisData!$D:$D, BZ$2))</f>
        <v>9.7817067770384694E-2</v>
      </c>
      <c r="CA45" s="324">
        <f>$I45*IF($G45="Pickup", SUMIFS(NewEmisData!M:M, NewEmisData!$A:$A, "Pickup", NewEmisData!$B:$B, $A45, NewEmisData!$C:$C, $H45, NewEmisData!$D:$D, CA$2), SUMIFS(NewEmisData!M:M, NewEmisData!$A:$A, "LDV", NewEmisData!$B:$B, $A45, NewEmisData!$C:$C, $H45, NewEmisData!$D:$D, CA$2))</f>
        <v>9.6958015755652494E-2</v>
      </c>
      <c r="CB45" s="324">
        <f t="shared" si="11"/>
        <v>9.6958015755652494E-2</v>
      </c>
      <c r="CC45" s="324">
        <f>$I45*IF($G45="Pickup", SUMIFS(NewEmisData!E:E, NewEmisData!$A:$A, "Pickup", NewEmisData!$B:$B, $A45, NewEmisData!$C:$C, $H45, NewEmisData!$D:$D, CC$2), SUMIFS(NewEmisData!E:E, NewEmisData!$A:$A, "LDV", NewEmisData!$B:$B, $A45, NewEmisData!$C:$C, $H45, NewEmisData!$D:$D, CC$2))</f>
        <v>4.0733963003343997E-2</v>
      </c>
      <c r="CD45" s="324">
        <f>$I45*IF($G45="Pickup", SUMIFS(NewEmisData!F:F, NewEmisData!$A:$A, "Pickup", NewEmisData!$B:$B, $A45, NewEmisData!$C:$C, $H45, NewEmisData!$D:$D, CD$2), SUMIFS(NewEmisData!F:F, NewEmisData!$A:$A, "LDV", NewEmisData!$B:$B, $A45, NewEmisData!$C:$C, $H45, NewEmisData!$D:$D, CD$2))</f>
        <v>2.6884307806253501E-2</v>
      </c>
      <c r="CE45" s="324">
        <f>$I45*IF($G45="Pickup", SUMIFS(NewEmisData!G:G, NewEmisData!$A:$A, "Pickup", NewEmisData!$B:$B, $A45, NewEmisData!$C:$C, $H45, NewEmisData!$D:$D, CE$2), SUMIFS(NewEmisData!G:G, NewEmisData!$A:$A, "LDV", NewEmisData!$B:$B, $A45, NewEmisData!$C:$C, $H45, NewEmisData!$D:$D, CE$2))</f>
        <v>2.76712883842389E-2</v>
      </c>
      <c r="CF45" s="324">
        <f>$I45*IF($G45="Pickup", SUMIFS(NewEmisData!H:H, NewEmisData!$A:$A, "Pickup", NewEmisData!$B:$B, $A45, NewEmisData!$C:$C, $H45, NewEmisData!$D:$D, CF$2), SUMIFS(NewEmisData!H:H, NewEmisData!$A:$A, "LDV", NewEmisData!$B:$B, $A45, NewEmisData!$C:$C, $H45, NewEmisData!$D:$D, CF$2))</f>
        <v>2.6800927526971399E-2</v>
      </c>
      <c r="CG45" s="324">
        <f>$I45*IF($G45="Pickup", SUMIFS(NewEmisData!I:I, NewEmisData!$A:$A, "Pickup", NewEmisData!$B:$B, $A45, NewEmisData!$C:$C, $H45, NewEmisData!$D:$D, CG$2), SUMIFS(NewEmisData!I:I, NewEmisData!$A:$A, "LDV", NewEmisData!$B:$B, $A45, NewEmisData!$C:$C, $H45, NewEmisData!$D:$D, CG$2))</f>
        <v>2.6625500716845999E-2</v>
      </c>
      <c r="CH45" s="324">
        <f>$I45*IF($G45="Pickup", SUMIFS(NewEmisData!J:J, NewEmisData!$A:$A, "Pickup", NewEmisData!$B:$B, $A45, NewEmisData!$C:$C, $H45, NewEmisData!$D:$D, CH$2), SUMIFS(NewEmisData!J:J, NewEmisData!$A:$A, "LDV", NewEmisData!$B:$B, $A45, NewEmisData!$C:$C, $H45, NewEmisData!$D:$D, CH$2))</f>
        <v>2.6517187664905299E-2</v>
      </c>
      <c r="CI45" s="324">
        <f>$I45*IF($G45="Pickup", SUMIFS(NewEmisData!K:K, NewEmisData!$A:$A, "Pickup", NewEmisData!$B:$B, $A45, NewEmisData!$C:$C, $H45, NewEmisData!$D:$D, CI$2), SUMIFS(NewEmisData!K:K, NewEmisData!$A:$A, "LDV", NewEmisData!$B:$B, $A45, NewEmisData!$C:$C, $H45, NewEmisData!$D:$D, CI$2))</f>
        <v>2.6514765121336398E-2</v>
      </c>
      <c r="CJ45" s="324">
        <f>$I45*IF($G45="Pickup", SUMIFS(NewEmisData!L:L, NewEmisData!$A:$A, "Pickup", NewEmisData!$B:$B, $A45, NewEmisData!$C:$C, $H45, NewEmisData!$D:$D, CJ$2), SUMIFS(NewEmisData!L:L, NewEmisData!$A:$A, "LDV", NewEmisData!$B:$B, $A45, NewEmisData!$C:$C, $H45, NewEmisData!$D:$D, CJ$2))</f>
        <v>2.6514982004052799E-2</v>
      </c>
      <c r="CK45" s="324">
        <f>$I45*IF($G45="Pickup", SUMIFS(NewEmisData!M:M, NewEmisData!$A:$A, "Pickup", NewEmisData!$B:$B, $A45, NewEmisData!$C:$C, $H45, NewEmisData!$D:$D, CK$2), SUMIFS(NewEmisData!M:M, NewEmisData!$A:$A, "LDV", NewEmisData!$B:$B, $A45, NewEmisData!$C:$C, $H45, NewEmisData!$D:$D, CK$2))</f>
        <v>2.6514840985617901E-2</v>
      </c>
      <c r="CL45" s="324">
        <f t="shared" si="12"/>
        <v>2.6514840985617901E-2</v>
      </c>
      <c r="CM45" s="324">
        <f>$I45*IF($G45="Pickup", SUMIFS(NewEmisData!E:E, NewEmisData!$A:$A, "Pickup", NewEmisData!$B:$B, $A45, NewEmisData!$C:$C, $H45, NewEmisData!$D:$D, CM$2), SUMIFS(NewEmisData!E:E, NewEmisData!$A:$A, "LDV", NewEmisData!$B:$B, $A45, NewEmisData!$C:$C, $H45, NewEmisData!$D:$D, CM$2))</f>
        <v>3.2554396642423301E-2</v>
      </c>
      <c r="CN45" s="324">
        <f>$I45*IF($G45="Pickup", SUMIFS(NewEmisData!F:F, NewEmisData!$A:$A, "Pickup", NewEmisData!$B:$B, $A45, NewEmisData!$C:$C, $H45, NewEmisData!$D:$D, CN$2), SUMIFS(NewEmisData!F:F, NewEmisData!$A:$A, "LDV", NewEmisData!$B:$B, $A45, NewEmisData!$C:$C, $H45, NewEmisData!$D:$D, CN$2))</f>
        <v>1.6017649581510501E-2</v>
      </c>
      <c r="CO45" s="324">
        <f>$I45*IF($G45="Pickup", SUMIFS(NewEmisData!G:G, NewEmisData!$A:$A, "Pickup", NewEmisData!$B:$B, $A45, NewEmisData!$C:$C, $H45, NewEmisData!$D:$D, CO$2), SUMIFS(NewEmisData!G:G, NewEmisData!$A:$A, "LDV", NewEmisData!$B:$B, $A45, NewEmisData!$C:$C, $H45, NewEmisData!$D:$D, CO$2))</f>
        <v>1.28180229048352E-2</v>
      </c>
      <c r="CP45" s="324">
        <f>$I45*IF($G45="Pickup", SUMIFS(NewEmisData!H:H, NewEmisData!$A:$A, "Pickup", NewEmisData!$B:$B, $A45, NewEmisData!$C:$C, $H45, NewEmisData!$D:$D, CP$2), SUMIFS(NewEmisData!H:H, NewEmisData!$A:$A, "LDV", NewEmisData!$B:$B, $A45, NewEmisData!$C:$C, $H45, NewEmisData!$D:$D, CP$2))</f>
        <v>1.0583305909777799E-2</v>
      </c>
      <c r="CQ45" s="324">
        <f>$I45*IF($G45="Pickup", SUMIFS(NewEmisData!I:I, NewEmisData!$A:$A, "Pickup", NewEmisData!$B:$B, $A45, NewEmisData!$C:$C, $H45, NewEmisData!$D:$D, CQ$2), SUMIFS(NewEmisData!I:I, NewEmisData!$A:$A, "LDV", NewEmisData!$B:$B, $A45, NewEmisData!$C:$C, $H45, NewEmisData!$D:$D, CQ$2))</f>
        <v>9.8706266624545898E-3</v>
      </c>
      <c r="CR45" s="324">
        <f>$I45*IF($G45="Pickup", SUMIFS(NewEmisData!J:J, NewEmisData!$A:$A, "Pickup", NewEmisData!$B:$B, $A45, NewEmisData!$C:$C, $H45, NewEmisData!$D:$D, CR$2), SUMIFS(NewEmisData!J:J, NewEmisData!$A:$A, "LDV", NewEmisData!$B:$B, $A45, NewEmisData!$C:$C, $H45, NewEmisData!$D:$D, CR$2))</f>
        <v>9.6808540163978701E-3</v>
      </c>
      <c r="CS45" s="324">
        <f>$I45*IF($G45="Pickup", SUMIFS(NewEmisData!K:K, NewEmisData!$A:$A, "Pickup", NewEmisData!$B:$B, $A45, NewEmisData!$C:$C, $H45, NewEmisData!$D:$D, CS$2), SUMIFS(NewEmisData!K:K, NewEmisData!$A:$A, "LDV", NewEmisData!$B:$B, $A45, NewEmisData!$C:$C, $H45, NewEmisData!$D:$D, CS$2))</f>
        <v>9.6638213571883201E-3</v>
      </c>
      <c r="CT45" s="324">
        <f>$I45*IF($G45="Pickup", SUMIFS(NewEmisData!L:L, NewEmisData!$A:$A, "Pickup", NewEmisData!$B:$B, $A45, NewEmisData!$C:$C, $H45, NewEmisData!$D:$D, CT$2), SUMIFS(NewEmisData!L:L, NewEmisData!$A:$A, "LDV", NewEmisData!$B:$B, $A45, NewEmisData!$C:$C, $H45, NewEmisData!$D:$D, CT$2))</f>
        <v>9.6518757254844302E-3</v>
      </c>
      <c r="CU45" s="324">
        <f>$I45*IF($G45="Pickup", SUMIFS(NewEmisData!M:M, NewEmisData!$A:$A, "Pickup", NewEmisData!$B:$B, $A45, NewEmisData!$C:$C, $H45, NewEmisData!$D:$D, CU$2), SUMIFS(NewEmisData!M:M, NewEmisData!$A:$A, "LDV", NewEmisData!$B:$B, $A45, NewEmisData!$C:$C, $H45, NewEmisData!$D:$D, CU$2))</f>
        <v>9.6517300620170606E-3</v>
      </c>
      <c r="CV45" s="324">
        <f t="shared" si="13"/>
        <v>9.6517300620170606E-3</v>
      </c>
      <c r="CW45" s="324">
        <v>4.0498104655261064E-3</v>
      </c>
      <c r="CX45" s="324">
        <v>2.5030350838759993E-3</v>
      </c>
      <c r="CY45" s="324">
        <v>2.1151214403419519E-3</v>
      </c>
      <c r="CZ45" s="324">
        <v>1.7489979687569375E-3</v>
      </c>
      <c r="DA45" s="324">
        <v>1.340486996695321E-3</v>
      </c>
      <c r="DB45" s="324">
        <v>1.0553769116342638E-3</v>
      </c>
      <c r="DC45" s="324">
        <v>1.0132227560056145E-3</v>
      </c>
      <c r="DD45" s="324">
        <v>1.0003159541004489E-3</v>
      </c>
      <c r="DE45" s="324">
        <v>9.9860782000699166E-4</v>
      </c>
      <c r="DF45" s="324">
        <v>9.9860782000699166E-4</v>
      </c>
      <c r="DG45" s="324">
        <f>$I45*IF($G45="Pickup", SUMIFS(NewEmisData!E:E, NewEmisData!$A:$A, "Pickup", NewEmisData!$B:$B, $A45, NewEmisData!$C:$C, $H45, NewEmisData!$D:$D, DG$2), SUMIFS(NewEmisData!E:E, NewEmisData!$A:$A, "LDV", NewEmisData!$B:$B, $A45, NewEmisData!$C:$C, $H45, NewEmisData!$D:$D, DG$2))</f>
        <v>0</v>
      </c>
      <c r="DH45" s="324">
        <f>$I45*IF($G45="Pickup", SUMIFS(NewEmisData!F:F, NewEmisData!$A:$A, "Pickup", NewEmisData!$B:$B, $A45, NewEmisData!$C:$C, $H45, NewEmisData!$D:$D, DH$2), SUMIFS(NewEmisData!F:F, NewEmisData!$A:$A, "LDV", NewEmisData!$B:$B, $A45, NewEmisData!$C:$C, $H45, NewEmisData!$D:$D, DH$2))</f>
        <v>0</v>
      </c>
      <c r="DI45" s="324">
        <f>$I45*IF($G45="Pickup", SUMIFS(NewEmisData!G:G, NewEmisData!$A:$A, "Pickup", NewEmisData!$B:$B, $A45, NewEmisData!$C:$C, $H45, NewEmisData!$D:$D, DI$2), SUMIFS(NewEmisData!G:G, NewEmisData!$A:$A, "LDV", NewEmisData!$B:$B, $A45, NewEmisData!$C:$C, $H45, NewEmisData!$D:$D, DI$2))</f>
        <v>0</v>
      </c>
      <c r="DJ45" s="324">
        <f>$I45*IF($G45="Pickup", SUMIFS(NewEmisData!H:H, NewEmisData!$A:$A, "Pickup", NewEmisData!$B:$B, $A45, NewEmisData!$C:$C, $H45, NewEmisData!$D:$D, DJ$2), SUMIFS(NewEmisData!H:H, NewEmisData!$A:$A, "LDV", NewEmisData!$B:$B, $A45, NewEmisData!$C:$C, $H45, NewEmisData!$D:$D, DJ$2))</f>
        <v>0</v>
      </c>
      <c r="DK45" s="324">
        <f>$I45*IF($G45="Pickup", SUMIFS(NewEmisData!I:I, NewEmisData!$A:$A, "Pickup", NewEmisData!$B:$B, $A45, NewEmisData!$C:$C, $H45, NewEmisData!$D:$D, DK$2), SUMIFS(NewEmisData!I:I, NewEmisData!$A:$A, "LDV", NewEmisData!$B:$B, $A45, NewEmisData!$C:$C, $H45, NewEmisData!$D:$D, DK$2))</f>
        <v>0</v>
      </c>
      <c r="DL45" s="324">
        <f>$I45*IF($G45="Pickup", SUMIFS(NewEmisData!J:J, NewEmisData!$A:$A, "Pickup", NewEmisData!$B:$B, $A45, NewEmisData!$C:$C, $H45, NewEmisData!$D:$D, DL$2), SUMIFS(NewEmisData!J:J, NewEmisData!$A:$A, "LDV", NewEmisData!$B:$B, $A45, NewEmisData!$C:$C, $H45, NewEmisData!$D:$D, DL$2))</f>
        <v>0</v>
      </c>
      <c r="DM45" s="324">
        <f>$I45*IF($G45="Pickup", SUMIFS(NewEmisData!K:K, NewEmisData!$A:$A, "Pickup", NewEmisData!$B:$B, $A45, NewEmisData!$C:$C, $H45, NewEmisData!$D:$D, DM$2), SUMIFS(NewEmisData!K:K, NewEmisData!$A:$A, "LDV", NewEmisData!$B:$B, $A45, NewEmisData!$C:$C, $H45, NewEmisData!$D:$D, DM$2))</f>
        <v>0</v>
      </c>
      <c r="DN45" s="324">
        <f>$I45*IF($G45="Pickup", SUMIFS(NewEmisData!L:L, NewEmisData!$A:$A, "Pickup", NewEmisData!$B:$B, $A45, NewEmisData!$C:$C, $H45, NewEmisData!$D:$D, DN$2), SUMIFS(NewEmisData!L:L, NewEmisData!$A:$A, "LDV", NewEmisData!$B:$B, $A45, NewEmisData!$C:$C, $H45, NewEmisData!$D:$D, DN$2))</f>
        <v>0</v>
      </c>
      <c r="DO45" s="324">
        <f>$I45*IF($G45="Pickup", SUMIFS(NewEmisData!M:M, NewEmisData!$A:$A, "Pickup", NewEmisData!$B:$B, $A45, NewEmisData!$C:$C, $H45, NewEmisData!$D:$D, DO$2), SUMIFS(NewEmisData!M:M, NewEmisData!$A:$A, "LDV", NewEmisData!$B:$B, $A45, NewEmisData!$C:$C, $H45, NewEmisData!$D:$D, DO$2))</f>
        <v>0</v>
      </c>
      <c r="DP45" s="324">
        <f t="shared" si="14"/>
        <v>0</v>
      </c>
      <c r="DQ45" s="324">
        <f>$I45*IF($G45="Pickup", SUMIFS(NewEmisData!E:E, NewEmisData!$A:$A, "Pickup", NewEmisData!$B:$B, $A45, NewEmisData!$C:$C, $H45, NewEmisData!$D:$D, DQ$2), SUMIFS(NewEmisData!E:E, NewEmisData!$A:$A, "LDV", NewEmisData!$B:$B, $A45, NewEmisData!$C:$C, $H45, NewEmisData!$D:$D, DQ$2))</f>
        <v>2.6956018112566399E-2</v>
      </c>
      <c r="DR45" s="324">
        <f>$I45*IF($G45="Pickup", SUMIFS(NewEmisData!F:F, NewEmisData!$A:$A, "Pickup", NewEmisData!$B:$B, $A45, NewEmisData!$C:$C, $H45, NewEmisData!$D:$D, DR$2), SUMIFS(NewEmisData!F:F, NewEmisData!$A:$A, "LDV", NewEmisData!$B:$B, $A45, NewEmisData!$C:$C, $H45, NewEmisData!$D:$D, DR$2))</f>
        <v>1.34658307347327E-2</v>
      </c>
      <c r="DS45" s="324">
        <f>$I45*IF($G45="Pickup", SUMIFS(NewEmisData!G:G, NewEmisData!$A:$A, "Pickup", NewEmisData!$B:$B, $A45, NewEmisData!$C:$C, $H45, NewEmisData!$D:$D, DS$2), SUMIFS(NewEmisData!G:G, NewEmisData!$A:$A, "LDV", NewEmisData!$B:$B, $A45, NewEmisData!$C:$C, $H45, NewEmisData!$D:$D, DS$2))</f>
        <v>9.3894603021837404E-3</v>
      </c>
      <c r="DT45" s="324">
        <f>$I45*IF($G45="Pickup", SUMIFS(NewEmisData!H:H, NewEmisData!$A:$A, "Pickup", NewEmisData!$B:$B, $A45, NewEmisData!$C:$C, $H45, NewEmisData!$D:$D, DT$2), SUMIFS(NewEmisData!H:H, NewEmisData!$A:$A, "LDV", NewEmisData!$B:$B, $A45, NewEmisData!$C:$C, $H45, NewEmisData!$D:$D, DT$2))</f>
        <v>7.0033629233446602E-3</v>
      </c>
      <c r="DU45" s="324">
        <f>$I45*IF($G45="Pickup", SUMIFS(NewEmisData!I:I, NewEmisData!$A:$A, "Pickup", NewEmisData!$B:$B, $A45, NewEmisData!$C:$C, $H45, NewEmisData!$D:$D, DU$2), SUMIFS(NewEmisData!I:I, NewEmisData!$A:$A, "LDV", NewEmisData!$B:$B, $A45, NewEmisData!$C:$C, $H45, NewEmisData!$D:$D, DU$2))</f>
        <v>5.3239927293304897E-3</v>
      </c>
      <c r="DV45" s="324">
        <f>$I45*IF($G45="Pickup", SUMIFS(NewEmisData!J:J, NewEmisData!$A:$A, "Pickup", NewEmisData!$B:$B, $A45, NewEmisData!$C:$C, $H45, NewEmisData!$D:$D, DV$2), SUMIFS(NewEmisData!J:J, NewEmisData!$A:$A, "LDV", NewEmisData!$B:$B, $A45, NewEmisData!$C:$C, $H45, NewEmisData!$D:$D, DV$2))</f>
        <v>4.3843601374209101E-3</v>
      </c>
      <c r="DW45" s="324">
        <f>$I45*IF($G45="Pickup", SUMIFS(NewEmisData!K:K, NewEmisData!$A:$A, "Pickup", NewEmisData!$B:$B, $A45, NewEmisData!$C:$C, $H45, NewEmisData!$D:$D, DW$2), SUMIFS(NewEmisData!K:K, NewEmisData!$A:$A, "LDV", NewEmisData!$B:$B, $A45, NewEmisData!$C:$C, $H45, NewEmisData!$D:$D, DW$2))</f>
        <v>4.0098404179204098E-3</v>
      </c>
      <c r="DX45" s="324">
        <f>$I45*IF($G45="Pickup", SUMIFS(NewEmisData!L:L, NewEmisData!$A:$A, "Pickup", NewEmisData!$B:$B, $A45, NewEmisData!$C:$C, $H45, NewEmisData!$D:$D, DX$2), SUMIFS(NewEmisData!L:L, NewEmisData!$A:$A, "LDV", NewEmisData!$B:$B, $A45, NewEmisData!$C:$C, $H45, NewEmisData!$D:$D, DX$2))</f>
        <v>3.9353236892684601E-3</v>
      </c>
      <c r="DY45" s="324">
        <f>$I45*IF($G45="Pickup", SUMIFS(NewEmisData!M:M, NewEmisData!$A:$A, "Pickup", NewEmisData!$B:$B, $A45, NewEmisData!$C:$C, $H45, NewEmisData!$D:$D, DY$2), SUMIFS(NewEmisData!M:M, NewEmisData!$A:$A, "LDV", NewEmisData!$B:$B, $A45, NewEmisData!$C:$C, $H45, NewEmisData!$D:$D, DY$2))</f>
        <v>3.9163261358457898E-3</v>
      </c>
      <c r="DZ45" s="324">
        <f t="shared" si="15"/>
        <v>3.9163261358457898E-3</v>
      </c>
      <c r="EA45" s="324">
        <f t="shared" si="16"/>
        <v>643.29881695558004</v>
      </c>
      <c r="EB45" s="324">
        <f t="shared" si="17"/>
        <v>583.43082633307301</v>
      </c>
      <c r="EC45" s="324">
        <f t="shared" si="18"/>
        <v>563.26223885442596</v>
      </c>
      <c r="ED45" s="324">
        <f t="shared" si="19"/>
        <v>471.244671967888</v>
      </c>
      <c r="EE45" s="324">
        <f t="shared" si="20"/>
        <v>412.13992934500197</v>
      </c>
      <c r="EF45" s="324">
        <f t="shared" si="21"/>
        <v>382.15841850216998</v>
      </c>
      <c r="EG45" s="324">
        <f t="shared" si="22"/>
        <v>369.00588961547999</v>
      </c>
      <c r="EH45" s="324">
        <f t="shared" si="23"/>
        <v>366.289622530256</v>
      </c>
      <c r="EI45" s="324">
        <f t="shared" si="24"/>
        <v>365.86844674955302</v>
      </c>
      <c r="EJ45" s="324">
        <f t="shared" si="25"/>
        <v>365.86844674955302</v>
      </c>
      <c r="EK45" s="324">
        <f t="shared" si="26"/>
        <v>1.0718533711852101</v>
      </c>
      <c r="EL45" s="324">
        <f t="shared" si="27"/>
        <v>0.36460893881337703</v>
      </c>
      <c r="EM45" s="324">
        <f t="shared" si="28"/>
        <v>0.21511450722659001</v>
      </c>
      <c r="EN45" s="324">
        <f t="shared" si="29"/>
        <v>0.139073943805895</v>
      </c>
      <c r="EO45" s="324">
        <f t="shared" si="30"/>
        <v>9.3994703060775397E-2</v>
      </c>
      <c r="EP45" s="324">
        <f t="shared" si="31"/>
        <v>6.4842069109482106E-2</v>
      </c>
      <c r="EQ45" s="324">
        <f t="shared" si="32"/>
        <v>5.3324297371198003E-2</v>
      </c>
      <c r="ER45" s="324">
        <f t="shared" si="33"/>
        <v>5.1077075101125899E-2</v>
      </c>
      <c r="ES45" s="324">
        <f t="shared" si="34"/>
        <v>5.0515001573367802E-2</v>
      </c>
      <c r="ET45" s="324">
        <f t="shared" si="35"/>
        <v>5.0515001573367802E-2</v>
      </c>
      <c r="EU45" s="324">
        <f t="shared" si="36"/>
        <v>1.1131330015415801E-2</v>
      </c>
      <c r="EV45" s="324">
        <f t="shared" si="37"/>
        <v>1.0095400092945701E-2</v>
      </c>
      <c r="EW45" s="324">
        <f t="shared" si="38"/>
        <v>8.0802908150159908E-3</v>
      </c>
      <c r="EX45" s="324">
        <f t="shared" si="39"/>
        <v>6.7602528861516898E-3</v>
      </c>
      <c r="EY45" s="324">
        <f t="shared" si="40"/>
        <v>5.91236027599469E-3</v>
      </c>
      <c r="EZ45" s="324">
        <f t="shared" si="41"/>
        <v>5.4822597906763401E-3</v>
      </c>
      <c r="FA45" s="324">
        <f t="shared" si="42"/>
        <v>5.2935788275333302E-3</v>
      </c>
      <c r="FB45" s="324">
        <f t="shared" si="43"/>
        <v>5.2546135130106296E-3</v>
      </c>
      <c r="FC45" s="324">
        <f t="shared" si="44"/>
        <v>5.2485706596045499E-3</v>
      </c>
      <c r="FD45" s="324">
        <f t="shared" si="45"/>
        <v>5.2485706596045499E-3</v>
      </c>
      <c r="FE45" s="324">
        <f t="shared" si="46"/>
        <v>8.4672967273815902E-2</v>
      </c>
      <c r="FF45" s="324">
        <f t="shared" si="47"/>
        <v>8.05962896778539E-2</v>
      </c>
      <c r="FG45" s="324">
        <f t="shared" si="48"/>
        <v>8.8160367229529593E-2</v>
      </c>
      <c r="FH45" s="324">
        <f t="shared" si="49"/>
        <v>8.6879117258843994E-2</v>
      </c>
      <c r="FI45" s="324">
        <f t="shared" si="50"/>
        <v>8.54475878127927E-2</v>
      </c>
      <c r="FJ45" s="324">
        <f t="shared" si="51"/>
        <v>8.4196574123060697E-2</v>
      </c>
      <c r="FK45" s="324">
        <f t="shared" si="52"/>
        <v>8.3484871045575698E-2</v>
      </c>
      <c r="FL45" s="324">
        <f t="shared" si="53"/>
        <v>8.3214240833257597E-2</v>
      </c>
      <c r="FM45" s="324">
        <f t="shared" si="54"/>
        <v>8.3146851731389901E-2</v>
      </c>
      <c r="FN45" s="324">
        <f t="shared" si="55"/>
        <v>8.3146851731389901E-2</v>
      </c>
      <c r="FO45" s="324">
        <f t="shared" si="56"/>
        <v>1.9937709526913299E-2</v>
      </c>
      <c r="FP45" s="324">
        <f t="shared" si="57"/>
        <v>1.6339868026240802E-2</v>
      </c>
      <c r="FQ45" s="324">
        <f t="shared" si="58"/>
        <v>1.6728363465573801E-2</v>
      </c>
      <c r="FR45" s="324">
        <f t="shared" si="59"/>
        <v>1.55904538446416E-2</v>
      </c>
      <c r="FS45" s="324">
        <f t="shared" si="60"/>
        <v>1.4321167303148301E-2</v>
      </c>
      <c r="FT45" s="324">
        <f t="shared" si="61"/>
        <v>1.3213602203576201E-2</v>
      </c>
      <c r="FU45" s="324">
        <f t="shared" si="62"/>
        <v>1.2583846199447499E-2</v>
      </c>
      <c r="FV45" s="324">
        <f t="shared" si="63"/>
        <v>1.2344410378048599E-2</v>
      </c>
      <c r="FW45" s="324">
        <f t="shared" si="64"/>
        <v>1.2284860332200101E-2</v>
      </c>
      <c r="FX45" s="324">
        <f t="shared" si="65"/>
        <v>1.2284860332200101E-2</v>
      </c>
    </row>
    <row r="46" spans="1:180" x14ac:dyDescent="0.2">
      <c r="A46" s="298" t="str">
        <f>_xlfn.CONCAT(IF(LEFT(TRIM(A45),1)="*", "*R", "R"), 1+RIGHT(TRIM(A45),1))</f>
        <v>R3</v>
      </c>
      <c r="B46" s="298" t="str">
        <f t="shared" ref="B46:B49" si="102">B45</f>
        <v>TLEPGSL</v>
      </c>
      <c r="C46" s="298" t="str">
        <f t="shared" ref="C46:C49" si="103">C45</f>
        <v>TL.GSL.P.Existing Fleet</v>
      </c>
      <c r="D46" s="294" t="str">
        <f t="shared" ref="D46:D49" si="104">D45</f>
        <v>bn-vmt, bn-vmt/a</v>
      </c>
      <c r="E46" s="294" t="str">
        <f t="shared" ref="E46:E49" si="105">E45</f>
        <v>TLGSL</v>
      </c>
      <c r="F46" s="294" t="str">
        <f t="shared" ref="F46:F49" si="106">F45</f>
        <v>TL</v>
      </c>
      <c r="G46" s="294" t="s">
        <v>329</v>
      </c>
      <c r="H46" s="294" t="s">
        <v>474</v>
      </c>
      <c r="I46" s="294">
        <v>1</v>
      </c>
      <c r="J46" s="308" t="str">
        <f t="shared" si="101"/>
        <v>Pickup-GSL</v>
      </c>
      <c r="K46" s="324">
        <f>$I46*IF($G46="Pickup", SUMIFS(NewEmisData!E:E, NewEmisData!$A:$A, "Pickup", NewEmisData!$B:$B, $A46, NewEmisData!$C:$C, $H46, NewEmisData!$D:$D, K$2), SUMIFS(NewEmisData!E:E, NewEmisData!$A:$A, "LDV", NewEmisData!$B:$B, $A46, NewEmisData!$C:$C, $H46, NewEmisData!$D:$D, K$2))</f>
        <v>597.33559757265004</v>
      </c>
      <c r="L46" s="324">
        <f>$I46*IF($G46="Pickup", SUMIFS(NewEmisData!F:F, NewEmisData!$A:$A, "Pickup", NewEmisData!$B:$B, $A46, NewEmisData!$C:$C, $H46, NewEmisData!$D:$D, L$2), SUMIFS(NewEmisData!F:F, NewEmisData!$A:$A, "LDV", NewEmisData!$B:$B, $A46, NewEmisData!$C:$C, $H46, NewEmisData!$D:$D, L$2))</f>
        <v>553.28127212576896</v>
      </c>
      <c r="M46" s="324">
        <f>$I46*IF($G46="Pickup", SUMIFS(NewEmisData!G:G, NewEmisData!$A:$A, "Pickup", NewEmisData!$B:$B, $A46, NewEmisData!$C:$C, $H46, NewEmisData!$D:$D, M$2), SUMIFS(NewEmisData!G:G, NewEmisData!$A:$A, "LDV", NewEmisData!$B:$B, $A46, NewEmisData!$C:$C, $H46, NewEmisData!$D:$D, M$2))</f>
        <v>493.82406756493799</v>
      </c>
      <c r="N46" s="324">
        <f>$I46*IF($G46="Pickup", SUMIFS(NewEmisData!H:H, NewEmisData!$A:$A, "Pickup", NewEmisData!$B:$B, $A46, NewEmisData!$C:$C, $H46, NewEmisData!$D:$D, N$2), SUMIFS(NewEmisData!H:H, NewEmisData!$A:$A, "LDV", NewEmisData!$B:$B, $A46, NewEmisData!$C:$C, $H46, NewEmisData!$D:$D, N$2))</f>
        <v>412.98439479110601</v>
      </c>
      <c r="O46" s="324">
        <f>$I46*IF($G46="Pickup", SUMIFS(NewEmisData!I:I, NewEmisData!$A:$A, "Pickup", NewEmisData!$B:$B, $A46, NewEmisData!$C:$C, $H46, NewEmisData!$D:$D, O$2), SUMIFS(NewEmisData!I:I, NewEmisData!$A:$A, "LDV", NewEmisData!$B:$B, $A46, NewEmisData!$C:$C, $H46, NewEmisData!$D:$D, O$2))</f>
        <v>361.12439946055099</v>
      </c>
      <c r="P46" s="324">
        <f>$I46*IF($G46="Pickup", SUMIFS(NewEmisData!J:J, NewEmisData!$A:$A, "Pickup", NewEmisData!$B:$B, $A46, NewEmisData!$C:$C, $H46, NewEmisData!$D:$D, P$2), SUMIFS(NewEmisData!J:J, NewEmisData!$A:$A, "LDV", NewEmisData!$B:$B, $A46, NewEmisData!$C:$C, $H46, NewEmisData!$D:$D, P$2))</f>
        <v>334.85995891651203</v>
      </c>
      <c r="Q46" s="324">
        <f>$I46*IF($G46="Pickup", SUMIFS(NewEmisData!K:K, NewEmisData!$A:$A, "Pickup", NewEmisData!$B:$B, $A46, NewEmisData!$C:$C, $H46, NewEmisData!$D:$D, Q$2), SUMIFS(NewEmisData!K:K, NewEmisData!$A:$A, "LDV", NewEmisData!$B:$B, $A46, NewEmisData!$C:$C, $H46, NewEmisData!$D:$D, Q$2))</f>
        <v>323.34611754862402</v>
      </c>
      <c r="R46" s="324">
        <f>$I46*IF($G46="Pickup", SUMIFS(NewEmisData!L:L, NewEmisData!$A:$A, "Pickup", NewEmisData!$B:$B, $A46, NewEmisData!$C:$C, $H46, NewEmisData!$D:$D, R$2), SUMIFS(NewEmisData!L:L, NewEmisData!$A:$A, "LDV", NewEmisData!$B:$B, $A46, NewEmisData!$C:$C, $H46, NewEmisData!$D:$D, R$2))</f>
        <v>320.96738270464499</v>
      </c>
      <c r="S46" s="324">
        <f>$I46*IF($G46="Pickup", SUMIFS(NewEmisData!M:M, NewEmisData!$A:$A, "Pickup", NewEmisData!$B:$B, $A46, NewEmisData!$C:$C, $H46, NewEmisData!$D:$D, S$2), SUMIFS(NewEmisData!M:M, NewEmisData!$A:$A, "LDV", NewEmisData!$B:$B, $A46, NewEmisData!$C:$C, $H46, NewEmisData!$D:$D, S$2))</f>
        <v>320.59740368618702</v>
      </c>
      <c r="T46" s="324">
        <f t="shared" si="5"/>
        <v>320.59740368618702</v>
      </c>
      <c r="U46" s="324">
        <f>$I46*IF($G46="Pickup", SUMIFS(NewEmisData!E:E, NewEmisData!$A:$A, "Pickup", NewEmisData!$B:$B, $A46, NewEmisData!$C:$C, $H46, NewEmisData!$D:$D, U$2), SUMIFS(NewEmisData!E:E, NewEmisData!$A:$A, "LDV", NewEmisData!$B:$B, $A46, NewEmisData!$C:$C, $H46, NewEmisData!$D:$D, U$2))</f>
        <v>1.1576605941285101</v>
      </c>
      <c r="V46" s="324">
        <f>$I46*IF($G46="Pickup", SUMIFS(NewEmisData!F:F, NewEmisData!$A:$A, "Pickup", NewEmisData!$B:$B, $A46, NewEmisData!$C:$C, $H46, NewEmisData!$D:$D, V$2), SUMIFS(NewEmisData!F:F, NewEmisData!$A:$A, "LDV", NewEmisData!$B:$B, $A46, NewEmisData!$C:$C, $H46, NewEmisData!$D:$D, V$2))</f>
        <v>0.37657543091819101</v>
      </c>
      <c r="W46" s="324">
        <f>$I46*IF($G46="Pickup", SUMIFS(NewEmisData!G:G, NewEmisData!$A:$A, "Pickup", NewEmisData!$B:$B, $A46, NewEmisData!$C:$C, $H46, NewEmisData!$D:$D, W$2), SUMIFS(NewEmisData!G:G, NewEmisData!$A:$A, "LDV", NewEmisData!$B:$B, $A46, NewEmisData!$C:$C, $H46, NewEmisData!$D:$D, W$2))</f>
        <v>0.200631007186098</v>
      </c>
      <c r="X46" s="324">
        <f>$I46*IF($G46="Pickup", SUMIFS(NewEmisData!H:H, NewEmisData!$A:$A, "Pickup", NewEmisData!$B:$B, $A46, NewEmisData!$C:$C, $H46, NewEmisData!$D:$D, X$2), SUMIFS(NewEmisData!H:H, NewEmisData!$A:$A, "LDV", NewEmisData!$B:$B, $A46, NewEmisData!$C:$C, $H46, NewEmisData!$D:$D, X$2))</f>
        <v>0.130138169147933</v>
      </c>
      <c r="Y46" s="324">
        <f>$I46*IF($G46="Pickup", SUMIFS(NewEmisData!I:I, NewEmisData!$A:$A, "Pickup", NewEmisData!$B:$B, $A46, NewEmisData!$C:$C, $H46, NewEmisData!$D:$D, Y$2), SUMIFS(NewEmisData!I:I, NewEmisData!$A:$A, "LDV", NewEmisData!$B:$B, $A46, NewEmisData!$C:$C, $H46, NewEmisData!$D:$D, Y$2))</f>
        <v>8.7384287154233006E-2</v>
      </c>
      <c r="Z46" s="324">
        <f>$I46*IF($G46="Pickup", SUMIFS(NewEmisData!J:J, NewEmisData!$A:$A, "Pickup", NewEmisData!$B:$B, $A46, NewEmisData!$C:$C, $H46, NewEmisData!$D:$D, Z$2), SUMIFS(NewEmisData!J:J, NewEmisData!$A:$A, "LDV", NewEmisData!$B:$B, $A46, NewEmisData!$C:$C, $H46, NewEmisData!$D:$D, Z$2))</f>
        <v>5.9391933302032802E-2</v>
      </c>
      <c r="AA46" s="324">
        <f>$I46*IF($G46="Pickup", SUMIFS(NewEmisData!K:K, NewEmisData!$A:$A, "Pickup", NewEmisData!$B:$B, $A46, NewEmisData!$C:$C, $H46, NewEmisData!$D:$D, AA$2), SUMIFS(NewEmisData!K:K, NewEmisData!$A:$A, "LDV", NewEmisData!$B:$B, $A46, NewEmisData!$C:$C, $H46, NewEmisData!$D:$D, AA$2))</f>
        <v>4.8180846872995502E-2</v>
      </c>
      <c r="AB46" s="324">
        <f>$I46*IF($G46="Pickup", SUMIFS(NewEmisData!L:L, NewEmisData!$A:$A, "Pickup", NewEmisData!$B:$B, $A46, NewEmisData!$C:$C, $H46, NewEmisData!$D:$D, AB$2), SUMIFS(NewEmisData!L:L, NewEmisData!$A:$A, "LDV", NewEmisData!$B:$B, $A46, NewEmisData!$C:$C, $H46, NewEmisData!$D:$D, AB$2))</f>
        <v>4.5998445887843901E-2</v>
      </c>
      <c r="AC46" s="324">
        <f>$I46*IF($G46="Pickup", SUMIFS(NewEmisData!M:M, NewEmisData!$A:$A, "Pickup", NewEmisData!$B:$B, $A46, NewEmisData!$C:$C, $H46, NewEmisData!$D:$D, AC$2), SUMIFS(NewEmisData!M:M, NewEmisData!$A:$A, "LDV", NewEmisData!$B:$B, $A46, NewEmisData!$C:$C, $H46, NewEmisData!$D:$D, AC$2))</f>
        <v>4.5463770278463003E-2</v>
      </c>
      <c r="AD46" s="324">
        <f t="shared" si="6"/>
        <v>4.5463770278463003E-2</v>
      </c>
      <c r="AE46" s="324">
        <f>$I46*IF($G46="Pickup", SUMIFS(NewEmisData!E:E, NewEmisData!$A:$A, "Pickup", NewEmisData!$B:$B, $A46, NewEmisData!$C:$C, $H46, NewEmisData!$D:$D, AE$2), SUMIFS(NewEmisData!E:E, NewEmisData!$A:$A, "LDV", NewEmisData!$B:$B, $A46, NewEmisData!$C:$C, $H46, NewEmisData!$D:$D, AE$2))</f>
        <v>1.0335998327469099E-2</v>
      </c>
      <c r="AF46" s="324">
        <f>$I46*IF($G46="Pickup", SUMIFS(NewEmisData!F:F, NewEmisData!$A:$A, "Pickup", NewEmisData!$B:$B, $A46, NewEmisData!$C:$C, $H46, NewEmisData!$D:$D, AF$2), SUMIFS(NewEmisData!F:F, NewEmisData!$A:$A, "LDV", NewEmisData!$B:$B, $A46, NewEmisData!$C:$C, $H46, NewEmisData!$D:$D, AF$2))</f>
        <v>9.5737115204566903E-3</v>
      </c>
      <c r="AG46" s="324">
        <f>$I46*IF($G46="Pickup", SUMIFS(NewEmisData!G:G, NewEmisData!$A:$A, "Pickup", NewEmisData!$B:$B, $A46, NewEmisData!$C:$C, $H46, NewEmisData!$D:$D, AG$2), SUMIFS(NewEmisData!G:G, NewEmisData!$A:$A, "LDV", NewEmisData!$B:$B, $A46, NewEmisData!$C:$C, $H46, NewEmisData!$D:$D, AG$2))</f>
        <v>7.0841642304725503E-3</v>
      </c>
      <c r="AH46" s="324">
        <f>$I46*IF($G46="Pickup", SUMIFS(NewEmisData!H:H, NewEmisData!$A:$A, "Pickup", NewEmisData!$B:$B, $A46, NewEmisData!$C:$C, $H46, NewEmisData!$D:$D, AH$2), SUMIFS(NewEmisData!H:H, NewEmisData!$A:$A, "LDV", NewEmisData!$B:$B, $A46, NewEmisData!$C:$C, $H46, NewEmisData!$D:$D, AH$2))</f>
        <v>5.9244730772948402E-3</v>
      </c>
      <c r="AI46" s="324">
        <f>$I46*IF($G46="Pickup", SUMIFS(NewEmisData!I:I, NewEmisData!$A:$A, "Pickup", NewEmisData!$B:$B, $A46, NewEmisData!$C:$C, $H46, NewEmisData!$D:$D, AI$2), SUMIFS(NewEmisData!I:I, NewEmisData!$A:$A, "LDV", NewEmisData!$B:$B, $A46, NewEmisData!$C:$C, $H46, NewEmisData!$D:$D, AI$2))</f>
        <v>5.1805148263819496E-3</v>
      </c>
      <c r="AJ46" s="324">
        <f>$I46*IF($G46="Pickup", SUMIFS(NewEmisData!J:J, NewEmisData!$A:$A, "Pickup", NewEmisData!$B:$B, $A46, NewEmisData!$C:$C, $H46, NewEmisData!$D:$D, AJ$2), SUMIFS(NewEmisData!J:J, NewEmisData!$A:$A, "LDV", NewEmisData!$B:$B, $A46, NewEmisData!$C:$C, $H46, NewEmisData!$D:$D, AJ$2))</f>
        <v>4.8037413964933202E-3</v>
      </c>
      <c r="AK46" s="324">
        <f>$I46*IF($G46="Pickup", SUMIFS(NewEmisData!K:K, NewEmisData!$A:$A, "Pickup", NewEmisData!$B:$B, $A46, NewEmisData!$C:$C, $H46, NewEmisData!$D:$D, AK$2), SUMIFS(NewEmisData!K:K, NewEmisData!$A:$A, "LDV", NewEmisData!$B:$B, $A46, NewEmisData!$C:$C, $H46, NewEmisData!$D:$D, AK$2))</f>
        <v>4.6385693545218003E-3</v>
      </c>
      <c r="AL46" s="324">
        <f>$I46*IF($G46="Pickup", SUMIFS(NewEmisData!L:L, NewEmisData!$A:$A, "Pickup", NewEmisData!$B:$B, $A46, NewEmisData!$C:$C, $H46, NewEmisData!$D:$D, AL$2), SUMIFS(NewEmisData!L:L, NewEmisData!$A:$A, "LDV", NewEmisData!$B:$B, $A46, NewEmisData!$C:$C, $H46, NewEmisData!$D:$D, AL$2))</f>
        <v>4.6044395711825996E-3</v>
      </c>
      <c r="AM46" s="324">
        <f>$I46*IF($G46="Pickup", SUMIFS(NewEmisData!M:M, NewEmisData!$A:$A, "Pickup", NewEmisData!$B:$B, $A46, NewEmisData!$C:$C, $H46, NewEmisData!$D:$D, AM$2), SUMIFS(NewEmisData!M:M, NewEmisData!$A:$A, "LDV", NewEmisData!$B:$B, $A46, NewEmisData!$C:$C, $H46, NewEmisData!$D:$D, AM$2))</f>
        <v>4.5991353866608299E-3</v>
      </c>
      <c r="AN46" s="324">
        <f t="shared" si="7"/>
        <v>4.5991353866608299E-3</v>
      </c>
      <c r="AO46" s="324">
        <f>$I46*IF($G46="Pickup", SUMIFS(NewEmisData!E:E, NewEmisData!$A:$A, "Pickup", NewEmisData!$B:$B, $A46, NewEmisData!$C:$C, $H46, NewEmisData!$D:$D, AO$2), SUMIFS(NewEmisData!E:E, NewEmisData!$A:$A, "LDV", NewEmisData!$B:$B, $A46, NewEmisData!$C:$C, $H46, NewEmisData!$D:$D, AO$2))</f>
        <v>7.1069962611333096E-2</v>
      </c>
      <c r="AP46" s="324">
        <f>$I46*IF($G46="Pickup", SUMIFS(NewEmisData!F:F, NewEmisData!$A:$A, "Pickup", NewEmisData!$B:$B, $A46, NewEmisData!$C:$C, $H46, NewEmisData!$D:$D, AP$2), SUMIFS(NewEmisData!F:F, NewEmisData!$A:$A, "LDV", NewEmisData!$B:$B, $A46, NewEmisData!$C:$C, $H46, NewEmisData!$D:$D, AP$2))</f>
        <v>6.7310649866491198E-2</v>
      </c>
      <c r="AQ46" s="324">
        <f>$I46*IF($G46="Pickup", SUMIFS(NewEmisData!G:G, NewEmisData!$A:$A, "Pickup", NewEmisData!$B:$B, $A46, NewEmisData!$C:$C, $H46, NewEmisData!$D:$D, AQ$2), SUMIFS(NewEmisData!G:G, NewEmisData!$A:$A, "LDV", NewEmisData!$B:$B, $A46, NewEmisData!$C:$C, $H46, NewEmisData!$D:$D, AQ$2))</f>
        <v>6.7628560391991902E-2</v>
      </c>
      <c r="AR46" s="324">
        <f>$I46*IF($G46="Pickup", SUMIFS(NewEmisData!H:H, NewEmisData!$A:$A, "Pickup", NewEmisData!$B:$B, $A46, NewEmisData!$C:$C, $H46, NewEmisData!$D:$D, AR$2), SUMIFS(NewEmisData!H:H, NewEmisData!$A:$A, "LDV", NewEmisData!$B:$B, $A46, NewEmisData!$C:$C, $H46, NewEmisData!$D:$D, AR$2))</f>
        <v>6.6559280493503098E-2</v>
      </c>
      <c r="AS46" s="324">
        <f>$I46*IF($G46="Pickup", SUMIFS(NewEmisData!I:I, NewEmisData!$A:$A, "Pickup", NewEmisData!$B:$B, $A46, NewEmisData!$C:$C, $H46, NewEmisData!$D:$D, AS$2), SUMIFS(NewEmisData!I:I, NewEmisData!$A:$A, "LDV", NewEmisData!$B:$B, $A46, NewEmisData!$C:$C, $H46, NewEmisData!$D:$D, AS$2))</f>
        <v>6.53360817606774E-2</v>
      </c>
      <c r="AT46" s="324">
        <f>$I46*IF($G46="Pickup", SUMIFS(NewEmisData!J:J, NewEmisData!$A:$A, "Pickup", NewEmisData!$B:$B, $A46, NewEmisData!$C:$C, $H46, NewEmisData!$D:$D, AT$2), SUMIFS(NewEmisData!J:J, NewEmisData!$A:$A, "LDV", NewEmisData!$B:$B, $A46, NewEmisData!$C:$C, $H46, NewEmisData!$D:$D, AT$2))</f>
        <v>6.4268763456515193E-2</v>
      </c>
      <c r="AU46" s="324">
        <f>$I46*IF($G46="Pickup", SUMIFS(NewEmisData!K:K, NewEmisData!$A:$A, "Pickup", NewEmisData!$B:$B, $A46, NewEmisData!$C:$C, $H46, NewEmisData!$D:$D, AU$2), SUMIFS(NewEmisData!K:K, NewEmisData!$A:$A, "LDV", NewEmisData!$B:$B, $A46, NewEmisData!$C:$C, $H46, NewEmisData!$D:$D, AU$2))</f>
        <v>6.3662257235357594E-2</v>
      </c>
      <c r="AV46" s="324">
        <f>$I46*IF($G46="Pickup", SUMIFS(NewEmisData!L:L, NewEmisData!$A:$A, "Pickup", NewEmisData!$B:$B, $A46, NewEmisData!$C:$C, $H46, NewEmisData!$D:$D, AV$2), SUMIFS(NewEmisData!L:L, NewEmisData!$A:$A, "LDV", NewEmisData!$B:$B, $A46, NewEmisData!$C:$C, $H46, NewEmisData!$D:$D, AV$2))</f>
        <v>6.3432754124854704E-2</v>
      </c>
      <c r="AW46" s="324">
        <f>$I46*IF($G46="Pickup", SUMIFS(NewEmisData!M:M, NewEmisData!$A:$A, "Pickup", NewEmisData!$B:$B, $A46, NewEmisData!$C:$C, $H46, NewEmisData!$D:$D, AW$2), SUMIFS(NewEmisData!M:M, NewEmisData!$A:$A, "LDV", NewEmisData!$B:$B, $A46, NewEmisData!$C:$C, $H46, NewEmisData!$D:$D, AW$2))</f>
        <v>6.3375800941285698E-2</v>
      </c>
      <c r="AX46" s="324">
        <f t="shared" si="8"/>
        <v>6.3375800941285698E-2</v>
      </c>
      <c r="AY46" s="324">
        <f>$I46*IF($G46="Pickup", SUMIFS(NewEmisData!E:E, NewEmisData!$A:$A, "Pickup", NewEmisData!$B:$B, $A46, NewEmisData!$C:$C, $H46, NewEmisData!$D:$D, AY$2), SUMIFS(NewEmisData!E:E, NewEmisData!$A:$A, "LDV", NewEmisData!$B:$B, $A46, NewEmisData!$C:$C, $H46, NewEmisData!$D:$D, AY$2))</f>
        <v>1.7564038794035501E-2</v>
      </c>
      <c r="AZ46" s="324">
        <f>$I46*IF($G46="Pickup", SUMIFS(NewEmisData!F:F, NewEmisData!$A:$A, "Pickup", NewEmisData!$B:$B, $A46, NewEmisData!$C:$C, $H46, NewEmisData!$D:$D, AZ$2), SUMIFS(NewEmisData!F:F, NewEmisData!$A:$A, "LDV", NewEmisData!$B:$B, $A46, NewEmisData!$C:$C, $H46, NewEmisData!$D:$D, AZ$2))</f>
        <v>1.42365442689367E-2</v>
      </c>
      <c r="BA46" s="324">
        <f>$I46*IF($G46="Pickup", SUMIFS(NewEmisData!G:G, NewEmisData!$A:$A, "Pickup", NewEmisData!$B:$B, $A46, NewEmisData!$C:$C, $H46, NewEmisData!$D:$D, BA$2), SUMIFS(NewEmisData!G:G, NewEmisData!$A:$A, "LDV", NewEmisData!$B:$B, $A46, NewEmisData!$C:$C, $H46, NewEmisData!$D:$D, BA$2))</f>
        <v>1.3329065525325E-2</v>
      </c>
      <c r="BB46" s="324">
        <f>$I46*IF($G46="Pickup", SUMIFS(NewEmisData!H:H, NewEmisData!$A:$A, "Pickup", NewEmisData!$B:$B, $A46, NewEmisData!$C:$C, $H46, NewEmisData!$D:$D, BB$2), SUMIFS(NewEmisData!H:H, NewEmisData!$A:$A, "LDV", NewEmisData!$B:$B, $A46, NewEmisData!$C:$C, $H46, NewEmisData!$D:$D, BB$2))</f>
        <v>1.23804824132796E-2</v>
      </c>
      <c r="BC46" s="324">
        <f>$I46*IF($G46="Pickup", SUMIFS(NewEmisData!I:I, NewEmisData!$A:$A, "Pickup", NewEmisData!$B:$B, $A46, NewEmisData!$C:$C, $H46, NewEmisData!$D:$D, BC$2), SUMIFS(NewEmisData!I:I, NewEmisData!$A:$A, "LDV", NewEmisData!$B:$B, $A46, NewEmisData!$C:$C, $H46, NewEmisData!$D:$D, BC$2))</f>
        <v>1.12963892643066E-2</v>
      </c>
      <c r="BD46" s="324">
        <f>$I46*IF($G46="Pickup", SUMIFS(NewEmisData!J:J, NewEmisData!$A:$A, "Pickup", NewEmisData!$B:$B, $A46, NewEmisData!$C:$C, $H46, NewEmisData!$D:$D, BD$2), SUMIFS(NewEmisData!J:J, NewEmisData!$A:$A, "LDV", NewEmisData!$B:$B, $A46, NewEmisData!$C:$C, $H46, NewEmisData!$D:$D, BD$2))</f>
        <v>1.03515640804413E-2</v>
      </c>
      <c r="BE46" s="324">
        <f>$I46*IF($G46="Pickup", SUMIFS(NewEmisData!K:K, NewEmisData!$A:$A, "Pickup", NewEmisData!$B:$B, $A46, NewEmisData!$C:$C, $H46, NewEmisData!$D:$D, BE$2), SUMIFS(NewEmisData!K:K, NewEmisData!$A:$A, "LDV", NewEmisData!$B:$B, $A46, NewEmisData!$C:$C, $H46, NewEmisData!$D:$D, BE$2))</f>
        <v>9.8149798035326394E-3</v>
      </c>
      <c r="BF46" s="324">
        <f>$I46*IF($G46="Pickup", SUMIFS(NewEmisData!L:L, NewEmisData!$A:$A, "Pickup", NewEmisData!$B:$B, $A46, NewEmisData!$C:$C, $H46, NewEmisData!$D:$D, BF$2), SUMIFS(NewEmisData!L:L, NewEmisData!$A:$A, "LDV", NewEmisData!$B:$B, $A46, NewEmisData!$C:$C, $H46, NewEmisData!$D:$D, BF$2))</f>
        <v>9.61190259231408E-3</v>
      </c>
      <c r="BG46" s="324">
        <f>$I46*IF($G46="Pickup", SUMIFS(NewEmisData!M:M, NewEmisData!$A:$A, "Pickup", NewEmisData!$B:$B, $A46, NewEmisData!$C:$C, $H46, NewEmisData!$D:$D, BG$2), SUMIFS(NewEmisData!M:M, NewEmisData!$A:$A, "LDV", NewEmisData!$B:$B, $A46, NewEmisData!$C:$C, $H46, NewEmisData!$D:$D, BG$2))</f>
        <v>9.5615485982077E-3</v>
      </c>
      <c r="BH46" s="324">
        <f t="shared" si="9"/>
        <v>9.5615485982077E-3</v>
      </c>
      <c r="BI46" s="324">
        <f>$I46*IF($G46="Pickup", SUMIFS(NewEmisData!E:E, NewEmisData!$A:$A, "Pickup", NewEmisData!$B:$B, $A46, NewEmisData!$C:$C, $H46, NewEmisData!$D:$D, BI$2), SUMIFS(NewEmisData!E:E, NewEmisData!$A:$A, "LDV", NewEmisData!$B:$B, $A46, NewEmisData!$C:$C, $H46, NewEmisData!$D:$D, BI$2))</f>
        <v>7.9565646159599703</v>
      </c>
      <c r="BJ46" s="324">
        <f>$I46*IF($G46="Pickup", SUMIFS(NewEmisData!F:F, NewEmisData!$A:$A, "Pickup", NewEmisData!$B:$B, $A46, NewEmisData!$C:$C, $H46, NewEmisData!$D:$D, BJ$2), SUMIFS(NewEmisData!F:F, NewEmisData!$A:$A, "LDV", NewEmisData!$B:$B, $A46, NewEmisData!$C:$C, $H46, NewEmisData!$D:$D, BJ$2))</f>
        <v>3.8702099021089098</v>
      </c>
      <c r="BK46" s="324">
        <f>$I46*IF($G46="Pickup", SUMIFS(NewEmisData!G:G, NewEmisData!$A:$A, "Pickup", NewEmisData!$B:$B, $A46, NewEmisData!$C:$C, $H46, NewEmisData!$D:$D, BK$2), SUMIFS(NewEmisData!G:G, NewEmisData!$A:$A, "LDV", NewEmisData!$B:$B, $A46, NewEmisData!$C:$C, $H46, NewEmisData!$D:$D, BK$2))</f>
        <v>2.7335988385504</v>
      </c>
      <c r="BL46" s="324">
        <f>$I46*IF($G46="Pickup", SUMIFS(NewEmisData!H:H, NewEmisData!$A:$A, "Pickup", NewEmisData!$B:$B, $A46, NewEmisData!$C:$C, $H46, NewEmisData!$D:$D, BL$2), SUMIFS(NewEmisData!H:H, NewEmisData!$A:$A, "LDV", NewEmisData!$B:$B, $A46, NewEmisData!$C:$C, $H46, NewEmisData!$D:$D, BL$2))</f>
        <v>2.0883869413410898</v>
      </c>
      <c r="BM46" s="324">
        <f>$I46*IF($G46="Pickup", SUMIFS(NewEmisData!I:I, NewEmisData!$A:$A, "Pickup", NewEmisData!$B:$B, $A46, NewEmisData!$C:$C, $H46, NewEmisData!$D:$D, BM$2), SUMIFS(NewEmisData!I:I, NewEmisData!$A:$A, "LDV", NewEmisData!$B:$B, $A46, NewEmisData!$C:$C, $H46, NewEmisData!$D:$D, BM$2))</f>
        <v>1.47075089091061</v>
      </c>
      <c r="BN46" s="324">
        <f>$I46*IF($G46="Pickup", SUMIFS(NewEmisData!J:J, NewEmisData!$A:$A, "Pickup", NewEmisData!$B:$B, $A46, NewEmisData!$C:$C, $H46, NewEmisData!$D:$D, BN$2), SUMIFS(NewEmisData!J:J, NewEmisData!$A:$A, "LDV", NewEmisData!$B:$B, $A46, NewEmisData!$C:$C, $H46, NewEmisData!$D:$D, BN$2))</f>
        <v>1.07685812487465</v>
      </c>
      <c r="BO46" s="324">
        <f>$I46*IF($G46="Pickup", SUMIFS(NewEmisData!K:K, NewEmisData!$A:$A, "Pickup", NewEmisData!$B:$B, $A46, NewEmisData!$C:$C, $H46, NewEmisData!$D:$D, BO$2), SUMIFS(NewEmisData!K:K, NewEmisData!$A:$A, "LDV", NewEmisData!$B:$B, $A46, NewEmisData!$C:$C, $H46, NewEmisData!$D:$D, BO$2))</f>
        <v>0.93279096708598197</v>
      </c>
      <c r="BP46" s="324">
        <f>$I46*IF($G46="Pickup", SUMIFS(NewEmisData!L:L, NewEmisData!$A:$A, "Pickup", NewEmisData!$B:$B, $A46, NewEmisData!$C:$C, $H46, NewEmisData!$D:$D, BP$2), SUMIFS(NewEmisData!L:L, NewEmisData!$A:$A, "LDV", NewEmisData!$B:$B, $A46, NewEmisData!$C:$C, $H46, NewEmisData!$D:$D, BP$2))</f>
        <v>0.90452078877762399</v>
      </c>
      <c r="BQ46" s="324">
        <f>$I46*IF($G46="Pickup", SUMIFS(NewEmisData!M:M, NewEmisData!$A:$A, "Pickup", NewEmisData!$B:$B, $A46, NewEmisData!$C:$C, $H46, NewEmisData!$D:$D, BQ$2), SUMIFS(NewEmisData!M:M, NewEmisData!$A:$A, "LDV", NewEmisData!$B:$B, $A46, NewEmisData!$C:$C, $H46, NewEmisData!$D:$D, BQ$2))</f>
        <v>0.89628145981378204</v>
      </c>
      <c r="BR46" s="324">
        <f t="shared" si="10"/>
        <v>0.89628145981378204</v>
      </c>
      <c r="BS46" s="324">
        <f>$I46*IF($G46="Pickup", SUMIFS(NewEmisData!E:E, NewEmisData!$A:$A, "Pickup", NewEmisData!$B:$B, $A46, NewEmisData!$C:$C, $H46, NewEmisData!$D:$D, BS$2), SUMIFS(NewEmisData!E:E, NewEmisData!$A:$A, "LDV", NewEmisData!$B:$B, $A46, NewEmisData!$C:$C, $H46, NewEmisData!$D:$D, BS$2))</f>
        <v>0.72765138885249603</v>
      </c>
      <c r="BT46" s="324">
        <f>$I46*IF($G46="Pickup", SUMIFS(NewEmisData!F:F, NewEmisData!$A:$A, "Pickup", NewEmisData!$B:$B, $A46, NewEmisData!$C:$C, $H46, NewEmisData!$D:$D, BT$2), SUMIFS(NewEmisData!F:F, NewEmisData!$A:$A, "LDV", NewEmisData!$B:$B, $A46, NewEmisData!$C:$C, $H46, NewEmisData!$D:$D, BT$2))</f>
        <v>0.27522727735895502</v>
      </c>
      <c r="BU46" s="324">
        <f>$I46*IF($G46="Pickup", SUMIFS(NewEmisData!G:G, NewEmisData!$A:$A, "Pickup", NewEmisData!$B:$B, $A46, NewEmisData!$C:$C, $H46, NewEmisData!$D:$D, BU$2), SUMIFS(NewEmisData!G:G, NewEmisData!$A:$A, "LDV", NewEmisData!$B:$B, $A46, NewEmisData!$C:$C, $H46, NewEmisData!$D:$D, BU$2))</f>
        <v>0.17671155677793199</v>
      </c>
      <c r="BV46" s="324">
        <f>$I46*IF($G46="Pickup", SUMIFS(NewEmisData!H:H, NewEmisData!$A:$A, "Pickup", NewEmisData!$B:$B, $A46, NewEmisData!$C:$C, $H46, NewEmisData!$D:$D, BV$2), SUMIFS(NewEmisData!H:H, NewEmisData!$A:$A, "LDV", NewEmisData!$B:$B, $A46, NewEmisData!$C:$C, $H46, NewEmisData!$D:$D, BV$2))</f>
        <v>0.14074688174212499</v>
      </c>
      <c r="BW46" s="324">
        <f>$I46*IF($G46="Pickup", SUMIFS(NewEmisData!I:I, NewEmisData!$A:$A, "Pickup", NewEmisData!$B:$B, $A46, NewEmisData!$C:$C, $H46, NewEmisData!$D:$D, BW$2), SUMIFS(NewEmisData!I:I, NewEmisData!$A:$A, "LDV", NewEmisData!$B:$B, $A46, NewEmisData!$C:$C, $H46, NewEmisData!$D:$D, BW$2))</f>
        <v>0.108786876897298</v>
      </c>
      <c r="BX46" s="324">
        <f>$I46*IF($G46="Pickup", SUMIFS(NewEmisData!J:J, NewEmisData!$A:$A, "Pickup", NewEmisData!$B:$B, $A46, NewEmisData!$C:$C, $H46, NewEmisData!$D:$D, BX$2), SUMIFS(NewEmisData!J:J, NewEmisData!$A:$A, "LDV", NewEmisData!$B:$B, $A46, NewEmisData!$C:$C, $H46, NewEmisData!$D:$D, BX$2))</f>
        <v>8.8699698349724701E-2</v>
      </c>
      <c r="BY46" s="324">
        <f>$I46*IF($G46="Pickup", SUMIFS(NewEmisData!K:K, NewEmisData!$A:$A, "Pickup", NewEmisData!$B:$B, $A46, NewEmisData!$C:$C, $H46, NewEmisData!$D:$D, BY$2), SUMIFS(NewEmisData!K:K, NewEmisData!$A:$A, "LDV", NewEmisData!$B:$B, $A46, NewEmisData!$C:$C, $H46, NewEmisData!$D:$D, BY$2))</f>
        <v>7.9766902090939798E-2</v>
      </c>
      <c r="BZ46" s="324">
        <f>$I46*IF($G46="Pickup", SUMIFS(NewEmisData!L:L, NewEmisData!$A:$A, "Pickup", NewEmisData!$B:$B, $A46, NewEmisData!$C:$C, $H46, NewEmisData!$D:$D, BZ$2), SUMIFS(NewEmisData!L:L, NewEmisData!$A:$A, "LDV", NewEmisData!$B:$B, $A46, NewEmisData!$C:$C, $H46, NewEmisData!$D:$D, BZ$2))</f>
        <v>7.7681525191979198E-2</v>
      </c>
      <c r="CA46" s="324">
        <f>$I46*IF($G46="Pickup", SUMIFS(NewEmisData!M:M, NewEmisData!$A:$A, "Pickup", NewEmisData!$B:$B, $A46, NewEmisData!$C:$C, $H46, NewEmisData!$D:$D, CA$2), SUMIFS(NewEmisData!M:M, NewEmisData!$A:$A, "LDV", NewEmisData!$B:$B, $A46, NewEmisData!$C:$C, $H46, NewEmisData!$D:$D, CA$2))</f>
        <v>7.6973771730261001E-2</v>
      </c>
      <c r="CB46" s="324">
        <f t="shared" si="11"/>
        <v>7.6973771730261001E-2</v>
      </c>
      <c r="CC46" s="324">
        <f>$I46*IF($G46="Pickup", SUMIFS(NewEmisData!E:E, NewEmisData!$A:$A, "Pickup", NewEmisData!$B:$B, $A46, NewEmisData!$C:$C, $H46, NewEmisData!$D:$D, CC$2), SUMIFS(NewEmisData!E:E, NewEmisData!$A:$A, "LDV", NewEmisData!$B:$B, $A46, NewEmisData!$C:$C, $H46, NewEmisData!$D:$D, CC$2))</f>
        <v>4.4698091592695097E-2</v>
      </c>
      <c r="CD46" s="324">
        <f>$I46*IF($G46="Pickup", SUMIFS(NewEmisData!F:F, NewEmisData!$A:$A, "Pickup", NewEmisData!$B:$B, $A46, NewEmisData!$C:$C, $H46, NewEmisData!$D:$D, CD$2), SUMIFS(NewEmisData!F:F, NewEmisData!$A:$A, "LDV", NewEmisData!$B:$B, $A46, NewEmisData!$C:$C, $H46, NewEmisData!$D:$D, CD$2))</f>
        <v>2.7795500568958399E-2</v>
      </c>
      <c r="CE46" s="324">
        <f>$I46*IF($G46="Pickup", SUMIFS(NewEmisData!G:G, NewEmisData!$A:$A, "Pickup", NewEmisData!$B:$B, $A46, NewEmisData!$C:$C, $H46, NewEmisData!$D:$D, CE$2), SUMIFS(NewEmisData!G:G, NewEmisData!$A:$A, "LDV", NewEmisData!$B:$B, $A46, NewEmisData!$C:$C, $H46, NewEmisData!$D:$D, CE$2))</f>
        <v>2.5530115420681499E-2</v>
      </c>
      <c r="CF46" s="324">
        <f>$I46*IF($G46="Pickup", SUMIFS(NewEmisData!H:H, NewEmisData!$A:$A, "Pickup", NewEmisData!$B:$B, $A46, NewEmisData!$C:$C, $H46, NewEmisData!$D:$D, CF$2), SUMIFS(NewEmisData!H:H, NewEmisData!$A:$A, "LDV", NewEmisData!$B:$B, $A46, NewEmisData!$C:$C, $H46, NewEmisData!$D:$D, CF$2))</f>
        <v>2.4729068202491999E-2</v>
      </c>
      <c r="CG46" s="324">
        <f>$I46*IF($G46="Pickup", SUMIFS(NewEmisData!I:I, NewEmisData!$A:$A, "Pickup", NewEmisData!$B:$B, $A46, NewEmisData!$C:$C, $H46, NewEmisData!$D:$D, CG$2), SUMIFS(NewEmisData!I:I, NewEmisData!$A:$A, "LDV", NewEmisData!$B:$B, $A46, NewEmisData!$C:$C, $H46, NewEmisData!$D:$D, CG$2))</f>
        <v>2.45663123894986E-2</v>
      </c>
      <c r="CH46" s="324">
        <f>$I46*IF($G46="Pickup", SUMIFS(NewEmisData!J:J, NewEmisData!$A:$A, "Pickup", NewEmisData!$B:$B, $A46, NewEmisData!$C:$C, $H46, NewEmisData!$D:$D, CH$2), SUMIFS(NewEmisData!J:J, NewEmisData!$A:$A, "LDV", NewEmisData!$B:$B, $A46, NewEmisData!$C:$C, $H46, NewEmisData!$D:$D, CH$2))</f>
        <v>2.44661179940012E-2</v>
      </c>
      <c r="CI46" s="324">
        <f>$I46*IF($G46="Pickup", SUMIFS(NewEmisData!K:K, NewEmisData!$A:$A, "Pickup", NewEmisData!$B:$B, $A46, NewEmisData!$C:$C, $H46, NewEmisData!$D:$D, CI$2), SUMIFS(NewEmisData!K:K, NewEmisData!$A:$A, "LDV", NewEmisData!$B:$B, $A46, NewEmisData!$C:$C, $H46, NewEmisData!$D:$D, CI$2))</f>
        <v>2.4463818178602499E-2</v>
      </c>
      <c r="CJ46" s="324">
        <f>$I46*IF($G46="Pickup", SUMIFS(NewEmisData!L:L, NewEmisData!$A:$A, "Pickup", NewEmisData!$B:$B, $A46, NewEmisData!$C:$C, $H46, NewEmisData!$D:$D, CJ$2), SUMIFS(NewEmisData!L:L, NewEmisData!$A:$A, "LDV", NewEmisData!$B:$B, $A46, NewEmisData!$C:$C, $H46, NewEmisData!$D:$D, CJ$2))</f>
        <v>2.4464059869155001E-2</v>
      </c>
      <c r="CK46" s="324">
        <f>$I46*IF($G46="Pickup", SUMIFS(NewEmisData!M:M, NewEmisData!$A:$A, "Pickup", NewEmisData!$B:$B, $A46, NewEmisData!$C:$C, $H46, NewEmisData!$D:$D, CK$2), SUMIFS(NewEmisData!M:M, NewEmisData!$A:$A, "LDV", NewEmisData!$B:$B, $A46, NewEmisData!$C:$C, $H46, NewEmisData!$D:$D, CK$2))</f>
        <v>2.44639179462426E-2</v>
      </c>
      <c r="CL46" s="324">
        <f t="shared" si="12"/>
        <v>2.44639179462426E-2</v>
      </c>
      <c r="CM46" s="324">
        <f>$I46*IF($G46="Pickup", SUMIFS(NewEmisData!E:E, NewEmisData!$A:$A, "Pickup", NewEmisData!$B:$B, $A46, NewEmisData!$C:$C, $H46, NewEmisData!$D:$D, CM$2), SUMIFS(NewEmisData!E:E, NewEmisData!$A:$A, "LDV", NewEmisData!$B:$B, $A46, NewEmisData!$C:$C, $H46, NewEmisData!$D:$D, CM$2))</f>
        <v>3.03650059727909E-2</v>
      </c>
      <c r="CN46" s="324">
        <f>$I46*IF($G46="Pickup", SUMIFS(NewEmisData!F:F, NewEmisData!$A:$A, "Pickup", NewEmisData!$B:$B, $A46, NewEmisData!$C:$C, $H46, NewEmisData!$D:$D, CN$2), SUMIFS(NewEmisData!F:F, NewEmisData!$A:$A, "LDV", NewEmisData!$B:$B, $A46, NewEmisData!$C:$C, $H46, NewEmisData!$D:$D, CN$2))</f>
        <v>1.4082255195084201E-2</v>
      </c>
      <c r="CO46" s="324">
        <f>$I46*IF($G46="Pickup", SUMIFS(NewEmisData!G:G, NewEmisData!$A:$A, "Pickup", NewEmisData!$B:$B, $A46, NewEmisData!$C:$C, $H46, NewEmisData!$D:$D, CO$2), SUMIFS(NewEmisData!G:G, NewEmisData!$A:$A, "LDV", NewEmisData!$B:$B, $A46, NewEmisData!$C:$C, $H46, NewEmisData!$D:$D, CO$2))</f>
        <v>1.02501392291264E-2</v>
      </c>
      <c r="CP46" s="324">
        <f>$I46*IF($G46="Pickup", SUMIFS(NewEmisData!H:H, NewEmisData!$A:$A, "Pickup", NewEmisData!$B:$B, $A46, NewEmisData!$C:$C, $H46, NewEmisData!$D:$D, CP$2), SUMIFS(NewEmisData!H:H, NewEmisData!$A:$A, "LDV", NewEmisData!$B:$B, $A46, NewEmisData!$C:$C, $H46, NewEmisData!$D:$D, CP$2))</f>
        <v>8.4672860842590798E-3</v>
      </c>
      <c r="CQ46" s="324">
        <f>$I46*IF($G46="Pickup", SUMIFS(NewEmisData!I:I, NewEmisData!$A:$A, "Pickup", NewEmisData!$B:$B, $A46, NewEmisData!$C:$C, $H46, NewEmisData!$D:$D, CQ$2), SUMIFS(NewEmisData!I:I, NewEmisData!$A:$A, "LDV", NewEmisData!$B:$B, $A46, NewEmisData!$C:$C, $H46, NewEmisData!$D:$D, CQ$2))</f>
        <v>7.8971225513288796E-3</v>
      </c>
      <c r="CR46" s="324">
        <f>$I46*IF($G46="Pickup", SUMIFS(NewEmisData!J:J, NewEmisData!$A:$A, "Pickup", NewEmisData!$B:$B, $A46, NewEmisData!$C:$C, $H46, NewEmisData!$D:$D, CR$2), SUMIFS(NewEmisData!J:J, NewEmisData!$A:$A, "LDV", NewEmisData!$B:$B, $A46, NewEmisData!$C:$C, $H46, NewEmisData!$D:$D, CR$2))</f>
        <v>7.74471118736339E-3</v>
      </c>
      <c r="CS46" s="324">
        <f>$I46*IF($G46="Pickup", SUMIFS(NewEmisData!K:K, NewEmisData!$A:$A, "Pickup", NewEmisData!$B:$B, $A46, NewEmisData!$C:$C, $H46, NewEmisData!$D:$D, CS$2), SUMIFS(NewEmisData!K:K, NewEmisData!$A:$A, "LDV", NewEmisData!$B:$B, $A46, NewEmisData!$C:$C, $H46, NewEmisData!$D:$D, CS$2))</f>
        <v>7.7309583747445501E-3</v>
      </c>
      <c r="CT46" s="324">
        <f>$I46*IF($G46="Pickup", SUMIFS(NewEmisData!L:L, NewEmisData!$A:$A, "Pickup", NewEmisData!$B:$B, $A46, NewEmisData!$C:$C, $H46, NewEmisData!$D:$D, CT$2), SUMIFS(NewEmisData!L:L, NewEmisData!$A:$A, "LDV", NewEmisData!$B:$B, $A46, NewEmisData!$C:$C, $H46, NewEmisData!$D:$D, CT$2))</f>
        <v>7.7212921450181696E-3</v>
      </c>
      <c r="CU46" s="324">
        <f>$I46*IF($G46="Pickup", SUMIFS(NewEmisData!M:M, NewEmisData!$A:$A, "Pickup", NewEmisData!$B:$B, $A46, NewEmisData!$C:$C, $H46, NewEmisData!$D:$D, CU$2), SUMIFS(NewEmisData!M:M, NewEmisData!$A:$A, "LDV", NewEmisData!$B:$B, $A46, NewEmisData!$C:$C, $H46, NewEmisData!$D:$D, CU$2))</f>
        <v>7.7211798207146498E-3</v>
      </c>
      <c r="CV46" s="324">
        <f t="shared" si="13"/>
        <v>7.7211798207146498E-3</v>
      </c>
      <c r="CW46" s="324">
        <v>4.0498104655261064E-3</v>
      </c>
      <c r="CX46" s="324">
        <v>2.5030350838759993E-3</v>
      </c>
      <c r="CY46" s="324">
        <v>2.1151214403419519E-3</v>
      </c>
      <c r="CZ46" s="324">
        <v>1.7489979687569375E-3</v>
      </c>
      <c r="DA46" s="324">
        <v>1.340486996695321E-3</v>
      </c>
      <c r="DB46" s="324">
        <v>1.0553769116342638E-3</v>
      </c>
      <c r="DC46" s="324">
        <v>1.0132227560056145E-3</v>
      </c>
      <c r="DD46" s="324">
        <v>1.0003159541004489E-3</v>
      </c>
      <c r="DE46" s="324">
        <v>9.9860782000699166E-4</v>
      </c>
      <c r="DF46" s="324">
        <v>9.9860782000699166E-4</v>
      </c>
      <c r="DG46" s="324">
        <f>$I46*IF($G46="Pickup", SUMIFS(NewEmisData!E:E, NewEmisData!$A:$A, "Pickup", NewEmisData!$B:$B, $A46, NewEmisData!$C:$C, $H46, NewEmisData!$D:$D, DG$2), SUMIFS(NewEmisData!E:E, NewEmisData!$A:$A, "LDV", NewEmisData!$B:$B, $A46, NewEmisData!$C:$C, $H46, NewEmisData!$D:$D, DG$2))</f>
        <v>0</v>
      </c>
      <c r="DH46" s="324">
        <f>$I46*IF($G46="Pickup", SUMIFS(NewEmisData!F:F, NewEmisData!$A:$A, "Pickup", NewEmisData!$B:$B, $A46, NewEmisData!$C:$C, $H46, NewEmisData!$D:$D, DH$2), SUMIFS(NewEmisData!F:F, NewEmisData!$A:$A, "LDV", NewEmisData!$B:$B, $A46, NewEmisData!$C:$C, $H46, NewEmisData!$D:$D, DH$2))</f>
        <v>0</v>
      </c>
      <c r="DI46" s="324">
        <f>$I46*IF($G46="Pickup", SUMIFS(NewEmisData!G:G, NewEmisData!$A:$A, "Pickup", NewEmisData!$B:$B, $A46, NewEmisData!$C:$C, $H46, NewEmisData!$D:$D, DI$2), SUMIFS(NewEmisData!G:G, NewEmisData!$A:$A, "LDV", NewEmisData!$B:$B, $A46, NewEmisData!$C:$C, $H46, NewEmisData!$D:$D, DI$2))</f>
        <v>0</v>
      </c>
      <c r="DJ46" s="324">
        <f>$I46*IF($G46="Pickup", SUMIFS(NewEmisData!H:H, NewEmisData!$A:$A, "Pickup", NewEmisData!$B:$B, $A46, NewEmisData!$C:$C, $H46, NewEmisData!$D:$D, DJ$2), SUMIFS(NewEmisData!H:H, NewEmisData!$A:$A, "LDV", NewEmisData!$B:$B, $A46, NewEmisData!$C:$C, $H46, NewEmisData!$D:$D, DJ$2))</f>
        <v>0</v>
      </c>
      <c r="DK46" s="324">
        <f>$I46*IF($G46="Pickup", SUMIFS(NewEmisData!I:I, NewEmisData!$A:$A, "Pickup", NewEmisData!$B:$B, $A46, NewEmisData!$C:$C, $H46, NewEmisData!$D:$D, DK$2), SUMIFS(NewEmisData!I:I, NewEmisData!$A:$A, "LDV", NewEmisData!$B:$B, $A46, NewEmisData!$C:$C, $H46, NewEmisData!$D:$D, DK$2))</f>
        <v>0</v>
      </c>
      <c r="DL46" s="324">
        <f>$I46*IF($G46="Pickup", SUMIFS(NewEmisData!J:J, NewEmisData!$A:$A, "Pickup", NewEmisData!$B:$B, $A46, NewEmisData!$C:$C, $H46, NewEmisData!$D:$D, DL$2), SUMIFS(NewEmisData!J:J, NewEmisData!$A:$A, "LDV", NewEmisData!$B:$B, $A46, NewEmisData!$C:$C, $H46, NewEmisData!$D:$D, DL$2))</f>
        <v>0</v>
      </c>
      <c r="DM46" s="324">
        <f>$I46*IF($G46="Pickup", SUMIFS(NewEmisData!K:K, NewEmisData!$A:$A, "Pickup", NewEmisData!$B:$B, $A46, NewEmisData!$C:$C, $H46, NewEmisData!$D:$D, DM$2), SUMIFS(NewEmisData!K:K, NewEmisData!$A:$A, "LDV", NewEmisData!$B:$B, $A46, NewEmisData!$C:$C, $H46, NewEmisData!$D:$D, DM$2))</f>
        <v>0</v>
      </c>
      <c r="DN46" s="324">
        <f>$I46*IF($G46="Pickup", SUMIFS(NewEmisData!L:L, NewEmisData!$A:$A, "Pickup", NewEmisData!$B:$B, $A46, NewEmisData!$C:$C, $H46, NewEmisData!$D:$D, DN$2), SUMIFS(NewEmisData!L:L, NewEmisData!$A:$A, "LDV", NewEmisData!$B:$B, $A46, NewEmisData!$C:$C, $H46, NewEmisData!$D:$D, DN$2))</f>
        <v>0</v>
      </c>
      <c r="DO46" s="324">
        <f>$I46*IF($G46="Pickup", SUMIFS(NewEmisData!M:M, NewEmisData!$A:$A, "Pickup", NewEmisData!$B:$B, $A46, NewEmisData!$C:$C, $H46, NewEmisData!$D:$D, DO$2), SUMIFS(NewEmisData!M:M, NewEmisData!$A:$A, "LDV", NewEmisData!$B:$B, $A46, NewEmisData!$C:$C, $H46, NewEmisData!$D:$D, DO$2))</f>
        <v>0</v>
      </c>
      <c r="DP46" s="324">
        <f t="shared" si="14"/>
        <v>0</v>
      </c>
      <c r="DQ46" s="324">
        <f>$I46*IF($G46="Pickup", SUMIFS(NewEmisData!E:E, NewEmisData!$A:$A, "Pickup", NewEmisData!$B:$B, $A46, NewEmisData!$C:$C, $H46, NewEmisData!$D:$D, DQ$2), SUMIFS(NewEmisData!E:E, NewEmisData!$A:$A, "LDV", NewEmisData!$B:$B, $A46, NewEmisData!$C:$C, $H46, NewEmisData!$D:$D, DQ$2))</f>
        <v>2.4719955118713801E-2</v>
      </c>
      <c r="DR46" s="324">
        <f>$I46*IF($G46="Pickup", SUMIFS(NewEmisData!F:F, NewEmisData!$A:$A, "Pickup", NewEmisData!$B:$B, $A46, NewEmisData!$C:$C, $H46, NewEmisData!$D:$D, DR$2), SUMIFS(NewEmisData!F:F, NewEmisData!$A:$A, "LDV", NewEmisData!$B:$B, $A46, NewEmisData!$C:$C, $H46, NewEmisData!$D:$D, DR$2))</f>
        <v>1.1661513599851301E-2</v>
      </c>
      <c r="DS46" s="324">
        <f>$I46*IF($G46="Pickup", SUMIFS(NewEmisData!G:G, NewEmisData!$A:$A, "Pickup", NewEmisData!$B:$B, $A46, NewEmisData!$C:$C, $H46, NewEmisData!$D:$D, DS$2), SUMIFS(NewEmisData!G:G, NewEmisData!$A:$A, "LDV", NewEmisData!$B:$B, $A46, NewEmisData!$C:$C, $H46, NewEmisData!$D:$D, DS$2))</f>
        <v>7.8709608571459096E-3</v>
      </c>
      <c r="DT46" s="324">
        <f>$I46*IF($G46="Pickup", SUMIFS(NewEmisData!H:H, NewEmisData!$A:$A, "Pickup", NewEmisData!$B:$B, $A46, NewEmisData!$C:$C, $H46, NewEmisData!$D:$D, DT$2), SUMIFS(NewEmisData!H:H, NewEmisData!$A:$A, "LDV", NewEmisData!$B:$B, $A46, NewEmisData!$C:$C, $H46, NewEmisData!$D:$D, DT$2))</f>
        <v>5.8339351334527802E-3</v>
      </c>
      <c r="DU46" s="324">
        <f>$I46*IF($G46="Pickup", SUMIFS(NewEmisData!I:I, NewEmisData!$A:$A, "Pickup", NewEmisData!$B:$B, $A46, NewEmisData!$C:$C, $H46, NewEmisData!$D:$D, DU$2), SUMIFS(NewEmisData!I:I, NewEmisData!$A:$A, "LDV", NewEmisData!$B:$B, $A46, NewEmisData!$C:$C, $H46, NewEmisData!$D:$D, DU$2))</f>
        <v>4.3766981897469699E-3</v>
      </c>
      <c r="DV46" s="324">
        <f>$I46*IF($G46="Pickup", SUMIFS(NewEmisData!J:J, NewEmisData!$A:$A, "Pickup", NewEmisData!$B:$B, $A46, NewEmisData!$C:$C, $H46, NewEmisData!$D:$D, DV$2), SUMIFS(NewEmisData!J:J, NewEmisData!$A:$A, "LDV", NewEmisData!$B:$B, $A46, NewEmisData!$C:$C, $H46, NewEmisData!$D:$D, DV$2))</f>
        <v>3.5528104359983199E-3</v>
      </c>
      <c r="DW46" s="324">
        <f>$I46*IF($G46="Pickup", SUMIFS(NewEmisData!K:K, NewEmisData!$A:$A, "Pickup", NewEmisData!$B:$B, $A46, NewEmisData!$C:$C, $H46, NewEmisData!$D:$D, DW$2), SUMIFS(NewEmisData!K:K, NewEmisData!$A:$A, "LDV", NewEmisData!$B:$B, $A46, NewEmisData!$C:$C, $H46, NewEmisData!$D:$D, DW$2))</f>
        <v>3.22504897123442E-3</v>
      </c>
      <c r="DX46" s="324">
        <f>$I46*IF($G46="Pickup", SUMIFS(NewEmisData!L:L, NewEmisData!$A:$A, "Pickup", NewEmisData!$B:$B, $A46, NewEmisData!$C:$C, $H46, NewEmisData!$D:$D, DX$2), SUMIFS(NewEmisData!L:L, NewEmisData!$A:$A, "LDV", NewEmisData!$B:$B, $A46, NewEmisData!$C:$C, $H46, NewEmisData!$D:$D, DX$2))</f>
        <v>3.1599803429776798E-3</v>
      </c>
      <c r="DY46" s="324">
        <f>$I46*IF($G46="Pickup", SUMIFS(NewEmisData!M:M, NewEmisData!$A:$A, "Pickup", NewEmisData!$B:$B, $A46, NewEmisData!$C:$C, $H46, NewEmisData!$D:$D, DY$2), SUMIFS(NewEmisData!M:M, NewEmisData!$A:$A, "LDV", NewEmisData!$B:$B, $A46, NewEmisData!$C:$C, $H46, NewEmisData!$D:$D, DY$2))</f>
        <v>3.14346479961037E-3</v>
      </c>
      <c r="DZ46" s="324">
        <f t="shared" si="15"/>
        <v>3.14346479961037E-3</v>
      </c>
      <c r="EA46" s="324">
        <f t="shared" si="16"/>
        <v>597.33559757265004</v>
      </c>
      <c r="EB46" s="324">
        <f t="shared" si="17"/>
        <v>553.28127212576896</v>
      </c>
      <c r="EC46" s="324">
        <f t="shared" si="18"/>
        <v>493.82406756493799</v>
      </c>
      <c r="ED46" s="324">
        <f t="shared" si="19"/>
        <v>412.98439479110601</v>
      </c>
      <c r="EE46" s="324">
        <f t="shared" si="20"/>
        <v>361.12439946055099</v>
      </c>
      <c r="EF46" s="324">
        <f t="shared" si="21"/>
        <v>334.85995891651203</v>
      </c>
      <c r="EG46" s="324">
        <f t="shared" si="22"/>
        <v>323.34611754862402</v>
      </c>
      <c r="EH46" s="324">
        <f t="shared" si="23"/>
        <v>320.96738270464499</v>
      </c>
      <c r="EI46" s="324">
        <f t="shared" si="24"/>
        <v>320.59740368618702</v>
      </c>
      <c r="EJ46" s="324">
        <f t="shared" si="25"/>
        <v>320.59740368618702</v>
      </c>
      <c r="EK46" s="324">
        <f t="shared" si="26"/>
        <v>1.1576605941285101</v>
      </c>
      <c r="EL46" s="324">
        <f t="shared" si="27"/>
        <v>0.37657543091819101</v>
      </c>
      <c r="EM46" s="324">
        <f t="shared" si="28"/>
        <v>0.200631007186098</v>
      </c>
      <c r="EN46" s="324">
        <f t="shared" si="29"/>
        <v>0.130138169147933</v>
      </c>
      <c r="EO46" s="324">
        <f t="shared" si="30"/>
        <v>8.7384287154233006E-2</v>
      </c>
      <c r="EP46" s="324">
        <f t="shared" si="31"/>
        <v>5.9391933302032802E-2</v>
      </c>
      <c r="EQ46" s="324">
        <f t="shared" si="32"/>
        <v>4.8180846872995502E-2</v>
      </c>
      <c r="ER46" s="324">
        <f t="shared" si="33"/>
        <v>4.5998445887843901E-2</v>
      </c>
      <c r="ES46" s="324">
        <f t="shared" si="34"/>
        <v>4.5463770278463003E-2</v>
      </c>
      <c r="ET46" s="324">
        <f t="shared" si="35"/>
        <v>4.5463770278463003E-2</v>
      </c>
      <c r="EU46" s="324">
        <f t="shared" si="36"/>
        <v>1.0335998327469099E-2</v>
      </c>
      <c r="EV46" s="324">
        <f t="shared" si="37"/>
        <v>9.5737115204566903E-3</v>
      </c>
      <c r="EW46" s="324">
        <f t="shared" si="38"/>
        <v>7.0841642304725503E-3</v>
      </c>
      <c r="EX46" s="324">
        <f t="shared" si="39"/>
        <v>5.9244730772948402E-3</v>
      </c>
      <c r="EY46" s="324">
        <f t="shared" si="40"/>
        <v>5.1805148263819496E-3</v>
      </c>
      <c r="EZ46" s="324">
        <f t="shared" si="41"/>
        <v>4.8037413964933202E-3</v>
      </c>
      <c r="FA46" s="324">
        <f t="shared" si="42"/>
        <v>4.6385693545218003E-3</v>
      </c>
      <c r="FB46" s="324">
        <f t="shared" si="43"/>
        <v>4.6044395711825996E-3</v>
      </c>
      <c r="FC46" s="324">
        <f t="shared" si="44"/>
        <v>4.5991353866608299E-3</v>
      </c>
      <c r="FD46" s="324">
        <f t="shared" si="45"/>
        <v>4.5991353866608299E-3</v>
      </c>
      <c r="FE46" s="324">
        <f t="shared" si="46"/>
        <v>7.1069962611333096E-2</v>
      </c>
      <c r="FF46" s="324">
        <f t="shared" si="47"/>
        <v>6.7310649866491198E-2</v>
      </c>
      <c r="FG46" s="324">
        <f t="shared" si="48"/>
        <v>6.7628560391991902E-2</v>
      </c>
      <c r="FH46" s="324">
        <f t="shared" si="49"/>
        <v>6.6559280493503098E-2</v>
      </c>
      <c r="FI46" s="324">
        <f t="shared" si="50"/>
        <v>6.53360817606774E-2</v>
      </c>
      <c r="FJ46" s="324">
        <f t="shared" si="51"/>
        <v>6.4268763456515193E-2</v>
      </c>
      <c r="FK46" s="324">
        <f t="shared" si="52"/>
        <v>6.3662257235357594E-2</v>
      </c>
      <c r="FL46" s="324">
        <f t="shared" si="53"/>
        <v>6.3432754124854704E-2</v>
      </c>
      <c r="FM46" s="324">
        <f t="shared" si="54"/>
        <v>6.3375800941285698E-2</v>
      </c>
      <c r="FN46" s="324">
        <f t="shared" si="55"/>
        <v>6.3375800941285698E-2</v>
      </c>
      <c r="FO46" s="324">
        <f t="shared" si="56"/>
        <v>1.7564038794035501E-2</v>
      </c>
      <c r="FP46" s="324">
        <f t="shared" si="57"/>
        <v>1.42365442689367E-2</v>
      </c>
      <c r="FQ46" s="324">
        <f t="shared" si="58"/>
        <v>1.3329065525325E-2</v>
      </c>
      <c r="FR46" s="324">
        <f t="shared" si="59"/>
        <v>1.23804824132796E-2</v>
      </c>
      <c r="FS46" s="324">
        <f t="shared" si="60"/>
        <v>1.12963892643066E-2</v>
      </c>
      <c r="FT46" s="324">
        <f t="shared" si="61"/>
        <v>1.03515640804413E-2</v>
      </c>
      <c r="FU46" s="324">
        <f t="shared" si="62"/>
        <v>9.8149798035326394E-3</v>
      </c>
      <c r="FV46" s="324">
        <f t="shared" si="63"/>
        <v>9.61190259231408E-3</v>
      </c>
      <c r="FW46" s="324">
        <f t="shared" si="64"/>
        <v>9.5615485982077E-3</v>
      </c>
      <c r="FX46" s="324">
        <f t="shared" si="65"/>
        <v>9.5615485982077E-3</v>
      </c>
    </row>
    <row r="47" spans="1:180" x14ac:dyDescent="0.2">
      <c r="A47" s="298" t="str">
        <f>_xlfn.CONCAT(IF(LEFT(TRIM(A46),1)="*", "*R", "R"), 1+RIGHT(TRIM(A46),1))</f>
        <v>R4</v>
      </c>
      <c r="B47" s="298" t="str">
        <f t="shared" si="102"/>
        <v>TLEPGSL</v>
      </c>
      <c r="C47" s="298" t="str">
        <f t="shared" si="103"/>
        <v>TL.GSL.P.Existing Fleet</v>
      </c>
      <c r="D47" s="294" t="str">
        <f t="shared" si="104"/>
        <v>bn-vmt, bn-vmt/a</v>
      </c>
      <c r="E47" s="294" t="str">
        <f t="shared" si="105"/>
        <v>TLGSL</v>
      </c>
      <c r="F47" s="294" t="str">
        <f t="shared" si="106"/>
        <v>TL</v>
      </c>
      <c r="G47" s="294" t="s">
        <v>329</v>
      </c>
      <c r="H47" s="294" t="s">
        <v>474</v>
      </c>
      <c r="I47" s="294">
        <v>1</v>
      </c>
      <c r="J47" s="308" t="str">
        <f t="shared" si="101"/>
        <v>Pickup-GSL</v>
      </c>
      <c r="K47" s="324">
        <f>$I47*IF($G47="Pickup", SUMIFS(NewEmisData!E:E, NewEmisData!$A:$A, "Pickup", NewEmisData!$B:$B, $A47, NewEmisData!$C:$C, $H47, NewEmisData!$D:$D, K$2), SUMIFS(NewEmisData!E:E, NewEmisData!$A:$A, "LDV", NewEmisData!$B:$B, $A47, NewEmisData!$C:$C, $H47, NewEmisData!$D:$D, K$2))</f>
        <v>809.18625562190198</v>
      </c>
      <c r="L47" s="324">
        <f>$I47*IF($G47="Pickup", SUMIFS(NewEmisData!F:F, NewEmisData!$A:$A, "Pickup", NewEmisData!$B:$B, $A47, NewEmisData!$C:$C, $H47, NewEmisData!$D:$D, L$2), SUMIFS(NewEmisData!F:F, NewEmisData!$A:$A, "LDV", NewEmisData!$B:$B, $A47, NewEmisData!$C:$C, $H47, NewEmisData!$D:$D, L$2))</f>
        <v>717.37917726989394</v>
      </c>
      <c r="M47" s="324">
        <f>$I47*IF($G47="Pickup", SUMIFS(NewEmisData!G:G, NewEmisData!$A:$A, "Pickup", NewEmisData!$B:$B, $A47, NewEmisData!$C:$C, $H47, NewEmisData!$D:$D, M$2), SUMIFS(NewEmisData!G:G, NewEmisData!$A:$A, "LDV", NewEmisData!$B:$B, $A47, NewEmisData!$C:$C, $H47, NewEmisData!$D:$D, M$2))</f>
        <v>565.23600524957101</v>
      </c>
      <c r="N47" s="324">
        <f>$I47*IF($G47="Pickup", SUMIFS(NewEmisData!H:H, NewEmisData!$A:$A, "Pickup", NewEmisData!$B:$B, $A47, NewEmisData!$C:$C, $H47, NewEmisData!$D:$D, N$2), SUMIFS(NewEmisData!H:H, NewEmisData!$A:$A, "LDV", NewEmisData!$B:$B, $A47, NewEmisData!$C:$C, $H47, NewEmisData!$D:$D, N$2))</f>
        <v>472.41891643346997</v>
      </c>
      <c r="O47" s="324">
        <f>$I47*IF($G47="Pickup", SUMIFS(NewEmisData!I:I, NewEmisData!$A:$A, "Pickup", NewEmisData!$B:$B, $A47, NewEmisData!$C:$C, $H47, NewEmisData!$D:$D, O$2), SUMIFS(NewEmisData!I:I, NewEmisData!$A:$A, "LDV", NewEmisData!$B:$B, $A47, NewEmisData!$C:$C, $H47, NewEmisData!$D:$D, O$2))</f>
        <v>412.86398479136801</v>
      </c>
      <c r="P47" s="324">
        <f>$I47*IF($G47="Pickup", SUMIFS(NewEmisData!J:J, NewEmisData!$A:$A, "Pickup", NewEmisData!$B:$B, $A47, NewEmisData!$C:$C, $H47, NewEmisData!$D:$D, P$2), SUMIFS(NewEmisData!J:J, NewEmisData!$A:$A, "LDV", NewEmisData!$B:$B, $A47, NewEmisData!$C:$C, $H47, NewEmisData!$D:$D, P$2))</f>
        <v>382.70335541305002</v>
      </c>
      <c r="Q47" s="324">
        <f>$I47*IF($G47="Pickup", SUMIFS(NewEmisData!K:K, NewEmisData!$A:$A, "Pickup", NewEmisData!$B:$B, $A47, NewEmisData!$C:$C, $H47, NewEmisData!$D:$D, Q$2), SUMIFS(NewEmisData!K:K, NewEmisData!$A:$A, "LDV", NewEmisData!$B:$B, $A47, NewEmisData!$C:$C, $H47, NewEmisData!$D:$D, Q$2))</f>
        <v>369.486844409941</v>
      </c>
      <c r="R47" s="324">
        <f>$I47*IF($G47="Pickup", SUMIFS(NewEmisData!L:L, NewEmisData!$A:$A, "Pickup", NewEmisData!$B:$B, $A47, NewEmisData!$C:$C, $H47, NewEmisData!$D:$D, R$2), SUMIFS(NewEmisData!L:L, NewEmisData!$A:$A, "LDV", NewEmisData!$B:$B, $A47, NewEmisData!$C:$C, $H47, NewEmisData!$D:$D, R$2))</f>
        <v>366.75951772725199</v>
      </c>
      <c r="S47" s="324">
        <f>$I47*IF($G47="Pickup", SUMIFS(NewEmisData!M:M, NewEmisData!$A:$A, "Pickup", NewEmisData!$B:$B, $A47, NewEmisData!$C:$C, $H47, NewEmisData!$D:$D, S$2), SUMIFS(NewEmisData!M:M, NewEmisData!$A:$A, "LDV", NewEmisData!$B:$B, $A47, NewEmisData!$C:$C, $H47, NewEmisData!$D:$D, S$2))</f>
        <v>366.33687885587801</v>
      </c>
      <c r="T47" s="324">
        <f t="shared" si="5"/>
        <v>366.33687885587801</v>
      </c>
      <c r="U47" s="324">
        <f>$I47*IF($G47="Pickup", SUMIFS(NewEmisData!E:E, NewEmisData!$A:$A, "Pickup", NewEmisData!$B:$B, $A47, NewEmisData!$C:$C, $H47, NewEmisData!$D:$D, U$2), SUMIFS(NewEmisData!E:E, NewEmisData!$A:$A, "LDV", NewEmisData!$B:$B, $A47, NewEmisData!$C:$C, $H47, NewEmisData!$D:$D, U$2))</f>
        <v>1.00256458087036</v>
      </c>
      <c r="V47" s="324">
        <f>$I47*IF($G47="Pickup", SUMIFS(NewEmisData!F:F, NewEmisData!$A:$A, "Pickup", NewEmisData!$B:$B, $A47, NewEmisData!$C:$C, $H47, NewEmisData!$D:$D, V$2), SUMIFS(NewEmisData!F:F, NewEmisData!$A:$A, "LDV", NewEmisData!$B:$B, $A47, NewEmisData!$C:$C, $H47, NewEmisData!$D:$D, V$2))</f>
        <v>0.39560747527751999</v>
      </c>
      <c r="W47" s="324">
        <f>$I47*IF($G47="Pickup", SUMIFS(NewEmisData!G:G, NewEmisData!$A:$A, "Pickup", NewEmisData!$B:$B, $A47, NewEmisData!$C:$C, $H47, NewEmisData!$D:$D, W$2), SUMIFS(NewEmisData!G:G, NewEmisData!$A:$A, "LDV", NewEmisData!$B:$B, $A47, NewEmisData!$C:$C, $H47, NewEmisData!$D:$D, W$2))</f>
        <v>0.19159818828877601</v>
      </c>
      <c r="X47" s="324">
        <f>$I47*IF($G47="Pickup", SUMIFS(NewEmisData!H:H, NewEmisData!$A:$A, "Pickup", NewEmisData!$B:$B, $A47, NewEmisData!$C:$C, $H47, NewEmisData!$D:$D, X$2), SUMIFS(NewEmisData!H:H, NewEmisData!$A:$A, "LDV", NewEmisData!$B:$B, $A47, NewEmisData!$C:$C, $H47, NewEmisData!$D:$D, X$2))</f>
        <v>0.12217599625012</v>
      </c>
      <c r="Y47" s="324">
        <f>$I47*IF($G47="Pickup", SUMIFS(NewEmisData!I:I, NewEmisData!$A:$A, "Pickup", NewEmisData!$B:$B, $A47, NewEmisData!$C:$C, $H47, NewEmisData!$D:$D, Y$2), SUMIFS(NewEmisData!I:I, NewEmisData!$A:$A, "LDV", NewEmisData!$B:$B, $A47, NewEmisData!$C:$C, $H47, NewEmisData!$D:$D, Y$2))</f>
        <v>8.1029190806467893E-2</v>
      </c>
      <c r="Z47" s="324">
        <f>$I47*IF($G47="Pickup", SUMIFS(NewEmisData!J:J, NewEmisData!$A:$A, "Pickup", NewEmisData!$B:$B, $A47, NewEmisData!$C:$C, $H47, NewEmisData!$D:$D, Z$2), SUMIFS(NewEmisData!J:J, NewEmisData!$A:$A, "LDV", NewEmisData!$B:$B, $A47, NewEmisData!$C:$C, $H47, NewEmisData!$D:$D, Z$2))</f>
        <v>5.4567341905185598E-2</v>
      </c>
      <c r="AA47" s="324">
        <f>$I47*IF($G47="Pickup", SUMIFS(NewEmisData!K:K, NewEmisData!$A:$A, "Pickup", NewEmisData!$B:$B, $A47, NewEmisData!$C:$C, $H47, NewEmisData!$D:$D, AA$2), SUMIFS(NewEmisData!K:K, NewEmisData!$A:$A, "LDV", NewEmisData!$B:$B, $A47, NewEmisData!$C:$C, $H47, NewEmisData!$D:$D, AA$2))</f>
        <v>4.4030783970489901E-2</v>
      </c>
      <c r="AB47" s="324">
        <f>$I47*IF($G47="Pickup", SUMIFS(NewEmisData!L:L, NewEmisData!$A:$A, "Pickup", NewEmisData!$B:$B, $A47, NewEmisData!$C:$C, $H47, NewEmisData!$D:$D, AB$2), SUMIFS(NewEmisData!L:L, NewEmisData!$A:$A, "LDV", NewEmisData!$B:$B, $A47, NewEmisData!$C:$C, $H47, NewEmisData!$D:$D, AB$2))</f>
        <v>4.1990059655105501E-2</v>
      </c>
      <c r="AC47" s="324">
        <f>$I47*IF($G47="Pickup", SUMIFS(NewEmisData!M:M, NewEmisData!$A:$A, "Pickup", NewEmisData!$B:$B, $A47, NewEmisData!$C:$C, $H47, NewEmisData!$D:$D, AC$2), SUMIFS(NewEmisData!M:M, NewEmisData!$A:$A, "LDV", NewEmisData!$B:$B, $A47, NewEmisData!$C:$C, $H47, NewEmisData!$D:$D, AC$2))</f>
        <v>4.1490516506061503E-2</v>
      </c>
      <c r="AD47" s="324">
        <f t="shared" si="6"/>
        <v>4.1490516506061503E-2</v>
      </c>
      <c r="AE47" s="324">
        <f>$I47*IF($G47="Pickup", SUMIFS(NewEmisData!E:E, NewEmisData!$A:$A, "Pickup", NewEmisData!$B:$B, $A47, NewEmisData!$C:$C, $H47, NewEmisData!$D:$D, AE$2), SUMIFS(NewEmisData!E:E, NewEmisData!$A:$A, "LDV", NewEmisData!$B:$B, $A47, NewEmisData!$C:$C, $H47, NewEmisData!$D:$D, AE$2))</f>
        <v>1.40017655016191E-2</v>
      </c>
      <c r="AF47" s="324">
        <f>$I47*IF($G47="Pickup", SUMIFS(NewEmisData!F:F, NewEmisData!$A:$A, "Pickup", NewEmisData!$B:$B, $A47, NewEmisData!$C:$C, $H47, NewEmisData!$D:$D, AF$2), SUMIFS(NewEmisData!F:F, NewEmisData!$A:$A, "LDV", NewEmisData!$B:$B, $A47, NewEmisData!$C:$C, $H47, NewEmisData!$D:$D, AF$2))</f>
        <v>1.2413170210923301E-2</v>
      </c>
      <c r="AG47" s="324">
        <f>$I47*IF($G47="Pickup", SUMIFS(NewEmisData!G:G, NewEmisData!$A:$A, "Pickup", NewEmisData!$B:$B, $A47, NewEmisData!$C:$C, $H47, NewEmisData!$D:$D, AG$2), SUMIFS(NewEmisData!G:G, NewEmisData!$A:$A, "LDV", NewEmisData!$B:$B, $A47, NewEmisData!$C:$C, $H47, NewEmisData!$D:$D, AG$2))</f>
        <v>8.1086013766454006E-3</v>
      </c>
      <c r="AH47" s="324">
        <f>$I47*IF($G47="Pickup", SUMIFS(NewEmisData!H:H, NewEmisData!$A:$A, "Pickup", NewEmisData!$B:$B, $A47, NewEmisData!$C:$C, $H47, NewEmisData!$D:$D, AH$2), SUMIFS(NewEmisData!H:H, NewEmisData!$A:$A, "LDV", NewEmisData!$B:$B, $A47, NewEmisData!$C:$C, $H47, NewEmisData!$D:$D, AH$2))</f>
        <v>6.7770962147280997E-3</v>
      </c>
      <c r="AI47" s="324">
        <f>$I47*IF($G47="Pickup", SUMIFS(NewEmisData!I:I, NewEmisData!$A:$A, "Pickup", NewEmisData!$B:$B, $A47, NewEmisData!$C:$C, $H47, NewEmisData!$D:$D, AI$2), SUMIFS(NewEmisData!I:I, NewEmisData!$A:$A, "LDV", NewEmisData!$B:$B, $A47, NewEmisData!$C:$C, $H47, NewEmisData!$D:$D, AI$2))</f>
        <v>5.9227487489961397E-3</v>
      </c>
      <c r="AJ47" s="324">
        <f>$I47*IF($G47="Pickup", SUMIFS(NewEmisData!J:J, NewEmisData!$A:$A, "Pickup", NewEmisData!$B:$B, $A47, NewEmisData!$C:$C, $H47, NewEmisData!$D:$D, AJ$2), SUMIFS(NewEmisData!J:J, NewEmisData!$A:$A, "LDV", NewEmisData!$B:$B, $A47, NewEmisData!$C:$C, $H47, NewEmisData!$D:$D, AJ$2))</f>
        <v>5.4900769721154498E-3</v>
      </c>
      <c r="AK47" s="324">
        <f>$I47*IF($G47="Pickup", SUMIFS(NewEmisData!K:K, NewEmisData!$A:$A, "Pickup", NewEmisData!$B:$B, $A47, NewEmisData!$C:$C, $H47, NewEmisData!$D:$D, AK$2), SUMIFS(NewEmisData!K:K, NewEmisData!$A:$A, "LDV", NewEmisData!$B:$B, $A47, NewEmisData!$C:$C, $H47, NewEmisData!$D:$D, AK$2))</f>
        <v>5.3004799651939901E-3</v>
      </c>
      <c r="AL47" s="324">
        <f>$I47*IF($G47="Pickup", SUMIFS(NewEmisData!L:L, NewEmisData!$A:$A, "Pickup", NewEmisData!$B:$B, $A47, NewEmisData!$C:$C, $H47, NewEmisData!$D:$D, AL$2), SUMIFS(NewEmisData!L:L, NewEmisData!$A:$A, "LDV", NewEmisData!$B:$B, $A47, NewEmisData!$C:$C, $H47, NewEmisData!$D:$D, AL$2))</f>
        <v>5.2613551409495399E-3</v>
      </c>
      <c r="AM47" s="324">
        <f>$I47*IF($G47="Pickup", SUMIFS(NewEmisData!M:M, NewEmisData!$A:$A, "Pickup", NewEmisData!$B:$B, $A47, NewEmisData!$C:$C, $H47, NewEmisData!$D:$D, AM$2), SUMIFS(NewEmisData!M:M, NewEmisData!$A:$A, "LDV", NewEmisData!$B:$B, $A47, NewEmisData!$C:$C, $H47, NewEmisData!$D:$D, AM$2))</f>
        <v>5.2552925304367899E-3</v>
      </c>
      <c r="AN47" s="324">
        <f t="shared" si="7"/>
        <v>5.2552925304367899E-3</v>
      </c>
      <c r="AO47" s="324">
        <f>$I47*IF($G47="Pickup", SUMIFS(NewEmisData!E:E, NewEmisData!$A:$A, "Pickup", NewEmisData!$B:$B, $A47, NewEmisData!$C:$C, $H47, NewEmisData!$D:$D, AO$2), SUMIFS(NewEmisData!E:E, NewEmisData!$A:$A, "LDV", NewEmisData!$B:$B, $A47, NewEmisData!$C:$C, $H47, NewEmisData!$D:$D, AO$2))</f>
        <v>0.115772764989804</v>
      </c>
      <c r="AP47" s="324">
        <f>$I47*IF($G47="Pickup", SUMIFS(NewEmisData!F:F, NewEmisData!$A:$A, "Pickup", NewEmisData!$B:$B, $A47, NewEmisData!$C:$C, $H47, NewEmisData!$D:$D, AP$2), SUMIFS(NewEmisData!F:F, NewEmisData!$A:$A, "LDV", NewEmisData!$B:$B, $A47, NewEmisData!$C:$C, $H47, NewEmisData!$D:$D, AP$2))</f>
        <v>0.11041053337507201</v>
      </c>
      <c r="AQ47" s="324">
        <f>$I47*IF($G47="Pickup", SUMIFS(NewEmisData!G:G, NewEmisData!$A:$A, "Pickup", NewEmisData!$B:$B, $A47, NewEmisData!$C:$C, $H47, NewEmisData!$D:$D, AQ$2), SUMIFS(NewEmisData!G:G, NewEmisData!$A:$A, "LDV", NewEmisData!$B:$B, $A47, NewEmisData!$C:$C, $H47, NewEmisData!$D:$D, AQ$2))</f>
        <v>8.9064450289023406E-2</v>
      </c>
      <c r="AR47" s="324">
        <f>$I47*IF($G47="Pickup", SUMIFS(NewEmisData!H:H, NewEmisData!$A:$A, "Pickup", NewEmisData!$B:$B, $A47, NewEmisData!$C:$C, $H47, NewEmisData!$D:$D, AR$2), SUMIFS(NewEmisData!H:H, NewEmisData!$A:$A, "LDV", NewEmisData!$B:$B, $A47, NewEmisData!$C:$C, $H47, NewEmisData!$D:$D, AR$2))</f>
        <v>8.7932937699846503E-2</v>
      </c>
      <c r="AS47" s="324">
        <f>$I47*IF($G47="Pickup", SUMIFS(NewEmisData!I:I, NewEmisData!$A:$A, "Pickup", NewEmisData!$B:$B, $A47, NewEmisData!$C:$C, $H47, NewEmisData!$D:$D, AS$2), SUMIFS(NewEmisData!I:I, NewEmisData!$A:$A, "LDV", NewEmisData!$B:$B, $A47, NewEmisData!$C:$C, $H47, NewEmisData!$D:$D, AS$2))</f>
        <v>8.66400670344568E-2</v>
      </c>
      <c r="AT47" s="324">
        <f>$I47*IF($G47="Pickup", SUMIFS(NewEmisData!J:J, NewEmisData!$A:$A, "Pickup", NewEmisData!$B:$B, $A47, NewEmisData!$C:$C, $H47, NewEmisData!$D:$D, AT$2), SUMIFS(NewEmisData!J:J, NewEmisData!$A:$A, "LDV", NewEmisData!$B:$B, $A47, NewEmisData!$C:$C, $H47, NewEmisData!$D:$D, AT$2))</f>
        <v>8.5515845774985999E-2</v>
      </c>
      <c r="AU47" s="324">
        <f>$I47*IF($G47="Pickup", SUMIFS(NewEmisData!K:K, NewEmisData!$A:$A, "Pickup", NewEmisData!$B:$B, $A47, NewEmisData!$C:$C, $H47, NewEmisData!$D:$D, AU$2), SUMIFS(NewEmisData!K:K, NewEmisData!$A:$A, "LDV", NewEmisData!$B:$B, $A47, NewEmisData!$C:$C, $H47, NewEmisData!$D:$D, AU$2))</f>
        <v>8.4877871012289302E-2</v>
      </c>
      <c r="AV47" s="324">
        <f>$I47*IF($G47="Pickup", SUMIFS(NewEmisData!L:L, NewEmisData!$A:$A, "Pickup", NewEmisData!$B:$B, $A47, NewEmisData!$C:$C, $H47, NewEmisData!$D:$D, AV$2), SUMIFS(NewEmisData!L:L, NewEmisData!$A:$A, "LDV", NewEmisData!$B:$B, $A47, NewEmisData!$C:$C, $H47, NewEmisData!$D:$D, AV$2))</f>
        <v>8.4636887277329695E-2</v>
      </c>
      <c r="AW47" s="324">
        <f>$I47*IF($G47="Pickup", SUMIFS(NewEmisData!M:M, NewEmisData!$A:$A, "Pickup", NewEmisData!$B:$B, $A47, NewEmisData!$C:$C, $H47, NewEmisData!$D:$D, AW$2), SUMIFS(NewEmisData!M:M, NewEmisData!$A:$A, "LDV", NewEmisData!$B:$B, $A47, NewEmisData!$C:$C, $H47, NewEmisData!$D:$D, AW$2))</f>
        <v>8.4577535540567794E-2</v>
      </c>
      <c r="AX47" s="324">
        <f t="shared" si="8"/>
        <v>8.4577535540567794E-2</v>
      </c>
      <c r="AY47" s="324">
        <f>$I47*IF($G47="Pickup", SUMIFS(NewEmisData!E:E, NewEmisData!$A:$A, "Pickup", NewEmisData!$B:$B, $A47, NewEmisData!$C:$C, $H47, NewEmisData!$D:$D, AY$2), SUMIFS(NewEmisData!E:E, NewEmisData!$A:$A, "LDV", NewEmisData!$B:$B, $A47, NewEmisData!$C:$C, $H47, NewEmisData!$D:$D, AY$2))</f>
        <v>2.5560187952441901E-2</v>
      </c>
      <c r="AZ47" s="324">
        <f>$I47*IF($G47="Pickup", SUMIFS(NewEmisData!F:F, NewEmisData!$A:$A, "Pickup", NewEmisData!$B:$B, $A47, NewEmisData!$C:$C, $H47, NewEmisData!$D:$D, AZ$2), SUMIFS(NewEmisData!F:F, NewEmisData!$A:$A, "LDV", NewEmisData!$B:$B, $A47, NewEmisData!$C:$C, $H47, NewEmisData!$D:$D, AZ$2))</f>
        <v>2.0822176230306699E-2</v>
      </c>
      <c r="BA47" s="324">
        <f>$I47*IF($G47="Pickup", SUMIFS(NewEmisData!G:G, NewEmisData!$A:$A, "Pickup", NewEmisData!$B:$B, $A47, NewEmisData!$C:$C, $H47, NewEmisData!$D:$D, BA$2), SUMIFS(NewEmisData!G:G, NewEmisData!$A:$A, "LDV", NewEmisData!$B:$B, $A47, NewEmisData!$C:$C, $H47, NewEmisData!$D:$D, BA$2))</f>
        <v>1.62964680076296E-2</v>
      </c>
      <c r="BB47" s="324">
        <f>$I47*IF($G47="Pickup", SUMIFS(NewEmisData!H:H, NewEmisData!$A:$A, "Pickup", NewEmisData!$B:$B, $A47, NewEmisData!$C:$C, $H47, NewEmisData!$D:$D, BB$2), SUMIFS(NewEmisData!H:H, NewEmisData!$A:$A, "LDV", NewEmisData!$B:$B, $A47, NewEmisData!$C:$C, $H47, NewEmisData!$D:$D, BB$2))</f>
        <v>1.52894671516547E-2</v>
      </c>
      <c r="BC47" s="324">
        <f>$I47*IF($G47="Pickup", SUMIFS(NewEmisData!I:I, NewEmisData!$A:$A, "Pickup", NewEmisData!$B:$B, $A47, NewEmisData!$C:$C, $H47, NewEmisData!$D:$D, BC$2), SUMIFS(NewEmisData!I:I, NewEmisData!$A:$A, "LDV", NewEmisData!$B:$B, $A47, NewEmisData!$C:$C, $H47, NewEmisData!$D:$D, BC$2))</f>
        <v>1.4142061331261099E-2</v>
      </c>
      <c r="BD47" s="324">
        <f>$I47*IF($G47="Pickup", SUMIFS(NewEmisData!J:J, NewEmisData!$A:$A, "Pickup", NewEmisData!$B:$B, $A47, NewEmisData!$C:$C, $H47, NewEmisData!$D:$D, BD$2), SUMIFS(NewEmisData!J:J, NewEmisData!$A:$A, "LDV", NewEmisData!$B:$B, $A47, NewEmisData!$C:$C, $H47, NewEmisData!$D:$D, BD$2))</f>
        <v>1.31466340212829E-2</v>
      </c>
      <c r="BE47" s="324">
        <f>$I47*IF($G47="Pickup", SUMIFS(NewEmisData!K:K, NewEmisData!$A:$A, "Pickup", NewEmisData!$B:$B, $A47, NewEmisData!$C:$C, $H47, NewEmisData!$D:$D, BE$2), SUMIFS(NewEmisData!K:K, NewEmisData!$A:$A, "LDV", NewEmisData!$B:$B, $A47, NewEmisData!$C:$C, $H47, NewEmisData!$D:$D, BE$2))</f>
        <v>1.25820467149478E-2</v>
      </c>
      <c r="BF47" s="324">
        <f>$I47*IF($G47="Pickup", SUMIFS(NewEmisData!L:L, NewEmisData!$A:$A, "Pickup", NewEmisData!$B:$B, $A47, NewEmisData!$C:$C, $H47, NewEmisData!$D:$D, BF$2), SUMIFS(NewEmisData!L:L, NewEmisData!$A:$A, "LDV", NewEmisData!$B:$B, $A47, NewEmisData!$C:$C, $H47, NewEmisData!$D:$D, BF$2))</f>
        <v>1.2368813254204299E-2</v>
      </c>
      <c r="BG47" s="324">
        <f>$I47*IF($G47="Pickup", SUMIFS(NewEmisData!M:M, NewEmisData!$A:$A, "Pickup", NewEmisData!$B:$B, $A47, NewEmisData!$C:$C, $H47, NewEmisData!$D:$D, BG$2), SUMIFS(NewEmisData!M:M, NewEmisData!$A:$A, "LDV", NewEmisData!$B:$B, $A47, NewEmisData!$C:$C, $H47, NewEmisData!$D:$D, BG$2))</f>
        <v>1.2316300985385199E-2</v>
      </c>
      <c r="BH47" s="324">
        <f t="shared" si="9"/>
        <v>1.2316300985385199E-2</v>
      </c>
      <c r="BI47" s="324">
        <f>$I47*IF($G47="Pickup", SUMIFS(NewEmisData!E:E, NewEmisData!$A:$A, "Pickup", NewEmisData!$B:$B, $A47, NewEmisData!$C:$C, $H47, NewEmisData!$D:$D, BI$2), SUMIFS(NewEmisData!E:E, NewEmisData!$A:$A, "LDV", NewEmisData!$B:$B, $A47, NewEmisData!$C:$C, $H47, NewEmisData!$D:$D, BI$2))</f>
        <v>10.361592379563</v>
      </c>
      <c r="BJ47" s="324">
        <f>$I47*IF($G47="Pickup", SUMIFS(NewEmisData!F:F, NewEmisData!$A:$A, "Pickup", NewEmisData!$B:$B, $A47, NewEmisData!$C:$C, $H47, NewEmisData!$D:$D, BJ$2), SUMIFS(NewEmisData!F:F, NewEmisData!$A:$A, "LDV", NewEmisData!$B:$B, $A47, NewEmisData!$C:$C, $H47, NewEmisData!$D:$D, BJ$2))</f>
        <v>5.7035193279517298</v>
      </c>
      <c r="BK47" s="324">
        <f>$I47*IF($G47="Pickup", SUMIFS(NewEmisData!G:G, NewEmisData!$A:$A, "Pickup", NewEmisData!$B:$B, $A47, NewEmisData!$C:$C, $H47, NewEmisData!$D:$D, BK$2), SUMIFS(NewEmisData!G:G, NewEmisData!$A:$A, "LDV", NewEmisData!$B:$B, $A47, NewEmisData!$C:$C, $H47, NewEmisData!$D:$D, BK$2))</f>
        <v>2.8118299104154998</v>
      </c>
      <c r="BL47" s="324">
        <f>$I47*IF($G47="Pickup", SUMIFS(NewEmisData!H:H, NewEmisData!$A:$A, "Pickup", NewEmisData!$B:$B, $A47, NewEmisData!$C:$C, $H47, NewEmisData!$D:$D, BL$2), SUMIFS(NewEmisData!H:H, NewEmisData!$A:$A, "LDV", NewEmisData!$B:$B, $A47, NewEmisData!$C:$C, $H47, NewEmisData!$D:$D, BL$2))</f>
        <v>2.1498156223690699</v>
      </c>
      <c r="BM47" s="324">
        <f>$I47*IF($G47="Pickup", SUMIFS(NewEmisData!I:I, NewEmisData!$A:$A, "Pickup", NewEmisData!$B:$B, $A47, NewEmisData!$C:$C, $H47, NewEmisData!$D:$D, BM$2), SUMIFS(NewEmisData!I:I, NewEmisData!$A:$A, "LDV", NewEmisData!$B:$B, $A47, NewEmisData!$C:$C, $H47, NewEmisData!$D:$D, BM$2))</f>
        <v>1.50486267134415</v>
      </c>
      <c r="BN47" s="324">
        <f>$I47*IF($G47="Pickup", SUMIFS(NewEmisData!J:J, NewEmisData!$A:$A, "Pickup", NewEmisData!$B:$B, $A47, NewEmisData!$C:$C, $H47, NewEmisData!$D:$D, BN$2), SUMIFS(NewEmisData!J:J, NewEmisData!$A:$A, "LDV", NewEmisData!$B:$B, $A47, NewEmisData!$C:$C, $H47, NewEmisData!$D:$D, BN$2))</f>
        <v>1.09335104360618</v>
      </c>
      <c r="BO47" s="324">
        <f>$I47*IF($G47="Pickup", SUMIFS(NewEmisData!K:K, NewEmisData!$A:$A, "Pickup", NewEmisData!$B:$B, $A47, NewEmisData!$C:$C, $H47, NewEmisData!$D:$D, BO$2), SUMIFS(NewEmisData!K:K, NewEmisData!$A:$A, "LDV", NewEmisData!$B:$B, $A47, NewEmisData!$C:$C, $H47, NewEmisData!$D:$D, BO$2))</f>
        <v>0.94431857682522102</v>
      </c>
      <c r="BP47" s="324">
        <f>$I47*IF($G47="Pickup", SUMIFS(NewEmisData!L:L, NewEmisData!$A:$A, "Pickup", NewEmisData!$B:$B, $A47, NewEmisData!$C:$C, $H47, NewEmisData!$D:$D, BP$2), SUMIFS(NewEmisData!L:L, NewEmisData!$A:$A, "LDV", NewEmisData!$B:$B, $A47, NewEmisData!$C:$C, $H47, NewEmisData!$D:$D, BP$2))</f>
        <v>0.915199759925724</v>
      </c>
      <c r="BQ47" s="324">
        <f>$I47*IF($G47="Pickup", SUMIFS(NewEmisData!M:M, NewEmisData!$A:$A, "Pickup", NewEmisData!$B:$B, $A47, NewEmisData!$C:$C, $H47, NewEmisData!$D:$D, BQ$2), SUMIFS(NewEmisData!M:M, NewEmisData!$A:$A, "LDV", NewEmisData!$B:$B, $A47, NewEmisData!$C:$C, $H47, NewEmisData!$D:$D, BQ$2))</f>
        <v>0.90672443002134795</v>
      </c>
      <c r="BR47" s="324">
        <f t="shared" si="10"/>
        <v>0.90672443002134795</v>
      </c>
      <c r="BS47" s="324">
        <f>$I47*IF($G47="Pickup", SUMIFS(NewEmisData!E:E, NewEmisData!$A:$A, "Pickup", NewEmisData!$B:$B, $A47, NewEmisData!$C:$C, $H47, NewEmisData!$D:$D, BS$2), SUMIFS(NewEmisData!E:E, NewEmisData!$A:$A, "LDV", NewEmisData!$B:$B, $A47, NewEmisData!$C:$C, $H47, NewEmisData!$D:$D, BS$2))</f>
        <v>0.86905039246637406</v>
      </c>
      <c r="BT47" s="324">
        <f>$I47*IF($G47="Pickup", SUMIFS(NewEmisData!F:F, NewEmisData!$A:$A, "Pickup", NewEmisData!$B:$B, $A47, NewEmisData!$C:$C, $H47, NewEmisData!$D:$D, BT$2), SUMIFS(NewEmisData!F:F, NewEmisData!$A:$A, "LDV", NewEmisData!$B:$B, $A47, NewEmisData!$C:$C, $H47, NewEmisData!$D:$D, BT$2))</f>
        <v>0.418423669034441</v>
      </c>
      <c r="BU47" s="324">
        <f>$I47*IF($G47="Pickup", SUMIFS(NewEmisData!G:G, NewEmisData!$A:$A, "Pickup", NewEmisData!$B:$B, $A47, NewEmisData!$C:$C, $H47, NewEmisData!$D:$D, BU$2), SUMIFS(NewEmisData!G:G, NewEmisData!$A:$A, "LDV", NewEmisData!$B:$B, $A47, NewEmisData!$C:$C, $H47, NewEmisData!$D:$D, BU$2))</f>
        <v>0.18064958377697199</v>
      </c>
      <c r="BV47" s="324">
        <f>$I47*IF($G47="Pickup", SUMIFS(NewEmisData!H:H, NewEmisData!$A:$A, "Pickup", NewEmisData!$B:$B, $A47, NewEmisData!$C:$C, $H47, NewEmisData!$D:$D, BV$2), SUMIFS(NewEmisData!H:H, NewEmisData!$A:$A, "LDV", NewEmisData!$B:$B, $A47, NewEmisData!$C:$C, $H47, NewEmisData!$D:$D, BV$2))</f>
        <v>0.14371277557137099</v>
      </c>
      <c r="BW47" s="324">
        <f>$I47*IF($G47="Pickup", SUMIFS(NewEmisData!I:I, NewEmisData!$A:$A, "Pickup", NewEmisData!$B:$B, $A47, NewEmisData!$C:$C, $H47, NewEmisData!$D:$D, BW$2), SUMIFS(NewEmisData!I:I, NewEmisData!$A:$A, "LDV", NewEmisData!$B:$B, $A47, NewEmisData!$C:$C, $H47, NewEmisData!$D:$D, BW$2))</f>
        <v>0.111965551174719</v>
      </c>
      <c r="BX47" s="324">
        <f>$I47*IF($G47="Pickup", SUMIFS(NewEmisData!J:J, NewEmisData!$A:$A, "Pickup", NewEmisData!$B:$B, $A47, NewEmisData!$C:$C, $H47, NewEmisData!$D:$D, BX$2), SUMIFS(NewEmisData!J:J, NewEmisData!$A:$A, "LDV", NewEmisData!$B:$B, $A47, NewEmisData!$C:$C, $H47, NewEmisData!$D:$D, BX$2))</f>
        <v>9.2429316058592198E-2</v>
      </c>
      <c r="BY47" s="324">
        <f>$I47*IF($G47="Pickup", SUMIFS(NewEmisData!K:K, NewEmisData!$A:$A, "Pickup", NewEmisData!$B:$B, $A47, NewEmisData!$C:$C, $H47, NewEmisData!$D:$D, BY$2), SUMIFS(NewEmisData!K:K, NewEmisData!$A:$A, "LDV", NewEmisData!$B:$B, $A47, NewEmisData!$C:$C, $H47, NewEmisData!$D:$D, BY$2))</f>
        <v>8.3656031306945794E-2</v>
      </c>
      <c r="BZ47" s="324">
        <f>$I47*IF($G47="Pickup", SUMIFS(NewEmisData!L:L, NewEmisData!$A:$A, "Pickup", NewEmisData!$B:$B, $A47, NewEmisData!$C:$C, $H47, NewEmisData!$D:$D, BZ$2), SUMIFS(NewEmisData!L:L, NewEmisData!$A:$A, "LDV", NewEmisData!$B:$B, $A47, NewEmisData!$C:$C, $H47, NewEmisData!$D:$D, BZ$2))</f>
        <v>8.1597635076797501E-2</v>
      </c>
      <c r="CA47" s="324">
        <f>$I47*IF($G47="Pickup", SUMIFS(NewEmisData!M:M, NewEmisData!$A:$A, "Pickup", NewEmisData!$B:$B, $A47, NewEmisData!$C:$C, $H47, NewEmisData!$D:$D, CA$2), SUMIFS(NewEmisData!M:M, NewEmisData!$A:$A, "LDV", NewEmisData!$B:$B, $A47, NewEmisData!$C:$C, $H47, NewEmisData!$D:$D, CA$2))</f>
        <v>8.0898234893418394E-2</v>
      </c>
      <c r="CB47" s="324">
        <f t="shared" si="11"/>
        <v>8.0898234893418394E-2</v>
      </c>
      <c r="CC47" s="324">
        <f>$I47*IF($G47="Pickup", SUMIFS(NewEmisData!E:E, NewEmisData!$A:$A, "Pickup", NewEmisData!$B:$B, $A47, NewEmisData!$C:$C, $H47, NewEmisData!$D:$D, CC$2), SUMIFS(NewEmisData!E:E, NewEmisData!$A:$A, "LDV", NewEmisData!$B:$B, $A47, NewEmisData!$C:$C, $H47, NewEmisData!$D:$D, CC$2))</f>
        <v>4.7191921004493001E-2</v>
      </c>
      <c r="CD47" s="324">
        <f>$I47*IF($G47="Pickup", SUMIFS(NewEmisData!F:F, NewEmisData!$A:$A, "Pickup", NewEmisData!$B:$B, $A47, NewEmisData!$C:$C, $H47, NewEmisData!$D:$D, CD$2), SUMIFS(NewEmisData!F:F, NewEmisData!$A:$A, "LDV", NewEmisData!$B:$B, $A47, NewEmisData!$C:$C, $H47, NewEmisData!$D:$D, CD$2))</f>
        <v>3.3452665150373803E-2</v>
      </c>
      <c r="CE47" s="324">
        <f>$I47*IF($G47="Pickup", SUMIFS(NewEmisData!G:G, NewEmisData!$A:$A, "Pickup", NewEmisData!$B:$B, $A47, NewEmisData!$C:$C, $H47, NewEmisData!$D:$D, CE$2), SUMIFS(NewEmisData!G:G, NewEmisData!$A:$A, "LDV", NewEmisData!$B:$B, $A47, NewEmisData!$C:$C, $H47, NewEmisData!$D:$D, CE$2))</f>
        <v>2.8197233154937398E-2</v>
      </c>
      <c r="CF47" s="324">
        <f>$I47*IF($G47="Pickup", SUMIFS(NewEmisData!H:H, NewEmisData!$A:$A, "Pickup", NewEmisData!$B:$B, $A47, NewEmisData!$C:$C, $H47, NewEmisData!$D:$D, CF$2), SUMIFS(NewEmisData!H:H, NewEmisData!$A:$A, "LDV", NewEmisData!$B:$B, $A47, NewEmisData!$C:$C, $H47, NewEmisData!$D:$D, CF$2))</f>
        <v>2.73123787191559E-2</v>
      </c>
      <c r="CG47" s="324">
        <f>$I47*IF($G47="Pickup", SUMIFS(NewEmisData!I:I, NewEmisData!$A:$A, "Pickup", NewEmisData!$B:$B, $A47, NewEmisData!$C:$C, $H47, NewEmisData!$D:$D, CG$2), SUMIFS(NewEmisData!I:I, NewEmisData!$A:$A, "LDV", NewEmisData!$B:$B, $A47, NewEmisData!$C:$C, $H47, NewEmisData!$D:$D, CG$2))</f>
        <v>2.71336633329387E-2</v>
      </c>
      <c r="CH47" s="324">
        <f>$I47*IF($G47="Pickup", SUMIFS(NewEmisData!J:J, NewEmisData!$A:$A, "Pickup", NewEmisData!$B:$B, $A47, NewEmisData!$C:$C, $H47, NewEmisData!$D:$D, CH$2), SUMIFS(NewEmisData!J:J, NewEmisData!$A:$A, "LDV", NewEmisData!$B:$B, $A47, NewEmisData!$C:$C, $H47, NewEmisData!$D:$D, CH$2))</f>
        <v>2.70232168706778E-2</v>
      </c>
      <c r="CI47" s="324">
        <f>$I47*IF($G47="Pickup", SUMIFS(NewEmisData!K:K, NewEmisData!$A:$A, "Pickup", NewEmisData!$B:$B, $A47, NewEmisData!$C:$C, $H47, NewEmisData!$D:$D, CI$2), SUMIFS(NewEmisData!K:K, NewEmisData!$A:$A, "LDV", NewEmisData!$B:$B, $A47, NewEmisData!$C:$C, $H47, NewEmisData!$D:$D, CI$2))</f>
        <v>2.7020753977429299E-2</v>
      </c>
      <c r="CJ47" s="324">
        <f>$I47*IF($G47="Pickup", SUMIFS(NewEmisData!L:L, NewEmisData!$A:$A, "Pickup", NewEmisData!$B:$B, $A47, NewEmisData!$C:$C, $H47, NewEmisData!$D:$D, CJ$2), SUMIFS(NewEmisData!L:L, NewEmisData!$A:$A, "LDV", NewEmisData!$B:$B, $A47, NewEmisData!$C:$C, $H47, NewEmisData!$D:$D, CJ$2))</f>
        <v>2.70210162479033E-2</v>
      </c>
      <c r="CK47" s="324">
        <f>$I47*IF($G47="Pickup", SUMIFS(NewEmisData!M:M, NewEmisData!$A:$A, "Pickup", NewEmisData!$B:$B, $A47, NewEmisData!$C:$C, $H47, NewEmisData!$D:$D, CK$2), SUMIFS(NewEmisData!M:M, NewEmisData!$A:$A, "LDV", NewEmisData!$B:$B, $A47, NewEmisData!$C:$C, $H47, NewEmisData!$D:$D, CK$2))</f>
        <v>2.70209056267686E-2</v>
      </c>
      <c r="CL47" s="324">
        <f t="shared" si="12"/>
        <v>2.70209056267686E-2</v>
      </c>
      <c r="CM47" s="324">
        <f>$I47*IF($G47="Pickup", SUMIFS(NewEmisData!E:E, NewEmisData!$A:$A, "Pickup", NewEmisData!$B:$B, $A47, NewEmisData!$C:$C, $H47, NewEmisData!$D:$D, CM$2), SUMIFS(NewEmisData!E:E, NewEmisData!$A:$A, "LDV", NewEmisData!$B:$B, $A47, NewEmisData!$C:$C, $H47, NewEmisData!$D:$D, CM$2))</f>
        <v>3.4914623745350599E-2</v>
      </c>
      <c r="CN47" s="324">
        <f>$I47*IF($G47="Pickup", SUMIFS(NewEmisData!F:F, NewEmisData!$A:$A, "Pickup", NewEmisData!$B:$B, $A47, NewEmisData!$C:$C, $H47, NewEmisData!$D:$D, CN$2), SUMIFS(NewEmisData!F:F, NewEmisData!$A:$A, "LDV", NewEmisData!$B:$B, $A47, NewEmisData!$C:$C, $H47, NewEmisData!$D:$D, CN$2))</f>
        <v>1.8256939233426101E-2</v>
      </c>
      <c r="CO47" s="324">
        <f>$I47*IF($G47="Pickup", SUMIFS(NewEmisData!G:G, NewEmisData!$A:$A, "Pickup", NewEmisData!$B:$B, $A47, NewEmisData!$C:$C, $H47, NewEmisData!$D:$D, CO$2), SUMIFS(NewEmisData!G:G, NewEmisData!$A:$A, "LDV", NewEmisData!$B:$B, $A47, NewEmisData!$C:$C, $H47, NewEmisData!$D:$D, CO$2))</f>
        <v>1.08185057202368E-2</v>
      </c>
      <c r="CP47" s="324">
        <f>$I47*IF($G47="Pickup", SUMIFS(NewEmisData!H:H, NewEmisData!$A:$A, "Pickup", NewEmisData!$B:$B, $A47, NewEmisData!$C:$C, $H47, NewEmisData!$D:$D, CP$2), SUMIFS(NewEmisData!H:H, NewEmisData!$A:$A, "LDV", NewEmisData!$B:$B, $A47, NewEmisData!$C:$C, $H47, NewEmisData!$D:$D, CP$2))</f>
        <v>8.9273095692375404E-3</v>
      </c>
      <c r="CQ47" s="324">
        <f>$I47*IF($G47="Pickup", SUMIFS(NewEmisData!I:I, NewEmisData!$A:$A, "Pickup", NewEmisData!$B:$B, $A47, NewEmisData!$C:$C, $H47, NewEmisData!$D:$D, CQ$2), SUMIFS(NewEmisData!I:I, NewEmisData!$A:$A, "LDV", NewEmisData!$B:$B, $A47, NewEmisData!$C:$C, $H47, NewEmisData!$D:$D, CQ$2))</f>
        <v>8.3314585338203004E-3</v>
      </c>
      <c r="CR47" s="324">
        <f>$I47*IF($G47="Pickup", SUMIFS(NewEmisData!J:J, NewEmisData!$A:$A, "Pickup", NewEmisData!$B:$B, $A47, NewEmisData!$C:$C, $H47, NewEmisData!$D:$D, CR$2), SUMIFS(NewEmisData!J:J, NewEmisData!$A:$A, "LDV", NewEmisData!$B:$B, $A47, NewEmisData!$C:$C, $H47, NewEmisData!$D:$D, CR$2))</f>
        <v>8.1732632200225506E-3</v>
      </c>
      <c r="CS47" s="324">
        <f>$I47*IF($G47="Pickup", SUMIFS(NewEmisData!K:K, NewEmisData!$A:$A, "Pickup", NewEmisData!$B:$B, $A47, NewEmisData!$C:$C, $H47, NewEmisData!$D:$D, CS$2), SUMIFS(NewEmisData!K:K, NewEmisData!$A:$A, "LDV", NewEmisData!$B:$B, $A47, NewEmisData!$C:$C, $H47, NewEmisData!$D:$D, CS$2))</f>
        <v>8.1593002884472708E-3</v>
      </c>
      <c r="CT47" s="324">
        <f>$I47*IF($G47="Pickup", SUMIFS(NewEmisData!L:L, NewEmisData!$A:$A, "Pickup", NewEmisData!$B:$B, $A47, NewEmisData!$C:$C, $H47, NewEmisData!$D:$D, CT$2), SUMIFS(NewEmisData!L:L, NewEmisData!$A:$A, "LDV", NewEmisData!$B:$B, $A47, NewEmisData!$C:$C, $H47, NewEmisData!$D:$D, CT$2))</f>
        <v>8.1495517165185508E-3</v>
      </c>
      <c r="CU47" s="324">
        <f>$I47*IF($G47="Pickup", SUMIFS(NewEmisData!M:M, NewEmisData!$A:$A, "Pickup", NewEmisData!$B:$B, $A47, NewEmisData!$C:$C, $H47, NewEmisData!$D:$D, CU$2), SUMIFS(NewEmisData!M:M, NewEmisData!$A:$A, "LDV", NewEmisData!$B:$B, $A47, NewEmisData!$C:$C, $H47, NewEmisData!$D:$D, CU$2))</f>
        <v>8.1494483917005801E-3</v>
      </c>
      <c r="CV47" s="324">
        <f t="shared" si="13"/>
        <v>8.1494483917005801E-3</v>
      </c>
      <c r="CW47" s="324">
        <v>4.0498104655261064E-3</v>
      </c>
      <c r="CX47" s="324">
        <v>2.5030350838759993E-3</v>
      </c>
      <c r="CY47" s="324">
        <v>2.1151214403419519E-3</v>
      </c>
      <c r="CZ47" s="324">
        <v>1.7489979687569375E-3</v>
      </c>
      <c r="DA47" s="324">
        <v>1.340486996695321E-3</v>
      </c>
      <c r="DB47" s="324">
        <v>1.0553769116342638E-3</v>
      </c>
      <c r="DC47" s="324">
        <v>1.0132227560056145E-3</v>
      </c>
      <c r="DD47" s="324">
        <v>1.0003159541004489E-3</v>
      </c>
      <c r="DE47" s="324">
        <v>9.9860782000699166E-4</v>
      </c>
      <c r="DF47" s="324">
        <v>9.9860782000699166E-4</v>
      </c>
      <c r="DG47" s="324">
        <f>$I47*IF($G47="Pickup", SUMIFS(NewEmisData!E:E, NewEmisData!$A:$A, "Pickup", NewEmisData!$B:$B, $A47, NewEmisData!$C:$C, $H47, NewEmisData!$D:$D, DG$2), SUMIFS(NewEmisData!E:E, NewEmisData!$A:$A, "LDV", NewEmisData!$B:$B, $A47, NewEmisData!$C:$C, $H47, NewEmisData!$D:$D, DG$2))</f>
        <v>0</v>
      </c>
      <c r="DH47" s="324">
        <f>$I47*IF($G47="Pickup", SUMIFS(NewEmisData!F:F, NewEmisData!$A:$A, "Pickup", NewEmisData!$B:$B, $A47, NewEmisData!$C:$C, $H47, NewEmisData!$D:$D, DH$2), SUMIFS(NewEmisData!F:F, NewEmisData!$A:$A, "LDV", NewEmisData!$B:$B, $A47, NewEmisData!$C:$C, $H47, NewEmisData!$D:$D, DH$2))</f>
        <v>0</v>
      </c>
      <c r="DI47" s="324">
        <f>$I47*IF($G47="Pickup", SUMIFS(NewEmisData!G:G, NewEmisData!$A:$A, "Pickup", NewEmisData!$B:$B, $A47, NewEmisData!$C:$C, $H47, NewEmisData!$D:$D, DI$2), SUMIFS(NewEmisData!G:G, NewEmisData!$A:$A, "LDV", NewEmisData!$B:$B, $A47, NewEmisData!$C:$C, $H47, NewEmisData!$D:$D, DI$2))</f>
        <v>0</v>
      </c>
      <c r="DJ47" s="324">
        <f>$I47*IF($G47="Pickup", SUMIFS(NewEmisData!H:H, NewEmisData!$A:$A, "Pickup", NewEmisData!$B:$B, $A47, NewEmisData!$C:$C, $H47, NewEmisData!$D:$D, DJ$2), SUMIFS(NewEmisData!H:H, NewEmisData!$A:$A, "LDV", NewEmisData!$B:$B, $A47, NewEmisData!$C:$C, $H47, NewEmisData!$D:$D, DJ$2))</f>
        <v>0</v>
      </c>
      <c r="DK47" s="324">
        <f>$I47*IF($G47="Pickup", SUMIFS(NewEmisData!I:I, NewEmisData!$A:$A, "Pickup", NewEmisData!$B:$B, $A47, NewEmisData!$C:$C, $H47, NewEmisData!$D:$D, DK$2), SUMIFS(NewEmisData!I:I, NewEmisData!$A:$A, "LDV", NewEmisData!$B:$B, $A47, NewEmisData!$C:$C, $H47, NewEmisData!$D:$D, DK$2))</f>
        <v>0</v>
      </c>
      <c r="DL47" s="324">
        <f>$I47*IF($G47="Pickup", SUMIFS(NewEmisData!J:J, NewEmisData!$A:$A, "Pickup", NewEmisData!$B:$B, $A47, NewEmisData!$C:$C, $H47, NewEmisData!$D:$D, DL$2), SUMIFS(NewEmisData!J:J, NewEmisData!$A:$A, "LDV", NewEmisData!$B:$B, $A47, NewEmisData!$C:$C, $H47, NewEmisData!$D:$D, DL$2))</f>
        <v>0</v>
      </c>
      <c r="DM47" s="324">
        <f>$I47*IF($G47="Pickup", SUMIFS(NewEmisData!K:K, NewEmisData!$A:$A, "Pickup", NewEmisData!$B:$B, $A47, NewEmisData!$C:$C, $H47, NewEmisData!$D:$D, DM$2), SUMIFS(NewEmisData!K:K, NewEmisData!$A:$A, "LDV", NewEmisData!$B:$B, $A47, NewEmisData!$C:$C, $H47, NewEmisData!$D:$D, DM$2))</f>
        <v>0</v>
      </c>
      <c r="DN47" s="324">
        <f>$I47*IF($G47="Pickup", SUMIFS(NewEmisData!L:L, NewEmisData!$A:$A, "Pickup", NewEmisData!$B:$B, $A47, NewEmisData!$C:$C, $H47, NewEmisData!$D:$D, DN$2), SUMIFS(NewEmisData!L:L, NewEmisData!$A:$A, "LDV", NewEmisData!$B:$B, $A47, NewEmisData!$C:$C, $H47, NewEmisData!$D:$D, DN$2))</f>
        <v>0</v>
      </c>
      <c r="DO47" s="324">
        <f>$I47*IF($G47="Pickup", SUMIFS(NewEmisData!M:M, NewEmisData!$A:$A, "Pickup", NewEmisData!$B:$B, $A47, NewEmisData!$C:$C, $H47, NewEmisData!$D:$D, DO$2), SUMIFS(NewEmisData!M:M, NewEmisData!$A:$A, "LDV", NewEmisData!$B:$B, $A47, NewEmisData!$C:$C, $H47, NewEmisData!$D:$D, DO$2))</f>
        <v>0</v>
      </c>
      <c r="DP47" s="324">
        <f t="shared" si="14"/>
        <v>0</v>
      </c>
      <c r="DQ47" s="324">
        <f>$I47*IF($G47="Pickup", SUMIFS(NewEmisData!E:E, NewEmisData!$A:$A, "Pickup", NewEmisData!$B:$B, $A47, NewEmisData!$C:$C, $H47, NewEmisData!$D:$D, DQ$2), SUMIFS(NewEmisData!E:E, NewEmisData!$A:$A, "LDV", NewEmisData!$B:$B, $A47, NewEmisData!$C:$C, $H47, NewEmisData!$D:$D, DQ$2))</f>
        <v>2.7733589056501098E-2</v>
      </c>
      <c r="DR47" s="324">
        <f>$I47*IF($G47="Pickup", SUMIFS(NewEmisData!F:F, NewEmisData!$A:$A, "Pickup", NewEmisData!$B:$B, $A47, NewEmisData!$C:$C, $H47, NewEmisData!$D:$D, DR$2), SUMIFS(NewEmisData!F:F, NewEmisData!$A:$A, "LDV", NewEmisData!$B:$B, $A47, NewEmisData!$C:$C, $H47, NewEmisData!$D:$D, DR$2))</f>
        <v>1.3863936717420301E-2</v>
      </c>
      <c r="DS47" s="324">
        <f>$I47*IF($G47="Pickup", SUMIFS(NewEmisData!G:G, NewEmisData!$A:$A, "Pickup", NewEmisData!$B:$B, $A47, NewEmisData!$C:$C, $H47, NewEmisData!$D:$D, DS$2), SUMIFS(NewEmisData!G:G, NewEmisData!$A:$A, "LDV", NewEmisData!$B:$B, $A47, NewEmisData!$C:$C, $H47, NewEmisData!$D:$D, DS$2))</f>
        <v>7.7781518788835203E-3</v>
      </c>
      <c r="DT47" s="324">
        <f>$I47*IF($G47="Pickup", SUMIFS(NewEmisData!H:H, NewEmisData!$A:$A, "Pickup", NewEmisData!$B:$B, $A47, NewEmisData!$C:$C, $H47, NewEmisData!$D:$D, DT$2), SUMIFS(NewEmisData!H:H, NewEmisData!$A:$A, "LDV", NewEmisData!$B:$B, $A47, NewEmisData!$C:$C, $H47, NewEmisData!$D:$D, DT$2))</f>
        <v>5.7322093860778401E-3</v>
      </c>
      <c r="DU47" s="324">
        <f>$I47*IF($G47="Pickup", SUMIFS(NewEmisData!I:I, NewEmisData!$A:$A, "Pickup", NewEmisData!$B:$B, $A47, NewEmisData!$C:$C, $H47, NewEmisData!$D:$D, DU$2), SUMIFS(NewEmisData!I:I, NewEmisData!$A:$A, "LDV", NewEmisData!$B:$B, $A47, NewEmisData!$C:$C, $H47, NewEmisData!$D:$D, DU$2))</f>
        <v>4.3256391180192299E-3</v>
      </c>
      <c r="DV47" s="324">
        <f>$I47*IF($G47="Pickup", SUMIFS(NewEmisData!J:J, NewEmisData!$A:$A, "Pickup", NewEmisData!$B:$B, $A47, NewEmisData!$C:$C, $H47, NewEmisData!$D:$D, DV$2), SUMIFS(NewEmisData!J:J, NewEmisData!$A:$A, "LDV", NewEmisData!$B:$B, $A47, NewEmisData!$C:$C, $H47, NewEmisData!$D:$D, DV$2))</f>
        <v>3.5428085182032999E-3</v>
      </c>
      <c r="DW47" s="324">
        <f>$I47*IF($G47="Pickup", SUMIFS(NewEmisData!K:K, NewEmisData!$A:$A, "Pickup", NewEmisData!$B:$B, $A47, NewEmisData!$C:$C, $H47, NewEmisData!$D:$D, DW$2), SUMIFS(NewEmisData!K:K, NewEmisData!$A:$A, "LDV", NewEmisData!$B:$B, $A47, NewEmisData!$C:$C, $H47, NewEmisData!$D:$D, DW$2))</f>
        <v>3.2299117711483399E-3</v>
      </c>
      <c r="DX47" s="324">
        <f>$I47*IF($G47="Pickup", SUMIFS(NewEmisData!L:L, NewEmisData!$A:$A, "Pickup", NewEmisData!$B:$B, $A47, NewEmisData!$C:$C, $H47, NewEmisData!$D:$D, DX$2), SUMIFS(NewEmisData!L:L, NewEmisData!$A:$A, "LDV", NewEmisData!$B:$B, $A47, NewEmisData!$C:$C, $H47, NewEmisData!$D:$D, DX$2))</f>
        <v>3.1682416671431099E-3</v>
      </c>
      <c r="DY47" s="324">
        <f>$I47*IF($G47="Pickup", SUMIFS(NewEmisData!M:M, NewEmisData!$A:$A, "Pickup", NewEmisData!$B:$B, $A47, NewEmisData!$C:$C, $H47, NewEmisData!$D:$D, DY$2), SUMIFS(NewEmisData!M:M, NewEmisData!$A:$A, "LDV", NewEmisData!$B:$B, $A47, NewEmisData!$C:$C, $H47, NewEmisData!$D:$D, DY$2))</f>
        <v>3.15275502726478E-3</v>
      </c>
      <c r="DZ47" s="324">
        <f t="shared" si="15"/>
        <v>3.15275502726478E-3</v>
      </c>
      <c r="EA47" s="324">
        <f t="shared" si="16"/>
        <v>809.18625562190198</v>
      </c>
      <c r="EB47" s="324">
        <f t="shared" si="17"/>
        <v>717.37917726989394</v>
      </c>
      <c r="EC47" s="324">
        <f t="shared" si="18"/>
        <v>565.23600524957101</v>
      </c>
      <c r="ED47" s="324">
        <f t="shared" si="19"/>
        <v>472.41891643346997</v>
      </c>
      <c r="EE47" s="324">
        <f t="shared" si="20"/>
        <v>412.86398479136801</v>
      </c>
      <c r="EF47" s="324">
        <f t="shared" si="21"/>
        <v>382.70335541305002</v>
      </c>
      <c r="EG47" s="324">
        <f t="shared" si="22"/>
        <v>369.486844409941</v>
      </c>
      <c r="EH47" s="324">
        <f t="shared" si="23"/>
        <v>366.75951772725199</v>
      </c>
      <c r="EI47" s="324">
        <f t="shared" si="24"/>
        <v>366.33687885587801</v>
      </c>
      <c r="EJ47" s="324">
        <f t="shared" si="25"/>
        <v>366.33687885587801</v>
      </c>
      <c r="EK47" s="324">
        <f t="shared" si="26"/>
        <v>1.00256458087036</v>
      </c>
      <c r="EL47" s="324">
        <f t="shared" si="27"/>
        <v>0.39560747527751999</v>
      </c>
      <c r="EM47" s="324">
        <f t="shared" si="28"/>
        <v>0.19159818828877601</v>
      </c>
      <c r="EN47" s="324">
        <f t="shared" si="29"/>
        <v>0.12217599625012</v>
      </c>
      <c r="EO47" s="324">
        <f t="shared" si="30"/>
        <v>8.1029190806467893E-2</v>
      </c>
      <c r="EP47" s="324">
        <f t="shared" si="31"/>
        <v>5.4567341905185598E-2</v>
      </c>
      <c r="EQ47" s="324">
        <f t="shared" si="32"/>
        <v>4.4030783970489901E-2</v>
      </c>
      <c r="ER47" s="324">
        <f t="shared" si="33"/>
        <v>4.1990059655105501E-2</v>
      </c>
      <c r="ES47" s="324">
        <f t="shared" si="34"/>
        <v>4.1490516506061503E-2</v>
      </c>
      <c r="ET47" s="324">
        <f t="shared" si="35"/>
        <v>4.1490516506061503E-2</v>
      </c>
      <c r="EU47" s="324">
        <f t="shared" si="36"/>
        <v>1.40017655016191E-2</v>
      </c>
      <c r="EV47" s="324">
        <f t="shared" si="37"/>
        <v>1.2413170210923301E-2</v>
      </c>
      <c r="EW47" s="324">
        <f t="shared" si="38"/>
        <v>8.1086013766454006E-3</v>
      </c>
      <c r="EX47" s="324">
        <f t="shared" si="39"/>
        <v>6.7770962147280997E-3</v>
      </c>
      <c r="EY47" s="324">
        <f t="shared" si="40"/>
        <v>5.9227487489961397E-3</v>
      </c>
      <c r="EZ47" s="324">
        <f t="shared" si="41"/>
        <v>5.4900769721154498E-3</v>
      </c>
      <c r="FA47" s="324">
        <f t="shared" si="42"/>
        <v>5.3004799651939901E-3</v>
      </c>
      <c r="FB47" s="324">
        <f t="shared" si="43"/>
        <v>5.2613551409495399E-3</v>
      </c>
      <c r="FC47" s="324">
        <f t="shared" si="44"/>
        <v>5.2552925304367899E-3</v>
      </c>
      <c r="FD47" s="324">
        <f t="shared" si="45"/>
        <v>5.2552925304367899E-3</v>
      </c>
      <c r="FE47" s="324">
        <f t="shared" si="46"/>
        <v>0.115772764989804</v>
      </c>
      <c r="FF47" s="324">
        <f t="shared" si="47"/>
        <v>0.11041053337507201</v>
      </c>
      <c r="FG47" s="324">
        <f t="shared" si="48"/>
        <v>8.9064450289023406E-2</v>
      </c>
      <c r="FH47" s="324">
        <f t="shared" si="49"/>
        <v>8.7932937699846503E-2</v>
      </c>
      <c r="FI47" s="324">
        <f t="shared" si="50"/>
        <v>8.66400670344568E-2</v>
      </c>
      <c r="FJ47" s="324">
        <f t="shared" si="51"/>
        <v>8.5515845774985999E-2</v>
      </c>
      <c r="FK47" s="324">
        <f t="shared" si="52"/>
        <v>8.4877871012289302E-2</v>
      </c>
      <c r="FL47" s="324">
        <f t="shared" si="53"/>
        <v>8.4636887277329695E-2</v>
      </c>
      <c r="FM47" s="324">
        <f t="shared" si="54"/>
        <v>8.4577535540567794E-2</v>
      </c>
      <c r="FN47" s="324">
        <f t="shared" si="55"/>
        <v>8.4577535540567794E-2</v>
      </c>
      <c r="FO47" s="324">
        <f t="shared" si="56"/>
        <v>2.5560187952441901E-2</v>
      </c>
      <c r="FP47" s="324">
        <f t="shared" si="57"/>
        <v>2.0822176230306699E-2</v>
      </c>
      <c r="FQ47" s="324">
        <f t="shared" si="58"/>
        <v>1.62964680076296E-2</v>
      </c>
      <c r="FR47" s="324">
        <f t="shared" si="59"/>
        <v>1.52894671516547E-2</v>
      </c>
      <c r="FS47" s="324">
        <f t="shared" si="60"/>
        <v>1.4142061331261099E-2</v>
      </c>
      <c r="FT47" s="324">
        <f t="shared" si="61"/>
        <v>1.31466340212829E-2</v>
      </c>
      <c r="FU47" s="324">
        <f t="shared" si="62"/>
        <v>1.25820467149478E-2</v>
      </c>
      <c r="FV47" s="324">
        <f t="shared" si="63"/>
        <v>1.2368813254204299E-2</v>
      </c>
      <c r="FW47" s="324">
        <f t="shared" si="64"/>
        <v>1.2316300985385199E-2</v>
      </c>
      <c r="FX47" s="324">
        <f t="shared" si="65"/>
        <v>1.2316300985385199E-2</v>
      </c>
    </row>
    <row r="48" spans="1:180" x14ac:dyDescent="0.2">
      <c r="A48" s="298" t="str">
        <f>_xlfn.CONCAT(IF(LEFT(TRIM(A47),1)="*", "*R", "R"), 1+RIGHT(TRIM(A47),1))</f>
        <v>R5</v>
      </c>
      <c r="B48" s="298" t="str">
        <f t="shared" si="102"/>
        <v>TLEPGSL</v>
      </c>
      <c r="C48" s="298" t="str">
        <f t="shared" si="103"/>
        <v>TL.GSL.P.Existing Fleet</v>
      </c>
      <c r="D48" s="294" t="str">
        <f t="shared" si="104"/>
        <v>bn-vmt, bn-vmt/a</v>
      </c>
      <c r="E48" s="294" t="str">
        <f t="shared" si="105"/>
        <v>TLGSL</v>
      </c>
      <c r="F48" s="294" t="str">
        <f t="shared" si="106"/>
        <v>TL</v>
      </c>
      <c r="G48" s="294" t="s">
        <v>329</v>
      </c>
      <c r="H48" s="294" t="s">
        <v>474</v>
      </c>
      <c r="I48" s="294">
        <v>1</v>
      </c>
      <c r="J48" s="308" t="str">
        <f t="shared" si="101"/>
        <v>Pickup-GSL</v>
      </c>
      <c r="K48" s="324">
        <f>$I48*IF($G48="Pickup", SUMIFS(NewEmisData!E:E, NewEmisData!$A:$A, "Pickup", NewEmisData!$B:$B, $A48, NewEmisData!$C:$C, $H48, NewEmisData!$D:$D, K$2), SUMIFS(NewEmisData!E:E, NewEmisData!$A:$A, "LDV", NewEmisData!$B:$B, $A48, NewEmisData!$C:$C, $H48, NewEmisData!$D:$D, K$2))</f>
        <v>636.94844021221104</v>
      </c>
      <c r="L48" s="324">
        <f>$I48*IF($G48="Pickup", SUMIFS(NewEmisData!F:F, NewEmisData!$A:$A, "Pickup", NewEmisData!$B:$B, $A48, NewEmisData!$C:$C, $H48, NewEmisData!$D:$D, L$2), SUMIFS(NewEmisData!F:F, NewEmisData!$A:$A, "LDV", NewEmisData!$B:$B, $A48, NewEmisData!$C:$C, $H48, NewEmisData!$D:$D, L$2))</f>
        <v>566.99958479862596</v>
      </c>
      <c r="M48" s="324">
        <f>$I48*IF($G48="Pickup", SUMIFS(NewEmisData!G:G, NewEmisData!$A:$A, "Pickup", NewEmisData!$B:$B, $A48, NewEmisData!$C:$C, $H48, NewEmisData!$D:$D, M$2), SUMIFS(NewEmisData!G:G, NewEmisData!$A:$A, "LDV", NewEmisData!$B:$B, $A48, NewEmisData!$C:$C, $H48, NewEmisData!$D:$D, M$2))</f>
        <v>456.866446538378</v>
      </c>
      <c r="N48" s="324">
        <f>$I48*IF($G48="Pickup", SUMIFS(NewEmisData!H:H, NewEmisData!$A:$A, "Pickup", NewEmisData!$B:$B, $A48, NewEmisData!$C:$C, $H48, NewEmisData!$D:$D, N$2), SUMIFS(NewEmisData!H:H, NewEmisData!$A:$A, "LDV", NewEmisData!$B:$B, $A48, NewEmisData!$C:$C, $H48, NewEmisData!$D:$D, N$2))</f>
        <v>382.95379819743698</v>
      </c>
      <c r="O48" s="324">
        <f>$I48*IF($G48="Pickup", SUMIFS(NewEmisData!I:I, NewEmisData!$A:$A, "Pickup", NewEmisData!$B:$B, $A48, NewEmisData!$C:$C, $H48, NewEmisData!$D:$D, O$2), SUMIFS(NewEmisData!I:I, NewEmisData!$A:$A, "LDV", NewEmisData!$B:$B, $A48, NewEmisData!$C:$C, $H48, NewEmisData!$D:$D, O$2))</f>
        <v>335.05122696410302</v>
      </c>
      <c r="P48" s="324">
        <f>$I48*IF($G48="Pickup", SUMIFS(NewEmisData!J:J, NewEmisData!$A:$A, "Pickup", NewEmisData!$B:$B, $A48, NewEmisData!$C:$C, $H48, NewEmisData!$D:$D, P$2), SUMIFS(NewEmisData!J:J, NewEmisData!$A:$A, "LDV", NewEmisData!$B:$B, $A48, NewEmisData!$C:$C, $H48, NewEmisData!$D:$D, P$2))</f>
        <v>310.47516282180999</v>
      </c>
      <c r="Q48" s="324">
        <f>$I48*IF($G48="Pickup", SUMIFS(NewEmisData!K:K, NewEmisData!$A:$A, "Pickup", NewEmisData!$B:$B, $A48, NewEmisData!$C:$C, $H48, NewEmisData!$D:$D, Q$2), SUMIFS(NewEmisData!K:K, NewEmisData!$A:$A, "LDV", NewEmisData!$B:$B, $A48, NewEmisData!$C:$C, $H48, NewEmisData!$D:$D, Q$2))</f>
        <v>299.643314234321</v>
      </c>
      <c r="R48" s="324">
        <f>$I48*IF($G48="Pickup", SUMIFS(NewEmisData!L:L, NewEmisData!$A:$A, "Pickup", NewEmisData!$B:$B, $A48, NewEmisData!$C:$C, $H48, NewEmisData!$D:$D, R$2), SUMIFS(NewEmisData!L:L, NewEmisData!$A:$A, "LDV", NewEmisData!$B:$B, $A48, NewEmisData!$C:$C, $H48, NewEmisData!$D:$D, R$2))</f>
        <v>297.422458601252</v>
      </c>
      <c r="S48" s="324">
        <f>$I48*IF($G48="Pickup", SUMIFS(NewEmisData!M:M, NewEmisData!$A:$A, "Pickup", NewEmisData!$B:$B, $A48, NewEmisData!$C:$C, $H48, NewEmisData!$D:$D, S$2), SUMIFS(NewEmisData!M:M, NewEmisData!$A:$A, "LDV", NewEmisData!$B:$B, $A48, NewEmisData!$C:$C, $H48, NewEmisData!$D:$D, S$2))</f>
        <v>297.08495907381399</v>
      </c>
      <c r="T48" s="324">
        <f t="shared" si="5"/>
        <v>297.08495907381399</v>
      </c>
      <c r="U48" s="324">
        <f>$I48*IF($G48="Pickup", SUMIFS(NewEmisData!E:E, NewEmisData!$A:$A, "Pickup", NewEmisData!$B:$B, $A48, NewEmisData!$C:$C, $H48, NewEmisData!$D:$D, U$2), SUMIFS(NewEmisData!E:E, NewEmisData!$A:$A, "LDV", NewEmisData!$B:$B, $A48, NewEmisData!$C:$C, $H48, NewEmisData!$D:$D, U$2))</f>
        <v>0.95484960134202601</v>
      </c>
      <c r="V48" s="324">
        <f>$I48*IF($G48="Pickup", SUMIFS(NewEmisData!F:F, NewEmisData!$A:$A, "Pickup", NewEmisData!$B:$B, $A48, NewEmisData!$C:$C, $H48, NewEmisData!$D:$D, V$2), SUMIFS(NewEmisData!F:F, NewEmisData!$A:$A, "LDV", NewEmisData!$B:$B, $A48, NewEmisData!$C:$C, $H48, NewEmisData!$D:$D, V$2))</f>
        <v>0.32981051515610799</v>
      </c>
      <c r="W48" s="324">
        <f>$I48*IF($G48="Pickup", SUMIFS(NewEmisData!G:G, NewEmisData!$A:$A, "Pickup", NewEmisData!$B:$B, $A48, NewEmisData!$C:$C, $H48, NewEmisData!$D:$D, W$2), SUMIFS(NewEmisData!G:G, NewEmisData!$A:$A, "LDV", NewEmisData!$B:$B, $A48, NewEmisData!$C:$C, $H48, NewEmisData!$D:$D, W$2))</f>
        <v>0.24604011687187799</v>
      </c>
      <c r="X48" s="324">
        <f>$I48*IF($G48="Pickup", SUMIFS(NewEmisData!H:H, NewEmisData!$A:$A, "Pickup", NewEmisData!$B:$B, $A48, NewEmisData!$C:$C, $H48, NewEmisData!$D:$D, X$2), SUMIFS(NewEmisData!H:H, NewEmisData!$A:$A, "LDV", NewEmisData!$B:$B, $A48, NewEmisData!$C:$C, $H48, NewEmisData!$D:$D, X$2))</f>
        <v>0.16340489519828999</v>
      </c>
      <c r="Y48" s="324">
        <f>$I48*IF($G48="Pickup", SUMIFS(NewEmisData!I:I, NewEmisData!$A:$A, "Pickup", NewEmisData!$B:$B, $A48, NewEmisData!$C:$C, $H48, NewEmisData!$D:$D, Y$2), SUMIFS(NewEmisData!I:I, NewEmisData!$A:$A, "LDV", NewEmisData!$B:$B, $A48, NewEmisData!$C:$C, $H48, NewEmisData!$D:$D, Y$2))</f>
        <v>0.11306985767462301</v>
      </c>
      <c r="Z48" s="324">
        <f>$I48*IF($G48="Pickup", SUMIFS(NewEmisData!J:J, NewEmisData!$A:$A, "Pickup", NewEmisData!$B:$B, $A48, NewEmisData!$C:$C, $H48, NewEmisData!$D:$D, Z$2), SUMIFS(NewEmisData!J:J, NewEmisData!$A:$A, "LDV", NewEmisData!$B:$B, $A48, NewEmisData!$C:$C, $H48, NewEmisData!$D:$D, Z$2))</f>
        <v>7.9270221337579605E-2</v>
      </c>
      <c r="AA48" s="324">
        <f>$I48*IF($G48="Pickup", SUMIFS(NewEmisData!K:K, NewEmisData!$A:$A, "Pickup", NewEmisData!$B:$B, $A48, NewEmisData!$C:$C, $H48, NewEmisData!$D:$D, AA$2), SUMIFS(NewEmisData!K:K, NewEmisData!$A:$A, "LDV", NewEmisData!$B:$B, $A48, NewEmisData!$C:$C, $H48, NewEmisData!$D:$D, AA$2))</f>
        <v>6.5833743509444598E-2</v>
      </c>
      <c r="AB48" s="324">
        <f>$I48*IF($G48="Pickup", SUMIFS(NewEmisData!L:L, NewEmisData!$A:$A, "Pickup", NewEmisData!$B:$B, $A48, NewEmisData!$C:$C, $H48, NewEmisData!$D:$D, AB$2), SUMIFS(NewEmisData!L:L, NewEmisData!$A:$A, "LDV", NewEmisData!$B:$B, $A48, NewEmisData!$C:$C, $H48, NewEmisData!$D:$D, AB$2))</f>
        <v>6.3200548797440706E-2</v>
      </c>
      <c r="AC48" s="324">
        <f>$I48*IF($G48="Pickup", SUMIFS(NewEmisData!M:M, NewEmisData!$A:$A, "Pickup", NewEmisData!$B:$B, $A48, NewEmisData!$C:$C, $H48, NewEmisData!$D:$D, AC$2), SUMIFS(NewEmisData!M:M, NewEmisData!$A:$A, "LDV", NewEmisData!$B:$B, $A48, NewEmisData!$C:$C, $H48, NewEmisData!$D:$D, AC$2))</f>
        <v>6.2566022635143603E-2</v>
      </c>
      <c r="AD48" s="324">
        <f t="shared" si="6"/>
        <v>6.2566022635143603E-2</v>
      </c>
      <c r="AE48" s="324">
        <f>$I48*IF($G48="Pickup", SUMIFS(NewEmisData!E:E, NewEmisData!$A:$A, "Pickup", NewEmisData!$B:$B, $A48, NewEmisData!$C:$C, $H48, NewEmisData!$D:$D, AE$2), SUMIFS(NewEmisData!E:E, NewEmisData!$A:$A, "LDV", NewEmisData!$B:$B, $A48, NewEmisData!$C:$C, $H48, NewEmisData!$D:$D, AE$2))</f>
        <v>1.1021446784144399E-2</v>
      </c>
      <c r="AF48" s="324">
        <f>$I48*IF($G48="Pickup", SUMIFS(NewEmisData!F:F, NewEmisData!$A:$A, "Pickup", NewEmisData!$B:$B, $A48, NewEmisData!$C:$C, $H48, NewEmisData!$D:$D, AF$2), SUMIFS(NewEmisData!F:F, NewEmisData!$A:$A, "LDV", NewEmisData!$B:$B, $A48, NewEmisData!$C:$C, $H48, NewEmisData!$D:$D, AF$2))</f>
        <v>9.8110891355443607E-3</v>
      </c>
      <c r="AG48" s="324">
        <f>$I48*IF($G48="Pickup", SUMIFS(NewEmisData!G:G, NewEmisData!$A:$A, "Pickup", NewEmisData!$B:$B, $A48, NewEmisData!$C:$C, $H48, NewEmisData!$D:$D, AG$2), SUMIFS(NewEmisData!G:G, NewEmisData!$A:$A, "LDV", NewEmisData!$B:$B, $A48, NewEmisData!$C:$C, $H48, NewEmisData!$D:$D, AG$2))</f>
        <v>6.5539868464526696E-3</v>
      </c>
      <c r="AH48" s="324">
        <f>$I48*IF($G48="Pickup", SUMIFS(NewEmisData!H:H, NewEmisData!$A:$A, "Pickup", NewEmisData!$B:$B, $A48, NewEmisData!$C:$C, $H48, NewEmisData!$D:$D, AH$2), SUMIFS(NewEmisData!H:H, NewEmisData!$A:$A, "LDV", NewEmisData!$B:$B, $A48, NewEmisData!$C:$C, $H48, NewEmisData!$D:$D, AH$2))</f>
        <v>5.4936733467738199E-3</v>
      </c>
      <c r="AI48" s="324">
        <f>$I48*IF($G48="Pickup", SUMIFS(NewEmisData!I:I, NewEmisData!$A:$A, "Pickup", NewEmisData!$B:$B, $A48, NewEmisData!$C:$C, $H48, NewEmisData!$D:$D, AI$2), SUMIFS(NewEmisData!I:I, NewEmisData!$A:$A, "LDV", NewEmisData!$B:$B, $A48, NewEmisData!$C:$C, $H48, NewEmisData!$D:$D, AI$2))</f>
        <v>4.8064844177770098E-3</v>
      </c>
      <c r="AJ48" s="324">
        <f>$I48*IF($G48="Pickup", SUMIFS(NewEmisData!J:J, NewEmisData!$A:$A, "Pickup", NewEmisData!$B:$B, $A48, NewEmisData!$C:$C, $H48, NewEmisData!$D:$D, AJ$2), SUMIFS(NewEmisData!J:J, NewEmisData!$A:$A, "LDV", NewEmisData!$B:$B, $A48, NewEmisData!$C:$C, $H48, NewEmisData!$D:$D, AJ$2))</f>
        <v>4.4539285892842596E-3</v>
      </c>
      <c r="AK48" s="324">
        <f>$I48*IF($G48="Pickup", SUMIFS(NewEmisData!K:K, NewEmisData!$A:$A, "Pickup", NewEmisData!$B:$B, $A48, NewEmisData!$C:$C, $H48, NewEmisData!$D:$D, AK$2), SUMIFS(NewEmisData!K:K, NewEmisData!$A:$A, "LDV", NewEmisData!$B:$B, $A48, NewEmisData!$C:$C, $H48, NewEmisData!$D:$D, AK$2))</f>
        <v>4.29853574921071E-3</v>
      </c>
      <c r="AL48" s="324">
        <f>$I48*IF($G48="Pickup", SUMIFS(NewEmisData!L:L, NewEmisData!$A:$A, "Pickup", NewEmisData!$B:$B, $A48, NewEmisData!$C:$C, $H48, NewEmisData!$D:$D, AL$2), SUMIFS(NewEmisData!L:L, NewEmisData!$A:$A, "LDV", NewEmisData!$B:$B, $A48, NewEmisData!$C:$C, $H48, NewEmisData!$D:$D, AL$2))</f>
        <v>4.26667913277963E-3</v>
      </c>
      <c r="AM48" s="324">
        <f>$I48*IF($G48="Pickup", SUMIFS(NewEmisData!M:M, NewEmisData!$A:$A, "Pickup", NewEmisData!$B:$B, $A48, NewEmisData!$C:$C, $H48, NewEmisData!$D:$D, AM$2), SUMIFS(NewEmisData!M:M, NewEmisData!$A:$A, "LDV", NewEmisData!$B:$B, $A48, NewEmisData!$C:$C, $H48, NewEmisData!$D:$D, AM$2))</f>
        <v>4.2618372306538798E-3</v>
      </c>
      <c r="AN48" s="324">
        <f t="shared" si="7"/>
        <v>4.2618372306538798E-3</v>
      </c>
      <c r="AO48" s="324">
        <f>$I48*IF($G48="Pickup", SUMIFS(NewEmisData!E:E, NewEmisData!$A:$A, "Pickup", NewEmisData!$B:$B, $A48, NewEmisData!$C:$C, $H48, NewEmisData!$D:$D, AO$2), SUMIFS(NewEmisData!E:E, NewEmisData!$A:$A, "LDV", NewEmisData!$B:$B, $A48, NewEmisData!$C:$C, $H48, NewEmisData!$D:$D, AO$2))</f>
        <v>7.9451070233561405E-2</v>
      </c>
      <c r="AP48" s="324">
        <f>$I48*IF($G48="Pickup", SUMIFS(NewEmisData!F:F, NewEmisData!$A:$A, "Pickup", NewEmisData!$B:$B, $A48, NewEmisData!$C:$C, $H48, NewEmisData!$D:$D, AP$2), SUMIFS(NewEmisData!F:F, NewEmisData!$A:$A, "LDV", NewEmisData!$B:$B, $A48, NewEmisData!$C:$C, $H48, NewEmisData!$D:$D, AP$2))</f>
        <v>7.6276868152400201E-2</v>
      </c>
      <c r="AQ48" s="324">
        <f>$I48*IF($G48="Pickup", SUMIFS(NewEmisData!G:G, NewEmisData!$A:$A, "Pickup", NewEmisData!$B:$B, $A48, NewEmisData!$C:$C, $H48, NewEmisData!$D:$D, AQ$2), SUMIFS(NewEmisData!G:G, NewEmisData!$A:$A, "LDV", NewEmisData!$B:$B, $A48, NewEmisData!$C:$C, $H48, NewEmisData!$D:$D, AQ$2))</f>
        <v>5.6652715818935197E-2</v>
      </c>
      <c r="AR48" s="324">
        <f>$I48*IF($G48="Pickup", SUMIFS(NewEmisData!H:H, NewEmisData!$A:$A, "Pickup", NewEmisData!$B:$B, $A48, NewEmisData!$C:$C, $H48, NewEmisData!$D:$D, AR$2), SUMIFS(NewEmisData!H:H, NewEmisData!$A:$A, "LDV", NewEmisData!$B:$B, $A48, NewEmisData!$C:$C, $H48, NewEmisData!$D:$D, AR$2))</f>
        <v>5.5408492647584899E-2</v>
      </c>
      <c r="AS48" s="324">
        <f>$I48*IF($G48="Pickup", SUMIFS(NewEmisData!I:I, NewEmisData!$A:$A, "Pickup", NewEmisData!$B:$B, $A48, NewEmisData!$C:$C, $H48, NewEmisData!$D:$D, AS$2), SUMIFS(NewEmisData!I:I, NewEmisData!$A:$A, "LDV", NewEmisData!$B:$B, $A48, NewEmisData!$C:$C, $H48, NewEmisData!$D:$D, AS$2))</f>
        <v>5.40165053540533E-2</v>
      </c>
      <c r="AT48" s="324">
        <f>$I48*IF($G48="Pickup", SUMIFS(NewEmisData!J:J, NewEmisData!$A:$A, "Pickup", NewEmisData!$B:$B, $A48, NewEmisData!$C:$C, $H48, NewEmisData!$D:$D, AT$2), SUMIFS(NewEmisData!J:J, NewEmisData!$A:$A, "LDV", NewEmisData!$B:$B, $A48, NewEmisData!$C:$C, $H48, NewEmisData!$D:$D, AT$2))</f>
        <v>5.2775032208320603E-2</v>
      </c>
      <c r="AU48" s="324">
        <f>$I48*IF($G48="Pickup", SUMIFS(NewEmisData!K:K, NewEmisData!$A:$A, "Pickup", NewEmisData!$B:$B, $A48, NewEmisData!$C:$C, $H48, NewEmisData!$D:$D, AU$2), SUMIFS(NewEmisData!K:K, NewEmisData!$A:$A, "LDV", NewEmisData!$B:$B, $A48, NewEmisData!$C:$C, $H48, NewEmisData!$D:$D, AU$2))</f>
        <v>5.2063088006762799E-2</v>
      </c>
      <c r="AV48" s="324">
        <f>$I48*IF($G48="Pickup", SUMIFS(NewEmisData!L:L, NewEmisData!$A:$A, "Pickup", NewEmisData!$B:$B, $A48, NewEmisData!$C:$C, $H48, NewEmisData!$D:$D, AV$2), SUMIFS(NewEmisData!L:L, NewEmisData!$A:$A, "LDV", NewEmisData!$B:$B, $A48, NewEmisData!$C:$C, $H48, NewEmisData!$D:$D, AV$2))</f>
        <v>5.1790075051099199E-2</v>
      </c>
      <c r="AW48" s="324">
        <f>$I48*IF($G48="Pickup", SUMIFS(NewEmisData!M:M, NewEmisData!$A:$A, "Pickup", NewEmisData!$B:$B, $A48, NewEmisData!$C:$C, $H48, NewEmisData!$D:$D, AW$2), SUMIFS(NewEmisData!M:M, NewEmisData!$A:$A, "LDV", NewEmisData!$B:$B, $A48, NewEmisData!$C:$C, $H48, NewEmisData!$D:$D, AW$2))</f>
        <v>5.1722831061276502E-2</v>
      </c>
      <c r="AX48" s="324">
        <f t="shared" si="8"/>
        <v>5.1722831061276502E-2</v>
      </c>
      <c r="AY48" s="324">
        <f>$I48*IF($G48="Pickup", SUMIFS(NewEmisData!E:E, NewEmisData!$A:$A, "Pickup", NewEmisData!$B:$B, $A48, NewEmisData!$C:$C, $H48, NewEmisData!$D:$D, AY$2), SUMIFS(NewEmisData!E:E, NewEmisData!$A:$A, "LDV", NewEmisData!$B:$B, $A48, NewEmisData!$C:$C, $H48, NewEmisData!$D:$D, AY$2))</f>
        <v>1.8003075193996299E-2</v>
      </c>
      <c r="AZ48" s="324">
        <f>$I48*IF($G48="Pickup", SUMIFS(NewEmisData!F:F, NewEmisData!$A:$A, "Pickup", NewEmisData!$B:$B, $A48, NewEmisData!$C:$C, $H48, NewEmisData!$D:$D, AZ$2), SUMIFS(NewEmisData!F:F, NewEmisData!$A:$A, "LDV", NewEmisData!$B:$B, $A48, NewEmisData!$C:$C, $H48, NewEmisData!$D:$D, AZ$2))</f>
        <v>1.52046650049204E-2</v>
      </c>
      <c r="BA48" s="324">
        <f>$I48*IF($G48="Pickup", SUMIFS(NewEmisData!G:G, NewEmisData!$A:$A, "Pickup", NewEmisData!$B:$B, $A48, NewEmisData!$C:$C, $H48, NewEmisData!$D:$D, BA$2), SUMIFS(NewEmisData!G:G, NewEmisData!$A:$A, "LDV", NewEmisData!$B:$B, $A48, NewEmisData!$C:$C, $H48, NewEmisData!$D:$D, BA$2))</f>
        <v>1.2610890393020199E-2</v>
      </c>
      <c r="BB48" s="324">
        <f>$I48*IF($G48="Pickup", SUMIFS(NewEmisData!H:H, NewEmisData!$A:$A, "Pickup", NewEmisData!$B:$B, $A48, NewEmisData!$C:$C, $H48, NewEmisData!$D:$D, BB$2), SUMIFS(NewEmisData!H:H, NewEmisData!$A:$A, "LDV", NewEmisData!$B:$B, $A48, NewEmisData!$C:$C, $H48, NewEmisData!$D:$D, BB$2))</f>
        <v>1.1510978039922799E-2</v>
      </c>
      <c r="BC48" s="324">
        <f>$I48*IF($G48="Pickup", SUMIFS(NewEmisData!I:I, NewEmisData!$A:$A, "Pickup", NewEmisData!$B:$B, $A48, NewEmisData!$C:$C, $H48, NewEmisData!$D:$D, BC$2), SUMIFS(NewEmisData!I:I, NewEmisData!$A:$A, "LDV", NewEmisData!$B:$B, $A48, NewEmisData!$C:$C, $H48, NewEmisData!$D:$D, BC$2))</f>
        <v>1.0279121658658699E-2</v>
      </c>
      <c r="BD48" s="324">
        <f>$I48*IF($G48="Pickup", SUMIFS(NewEmisData!J:J, NewEmisData!$A:$A, "Pickup", NewEmisData!$B:$B, $A48, NewEmisData!$C:$C, $H48, NewEmisData!$D:$D, BD$2), SUMIFS(NewEmisData!J:J, NewEmisData!$A:$A, "LDV", NewEmisData!$B:$B, $A48, NewEmisData!$C:$C, $H48, NewEmisData!$D:$D, BD$2))</f>
        <v>9.1807819279754004E-3</v>
      </c>
      <c r="BE48" s="324">
        <f>$I48*IF($G48="Pickup", SUMIFS(NewEmisData!K:K, NewEmisData!$A:$A, "Pickup", NewEmisData!$B:$B, $A48, NewEmisData!$C:$C, $H48, NewEmisData!$D:$D, BE$2), SUMIFS(NewEmisData!K:K, NewEmisData!$A:$A, "LDV", NewEmisData!$B:$B, $A48, NewEmisData!$C:$C, $H48, NewEmisData!$D:$D, BE$2))</f>
        <v>8.5509801965599399E-3</v>
      </c>
      <c r="BF48" s="324">
        <f>$I48*IF($G48="Pickup", SUMIFS(NewEmisData!L:L, NewEmisData!$A:$A, "Pickup", NewEmisData!$B:$B, $A48, NewEmisData!$C:$C, $H48, NewEmisData!$D:$D, BF$2), SUMIFS(NewEmisData!L:L, NewEmisData!$A:$A, "LDV", NewEmisData!$B:$B, $A48, NewEmisData!$C:$C, $H48, NewEmisData!$D:$D, BF$2))</f>
        <v>8.3094848968453608E-3</v>
      </c>
      <c r="BG48" s="324">
        <f>$I48*IF($G48="Pickup", SUMIFS(NewEmisData!M:M, NewEmisData!$A:$A, "Pickup", NewEmisData!$B:$B, $A48, NewEmisData!$C:$C, $H48, NewEmisData!$D:$D, BG$2), SUMIFS(NewEmisData!M:M, NewEmisData!$A:$A, "LDV", NewEmisData!$B:$B, $A48, NewEmisData!$C:$C, $H48, NewEmisData!$D:$D, BG$2))</f>
        <v>8.2498877149821594E-3</v>
      </c>
      <c r="BH48" s="324">
        <f t="shared" si="9"/>
        <v>8.2498877149821594E-3</v>
      </c>
      <c r="BI48" s="324">
        <f>$I48*IF($G48="Pickup", SUMIFS(NewEmisData!E:E, NewEmisData!$A:$A, "Pickup", NewEmisData!$B:$B, $A48, NewEmisData!$C:$C, $H48, NewEmisData!$D:$D, BI$2), SUMIFS(NewEmisData!E:E, NewEmisData!$A:$A, "LDV", NewEmisData!$B:$B, $A48, NewEmisData!$C:$C, $H48, NewEmisData!$D:$D, BI$2))</f>
        <v>7.8269426470205801</v>
      </c>
      <c r="BJ48" s="324">
        <f>$I48*IF($G48="Pickup", SUMIFS(NewEmisData!F:F, NewEmisData!$A:$A, "Pickup", NewEmisData!$B:$B, $A48, NewEmisData!$C:$C, $H48, NewEmisData!$D:$D, BJ$2), SUMIFS(NewEmisData!F:F, NewEmisData!$A:$A, "LDV", NewEmisData!$B:$B, $A48, NewEmisData!$C:$C, $H48, NewEmisData!$D:$D, BJ$2))</f>
        <v>4.0421881820379104</v>
      </c>
      <c r="BK48" s="324">
        <f>$I48*IF($G48="Pickup", SUMIFS(NewEmisData!G:G, NewEmisData!$A:$A, "Pickup", NewEmisData!$B:$B, $A48, NewEmisData!$C:$C, $H48, NewEmisData!$D:$D, BK$2), SUMIFS(NewEmisData!G:G, NewEmisData!$A:$A, "LDV", NewEmisData!$B:$B, $A48, NewEmisData!$C:$C, $H48, NewEmisData!$D:$D, BK$2))</f>
        <v>3.2560062664062701</v>
      </c>
      <c r="BL48" s="324">
        <f>$I48*IF($G48="Pickup", SUMIFS(NewEmisData!H:H, NewEmisData!$A:$A, "Pickup", NewEmisData!$B:$B, $A48, NewEmisData!$C:$C, $H48, NewEmisData!$D:$D, BL$2), SUMIFS(NewEmisData!H:H, NewEmisData!$A:$A, "LDV", NewEmisData!$B:$B, $A48, NewEmisData!$C:$C, $H48, NewEmisData!$D:$D, BL$2))</f>
        <v>2.4871452670272798</v>
      </c>
      <c r="BM48" s="324">
        <f>$I48*IF($G48="Pickup", SUMIFS(NewEmisData!I:I, NewEmisData!$A:$A, "Pickup", NewEmisData!$B:$B, $A48, NewEmisData!$C:$C, $H48, NewEmisData!$D:$D, BM$2), SUMIFS(NewEmisData!I:I, NewEmisData!$A:$A, "LDV", NewEmisData!$B:$B, $A48, NewEmisData!$C:$C, $H48, NewEmisData!$D:$D, BM$2))</f>
        <v>1.7690758763782799</v>
      </c>
      <c r="BN48" s="324">
        <f>$I48*IF($G48="Pickup", SUMIFS(NewEmisData!J:J, NewEmisData!$A:$A, "Pickup", NewEmisData!$B:$B, $A48, NewEmisData!$C:$C, $H48, NewEmisData!$D:$D, BN$2), SUMIFS(NewEmisData!J:J, NewEmisData!$A:$A, "LDV", NewEmisData!$B:$B, $A48, NewEmisData!$C:$C, $H48, NewEmisData!$D:$D, BN$2))</f>
        <v>1.3113510406404001</v>
      </c>
      <c r="BO48" s="324">
        <f>$I48*IF($G48="Pickup", SUMIFS(NewEmisData!K:K, NewEmisData!$A:$A, "Pickup", NewEmisData!$B:$B, $A48, NewEmisData!$C:$C, $H48, NewEmisData!$D:$D, BO$2), SUMIFS(NewEmisData!K:K, NewEmisData!$A:$A, "LDV", NewEmisData!$B:$B, $A48, NewEmisData!$C:$C, $H48, NewEmisData!$D:$D, BO$2))</f>
        <v>1.1416931511575099</v>
      </c>
      <c r="BP48" s="324">
        <f>$I48*IF($G48="Pickup", SUMIFS(NewEmisData!L:L, NewEmisData!$A:$A, "Pickup", NewEmisData!$B:$B, $A48, NewEmisData!$C:$C, $H48, NewEmisData!$D:$D, BP$2), SUMIFS(NewEmisData!L:L, NewEmisData!$A:$A, "LDV", NewEmisData!$B:$B, $A48, NewEmisData!$C:$C, $H48, NewEmisData!$D:$D, BP$2))</f>
        <v>1.1081399449582501</v>
      </c>
      <c r="BQ48" s="324">
        <f>$I48*IF($G48="Pickup", SUMIFS(NewEmisData!M:M, NewEmisData!$A:$A, "Pickup", NewEmisData!$B:$B, $A48, NewEmisData!$C:$C, $H48, NewEmisData!$D:$D, BQ$2), SUMIFS(NewEmisData!M:M, NewEmisData!$A:$A, "LDV", NewEmisData!$B:$B, $A48, NewEmisData!$C:$C, $H48, NewEmisData!$D:$D, BQ$2))</f>
        <v>1.0988354785630501</v>
      </c>
      <c r="BR48" s="324">
        <f t="shared" si="10"/>
        <v>1.0988354785630501</v>
      </c>
      <c r="BS48" s="324">
        <f>$I48*IF($G48="Pickup", SUMIFS(NewEmisData!E:E, NewEmisData!$A:$A, "Pickup", NewEmisData!$B:$B, $A48, NewEmisData!$C:$C, $H48, NewEmisData!$D:$D, BS$2), SUMIFS(NewEmisData!E:E, NewEmisData!$A:$A, "LDV", NewEmisData!$B:$B, $A48, NewEmisData!$C:$C, $H48, NewEmisData!$D:$D, BS$2))</f>
        <v>0.72531081158725197</v>
      </c>
      <c r="BT48" s="324">
        <f>$I48*IF($G48="Pickup", SUMIFS(NewEmisData!F:F, NewEmisData!$A:$A, "Pickup", NewEmisData!$B:$B, $A48, NewEmisData!$C:$C, $H48, NewEmisData!$D:$D, BT$2), SUMIFS(NewEmisData!F:F, NewEmisData!$A:$A, "LDV", NewEmisData!$B:$B, $A48, NewEmisData!$C:$C, $H48, NewEmisData!$D:$D, BT$2))</f>
        <v>0.31274915613333698</v>
      </c>
      <c r="BU48" s="324">
        <f>$I48*IF($G48="Pickup", SUMIFS(NewEmisData!G:G, NewEmisData!$A:$A, "Pickup", NewEmisData!$B:$B, $A48, NewEmisData!$C:$C, $H48, NewEmisData!$D:$D, BU$2), SUMIFS(NewEmisData!G:G, NewEmisData!$A:$A, "LDV", NewEmisData!$B:$B, $A48, NewEmisData!$C:$C, $H48, NewEmisData!$D:$D, BU$2))</f>
        <v>0.23947671356780501</v>
      </c>
      <c r="BV48" s="324">
        <f>$I48*IF($G48="Pickup", SUMIFS(NewEmisData!H:H, NewEmisData!$A:$A, "Pickup", NewEmisData!$B:$B, $A48, NewEmisData!$C:$C, $H48, NewEmisData!$D:$D, BV$2), SUMIFS(NewEmisData!H:H, NewEmisData!$A:$A, "LDV", NewEmisData!$B:$B, $A48, NewEmisData!$C:$C, $H48, NewEmisData!$D:$D, BV$2))</f>
        <v>0.19148873413821901</v>
      </c>
      <c r="BW48" s="324">
        <f>$I48*IF($G48="Pickup", SUMIFS(NewEmisData!I:I, NewEmisData!$A:$A, "Pickup", NewEmisData!$B:$B, $A48, NewEmisData!$C:$C, $H48, NewEmisData!$D:$D, BW$2), SUMIFS(NewEmisData!I:I, NewEmisData!$A:$A, "LDV", NewEmisData!$B:$B, $A48, NewEmisData!$C:$C, $H48, NewEmisData!$D:$D, BW$2))</f>
        <v>0.14759628251015899</v>
      </c>
      <c r="BX48" s="324">
        <f>$I48*IF($G48="Pickup", SUMIFS(NewEmisData!J:J, NewEmisData!$A:$A, "Pickup", NewEmisData!$B:$B, $A48, NewEmisData!$C:$C, $H48, NewEmisData!$D:$D, BX$2), SUMIFS(NewEmisData!J:J, NewEmisData!$A:$A, "LDV", NewEmisData!$B:$B, $A48, NewEmisData!$C:$C, $H48, NewEmisData!$D:$D, BX$2))</f>
        <v>0.119017946153679</v>
      </c>
      <c r="BY48" s="324">
        <f>$I48*IF($G48="Pickup", SUMIFS(NewEmisData!K:K, NewEmisData!$A:$A, "Pickup", NewEmisData!$B:$B, $A48, NewEmisData!$C:$C, $H48, NewEmisData!$D:$D, BY$2), SUMIFS(NewEmisData!K:K, NewEmisData!$A:$A, "LDV", NewEmisData!$B:$B, $A48, NewEmisData!$C:$C, $H48, NewEmisData!$D:$D, BY$2))</f>
        <v>0.10643387961952699</v>
      </c>
      <c r="BZ48" s="324">
        <f>$I48*IF($G48="Pickup", SUMIFS(NewEmisData!L:L, NewEmisData!$A:$A, "Pickup", NewEmisData!$B:$B, $A48, NewEmisData!$C:$C, $H48, NewEmisData!$D:$D, BZ$2), SUMIFS(NewEmisData!L:L, NewEmisData!$A:$A, "LDV", NewEmisData!$B:$B, $A48, NewEmisData!$C:$C, $H48, NewEmisData!$D:$D, BZ$2))</f>
        <v>0.10353105962594999</v>
      </c>
      <c r="CA48" s="324">
        <f>$I48*IF($G48="Pickup", SUMIFS(NewEmisData!M:M, NewEmisData!$A:$A, "Pickup", NewEmisData!$B:$B, $A48, NewEmisData!$C:$C, $H48, NewEmisData!$D:$D, CA$2), SUMIFS(NewEmisData!M:M, NewEmisData!$A:$A, "LDV", NewEmisData!$B:$B, $A48, NewEmisData!$C:$C, $H48, NewEmisData!$D:$D, CA$2))</f>
        <v>0.102586538476792</v>
      </c>
      <c r="CB48" s="324">
        <f t="shared" si="11"/>
        <v>0.102586538476792</v>
      </c>
      <c r="CC48" s="324">
        <f>$I48*IF($G48="Pickup", SUMIFS(NewEmisData!E:E, NewEmisData!$A:$A, "Pickup", NewEmisData!$B:$B, $A48, NewEmisData!$C:$C, $H48, NewEmisData!$D:$D, CC$2), SUMIFS(NewEmisData!E:E, NewEmisData!$A:$A, "LDV", NewEmisData!$B:$B, $A48, NewEmisData!$C:$C, $H48, NewEmisData!$D:$D, CC$2))</f>
        <v>3.6022672785972598E-2</v>
      </c>
      <c r="CD48" s="324">
        <f>$I48*IF($G48="Pickup", SUMIFS(NewEmisData!F:F, NewEmisData!$A:$A, "Pickup", NewEmisData!$B:$B, $A48, NewEmisData!$C:$C, $H48, NewEmisData!$D:$D, CD$2), SUMIFS(NewEmisData!F:F, NewEmisData!$A:$A, "LDV", NewEmisData!$B:$B, $A48, NewEmisData!$C:$C, $H48, NewEmisData!$D:$D, CD$2))</f>
        <v>2.5183605638393801E-2</v>
      </c>
      <c r="CE48" s="324">
        <f>$I48*IF($G48="Pickup", SUMIFS(NewEmisData!G:G, NewEmisData!$A:$A, "Pickup", NewEmisData!$B:$B, $A48, NewEmisData!$C:$C, $H48, NewEmisData!$D:$D, CE$2), SUMIFS(NewEmisData!G:G, NewEmisData!$A:$A, "LDV", NewEmisData!$B:$B, $A48, NewEmisData!$C:$C, $H48, NewEmisData!$D:$D, CE$2))</f>
        <v>2.3346419699738E-2</v>
      </c>
      <c r="CF48" s="324">
        <f>$I48*IF($G48="Pickup", SUMIFS(NewEmisData!H:H, NewEmisData!$A:$A, "Pickup", NewEmisData!$B:$B, $A48, NewEmisData!$C:$C, $H48, NewEmisData!$D:$D, CF$2), SUMIFS(NewEmisData!H:H, NewEmisData!$A:$A, "LDV", NewEmisData!$B:$B, $A48, NewEmisData!$C:$C, $H48, NewEmisData!$D:$D, CF$2))</f>
        <v>2.2590802649038198E-2</v>
      </c>
      <c r="CG48" s="324">
        <f>$I48*IF($G48="Pickup", SUMIFS(NewEmisData!I:I, NewEmisData!$A:$A, "Pickup", NewEmisData!$B:$B, $A48, NewEmisData!$C:$C, $H48, NewEmisData!$D:$D, CG$2), SUMIFS(NewEmisData!I:I, NewEmisData!$A:$A, "LDV", NewEmisData!$B:$B, $A48, NewEmisData!$C:$C, $H48, NewEmisData!$D:$D, CG$2))</f>
        <v>2.2441316833996899E-2</v>
      </c>
      <c r="CH48" s="324">
        <f>$I48*IF($G48="Pickup", SUMIFS(NewEmisData!J:J, NewEmisData!$A:$A, "Pickup", NewEmisData!$B:$B, $A48, NewEmisData!$C:$C, $H48, NewEmisData!$D:$D, CH$2), SUMIFS(NewEmisData!J:J, NewEmisData!$A:$A, "LDV", NewEmisData!$B:$B, $A48, NewEmisData!$C:$C, $H48, NewEmisData!$D:$D, CH$2))</f>
        <v>2.2351554069741601E-2</v>
      </c>
      <c r="CI48" s="324">
        <f>$I48*IF($G48="Pickup", SUMIFS(NewEmisData!K:K, NewEmisData!$A:$A, "Pickup", NewEmisData!$B:$B, $A48, NewEmisData!$C:$C, $H48, NewEmisData!$D:$D, CI$2), SUMIFS(NewEmisData!K:K, NewEmisData!$A:$A, "LDV", NewEmisData!$B:$B, $A48, NewEmisData!$C:$C, $H48, NewEmisData!$D:$D, CI$2))</f>
        <v>2.23494895957542E-2</v>
      </c>
      <c r="CJ48" s="324">
        <f>$I48*IF($G48="Pickup", SUMIFS(NewEmisData!L:L, NewEmisData!$A:$A, "Pickup", NewEmisData!$B:$B, $A48, NewEmisData!$C:$C, $H48, NewEmisData!$D:$D, CJ$2), SUMIFS(NewEmisData!L:L, NewEmisData!$A:$A, "LDV", NewEmisData!$B:$B, $A48, NewEmisData!$C:$C, $H48, NewEmisData!$D:$D, CJ$2))</f>
        <v>2.2349591665023101E-2</v>
      </c>
      <c r="CK48" s="324">
        <f>$I48*IF($G48="Pickup", SUMIFS(NewEmisData!M:M, NewEmisData!$A:$A, "Pickup", NewEmisData!$B:$B, $A48, NewEmisData!$C:$C, $H48, NewEmisData!$D:$D, CK$2), SUMIFS(NewEmisData!M:M, NewEmisData!$A:$A, "LDV", NewEmisData!$B:$B, $A48, NewEmisData!$C:$C, $H48, NewEmisData!$D:$D, CK$2))</f>
        <v>2.2349533126777399E-2</v>
      </c>
      <c r="CL48" s="324">
        <f t="shared" si="12"/>
        <v>2.2349533126777399E-2</v>
      </c>
      <c r="CM48" s="324">
        <f>$I48*IF($G48="Pickup", SUMIFS(NewEmisData!E:E, NewEmisData!$A:$A, "Pickup", NewEmisData!$B:$B, $A48, NewEmisData!$C:$C, $H48, NewEmisData!$D:$D, CM$2), SUMIFS(NewEmisData!E:E, NewEmisData!$A:$A, "LDV", NewEmisData!$B:$B, $A48, NewEmisData!$C:$C, $H48, NewEmisData!$D:$D, CM$2))</f>
        <v>3.3191166299773998E-2</v>
      </c>
      <c r="CN48" s="324">
        <f>$I48*IF($G48="Pickup", SUMIFS(NewEmisData!F:F, NewEmisData!$A:$A, "Pickup", NewEmisData!$B:$B, $A48, NewEmisData!$C:$C, $H48, NewEmisData!$D:$D, CN$2), SUMIFS(NewEmisData!F:F, NewEmisData!$A:$A, "LDV", NewEmisData!$B:$B, $A48, NewEmisData!$C:$C, $H48, NewEmisData!$D:$D, CN$2))</f>
        <v>1.71397181966444E-2</v>
      </c>
      <c r="CO48" s="324">
        <f>$I48*IF($G48="Pickup", SUMIFS(NewEmisData!G:G, NewEmisData!$A:$A, "Pickup", NewEmisData!$B:$B, $A48, NewEmisData!$C:$C, $H48, NewEmisData!$D:$D, CO$2), SUMIFS(NewEmisData!G:G, NewEmisData!$A:$A, "LDV", NewEmisData!$B:$B, $A48, NewEmisData!$C:$C, $H48, NewEmisData!$D:$D, CO$2))</f>
        <v>1.33150193221561E-2</v>
      </c>
      <c r="CP48" s="324">
        <f>$I48*IF($G48="Pickup", SUMIFS(NewEmisData!H:H, NewEmisData!$A:$A, "Pickup", NewEmisData!$B:$B, $A48, NewEmisData!$C:$C, $H48, NewEmisData!$D:$D, CP$2), SUMIFS(NewEmisData!H:H, NewEmisData!$A:$A, "LDV", NewEmisData!$B:$B, $A48, NewEmisData!$C:$C, $H48, NewEmisData!$D:$D, CP$2))</f>
        <v>1.09820188745552E-2</v>
      </c>
      <c r="CQ48" s="324">
        <f>$I48*IF($G48="Pickup", SUMIFS(NewEmisData!I:I, NewEmisData!$A:$A, "Pickup", NewEmisData!$B:$B, $A48, NewEmisData!$C:$C, $H48, NewEmisData!$D:$D, CQ$2), SUMIFS(NewEmisData!I:I, NewEmisData!$A:$A, "LDV", NewEmisData!$B:$B, $A48, NewEmisData!$C:$C, $H48, NewEmisData!$D:$D, CQ$2))</f>
        <v>1.0225575778828599E-2</v>
      </c>
      <c r="CR48" s="324">
        <f>$I48*IF($G48="Pickup", SUMIFS(NewEmisData!J:J, NewEmisData!$A:$A, "Pickup", NewEmisData!$B:$B, $A48, NewEmisData!$C:$C, $H48, NewEmisData!$D:$D, CR$2), SUMIFS(NewEmisData!J:J, NewEmisData!$A:$A, "LDV", NewEmisData!$B:$B, $A48, NewEmisData!$C:$C, $H48, NewEmisData!$D:$D, CR$2))</f>
        <v>1.00265159065662E-2</v>
      </c>
      <c r="CS48" s="324">
        <f>$I48*IF($G48="Pickup", SUMIFS(NewEmisData!K:K, NewEmisData!$A:$A, "Pickup", NewEmisData!$B:$B, $A48, NewEmisData!$C:$C, $H48, NewEmisData!$D:$D, CS$2), SUMIFS(NewEmisData!K:K, NewEmisData!$A:$A, "LDV", NewEmisData!$B:$B, $A48, NewEmisData!$C:$C, $H48, NewEmisData!$D:$D, CS$2))</f>
        <v>1.0008363752646699E-2</v>
      </c>
      <c r="CT48" s="324">
        <f>$I48*IF($G48="Pickup", SUMIFS(NewEmisData!L:L, NewEmisData!$A:$A, "Pickup", NewEmisData!$B:$B, $A48, NewEmisData!$C:$C, $H48, NewEmisData!$D:$D, CT$2), SUMIFS(NewEmisData!L:L, NewEmisData!$A:$A, "LDV", NewEmisData!$B:$B, $A48, NewEmisData!$C:$C, $H48, NewEmisData!$D:$D, CT$2))</f>
        <v>9.9957399619150702E-3</v>
      </c>
      <c r="CU48" s="324">
        <f>$I48*IF($G48="Pickup", SUMIFS(NewEmisData!M:M, NewEmisData!$A:$A, "Pickup", NewEmisData!$B:$B, $A48, NewEmisData!$C:$C, $H48, NewEmisData!$D:$D, CU$2), SUMIFS(NewEmisData!M:M, NewEmisData!$A:$A, "LDV", NewEmisData!$B:$B, $A48, NewEmisData!$C:$C, $H48, NewEmisData!$D:$D, CU$2))</f>
        <v>9.99558998100444E-3</v>
      </c>
      <c r="CV48" s="324">
        <f t="shared" si="13"/>
        <v>9.99558998100444E-3</v>
      </c>
      <c r="CW48" s="324">
        <v>4.0498104655261064E-3</v>
      </c>
      <c r="CX48" s="324">
        <v>2.5030350838759993E-3</v>
      </c>
      <c r="CY48" s="324">
        <v>2.1151214403419519E-3</v>
      </c>
      <c r="CZ48" s="324">
        <v>1.7489979687569375E-3</v>
      </c>
      <c r="DA48" s="324">
        <v>1.340486996695321E-3</v>
      </c>
      <c r="DB48" s="324">
        <v>1.0553769116342638E-3</v>
      </c>
      <c r="DC48" s="324">
        <v>1.0132227560056145E-3</v>
      </c>
      <c r="DD48" s="324">
        <v>1.0003159541004489E-3</v>
      </c>
      <c r="DE48" s="324">
        <v>9.9860782000699166E-4</v>
      </c>
      <c r="DF48" s="324">
        <v>9.9860782000699166E-4</v>
      </c>
      <c r="DG48" s="324">
        <f>$I48*IF($G48="Pickup", SUMIFS(NewEmisData!E:E, NewEmisData!$A:$A, "Pickup", NewEmisData!$B:$B, $A48, NewEmisData!$C:$C, $H48, NewEmisData!$D:$D, DG$2), SUMIFS(NewEmisData!E:E, NewEmisData!$A:$A, "LDV", NewEmisData!$B:$B, $A48, NewEmisData!$C:$C, $H48, NewEmisData!$D:$D, DG$2))</f>
        <v>0</v>
      </c>
      <c r="DH48" s="324">
        <f>$I48*IF($G48="Pickup", SUMIFS(NewEmisData!F:F, NewEmisData!$A:$A, "Pickup", NewEmisData!$B:$B, $A48, NewEmisData!$C:$C, $H48, NewEmisData!$D:$D, DH$2), SUMIFS(NewEmisData!F:F, NewEmisData!$A:$A, "LDV", NewEmisData!$B:$B, $A48, NewEmisData!$C:$C, $H48, NewEmisData!$D:$D, DH$2))</f>
        <v>0</v>
      </c>
      <c r="DI48" s="324">
        <f>$I48*IF($G48="Pickup", SUMIFS(NewEmisData!G:G, NewEmisData!$A:$A, "Pickup", NewEmisData!$B:$B, $A48, NewEmisData!$C:$C, $H48, NewEmisData!$D:$D, DI$2), SUMIFS(NewEmisData!G:G, NewEmisData!$A:$A, "LDV", NewEmisData!$B:$B, $A48, NewEmisData!$C:$C, $H48, NewEmisData!$D:$D, DI$2))</f>
        <v>0</v>
      </c>
      <c r="DJ48" s="324">
        <f>$I48*IF($G48="Pickup", SUMIFS(NewEmisData!H:H, NewEmisData!$A:$A, "Pickup", NewEmisData!$B:$B, $A48, NewEmisData!$C:$C, $H48, NewEmisData!$D:$D, DJ$2), SUMIFS(NewEmisData!H:H, NewEmisData!$A:$A, "LDV", NewEmisData!$B:$B, $A48, NewEmisData!$C:$C, $H48, NewEmisData!$D:$D, DJ$2))</f>
        <v>0</v>
      </c>
      <c r="DK48" s="324">
        <f>$I48*IF($G48="Pickup", SUMIFS(NewEmisData!I:I, NewEmisData!$A:$A, "Pickup", NewEmisData!$B:$B, $A48, NewEmisData!$C:$C, $H48, NewEmisData!$D:$D, DK$2), SUMIFS(NewEmisData!I:I, NewEmisData!$A:$A, "LDV", NewEmisData!$B:$B, $A48, NewEmisData!$C:$C, $H48, NewEmisData!$D:$D, DK$2))</f>
        <v>0</v>
      </c>
      <c r="DL48" s="324">
        <f>$I48*IF($G48="Pickup", SUMIFS(NewEmisData!J:J, NewEmisData!$A:$A, "Pickup", NewEmisData!$B:$B, $A48, NewEmisData!$C:$C, $H48, NewEmisData!$D:$D, DL$2), SUMIFS(NewEmisData!J:J, NewEmisData!$A:$A, "LDV", NewEmisData!$B:$B, $A48, NewEmisData!$C:$C, $H48, NewEmisData!$D:$D, DL$2))</f>
        <v>0</v>
      </c>
      <c r="DM48" s="324">
        <f>$I48*IF($G48="Pickup", SUMIFS(NewEmisData!K:K, NewEmisData!$A:$A, "Pickup", NewEmisData!$B:$B, $A48, NewEmisData!$C:$C, $H48, NewEmisData!$D:$D, DM$2), SUMIFS(NewEmisData!K:K, NewEmisData!$A:$A, "LDV", NewEmisData!$B:$B, $A48, NewEmisData!$C:$C, $H48, NewEmisData!$D:$D, DM$2))</f>
        <v>0</v>
      </c>
      <c r="DN48" s="324">
        <f>$I48*IF($G48="Pickup", SUMIFS(NewEmisData!L:L, NewEmisData!$A:$A, "Pickup", NewEmisData!$B:$B, $A48, NewEmisData!$C:$C, $H48, NewEmisData!$D:$D, DN$2), SUMIFS(NewEmisData!L:L, NewEmisData!$A:$A, "LDV", NewEmisData!$B:$B, $A48, NewEmisData!$C:$C, $H48, NewEmisData!$D:$D, DN$2))</f>
        <v>0</v>
      </c>
      <c r="DO48" s="324">
        <f>$I48*IF($G48="Pickup", SUMIFS(NewEmisData!M:M, NewEmisData!$A:$A, "Pickup", NewEmisData!$B:$B, $A48, NewEmisData!$C:$C, $H48, NewEmisData!$D:$D, DO$2), SUMIFS(NewEmisData!M:M, NewEmisData!$A:$A, "LDV", NewEmisData!$B:$B, $A48, NewEmisData!$C:$C, $H48, NewEmisData!$D:$D, DO$2))</f>
        <v>0</v>
      </c>
      <c r="DP48" s="324">
        <f t="shared" si="14"/>
        <v>0</v>
      </c>
      <c r="DQ48" s="324">
        <f>$I48*IF($G48="Pickup", SUMIFS(NewEmisData!E:E, NewEmisData!$A:$A, "Pickup", NewEmisData!$B:$B, $A48, NewEmisData!$C:$C, $H48, NewEmisData!$D:$D, DQ$2), SUMIFS(NewEmisData!E:E, NewEmisData!$A:$A, "LDV", NewEmisData!$B:$B, $A48, NewEmisData!$C:$C, $H48, NewEmisData!$D:$D, DQ$2))</f>
        <v>2.7021306635098701E-2</v>
      </c>
      <c r="DR48" s="324">
        <f>$I48*IF($G48="Pickup", SUMIFS(NewEmisData!F:F, NewEmisData!$A:$A, "Pickup", NewEmisData!$B:$B, $A48, NewEmisData!$C:$C, $H48, NewEmisData!$D:$D, DR$2), SUMIFS(NewEmisData!F:F, NewEmisData!$A:$A, "LDV", NewEmisData!$B:$B, $A48, NewEmisData!$C:$C, $H48, NewEmisData!$D:$D, DR$2))</f>
        <v>1.43507235561705E-2</v>
      </c>
      <c r="DS48" s="324">
        <f>$I48*IF($G48="Pickup", SUMIFS(NewEmisData!G:G, NewEmisData!$A:$A, "Pickup", NewEmisData!$B:$B, $A48, NewEmisData!$C:$C, $H48, NewEmisData!$D:$D, DS$2), SUMIFS(NewEmisData!G:G, NewEmisData!$A:$A, "LDV", NewEmisData!$B:$B, $A48, NewEmisData!$C:$C, $H48, NewEmisData!$D:$D, DS$2))</f>
        <v>1.0545121959697E-2</v>
      </c>
      <c r="DT48" s="324">
        <f>$I48*IF($G48="Pickup", SUMIFS(NewEmisData!H:H, NewEmisData!$A:$A, "Pickup", NewEmisData!$B:$B, $A48, NewEmisData!$C:$C, $H48, NewEmisData!$D:$D, DT$2), SUMIFS(NewEmisData!H:H, NewEmisData!$A:$A, "LDV", NewEmisData!$B:$B, $A48, NewEmisData!$C:$C, $H48, NewEmisData!$D:$D, DT$2))</f>
        <v>7.9688719028100496E-3</v>
      </c>
      <c r="DU48" s="324">
        <f>$I48*IF($G48="Pickup", SUMIFS(NewEmisData!I:I, NewEmisData!$A:$A, "Pickup", NewEmisData!$B:$B, $A48, NewEmisData!$C:$C, $H48, NewEmisData!$D:$D, DU$2), SUMIFS(NewEmisData!I:I, NewEmisData!$A:$A, "LDV", NewEmisData!$B:$B, $A48, NewEmisData!$C:$C, $H48, NewEmisData!$D:$D, DU$2))</f>
        <v>6.0490449144422597E-3</v>
      </c>
      <c r="DV48" s="324">
        <f>$I48*IF($G48="Pickup", SUMIFS(NewEmisData!J:J, NewEmisData!$A:$A, "Pickup", NewEmisData!$B:$B, $A48, NewEmisData!$C:$C, $H48, NewEmisData!$D:$D, DV$2), SUMIFS(NewEmisData!J:J, NewEmisData!$A:$A, "LDV", NewEmisData!$B:$B, $A48, NewEmisData!$C:$C, $H48, NewEmisData!$D:$D, DV$2))</f>
        <v>4.9348584782415404E-3</v>
      </c>
      <c r="DW48" s="324">
        <f>$I48*IF($G48="Pickup", SUMIFS(NewEmisData!K:K, NewEmisData!$A:$A, "Pickup", NewEmisData!$B:$B, $A48, NewEmisData!$C:$C, $H48, NewEmisData!$D:$D, DW$2), SUMIFS(NewEmisData!K:K, NewEmisData!$A:$A, "LDV", NewEmisData!$B:$B, $A48, NewEmisData!$C:$C, $H48, NewEmisData!$D:$D, DW$2))</f>
        <v>4.4935683619993401E-3</v>
      </c>
      <c r="DX48" s="324">
        <f>$I48*IF($G48="Pickup", SUMIFS(NewEmisData!L:L, NewEmisData!$A:$A, "Pickup", NewEmisData!$B:$B, $A48, NewEmisData!$C:$C, $H48, NewEmisData!$D:$D, DX$2), SUMIFS(NewEmisData!L:L, NewEmisData!$A:$A, "LDV", NewEmisData!$B:$B, $A48, NewEmisData!$C:$C, $H48, NewEmisData!$D:$D, DX$2))</f>
        <v>4.4053132624372604E-3</v>
      </c>
      <c r="DY48" s="324">
        <f>$I48*IF($G48="Pickup", SUMIFS(NewEmisData!M:M, NewEmisData!$A:$A, "Pickup", NewEmisData!$B:$B, $A48, NewEmisData!$C:$C, $H48, NewEmisData!$D:$D, DY$2), SUMIFS(NewEmisData!M:M, NewEmisData!$A:$A, "LDV", NewEmisData!$B:$B, $A48, NewEmisData!$C:$C, $H48, NewEmisData!$D:$D, DY$2))</f>
        <v>4.3834122336864796E-3</v>
      </c>
      <c r="DZ48" s="324">
        <f t="shared" si="15"/>
        <v>4.3834122336864796E-3</v>
      </c>
      <c r="EA48" s="324">
        <f t="shared" si="16"/>
        <v>636.94844021221104</v>
      </c>
      <c r="EB48" s="324">
        <f t="shared" si="17"/>
        <v>566.99958479862596</v>
      </c>
      <c r="EC48" s="324">
        <f t="shared" si="18"/>
        <v>456.866446538378</v>
      </c>
      <c r="ED48" s="324">
        <f t="shared" si="19"/>
        <v>382.95379819743698</v>
      </c>
      <c r="EE48" s="324">
        <f t="shared" si="20"/>
        <v>335.05122696410302</v>
      </c>
      <c r="EF48" s="324">
        <f t="shared" si="21"/>
        <v>310.47516282180999</v>
      </c>
      <c r="EG48" s="324">
        <f t="shared" si="22"/>
        <v>299.643314234321</v>
      </c>
      <c r="EH48" s="324">
        <f t="shared" si="23"/>
        <v>297.422458601252</v>
      </c>
      <c r="EI48" s="324">
        <f t="shared" si="24"/>
        <v>297.08495907381399</v>
      </c>
      <c r="EJ48" s="324">
        <f t="shared" si="25"/>
        <v>297.08495907381399</v>
      </c>
      <c r="EK48" s="324">
        <f t="shared" si="26"/>
        <v>0.95484960134202601</v>
      </c>
      <c r="EL48" s="324">
        <f t="shared" si="27"/>
        <v>0.32981051515610799</v>
      </c>
      <c r="EM48" s="324">
        <f t="shared" si="28"/>
        <v>0.24604011687187799</v>
      </c>
      <c r="EN48" s="324">
        <f t="shared" si="29"/>
        <v>0.16340489519828999</v>
      </c>
      <c r="EO48" s="324">
        <f t="shared" si="30"/>
        <v>0.11306985767462301</v>
      </c>
      <c r="EP48" s="324">
        <f t="shared" si="31"/>
        <v>7.9270221337579605E-2</v>
      </c>
      <c r="EQ48" s="324">
        <f t="shared" si="32"/>
        <v>6.5833743509444598E-2</v>
      </c>
      <c r="ER48" s="324">
        <f t="shared" si="33"/>
        <v>6.3200548797440706E-2</v>
      </c>
      <c r="ES48" s="324">
        <f t="shared" si="34"/>
        <v>6.2566022635143603E-2</v>
      </c>
      <c r="ET48" s="324">
        <f t="shared" si="35"/>
        <v>6.2566022635143603E-2</v>
      </c>
      <c r="EU48" s="324">
        <f t="shared" si="36"/>
        <v>1.1021446784144399E-2</v>
      </c>
      <c r="EV48" s="324">
        <f t="shared" si="37"/>
        <v>9.8110891355443607E-3</v>
      </c>
      <c r="EW48" s="324">
        <f t="shared" si="38"/>
        <v>6.5539868464526696E-3</v>
      </c>
      <c r="EX48" s="324">
        <f t="shared" si="39"/>
        <v>5.4936733467738199E-3</v>
      </c>
      <c r="EY48" s="324">
        <f t="shared" si="40"/>
        <v>4.8064844177770098E-3</v>
      </c>
      <c r="EZ48" s="324">
        <f t="shared" si="41"/>
        <v>4.4539285892842596E-3</v>
      </c>
      <c r="FA48" s="324">
        <f t="shared" si="42"/>
        <v>4.29853574921071E-3</v>
      </c>
      <c r="FB48" s="324">
        <f t="shared" si="43"/>
        <v>4.26667913277963E-3</v>
      </c>
      <c r="FC48" s="324">
        <f t="shared" si="44"/>
        <v>4.2618372306538798E-3</v>
      </c>
      <c r="FD48" s="324">
        <f t="shared" si="45"/>
        <v>4.2618372306538798E-3</v>
      </c>
      <c r="FE48" s="324">
        <f t="shared" si="46"/>
        <v>7.9451070233561405E-2</v>
      </c>
      <c r="FF48" s="324">
        <f t="shared" si="47"/>
        <v>7.6276868152400201E-2</v>
      </c>
      <c r="FG48" s="324">
        <f t="shared" si="48"/>
        <v>5.6652715818935197E-2</v>
      </c>
      <c r="FH48" s="324">
        <f t="shared" si="49"/>
        <v>5.5408492647584899E-2</v>
      </c>
      <c r="FI48" s="324">
        <f t="shared" si="50"/>
        <v>5.40165053540533E-2</v>
      </c>
      <c r="FJ48" s="324">
        <f t="shared" si="51"/>
        <v>5.2775032208320603E-2</v>
      </c>
      <c r="FK48" s="324">
        <f t="shared" si="52"/>
        <v>5.2063088006762799E-2</v>
      </c>
      <c r="FL48" s="324">
        <f t="shared" si="53"/>
        <v>5.1790075051099199E-2</v>
      </c>
      <c r="FM48" s="324">
        <f t="shared" si="54"/>
        <v>5.1722831061276502E-2</v>
      </c>
      <c r="FN48" s="324">
        <f t="shared" si="55"/>
        <v>5.1722831061276502E-2</v>
      </c>
      <c r="FO48" s="324">
        <f t="shared" si="56"/>
        <v>1.8003075193996299E-2</v>
      </c>
      <c r="FP48" s="324">
        <f t="shared" si="57"/>
        <v>1.52046650049204E-2</v>
      </c>
      <c r="FQ48" s="324">
        <f t="shared" si="58"/>
        <v>1.2610890393020199E-2</v>
      </c>
      <c r="FR48" s="324">
        <f t="shared" si="59"/>
        <v>1.1510978039922799E-2</v>
      </c>
      <c r="FS48" s="324">
        <f t="shared" si="60"/>
        <v>1.0279121658658699E-2</v>
      </c>
      <c r="FT48" s="324">
        <f t="shared" si="61"/>
        <v>9.1807819279754004E-3</v>
      </c>
      <c r="FU48" s="324">
        <f t="shared" si="62"/>
        <v>8.5509801965599399E-3</v>
      </c>
      <c r="FV48" s="324">
        <f t="shared" si="63"/>
        <v>8.3094848968453608E-3</v>
      </c>
      <c r="FW48" s="324">
        <f t="shared" si="64"/>
        <v>8.2498877149821594E-3</v>
      </c>
      <c r="FX48" s="324">
        <f t="shared" si="65"/>
        <v>8.2498877149821594E-3</v>
      </c>
    </row>
    <row r="49" spans="1:180" x14ac:dyDescent="0.2">
      <c r="A49" s="298" t="str">
        <f>_xlfn.CONCAT(IF(LEFT(TRIM(A48),1)="*", "*R", "R"), 1+RIGHT(TRIM(A48),1))</f>
        <v>R6</v>
      </c>
      <c r="B49" s="298" t="str">
        <f t="shared" si="102"/>
        <v>TLEPGSL</v>
      </c>
      <c r="C49" s="298" t="str">
        <f t="shared" si="103"/>
        <v>TL.GSL.P.Existing Fleet</v>
      </c>
      <c r="D49" s="294" t="str">
        <f t="shared" si="104"/>
        <v>bn-vmt, bn-vmt/a</v>
      </c>
      <c r="E49" s="294" t="str">
        <f t="shared" si="105"/>
        <v>TLGSL</v>
      </c>
      <c r="F49" s="294" t="str">
        <f t="shared" si="106"/>
        <v>TL</v>
      </c>
      <c r="G49" s="294" t="s">
        <v>329</v>
      </c>
      <c r="H49" s="294" t="s">
        <v>474</v>
      </c>
      <c r="I49" s="294">
        <v>1</v>
      </c>
      <c r="J49" s="308" t="str">
        <f t="shared" si="101"/>
        <v>Pickup-GSL</v>
      </c>
      <c r="K49" s="324">
        <f>$I49*IF($G49="Pickup", SUMIFS(NewEmisData!E:E, NewEmisData!$A:$A, "Pickup", NewEmisData!$B:$B, $A49, NewEmisData!$C:$C, $H49, NewEmisData!$D:$D, K$2), SUMIFS(NewEmisData!E:E, NewEmisData!$A:$A, "LDV", NewEmisData!$B:$B, $A49, NewEmisData!$C:$C, $H49, NewEmisData!$D:$D, K$2))</f>
        <v>629.29035425146799</v>
      </c>
      <c r="L49" s="324">
        <f>$I49*IF($G49="Pickup", SUMIFS(NewEmisData!F:F, NewEmisData!$A:$A, "Pickup", NewEmisData!$B:$B, $A49, NewEmisData!$C:$C, $H49, NewEmisData!$D:$D, L$2), SUMIFS(NewEmisData!F:F, NewEmisData!$A:$A, "LDV", NewEmisData!$B:$B, $A49, NewEmisData!$C:$C, $H49, NewEmisData!$D:$D, L$2))</f>
        <v>571.27801846236605</v>
      </c>
      <c r="M49" s="324">
        <f>$I49*IF($G49="Pickup", SUMIFS(NewEmisData!G:G, NewEmisData!$A:$A, "Pickup", NewEmisData!$B:$B, $A49, NewEmisData!$C:$C, $H49, NewEmisData!$D:$D, M$2), SUMIFS(NewEmisData!G:G, NewEmisData!$A:$A, "LDV", NewEmisData!$B:$B, $A49, NewEmisData!$C:$C, $H49, NewEmisData!$D:$D, M$2))</f>
        <v>472.87406569534897</v>
      </c>
      <c r="N49" s="324">
        <f>$I49*IF($G49="Pickup", SUMIFS(NewEmisData!H:H, NewEmisData!$A:$A, "Pickup", NewEmisData!$B:$B, $A49, NewEmisData!$C:$C, $H49, NewEmisData!$D:$D, N$2), SUMIFS(NewEmisData!H:H, NewEmisData!$A:$A, "LDV", NewEmisData!$B:$B, $A49, NewEmisData!$C:$C, $H49, NewEmisData!$D:$D, N$2))</f>
        <v>396.14659023538701</v>
      </c>
      <c r="O49" s="324">
        <f>$I49*IF($G49="Pickup", SUMIFS(NewEmisData!I:I, NewEmisData!$A:$A, "Pickup", NewEmisData!$B:$B, $A49, NewEmisData!$C:$C, $H49, NewEmisData!$D:$D, O$2), SUMIFS(NewEmisData!I:I, NewEmisData!$A:$A, "LDV", NewEmisData!$B:$B, $A49, NewEmisData!$C:$C, $H49, NewEmisData!$D:$D, O$2))</f>
        <v>347.19633179008298</v>
      </c>
      <c r="P49" s="324">
        <f>$I49*IF($G49="Pickup", SUMIFS(NewEmisData!J:J, NewEmisData!$A:$A, "Pickup", NewEmisData!$B:$B, $A49, NewEmisData!$C:$C, $H49, NewEmisData!$D:$D, P$2), SUMIFS(NewEmisData!J:J, NewEmisData!$A:$A, "LDV", NewEmisData!$B:$B, $A49, NewEmisData!$C:$C, $H49, NewEmisData!$D:$D, P$2))</f>
        <v>322.55550442882998</v>
      </c>
      <c r="Q49" s="324">
        <f>$I49*IF($G49="Pickup", SUMIFS(NewEmisData!K:K, NewEmisData!$A:$A, "Pickup", NewEmisData!$B:$B, $A49, NewEmisData!$C:$C, $H49, NewEmisData!$D:$D, Q$2), SUMIFS(NewEmisData!K:K, NewEmisData!$A:$A, "LDV", NewEmisData!$B:$B, $A49, NewEmisData!$C:$C, $H49, NewEmisData!$D:$D, Q$2))</f>
        <v>311.76534896807402</v>
      </c>
      <c r="R49" s="324">
        <f>$I49*IF($G49="Pickup", SUMIFS(NewEmisData!L:L, NewEmisData!$A:$A, "Pickup", NewEmisData!$B:$B, $A49, NewEmisData!$C:$C, $H49, NewEmisData!$D:$D, R$2), SUMIFS(NewEmisData!L:L, NewEmisData!$A:$A, "LDV", NewEmisData!$B:$B, $A49, NewEmisData!$C:$C, $H49, NewEmisData!$D:$D, R$2))</f>
        <v>309.51187360042798</v>
      </c>
      <c r="S49" s="324">
        <f>$I49*IF($G49="Pickup", SUMIFS(NewEmisData!M:M, NewEmisData!$A:$A, "Pickup", NewEmisData!$B:$B, $A49, NewEmisData!$C:$C, $H49, NewEmisData!$D:$D, S$2), SUMIFS(NewEmisData!M:M, NewEmisData!$A:$A, "LDV", NewEmisData!$B:$B, $A49, NewEmisData!$C:$C, $H49, NewEmisData!$D:$D, S$2))</f>
        <v>309.154399722184</v>
      </c>
      <c r="T49" s="324">
        <f t="shared" si="5"/>
        <v>309.154399722184</v>
      </c>
      <c r="U49" s="324">
        <f>$I49*IF($G49="Pickup", SUMIFS(NewEmisData!E:E, NewEmisData!$A:$A, "Pickup", NewEmisData!$B:$B, $A49, NewEmisData!$C:$C, $H49, NewEmisData!$D:$D, U$2), SUMIFS(NewEmisData!E:E, NewEmisData!$A:$A, "LDV", NewEmisData!$B:$B, $A49, NewEmisData!$C:$C, $H49, NewEmisData!$D:$D, U$2))</f>
        <v>1.07703782419723</v>
      </c>
      <c r="V49" s="324">
        <f>$I49*IF($G49="Pickup", SUMIFS(NewEmisData!F:F, NewEmisData!$A:$A, "Pickup", NewEmisData!$B:$B, $A49, NewEmisData!$C:$C, $H49, NewEmisData!$D:$D, V$2), SUMIFS(NewEmisData!F:F, NewEmisData!$A:$A, "LDV", NewEmisData!$B:$B, $A49, NewEmisData!$C:$C, $H49, NewEmisData!$D:$D, V$2))</f>
        <v>0.37063376602748699</v>
      </c>
      <c r="W49" s="324">
        <f>$I49*IF($G49="Pickup", SUMIFS(NewEmisData!G:G, NewEmisData!$A:$A, "Pickup", NewEmisData!$B:$B, $A49, NewEmisData!$C:$C, $H49, NewEmisData!$D:$D, W$2), SUMIFS(NewEmisData!G:G, NewEmisData!$A:$A, "LDV", NewEmisData!$B:$B, $A49, NewEmisData!$C:$C, $H49, NewEmisData!$D:$D, W$2))</f>
        <v>0.22414787770802799</v>
      </c>
      <c r="X49" s="324">
        <f>$I49*IF($G49="Pickup", SUMIFS(NewEmisData!H:H, NewEmisData!$A:$A, "Pickup", NewEmisData!$B:$B, $A49, NewEmisData!$C:$C, $H49, NewEmisData!$D:$D, X$2), SUMIFS(NewEmisData!H:H, NewEmisData!$A:$A, "LDV", NewEmisData!$B:$B, $A49, NewEmisData!$C:$C, $H49, NewEmisData!$D:$D, X$2))</f>
        <v>0.146870056334405</v>
      </c>
      <c r="Y49" s="324">
        <f>$I49*IF($G49="Pickup", SUMIFS(NewEmisData!I:I, NewEmisData!$A:$A, "Pickup", NewEmisData!$B:$B, $A49, NewEmisData!$C:$C, $H49, NewEmisData!$D:$D, Y$2), SUMIFS(NewEmisData!I:I, NewEmisData!$A:$A, "LDV", NewEmisData!$B:$B, $A49, NewEmisData!$C:$C, $H49, NewEmisData!$D:$D, Y$2))</f>
        <v>0.100147731477744</v>
      </c>
      <c r="Z49" s="324">
        <f>$I49*IF($G49="Pickup", SUMIFS(NewEmisData!J:J, NewEmisData!$A:$A, "Pickup", NewEmisData!$B:$B, $A49, NewEmisData!$C:$C, $H49, NewEmisData!$D:$D, Z$2), SUMIFS(NewEmisData!J:J, NewEmisData!$A:$A, "LDV", NewEmisData!$B:$B, $A49, NewEmisData!$C:$C, $H49, NewEmisData!$D:$D, Z$2))</f>
        <v>6.9799961270145497E-2</v>
      </c>
      <c r="AA49" s="324">
        <f>$I49*IF($G49="Pickup", SUMIFS(NewEmisData!K:K, NewEmisData!$A:$A, "Pickup", NewEmisData!$B:$B, $A49, NewEmisData!$C:$C, $H49, NewEmisData!$D:$D, AA$2), SUMIFS(NewEmisData!K:K, NewEmisData!$A:$A, "LDV", NewEmisData!$B:$B, $A49, NewEmisData!$C:$C, $H49, NewEmisData!$D:$D, AA$2))</f>
        <v>5.7786964253900203E-2</v>
      </c>
      <c r="AB49" s="324">
        <f>$I49*IF($G49="Pickup", SUMIFS(NewEmisData!L:L, NewEmisData!$A:$A, "Pickup", NewEmisData!$B:$B, $A49, NewEmisData!$C:$C, $H49, NewEmisData!$D:$D, AB$2), SUMIFS(NewEmisData!L:L, NewEmisData!$A:$A, "LDV", NewEmisData!$B:$B, $A49, NewEmisData!$C:$C, $H49, NewEmisData!$D:$D, AB$2))</f>
        <v>5.5423939682830103E-2</v>
      </c>
      <c r="AC49" s="324">
        <f>$I49*IF($G49="Pickup", SUMIFS(NewEmisData!M:M, NewEmisData!$A:$A, "Pickup", NewEmisData!$B:$B, $A49, NewEmisData!$C:$C, $H49, NewEmisData!$D:$D, AC$2), SUMIFS(NewEmisData!M:M, NewEmisData!$A:$A, "LDV", NewEmisData!$B:$B, $A49, NewEmisData!$C:$C, $H49, NewEmisData!$D:$D, AC$2))</f>
        <v>5.4809815155326402E-2</v>
      </c>
      <c r="AD49" s="324">
        <f t="shared" si="6"/>
        <v>5.4809815155326402E-2</v>
      </c>
      <c r="AE49" s="324">
        <f>$I49*IF($G49="Pickup", SUMIFS(NewEmisData!E:E, NewEmisData!$A:$A, "Pickup", NewEmisData!$B:$B, $A49, NewEmisData!$C:$C, $H49, NewEmisData!$D:$D, AE$2), SUMIFS(NewEmisData!E:E, NewEmisData!$A:$A, "LDV", NewEmisData!$B:$B, $A49, NewEmisData!$C:$C, $H49, NewEmisData!$D:$D, AE$2))</f>
        <v>1.08889320093075E-2</v>
      </c>
      <c r="AF49" s="324">
        <f>$I49*IF($G49="Pickup", SUMIFS(NewEmisData!F:F, NewEmisData!$A:$A, "Pickup", NewEmisData!$B:$B, $A49, NewEmisData!$C:$C, $H49, NewEmisData!$D:$D, AF$2), SUMIFS(NewEmisData!F:F, NewEmisData!$A:$A, "LDV", NewEmisData!$B:$B, $A49, NewEmisData!$C:$C, $H49, NewEmisData!$D:$D, AF$2))</f>
        <v>9.8851201724826001E-3</v>
      </c>
      <c r="AG49" s="324">
        <f>$I49*IF($G49="Pickup", SUMIFS(NewEmisData!G:G, NewEmisData!$A:$A, "Pickup", NewEmisData!$B:$B, $A49, NewEmisData!$C:$C, $H49, NewEmisData!$D:$D, AG$2), SUMIFS(NewEmisData!G:G, NewEmisData!$A:$A, "LDV", NewEmisData!$B:$B, $A49, NewEmisData!$C:$C, $H49, NewEmisData!$D:$D, AG$2))</f>
        <v>6.7836227109818103E-3</v>
      </c>
      <c r="AH49" s="324">
        <f>$I49*IF($G49="Pickup", SUMIFS(NewEmisData!H:H, NewEmisData!$A:$A, "Pickup", NewEmisData!$B:$B, $A49, NewEmisData!$C:$C, $H49, NewEmisData!$D:$D, AH$2), SUMIFS(NewEmisData!H:H, NewEmisData!$A:$A, "LDV", NewEmisData!$B:$B, $A49, NewEmisData!$C:$C, $H49, NewEmisData!$D:$D, AH$2))</f>
        <v>5.6829290051501301E-3</v>
      </c>
      <c r="AI49" s="324">
        <f>$I49*IF($G49="Pickup", SUMIFS(NewEmisData!I:I, NewEmisData!$A:$A, "Pickup", NewEmisData!$B:$B, $A49, NewEmisData!$C:$C, $H49, NewEmisData!$D:$D, AI$2), SUMIFS(NewEmisData!I:I, NewEmisData!$A:$A, "LDV", NewEmisData!$B:$B, $A49, NewEmisData!$C:$C, $H49, NewEmisData!$D:$D, AI$2))</f>
        <v>4.9807105070221796E-3</v>
      </c>
      <c r="AJ49" s="324">
        <f>$I49*IF($G49="Pickup", SUMIFS(NewEmisData!J:J, NewEmisData!$A:$A, "Pickup", NewEmisData!$B:$B, $A49, NewEmisData!$C:$C, $H49, NewEmisData!$D:$D, AJ$2), SUMIFS(NewEmisData!J:J, NewEmisData!$A:$A, "LDV", NewEmisData!$B:$B, $A49, NewEmisData!$C:$C, $H49, NewEmisData!$D:$D, AJ$2))</f>
        <v>4.6272281762573001E-3</v>
      </c>
      <c r="AK49" s="324">
        <f>$I49*IF($G49="Pickup", SUMIFS(NewEmisData!K:K, NewEmisData!$A:$A, "Pickup", NewEmisData!$B:$B, $A49, NewEmisData!$C:$C, $H49, NewEmisData!$D:$D, AK$2), SUMIFS(NewEmisData!K:K, NewEmisData!$A:$A, "LDV", NewEmisData!$B:$B, $A49, NewEmisData!$C:$C, $H49, NewEmisData!$D:$D, AK$2))</f>
        <v>4.4724368045959096E-3</v>
      </c>
      <c r="AL49" s="324">
        <f>$I49*IF($G49="Pickup", SUMIFS(NewEmisData!L:L, NewEmisData!$A:$A, "Pickup", NewEmisData!$B:$B, $A49, NewEmisData!$C:$C, $H49, NewEmisData!$D:$D, AL$2), SUMIFS(NewEmisData!L:L, NewEmisData!$A:$A, "LDV", NewEmisData!$B:$B, $A49, NewEmisData!$C:$C, $H49, NewEmisData!$D:$D, AL$2))</f>
        <v>4.4401060236012703E-3</v>
      </c>
      <c r="AM49" s="324">
        <f>$I49*IF($G49="Pickup", SUMIFS(NewEmisData!M:M, NewEmisData!$A:$A, "Pickup", NewEmisData!$B:$B, $A49, NewEmisData!$C:$C, $H49, NewEmisData!$D:$D, AM$2), SUMIFS(NewEmisData!M:M, NewEmisData!$A:$A, "LDV", NewEmisData!$B:$B, $A49, NewEmisData!$C:$C, $H49, NewEmisData!$D:$D, AM$2))</f>
        <v>4.4349813207028004E-3</v>
      </c>
      <c r="AN49" s="324">
        <f t="shared" si="7"/>
        <v>4.4349813207028004E-3</v>
      </c>
      <c r="AO49" s="324">
        <f>$I49*IF($G49="Pickup", SUMIFS(NewEmisData!E:E, NewEmisData!$A:$A, "Pickup", NewEmisData!$B:$B, $A49, NewEmisData!$C:$C, $H49, NewEmisData!$D:$D, AO$2), SUMIFS(NewEmisData!E:E, NewEmisData!$A:$A, "LDV", NewEmisData!$B:$B, $A49, NewEmisData!$C:$C, $H49, NewEmisData!$D:$D, AO$2))</f>
        <v>7.9797235056963206E-2</v>
      </c>
      <c r="AP49" s="324">
        <f>$I49*IF($G49="Pickup", SUMIFS(NewEmisData!F:F, NewEmisData!$A:$A, "Pickup", NewEmisData!$B:$B, $A49, NewEmisData!$C:$C, $H49, NewEmisData!$D:$D, AP$2), SUMIFS(NewEmisData!F:F, NewEmisData!$A:$A, "LDV", NewEmisData!$B:$B, $A49, NewEmisData!$C:$C, $H49, NewEmisData!$D:$D, AP$2))</f>
        <v>7.6001798653814207E-2</v>
      </c>
      <c r="AQ49" s="324">
        <f>$I49*IF($G49="Pickup", SUMIFS(NewEmisData!G:G, NewEmisData!$A:$A, "Pickup", NewEmisData!$B:$B, $A49, NewEmisData!$C:$C, $H49, NewEmisData!$D:$D, AQ$2), SUMIFS(NewEmisData!G:G, NewEmisData!$A:$A, "LDV", NewEmisData!$B:$B, $A49, NewEmisData!$C:$C, $H49, NewEmisData!$D:$D, AQ$2))</f>
        <v>6.3391605684552502E-2</v>
      </c>
      <c r="AR49" s="324">
        <f>$I49*IF($G49="Pickup", SUMIFS(NewEmisData!H:H, NewEmisData!$A:$A, "Pickup", NewEmisData!$B:$B, $A49, NewEmisData!$C:$C, $H49, NewEmisData!$D:$D, AR$2), SUMIFS(NewEmisData!H:H, NewEmisData!$A:$A, "LDV", NewEmisData!$B:$B, $A49, NewEmisData!$C:$C, $H49, NewEmisData!$D:$D, AR$2))</f>
        <v>6.2249949738011102E-2</v>
      </c>
      <c r="AS49" s="324">
        <f>$I49*IF($G49="Pickup", SUMIFS(NewEmisData!I:I, NewEmisData!$A:$A, "Pickup", NewEmisData!$B:$B, $A49, NewEmisData!$C:$C, $H49, NewEmisData!$D:$D, AS$2), SUMIFS(NewEmisData!I:I, NewEmisData!$A:$A, "LDV", NewEmisData!$B:$B, $A49, NewEmisData!$C:$C, $H49, NewEmisData!$D:$D, AS$2))</f>
        <v>6.0956414175610103E-2</v>
      </c>
      <c r="AT49" s="324">
        <f>$I49*IF($G49="Pickup", SUMIFS(NewEmisData!J:J, NewEmisData!$A:$A, "Pickup", NewEmisData!$B:$B, $A49, NewEmisData!$C:$C, $H49, NewEmisData!$D:$D, AT$2), SUMIFS(NewEmisData!J:J, NewEmisData!$A:$A, "LDV", NewEmisData!$B:$B, $A49, NewEmisData!$C:$C, $H49, NewEmisData!$D:$D, AT$2))</f>
        <v>5.9827983670569698E-2</v>
      </c>
      <c r="AU49" s="324">
        <f>$I49*IF($G49="Pickup", SUMIFS(NewEmisData!K:K, NewEmisData!$A:$A, "Pickup", NewEmisData!$B:$B, $A49, NewEmisData!$C:$C, $H49, NewEmisData!$D:$D, AU$2), SUMIFS(NewEmisData!K:K, NewEmisData!$A:$A, "LDV", NewEmisData!$B:$B, $A49, NewEmisData!$C:$C, $H49, NewEmisData!$D:$D, AU$2))</f>
        <v>5.91838618526946E-2</v>
      </c>
      <c r="AV49" s="324">
        <f>$I49*IF($G49="Pickup", SUMIFS(NewEmisData!L:L, NewEmisData!$A:$A, "Pickup", NewEmisData!$B:$B, $A49, NewEmisData!$C:$C, $H49, NewEmisData!$D:$D, AV$2), SUMIFS(NewEmisData!L:L, NewEmisData!$A:$A, "LDV", NewEmisData!$B:$B, $A49, NewEmisData!$C:$C, $H49, NewEmisData!$D:$D, AV$2))</f>
        <v>5.8937948629628097E-2</v>
      </c>
      <c r="AW49" s="324">
        <f>$I49*IF($G49="Pickup", SUMIFS(NewEmisData!M:M, NewEmisData!$A:$A, "Pickup", NewEmisData!$B:$B, $A49, NewEmisData!$C:$C, $H49, NewEmisData!$D:$D, AW$2), SUMIFS(NewEmisData!M:M, NewEmisData!$A:$A, "LDV", NewEmisData!$B:$B, $A49, NewEmisData!$C:$C, $H49, NewEmisData!$D:$D, AW$2))</f>
        <v>5.88749789222721E-2</v>
      </c>
      <c r="AX49" s="324">
        <f t="shared" si="8"/>
        <v>5.88749789222721E-2</v>
      </c>
      <c r="AY49" s="324">
        <f>$I49*IF($G49="Pickup", SUMIFS(NewEmisData!E:E, NewEmisData!$A:$A, "Pickup", NewEmisData!$B:$B, $A49, NewEmisData!$C:$C, $H49, NewEmisData!$D:$D, AY$2), SUMIFS(NewEmisData!E:E, NewEmisData!$A:$A, "LDV", NewEmisData!$B:$B, $A49, NewEmisData!$C:$C, $H49, NewEmisData!$D:$D, AY$2))</f>
        <v>1.8949252743626702E-2</v>
      </c>
      <c r="AZ49" s="324">
        <f>$I49*IF($G49="Pickup", SUMIFS(NewEmisData!F:F, NewEmisData!$A:$A, "Pickup", NewEmisData!$B:$B, $A49, NewEmisData!$C:$C, $H49, NewEmisData!$D:$D, AZ$2), SUMIFS(NewEmisData!F:F, NewEmisData!$A:$A, "LDV", NewEmisData!$B:$B, $A49, NewEmisData!$C:$C, $H49, NewEmisData!$D:$D, AZ$2))</f>
        <v>1.55896120407557E-2</v>
      </c>
      <c r="BA49" s="324">
        <f>$I49*IF($G49="Pickup", SUMIFS(NewEmisData!G:G, NewEmisData!$A:$A, "Pickup", NewEmisData!$B:$B, $A49, NewEmisData!$C:$C, $H49, NewEmisData!$D:$D, BA$2), SUMIFS(NewEmisData!G:G, NewEmisData!$A:$A, "LDV", NewEmisData!$B:$B, $A49, NewEmisData!$C:$C, $H49, NewEmisData!$D:$D, BA$2))</f>
        <v>1.3090757358435101E-2</v>
      </c>
      <c r="BB49" s="324">
        <f>$I49*IF($G49="Pickup", SUMIFS(NewEmisData!H:H, NewEmisData!$A:$A, "Pickup", NewEmisData!$B:$B, $A49, NewEmisData!$C:$C, $H49, NewEmisData!$D:$D, BB$2), SUMIFS(NewEmisData!H:H, NewEmisData!$A:$A, "LDV", NewEmisData!$B:$B, $A49, NewEmisData!$C:$C, $H49, NewEmisData!$D:$D, BB$2))</f>
        <v>1.2073597128508201E-2</v>
      </c>
      <c r="BC49" s="324">
        <f>$I49*IF($G49="Pickup", SUMIFS(NewEmisData!I:I, NewEmisData!$A:$A, "Pickup", NewEmisData!$B:$B, $A49, NewEmisData!$C:$C, $H49, NewEmisData!$D:$D, BC$2), SUMIFS(NewEmisData!I:I, NewEmisData!$A:$A, "LDV", NewEmisData!$B:$B, $A49, NewEmisData!$C:$C, $H49, NewEmisData!$D:$D, BC$2))</f>
        <v>1.0925021199185E-2</v>
      </c>
      <c r="BD49" s="324">
        <f>$I49*IF($G49="Pickup", SUMIFS(NewEmisData!J:J, NewEmisData!$A:$A, "Pickup", NewEmisData!$B:$B, $A49, NewEmisData!$C:$C, $H49, NewEmisData!$D:$D, BD$2), SUMIFS(NewEmisData!J:J, NewEmisData!$A:$A, "LDV", NewEmisData!$B:$B, $A49, NewEmisData!$C:$C, $H49, NewEmisData!$D:$D, BD$2))</f>
        <v>9.9255497267567994E-3</v>
      </c>
      <c r="BE49" s="324">
        <f>$I49*IF($G49="Pickup", SUMIFS(NewEmisData!K:K, NewEmisData!$A:$A, "Pickup", NewEmisData!$B:$B, $A49, NewEmisData!$C:$C, $H49, NewEmisData!$D:$D, BE$2), SUMIFS(NewEmisData!K:K, NewEmisData!$A:$A, "LDV", NewEmisData!$B:$B, $A49, NewEmisData!$C:$C, $H49, NewEmisData!$D:$D, BE$2))</f>
        <v>9.3555607478902295E-3</v>
      </c>
      <c r="BF49" s="324">
        <f>$I49*IF($G49="Pickup", SUMIFS(NewEmisData!L:L, NewEmisData!$A:$A, "Pickup", NewEmisData!$B:$B, $A49, NewEmisData!$C:$C, $H49, NewEmisData!$D:$D, BF$2), SUMIFS(NewEmisData!L:L, NewEmisData!$A:$A, "LDV", NewEmisData!$B:$B, $A49, NewEmisData!$C:$C, $H49, NewEmisData!$D:$D, BF$2))</f>
        <v>9.1378744671425701E-3</v>
      </c>
      <c r="BG49" s="324">
        <f>$I49*IF($G49="Pickup", SUMIFS(NewEmisData!M:M, NewEmisData!$A:$A, "Pickup", NewEmisData!$B:$B, $A49, NewEmisData!$C:$C, $H49, NewEmisData!$D:$D, BG$2), SUMIFS(NewEmisData!M:M, NewEmisData!$A:$A, "LDV", NewEmisData!$B:$B, $A49, NewEmisData!$C:$C, $H49, NewEmisData!$D:$D, BG$2))</f>
        <v>9.08217182799783E-3</v>
      </c>
      <c r="BH49" s="324">
        <f t="shared" si="9"/>
        <v>9.08217182799783E-3</v>
      </c>
      <c r="BI49" s="324">
        <f>$I49*IF($G49="Pickup", SUMIFS(NewEmisData!E:E, NewEmisData!$A:$A, "Pickup", NewEmisData!$B:$B, $A49, NewEmisData!$C:$C, $H49, NewEmisData!$D:$D, BI$2), SUMIFS(NewEmisData!E:E, NewEmisData!$A:$A, "LDV", NewEmisData!$B:$B, $A49, NewEmisData!$C:$C, $H49, NewEmisData!$D:$D, BI$2))</f>
        <v>8.3482368310947397</v>
      </c>
      <c r="BJ49" s="324">
        <f>$I49*IF($G49="Pickup", SUMIFS(NewEmisData!F:F, NewEmisData!$A:$A, "Pickup", NewEmisData!$B:$B, $A49, NewEmisData!$C:$C, $H49, NewEmisData!$D:$D, BJ$2), SUMIFS(NewEmisData!F:F, NewEmisData!$A:$A, "LDV", NewEmisData!$B:$B, $A49, NewEmisData!$C:$C, $H49, NewEmisData!$D:$D, BJ$2))</f>
        <v>4.3081315664303901</v>
      </c>
      <c r="BK49" s="324">
        <f>$I49*IF($G49="Pickup", SUMIFS(NewEmisData!G:G, NewEmisData!$A:$A, "Pickup", NewEmisData!$B:$B, $A49, NewEmisData!$C:$C, $H49, NewEmisData!$D:$D, BK$2), SUMIFS(NewEmisData!G:G, NewEmisData!$A:$A, "LDV", NewEmisData!$B:$B, $A49, NewEmisData!$C:$C, $H49, NewEmisData!$D:$D, BK$2))</f>
        <v>3.0187422051480501</v>
      </c>
      <c r="BL49" s="324">
        <f>$I49*IF($G49="Pickup", SUMIFS(NewEmisData!H:H, NewEmisData!$A:$A, "Pickup", NewEmisData!$B:$B, $A49, NewEmisData!$C:$C, $H49, NewEmisData!$D:$D, BL$2), SUMIFS(NewEmisData!H:H, NewEmisData!$A:$A, "LDV", NewEmisData!$B:$B, $A49, NewEmisData!$C:$C, $H49, NewEmisData!$D:$D, BL$2))</f>
        <v>2.2968284382098001</v>
      </c>
      <c r="BM49" s="324">
        <f>$I49*IF($G49="Pickup", SUMIFS(NewEmisData!I:I, NewEmisData!$A:$A, "Pickup", NewEmisData!$B:$B, $A49, NewEmisData!$C:$C, $H49, NewEmisData!$D:$D, BM$2), SUMIFS(NewEmisData!I:I, NewEmisData!$A:$A, "LDV", NewEmisData!$B:$B, $A49, NewEmisData!$C:$C, $H49, NewEmisData!$D:$D, BM$2))</f>
        <v>1.6241894645100301</v>
      </c>
      <c r="BN49" s="324">
        <f>$I49*IF($G49="Pickup", SUMIFS(NewEmisData!J:J, NewEmisData!$A:$A, "Pickup", NewEmisData!$B:$B, $A49, NewEmisData!$C:$C, $H49, NewEmisData!$D:$D, BN$2), SUMIFS(NewEmisData!J:J, NewEmisData!$A:$A, "LDV", NewEmisData!$B:$B, $A49, NewEmisData!$C:$C, $H49, NewEmisData!$D:$D, BN$2))</f>
        <v>1.20320021831455</v>
      </c>
      <c r="BO49" s="324">
        <f>$I49*IF($G49="Pickup", SUMIFS(NewEmisData!K:K, NewEmisData!$A:$A, "Pickup", NewEmisData!$B:$B, $A49, NewEmisData!$C:$C, $H49, NewEmisData!$D:$D, BO$2), SUMIFS(NewEmisData!K:K, NewEmisData!$A:$A, "LDV", NewEmisData!$B:$B, $A49, NewEmisData!$C:$C, $H49, NewEmisData!$D:$D, BO$2))</f>
        <v>1.0475021085095599</v>
      </c>
      <c r="BP49" s="324">
        <f>$I49*IF($G49="Pickup", SUMIFS(NewEmisData!L:L, NewEmisData!$A:$A, "Pickup", NewEmisData!$B:$B, $A49, NewEmisData!$C:$C, $H49, NewEmisData!$D:$D, BP$2), SUMIFS(NewEmisData!L:L, NewEmisData!$A:$A, "LDV", NewEmisData!$B:$B, $A49, NewEmisData!$C:$C, $H49, NewEmisData!$D:$D, BP$2))</f>
        <v>1.01648762049332</v>
      </c>
      <c r="BQ49" s="324">
        <f>$I49*IF($G49="Pickup", SUMIFS(NewEmisData!M:M, NewEmisData!$A:$A, "Pickup", NewEmisData!$B:$B, $A49, NewEmisData!$C:$C, $H49, NewEmisData!$D:$D, BQ$2), SUMIFS(NewEmisData!M:M, NewEmisData!$A:$A, "LDV", NewEmisData!$B:$B, $A49, NewEmisData!$C:$C, $H49, NewEmisData!$D:$D, BQ$2))</f>
        <v>1.00707426224907</v>
      </c>
      <c r="BR49" s="324">
        <f t="shared" si="10"/>
        <v>1.00707426224907</v>
      </c>
      <c r="BS49" s="324">
        <f>$I49*IF($G49="Pickup", SUMIFS(NewEmisData!E:E, NewEmisData!$A:$A, "Pickup", NewEmisData!$B:$B, $A49, NewEmisData!$C:$C, $H49, NewEmisData!$D:$D, BS$2), SUMIFS(NewEmisData!E:E, NewEmisData!$A:$A, "LDV", NewEmisData!$B:$B, $A49, NewEmisData!$C:$C, $H49, NewEmisData!$D:$D, BS$2))</f>
        <v>0.76486937509172104</v>
      </c>
      <c r="BT49" s="324">
        <f>$I49*IF($G49="Pickup", SUMIFS(NewEmisData!F:F, NewEmisData!$A:$A, "Pickup", NewEmisData!$B:$B, $A49, NewEmisData!$C:$C, $H49, NewEmisData!$D:$D, BT$2), SUMIFS(NewEmisData!F:F, NewEmisData!$A:$A, "LDV", NewEmisData!$B:$B, $A49, NewEmisData!$C:$C, $H49, NewEmisData!$D:$D, BT$2))</f>
        <v>0.32169078661703499</v>
      </c>
      <c r="BU49" s="324">
        <f>$I49*IF($G49="Pickup", SUMIFS(NewEmisData!G:G, NewEmisData!$A:$A, "Pickup", NewEmisData!$B:$B, $A49, NewEmisData!$C:$C, $H49, NewEmisData!$D:$D, BU$2), SUMIFS(NewEmisData!G:G, NewEmisData!$A:$A, "LDV", NewEmisData!$B:$B, $A49, NewEmisData!$C:$C, $H49, NewEmisData!$D:$D, BU$2))</f>
        <v>0.21594012148243799</v>
      </c>
      <c r="BV49" s="324">
        <f>$I49*IF($G49="Pickup", SUMIFS(NewEmisData!H:H, NewEmisData!$A:$A, "Pickup", NewEmisData!$B:$B, $A49, NewEmisData!$C:$C, $H49, NewEmisData!$D:$D, BV$2), SUMIFS(NewEmisData!H:H, NewEmisData!$A:$A, "LDV", NewEmisData!$B:$B, $A49, NewEmisData!$C:$C, $H49, NewEmisData!$D:$D, BV$2))</f>
        <v>0.17257879470183399</v>
      </c>
      <c r="BW49" s="324">
        <f>$I49*IF($G49="Pickup", SUMIFS(NewEmisData!I:I, NewEmisData!$A:$A, "Pickup", NewEmisData!$B:$B, $A49, NewEmisData!$C:$C, $H49, NewEmisData!$D:$D, BW$2), SUMIFS(NewEmisData!I:I, NewEmisData!$A:$A, "LDV", NewEmisData!$B:$B, $A49, NewEmisData!$C:$C, $H49, NewEmisData!$D:$D, BW$2))</f>
        <v>0.13295977241117701</v>
      </c>
      <c r="BX49" s="324">
        <f>$I49*IF($G49="Pickup", SUMIFS(NewEmisData!J:J, NewEmisData!$A:$A, "Pickup", NewEmisData!$B:$B, $A49, NewEmisData!$C:$C, $H49, NewEmisData!$D:$D, BX$2), SUMIFS(NewEmisData!J:J, NewEmisData!$A:$A, "LDV", NewEmisData!$B:$B, $A49, NewEmisData!$C:$C, $H49, NewEmisData!$D:$D, BX$2))</f>
        <v>0.108110784391744</v>
      </c>
      <c r="BY49" s="324">
        <f>$I49*IF($G49="Pickup", SUMIFS(NewEmisData!K:K, NewEmisData!$A:$A, "Pickup", NewEmisData!$B:$B, $A49, NewEmisData!$C:$C, $H49, NewEmisData!$D:$D, BY$2), SUMIFS(NewEmisData!K:K, NewEmisData!$A:$A, "LDV", NewEmisData!$B:$B, $A49, NewEmisData!$C:$C, $H49, NewEmisData!$D:$D, BY$2))</f>
        <v>9.7137754261465994E-2</v>
      </c>
      <c r="BZ49" s="324">
        <f>$I49*IF($G49="Pickup", SUMIFS(NewEmisData!L:L, NewEmisData!$A:$A, "Pickup", NewEmisData!$B:$B, $A49, NewEmisData!$C:$C, $H49, NewEmisData!$D:$D, BZ$2), SUMIFS(NewEmisData!L:L, NewEmisData!$A:$A, "LDV", NewEmisData!$B:$B, $A49, NewEmisData!$C:$C, $H49, NewEmisData!$D:$D, BZ$2))</f>
        <v>9.45597833782197E-2</v>
      </c>
      <c r="CA49" s="324">
        <f>$I49*IF($G49="Pickup", SUMIFS(NewEmisData!M:M, NewEmisData!$A:$A, "Pickup", NewEmisData!$B:$B, $A49, NewEmisData!$C:$C, $H49, NewEmisData!$D:$D, CA$2), SUMIFS(NewEmisData!M:M, NewEmisData!$A:$A, "LDV", NewEmisData!$B:$B, $A49, NewEmisData!$C:$C, $H49, NewEmisData!$D:$D, CA$2))</f>
        <v>9.3653115656486804E-2</v>
      </c>
      <c r="CB49" s="324">
        <f t="shared" si="11"/>
        <v>9.3653115656486804E-2</v>
      </c>
      <c r="CC49" s="324">
        <f>$I49*IF($G49="Pickup", SUMIFS(NewEmisData!E:E, NewEmisData!$A:$A, "Pickup", NewEmisData!$B:$B, $A49, NewEmisData!$C:$C, $H49, NewEmisData!$D:$D, CC$2), SUMIFS(NewEmisData!E:E, NewEmisData!$A:$A, "LDV", NewEmisData!$B:$B, $A49, NewEmisData!$C:$C, $H49, NewEmisData!$D:$D, CC$2))</f>
        <v>4.0565632770183102E-2</v>
      </c>
      <c r="CD49" s="324">
        <f>$I49*IF($G49="Pickup", SUMIFS(NewEmisData!F:F, NewEmisData!$A:$A, "Pickup", NewEmisData!$B:$B, $A49, NewEmisData!$C:$C, $H49, NewEmisData!$D:$D, CD$2), SUMIFS(NewEmisData!F:F, NewEmisData!$A:$A, "LDV", NewEmisData!$B:$B, $A49, NewEmisData!$C:$C, $H49, NewEmisData!$D:$D, CD$2))</f>
        <v>2.65973281316834E-2</v>
      </c>
      <c r="CE49" s="324">
        <f>$I49*IF($G49="Pickup", SUMIFS(NewEmisData!G:G, NewEmisData!$A:$A, "Pickup", NewEmisData!$B:$B, $A49, NewEmisData!$C:$C, $H49, NewEmisData!$D:$D, CE$2), SUMIFS(NewEmisData!G:G, NewEmisData!$A:$A, "LDV", NewEmisData!$B:$B, $A49, NewEmisData!$C:$C, $H49, NewEmisData!$D:$D, CE$2))</f>
        <v>2.40911817197406E-2</v>
      </c>
      <c r="CF49" s="324">
        <f>$I49*IF($G49="Pickup", SUMIFS(NewEmisData!H:H, NewEmisData!$A:$A, "Pickup", NewEmisData!$B:$B, $A49, NewEmisData!$C:$C, $H49, NewEmisData!$D:$D, CF$2), SUMIFS(NewEmisData!H:H, NewEmisData!$A:$A, "LDV", NewEmisData!$B:$B, $A49, NewEmisData!$C:$C, $H49, NewEmisData!$D:$D, CF$2))</f>
        <v>2.33536039499448E-2</v>
      </c>
      <c r="CG49" s="324">
        <f>$I49*IF($G49="Pickup", SUMIFS(NewEmisData!I:I, NewEmisData!$A:$A, "Pickup", NewEmisData!$B:$B, $A49, NewEmisData!$C:$C, $H49, NewEmisData!$D:$D, CG$2), SUMIFS(NewEmisData!I:I, NewEmisData!$A:$A, "LDV", NewEmisData!$B:$B, $A49, NewEmisData!$C:$C, $H49, NewEmisData!$D:$D, CG$2))</f>
        <v>2.32009506719013E-2</v>
      </c>
      <c r="CH49" s="324">
        <f>$I49*IF($G49="Pickup", SUMIFS(NewEmisData!J:J, NewEmisData!$A:$A, "Pickup", NewEmisData!$B:$B, $A49, NewEmisData!$C:$C, $H49, NewEmisData!$D:$D, CH$2), SUMIFS(NewEmisData!J:J, NewEmisData!$A:$A, "LDV", NewEmisData!$B:$B, $A49, NewEmisData!$C:$C, $H49, NewEmisData!$D:$D, CH$2))</f>
        <v>2.3104862913378502E-2</v>
      </c>
      <c r="CI49" s="324">
        <f>$I49*IF($G49="Pickup", SUMIFS(NewEmisData!K:K, NewEmisData!$A:$A, "Pickup", NewEmisData!$B:$B, $A49, NewEmisData!$C:$C, $H49, NewEmisData!$D:$D, CI$2), SUMIFS(NewEmisData!K:K, NewEmisData!$A:$A, "LDV", NewEmisData!$B:$B, $A49, NewEmisData!$C:$C, $H49, NewEmisData!$D:$D, CI$2))</f>
        <v>2.3102720026675301E-2</v>
      </c>
      <c r="CJ49" s="324">
        <f>$I49*IF($G49="Pickup", SUMIFS(NewEmisData!L:L, NewEmisData!$A:$A, "Pickup", NewEmisData!$B:$B, $A49, NewEmisData!$C:$C, $H49, NewEmisData!$D:$D, CJ$2), SUMIFS(NewEmisData!L:L, NewEmisData!$A:$A, "LDV", NewEmisData!$B:$B, $A49, NewEmisData!$C:$C, $H49, NewEmisData!$D:$D, CJ$2))</f>
        <v>2.3103028849029199E-2</v>
      </c>
      <c r="CK49" s="324">
        <f>$I49*IF($G49="Pickup", SUMIFS(NewEmisData!M:M, NewEmisData!$A:$A, "Pickup", NewEmisData!$B:$B, $A49, NewEmisData!$C:$C, $H49, NewEmisData!$D:$D, CK$2), SUMIFS(NewEmisData!M:M, NewEmisData!$A:$A, "LDV", NewEmisData!$B:$B, $A49, NewEmisData!$C:$C, $H49, NewEmisData!$D:$D, CK$2))</f>
        <v>2.3102918161236202E-2</v>
      </c>
      <c r="CL49" s="324">
        <f t="shared" si="12"/>
        <v>2.3102918161236202E-2</v>
      </c>
      <c r="CM49" s="324">
        <f>$I49*IF($G49="Pickup", SUMIFS(NewEmisData!E:E, NewEmisData!$A:$A, "Pickup", NewEmisData!$B:$B, $A49, NewEmisData!$C:$C, $H49, NewEmisData!$D:$D, CM$2), SUMIFS(NewEmisData!E:E, NewEmisData!$A:$A, "LDV", NewEmisData!$B:$B, $A49, NewEmisData!$C:$C, $H49, NewEmisData!$D:$D, CM$2))</f>
        <v>3.3053952027170298E-2</v>
      </c>
      <c r="CN49" s="324">
        <f>$I49*IF($G49="Pickup", SUMIFS(NewEmisData!F:F, NewEmisData!$A:$A, "Pickup", NewEmisData!$B:$B, $A49, NewEmisData!$C:$C, $H49, NewEmisData!$D:$D, CN$2), SUMIFS(NewEmisData!F:F, NewEmisData!$A:$A, "LDV", NewEmisData!$B:$B, $A49, NewEmisData!$C:$C, $H49, NewEmisData!$D:$D, CN$2))</f>
        <v>1.6704809967492299E-2</v>
      </c>
      <c r="CO49" s="324">
        <f>$I49*IF($G49="Pickup", SUMIFS(NewEmisData!G:G, NewEmisData!$A:$A, "Pickup", NewEmisData!$B:$B, $A49, NewEmisData!$C:$C, $H49, NewEmisData!$D:$D, CO$2), SUMIFS(NewEmisData!G:G, NewEmisData!$A:$A, "LDV", NewEmisData!$B:$B, $A49, NewEmisData!$C:$C, $H49, NewEmisData!$D:$D, CO$2))</f>
        <v>1.2360752966222599E-2</v>
      </c>
      <c r="CP49" s="324">
        <f>$I49*IF($G49="Pickup", SUMIFS(NewEmisData!H:H, NewEmisData!$A:$A, "Pickup", NewEmisData!$B:$B, $A49, NewEmisData!$C:$C, $H49, NewEmisData!$D:$D, CP$2), SUMIFS(NewEmisData!H:H, NewEmisData!$A:$A, "LDV", NewEmisData!$B:$B, $A49, NewEmisData!$C:$C, $H49, NewEmisData!$D:$D, CP$2))</f>
        <v>1.0240667029025499E-2</v>
      </c>
      <c r="CQ49" s="324">
        <f>$I49*IF($G49="Pickup", SUMIFS(NewEmisData!I:I, NewEmisData!$A:$A, "Pickup", NewEmisData!$B:$B, $A49, NewEmisData!$C:$C, $H49, NewEmisData!$D:$D, CQ$2), SUMIFS(NewEmisData!I:I, NewEmisData!$A:$A, "LDV", NewEmisData!$B:$B, $A49, NewEmisData!$C:$C, $H49, NewEmisData!$D:$D, CQ$2))</f>
        <v>9.5490024855607192E-3</v>
      </c>
      <c r="CR49" s="324">
        <f>$I49*IF($G49="Pickup", SUMIFS(NewEmisData!J:J, NewEmisData!$A:$A, "Pickup", NewEmisData!$B:$B, $A49, NewEmisData!$C:$C, $H49, NewEmisData!$D:$D, CR$2), SUMIFS(NewEmisData!J:J, NewEmisData!$A:$A, "LDV", NewEmisData!$B:$B, $A49, NewEmisData!$C:$C, $H49, NewEmisData!$D:$D, CR$2))</f>
        <v>9.3602167504081603E-3</v>
      </c>
      <c r="CS49" s="324">
        <f>$I49*IF($G49="Pickup", SUMIFS(NewEmisData!K:K, NewEmisData!$A:$A, "Pickup", NewEmisData!$B:$B, $A49, NewEmisData!$C:$C, $H49, NewEmisData!$D:$D, CS$2), SUMIFS(NewEmisData!K:K, NewEmisData!$A:$A, "LDV", NewEmisData!$B:$B, $A49, NewEmisData!$C:$C, $H49, NewEmisData!$D:$D, CS$2))</f>
        <v>9.3426403684516695E-3</v>
      </c>
      <c r="CT49" s="324">
        <f>$I49*IF($G49="Pickup", SUMIFS(NewEmisData!L:L, NewEmisData!$A:$A, "Pickup", NewEmisData!$B:$B, $A49, NewEmisData!$C:$C, $H49, NewEmisData!$D:$D, CT$2), SUMIFS(NewEmisData!L:L, NewEmisData!$A:$A, "LDV", NewEmisData!$B:$B, $A49, NewEmisData!$C:$C, $H49, NewEmisData!$D:$D, CT$2))</f>
        <v>9.3300847791470392E-3</v>
      </c>
      <c r="CU49" s="324">
        <f>$I49*IF($G49="Pickup", SUMIFS(NewEmisData!M:M, NewEmisData!$A:$A, "Pickup", NewEmisData!$B:$B, $A49, NewEmisData!$C:$C, $H49, NewEmisData!$D:$D, CU$2), SUMIFS(NewEmisData!M:M, NewEmisData!$A:$A, "LDV", NewEmisData!$B:$B, $A49, NewEmisData!$C:$C, $H49, NewEmisData!$D:$D, CU$2))</f>
        <v>9.3299372659824201E-3</v>
      </c>
      <c r="CV49" s="324">
        <f t="shared" si="13"/>
        <v>9.3299372659824201E-3</v>
      </c>
      <c r="CW49" s="324">
        <v>4.0498104655261064E-3</v>
      </c>
      <c r="CX49" s="324">
        <v>2.5030350838759993E-3</v>
      </c>
      <c r="CY49" s="324">
        <v>2.1151214403419519E-3</v>
      </c>
      <c r="CZ49" s="324">
        <v>1.7489979687569375E-3</v>
      </c>
      <c r="DA49" s="324">
        <v>1.340486996695321E-3</v>
      </c>
      <c r="DB49" s="324">
        <v>1.0553769116342638E-3</v>
      </c>
      <c r="DC49" s="324">
        <v>1.0132227560056145E-3</v>
      </c>
      <c r="DD49" s="324">
        <v>1.0003159541004489E-3</v>
      </c>
      <c r="DE49" s="324">
        <v>9.9860782000699166E-4</v>
      </c>
      <c r="DF49" s="324">
        <v>9.9860782000699166E-4</v>
      </c>
      <c r="DG49" s="324">
        <f>$I49*IF($G49="Pickup", SUMIFS(NewEmisData!E:E, NewEmisData!$A:$A, "Pickup", NewEmisData!$B:$B, $A49, NewEmisData!$C:$C, $H49, NewEmisData!$D:$D, DG$2), SUMIFS(NewEmisData!E:E, NewEmisData!$A:$A, "LDV", NewEmisData!$B:$B, $A49, NewEmisData!$C:$C, $H49, NewEmisData!$D:$D, DG$2))</f>
        <v>0</v>
      </c>
      <c r="DH49" s="324">
        <f>$I49*IF($G49="Pickup", SUMIFS(NewEmisData!F:F, NewEmisData!$A:$A, "Pickup", NewEmisData!$B:$B, $A49, NewEmisData!$C:$C, $H49, NewEmisData!$D:$D, DH$2), SUMIFS(NewEmisData!F:F, NewEmisData!$A:$A, "LDV", NewEmisData!$B:$B, $A49, NewEmisData!$C:$C, $H49, NewEmisData!$D:$D, DH$2))</f>
        <v>0</v>
      </c>
      <c r="DI49" s="324">
        <f>$I49*IF($G49="Pickup", SUMIFS(NewEmisData!G:G, NewEmisData!$A:$A, "Pickup", NewEmisData!$B:$B, $A49, NewEmisData!$C:$C, $H49, NewEmisData!$D:$D, DI$2), SUMIFS(NewEmisData!G:G, NewEmisData!$A:$A, "LDV", NewEmisData!$B:$B, $A49, NewEmisData!$C:$C, $H49, NewEmisData!$D:$D, DI$2))</f>
        <v>0</v>
      </c>
      <c r="DJ49" s="324">
        <f>$I49*IF($G49="Pickup", SUMIFS(NewEmisData!H:H, NewEmisData!$A:$A, "Pickup", NewEmisData!$B:$B, $A49, NewEmisData!$C:$C, $H49, NewEmisData!$D:$D, DJ$2), SUMIFS(NewEmisData!H:H, NewEmisData!$A:$A, "LDV", NewEmisData!$B:$B, $A49, NewEmisData!$C:$C, $H49, NewEmisData!$D:$D, DJ$2))</f>
        <v>0</v>
      </c>
      <c r="DK49" s="324">
        <f>$I49*IF($G49="Pickup", SUMIFS(NewEmisData!I:I, NewEmisData!$A:$A, "Pickup", NewEmisData!$B:$B, $A49, NewEmisData!$C:$C, $H49, NewEmisData!$D:$D, DK$2), SUMIFS(NewEmisData!I:I, NewEmisData!$A:$A, "LDV", NewEmisData!$B:$B, $A49, NewEmisData!$C:$C, $H49, NewEmisData!$D:$D, DK$2))</f>
        <v>0</v>
      </c>
      <c r="DL49" s="324">
        <f>$I49*IF($G49="Pickup", SUMIFS(NewEmisData!J:J, NewEmisData!$A:$A, "Pickup", NewEmisData!$B:$B, $A49, NewEmisData!$C:$C, $H49, NewEmisData!$D:$D, DL$2), SUMIFS(NewEmisData!J:J, NewEmisData!$A:$A, "LDV", NewEmisData!$B:$B, $A49, NewEmisData!$C:$C, $H49, NewEmisData!$D:$D, DL$2))</f>
        <v>0</v>
      </c>
      <c r="DM49" s="324">
        <f>$I49*IF($G49="Pickup", SUMIFS(NewEmisData!K:K, NewEmisData!$A:$A, "Pickup", NewEmisData!$B:$B, $A49, NewEmisData!$C:$C, $H49, NewEmisData!$D:$D, DM$2), SUMIFS(NewEmisData!K:K, NewEmisData!$A:$A, "LDV", NewEmisData!$B:$B, $A49, NewEmisData!$C:$C, $H49, NewEmisData!$D:$D, DM$2))</f>
        <v>0</v>
      </c>
      <c r="DN49" s="324">
        <f>$I49*IF($G49="Pickup", SUMIFS(NewEmisData!L:L, NewEmisData!$A:$A, "Pickup", NewEmisData!$B:$B, $A49, NewEmisData!$C:$C, $H49, NewEmisData!$D:$D, DN$2), SUMIFS(NewEmisData!L:L, NewEmisData!$A:$A, "LDV", NewEmisData!$B:$B, $A49, NewEmisData!$C:$C, $H49, NewEmisData!$D:$D, DN$2))</f>
        <v>0</v>
      </c>
      <c r="DO49" s="324">
        <f>$I49*IF($G49="Pickup", SUMIFS(NewEmisData!M:M, NewEmisData!$A:$A, "Pickup", NewEmisData!$B:$B, $A49, NewEmisData!$C:$C, $H49, NewEmisData!$D:$D, DO$2), SUMIFS(NewEmisData!M:M, NewEmisData!$A:$A, "LDV", NewEmisData!$B:$B, $A49, NewEmisData!$C:$C, $H49, NewEmisData!$D:$D, DO$2))</f>
        <v>0</v>
      </c>
      <c r="DP49" s="324">
        <f t="shared" si="14"/>
        <v>0</v>
      </c>
      <c r="DQ49" s="324">
        <f>$I49*IF($G49="Pickup", SUMIFS(NewEmisData!E:E, NewEmisData!$A:$A, "Pickup", NewEmisData!$B:$B, $A49, NewEmisData!$C:$C, $H49, NewEmisData!$D:$D, DQ$2), SUMIFS(NewEmisData!E:E, NewEmisData!$A:$A, "LDV", NewEmisData!$B:$B, $A49, NewEmisData!$C:$C, $H49, NewEmisData!$D:$D, DQ$2))</f>
        <v>2.7165910548479701E-2</v>
      </c>
      <c r="DR49" s="324">
        <f>$I49*IF($G49="Pickup", SUMIFS(NewEmisData!F:F, NewEmisData!$A:$A, "Pickup", NewEmisData!$B:$B, $A49, NewEmisData!$C:$C, $H49, NewEmisData!$D:$D, DR$2), SUMIFS(NewEmisData!F:F, NewEmisData!$A:$A, "LDV", NewEmisData!$B:$B, $A49, NewEmisData!$C:$C, $H49, NewEmisData!$D:$D, DR$2))</f>
        <v>1.3866136948016699E-2</v>
      </c>
      <c r="DS49" s="324">
        <f>$I49*IF($G49="Pickup", SUMIFS(NewEmisData!G:G, NewEmisData!$A:$A, "Pickup", NewEmisData!$B:$B, $A49, NewEmisData!$C:$C, $H49, NewEmisData!$D:$D, DS$2), SUMIFS(NewEmisData!G:G, NewEmisData!$A:$A, "LDV", NewEmisData!$B:$B, $A49, NewEmisData!$C:$C, $H49, NewEmisData!$D:$D, DS$2))</f>
        <v>9.4907263809260092E-3</v>
      </c>
      <c r="DT49" s="324">
        <f>$I49*IF($G49="Pickup", SUMIFS(NewEmisData!H:H, NewEmisData!$A:$A, "Pickup", NewEmisData!$B:$B, $A49, NewEmisData!$C:$C, $H49, NewEmisData!$D:$D, DT$2), SUMIFS(NewEmisData!H:H, NewEmisData!$A:$A, "LDV", NewEmisData!$B:$B, $A49, NewEmisData!$C:$C, $H49, NewEmisData!$D:$D, DT$2))</f>
        <v>7.1211341823118404E-3</v>
      </c>
      <c r="DU49" s="324">
        <f>$I49*IF($G49="Pickup", SUMIFS(NewEmisData!I:I, NewEmisData!$A:$A, "Pickup", NewEmisData!$B:$B, $A49, NewEmisData!$C:$C, $H49, NewEmisData!$D:$D, DU$2), SUMIFS(NewEmisData!I:I, NewEmisData!$A:$A, "LDV", NewEmisData!$B:$B, $A49, NewEmisData!$C:$C, $H49, NewEmisData!$D:$D, DU$2))</f>
        <v>5.3853645546307399E-3</v>
      </c>
      <c r="DV49" s="324">
        <f>$I49*IF($G49="Pickup", SUMIFS(NewEmisData!J:J, NewEmisData!$A:$A, "Pickup", NewEmisData!$B:$B, $A49, NewEmisData!$C:$C, $H49, NewEmisData!$D:$D, DV$2), SUMIFS(NewEmisData!J:J, NewEmisData!$A:$A, "LDV", NewEmisData!$B:$B, $A49, NewEmisData!$C:$C, $H49, NewEmisData!$D:$D, DV$2))</f>
        <v>4.4141200314945202E-3</v>
      </c>
      <c r="DW49" s="324">
        <f>$I49*IF($G49="Pickup", SUMIFS(NewEmisData!K:K, NewEmisData!$A:$A, "Pickup", NewEmisData!$B:$B, $A49, NewEmisData!$C:$C, $H49, NewEmisData!$D:$D, DW$2), SUMIFS(NewEmisData!K:K, NewEmisData!$A:$A, "LDV", NewEmisData!$B:$B, $A49, NewEmisData!$C:$C, $H49, NewEmisData!$D:$D, DW$2))</f>
        <v>4.0286435203453798E-3</v>
      </c>
      <c r="DX49" s="324">
        <f>$I49*IF($G49="Pickup", SUMIFS(NewEmisData!L:L, NewEmisData!$A:$A, "Pickup", NewEmisData!$B:$B, $A49, NewEmisData!$C:$C, $H49, NewEmisData!$D:$D, DX$2), SUMIFS(NewEmisData!L:L, NewEmisData!$A:$A, "LDV", NewEmisData!$B:$B, $A49, NewEmisData!$C:$C, $H49, NewEmisData!$D:$D, DX$2))</f>
        <v>3.9508837215596502E-3</v>
      </c>
      <c r="DY49" s="324">
        <f>$I49*IF($G49="Pickup", SUMIFS(NewEmisData!M:M, NewEmisData!$A:$A, "Pickup", NewEmisData!$B:$B, $A49, NewEmisData!$C:$C, $H49, NewEmisData!$D:$D, DY$2), SUMIFS(NewEmisData!M:M, NewEmisData!$A:$A, "LDV", NewEmisData!$B:$B, $A49, NewEmisData!$C:$C, $H49, NewEmisData!$D:$D, DY$2))</f>
        <v>3.9301038701225104E-3</v>
      </c>
      <c r="DZ49" s="324">
        <f t="shared" si="15"/>
        <v>3.9301038701225104E-3</v>
      </c>
      <c r="EA49" s="324">
        <f t="shared" si="16"/>
        <v>629.29035425146799</v>
      </c>
      <c r="EB49" s="324">
        <f t="shared" si="17"/>
        <v>571.27801846236605</v>
      </c>
      <c r="EC49" s="324">
        <f t="shared" si="18"/>
        <v>472.87406569534897</v>
      </c>
      <c r="ED49" s="324">
        <f t="shared" si="19"/>
        <v>396.14659023538701</v>
      </c>
      <c r="EE49" s="324">
        <f t="shared" si="20"/>
        <v>347.19633179008298</v>
      </c>
      <c r="EF49" s="324">
        <f t="shared" si="21"/>
        <v>322.55550442882998</v>
      </c>
      <c r="EG49" s="324">
        <f t="shared" si="22"/>
        <v>311.76534896807402</v>
      </c>
      <c r="EH49" s="324">
        <f t="shared" si="23"/>
        <v>309.51187360042798</v>
      </c>
      <c r="EI49" s="324">
        <f t="shared" si="24"/>
        <v>309.154399722184</v>
      </c>
      <c r="EJ49" s="324">
        <f t="shared" si="25"/>
        <v>309.154399722184</v>
      </c>
      <c r="EK49" s="324">
        <f t="shared" si="26"/>
        <v>1.07703782419723</v>
      </c>
      <c r="EL49" s="324">
        <f t="shared" si="27"/>
        <v>0.37063376602748699</v>
      </c>
      <c r="EM49" s="324">
        <f t="shared" si="28"/>
        <v>0.22414787770802799</v>
      </c>
      <c r="EN49" s="324">
        <f t="shared" si="29"/>
        <v>0.146870056334405</v>
      </c>
      <c r="EO49" s="324">
        <f t="shared" si="30"/>
        <v>0.100147731477744</v>
      </c>
      <c r="EP49" s="324">
        <f t="shared" si="31"/>
        <v>6.9799961270145497E-2</v>
      </c>
      <c r="EQ49" s="324">
        <f t="shared" si="32"/>
        <v>5.7786964253900203E-2</v>
      </c>
      <c r="ER49" s="324">
        <f t="shared" si="33"/>
        <v>5.5423939682830103E-2</v>
      </c>
      <c r="ES49" s="324">
        <f t="shared" si="34"/>
        <v>5.4809815155326402E-2</v>
      </c>
      <c r="ET49" s="324">
        <f t="shared" si="35"/>
        <v>5.4809815155326402E-2</v>
      </c>
      <c r="EU49" s="324">
        <f t="shared" si="36"/>
        <v>1.08889320093075E-2</v>
      </c>
      <c r="EV49" s="324">
        <f t="shared" si="37"/>
        <v>9.8851201724826001E-3</v>
      </c>
      <c r="EW49" s="324">
        <f t="shared" si="38"/>
        <v>6.7836227109818103E-3</v>
      </c>
      <c r="EX49" s="324">
        <f t="shared" si="39"/>
        <v>5.6829290051501301E-3</v>
      </c>
      <c r="EY49" s="324">
        <f t="shared" si="40"/>
        <v>4.9807105070221796E-3</v>
      </c>
      <c r="EZ49" s="324">
        <f t="shared" si="41"/>
        <v>4.6272281762573001E-3</v>
      </c>
      <c r="FA49" s="324">
        <f t="shared" si="42"/>
        <v>4.4724368045959096E-3</v>
      </c>
      <c r="FB49" s="324">
        <f t="shared" si="43"/>
        <v>4.4401060236012703E-3</v>
      </c>
      <c r="FC49" s="324">
        <f t="shared" si="44"/>
        <v>4.4349813207028004E-3</v>
      </c>
      <c r="FD49" s="324">
        <f t="shared" si="45"/>
        <v>4.4349813207028004E-3</v>
      </c>
      <c r="FE49" s="324">
        <f t="shared" si="46"/>
        <v>7.9797235056963206E-2</v>
      </c>
      <c r="FF49" s="324">
        <f t="shared" si="47"/>
        <v>7.6001798653814207E-2</v>
      </c>
      <c r="FG49" s="324">
        <f t="shared" si="48"/>
        <v>6.3391605684552502E-2</v>
      </c>
      <c r="FH49" s="324">
        <f t="shared" si="49"/>
        <v>6.2249949738011102E-2</v>
      </c>
      <c r="FI49" s="324">
        <f t="shared" si="50"/>
        <v>6.0956414175610103E-2</v>
      </c>
      <c r="FJ49" s="324">
        <f t="shared" si="51"/>
        <v>5.9827983670569698E-2</v>
      </c>
      <c r="FK49" s="324">
        <f t="shared" si="52"/>
        <v>5.91838618526946E-2</v>
      </c>
      <c r="FL49" s="324">
        <f t="shared" si="53"/>
        <v>5.8937948629628097E-2</v>
      </c>
      <c r="FM49" s="324">
        <f t="shared" si="54"/>
        <v>5.88749789222721E-2</v>
      </c>
      <c r="FN49" s="324">
        <f t="shared" si="55"/>
        <v>5.88749789222721E-2</v>
      </c>
      <c r="FO49" s="324">
        <f t="shared" si="56"/>
        <v>1.8949252743626702E-2</v>
      </c>
      <c r="FP49" s="324">
        <f t="shared" si="57"/>
        <v>1.55896120407557E-2</v>
      </c>
      <c r="FQ49" s="324">
        <f t="shared" si="58"/>
        <v>1.3090757358435101E-2</v>
      </c>
      <c r="FR49" s="324">
        <f t="shared" si="59"/>
        <v>1.2073597128508201E-2</v>
      </c>
      <c r="FS49" s="324">
        <f t="shared" si="60"/>
        <v>1.0925021199185E-2</v>
      </c>
      <c r="FT49" s="324">
        <f t="shared" si="61"/>
        <v>9.9255497267567994E-3</v>
      </c>
      <c r="FU49" s="324">
        <f t="shared" si="62"/>
        <v>9.3555607478902295E-3</v>
      </c>
      <c r="FV49" s="324">
        <f t="shared" si="63"/>
        <v>9.1378744671425701E-3</v>
      </c>
      <c r="FW49" s="324">
        <f t="shared" si="64"/>
        <v>9.08217182799783E-3</v>
      </c>
      <c r="FX49" s="324">
        <f t="shared" si="65"/>
        <v>9.08217182799783E-3</v>
      </c>
    </row>
    <row r="50" spans="1:180" x14ac:dyDescent="0.2">
      <c r="A50" s="298" t="str">
        <f>IF(LEFT(TRIM(Technologies!B72),1)="*", _xlfn.CONCAT("*","R2"), "R2")</f>
        <v>R2</v>
      </c>
      <c r="B50" s="298" t="str">
        <f>TechData_existing!B15</f>
        <v>TLEPDSL</v>
      </c>
      <c r="C50" s="298" t="str">
        <f>TechData_existing!C15</f>
        <v>TL.DSL.P.Existing fleet</v>
      </c>
      <c r="D50" s="294" t="str">
        <f>TechData_existing!D15</f>
        <v>bn-vmt, bn-vmt/a</v>
      </c>
      <c r="E50" s="294" t="str">
        <f>TechData_existing!E15</f>
        <v>TRNDSL</v>
      </c>
      <c r="F50" s="294" t="str">
        <f>TechData_existing!F15</f>
        <v>TL</v>
      </c>
      <c r="G50" s="294" t="s">
        <v>329</v>
      </c>
      <c r="H50" s="294" t="s">
        <v>477</v>
      </c>
      <c r="I50" s="294">
        <v>1</v>
      </c>
      <c r="J50" s="308" t="str">
        <f t="shared" si="101"/>
        <v>Pickup-DSL</v>
      </c>
      <c r="K50" s="324">
        <f>$I50*IF($G50="Pickup", SUMIFS(NewEmisData!E:E, NewEmisData!$A:$A, "Pickup", NewEmisData!$B:$B, $A50, NewEmisData!$C:$C, $H50, NewEmisData!$D:$D, K$2), SUMIFS(NewEmisData!E:E, NewEmisData!$A:$A, "LDV", NewEmisData!$B:$B, $A50, NewEmisData!$C:$C, $H50, NewEmisData!$D:$D, K$2))</f>
        <v>838.88682808594103</v>
      </c>
      <c r="L50" s="324">
        <f>$I50*IF($G50="Pickup", SUMIFS(NewEmisData!F:F, NewEmisData!$A:$A, "Pickup", NewEmisData!$B:$B, $A50, NewEmisData!$C:$C, $H50, NewEmisData!$D:$D, L$2), SUMIFS(NewEmisData!F:F, NewEmisData!$A:$A, "LDV", NewEmisData!$B:$B, $A50, NewEmisData!$C:$C, $H50, NewEmisData!$D:$D, L$2))</f>
        <v>835.58577398344801</v>
      </c>
      <c r="M50" s="324">
        <f>$I50*IF($G50="Pickup", SUMIFS(NewEmisData!G:G, NewEmisData!$A:$A, "Pickup", NewEmisData!$B:$B, $A50, NewEmisData!$C:$C, $H50, NewEmisData!$D:$D, M$2), SUMIFS(NewEmisData!G:G, NewEmisData!$A:$A, "LDV", NewEmisData!$B:$B, $A50, NewEmisData!$C:$C, $H50, NewEmisData!$D:$D, M$2))</f>
        <v>824.78710672923296</v>
      </c>
      <c r="N50" s="324">
        <f>$I50*IF($G50="Pickup", SUMIFS(NewEmisData!H:H, NewEmisData!$A:$A, "Pickup", NewEmisData!$B:$B, $A50, NewEmisData!$C:$C, $H50, NewEmisData!$D:$D, N$2), SUMIFS(NewEmisData!H:H, NewEmisData!$A:$A, "LDV", NewEmisData!$B:$B, $A50, NewEmisData!$C:$C, $H50, NewEmisData!$D:$D, N$2))</f>
        <v>759.84126302449499</v>
      </c>
      <c r="O50" s="324">
        <f>$I50*IF($G50="Pickup", SUMIFS(NewEmisData!I:I, NewEmisData!$A:$A, "Pickup", NewEmisData!$B:$B, $A50, NewEmisData!$C:$C, $H50, NewEmisData!$D:$D, O$2), SUMIFS(NewEmisData!I:I, NewEmisData!$A:$A, "LDV", NewEmisData!$B:$B, $A50, NewEmisData!$C:$C, $H50, NewEmisData!$D:$D, O$2))</f>
        <v>725.89939540411206</v>
      </c>
      <c r="P50" s="324">
        <f>$I50*IF($G50="Pickup", SUMIFS(NewEmisData!J:J, NewEmisData!$A:$A, "Pickup", NewEmisData!$B:$B, $A50, NewEmisData!$C:$C, $H50, NewEmisData!$D:$D, P$2), SUMIFS(NewEmisData!J:J, NewEmisData!$A:$A, "LDV", NewEmisData!$B:$B, $A50, NewEmisData!$C:$C, $H50, NewEmisData!$D:$D, P$2))</f>
        <v>714.02687883828003</v>
      </c>
      <c r="Q50" s="324">
        <f>$I50*IF($G50="Pickup", SUMIFS(NewEmisData!K:K, NewEmisData!$A:$A, "Pickup", NewEmisData!$B:$B, $A50, NewEmisData!$C:$C, $H50, NewEmisData!$D:$D, Q$2), SUMIFS(NewEmisData!K:K, NewEmisData!$A:$A, "LDV", NewEmisData!$B:$B, $A50, NewEmisData!$C:$C, $H50, NewEmisData!$D:$D, Q$2))</f>
        <v>709.20083865321601</v>
      </c>
      <c r="R50" s="324">
        <f>$I50*IF($G50="Pickup", SUMIFS(NewEmisData!L:L, NewEmisData!$A:$A, "Pickup", NewEmisData!$B:$B, $A50, NewEmisData!$C:$C, $H50, NewEmisData!$D:$D, R$2), SUMIFS(NewEmisData!L:L, NewEmisData!$A:$A, "LDV", NewEmisData!$B:$B, $A50, NewEmisData!$C:$C, $H50, NewEmisData!$D:$D, R$2))</f>
        <v>708.18933454886098</v>
      </c>
      <c r="S50" s="324">
        <f>$I50*IF($G50="Pickup", SUMIFS(NewEmisData!M:M, NewEmisData!$A:$A, "Pickup", NewEmisData!$B:$B, $A50, NewEmisData!$C:$C, $H50, NewEmisData!$D:$D, S$2), SUMIFS(NewEmisData!M:M, NewEmisData!$A:$A, "LDV", NewEmisData!$B:$B, $A50, NewEmisData!$C:$C, $H50, NewEmisData!$D:$D, S$2))</f>
        <v>708.02534242603997</v>
      </c>
      <c r="T50" s="324">
        <f t="shared" si="5"/>
        <v>708.02534242603997</v>
      </c>
      <c r="U50" s="324">
        <f>$I50*IF($G50="Pickup", SUMIFS(NewEmisData!E:E, NewEmisData!$A:$A, "Pickup", NewEmisData!$B:$B, $A50, NewEmisData!$C:$C, $H50, NewEmisData!$D:$D, U$2), SUMIFS(NewEmisData!E:E, NewEmisData!$A:$A, "LDV", NewEmisData!$B:$B, $A50, NewEmisData!$C:$C, $H50, NewEmisData!$D:$D, U$2))</f>
        <v>3.95273087126834</v>
      </c>
      <c r="V50" s="324">
        <f>$I50*IF($G50="Pickup", SUMIFS(NewEmisData!F:F, NewEmisData!$A:$A, "Pickup", NewEmisData!$B:$B, $A50, NewEmisData!$C:$C, $H50, NewEmisData!$D:$D, V$2), SUMIFS(NewEmisData!F:F, NewEmisData!$A:$A, "LDV", NewEmisData!$B:$B, $A50, NewEmisData!$C:$C, $H50, NewEmisData!$D:$D, V$2))</f>
        <v>2.2941854945686102</v>
      </c>
      <c r="W50" s="324">
        <f>$I50*IF($G50="Pickup", SUMIFS(NewEmisData!G:G, NewEmisData!$A:$A, "Pickup", NewEmisData!$B:$B, $A50, NewEmisData!$C:$C, $H50, NewEmisData!$D:$D, W$2), SUMIFS(NewEmisData!G:G, NewEmisData!$A:$A, "LDV", NewEmisData!$B:$B, $A50, NewEmisData!$C:$C, $H50, NewEmisData!$D:$D, W$2))</f>
        <v>1.22695526405155</v>
      </c>
      <c r="X50" s="324">
        <f>$I50*IF($G50="Pickup", SUMIFS(NewEmisData!H:H, NewEmisData!$A:$A, "Pickup", NewEmisData!$B:$B, $A50, NewEmisData!$C:$C, $H50, NewEmisData!$D:$D, X$2), SUMIFS(NewEmisData!H:H, NewEmisData!$A:$A, "LDV", NewEmisData!$B:$B, $A50, NewEmisData!$C:$C, $H50, NewEmisData!$D:$D, X$2))</f>
        <v>0.69283648769455397</v>
      </c>
      <c r="Y50" s="324">
        <f>$I50*IF($G50="Pickup", SUMIFS(NewEmisData!I:I, NewEmisData!$A:$A, "Pickup", NewEmisData!$B:$B, $A50, NewEmisData!$C:$C, $H50, NewEmisData!$D:$D, Y$2), SUMIFS(NewEmisData!I:I, NewEmisData!$A:$A, "LDV", NewEmisData!$B:$B, $A50, NewEmisData!$C:$C, $H50, NewEmisData!$D:$D, Y$2))</f>
        <v>0.52479491557855695</v>
      </c>
      <c r="Z50" s="324">
        <f>$I50*IF($G50="Pickup", SUMIFS(NewEmisData!J:J, NewEmisData!$A:$A, "Pickup", NewEmisData!$B:$B, $A50, NewEmisData!$C:$C, $H50, NewEmisData!$D:$D, Z$2), SUMIFS(NewEmisData!J:J, NewEmisData!$A:$A, "LDV", NewEmisData!$B:$B, $A50, NewEmisData!$C:$C, $H50, NewEmisData!$D:$D, Z$2))</f>
        <v>0.45462868472707701</v>
      </c>
      <c r="AA50" s="324">
        <f>$I50*IF($G50="Pickup", SUMIFS(NewEmisData!K:K, NewEmisData!$A:$A, "Pickup", NewEmisData!$B:$B, $A50, NewEmisData!$C:$C, $H50, NewEmisData!$D:$D, AA$2), SUMIFS(NewEmisData!K:K, NewEmisData!$A:$A, "LDV", NewEmisData!$B:$B, $A50, NewEmisData!$C:$C, $H50, NewEmisData!$D:$D, AA$2))</f>
        <v>0.43070940050317602</v>
      </c>
      <c r="AB50" s="324">
        <f>$I50*IF($G50="Pickup", SUMIFS(NewEmisData!L:L, NewEmisData!$A:$A, "Pickup", NewEmisData!$B:$B, $A50, NewEmisData!$C:$C, $H50, NewEmisData!$D:$D, AB$2), SUMIFS(NewEmisData!L:L, NewEmisData!$A:$A, "LDV", NewEmisData!$B:$B, $A50, NewEmisData!$C:$C, $H50, NewEmisData!$D:$D, AB$2))</f>
        <v>0.42771841419811601</v>
      </c>
      <c r="AC50" s="324">
        <f>$I50*IF($G50="Pickup", SUMIFS(NewEmisData!M:M, NewEmisData!$A:$A, "Pickup", NewEmisData!$B:$B, $A50, NewEmisData!$C:$C, $H50, NewEmisData!$D:$D, AC$2), SUMIFS(NewEmisData!M:M, NewEmisData!$A:$A, "LDV", NewEmisData!$B:$B, $A50, NewEmisData!$C:$C, $H50, NewEmisData!$D:$D, AC$2))</f>
        <v>0.42707251649540601</v>
      </c>
      <c r="AD50" s="324">
        <f t="shared" si="6"/>
        <v>0.42707251649540601</v>
      </c>
      <c r="AE50" s="324">
        <f>$I50*IF($G50="Pickup", SUMIFS(NewEmisData!E:E, NewEmisData!$A:$A, "Pickup", NewEmisData!$B:$B, $A50, NewEmisData!$C:$C, $H50, NewEmisData!$D:$D, AE$2), SUMIFS(NewEmisData!E:E, NewEmisData!$A:$A, "LDV", NewEmisData!$B:$B, $A50, NewEmisData!$C:$C, $H50, NewEmisData!$D:$D, AE$2))</f>
        <v>2.0739822854527301E-2</v>
      </c>
      <c r="AF50" s="324">
        <f>$I50*IF($G50="Pickup", SUMIFS(NewEmisData!F:F, NewEmisData!$A:$A, "Pickup", NewEmisData!$B:$B, $A50, NewEmisData!$C:$C, $H50, NewEmisData!$D:$D, AF$2), SUMIFS(NewEmisData!F:F, NewEmisData!$A:$A, "LDV", NewEmisData!$B:$B, $A50, NewEmisData!$C:$C, $H50, NewEmisData!$D:$D, AF$2))</f>
        <v>2.0097965537272399E-2</v>
      </c>
      <c r="AG50" s="324">
        <f>$I50*IF($G50="Pickup", SUMIFS(NewEmisData!G:G, NewEmisData!$A:$A, "Pickup", NewEmisData!$B:$B, $A50, NewEmisData!$C:$C, $H50, NewEmisData!$D:$D, AG$2), SUMIFS(NewEmisData!G:G, NewEmisData!$A:$A, "LDV", NewEmisData!$B:$B, $A50, NewEmisData!$C:$C, $H50, NewEmisData!$D:$D, AG$2))</f>
        <v>6.9300413242584097E-3</v>
      </c>
      <c r="AH50" s="324">
        <f>$I50*IF($G50="Pickup", SUMIFS(NewEmisData!H:H, NewEmisData!$A:$A, "Pickup", NewEmisData!$B:$B, $A50, NewEmisData!$C:$C, $H50, NewEmisData!$D:$D, AH$2), SUMIFS(NewEmisData!H:H, NewEmisData!$A:$A, "LDV", NewEmisData!$B:$B, $A50, NewEmisData!$C:$C, $H50, NewEmisData!$D:$D, AH$2))</f>
        <v>6.3441017545732298E-3</v>
      </c>
      <c r="AI50" s="324">
        <f>$I50*IF($G50="Pickup", SUMIFS(NewEmisData!I:I, NewEmisData!$A:$A, "Pickup", NewEmisData!$B:$B, $A50, NewEmisData!$C:$C, $H50, NewEmisData!$D:$D, AI$2), SUMIFS(NewEmisData!I:I, NewEmisData!$A:$A, "LDV", NewEmisData!$B:$B, $A50, NewEmisData!$C:$C, $H50, NewEmisData!$D:$D, AI$2))</f>
        <v>6.0542058275576197E-3</v>
      </c>
      <c r="AJ50" s="324">
        <f>$I50*IF($G50="Pickup", SUMIFS(NewEmisData!J:J, NewEmisData!$A:$A, "Pickup", NewEmisData!$B:$B, $A50, NewEmisData!$C:$C, $H50, NewEmisData!$D:$D, AJ$2), SUMIFS(NewEmisData!J:J, NewEmisData!$A:$A, "LDV", NewEmisData!$B:$B, $A50, NewEmisData!$C:$C, $H50, NewEmisData!$D:$D, AJ$2))</f>
        <v>5.9542377031583304E-3</v>
      </c>
      <c r="AK50" s="324">
        <f>$I50*IF($G50="Pickup", SUMIFS(NewEmisData!K:K, NewEmisData!$A:$A, "Pickup", NewEmisData!$B:$B, $A50, NewEmisData!$C:$C, $H50, NewEmisData!$D:$D, AK$2), SUMIFS(NewEmisData!K:K, NewEmisData!$A:$A, "LDV", NewEmisData!$B:$B, $A50, NewEmisData!$C:$C, $H50, NewEmisData!$D:$D, AK$2))</f>
        <v>5.91269305727617E-3</v>
      </c>
      <c r="AL50" s="324">
        <f>$I50*IF($G50="Pickup", SUMIFS(NewEmisData!L:L, NewEmisData!$A:$A, "Pickup", NewEmisData!$B:$B, $A50, NewEmisData!$C:$C, $H50, NewEmisData!$D:$D, AL$2), SUMIFS(NewEmisData!L:L, NewEmisData!$A:$A, "LDV", NewEmisData!$B:$B, $A50, NewEmisData!$C:$C, $H50, NewEmisData!$D:$D, AL$2))</f>
        <v>5.9042614274829996E-3</v>
      </c>
      <c r="AM50" s="324">
        <f>$I50*IF($G50="Pickup", SUMIFS(NewEmisData!M:M, NewEmisData!$A:$A, "Pickup", NewEmisData!$B:$B, $A50, NewEmisData!$C:$C, $H50, NewEmisData!$D:$D, AM$2), SUMIFS(NewEmisData!M:M, NewEmisData!$A:$A, "LDV", NewEmisData!$B:$B, $A50, NewEmisData!$C:$C, $H50, NewEmisData!$D:$D, AM$2))</f>
        <v>5.9028974572565198E-3</v>
      </c>
      <c r="AN50" s="324">
        <f t="shared" si="7"/>
        <v>5.9028974572565198E-3</v>
      </c>
      <c r="AO50" s="324">
        <f>$I50*IF($G50="Pickup", SUMIFS(NewEmisData!E:E, NewEmisData!$A:$A, "Pickup", NewEmisData!$B:$B, $A50, NewEmisData!$C:$C, $H50, NewEmisData!$D:$D, AO$2), SUMIFS(NewEmisData!E:E, NewEmisData!$A:$A, "LDV", NewEmisData!$B:$B, $A50, NewEmisData!$C:$C, $H50, NewEmisData!$D:$D, AO$2))</f>
        <v>0.32286430335969202</v>
      </c>
      <c r="AP50" s="324">
        <f>$I50*IF($G50="Pickup", SUMIFS(NewEmisData!F:F, NewEmisData!$A:$A, "Pickup", NewEmisData!$B:$B, $A50, NewEmisData!$C:$C, $H50, NewEmisData!$D:$D, AP$2), SUMIFS(NewEmisData!F:F, NewEmisData!$A:$A, "LDV", NewEmisData!$B:$B, $A50, NewEmisData!$C:$C, $H50, NewEmisData!$D:$D, AP$2))</f>
        <v>0.19253651488495599</v>
      </c>
      <c r="AQ50" s="324">
        <f>$I50*IF($G50="Pickup", SUMIFS(NewEmisData!G:G, NewEmisData!$A:$A, "Pickup", NewEmisData!$B:$B, $A50, NewEmisData!$C:$C, $H50, NewEmisData!$D:$D, AQ$2), SUMIFS(NewEmisData!G:G, NewEmisData!$A:$A, "LDV", NewEmisData!$B:$B, $A50, NewEmisData!$C:$C, $H50, NewEmisData!$D:$D, AQ$2))</f>
        <v>0.13116960814085299</v>
      </c>
      <c r="AR50" s="324">
        <f>$I50*IF($G50="Pickup", SUMIFS(NewEmisData!H:H, NewEmisData!$A:$A, "Pickup", NewEmisData!$B:$B, $A50, NewEmisData!$C:$C, $H50, NewEmisData!$D:$D, AR$2), SUMIFS(NewEmisData!H:H, NewEmisData!$A:$A, "LDV", NewEmisData!$B:$B, $A50, NewEmisData!$C:$C, $H50, NewEmisData!$D:$D, AR$2))</f>
        <v>0.107030259666284</v>
      </c>
      <c r="AS50" s="324">
        <f>$I50*IF($G50="Pickup", SUMIFS(NewEmisData!I:I, NewEmisData!$A:$A, "Pickup", NewEmisData!$B:$B, $A50, NewEmisData!$C:$C, $H50, NewEmisData!$D:$D, AS$2), SUMIFS(NewEmisData!I:I, NewEmisData!$A:$A, "LDV", NewEmisData!$B:$B, $A50, NewEmisData!$C:$C, $H50, NewEmisData!$D:$D, AS$2))</f>
        <v>0.10159087974839499</v>
      </c>
      <c r="AT50" s="324">
        <f>$I50*IF($G50="Pickup", SUMIFS(NewEmisData!J:J, NewEmisData!$A:$A, "Pickup", NewEmisData!$B:$B, $A50, NewEmisData!$C:$C, $H50, NewEmisData!$D:$D, AT$2), SUMIFS(NewEmisData!J:J, NewEmisData!$A:$A, "LDV", NewEmisData!$B:$B, $A50, NewEmisData!$C:$C, $H50, NewEmisData!$D:$D, AT$2))</f>
        <v>0.100744162373078</v>
      </c>
      <c r="AU50" s="324">
        <f>$I50*IF($G50="Pickup", SUMIFS(NewEmisData!K:K, NewEmisData!$A:$A, "Pickup", NewEmisData!$B:$B, $A50, NewEmisData!$C:$C, $H50, NewEmisData!$D:$D, AU$2), SUMIFS(NewEmisData!K:K, NewEmisData!$A:$A, "LDV", NewEmisData!$B:$B, $A50, NewEmisData!$C:$C, $H50, NewEmisData!$D:$D, AU$2))</f>
        <v>0.10015056974224</v>
      </c>
      <c r="AV50" s="324">
        <f>$I50*IF($G50="Pickup", SUMIFS(NewEmisData!L:L, NewEmisData!$A:$A, "Pickup", NewEmisData!$B:$B, $A50, NewEmisData!$C:$C, $H50, NewEmisData!$D:$D, AV$2), SUMIFS(NewEmisData!L:L, NewEmisData!$A:$A, "LDV", NewEmisData!$B:$B, $A50, NewEmisData!$C:$C, $H50, NewEmisData!$D:$D, AV$2))</f>
        <v>0.10013872413493199</v>
      </c>
      <c r="AW50" s="324">
        <f>$I50*IF($G50="Pickup", SUMIFS(NewEmisData!M:M, NewEmisData!$A:$A, "Pickup", NewEmisData!$B:$B, $A50, NewEmisData!$C:$C, $H50, NewEmisData!$D:$D, AW$2), SUMIFS(NewEmisData!M:M, NewEmisData!$A:$A, "LDV", NewEmisData!$B:$B, $A50, NewEmisData!$C:$C, $H50, NewEmisData!$D:$D, AW$2))</f>
        <v>0.100138168711207</v>
      </c>
      <c r="AX50" s="324">
        <f t="shared" si="8"/>
        <v>0.100138168711207</v>
      </c>
      <c r="AY50" s="324">
        <f>$I50*IF($G50="Pickup", SUMIFS(NewEmisData!E:E, NewEmisData!$A:$A, "Pickup", NewEmisData!$B:$B, $A50, NewEmisData!$C:$C, $H50, NewEmisData!$D:$D, AY$2), SUMIFS(NewEmisData!E:E, NewEmisData!$A:$A, "LDV", NewEmisData!$B:$B, $A50, NewEmisData!$C:$C, $H50, NewEmisData!$D:$D, AY$2))</f>
        <v>0.23752816419511399</v>
      </c>
      <c r="AZ50" s="324">
        <f>$I50*IF($G50="Pickup", SUMIFS(NewEmisData!F:F, NewEmisData!$A:$A, "Pickup", NewEmisData!$B:$B, $A50, NewEmisData!$C:$C, $H50, NewEmisData!$D:$D, AZ$2), SUMIFS(NewEmisData!F:F, NewEmisData!$A:$A, "LDV", NewEmisData!$B:$B, $A50, NewEmisData!$C:$C, $H50, NewEmisData!$D:$D, AZ$2))</f>
        <v>0.117553039742468</v>
      </c>
      <c r="BA50" s="324">
        <f>$I50*IF($G50="Pickup", SUMIFS(NewEmisData!G:G, NewEmisData!$A:$A, "Pickup", NewEmisData!$B:$B, $A50, NewEmisData!$C:$C, $H50, NewEmisData!$D:$D, BA$2), SUMIFS(NewEmisData!G:G, NewEmisData!$A:$A, "LDV", NewEmisData!$B:$B, $A50, NewEmisData!$C:$C, $H50, NewEmisData!$D:$D, BA$2))</f>
        <v>5.2943248810597698E-2</v>
      </c>
      <c r="BB50" s="324">
        <f>$I50*IF($G50="Pickup", SUMIFS(NewEmisData!H:H, NewEmisData!$A:$A, "Pickup", NewEmisData!$B:$B, $A50, NewEmisData!$C:$C, $H50, NewEmisData!$D:$D, BB$2), SUMIFS(NewEmisData!H:H, NewEmisData!$A:$A, "LDV", NewEmisData!$B:$B, $A50, NewEmisData!$C:$C, $H50, NewEmisData!$D:$D, BB$2))</f>
        <v>3.12542213760367E-2</v>
      </c>
      <c r="BC50" s="324">
        <f>$I50*IF($G50="Pickup", SUMIFS(NewEmisData!I:I, NewEmisData!$A:$A, "Pickup", NewEmisData!$B:$B, $A50, NewEmisData!$C:$C, $H50, NewEmisData!$D:$D, BC$2), SUMIFS(NewEmisData!I:I, NewEmisData!$A:$A, "LDV", NewEmisData!$B:$B, $A50, NewEmisData!$C:$C, $H50, NewEmisData!$D:$D, BC$2))</f>
        <v>2.64515002424279E-2</v>
      </c>
      <c r="BD50" s="324">
        <f>$I50*IF($G50="Pickup", SUMIFS(NewEmisData!J:J, NewEmisData!$A:$A, "Pickup", NewEmisData!$B:$B, $A50, NewEmisData!$C:$C, $H50, NewEmisData!$D:$D, BD$2), SUMIFS(NewEmisData!J:J, NewEmisData!$A:$A, "LDV", NewEmisData!$B:$B, $A50, NewEmisData!$C:$C, $H50, NewEmisData!$D:$D, BD$2))</f>
        <v>2.5760379882788301E-2</v>
      </c>
      <c r="BE50" s="324">
        <f>$I50*IF($G50="Pickup", SUMIFS(NewEmisData!K:K, NewEmisData!$A:$A, "Pickup", NewEmisData!$B:$B, $A50, NewEmisData!$C:$C, $H50, NewEmisData!$D:$D, BE$2), SUMIFS(NewEmisData!K:K, NewEmisData!$A:$A, "LDV", NewEmisData!$B:$B, $A50, NewEmisData!$C:$C, $H50, NewEmisData!$D:$D, BE$2))</f>
        <v>2.5233655997449301E-2</v>
      </c>
      <c r="BF50" s="324">
        <f>$I50*IF($G50="Pickup", SUMIFS(NewEmisData!L:L, NewEmisData!$A:$A, "Pickup", NewEmisData!$B:$B, $A50, NewEmisData!$C:$C, $H50, NewEmisData!$D:$D, BF$2), SUMIFS(NewEmisData!L:L, NewEmisData!$A:$A, "LDV", NewEmisData!$B:$B, $A50, NewEmisData!$C:$C, $H50, NewEmisData!$D:$D, BF$2))</f>
        <v>2.5225286830586301E-2</v>
      </c>
      <c r="BG50" s="324">
        <f>$I50*IF($G50="Pickup", SUMIFS(NewEmisData!M:M, NewEmisData!$A:$A, "Pickup", NewEmisData!$B:$B, $A50, NewEmisData!$C:$C, $H50, NewEmisData!$D:$D, BG$2), SUMIFS(NewEmisData!M:M, NewEmisData!$A:$A, "LDV", NewEmisData!$B:$B, $A50, NewEmisData!$C:$C, $H50, NewEmisData!$D:$D, BG$2))</f>
        <v>2.5225039830031999E-2</v>
      </c>
      <c r="BH50" s="324">
        <f t="shared" si="9"/>
        <v>2.5225039830031999E-2</v>
      </c>
      <c r="BI50" s="324">
        <f>$I50*IF($G50="Pickup", SUMIFS(NewEmisData!E:E, NewEmisData!$A:$A, "Pickup", NewEmisData!$B:$B, $A50, NewEmisData!$C:$C, $H50, NewEmisData!$D:$D, BI$2), SUMIFS(NewEmisData!E:E, NewEmisData!$A:$A, "LDV", NewEmisData!$B:$B, $A50, NewEmisData!$C:$C, $H50, NewEmisData!$D:$D, BI$2))</f>
        <v>12.3205396693374</v>
      </c>
      <c r="BJ50" s="324">
        <f>$I50*IF($G50="Pickup", SUMIFS(NewEmisData!F:F, NewEmisData!$A:$A, "Pickup", NewEmisData!$B:$B, $A50, NewEmisData!$C:$C, $H50, NewEmisData!$D:$D, BJ$2), SUMIFS(NewEmisData!F:F, NewEmisData!$A:$A, "LDV", NewEmisData!$B:$B, $A50, NewEmisData!$C:$C, $H50, NewEmisData!$D:$D, BJ$2))</f>
        <v>9.2571814362445597</v>
      </c>
      <c r="BK50" s="324">
        <f>$I50*IF($G50="Pickup", SUMIFS(NewEmisData!G:G, NewEmisData!$A:$A, "Pickup", NewEmisData!$B:$B, $A50, NewEmisData!$C:$C, $H50, NewEmisData!$D:$D, BK$2), SUMIFS(NewEmisData!G:G, NewEmisData!$A:$A, "LDV", NewEmisData!$B:$B, $A50, NewEmisData!$C:$C, $H50, NewEmisData!$D:$D, BK$2))</f>
        <v>2.1832113020529902</v>
      </c>
      <c r="BL50" s="324">
        <f>$I50*IF($G50="Pickup", SUMIFS(NewEmisData!H:H, NewEmisData!$A:$A, "Pickup", NewEmisData!$B:$B, $A50, NewEmisData!$C:$C, $H50, NewEmisData!$D:$D, BL$2), SUMIFS(NewEmisData!H:H, NewEmisData!$A:$A, "LDV", NewEmisData!$B:$B, $A50, NewEmisData!$C:$C, $H50, NewEmisData!$D:$D, BL$2))</f>
        <v>1.31317061341735</v>
      </c>
      <c r="BM50" s="324">
        <f>$I50*IF($G50="Pickup", SUMIFS(NewEmisData!I:I, NewEmisData!$A:$A, "Pickup", NewEmisData!$B:$B, $A50, NewEmisData!$C:$C, $H50, NewEmisData!$D:$D, BM$2), SUMIFS(NewEmisData!I:I, NewEmisData!$A:$A, "LDV", NewEmisData!$B:$B, $A50, NewEmisData!$C:$C, $H50, NewEmisData!$D:$D, BM$2))</f>
        <v>0.97007776813560598</v>
      </c>
      <c r="BN50" s="324">
        <f>$I50*IF($G50="Pickup", SUMIFS(NewEmisData!J:J, NewEmisData!$A:$A, "Pickup", NewEmisData!$B:$B, $A50, NewEmisData!$C:$C, $H50, NewEmisData!$D:$D, BN$2), SUMIFS(NewEmisData!J:J, NewEmisData!$A:$A, "LDV", NewEmisData!$B:$B, $A50, NewEmisData!$C:$C, $H50, NewEmisData!$D:$D, BN$2))</f>
        <v>0.82551042308059996</v>
      </c>
      <c r="BO50" s="324">
        <f>$I50*IF($G50="Pickup", SUMIFS(NewEmisData!K:K, NewEmisData!$A:$A, "Pickup", NewEmisData!$B:$B, $A50, NewEmisData!$C:$C, $H50, NewEmisData!$D:$D, BO$2), SUMIFS(NewEmisData!K:K, NewEmisData!$A:$A, "LDV", NewEmisData!$B:$B, $A50, NewEmisData!$C:$C, $H50, NewEmisData!$D:$D, BO$2))</f>
        <v>0.76983121625667905</v>
      </c>
      <c r="BP50" s="324">
        <f>$I50*IF($G50="Pickup", SUMIFS(NewEmisData!L:L, NewEmisData!$A:$A, "Pickup", NewEmisData!$B:$B, $A50, NewEmisData!$C:$C, $H50, NewEmisData!$D:$D, BP$2), SUMIFS(NewEmisData!L:L, NewEmisData!$A:$A, "LDV", NewEmisData!$B:$B, $A50, NewEmisData!$C:$C, $H50, NewEmisData!$D:$D, BP$2))</f>
        <v>0.75479930007679297</v>
      </c>
      <c r="BQ50" s="324">
        <f>$I50*IF($G50="Pickup", SUMIFS(NewEmisData!M:M, NewEmisData!$A:$A, "Pickup", NewEmisData!$B:$B, $A50, NewEmisData!$C:$C, $H50, NewEmisData!$D:$D, BQ$2), SUMIFS(NewEmisData!M:M, NewEmisData!$A:$A, "LDV", NewEmisData!$B:$B, $A50, NewEmisData!$C:$C, $H50, NewEmisData!$D:$D, BQ$2))</f>
        <v>0.75199613449383695</v>
      </c>
      <c r="BR50" s="324">
        <f t="shared" si="10"/>
        <v>0.75199613449383695</v>
      </c>
      <c r="BS50" s="324">
        <f>$I50*IF($G50="Pickup", SUMIFS(NewEmisData!E:E, NewEmisData!$A:$A, "Pickup", NewEmisData!$B:$B, $A50, NewEmisData!$C:$C, $H50, NewEmisData!$D:$D, BS$2), SUMIFS(NewEmisData!E:E, NewEmisData!$A:$A, "LDV", NewEmisData!$B:$B, $A50, NewEmisData!$C:$C, $H50, NewEmisData!$D:$D, BS$2))</f>
        <v>1.5468317388136801</v>
      </c>
      <c r="BT50" s="324">
        <f>$I50*IF($G50="Pickup", SUMIFS(NewEmisData!F:F, NewEmisData!$A:$A, "Pickup", NewEmisData!$B:$B, $A50, NewEmisData!$C:$C, $H50, NewEmisData!$D:$D, BT$2), SUMIFS(NewEmisData!F:F, NewEmisData!$A:$A, "LDV", NewEmisData!$B:$B, $A50, NewEmisData!$C:$C, $H50, NewEmisData!$D:$D, BT$2))</f>
        <v>0.85533038723765498</v>
      </c>
      <c r="BU50" s="324">
        <f>$I50*IF($G50="Pickup", SUMIFS(NewEmisData!G:G, NewEmisData!$A:$A, "Pickup", NewEmisData!$B:$B, $A50, NewEmisData!$C:$C, $H50, NewEmisData!$D:$D, BU$2), SUMIFS(NewEmisData!G:G, NewEmisData!$A:$A, "LDV", NewEmisData!$B:$B, $A50, NewEmisData!$C:$C, $H50, NewEmisData!$D:$D, BU$2))</f>
        <v>0.25223814693032098</v>
      </c>
      <c r="BV50" s="324">
        <f>$I50*IF($G50="Pickup", SUMIFS(NewEmisData!H:H, NewEmisData!$A:$A, "Pickup", NewEmisData!$B:$B, $A50, NewEmisData!$C:$C, $H50, NewEmisData!$D:$D, BV$2), SUMIFS(NewEmisData!H:H, NewEmisData!$A:$A, "LDV", NewEmisData!$B:$B, $A50, NewEmisData!$C:$C, $H50, NewEmisData!$D:$D, BV$2))</f>
        <v>0.13619567038383301</v>
      </c>
      <c r="BW50" s="324">
        <f>$I50*IF($G50="Pickup", SUMIFS(NewEmisData!I:I, NewEmisData!$A:$A, "Pickup", NewEmisData!$B:$B, $A50, NewEmisData!$C:$C, $H50, NewEmisData!$D:$D, BW$2), SUMIFS(NewEmisData!I:I, NewEmisData!$A:$A, "LDV", NewEmisData!$B:$B, $A50, NewEmisData!$C:$C, $H50, NewEmisData!$D:$D, BW$2))</f>
        <v>0.108653184381015</v>
      </c>
      <c r="BX50" s="324">
        <f>$I50*IF($G50="Pickup", SUMIFS(NewEmisData!J:J, NewEmisData!$A:$A, "Pickup", NewEmisData!$B:$B, $A50, NewEmisData!$C:$C, $H50, NewEmisData!$D:$D, BX$2), SUMIFS(NewEmisData!J:J, NewEmisData!$A:$A, "LDV", NewEmisData!$B:$B, $A50, NewEmisData!$C:$C, $H50, NewEmisData!$D:$D, BX$2))</f>
        <v>9.9772105505031697E-2</v>
      </c>
      <c r="BY50" s="324">
        <f>$I50*IF($G50="Pickup", SUMIFS(NewEmisData!K:K, NewEmisData!$A:$A, "Pickup", NewEmisData!$B:$B, $A50, NewEmisData!$C:$C, $H50, NewEmisData!$D:$D, BY$2), SUMIFS(NewEmisData!K:K, NewEmisData!$A:$A, "LDV", NewEmisData!$B:$B, $A50, NewEmisData!$C:$C, $H50, NewEmisData!$D:$D, BY$2))</f>
        <v>9.6488632124476698E-2</v>
      </c>
      <c r="BZ50" s="324">
        <f>$I50*IF($G50="Pickup", SUMIFS(NewEmisData!L:L, NewEmisData!$A:$A, "Pickup", NewEmisData!$B:$B, $A50, NewEmisData!$C:$C, $H50, NewEmisData!$D:$D, BZ$2), SUMIFS(NewEmisData!L:L, NewEmisData!$A:$A, "LDV", NewEmisData!$B:$B, $A50, NewEmisData!$C:$C, $H50, NewEmisData!$D:$D, BZ$2))</f>
        <v>9.6049322052733602E-2</v>
      </c>
      <c r="CA50" s="324">
        <f>$I50*IF($G50="Pickup", SUMIFS(NewEmisData!M:M, NewEmisData!$A:$A, "Pickup", NewEmisData!$B:$B, $A50, NewEmisData!$C:$C, $H50, NewEmisData!$D:$D, CA$2), SUMIFS(NewEmisData!M:M, NewEmisData!$A:$A, "LDV", NewEmisData!$B:$B, $A50, NewEmisData!$C:$C, $H50, NewEmisData!$D:$D, CA$2))</f>
        <v>9.5998402213900297E-2</v>
      </c>
      <c r="CB50" s="324">
        <f t="shared" si="11"/>
        <v>9.5998402213900297E-2</v>
      </c>
      <c r="CC50" s="324">
        <f>$I50*IF($G50="Pickup", SUMIFS(NewEmisData!E:E, NewEmisData!$A:$A, "Pickup", NewEmisData!$B:$B, $A50, NewEmisData!$C:$C, $H50, NewEmisData!$D:$D, CC$2), SUMIFS(NewEmisData!E:E, NewEmisData!$A:$A, "LDV", NewEmisData!$B:$B, $A50, NewEmisData!$C:$C, $H50, NewEmisData!$D:$D, CC$2))</f>
        <v>2.1177722031487399E-2</v>
      </c>
      <c r="CD50" s="324">
        <f>$I50*IF($G50="Pickup", SUMIFS(NewEmisData!F:F, NewEmisData!$A:$A, "Pickup", NewEmisData!$B:$B, $A50, NewEmisData!$C:$C, $H50, NewEmisData!$D:$D, CD$2), SUMIFS(NewEmisData!F:F, NewEmisData!$A:$A, "LDV", NewEmisData!$B:$B, $A50, NewEmisData!$C:$C, $H50, NewEmisData!$D:$D, CD$2))</f>
        <v>2.1804029837611101E-2</v>
      </c>
      <c r="CE50" s="324">
        <f>$I50*IF($G50="Pickup", SUMIFS(NewEmisData!G:G, NewEmisData!$A:$A, "Pickup", NewEmisData!$B:$B, $A50, NewEmisData!$C:$C, $H50, NewEmisData!$D:$D, CE$2), SUMIFS(NewEmisData!G:G, NewEmisData!$A:$A, "LDV", NewEmisData!$B:$B, $A50, NewEmisData!$C:$C, $H50, NewEmisData!$D:$D, CE$2))</f>
        <v>2.8146597422344301E-2</v>
      </c>
      <c r="CF50" s="324">
        <f>$I50*IF($G50="Pickup", SUMIFS(NewEmisData!H:H, NewEmisData!$A:$A, "Pickup", NewEmisData!$B:$B, $A50, NewEmisData!$C:$C, $H50, NewEmisData!$D:$D, CF$2), SUMIFS(NewEmisData!H:H, NewEmisData!$A:$A, "LDV", NewEmisData!$B:$B, $A50, NewEmisData!$C:$C, $H50, NewEmisData!$D:$D, CF$2))</f>
        <v>2.8458619042415E-2</v>
      </c>
      <c r="CG50" s="324">
        <f>$I50*IF($G50="Pickup", SUMIFS(NewEmisData!I:I, NewEmisData!$A:$A, "Pickup", NewEmisData!$B:$B, $A50, NewEmisData!$C:$C, $H50, NewEmisData!$D:$D, CG$2), SUMIFS(NewEmisData!I:I, NewEmisData!$A:$A, "LDV", NewEmisData!$B:$B, $A50, NewEmisData!$C:$C, $H50, NewEmisData!$D:$D, CG$2))</f>
        <v>2.8600671034541999E-2</v>
      </c>
      <c r="CH50" s="324">
        <f>$I50*IF($G50="Pickup", SUMIFS(NewEmisData!J:J, NewEmisData!$A:$A, "Pickup", NewEmisData!$B:$B, $A50, NewEmisData!$C:$C, $H50, NewEmisData!$D:$D, CH$2), SUMIFS(NewEmisData!J:J, NewEmisData!$A:$A, "LDV", NewEmisData!$B:$B, $A50, NewEmisData!$C:$C, $H50, NewEmisData!$D:$D, CH$2))</f>
        <v>2.86345769934407E-2</v>
      </c>
      <c r="CI50" s="324">
        <f>$I50*IF($G50="Pickup", SUMIFS(NewEmisData!K:K, NewEmisData!$A:$A, "Pickup", NewEmisData!$B:$B, $A50, NewEmisData!$C:$C, $H50, NewEmisData!$D:$D, CI$2), SUMIFS(NewEmisData!K:K, NewEmisData!$A:$A, "LDV", NewEmisData!$B:$B, $A50, NewEmisData!$C:$C, $H50, NewEmisData!$D:$D, CI$2))</f>
        <v>2.8633187255627399E-2</v>
      </c>
      <c r="CJ50" s="324">
        <f>$I50*IF($G50="Pickup", SUMIFS(NewEmisData!L:L, NewEmisData!$A:$A, "Pickup", NewEmisData!$B:$B, $A50, NewEmisData!$C:$C, $H50, NewEmisData!$D:$D, CJ$2), SUMIFS(NewEmisData!L:L, NewEmisData!$A:$A, "LDV", NewEmisData!$B:$B, $A50, NewEmisData!$C:$C, $H50, NewEmisData!$D:$D, CJ$2))</f>
        <v>2.8639465918611499E-2</v>
      </c>
      <c r="CK50" s="324">
        <f>$I50*IF($G50="Pickup", SUMIFS(NewEmisData!M:M, NewEmisData!$A:$A, "Pickup", NewEmisData!$B:$B, $A50, NewEmisData!$C:$C, $H50, NewEmisData!$D:$D, CK$2), SUMIFS(NewEmisData!M:M, NewEmisData!$A:$A, "LDV", NewEmisData!$B:$B, $A50, NewEmisData!$C:$C, $H50, NewEmisData!$D:$D, CK$2))</f>
        <v>2.8639503353743E-2</v>
      </c>
      <c r="CL50" s="324">
        <f t="shared" si="12"/>
        <v>2.8639503353743E-2</v>
      </c>
      <c r="CM50" s="324">
        <f>$I50*IF($G50="Pickup", SUMIFS(NewEmisData!E:E, NewEmisData!$A:$A, "Pickup", NewEmisData!$B:$B, $A50, NewEmisData!$C:$C, $H50, NewEmisData!$D:$D, CM$2), SUMIFS(NewEmisData!E:E, NewEmisData!$A:$A, "LDV", NewEmisData!$B:$B, $A50, NewEmisData!$C:$C, $H50, NewEmisData!$D:$D, CM$2))</f>
        <v>3.6852220443800501E-3</v>
      </c>
      <c r="CN50" s="324">
        <f>$I50*IF($G50="Pickup", SUMIFS(NewEmisData!F:F, NewEmisData!$A:$A, "Pickup", NewEmisData!$B:$B, $A50, NewEmisData!$C:$C, $H50, NewEmisData!$D:$D, CN$2), SUMIFS(NewEmisData!F:F, NewEmisData!$A:$A, "LDV", NewEmisData!$B:$B, $A50, NewEmisData!$C:$C, $H50, NewEmisData!$D:$D, CN$2))</f>
        <v>3.79223599913299E-3</v>
      </c>
      <c r="CO50" s="324">
        <f>$I50*IF($G50="Pickup", SUMIFS(NewEmisData!G:G, NewEmisData!$A:$A, "Pickup", NewEmisData!$B:$B, $A50, NewEmisData!$C:$C, $H50, NewEmisData!$D:$D, CO$2), SUMIFS(NewEmisData!G:G, NewEmisData!$A:$A, "LDV", NewEmisData!$B:$B, $A50, NewEmisData!$C:$C, $H50, NewEmisData!$D:$D, CO$2))</f>
        <v>4.9662707852649998E-3</v>
      </c>
      <c r="CP50" s="324">
        <f>$I50*IF($G50="Pickup", SUMIFS(NewEmisData!H:H, NewEmisData!$A:$A, "Pickup", NewEmisData!$B:$B, $A50, NewEmisData!$C:$C, $H50, NewEmisData!$D:$D, CP$2), SUMIFS(NewEmisData!H:H, NewEmisData!$A:$A, "LDV", NewEmisData!$B:$B, $A50, NewEmisData!$C:$C, $H50, NewEmisData!$D:$D, CP$2))</f>
        <v>4.9872875395543699E-3</v>
      </c>
      <c r="CQ50" s="324">
        <f>$I50*IF($G50="Pickup", SUMIFS(NewEmisData!I:I, NewEmisData!$A:$A, "Pickup", NewEmisData!$B:$B, $A50, NewEmisData!$C:$C, $H50, NewEmisData!$D:$D, CQ$2), SUMIFS(NewEmisData!I:I, NewEmisData!$A:$A, "LDV", NewEmisData!$B:$B, $A50, NewEmisData!$C:$C, $H50, NewEmisData!$D:$D, CQ$2))</f>
        <v>5.0064188364986597E-3</v>
      </c>
      <c r="CR50" s="324">
        <f>$I50*IF($G50="Pickup", SUMIFS(NewEmisData!J:J, NewEmisData!$A:$A, "Pickup", NewEmisData!$B:$B, $A50, NewEmisData!$C:$C, $H50, NewEmisData!$D:$D, CR$2), SUMIFS(NewEmisData!J:J, NewEmisData!$A:$A, "LDV", NewEmisData!$B:$B, $A50, NewEmisData!$C:$C, $H50, NewEmisData!$D:$D, CR$2))</f>
        <v>5.0231110806513296E-3</v>
      </c>
      <c r="CS50" s="324">
        <f>$I50*IF($G50="Pickup", SUMIFS(NewEmisData!K:K, NewEmisData!$A:$A, "Pickup", NewEmisData!$B:$B, $A50, NewEmisData!$C:$C, $H50, NewEmisData!$D:$D, CS$2), SUMIFS(NewEmisData!K:K, NewEmisData!$A:$A, "LDV", NewEmisData!$B:$B, $A50, NewEmisData!$C:$C, $H50, NewEmisData!$D:$D, CS$2))</f>
        <v>5.0272652833407098E-3</v>
      </c>
      <c r="CT50" s="324">
        <f>$I50*IF($G50="Pickup", SUMIFS(NewEmisData!L:L, NewEmisData!$A:$A, "Pickup", NewEmisData!$B:$B, $A50, NewEmisData!$C:$C, $H50, NewEmisData!$D:$D, CT$2), SUMIFS(NewEmisData!L:L, NewEmisData!$A:$A, "LDV", NewEmisData!$B:$B, $A50, NewEmisData!$C:$C, $H50, NewEmisData!$D:$D, CT$2))</f>
        <v>5.0289680396992803E-3</v>
      </c>
      <c r="CU50" s="324">
        <f>$I50*IF($G50="Pickup", SUMIFS(NewEmisData!M:M, NewEmisData!$A:$A, "Pickup", NewEmisData!$B:$B, $A50, NewEmisData!$C:$C, $H50, NewEmisData!$D:$D, CU$2), SUMIFS(NewEmisData!M:M, NewEmisData!$A:$A, "LDV", NewEmisData!$B:$B, $A50, NewEmisData!$C:$C, $H50, NewEmisData!$D:$D, CU$2))</f>
        <v>5.0296772685444104E-3</v>
      </c>
      <c r="CV50" s="324">
        <f t="shared" si="13"/>
        <v>5.0296772685444104E-3</v>
      </c>
      <c r="CW50" s="324">
        <v>0.12767609553272316</v>
      </c>
      <c r="CX50" s="324">
        <v>6.0965444660888601E-2</v>
      </c>
      <c r="CY50" s="324">
        <v>1.6598456567846732E-2</v>
      </c>
      <c r="CZ50" s="324">
        <v>3.3604812012321423E-3</v>
      </c>
      <c r="DA50" s="324">
        <v>1.5241571918114991E-3</v>
      </c>
      <c r="DB50" s="324">
        <v>1.0003681376209209E-3</v>
      </c>
      <c r="DC50" s="324">
        <v>9.0365490602724134E-4</v>
      </c>
      <c r="DD50" s="324">
        <v>8.9947941829660093E-4</v>
      </c>
      <c r="DE50" s="324">
        <v>8.980159958761482E-4</v>
      </c>
      <c r="DF50" s="324">
        <v>8.980159958761482E-4</v>
      </c>
      <c r="DG50" s="324">
        <f>$I50*IF($G50="Pickup", SUMIFS(NewEmisData!E:E, NewEmisData!$A:$A, "Pickup", NewEmisData!$B:$B, $A50, NewEmisData!$C:$C, $H50, NewEmisData!$D:$D, DG$2), SUMIFS(NewEmisData!E:E, NewEmisData!$A:$A, "LDV", NewEmisData!$B:$B, $A50, NewEmisData!$C:$C, $H50, NewEmisData!$D:$D, DG$2))</f>
        <v>0</v>
      </c>
      <c r="DH50" s="324">
        <f>$I50*IF($G50="Pickup", SUMIFS(NewEmisData!F:F, NewEmisData!$A:$A, "Pickup", NewEmisData!$B:$B, $A50, NewEmisData!$C:$C, $H50, NewEmisData!$D:$D, DH$2), SUMIFS(NewEmisData!F:F, NewEmisData!$A:$A, "LDV", NewEmisData!$B:$B, $A50, NewEmisData!$C:$C, $H50, NewEmisData!$D:$D, DH$2))</f>
        <v>0</v>
      </c>
      <c r="DI50" s="324">
        <f>$I50*IF($G50="Pickup", SUMIFS(NewEmisData!G:G, NewEmisData!$A:$A, "Pickup", NewEmisData!$B:$B, $A50, NewEmisData!$C:$C, $H50, NewEmisData!$D:$D, DI$2), SUMIFS(NewEmisData!G:G, NewEmisData!$A:$A, "LDV", NewEmisData!$B:$B, $A50, NewEmisData!$C:$C, $H50, NewEmisData!$D:$D, DI$2))</f>
        <v>0</v>
      </c>
      <c r="DJ50" s="324">
        <f>$I50*IF($G50="Pickup", SUMIFS(NewEmisData!H:H, NewEmisData!$A:$A, "Pickup", NewEmisData!$B:$B, $A50, NewEmisData!$C:$C, $H50, NewEmisData!$D:$D, DJ$2), SUMIFS(NewEmisData!H:H, NewEmisData!$A:$A, "LDV", NewEmisData!$B:$B, $A50, NewEmisData!$C:$C, $H50, NewEmisData!$D:$D, DJ$2))</f>
        <v>0</v>
      </c>
      <c r="DK50" s="324">
        <f>$I50*IF($G50="Pickup", SUMIFS(NewEmisData!I:I, NewEmisData!$A:$A, "Pickup", NewEmisData!$B:$B, $A50, NewEmisData!$C:$C, $H50, NewEmisData!$D:$D, DK$2), SUMIFS(NewEmisData!I:I, NewEmisData!$A:$A, "LDV", NewEmisData!$B:$B, $A50, NewEmisData!$C:$C, $H50, NewEmisData!$D:$D, DK$2))</f>
        <v>0</v>
      </c>
      <c r="DL50" s="324">
        <f>$I50*IF($G50="Pickup", SUMIFS(NewEmisData!J:J, NewEmisData!$A:$A, "Pickup", NewEmisData!$B:$B, $A50, NewEmisData!$C:$C, $H50, NewEmisData!$D:$D, DL$2), SUMIFS(NewEmisData!J:J, NewEmisData!$A:$A, "LDV", NewEmisData!$B:$B, $A50, NewEmisData!$C:$C, $H50, NewEmisData!$D:$D, DL$2))</f>
        <v>0</v>
      </c>
      <c r="DM50" s="324">
        <f>$I50*IF($G50="Pickup", SUMIFS(NewEmisData!K:K, NewEmisData!$A:$A, "Pickup", NewEmisData!$B:$B, $A50, NewEmisData!$C:$C, $H50, NewEmisData!$D:$D, DM$2), SUMIFS(NewEmisData!K:K, NewEmisData!$A:$A, "LDV", NewEmisData!$B:$B, $A50, NewEmisData!$C:$C, $H50, NewEmisData!$D:$D, DM$2))</f>
        <v>0</v>
      </c>
      <c r="DN50" s="324">
        <f>$I50*IF($G50="Pickup", SUMIFS(NewEmisData!L:L, NewEmisData!$A:$A, "Pickup", NewEmisData!$B:$B, $A50, NewEmisData!$C:$C, $H50, NewEmisData!$D:$D, DN$2), SUMIFS(NewEmisData!L:L, NewEmisData!$A:$A, "LDV", NewEmisData!$B:$B, $A50, NewEmisData!$C:$C, $H50, NewEmisData!$D:$D, DN$2))</f>
        <v>0</v>
      </c>
      <c r="DO50" s="324">
        <f>$I50*IF($G50="Pickup", SUMIFS(NewEmisData!M:M, NewEmisData!$A:$A, "Pickup", NewEmisData!$B:$B, $A50, NewEmisData!$C:$C, $H50, NewEmisData!$D:$D, DO$2), SUMIFS(NewEmisData!M:M, NewEmisData!$A:$A, "LDV", NewEmisData!$B:$B, $A50, NewEmisData!$C:$C, $H50, NewEmisData!$D:$D, DO$2))</f>
        <v>0</v>
      </c>
      <c r="DP50" s="324">
        <f t="shared" si="14"/>
        <v>0</v>
      </c>
      <c r="DQ50" s="324">
        <f>$I50*IF($G50="Pickup", SUMIFS(NewEmisData!E:E, NewEmisData!$A:$A, "Pickup", NewEmisData!$B:$B, $A50, NewEmisData!$C:$C, $H50, NewEmisData!$D:$D, DQ$2), SUMIFS(NewEmisData!E:E, NewEmisData!$A:$A, "LDV", NewEmisData!$B:$B, $A50, NewEmisData!$C:$C, $H50, NewEmisData!$D:$D, DQ$2))</f>
        <v>2.51410715627058E-2</v>
      </c>
      <c r="DR50" s="324">
        <f>$I50*IF($G50="Pickup", SUMIFS(NewEmisData!F:F, NewEmisData!$A:$A, "Pickup", NewEmisData!$B:$B, $A50, NewEmisData!$C:$C, $H50, NewEmisData!$D:$D, DR$2), SUMIFS(NewEmisData!F:F, NewEmisData!$A:$A, "LDV", NewEmisData!$B:$B, $A50, NewEmisData!$C:$C, $H50, NewEmisData!$D:$D, DR$2))</f>
        <v>7.5267141749730704E-2</v>
      </c>
      <c r="DS50" s="324">
        <f>$I50*IF($G50="Pickup", SUMIFS(NewEmisData!G:G, NewEmisData!$A:$A, "Pickup", NewEmisData!$B:$B, $A50, NewEmisData!$C:$C, $H50, NewEmisData!$D:$D, DS$2), SUMIFS(NewEmisData!G:G, NewEmisData!$A:$A, "LDV", NewEmisData!$B:$B, $A50, NewEmisData!$C:$C, $H50, NewEmisData!$D:$D, DS$2))</f>
        <v>0.100724652777904</v>
      </c>
      <c r="DT50" s="324">
        <f>$I50*IF($G50="Pickup", SUMIFS(NewEmisData!H:H, NewEmisData!$A:$A, "Pickup", NewEmisData!$B:$B, $A50, NewEmisData!$C:$C, $H50, NewEmisData!$D:$D, DT$2), SUMIFS(NewEmisData!H:H, NewEmisData!$A:$A, "LDV", NewEmisData!$B:$B, $A50, NewEmisData!$C:$C, $H50, NewEmisData!$D:$D, DT$2))</f>
        <v>0.104044221698251</v>
      </c>
      <c r="DU50" s="324">
        <f>$I50*IF($G50="Pickup", SUMIFS(NewEmisData!I:I, NewEmisData!$A:$A, "Pickup", NewEmisData!$B:$B, $A50, NewEmisData!$C:$C, $H50, NewEmisData!$D:$D, DU$2), SUMIFS(NewEmisData!I:I, NewEmisData!$A:$A, "LDV", NewEmisData!$B:$B, $A50, NewEmisData!$C:$C, $H50, NewEmisData!$D:$D, DU$2))</f>
        <v>0.100371086695388</v>
      </c>
      <c r="DV50" s="324">
        <f>$I50*IF($G50="Pickup", SUMIFS(NewEmisData!J:J, NewEmisData!$A:$A, "Pickup", NewEmisData!$B:$B, $A50, NewEmisData!$C:$C, $H50, NewEmisData!$D:$D, DV$2), SUMIFS(NewEmisData!J:J, NewEmisData!$A:$A, "LDV", NewEmisData!$B:$B, $A50, NewEmisData!$C:$C, $H50, NewEmisData!$D:$D, DV$2))</f>
        <v>9.8580874348796393E-2</v>
      </c>
      <c r="DW50" s="324">
        <f>$I50*IF($G50="Pickup", SUMIFS(NewEmisData!K:K, NewEmisData!$A:$A, "Pickup", NewEmisData!$B:$B, $A50, NewEmisData!$C:$C, $H50, NewEmisData!$D:$D, DW$2), SUMIFS(NewEmisData!K:K, NewEmisData!$A:$A, "LDV", NewEmisData!$B:$B, $A50, NewEmisData!$C:$C, $H50, NewEmisData!$D:$D, DW$2))</f>
        <v>9.7805613893850105E-2</v>
      </c>
      <c r="DX50" s="324">
        <f>$I50*IF($G50="Pickup", SUMIFS(NewEmisData!L:L, NewEmisData!$A:$A, "Pickup", NewEmisData!$B:$B, $A50, NewEmisData!$C:$C, $H50, NewEmisData!$D:$D, DX$2), SUMIFS(NewEmisData!L:L, NewEmisData!$A:$A, "LDV", NewEmisData!$B:$B, $A50, NewEmisData!$C:$C, $H50, NewEmisData!$D:$D, DX$2))</f>
        <v>9.7340940472222207E-2</v>
      </c>
      <c r="DY50" s="324">
        <f>$I50*IF($G50="Pickup", SUMIFS(NewEmisData!M:M, NewEmisData!$A:$A, "Pickup", NewEmisData!$B:$B, $A50, NewEmisData!$C:$C, $H50, NewEmisData!$D:$D, DY$2), SUMIFS(NewEmisData!M:M, NewEmisData!$A:$A, "LDV", NewEmisData!$B:$B, $A50, NewEmisData!$C:$C, $H50, NewEmisData!$D:$D, DY$2))</f>
        <v>9.7287516395577006E-2</v>
      </c>
      <c r="DZ50" s="324">
        <f t="shared" si="15"/>
        <v>9.7287516395577006E-2</v>
      </c>
      <c r="EA50" s="324">
        <f t="shared" si="16"/>
        <v>838.88682808594103</v>
      </c>
      <c r="EB50" s="324">
        <f t="shared" si="17"/>
        <v>835.58577398344801</v>
      </c>
      <c r="EC50" s="324">
        <f t="shared" si="18"/>
        <v>824.78710672923296</v>
      </c>
      <c r="ED50" s="324">
        <f t="shared" si="19"/>
        <v>759.84126302449499</v>
      </c>
      <c r="EE50" s="324">
        <f t="shared" si="20"/>
        <v>725.89939540411206</v>
      </c>
      <c r="EF50" s="324">
        <f t="shared" si="21"/>
        <v>714.02687883828003</v>
      </c>
      <c r="EG50" s="324">
        <f t="shared" si="22"/>
        <v>709.20083865321601</v>
      </c>
      <c r="EH50" s="324">
        <f t="shared" si="23"/>
        <v>708.18933454886098</v>
      </c>
      <c r="EI50" s="324">
        <f t="shared" si="24"/>
        <v>708.02534242603997</v>
      </c>
      <c r="EJ50" s="324">
        <f t="shared" si="25"/>
        <v>708.02534242603997</v>
      </c>
      <c r="EK50" s="324">
        <f t="shared" si="26"/>
        <v>3.95273087126834</v>
      </c>
      <c r="EL50" s="324">
        <f t="shared" si="27"/>
        <v>2.2941854945686102</v>
      </c>
      <c r="EM50" s="324">
        <f t="shared" si="28"/>
        <v>1.22695526405155</v>
      </c>
      <c r="EN50" s="324">
        <f t="shared" si="29"/>
        <v>0.69283648769455397</v>
      </c>
      <c r="EO50" s="324">
        <f t="shared" si="30"/>
        <v>0.52479491557855695</v>
      </c>
      <c r="EP50" s="324">
        <f t="shared" si="31"/>
        <v>0.45462868472707701</v>
      </c>
      <c r="EQ50" s="324">
        <f t="shared" si="32"/>
        <v>0.43070940050317602</v>
      </c>
      <c r="ER50" s="324">
        <f t="shared" si="33"/>
        <v>0.42771841419811601</v>
      </c>
      <c r="ES50" s="324">
        <f t="shared" si="34"/>
        <v>0.42707251649540601</v>
      </c>
      <c r="ET50" s="324">
        <f t="shared" si="35"/>
        <v>0.42707251649540601</v>
      </c>
      <c r="EU50" s="324">
        <f t="shared" si="36"/>
        <v>2.0739822854527301E-2</v>
      </c>
      <c r="EV50" s="324">
        <f t="shared" si="37"/>
        <v>2.0097965537272399E-2</v>
      </c>
      <c r="EW50" s="324">
        <f t="shared" si="38"/>
        <v>6.9300413242584097E-3</v>
      </c>
      <c r="EX50" s="324">
        <f t="shared" si="39"/>
        <v>6.3441017545732298E-3</v>
      </c>
      <c r="EY50" s="324">
        <f t="shared" si="40"/>
        <v>6.0542058275576197E-3</v>
      </c>
      <c r="EZ50" s="324">
        <f t="shared" si="41"/>
        <v>5.9542377031583304E-3</v>
      </c>
      <c r="FA50" s="324">
        <f t="shared" si="42"/>
        <v>5.91269305727617E-3</v>
      </c>
      <c r="FB50" s="324">
        <f t="shared" si="43"/>
        <v>5.9042614274829996E-3</v>
      </c>
      <c r="FC50" s="324">
        <f t="shared" si="44"/>
        <v>5.9028974572565198E-3</v>
      </c>
      <c r="FD50" s="324">
        <f t="shared" si="45"/>
        <v>5.9028974572565198E-3</v>
      </c>
      <c r="FE50" s="324">
        <f t="shared" si="46"/>
        <v>0.32286430335969202</v>
      </c>
      <c r="FF50" s="324">
        <f t="shared" si="47"/>
        <v>0.19253651488495599</v>
      </c>
      <c r="FG50" s="324">
        <f t="shared" si="48"/>
        <v>0.13116960814085299</v>
      </c>
      <c r="FH50" s="324">
        <f t="shared" si="49"/>
        <v>0.107030259666284</v>
      </c>
      <c r="FI50" s="324">
        <f t="shared" si="50"/>
        <v>0.10159087974839499</v>
      </c>
      <c r="FJ50" s="324">
        <f t="shared" si="51"/>
        <v>0.100744162373078</v>
      </c>
      <c r="FK50" s="324">
        <f t="shared" si="52"/>
        <v>0.10015056974224</v>
      </c>
      <c r="FL50" s="324">
        <f t="shared" si="53"/>
        <v>0.10013872413493199</v>
      </c>
      <c r="FM50" s="324">
        <f t="shared" si="54"/>
        <v>0.100138168711207</v>
      </c>
      <c r="FN50" s="324">
        <f t="shared" si="55"/>
        <v>0.100138168711207</v>
      </c>
      <c r="FO50" s="324">
        <f t="shared" si="56"/>
        <v>0.23752816419511399</v>
      </c>
      <c r="FP50" s="324">
        <f t="shared" si="57"/>
        <v>0.117553039742468</v>
      </c>
      <c r="FQ50" s="324">
        <f t="shared" si="58"/>
        <v>5.2943248810597698E-2</v>
      </c>
      <c r="FR50" s="324">
        <f t="shared" si="59"/>
        <v>3.12542213760367E-2</v>
      </c>
      <c r="FS50" s="324">
        <f t="shared" si="60"/>
        <v>2.64515002424279E-2</v>
      </c>
      <c r="FT50" s="324">
        <f t="shared" si="61"/>
        <v>2.5760379882788301E-2</v>
      </c>
      <c r="FU50" s="324">
        <f t="shared" si="62"/>
        <v>2.5233655997449301E-2</v>
      </c>
      <c r="FV50" s="324">
        <f t="shared" si="63"/>
        <v>2.5225286830586301E-2</v>
      </c>
      <c r="FW50" s="324">
        <f t="shared" si="64"/>
        <v>2.5225039830031999E-2</v>
      </c>
      <c r="FX50" s="324">
        <f t="shared" si="65"/>
        <v>2.5225039830031999E-2</v>
      </c>
    </row>
    <row r="51" spans="1:180" x14ac:dyDescent="0.2">
      <c r="A51" s="298" t="str">
        <f>_xlfn.CONCAT(IF(LEFT(TRIM(A50),1)="*", "*R", "R"), 1+RIGHT(TRIM(A50),1))</f>
        <v>R3</v>
      </c>
      <c r="B51" s="298" t="str">
        <f t="shared" ref="B51:B54" si="107">B50</f>
        <v>TLEPDSL</v>
      </c>
      <c r="C51" s="298" t="str">
        <f t="shared" ref="C51:C54" si="108">C50</f>
        <v>TL.DSL.P.Existing fleet</v>
      </c>
      <c r="D51" s="294" t="str">
        <f t="shared" ref="D51:D54" si="109">D50</f>
        <v>bn-vmt, bn-vmt/a</v>
      </c>
      <c r="E51" s="294" t="str">
        <f t="shared" ref="E51:E54" si="110">E50</f>
        <v>TRNDSL</v>
      </c>
      <c r="F51" s="294" t="str">
        <f t="shared" ref="F51:F54" si="111">F50</f>
        <v>TL</v>
      </c>
      <c r="G51" s="294" t="s">
        <v>329</v>
      </c>
      <c r="H51" s="294" t="s">
        <v>477</v>
      </c>
      <c r="I51" s="294">
        <v>1</v>
      </c>
      <c r="J51" s="308" t="str">
        <f t="shared" si="101"/>
        <v>Pickup-DSL</v>
      </c>
      <c r="K51" s="324">
        <f>$I51*IF($G51="Pickup", SUMIFS(NewEmisData!E:E, NewEmisData!$A:$A, "Pickup", NewEmisData!$B:$B, $A51, NewEmisData!$C:$C, $H51, NewEmisData!$D:$D, K$2), SUMIFS(NewEmisData!E:E, NewEmisData!$A:$A, "LDV", NewEmisData!$B:$B, $A51, NewEmisData!$C:$C, $H51, NewEmisData!$D:$D, K$2))</f>
        <v>773.00518961697105</v>
      </c>
      <c r="L51" s="324">
        <f>$I51*IF($G51="Pickup", SUMIFS(NewEmisData!F:F, NewEmisData!$A:$A, "Pickup", NewEmisData!$B:$B, $A51, NewEmisData!$C:$C, $H51, NewEmisData!$D:$D, L$2), SUMIFS(NewEmisData!F:F, NewEmisData!$A:$A, "LDV", NewEmisData!$B:$B, $A51, NewEmisData!$C:$C, $H51, NewEmisData!$D:$D, L$2))</f>
        <v>777.05831428786598</v>
      </c>
      <c r="M51" s="324">
        <f>$I51*IF($G51="Pickup", SUMIFS(NewEmisData!G:G, NewEmisData!$A:$A, "Pickup", NewEmisData!$B:$B, $A51, NewEmisData!$C:$C, $H51, NewEmisData!$D:$D, M$2), SUMIFS(NewEmisData!G:G, NewEmisData!$A:$A, "LDV", NewEmisData!$B:$B, $A51, NewEmisData!$C:$C, $H51, NewEmisData!$D:$D, M$2))</f>
        <v>722.21118061328798</v>
      </c>
      <c r="N51" s="324">
        <f>$I51*IF($G51="Pickup", SUMIFS(NewEmisData!H:H, NewEmisData!$A:$A, "Pickup", NewEmisData!$B:$B, $A51, NewEmisData!$C:$C, $H51, NewEmisData!$D:$D, N$2), SUMIFS(NewEmisData!H:H, NewEmisData!$A:$A, "LDV", NewEmisData!$B:$B, $A51, NewEmisData!$C:$C, $H51, NewEmisData!$D:$D, N$2))</f>
        <v>665.78256916046701</v>
      </c>
      <c r="O51" s="324">
        <f>$I51*IF($G51="Pickup", SUMIFS(NewEmisData!I:I, NewEmisData!$A:$A, "Pickup", NewEmisData!$B:$B, $A51, NewEmisData!$C:$C, $H51, NewEmisData!$D:$D, O$2), SUMIFS(NewEmisData!I:I, NewEmisData!$A:$A, "LDV", NewEmisData!$B:$B, $A51, NewEmisData!$C:$C, $H51, NewEmisData!$D:$D, O$2))</f>
        <v>636.24145467371295</v>
      </c>
      <c r="P51" s="324">
        <f>$I51*IF($G51="Pickup", SUMIFS(NewEmisData!J:J, NewEmisData!$A:$A, "Pickup", NewEmisData!$B:$B, $A51, NewEmisData!$C:$C, $H51, NewEmisData!$D:$D, P$2), SUMIFS(NewEmisData!J:J, NewEmisData!$A:$A, "LDV", NewEmisData!$B:$B, $A51, NewEmisData!$C:$C, $H51, NewEmisData!$D:$D, P$2))</f>
        <v>625.96899503747898</v>
      </c>
      <c r="Q51" s="324">
        <f>$I51*IF($G51="Pickup", SUMIFS(NewEmisData!K:K, NewEmisData!$A:$A, "Pickup", NewEmisData!$B:$B, $A51, NewEmisData!$C:$C, $H51, NewEmisData!$D:$D, Q$2), SUMIFS(NewEmisData!K:K, NewEmisData!$A:$A, "LDV", NewEmisData!$B:$B, $A51, NewEmisData!$C:$C, $H51, NewEmisData!$D:$D, Q$2))</f>
        <v>621.74761645766603</v>
      </c>
      <c r="R51" s="324">
        <f>$I51*IF($G51="Pickup", SUMIFS(NewEmisData!L:L, NewEmisData!$A:$A, "Pickup", NewEmisData!$B:$B, $A51, NewEmisData!$C:$C, $H51, NewEmisData!$D:$D, R$2), SUMIFS(NewEmisData!L:L, NewEmisData!$A:$A, "LDV", NewEmisData!$B:$B, $A51, NewEmisData!$C:$C, $H51, NewEmisData!$D:$D, R$2))</f>
        <v>620.86049615628997</v>
      </c>
      <c r="S51" s="324">
        <f>$I51*IF($G51="Pickup", SUMIFS(NewEmisData!M:M, NewEmisData!$A:$A, "Pickup", NewEmisData!$B:$B, $A51, NewEmisData!$C:$C, $H51, NewEmisData!$D:$D, S$2), SUMIFS(NewEmisData!M:M, NewEmisData!$A:$A, "LDV", NewEmisData!$B:$B, $A51, NewEmisData!$C:$C, $H51, NewEmisData!$D:$D, S$2))</f>
        <v>620.71437714580998</v>
      </c>
      <c r="T51" s="324">
        <f t="shared" si="5"/>
        <v>620.71437714580998</v>
      </c>
      <c r="U51" s="324">
        <f>$I51*IF($G51="Pickup", SUMIFS(NewEmisData!E:E, NewEmisData!$A:$A, "Pickup", NewEmisData!$B:$B, $A51, NewEmisData!$C:$C, $H51, NewEmisData!$D:$D, U$2), SUMIFS(NewEmisData!E:E, NewEmisData!$A:$A, "LDV", NewEmisData!$B:$B, $A51, NewEmisData!$C:$C, $H51, NewEmisData!$D:$D, U$2))</f>
        <v>3.6092494466574898</v>
      </c>
      <c r="V51" s="324">
        <f>$I51*IF($G51="Pickup", SUMIFS(NewEmisData!F:F, NewEmisData!$A:$A, "Pickup", NewEmisData!$B:$B, $A51, NewEmisData!$C:$C, $H51, NewEmisData!$D:$D, V$2), SUMIFS(NewEmisData!F:F, NewEmisData!$A:$A, "LDV", NewEmisData!$B:$B, $A51, NewEmisData!$C:$C, $H51, NewEmisData!$D:$D, V$2))</f>
        <v>2.1550799991450602</v>
      </c>
      <c r="W51" s="324">
        <f>$I51*IF($G51="Pickup", SUMIFS(NewEmisData!G:G, NewEmisData!$A:$A, "Pickup", NewEmisData!$B:$B, $A51, NewEmisData!$C:$C, $H51, NewEmisData!$D:$D, W$2), SUMIFS(NewEmisData!G:G, NewEmisData!$A:$A, "LDV", NewEmisData!$B:$B, $A51, NewEmisData!$C:$C, $H51, NewEmisData!$D:$D, W$2))</f>
        <v>1.0436792106220301</v>
      </c>
      <c r="X51" s="324">
        <f>$I51*IF($G51="Pickup", SUMIFS(NewEmisData!H:H, NewEmisData!$A:$A, "Pickup", NewEmisData!$B:$B, $A51, NewEmisData!$C:$C, $H51, NewEmisData!$D:$D, X$2), SUMIFS(NewEmisData!H:H, NewEmisData!$A:$A, "LDV", NewEmisData!$B:$B, $A51, NewEmisData!$C:$C, $H51, NewEmisData!$D:$D, X$2))</f>
        <v>0.58249684868569596</v>
      </c>
      <c r="Y51" s="324">
        <f>$I51*IF($G51="Pickup", SUMIFS(NewEmisData!I:I, NewEmisData!$A:$A, "Pickup", NewEmisData!$B:$B, $A51, NewEmisData!$C:$C, $H51, NewEmisData!$D:$D, Y$2), SUMIFS(NewEmisData!I:I, NewEmisData!$A:$A, "LDV", NewEmisData!$B:$B, $A51, NewEmisData!$C:$C, $H51, NewEmisData!$D:$D, Y$2))</f>
        <v>0.437359402107109</v>
      </c>
      <c r="Z51" s="324">
        <f>$I51*IF($G51="Pickup", SUMIFS(NewEmisData!J:J, NewEmisData!$A:$A, "Pickup", NewEmisData!$B:$B, $A51, NewEmisData!$C:$C, $H51, NewEmisData!$D:$D, Z$2), SUMIFS(NewEmisData!J:J, NewEmisData!$A:$A, "LDV", NewEmisData!$B:$B, $A51, NewEmisData!$C:$C, $H51, NewEmisData!$D:$D, Z$2))</f>
        <v>0.37754269716468403</v>
      </c>
      <c r="AA51" s="324">
        <f>$I51*IF($G51="Pickup", SUMIFS(NewEmisData!K:K, NewEmisData!$A:$A, "Pickup", NewEmisData!$B:$B, $A51, NewEmisData!$C:$C, $H51, NewEmisData!$D:$D, AA$2), SUMIFS(NewEmisData!K:K, NewEmisData!$A:$A, "LDV", NewEmisData!$B:$B, $A51, NewEmisData!$C:$C, $H51, NewEmisData!$D:$D, AA$2))</f>
        <v>0.35671080159392998</v>
      </c>
      <c r="AB51" s="324">
        <f>$I51*IF($G51="Pickup", SUMIFS(NewEmisData!L:L, NewEmisData!$A:$A, "Pickup", NewEmisData!$B:$B, $A51, NewEmisData!$C:$C, $H51, NewEmisData!$D:$D, AB$2), SUMIFS(NewEmisData!L:L, NewEmisData!$A:$A, "LDV", NewEmisData!$B:$B, $A51, NewEmisData!$C:$C, $H51, NewEmisData!$D:$D, AB$2))</f>
        <v>0.35411462139335698</v>
      </c>
      <c r="AC51" s="324">
        <f>$I51*IF($G51="Pickup", SUMIFS(NewEmisData!M:M, NewEmisData!$A:$A, "Pickup", NewEmisData!$B:$B, $A51, NewEmisData!$C:$C, $H51, NewEmisData!$D:$D, AC$2), SUMIFS(NewEmisData!M:M, NewEmisData!$A:$A, "LDV", NewEmisData!$B:$B, $A51, NewEmisData!$C:$C, $H51, NewEmisData!$D:$D, AC$2))</f>
        <v>0.35354569023511601</v>
      </c>
      <c r="AD51" s="324">
        <f t="shared" si="6"/>
        <v>0.35354569023511601</v>
      </c>
      <c r="AE51" s="324">
        <f>$I51*IF($G51="Pickup", SUMIFS(NewEmisData!E:E, NewEmisData!$A:$A, "Pickup", NewEmisData!$B:$B, $A51, NewEmisData!$C:$C, $H51, NewEmisData!$D:$D, AE$2), SUMIFS(NewEmisData!E:E, NewEmisData!$A:$A, "LDV", NewEmisData!$B:$B, $A51, NewEmisData!$C:$C, $H51, NewEmisData!$D:$D, AE$2))</f>
        <v>1.9050330768017602E-2</v>
      </c>
      <c r="AF51" s="324">
        <f>$I51*IF($G51="Pickup", SUMIFS(NewEmisData!F:F, NewEmisData!$A:$A, "Pickup", NewEmisData!$B:$B, $A51, NewEmisData!$C:$C, $H51, NewEmisData!$D:$D, AF$2), SUMIFS(NewEmisData!F:F, NewEmisData!$A:$A, "LDV", NewEmisData!$B:$B, $A51, NewEmisData!$C:$C, $H51, NewEmisData!$D:$D, AF$2))</f>
        <v>1.8736831962009801E-2</v>
      </c>
      <c r="AG51" s="324">
        <f>$I51*IF($G51="Pickup", SUMIFS(NewEmisData!G:G, NewEmisData!$A:$A, "Pickup", NewEmisData!$B:$B, $A51, NewEmisData!$C:$C, $H51, NewEmisData!$D:$D, AG$2), SUMIFS(NewEmisData!G:G, NewEmisData!$A:$A, "LDV", NewEmisData!$B:$B, $A51, NewEmisData!$C:$C, $H51, NewEmisData!$D:$D, AG$2))</f>
        <v>6.0691091383090904E-3</v>
      </c>
      <c r="AH51" s="324">
        <f>$I51*IF($G51="Pickup", SUMIFS(NewEmisData!H:H, NewEmisData!$A:$A, "Pickup", NewEmisData!$B:$B, $A51, NewEmisData!$C:$C, $H51, NewEmisData!$D:$D, AH$2), SUMIFS(NewEmisData!H:H, NewEmisData!$A:$A, "LDV", NewEmisData!$B:$B, $A51, NewEmisData!$C:$C, $H51, NewEmisData!$D:$D, AH$2))</f>
        <v>5.5590567053943798E-3</v>
      </c>
      <c r="AI51" s="324">
        <f>$I51*IF($G51="Pickup", SUMIFS(NewEmisData!I:I, NewEmisData!$A:$A, "Pickup", NewEmisData!$B:$B, $A51, NewEmisData!$C:$C, $H51, NewEmisData!$D:$D, AI$2), SUMIFS(NewEmisData!I:I, NewEmisData!$A:$A, "LDV", NewEmisData!$B:$B, $A51, NewEmisData!$C:$C, $H51, NewEmisData!$D:$D, AI$2))</f>
        <v>5.30653588670125E-3</v>
      </c>
      <c r="AJ51" s="324">
        <f>$I51*IF($G51="Pickup", SUMIFS(NewEmisData!J:J, NewEmisData!$A:$A, "Pickup", NewEmisData!$B:$B, $A51, NewEmisData!$C:$C, $H51, NewEmisData!$D:$D, AJ$2), SUMIFS(NewEmisData!J:J, NewEmisData!$A:$A, "LDV", NewEmisData!$B:$B, $A51, NewEmisData!$C:$C, $H51, NewEmisData!$D:$D, AJ$2))</f>
        <v>5.2199789799785498E-3</v>
      </c>
      <c r="AK51" s="324">
        <f>$I51*IF($G51="Pickup", SUMIFS(NewEmisData!K:K, NewEmisData!$A:$A, "Pickup", NewEmisData!$B:$B, $A51, NewEmisData!$C:$C, $H51, NewEmisData!$D:$D, AK$2), SUMIFS(NewEmisData!K:K, NewEmisData!$A:$A, "LDV", NewEmisData!$B:$B, $A51, NewEmisData!$C:$C, $H51, NewEmisData!$D:$D, AK$2))</f>
        <v>5.1835830149830602E-3</v>
      </c>
      <c r="AL51" s="324">
        <f>$I51*IF($G51="Pickup", SUMIFS(NewEmisData!L:L, NewEmisData!$A:$A, "Pickup", NewEmisData!$B:$B, $A51, NewEmisData!$C:$C, $H51, NewEmisData!$D:$D, AL$2), SUMIFS(NewEmisData!L:L, NewEmisData!$A:$A, "LDV", NewEmisData!$B:$B, $A51, NewEmisData!$C:$C, $H51, NewEmisData!$D:$D, AL$2))</f>
        <v>5.1761875972578097E-3</v>
      </c>
      <c r="AM51" s="324">
        <f>$I51*IF($G51="Pickup", SUMIFS(NewEmisData!M:M, NewEmisData!$A:$A, "Pickup", NewEmisData!$B:$B, $A51, NewEmisData!$C:$C, $H51, NewEmisData!$D:$D, AM$2), SUMIFS(NewEmisData!M:M, NewEmisData!$A:$A, "LDV", NewEmisData!$B:$B, $A51, NewEmisData!$C:$C, $H51, NewEmisData!$D:$D, AM$2))</f>
        <v>5.1749722579466301E-3</v>
      </c>
      <c r="AN51" s="324">
        <f t="shared" si="7"/>
        <v>5.1749722579466301E-3</v>
      </c>
      <c r="AO51" s="324">
        <f>$I51*IF($G51="Pickup", SUMIFS(NewEmisData!E:E, NewEmisData!$A:$A, "Pickup", NewEmisData!$B:$B, $A51, NewEmisData!$C:$C, $H51, NewEmisData!$D:$D, AO$2), SUMIFS(NewEmisData!E:E, NewEmisData!$A:$A, "LDV", NewEmisData!$B:$B, $A51, NewEmisData!$C:$C, $H51, NewEmisData!$D:$D, AO$2))</f>
        <v>0.31205278515688301</v>
      </c>
      <c r="AP51" s="324">
        <f>$I51*IF($G51="Pickup", SUMIFS(NewEmisData!F:F, NewEmisData!$A:$A, "Pickup", NewEmisData!$B:$B, $A51, NewEmisData!$C:$C, $H51, NewEmisData!$D:$D, AP$2), SUMIFS(NewEmisData!F:F, NewEmisData!$A:$A, "LDV", NewEmisData!$B:$B, $A51, NewEmisData!$C:$C, $H51, NewEmisData!$D:$D, AP$2))</f>
        <v>0.183178492376145</v>
      </c>
      <c r="AQ51" s="324">
        <f>$I51*IF($G51="Pickup", SUMIFS(NewEmisData!G:G, NewEmisData!$A:$A, "Pickup", NewEmisData!$B:$B, $A51, NewEmisData!$C:$C, $H51, NewEmisData!$D:$D, AQ$2), SUMIFS(NewEmisData!G:G, NewEmisData!$A:$A, "LDV", NewEmisData!$B:$B, $A51, NewEmisData!$C:$C, $H51, NewEmisData!$D:$D, AQ$2))</f>
        <v>0.10329260621681099</v>
      </c>
      <c r="AR51" s="324">
        <f>$I51*IF($G51="Pickup", SUMIFS(NewEmisData!H:H, NewEmisData!$A:$A, "Pickup", NewEmisData!$B:$B, $A51, NewEmisData!$C:$C, $H51, NewEmisData!$D:$D, AR$2), SUMIFS(NewEmisData!H:H, NewEmisData!$A:$A, "LDV", NewEmisData!$B:$B, $A51, NewEmisData!$C:$C, $H51, NewEmisData!$D:$D, AR$2))</f>
        <v>8.2948855249809494E-2</v>
      </c>
      <c r="AS51" s="324">
        <f>$I51*IF($G51="Pickup", SUMIFS(NewEmisData!I:I, NewEmisData!$A:$A, "Pickup", NewEmisData!$B:$B, $A51, NewEmisData!$C:$C, $H51, NewEmisData!$D:$D, AS$2), SUMIFS(NewEmisData!I:I, NewEmisData!$A:$A, "LDV", NewEmisData!$B:$B, $A51, NewEmisData!$C:$C, $H51, NewEmisData!$D:$D, AS$2))</f>
        <v>7.8447276389448206E-2</v>
      </c>
      <c r="AT51" s="324">
        <f>$I51*IF($G51="Pickup", SUMIFS(NewEmisData!J:J, NewEmisData!$A:$A, "Pickup", NewEmisData!$B:$B, $A51, NewEmisData!$C:$C, $H51, NewEmisData!$D:$D, AT$2), SUMIFS(NewEmisData!J:J, NewEmisData!$A:$A, "LDV", NewEmisData!$B:$B, $A51, NewEmisData!$C:$C, $H51, NewEmisData!$D:$D, AT$2))</f>
        <v>7.7727855866957601E-2</v>
      </c>
      <c r="AU51" s="324">
        <f>$I51*IF($G51="Pickup", SUMIFS(NewEmisData!K:K, NewEmisData!$A:$A, "Pickup", NewEmisData!$B:$B, $A51, NewEmisData!$C:$C, $H51, NewEmisData!$D:$D, AU$2), SUMIFS(NewEmisData!K:K, NewEmisData!$A:$A, "LDV", NewEmisData!$B:$B, $A51, NewEmisData!$C:$C, $H51, NewEmisData!$D:$D, AU$2))</f>
        <v>7.7217009381167295E-2</v>
      </c>
      <c r="AV51" s="324">
        <f>$I51*IF($G51="Pickup", SUMIFS(NewEmisData!L:L, NewEmisData!$A:$A, "Pickup", NewEmisData!$B:$B, $A51, NewEmisData!$C:$C, $H51, NewEmisData!$D:$D, AV$2), SUMIFS(NewEmisData!L:L, NewEmisData!$A:$A, "LDV", NewEmisData!$B:$B, $A51, NewEmisData!$C:$C, $H51, NewEmisData!$D:$D, AV$2))</f>
        <v>7.7206992070653097E-2</v>
      </c>
      <c r="AW51" s="324">
        <f>$I51*IF($G51="Pickup", SUMIFS(NewEmisData!M:M, NewEmisData!$A:$A, "Pickup", NewEmisData!$B:$B, $A51, NewEmisData!$C:$C, $H51, NewEmisData!$D:$D, AW$2), SUMIFS(NewEmisData!M:M, NewEmisData!$A:$A, "LDV", NewEmisData!$B:$B, $A51, NewEmisData!$C:$C, $H51, NewEmisData!$D:$D, AW$2))</f>
        <v>7.7206302805218396E-2</v>
      </c>
      <c r="AX51" s="324">
        <f t="shared" si="8"/>
        <v>7.7206302805218396E-2</v>
      </c>
      <c r="AY51" s="324">
        <f>$I51*IF($G51="Pickup", SUMIFS(NewEmisData!E:E, NewEmisData!$A:$A, "Pickup", NewEmisData!$B:$B, $A51, NewEmisData!$C:$C, $H51, NewEmisData!$D:$D, AY$2), SUMIFS(NewEmisData!E:E, NewEmisData!$A:$A, "LDV", NewEmisData!$B:$B, $A51, NewEmisData!$C:$C, $H51, NewEmisData!$D:$D, AY$2))</f>
        <v>0.23777342790109099</v>
      </c>
      <c r="AZ51" s="324">
        <f>$I51*IF($G51="Pickup", SUMIFS(NewEmisData!F:F, NewEmisData!$A:$A, "Pickup", NewEmisData!$B:$B, $A51, NewEmisData!$C:$C, $H51, NewEmisData!$D:$D, AZ$2), SUMIFS(NewEmisData!F:F, NewEmisData!$A:$A, "LDV", NewEmisData!$B:$B, $A51, NewEmisData!$C:$C, $H51, NewEmisData!$D:$D, AZ$2))</f>
        <v>0.119164243380003</v>
      </c>
      <c r="BA51" s="324">
        <f>$I51*IF($G51="Pickup", SUMIFS(NewEmisData!G:G, NewEmisData!$A:$A, "Pickup", NewEmisData!$B:$B, $A51, NewEmisData!$C:$C, $H51, NewEmisData!$D:$D, BA$2), SUMIFS(NewEmisData!G:G, NewEmisData!$A:$A, "LDV", NewEmisData!$B:$B, $A51, NewEmisData!$C:$C, $H51, NewEmisData!$D:$D, BA$2))</f>
        <v>4.3487228132229903E-2</v>
      </c>
      <c r="BB51" s="324">
        <f>$I51*IF($G51="Pickup", SUMIFS(NewEmisData!H:H, NewEmisData!$A:$A, "Pickup", NewEmisData!$B:$B, $A51, NewEmisData!$C:$C, $H51, NewEmisData!$D:$D, BB$2), SUMIFS(NewEmisData!H:H, NewEmisData!$A:$A, "LDV", NewEmisData!$B:$B, $A51, NewEmisData!$C:$C, $H51, NewEmisData!$D:$D, BB$2))</f>
        <v>2.5091205959475602E-2</v>
      </c>
      <c r="BC51" s="324">
        <f>$I51*IF($G51="Pickup", SUMIFS(NewEmisData!I:I, NewEmisData!$A:$A, "Pickup", NewEmisData!$B:$B, $A51, NewEmisData!$C:$C, $H51, NewEmisData!$D:$D, BC$2), SUMIFS(NewEmisData!I:I, NewEmisData!$A:$A, "LDV", NewEmisData!$B:$B, $A51, NewEmisData!$C:$C, $H51, NewEmisData!$D:$D, BC$2))</f>
        <v>2.10745605429505E-2</v>
      </c>
      <c r="BD51" s="324">
        <f>$I51*IF($G51="Pickup", SUMIFS(NewEmisData!J:J, NewEmisData!$A:$A, "Pickup", NewEmisData!$B:$B, $A51, NewEmisData!$C:$C, $H51, NewEmisData!$D:$D, BD$2), SUMIFS(NewEmisData!J:J, NewEmisData!$A:$A, "LDV", NewEmisData!$B:$B, $A51, NewEmisData!$C:$C, $H51, NewEmisData!$D:$D, BD$2))</f>
        <v>2.0468169162330799E-2</v>
      </c>
      <c r="BE51" s="324">
        <f>$I51*IF($G51="Pickup", SUMIFS(NewEmisData!K:K, NewEmisData!$A:$A, "Pickup", NewEmisData!$B:$B, $A51, NewEmisData!$C:$C, $H51, NewEmisData!$D:$D, BE$2), SUMIFS(NewEmisData!K:K, NewEmisData!$A:$A, "LDV", NewEmisData!$B:$B, $A51, NewEmisData!$C:$C, $H51, NewEmisData!$D:$D, BE$2))</f>
        <v>2.00107986444071E-2</v>
      </c>
      <c r="BF51" s="324">
        <f>$I51*IF($G51="Pickup", SUMIFS(NewEmisData!L:L, NewEmisData!$A:$A, "Pickup", NewEmisData!$B:$B, $A51, NewEmisData!$C:$C, $H51, NewEmisData!$D:$D, BF$2), SUMIFS(NewEmisData!L:L, NewEmisData!$A:$A, "LDV", NewEmisData!$B:$B, $A51, NewEmisData!$C:$C, $H51, NewEmisData!$D:$D, BF$2))</f>
        <v>2.0003012264218599E-2</v>
      </c>
      <c r="BG51" s="324">
        <f>$I51*IF($G51="Pickup", SUMIFS(NewEmisData!M:M, NewEmisData!$A:$A, "Pickup", NewEmisData!$B:$B, $A51, NewEmisData!$C:$C, $H51, NewEmisData!$D:$D, BG$2), SUMIFS(NewEmisData!M:M, NewEmisData!$A:$A, "LDV", NewEmisData!$B:$B, $A51, NewEmisData!$C:$C, $H51, NewEmisData!$D:$D, BG$2))</f>
        <v>2.0002520756278099E-2</v>
      </c>
      <c r="BH51" s="324">
        <f t="shared" si="9"/>
        <v>2.0002520756278099E-2</v>
      </c>
      <c r="BI51" s="324">
        <f>$I51*IF($G51="Pickup", SUMIFS(NewEmisData!E:E, NewEmisData!$A:$A, "Pickup", NewEmisData!$B:$B, $A51, NewEmisData!$C:$C, $H51, NewEmisData!$D:$D, BI$2), SUMIFS(NewEmisData!E:E, NewEmisData!$A:$A, "LDV", NewEmisData!$B:$B, $A51, NewEmisData!$C:$C, $H51, NewEmisData!$D:$D, BI$2))</f>
        <v>8.9500901533842292</v>
      </c>
      <c r="BJ51" s="324">
        <f>$I51*IF($G51="Pickup", SUMIFS(NewEmisData!F:F, NewEmisData!$A:$A, "Pickup", NewEmisData!$B:$B, $A51, NewEmisData!$C:$C, $H51, NewEmisData!$D:$D, BJ$2), SUMIFS(NewEmisData!F:F, NewEmisData!$A:$A, "LDV", NewEmisData!$B:$B, $A51, NewEmisData!$C:$C, $H51, NewEmisData!$D:$D, BJ$2))</f>
        <v>5.0485103707789998</v>
      </c>
      <c r="BK51" s="324">
        <f>$I51*IF($G51="Pickup", SUMIFS(NewEmisData!G:G, NewEmisData!$A:$A, "Pickup", NewEmisData!$B:$B, $A51, NewEmisData!$C:$C, $H51, NewEmisData!$D:$D, BK$2), SUMIFS(NewEmisData!G:G, NewEmisData!$A:$A, "LDV", NewEmisData!$B:$B, $A51, NewEmisData!$C:$C, $H51, NewEmisData!$D:$D, BK$2))</f>
        <v>1.8618517690615399</v>
      </c>
      <c r="BL51" s="324">
        <f>$I51*IF($G51="Pickup", SUMIFS(NewEmisData!H:H, NewEmisData!$A:$A, "Pickup", NewEmisData!$B:$B, $A51, NewEmisData!$C:$C, $H51, NewEmisData!$D:$D, BL$2), SUMIFS(NewEmisData!H:H, NewEmisData!$A:$A, "LDV", NewEmisData!$B:$B, $A51, NewEmisData!$C:$C, $H51, NewEmisData!$D:$D, BL$2))</f>
        <v>1.12010649646813</v>
      </c>
      <c r="BM51" s="324">
        <f>$I51*IF($G51="Pickup", SUMIFS(NewEmisData!I:I, NewEmisData!$A:$A, "Pickup", NewEmisData!$B:$B, $A51, NewEmisData!$C:$C, $H51, NewEmisData!$D:$D, BM$2), SUMIFS(NewEmisData!I:I, NewEmisData!$A:$A, "LDV", NewEmisData!$B:$B, $A51, NewEmisData!$C:$C, $H51, NewEmisData!$D:$D, BM$2))</f>
        <v>0.82338752266114601</v>
      </c>
      <c r="BN51" s="324">
        <f>$I51*IF($G51="Pickup", SUMIFS(NewEmisData!J:J, NewEmisData!$A:$A, "Pickup", NewEmisData!$B:$B, $A51, NewEmisData!$C:$C, $H51, NewEmisData!$D:$D, BN$2), SUMIFS(NewEmisData!J:J, NewEmisData!$A:$A, "LDV", NewEmisData!$B:$B, $A51, NewEmisData!$C:$C, $H51, NewEmisData!$D:$D, BN$2))</f>
        <v>0.69780060217918705</v>
      </c>
      <c r="BO51" s="324">
        <f>$I51*IF($G51="Pickup", SUMIFS(NewEmisData!K:K, NewEmisData!$A:$A, "Pickup", NewEmisData!$B:$B, $A51, NewEmisData!$C:$C, $H51, NewEmisData!$D:$D, BO$2), SUMIFS(NewEmisData!K:K, NewEmisData!$A:$A, "LDV", NewEmisData!$B:$B, $A51, NewEmisData!$C:$C, $H51, NewEmisData!$D:$D, BO$2))</f>
        <v>0.64950183333621803</v>
      </c>
      <c r="BP51" s="324">
        <f>$I51*IF($G51="Pickup", SUMIFS(NewEmisData!L:L, NewEmisData!$A:$A, "Pickup", NewEmisData!$B:$B, $A51, NewEmisData!$C:$C, $H51, NewEmisData!$D:$D, BP$2), SUMIFS(NewEmisData!L:L, NewEmisData!$A:$A, "LDV", NewEmisData!$B:$B, $A51, NewEmisData!$C:$C, $H51, NewEmisData!$D:$D, BP$2))</f>
        <v>0.63637048826423304</v>
      </c>
      <c r="BQ51" s="324">
        <f>$I51*IF($G51="Pickup", SUMIFS(NewEmisData!M:M, NewEmisData!$A:$A, "Pickup", NewEmisData!$B:$B, $A51, NewEmisData!$C:$C, $H51, NewEmisData!$D:$D, BQ$2), SUMIFS(NewEmisData!M:M, NewEmisData!$A:$A, "LDV", NewEmisData!$B:$B, $A51, NewEmisData!$C:$C, $H51, NewEmisData!$D:$D, BQ$2))</f>
        <v>0.63391039295434204</v>
      </c>
      <c r="BR51" s="324">
        <f t="shared" si="10"/>
        <v>0.63391039295434204</v>
      </c>
      <c r="BS51" s="324">
        <f>$I51*IF($G51="Pickup", SUMIFS(NewEmisData!E:E, NewEmisData!$A:$A, "Pickup", NewEmisData!$B:$B, $A51, NewEmisData!$C:$C, $H51, NewEmisData!$D:$D, BS$2), SUMIFS(NewEmisData!E:E, NewEmisData!$A:$A, "LDV", NewEmisData!$B:$B, $A51, NewEmisData!$C:$C, $H51, NewEmisData!$D:$D, BS$2))</f>
        <v>1.2394446693963901</v>
      </c>
      <c r="BT51" s="324">
        <f>$I51*IF($G51="Pickup", SUMIFS(NewEmisData!F:F, NewEmisData!$A:$A, "Pickup", NewEmisData!$B:$B, $A51, NewEmisData!$C:$C, $H51, NewEmisData!$D:$D, BT$2), SUMIFS(NewEmisData!F:F, NewEmisData!$A:$A, "LDV", NewEmisData!$B:$B, $A51, NewEmisData!$C:$C, $H51, NewEmisData!$D:$D, BT$2))</f>
        <v>0.61150936227515995</v>
      </c>
      <c r="BU51" s="324">
        <f>$I51*IF($G51="Pickup", SUMIFS(NewEmisData!G:G, NewEmisData!$A:$A, "Pickup", NewEmisData!$B:$B, $A51, NewEmisData!$C:$C, $H51, NewEmisData!$D:$D, BU$2), SUMIFS(NewEmisData!G:G, NewEmisData!$A:$A, "LDV", NewEmisData!$B:$B, $A51, NewEmisData!$C:$C, $H51, NewEmisData!$D:$D, BU$2))</f>
        <v>0.20546275452502899</v>
      </c>
      <c r="BV51" s="324">
        <f>$I51*IF($G51="Pickup", SUMIFS(NewEmisData!H:H, NewEmisData!$A:$A, "Pickup", NewEmisData!$B:$B, $A51, NewEmisData!$C:$C, $H51, NewEmisData!$D:$D, BV$2), SUMIFS(NewEmisData!H:H, NewEmisData!$A:$A, "LDV", NewEmisData!$B:$B, $A51, NewEmisData!$C:$C, $H51, NewEmisData!$D:$D, BV$2))</f>
        <v>0.10969534337577699</v>
      </c>
      <c r="BW51" s="324">
        <f>$I51*IF($G51="Pickup", SUMIFS(NewEmisData!I:I, NewEmisData!$A:$A, "Pickup", NewEmisData!$B:$B, $A51, NewEmisData!$C:$C, $H51, NewEmisData!$D:$D, BW$2), SUMIFS(NewEmisData!I:I, NewEmisData!$A:$A, "LDV", NewEmisData!$B:$B, $A51, NewEmisData!$C:$C, $H51, NewEmisData!$D:$D, BW$2))</f>
        <v>8.6521134713852199E-2</v>
      </c>
      <c r="BX51" s="324">
        <f>$I51*IF($G51="Pickup", SUMIFS(NewEmisData!J:J, NewEmisData!$A:$A, "Pickup", NewEmisData!$B:$B, $A51, NewEmisData!$C:$C, $H51, NewEmisData!$D:$D, BX$2), SUMIFS(NewEmisData!J:J, NewEmisData!$A:$A, "LDV", NewEmisData!$B:$B, $A51, NewEmisData!$C:$C, $H51, NewEmisData!$D:$D, BX$2))</f>
        <v>7.8799557271556006E-2</v>
      </c>
      <c r="BY51" s="324">
        <f>$I51*IF($G51="Pickup", SUMIFS(NewEmisData!K:K, NewEmisData!$A:$A, "Pickup", NewEmisData!$B:$B, $A51, NewEmisData!$C:$C, $H51, NewEmisData!$D:$D, BY$2), SUMIFS(NewEmisData!K:K, NewEmisData!$A:$A, "LDV", NewEmisData!$B:$B, $A51, NewEmisData!$C:$C, $H51, NewEmisData!$D:$D, BY$2))</f>
        <v>7.5970690016113201E-2</v>
      </c>
      <c r="BZ51" s="324">
        <f>$I51*IF($G51="Pickup", SUMIFS(NewEmisData!L:L, NewEmisData!$A:$A, "Pickup", NewEmisData!$B:$B, $A51, NewEmisData!$C:$C, $H51, NewEmisData!$D:$D, BZ$2), SUMIFS(NewEmisData!L:L, NewEmisData!$A:$A, "LDV", NewEmisData!$B:$B, $A51, NewEmisData!$C:$C, $H51, NewEmisData!$D:$D, BZ$2))</f>
        <v>7.5590952804230893E-2</v>
      </c>
      <c r="CA51" s="324">
        <f>$I51*IF($G51="Pickup", SUMIFS(NewEmisData!M:M, NewEmisData!$A:$A, "Pickup", NewEmisData!$B:$B, $A51, NewEmisData!$C:$C, $H51, NewEmisData!$D:$D, CA$2), SUMIFS(NewEmisData!M:M, NewEmisData!$A:$A, "LDV", NewEmisData!$B:$B, $A51, NewEmisData!$C:$C, $H51, NewEmisData!$D:$D, CA$2))</f>
        <v>7.5542152779806193E-2</v>
      </c>
      <c r="CB51" s="324">
        <f t="shared" si="11"/>
        <v>7.5542152779806193E-2</v>
      </c>
      <c r="CC51" s="324">
        <f>$I51*IF($G51="Pickup", SUMIFS(NewEmisData!E:E, NewEmisData!$A:$A, "Pickup", NewEmisData!$B:$B, $A51, NewEmisData!$C:$C, $H51, NewEmisData!$D:$D, CC$2), SUMIFS(NewEmisData!E:E, NewEmisData!$A:$A, "LDV", NewEmisData!$B:$B, $A51, NewEmisData!$C:$C, $H51, NewEmisData!$D:$D, CC$2))</f>
        <v>2.16468318052957E-2</v>
      </c>
      <c r="CD51" s="324">
        <f>$I51*IF($G51="Pickup", SUMIFS(NewEmisData!F:F, NewEmisData!$A:$A, "Pickup", NewEmisData!$B:$B, $A51, NewEmisData!$C:$C, $H51, NewEmisData!$D:$D, CD$2), SUMIFS(NewEmisData!F:F, NewEmisData!$A:$A, "LDV", NewEmisData!$B:$B, $A51, NewEmisData!$C:$C, $H51, NewEmisData!$D:$D, CD$2))</f>
        <v>2.1972242613450699E-2</v>
      </c>
      <c r="CE51" s="324">
        <f>$I51*IF($G51="Pickup", SUMIFS(NewEmisData!G:G, NewEmisData!$A:$A, "Pickup", NewEmisData!$B:$B, $A51, NewEmisData!$C:$C, $H51, NewEmisData!$D:$D, CE$2), SUMIFS(NewEmisData!G:G, NewEmisData!$A:$A, "LDV", NewEmisData!$B:$B, $A51, NewEmisData!$C:$C, $H51, NewEmisData!$D:$D, CE$2))</f>
        <v>2.5860339526608201E-2</v>
      </c>
      <c r="CF51" s="324">
        <f>$I51*IF($G51="Pickup", SUMIFS(NewEmisData!H:H, NewEmisData!$A:$A, "Pickup", NewEmisData!$B:$B, $A51, NewEmisData!$C:$C, $H51, NewEmisData!$D:$D, CF$2), SUMIFS(NewEmisData!H:H, NewEmisData!$A:$A, "LDV", NewEmisData!$B:$B, $A51, NewEmisData!$C:$C, $H51, NewEmisData!$D:$D, CF$2))</f>
        <v>2.6208017246267999E-2</v>
      </c>
      <c r="CG51" s="324">
        <f>$I51*IF($G51="Pickup", SUMIFS(NewEmisData!I:I, NewEmisData!$A:$A, "Pickup", NewEmisData!$B:$B, $A51, NewEmisData!$C:$C, $H51, NewEmisData!$D:$D, CG$2), SUMIFS(NewEmisData!I:I, NewEmisData!$A:$A, "LDV", NewEmisData!$B:$B, $A51, NewEmisData!$C:$C, $H51, NewEmisData!$D:$D, CG$2))</f>
        <v>2.63642052010069E-2</v>
      </c>
      <c r="CH51" s="324">
        <f>$I51*IF($G51="Pickup", SUMIFS(NewEmisData!J:J, NewEmisData!$A:$A, "Pickup", NewEmisData!$B:$B, $A51, NewEmisData!$C:$C, $H51, NewEmisData!$D:$D, CH$2), SUMIFS(NewEmisData!J:J, NewEmisData!$A:$A, "LDV", NewEmisData!$B:$B, $A51, NewEmisData!$C:$C, $H51, NewEmisData!$D:$D, CH$2))</f>
        <v>2.6406150713610799E-2</v>
      </c>
      <c r="CI51" s="324">
        <f>$I51*IF($G51="Pickup", SUMIFS(NewEmisData!K:K, NewEmisData!$A:$A, "Pickup", NewEmisData!$B:$B, $A51, NewEmisData!$C:$C, $H51, NewEmisData!$D:$D, CI$2), SUMIFS(NewEmisData!K:K, NewEmisData!$A:$A, "LDV", NewEmisData!$B:$B, $A51, NewEmisData!$C:$C, $H51, NewEmisData!$D:$D, CI$2))</f>
        <v>2.6406935918658499E-2</v>
      </c>
      <c r="CJ51" s="324">
        <f>$I51*IF($G51="Pickup", SUMIFS(NewEmisData!L:L, NewEmisData!$A:$A, "Pickup", NewEmisData!$B:$B, $A51, NewEmisData!$C:$C, $H51, NewEmisData!$D:$D, CJ$2), SUMIFS(NewEmisData!L:L, NewEmisData!$A:$A, "LDV", NewEmisData!$B:$B, $A51, NewEmisData!$C:$C, $H51, NewEmisData!$D:$D, CJ$2))</f>
        <v>2.6413249319123599E-2</v>
      </c>
      <c r="CK51" s="324">
        <f>$I51*IF($G51="Pickup", SUMIFS(NewEmisData!M:M, NewEmisData!$A:$A, "Pickup", NewEmisData!$B:$B, $A51, NewEmisData!$C:$C, $H51, NewEmisData!$D:$D, CK$2), SUMIFS(NewEmisData!M:M, NewEmisData!$A:$A, "LDV", NewEmisData!$B:$B, $A51, NewEmisData!$C:$C, $H51, NewEmisData!$D:$D, CK$2))</f>
        <v>2.64133257576398E-2</v>
      </c>
      <c r="CL51" s="324">
        <f t="shared" si="12"/>
        <v>2.64133257576398E-2</v>
      </c>
      <c r="CM51" s="324">
        <f>$I51*IF($G51="Pickup", SUMIFS(NewEmisData!E:E, NewEmisData!$A:$A, "Pickup", NewEmisData!$B:$B, $A51, NewEmisData!$C:$C, $H51, NewEmisData!$D:$D, CM$2), SUMIFS(NewEmisData!E:E, NewEmisData!$A:$A, "LDV", NewEmisData!$B:$B, $A51, NewEmisData!$C:$C, $H51, NewEmisData!$D:$D, CM$2))</f>
        <v>3.2365775208456201E-3</v>
      </c>
      <c r="CN51" s="324">
        <f>$I51*IF($G51="Pickup", SUMIFS(NewEmisData!F:F, NewEmisData!$A:$A, "Pickup", NewEmisData!$B:$B, $A51, NewEmisData!$C:$C, $H51, NewEmisData!$D:$D, CN$2), SUMIFS(NewEmisData!F:F, NewEmisData!$A:$A, "LDV", NewEmisData!$B:$B, $A51, NewEmisData!$C:$C, $H51, NewEmisData!$D:$D, CN$2))</f>
        <v>3.293368941576E-3</v>
      </c>
      <c r="CO51" s="324">
        <f>$I51*IF($G51="Pickup", SUMIFS(NewEmisData!G:G, NewEmisData!$A:$A, "Pickup", NewEmisData!$B:$B, $A51, NewEmisData!$C:$C, $H51, NewEmisData!$D:$D, CO$2), SUMIFS(NewEmisData!G:G, NewEmisData!$A:$A, "LDV", NewEmisData!$B:$B, $A51, NewEmisData!$C:$C, $H51, NewEmisData!$D:$D, CO$2))</f>
        <v>3.8504916290908399E-3</v>
      </c>
      <c r="CP51" s="324">
        <f>$I51*IF($G51="Pickup", SUMIFS(NewEmisData!H:H, NewEmisData!$A:$A, "Pickup", NewEmisData!$B:$B, $A51, NewEmisData!$C:$C, $H51, NewEmisData!$D:$D, CP$2), SUMIFS(NewEmisData!H:H, NewEmisData!$A:$A, "LDV", NewEmisData!$B:$B, $A51, NewEmisData!$C:$C, $H51, NewEmisData!$D:$D, CP$2))</f>
        <v>3.8731151501036599E-3</v>
      </c>
      <c r="CQ51" s="324">
        <f>$I51*IF($G51="Pickup", SUMIFS(NewEmisData!I:I, NewEmisData!$A:$A, "Pickup", NewEmisData!$B:$B, $A51, NewEmisData!$C:$C, $H51, NewEmisData!$D:$D, CQ$2), SUMIFS(NewEmisData!I:I, NewEmisData!$A:$A, "LDV", NewEmisData!$B:$B, $A51, NewEmisData!$C:$C, $H51, NewEmisData!$D:$D, CQ$2))</f>
        <v>3.8906493325600298E-3</v>
      </c>
      <c r="CR51" s="324">
        <f>$I51*IF($G51="Pickup", SUMIFS(NewEmisData!J:J, NewEmisData!$A:$A, "Pickup", NewEmisData!$B:$B, $A51, NewEmisData!$C:$C, $H51, NewEmisData!$D:$D, CR$2), SUMIFS(NewEmisData!J:J, NewEmisData!$A:$A, "LDV", NewEmisData!$B:$B, $A51, NewEmisData!$C:$C, $H51, NewEmisData!$D:$D, CR$2))</f>
        <v>3.90510120662665E-3</v>
      </c>
      <c r="CS51" s="324">
        <f>$I51*IF($G51="Pickup", SUMIFS(NewEmisData!K:K, NewEmisData!$A:$A, "Pickup", NewEmisData!$B:$B, $A51, NewEmisData!$C:$C, $H51, NewEmisData!$D:$D, CS$2), SUMIFS(NewEmisData!K:K, NewEmisData!$A:$A, "LDV", NewEmisData!$B:$B, $A51, NewEmisData!$C:$C, $H51, NewEmisData!$D:$D, CS$2))</f>
        <v>3.9086196839243099E-3</v>
      </c>
      <c r="CT51" s="324">
        <f>$I51*IF($G51="Pickup", SUMIFS(NewEmisData!L:L, NewEmisData!$A:$A, "Pickup", NewEmisData!$B:$B, $A51, NewEmisData!$C:$C, $H51, NewEmisData!$D:$D, CT$2), SUMIFS(NewEmisData!L:L, NewEmisData!$A:$A, "LDV", NewEmisData!$B:$B, $A51, NewEmisData!$C:$C, $H51, NewEmisData!$D:$D, CT$2))</f>
        <v>3.9100173169225204E-3</v>
      </c>
      <c r="CU51" s="324">
        <f>$I51*IF($G51="Pickup", SUMIFS(NewEmisData!M:M, NewEmisData!$A:$A, "Pickup", NewEmisData!$B:$B, $A51, NewEmisData!$C:$C, $H51, NewEmisData!$D:$D, CU$2), SUMIFS(NewEmisData!M:M, NewEmisData!$A:$A, "LDV", NewEmisData!$B:$B, $A51, NewEmisData!$C:$C, $H51, NewEmisData!$D:$D, CU$2))</f>
        <v>3.9105970714047996E-3</v>
      </c>
      <c r="CV51" s="324">
        <f t="shared" si="13"/>
        <v>3.9105970714047996E-3</v>
      </c>
      <c r="CW51" s="324">
        <v>0.12767609553272316</v>
      </c>
      <c r="CX51" s="324">
        <v>6.0965444660888601E-2</v>
      </c>
      <c r="CY51" s="324">
        <v>1.6598456567846732E-2</v>
      </c>
      <c r="CZ51" s="324">
        <v>3.3604812012321423E-3</v>
      </c>
      <c r="DA51" s="324">
        <v>1.5241571918114991E-3</v>
      </c>
      <c r="DB51" s="324">
        <v>1.0003681376209209E-3</v>
      </c>
      <c r="DC51" s="324">
        <v>9.0365490602724134E-4</v>
      </c>
      <c r="DD51" s="324">
        <v>8.9947941829660093E-4</v>
      </c>
      <c r="DE51" s="324">
        <v>8.980159958761482E-4</v>
      </c>
      <c r="DF51" s="324">
        <v>8.980159958761482E-4</v>
      </c>
      <c r="DG51" s="324">
        <f>$I51*IF($G51="Pickup", SUMIFS(NewEmisData!E:E, NewEmisData!$A:$A, "Pickup", NewEmisData!$B:$B, $A51, NewEmisData!$C:$C, $H51, NewEmisData!$D:$D, DG$2), SUMIFS(NewEmisData!E:E, NewEmisData!$A:$A, "LDV", NewEmisData!$B:$B, $A51, NewEmisData!$C:$C, $H51, NewEmisData!$D:$D, DG$2))</f>
        <v>0</v>
      </c>
      <c r="DH51" s="324">
        <f>$I51*IF($G51="Pickup", SUMIFS(NewEmisData!F:F, NewEmisData!$A:$A, "Pickup", NewEmisData!$B:$B, $A51, NewEmisData!$C:$C, $H51, NewEmisData!$D:$D, DH$2), SUMIFS(NewEmisData!F:F, NewEmisData!$A:$A, "LDV", NewEmisData!$B:$B, $A51, NewEmisData!$C:$C, $H51, NewEmisData!$D:$D, DH$2))</f>
        <v>0</v>
      </c>
      <c r="DI51" s="324">
        <f>$I51*IF($G51="Pickup", SUMIFS(NewEmisData!G:G, NewEmisData!$A:$A, "Pickup", NewEmisData!$B:$B, $A51, NewEmisData!$C:$C, $H51, NewEmisData!$D:$D, DI$2), SUMIFS(NewEmisData!G:G, NewEmisData!$A:$A, "LDV", NewEmisData!$B:$B, $A51, NewEmisData!$C:$C, $H51, NewEmisData!$D:$D, DI$2))</f>
        <v>0</v>
      </c>
      <c r="DJ51" s="324">
        <f>$I51*IF($G51="Pickup", SUMIFS(NewEmisData!H:H, NewEmisData!$A:$A, "Pickup", NewEmisData!$B:$B, $A51, NewEmisData!$C:$C, $H51, NewEmisData!$D:$D, DJ$2), SUMIFS(NewEmisData!H:H, NewEmisData!$A:$A, "LDV", NewEmisData!$B:$B, $A51, NewEmisData!$C:$C, $H51, NewEmisData!$D:$D, DJ$2))</f>
        <v>0</v>
      </c>
      <c r="DK51" s="324">
        <f>$I51*IF($G51="Pickup", SUMIFS(NewEmisData!I:I, NewEmisData!$A:$A, "Pickup", NewEmisData!$B:$B, $A51, NewEmisData!$C:$C, $H51, NewEmisData!$D:$D, DK$2), SUMIFS(NewEmisData!I:I, NewEmisData!$A:$A, "LDV", NewEmisData!$B:$B, $A51, NewEmisData!$C:$C, $H51, NewEmisData!$D:$D, DK$2))</f>
        <v>0</v>
      </c>
      <c r="DL51" s="324">
        <f>$I51*IF($G51="Pickup", SUMIFS(NewEmisData!J:J, NewEmisData!$A:$A, "Pickup", NewEmisData!$B:$B, $A51, NewEmisData!$C:$C, $H51, NewEmisData!$D:$D, DL$2), SUMIFS(NewEmisData!J:J, NewEmisData!$A:$A, "LDV", NewEmisData!$B:$B, $A51, NewEmisData!$C:$C, $H51, NewEmisData!$D:$D, DL$2))</f>
        <v>0</v>
      </c>
      <c r="DM51" s="324">
        <f>$I51*IF($G51="Pickup", SUMIFS(NewEmisData!K:K, NewEmisData!$A:$A, "Pickup", NewEmisData!$B:$B, $A51, NewEmisData!$C:$C, $H51, NewEmisData!$D:$D, DM$2), SUMIFS(NewEmisData!K:K, NewEmisData!$A:$A, "LDV", NewEmisData!$B:$B, $A51, NewEmisData!$C:$C, $H51, NewEmisData!$D:$D, DM$2))</f>
        <v>0</v>
      </c>
      <c r="DN51" s="324">
        <f>$I51*IF($G51="Pickup", SUMIFS(NewEmisData!L:L, NewEmisData!$A:$A, "Pickup", NewEmisData!$B:$B, $A51, NewEmisData!$C:$C, $H51, NewEmisData!$D:$D, DN$2), SUMIFS(NewEmisData!L:L, NewEmisData!$A:$A, "LDV", NewEmisData!$B:$B, $A51, NewEmisData!$C:$C, $H51, NewEmisData!$D:$D, DN$2))</f>
        <v>0</v>
      </c>
      <c r="DO51" s="324">
        <f>$I51*IF($G51="Pickup", SUMIFS(NewEmisData!M:M, NewEmisData!$A:$A, "Pickup", NewEmisData!$B:$B, $A51, NewEmisData!$C:$C, $H51, NewEmisData!$D:$D, DO$2), SUMIFS(NewEmisData!M:M, NewEmisData!$A:$A, "LDV", NewEmisData!$B:$B, $A51, NewEmisData!$C:$C, $H51, NewEmisData!$D:$D, DO$2))</f>
        <v>0</v>
      </c>
      <c r="DP51" s="324">
        <f t="shared" si="14"/>
        <v>0</v>
      </c>
      <c r="DQ51" s="324">
        <f>$I51*IF($G51="Pickup", SUMIFS(NewEmisData!E:E, NewEmisData!$A:$A, "Pickup", NewEmisData!$B:$B, $A51, NewEmisData!$C:$C, $H51, NewEmisData!$D:$D, DQ$2), SUMIFS(NewEmisData!E:E, NewEmisData!$A:$A, "LDV", NewEmisData!$B:$B, $A51, NewEmisData!$C:$C, $H51, NewEmisData!$D:$D, DQ$2))</f>
        <v>2.3378447923627501E-2</v>
      </c>
      <c r="DR51" s="324">
        <f>$I51*IF($G51="Pickup", SUMIFS(NewEmisData!F:F, NewEmisData!$A:$A, "Pickup", NewEmisData!$B:$B, $A51, NewEmisData!$C:$C, $H51, NewEmisData!$D:$D, DR$2), SUMIFS(NewEmisData!F:F, NewEmisData!$A:$A, "LDV", NewEmisData!$B:$B, $A51, NewEmisData!$C:$C, $H51, NewEmisData!$D:$D, DR$2))</f>
        <v>5.9931645629362401E-2</v>
      </c>
      <c r="DS51" s="324">
        <f>$I51*IF($G51="Pickup", SUMIFS(NewEmisData!G:G, NewEmisData!$A:$A, "Pickup", NewEmisData!$B:$B, $A51, NewEmisData!$C:$C, $H51, NewEmisData!$D:$D, DS$2), SUMIFS(NewEmisData!G:G, NewEmisData!$A:$A, "LDV", NewEmisData!$B:$B, $A51, NewEmisData!$C:$C, $H51, NewEmisData!$D:$D, DS$2))</f>
        <v>7.9836239798044106E-2</v>
      </c>
      <c r="DT51" s="324">
        <f>$I51*IF($G51="Pickup", SUMIFS(NewEmisData!H:H, NewEmisData!$A:$A, "Pickup", NewEmisData!$B:$B, $A51, NewEmisData!$C:$C, $H51, NewEmisData!$D:$D, DT$2), SUMIFS(NewEmisData!H:H, NewEmisData!$A:$A, "LDV", NewEmisData!$B:$B, $A51, NewEmisData!$C:$C, $H51, NewEmisData!$D:$D, DT$2))</f>
        <v>8.2139547099570304E-2</v>
      </c>
      <c r="DU51" s="324">
        <f>$I51*IF($G51="Pickup", SUMIFS(NewEmisData!I:I, NewEmisData!$A:$A, "Pickup", NewEmisData!$B:$B, $A51, NewEmisData!$C:$C, $H51, NewEmisData!$D:$D, DU$2), SUMIFS(NewEmisData!I:I, NewEmisData!$A:$A, "LDV", NewEmisData!$B:$B, $A51, NewEmisData!$C:$C, $H51, NewEmisData!$D:$D, DU$2))</f>
        <v>7.8825534949940504E-2</v>
      </c>
      <c r="DV51" s="324">
        <f>$I51*IF($G51="Pickup", SUMIFS(NewEmisData!J:J, NewEmisData!$A:$A, "Pickup", NewEmisData!$B:$B, $A51, NewEmisData!$C:$C, $H51, NewEmisData!$D:$D, DV$2), SUMIFS(NewEmisData!J:J, NewEmisData!$A:$A, "LDV", NewEmisData!$B:$B, $A51, NewEmisData!$C:$C, $H51, NewEmisData!$D:$D, DV$2))</f>
        <v>7.7161434111260904E-2</v>
      </c>
      <c r="DW51" s="324">
        <f>$I51*IF($G51="Pickup", SUMIFS(NewEmisData!K:K, NewEmisData!$A:$A, "Pickup", NewEmisData!$B:$B, $A51, NewEmisData!$C:$C, $H51, NewEmisData!$D:$D, DW$2), SUMIFS(NewEmisData!K:K, NewEmisData!$A:$A, "LDV", NewEmisData!$B:$B, $A51, NewEmisData!$C:$C, $H51, NewEmisData!$D:$D, DW$2))</f>
        <v>7.6458583896438795E-2</v>
      </c>
      <c r="DX51" s="324">
        <f>$I51*IF($G51="Pickup", SUMIFS(NewEmisData!L:L, NewEmisData!$A:$A, "Pickup", NewEmisData!$B:$B, $A51, NewEmisData!$C:$C, $H51, NewEmisData!$D:$D, DX$2), SUMIFS(NewEmisData!L:L, NewEmisData!$A:$A, "LDV", NewEmisData!$B:$B, $A51, NewEmisData!$C:$C, $H51, NewEmisData!$D:$D, DX$2))</f>
        <v>7.6057080955913695E-2</v>
      </c>
      <c r="DY51" s="324">
        <f>$I51*IF($G51="Pickup", SUMIFS(NewEmisData!M:M, NewEmisData!$A:$A, "Pickup", NewEmisData!$B:$B, $A51, NewEmisData!$C:$C, $H51, NewEmisData!$D:$D, DY$2), SUMIFS(NewEmisData!M:M, NewEmisData!$A:$A, "LDV", NewEmisData!$B:$B, $A51, NewEmisData!$C:$C, $H51, NewEmisData!$D:$D, DY$2))</f>
        <v>7.6005735255123302E-2</v>
      </c>
      <c r="DZ51" s="324">
        <f t="shared" si="15"/>
        <v>7.6005735255123302E-2</v>
      </c>
      <c r="EA51" s="324">
        <f t="shared" si="16"/>
        <v>773.00518961697105</v>
      </c>
      <c r="EB51" s="324">
        <f t="shared" si="17"/>
        <v>777.05831428786598</v>
      </c>
      <c r="EC51" s="324">
        <f t="shared" si="18"/>
        <v>722.21118061328798</v>
      </c>
      <c r="ED51" s="324">
        <f t="shared" si="19"/>
        <v>665.78256916046701</v>
      </c>
      <c r="EE51" s="324">
        <f t="shared" si="20"/>
        <v>636.24145467371295</v>
      </c>
      <c r="EF51" s="324">
        <f t="shared" si="21"/>
        <v>625.96899503747898</v>
      </c>
      <c r="EG51" s="324">
        <f t="shared" si="22"/>
        <v>621.74761645766603</v>
      </c>
      <c r="EH51" s="324">
        <f t="shared" si="23"/>
        <v>620.86049615628997</v>
      </c>
      <c r="EI51" s="324">
        <f t="shared" si="24"/>
        <v>620.71437714580998</v>
      </c>
      <c r="EJ51" s="324">
        <f t="shared" si="25"/>
        <v>620.71437714580998</v>
      </c>
      <c r="EK51" s="324">
        <f t="shared" si="26"/>
        <v>3.6092494466574898</v>
      </c>
      <c r="EL51" s="324">
        <f t="shared" si="27"/>
        <v>2.1550799991450602</v>
      </c>
      <c r="EM51" s="324">
        <f t="shared" si="28"/>
        <v>1.0436792106220301</v>
      </c>
      <c r="EN51" s="324">
        <f t="shared" si="29"/>
        <v>0.58249684868569596</v>
      </c>
      <c r="EO51" s="324">
        <f t="shared" si="30"/>
        <v>0.437359402107109</v>
      </c>
      <c r="EP51" s="324">
        <f t="shared" si="31"/>
        <v>0.37754269716468403</v>
      </c>
      <c r="EQ51" s="324">
        <f t="shared" si="32"/>
        <v>0.35671080159392998</v>
      </c>
      <c r="ER51" s="324">
        <f t="shared" si="33"/>
        <v>0.35411462139335698</v>
      </c>
      <c r="ES51" s="324">
        <f t="shared" si="34"/>
        <v>0.35354569023511601</v>
      </c>
      <c r="ET51" s="324">
        <f t="shared" si="35"/>
        <v>0.35354569023511601</v>
      </c>
      <c r="EU51" s="324">
        <f t="shared" si="36"/>
        <v>1.9050330768017602E-2</v>
      </c>
      <c r="EV51" s="324">
        <f t="shared" si="37"/>
        <v>1.8736831962009801E-2</v>
      </c>
      <c r="EW51" s="324">
        <f t="shared" si="38"/>
        <v>6.0691091383090904E-3</v>
      </c>
      <c r="EX51" s="324">
        <f t="shared" si="39"/>
        <v>5.5590567053943798E-3</v>
      </c>
      <c r="EY51" s="324">
        <f t="shared" si="40"/>
        <v>5.30653588670125E-3</v>
      </c>
      <c r="EZ51" s="324">
        <f t="shared" si="41"/>
        <v>5.2199789799785498E-3</v>
      </c>
      <c r="FA51" s="324">
        <f t="shared" si="42"/>
        <v>5.1835830149830602E-3</v>
      </c>
      <c r="FB51" s="324">
        <f t="shared" si="43"/>
        <v>5.1761875972578097E-3</v>
      </c>
      <c r="FC51" s="324">
        <f t="shared" si="44"/>
        <v>5.1749722579466301E-3</v>
      </c>
      <c r="FD51" s="324">
        <f t="shared" si="45"/>
        <v>5.1749722579466301E-3</v>
      </c>
      <c r="FE51" s="324">
        <f t="shared" si="46"/>
        <v>0.31205278515688301</v>
      </c>
      <c r="FF51" s="324">
        <f t="shared" si="47"/>
        <v>0.183178492376145</v>
      </c>
      <c r="FG51" s="324">
        <f t="shared" si="48"/>
        <v>0.10329260621681099</v>
      </c>
      <c r="FH51" s="324">
        <f t="shared" si="49"/>
        <v>8.2948855249809494E-2</v>
      </c>
      <c r="FI51" s="324">
        <f t="shared" si="50"/>
        <v>7.8447276389448206E-2</v>
      </c>
      <c r="FJ51" s="324">
        <f t="shared" si="51"/>
        <v>7.7727855866957601E-2</v>
      </c>
      <c r="FK51" s="324">
        <f t="shared" si="52"/>
        <v>7.7217009381167295E-2</v>
      </c>
      <c r="FL51" s="324">
        <f t="shared" si="53"/>
        <v>7.7206992070653097E-2</v>
      </c>
      <c r="FM51" s="324">
        <f t="shared" si="54"/>
        <v>7.7206302805218396E-2</v>
      </c>
      <c r="FN51" s="324">
        <f t="shared" si="55"/>
        <v>7.7206302805218396E-2</v>
      </c>
      <c r="FO51" s="324">
        <f t="shared" si="56"/>
        <v>0.23777342790109099</v>
      </c>
      <c r="FP51" s="324">
        <f t="shared" si="57"/>
        <v>0.119164243380003</v>
      </c>
      <c r="FQ51" s="324">
        <f t="shared" si="58"/>
        <v>4.3487228132229903E-2</v>
      </c>
      <c r="FR51" s="324">
        <f t="shared" si="59"/>
        <v>2.5091205959475602E-2</v>
      </c>
      <c r="FS51" s="324">
        <f t="shared" si="60"/>
        <v>2.10745605429505E-2</v>
      </c>
      <c r="FT51" s="324">
        <f t="shared" si="61"/>
        <v>2.0468169162330799E-2</v>
      </c>
      <c r="FU51" s="324">
        <f t="shared" si="62"/>
        <v>2.00107986444071E-2</v>
      </c>
      <c r="FV51" s="324">
        <f t="shared" si="63"/>
        <v>2.0003012264218599E-2</v>
      </c>
      <c r="FW51" s="324">
        <f t="shared" si="64"/>
        <v>2.0002520756278099E-2</v>
      </c>
      <c r="FX51" s="324">
        <f t="shared" si="65"/>
        <v>2.0002520756278099E-2</v>
      </c>
    </row>
    <row r="52" spans="1:180" x14ac:dyDescent="0.2">
      <c r="A52" s="298" t="str">
        <f>_xlfn.CONCAT(IF(LEFT(TRIM(A51),1)="*", "*R", "R"), 1+RIGHT(TRIM(A51),1))</f>
        <v>R4</v>
      </c>
      <c r="B52" s="298" t="str">
        <f t="shared" si="107"/>
        <v>TLEPDSL</v>
      </c>
      <c r="C52" s="298" t="str">
        <f t="shared" si="108"/>
        <v>TL.DSL.P.Existing fleet</v>
      </c>
      <c r="D52" s="294" t="str">
        <f t="shared" si="109"/>
        <v>bn-vmt, bn-vmt/a</v>
      </c>
      <c r="E52" s="294" t="str">
        <f t="shared" si="110"/>
        <v>TRNDSL</v>
      </c>
      <c r="F52" s="294" t="str">
        <f t="shared" si="111"/>
        <v>TL</v>
      </c>
      <c r="G52" s="294" t="s">
        <v>329</v>
      </c>
      <c r="H52" s="294" t="s">
        <v>477</v>
      </c>
      <c r="I52" s="294">
        <v>1</v>
      </c>
      <c r="J52" s="308" t="str">
        <f t="shared" si="101"/>
        <v>Pickup-DSL</v>
      </c>
      <c r="K52" s="324">
        <f>$I52*IF($G52="Pickup", SUMIFS(NewEmisData!E:E, NewEmisData!$A:$A, "Pickup", NewEmisData!$B:$B, $A52, NewEmisData!$C:$C, $H52, NewEmisData!$D:$D, K$2), SUMIFS(NewEmisData!E:E, NewEmisData!$A:$A, "LDV", NewEmisData!$B:$B, $A52, NewEmisData!$C:$C, $H52, NewEmisData!$D:$D, K$2))</f>
        <v>1018.96313127451</v>
      </c>
      <c r="L52" s="324">
        <f>$I52*IF($G52="Pickup", SUMIFS(NewEmisData!F:F, NewEmisData!$A:$A, "Pickup", NewEmisData!$B:$B, $A52, NewEmisData!$C:$C, $H52, NewEmisData!$D:$D, L$2), SUMIFS(NewEmisData!F:F, NewEmisData!$A:$A, "LDV", NewEmisData!$B:$B, $A52, NewEmisData!$C:$C, $H52, NewEmisData!$D:$D, L$2))</f>
        <v>1003.30348772091</v>
      </c>
      <c r="M52" s="324">
        <f>$I52*IF($G52="Pickup", SUMIFS(NewEmisData!G:G, NewEmisData!$A:$A, "Pickup", NewEmisData!$B:$B, $A52, NewEmisData!$C:$C, $H52, NewEmisData!$D:$D, M$2), SUMIFS(NewEmisData!G:G, NewEmisData!$A:$A, "LDV", NewEmisData!$B:$B, $A52, NewEmisData!$C:$C, $H52, NewEmisData!$D:$D, M$2))</f>
        <v>832.60347781241796</v>
      </c>
      <c r="N52" s="324">
        <f>$I52*IF($G52="Pickup", SUMIFS(NewEmisData!H:H, NewEmisData!$A:$A, "Pickup", NewEmisData!$B:$B, $A52, NewEmisData!$C:$C, $H52, NewEmisData!$D:$D, N$2), SUMIFS(NewEmisData!H:H, NewEmisData!$A:$A, "LDV", NewEmisData!$B:$B, $A52, NewEmisData!$C:$C, $H52, NewEmisData!$D:$D, N$2))</f>
        <v>765.60951654141104</v>
      </c>
      <c r="O52" s="324">
        <f>$I52*IF($G52="Pickup", SUMIFS(NewEmisData!I:I, NewEmisData!$A:$A, "Pickup", NewEmisData!$B:$B, $A52, NewEmisData!$C:$C, $H52, NewEmisData!$D:$D, O$2), SUMIFS(NewEmisData!I:I, NewEmisData!$A:$A, "LDV", NewEmisData!$B:$B, $A52, NewEmisData!$C:$C, $H52, NewEmisData!$D:$D, O$2))</f>
        <v>730.82365882186798</v>
      </c>
      <c r="P52" s="324">
        <f>$I52*IF($G52="Pickup", SUMIFS(NewEmisData!J:J, NewEmisData!$A:$A, "Pickup", NewEmisData!$B:$B, $A52, NewEmisData!$C:$C, $H52, NewEmisData!$D:$D, P$2), SUMIFS(NewEmisData!J:J, NewEmisData!$A:$A, "LDV", NewEmisData!$B:$B, $A52, NewEmisData!$C:$C, $H52, NewEmisData!$D:$D, P$2))</f>
        <v>718.59265298434605</v>
      </c>
      <c r="Q52" s="324">
        <f>$I52*IF($G52="Pickup", SUMIFS(NewEmisData!K:K, NewEmisData!$A:$A, "Pickup", NewEmisData!$B:$B, $A52, NewEmisData!$C:$C, $H52, NewEmisData!$D:$D, Q$2), SUMIFS(NewEmisData!K:K, NewEmisData!$A:$A, "LDV", NewEmisData!$B:$B, $A52, NewEmisData!$C:$C, $H52, NewEmisData!$D:$D, Q$2))</f>
        <v>713.64358303318795</v>
      </c>
      <c r="R52" s="324">
        <f>$I52*IF($G52="Pickup", SUMIFS(NewEmisData!L:L, NewEmisData!$A:$A, "Pickup", NewEmisData!$B:$B, $A52, NewEmisData!$C:$C, $H52, NewEmisData!$D:$D, R$2), SUMIFS(NewEmisData!L:L, NewEmisData!$A:$A, "LDV", NewEmisData!$B:$B, $A52, NewEmisData!$C:$C, $H52, NewEmisData!$D:$D, R$2))</f>
        <v>712.61156314924801</v>
      </c>
      <c r="S52" s="324">
        <f>$I52*IF($G52="Pickup", SUMIFS(NewEmisData!M:M, NewEmisData!$A:$A, "Pickup", NewEmisData!$B:$B, $A52, NewEmisData!$C:$C, $H52, NewEmisData!$D:$D, S$2), SUMIFS(NewEmisData!M:M, NewEmisData!$A:$A, "LDV", NewEmisData!$B:$B, $A52, NewEmisData!$C:$C, $H52, NewEmisData!$D:$D, S$2))</f>
        <v>712.44178461058902</v>
      </c>
      <c r="T52" s="324">
        <f t="shared" si="5"/>
        <v>712.44178461058902</v>
      </c>
      <c r="U52" s="324">
        <f>$I52*IF($G52="Pickup", SUMIFS(NewEmisData!E:E, NewEmisData!$A:$A, "Pickup", NewEmisData!$B:$B, $A52, NewEmisData!$C:$C, $H52, NewEmisData!$D:$D, U$2), SUMIFS(NewEmisData!E:E, NewEmisData!$A:$A, "LDV", NewEmisData!$B:$B, $A52, NewEmisData!$C:$C, $H52, NewEmisData!$D:$D, U$2))</f>
        <v>3.8609668599878799</v>
      </c>
      <c r="V52" s="324">
        <f>$I52*IF($G52="Pickup", SUMIFS(NewEmisData!F:F, NewEmisData!$A:$A, "Pickup", NewEmisData!$B:$B, $A52, NewEmisData!$C:$C, $H52, NewEmisData!$D:$D, V$2), SUMIFS(NewEmisData!F:F, NewEmisData!$A:$A, "LDV", NewEmisData!$B:$B, $A52, NewEmisData!$C:$C, $H52, NewEmisData!$D:$D, V$2))</f>
        <v>1.7384543043107801</v>
      </c>
      <c r="W52" s="324">
        <f>$I52*IF($G52="Pickup", SUMIFS(NewEmisData!G:G, NewEmisData!$A:$A, "Pickup", NewEmisData!$B:$B, $A52, NewEmisData!$C:$C, $H52, NewEmisData!$D:$D, W$2), SUMIFS(NewEmisData!G:G, NewEmisData!$A:$A, "LDV", NewEmisData!$B:$B, $A52, NewEmisData!$C:$C, $H52, NewEmisData!$D:$D, W$2))</f>
        <v>1.2103782987071801</v>
      </c>
      <c r="X52" s="324">
        <f>$I52*IF($G52="Pickup", SUMIFS(NewEmisData!H:H, NewEmisData!$A:$A, "Pickup", NewEmisData!$B:$B, $A52, NewEmisData!$C:$C, $H52, NewEmisData!$D:$D, X$2), SUMIFS(NewEmisData!H:H, NewEmisData!$A:$A, "LDV", NewEmisData!$B:$B, $A52, NewEmisData!$C:$C, $H52, NewEmisData!$D:$D, X$2))</f>
        <v>0.66770894020689397</v>
      </c>
      <c r="Y52" s="324">
        <f>$I52*IF($G52="Pickup", SUMIFS(NewEmisData!I:I, NewEmisData!$A:$A, "Pickup", NewEmisData!$B:$B, $A52, NewEmisData!$C:$C, $H52, NewEmisData!$D:$D, Y$2), SUMIFS(NewEmisData!I:I, NewEmisData!$A:$A, "LDV", NewEmisData!$B:$B, $A52, NewEmisData!$C:$C, $H52, NewEmisData!$D:$D, Y$2))</f>
        <v>0.49784857859244702</v>
      </c>
      <c r="Z52" s="324">
        <f>$I52*IF($G52="Pickup", SUMIFS(NewEmisData!J:J, NewEmisData!$A:$A, "Pickup", NewEmisData!$B:$B, $A52, NewEmisData!$C:$C, $H52, NewEmisData!$D:$D, Z$2), SUMIFS(NewEmisData!J:J, NewEmisData!$A:$A, "LDV", NewEmisData!$B:$B, $A52, NewEmisData!$C:$C, $H52, NewEmisData!$D:$D, Z$2))</f>
        <v>0.42701255176701403</v>
      </c>
      <c r="AA52" s="324">
        <f>$I52*IF($G52="Pickup", SUMIFS(NewEmisData!K:K, NewEmisData!$A:$A, "Pickup", NewEmisData!$B:$B, $A52, NewEmisData!$C:$C, $H52, NewEmisData!$D:$D, AA$2), SUMIFS(NewEmisData!K:K, NewEmisData!$A:$A, "LDV", NewEmisData!$B:$B, $A52, NewEmisData!$C:$C, $H52, NewEmisData!$D:$D, AA$2))</f>
        <v>0.40301938881553501</v>
      </c>
      <c r="AB52" s="324">
        <f>$I52*IF($G52="Pickup", SUMIFS(NewEmisData!L:L, NewEmisData!$A:$A, "Pickup", NewEmisData!$B:$B, $A52, NewEmisData!$C:$C, $H52, NewEmisData!$D:$D, AB$2), SUMIFS(NewEmisData!L:L, NewEmisData!$A:$A, "LDV", NewEmisData!$B:$B, $A52, NewEmisData!$C:$C, $H52, NewEmisData!$D:$D, AB$2))</f>
        <v>0.40008467495929501</v>
      </c>
      <c r="AC52" s="324">
        <f>$I52*IF($G52="Pickup", SUMIFS(NewEmisData!M:M, NewEmisData!$A:$A, "Pickup", NewEmisData!$B:$B, $A52, NewEmisData!$C:$C, $H52, NewEmisData!$D:$D, AC$2), SUMIFS(NewEmisData!M:M, NewEmisData!$A:$A, "LDV", NewEmisData!$B:$B, $A52, NewEmisData!$C:$C, $H52, NewEmisData!$D:$D, AC$2))</f>
        <v>0.39942726133663098</v>
      </c>
      <c r="AD52" s="324">
        <f t="shared" si="6"/>
        <v>0.39942726133663098</v>
      </c>
      <c r="AE52" s="324">
        <f>$I52*IF($G52="Pickup", SUMIFS(NewEmisData!E:E, NewEmisData!$A:$A, "Pickup", NewEmisData!$B:$B, $A52, NewEmisData!$C:$C, $H52, NewEmisData!$D:$D, AE$2), SUMIFS(NewEmisData!E:E, NewEmisData!$A:$A, "LDV", NewEmisData!$B:$B, $A52, NewEmisData!$C:$C, $H52, NewEmisData!$D:$D, AE$2))</f>
        <v>2.4669617448422401E-2</v>
      </c>
      <c r="AF52" s="324">
        <f>$I52*IF($G52="Pickup", SUMIFS(NewEmisData!F:F, NewEmisData!$A:$A, "Pickup", NewEmisData!$B:$B, $A52, NewEmisData!$C:$C, $H52, NewEmisData!$D:$D, AF$2), SUMIFS(NewEmisData!F:F, NewEmisData!$A:$A, "LDV", NewEmisData!$B:$B, $A52, NewEmisData!$C:$C, $H52, NewEmisData!$D:$D, AF$2))</f>
        <v>2.3739027735448701E-2</v>
      </c>
      <c r="AG52" s="324">
        <f>$I52*IF($G52="Pickup", SUMIFS(NewEmisData!G:G, NewEmisData!$A:$A, "Pickup", NewEmisData!$B:$B, $A52, NewEmisData!$C:$C, $H52, NewEmisData!$D:$D, AG$2), SUMIFS(NewEmisData!G:G, NewEmisData!$A:$A, "LDV", NewEmisData!$B:$B, $A52, NewEmisData!$C:$C, $H52, NewEmisData!$D:$D, AG$2))</f>
        <v>6.9959324879015402E-3</v>
      </c>
      <c r="AH52" s="324">
        <f>$I52*IF($G52="Pickup", SUMIFS(NewEmisData!H:H, NewEmisData!$A:$A, "Pickup", NewEmisData!$B:$B, $A52, NewEmisData!$C:$C, $H52, NewEmisData!$D:$D, AH$2), SUMIFS(NewEmisData!H:H, NewEmisData!$A:$A, "LDV", NewEmisData!$B:$B, $A52, NewEmisData!$C:$C, $H52, NewEmisData!$D:$D, AH$2))</f>
        <v>6.3923298658080004E-3</v>
      </c>
      <c r="AI52" s="324">
        <f>$I52*IF($G52="Pickup", SUMIFS(NewEmisData!I:I, NewEmisData!$A:$A, "Pickup", NewEmisData!$B:$B, $A52, NewEmisData!$C:$C, $H52, NewEmisData!$D:$D, AI$2), SUMIFS(NewEmisData!I:I, NewEmisData!$A:$A, "LDV", NewEmisData!$B:$B, $A52, NewEmisData!$C:$C, $H52, NewEmisData!$D:$D, AI$2))</f>
        <v>6.0952966022863502E-3</v>
      </c>
      <c r="AJ52" s="324">
        <f>$I52*IF($G52="Pickup", SUMIFS(NewEmisData!J:J, NewEmisData!$A:$A, "Pickup", NewEmisData!$B:$B, $A52, NewEmisData!$C:$C, $H52, NewEmisData!$D:$D, AJ$2), SUMIFS(NewEmisData!J:J, NewEmisData!$A:$A, "LDV", NewEmisData!$B:$B, $A52, NewEmisData!$C:$C, $H52, NewEmisData!$D:$D, AJ$2))</f>
        <v>5.9923324338108201E-3</v>
      </c>
      <c r="AK52" s="324">
        <f>$I52*IF($G52="Pickup", SUMIFS(NewEmisData!K:K, NewEmisData!$A:$A, "Pickup", NewEmisData!$B:$B, $A52, NewEmisData!$C:$C, $H52, NewEmisData!$D:$D, AK$2), SUMIFS(NewEmisData!K:K, NewEmisData!$A:$A, "LDV", NewEmisData!$B:$B, $A52, NewEmisData!$C:$C, $H52, NewEmisData!$D:$D, AK$2))</f>
        <v>5.9497367252985796E-3</v>
      </c>
      <c r="AL52" s="324">
        <f>$I52*IF($G52="Pickup", SUMIFS(NewEmisData!L:L, NewEmisData!$A:$A, "Pickup", NewEmisData!$B:$B, $A52, NewEmisData!$C:$C, $H52, NewEmisData!$D:$D, AL$2), SUMIFS(NewEmisData!L:L, NewEmisData!$A:$A, "LDV", NewEmisData!$B:$B, $A52, NewEmisData!$C:$C, $H52, NewEmisData!$D:$D, AL$2))</f>
        <v>5.9411276438017602E-3</v>
      </c>
      <c r="AM52" s="324">
        <f>$I52*IF($G52="Pickup", SUMIFS(NewEmisData!M:M, NewEmisData!$A:$A, "Pickup", NewEmisData!$B:$B, $A52, NewEmisData!$C:$C, $H52, NewEmisData!$D:$D, AM$2), SUMIFS(NewEmisData!M:M, NewEmisData!$A:$A, "LDV", NewEmisData!$B:$B, $A52, NewEmisData!$C:$C, $H52, NewEmisData!$D:$D, AM$2))</f>
        <v>5.9397139594027301E-3</v>
      </c>
      <c r="AN52" s="324">
        <f t="shared" si="7"/>
        <v>5.9397139594027301E-3</v>
      </c>
      <c r="AO52" s="324">
        <f>$I52*IF($G52="Pickup", SUMIFS(NewEmisData!E:E, NewEmisData!$A:$A, "Pickup", NewEmisData!$B:$B, $A52, NewEmisData!$C:$C, $H52, NewEmisData!$D:$D, AO$2), SUMIFS(NewEmisData!E:E, NewEmisData!$A:$A, "LDV", NewEmisData!$B:$B, $A52, NewEmisData!$C:$C, $H52, NewEmisData!$D:$D, AO$2))</f>
        <v>0.36783761900051698</v>
      </c>
      <c r="AP52" s="324">
        <f>$I52*IF($G52="Pickup", SUMIFS(NewEmisData!F:F, NewEmisData!$A:$A, "Pickup", NewEmisData!$B:$B, $A52, NewEmisData!$C:$C, $H52, NewEmisData!$D:$D, AP$2), SUMIFS(NewEmisData!F:F, NewEmisData!$A:$A, "LDV", NewEmisData!$B:$B, $A52, NewEmisData!$C:$C, $H52, NewEmisData!$D:$D, AP$2))</f>
        <v>0.18380908994723399</v>
      </c>
      <c r="AQ52" s="324">
        <f>$I52*IF($G52="Pickup", SUMIFS(NewEmisData!G:G, NewEmisData!$A:$A, "Pickup", NewEmisData!$B:$B, $A52, NewEmisData!$C:$C, $H52, NewEmisData!$D:$D, AQ$2), SUMIFS(NewEmisData!G:G, NewEmisData!$A:$A, "LDV", NewEmisData!$B:$B, $A52, NewEmisData!$C:$C, $H52, NewEmisData!$D:$D, AQ$2))</f>
        <v>0.13458028153150201</v>
      </c>
      <c r="AR52" s="324">
        <f>$I52*IF($G52="Pickup", SUMIFS(NewEmisData!H:H, NewEmisData!$A:$A, "Pickup", NewEmisData!$B:$B, $A52, NewEmisData!$C:$C, $H52, NewEmisData!$D:$D, AR$2), SUMIFS(NewEmisData!H:H, NewEmisData!$A:$A, "LDV", NewEmisData!$B:$B, $A52, NewEmisData!$C:$C, $H52, NewEmisData!$D:$D, AR$2))</f>
        <v>0.10941693225613</v>
      </c>
      <c r="AS52" s="324">
        <f>$I52*IF($G52="Pickup", SUMIFS(NewEmisData!I:I, NewEmisData!$A:$A, "Pickup", NewEmisData!$B:$B, $A52, NewEmisData!$C:$C, $H52, NewEmisData!$D:$D, AS$2), SUMIFS(NewEmisData!I:I, NewEmisData!$A:$A, "LDV", NewEmisData!$B:$B, $A52, NewEmisData!$C:$C, $H52, NewEmisData!$D:$D, AS$2))</f>
        <v>0.10368720194384699</v>
      </c>
      <c r="AT52" s="324">
        <f>$I52*IF($G52="Pickup", SUMIFS(NewEmisData!J:J, NewEmisData!$A:$A, "Pickup", NewEmisData!$B:$B, $A52, NewEmisData!$C:$C, $H52, NewEmisData!$D:$D, AT$2), SUMIFS(NewEmisData!J:J, NewEmisData!$A:$A, "LDV", NewEmisData!$B:$B, $A52, NewEmisData!$C:$C, $H52, NewEmisData!$D:$D, AT$2))</f>
        <v>0.102786589329098</v>
      </c>
      <c r="AU52" s="324">
        <f>$I52*IF($G52="Pickup", SUMIFS(NewEmisData!K:K, NewEmisData!$A:$A, "Pickup", NewEmisData!$B:$B, $A52, NewEmisData!$C:$C, $H52, NewEmisData!$D:$D, AU$2), SUMIFS(NewEmisData!K:K, NewEmisData!$A:$A, "LDV", NewEmisData!$B:$B, $A52, NewEmisData!$C:$C, $H52, NewEmisData!$D:$D, AU$2))</f>
        <v>0.10216362480144101</v>
      </c>
      <c r="AV52" s="324">
        <f>$I52*IF($G52="Pickup", SUMIFS(NewEmisData!L:L, NewEmisData!$A:$A, "Pickup", NewEmisData!$B:$B, $A52, NewEmisData!$C:$C, $H52, NewEmisData!$D:$D, AV$2), SUMIFS(NewEmisData!L:L, NewEmisData!$A:$A, "LDV", NewEmisData!$B:$B, $A52, NewEmisData!$C:$C, $H52, NewEmisData!$D:$D, AV$2))</f>
        <v>0.10215247207365299</v>
      </c>
      <c r="AW52" s="324">
        <f>$I52*IF($G52="Pickup", SUMIFS(NewEmisData!M:M, NewEmisData!$A:$A, "Pickup", NewEmisData!$B:$B, $A52, NewEmisData!$C:$C, $H52, NewEmisData!$D:$D, AW$2), SUMIFS(NewEmisData!M:M, NewEmisData!$A:$A, "LDV", NewEmisData!$B:$B, $A52, NewEmisData!$C:$C, $H52, NewEmisData!$D:$D, AW$2))</f>
        <v>0.10215234020502</v>
      </c>
      <c r="AX52" s="324">
        <f t="shared" si="8"/>
        <v>0.10215234020502</v>
      </c>
      <c r="AY52" s="324">
        <f>$I52*IF($G52="Pickup", SUMIFS(NewEmisData!E:E, NewEmisData!$A:$A, "Pickup", NewEmisData!$B:$B, $A52, NewEmisData!$C:$C, $H52, NewEmisData!$D:$D, AY$2), SUMIFS(NewEmisData!E:E, NewEmisData!$A:$A, "LDV", NewEmisData!$B:$B, $A52, NewEmisData!$C:$C, $H52, NewEmisData!$D:$D, AY$2))</f>
        <v>0.25644295590534799</v>
      </c>
      <c r="AZ52" s="324">
        <f>$I52*IF($G52="Pickup", SUMIFS(NewEmisData!F:F, NewEmisData!$A:$A, "Pickup", NewEmisData!$B:$B, $A52, NewEmisData!$C:$C, $H52, NewEmisData!$D:$D, AZ$2), SUMIFS(NewEmisData!F:F, NewEmisData!$A:$A, "LDV", NewEmisData!$B:$B, $A52, NewEmisData!$C:$C, $H52, NewEmisData!$D:$D, AZ$2))</f>
        <v>8.7008067032986594E-2</v>
      </c>
      <c r="BA52" s="324">
        <f>$I52*IF($G52="Pickup", SUMIFS(NewEmisData!G:G, NewEmisData!$A:$A, "Pickup", NewEmisData!$B:$B, $A52, NewEmisData!$C:$C, $H52, NewEmisData!$D:$D, BA$2), SUMIFS(NewEmisData!G:G, NewEmisData!$A:$A, "LDV", NewEmisData!$B:$B, $A52, NewEmisData!$C:$C, $H52, NewEmisData!$D:$D, BA$2))</f>
        <v>5.4457389966713697E-2</v>
      </c>
      <c r="BB52" s="324">
        <f>$I52*IF($G52="Pickup", SUMIFS(NewEmisData!H:H, NewEmisData!$A:$A, "Pickup", NewEmisData!$B:$B, $A52, NewEmisData!$C:$C, $H52, NewEmisData!$D:$D, BB$2), SUMIFS(NewEmisData!H:H, NewEmisData!$A:$A, "LDV", NewEmisData!$B:$B, $A52, NewEmisData!$C:$C, $H52, NewEmisData!$D:$D, BB$2))</f>
        <v>3.1960173039199E-2</v>
      </c>
      <c r="BC52" s="324">
        <f>$I52*IF($G52="Pickup", SUMIFS(NewEmisData!I:I, NewEmisData!$A:$A, "Pickup", NewEmisData!$B:$B, $A52, NewEmisData!$C:$C, $H52, NewEmisData!$D:$D, BC$2), SUMIFS(NewEmisData!I:I, NewEmisData!$A:$A, "LDV", NewEmisData!$B:$B, $A52, NewEmisData!$C:$C, $H52, NewEmisData!$D:$D, BC$2))</f>
        <v>2.69431550090969E-2</v>
      </c>
      <c r="BD52" s="324">
        <f>$I52*IF($G52="Pickup", SUMIFS(NewEmisData!J:J, NewEmisData!$A:$A, "Pickup", NewEmisData!$B:$B, $A52, NewEmisData!$C:$C, $H52, NewEmisData!$D:$D, BD$2), SUMIFS(NewEmisData!J:J, NewEmisData!$A:$A, "LDV", NewEmisData!$B:$B, $A52, NewEmisData!$C:$C, $H52, NewEmisData!$D:$D, BD$2))</f>
        <v>2.6224755089352899E-2</v>
      </c>
      <c r="BE52" s="324">
        <f>$I52*IF($G52="Pickup", SUMIFS(NewEmisData!K:K, NewEmisData!$A:$A, "Pickup", NewEmisData!$B:$B, $A52, NewEmisData!$C:$C, $H52, NewEmisData!$D:$D, BE$2), SUMIFS(NewEmisData!K:K, NewEmisData!$A:$A, "LDV", NewEmisData!$B:$B, $A52, NewEmisData!$C:$C, $H52, NewEmisData!$D:$D, BE$2))</f>
        <v>2.5675591824579101E-2</v>
      </c>
      <c r="BF52" s="324">
        <f>$I52*IF($G52="Pickup", SUMIFS(NewEmisData!L:L, NewEmisData!$A:$A, "Pickup", NewEmisData!$B:$B, $A52, NewEmisData!$C:$C, $H52, NewEmisData!$D:$D, BF$2), SUMIFS(NewEmisData!L:L, NewEmisData!$A:$A, "LDV", NewEmisData!$B:$B, $A52, NewEmisData!$C:$C, $H52, NewEmisData!$D:$D, BF$2))</f>
        <v>2.5668770542683898E-2</v>
      </c>
      <c r="BG52" s="324">
        <f>$I52*IF($G52="Pickup", SUMIFS(NewEmisData!M:M, NewEmisData!$A:$A, "Pickup", NewEmisData!$B:$B, $A52, NewEmisData!$C:$C, $H52, NewEmisData!$D:$D, BG$2), SUMIFS(NewEmisData!M:M, NewEmisData!$A:$A, "LDV", NewEmisData!$B:$B, $A52, NewEmisData!$C:$C, $H52, NewEmisData!$D:$D, BG$2))</f>
        <v>2.5668851803880399E-2</v>
      </c>
      <c r="BH52" s="324">
        <f t="shared" si="9"/>
        <v>2.5668851803880399E-2</v>
      </c>
      <c r="BI52" s="324">
        <f>$I52*IF($G52="Pickup", SUMIFS(NewEmisData!E:E, NewEmisData!$A:$A, "Pickup", NewEmisData!$B:$B, $A52, NewEmisData!$C:$C, $H52, NewEmisData!$D:$D, BI$2), SUMIFS(NewEmisData!E:E, NewEmisData!$A:$A, "LDV", NewEmisData!$B:$B, $A52, NewEmisData!$C:$C, $H52, NewEmisData!$D:$D, BI$2))</f>
        <v>13.669440788045399</v>
      </c>
      <c r="BJ52" s="324">
        <f>$I52*IF($G52="Pickup", SUMIFS(NewEmisData!F:F, NewEmisData!$A:$A, "Pickup", NewEmisData!$B:$B, $A52, NewEmisData!$C:$C, $H52, NewEmisData!$D:$D, BJ$2), SUMIFS(NewEmisData!F:F, NewEmisData!$A:$A, "LDV", NewEmisData!$B:$B, $A52, NewEmisData!$C:$C, $H52, NewEmisData!$D:$D, BJ$2))</f>
        <v>6.2319793694512597</v>
      </c>
      <c r="BK52" s="324">
        <f>$I52*IF($G52="Pickup", SUMIFS(NewEmisData!G:G, NewEmisData!$A:$A, "Pickup", NewEmisData!$B:$B, $A52, NewEmisData!$C:$C, $H52, NewEmisData!$D:$D, BK$2), SUMIFS(NewEmisData!G:G, NewEmisData!$A:$A, "LDV", NewEmisData!$B:$B, $A52, NewEmisData!$C:$C, $H52, NewEmisData!$D:$D, BK$2))</f>
        <v>2.0614733013043098</v>
      </c>
      <c r="BL52" s="324">
        <f>$I52*IF($G52="Pickup", SUMIFS(NewEmisData!H:H, NewEmisData!$A:$A, "Pickup", NewEmisData!$B:$B, $A52, NewEmisData!$C:$C, $H52, NewEmisData!$D:$D, BL$2), SUMIFS(NewEmisData!H:H, NewEmisData!$A:$A, "LDV", NewEmisData!$B:$B, $A52, NewEmisData!$C:$C, $H52, NewEmisData!$D:$D, BL$2))</f>
        <v>1.2254290803613299</v>
      </c>
      <c r="BM52" s="324">
        <f>$I52*IF($G52="Pickup", SUMIFS(NewEmisData!I:I, NewEmisData!$A:$A, "Pickup", NewEmisData!$B:$B, $A52, NewEmisData!$C:$C, $H52, NewEmisData!$D:$D, BM$2), SUMIFS(NewEmisData!I:I, NewEmisData!$A:$A, "LDV", NewEmisData!$B:$B, $A52, NewEmisData!$C:$C, $H52, NewEmisData!$D:$D, BM$2))</f>
        <v>0.90695968794417703</v>
      </c>
      <c r="BN52" s="324">
        <f>$I52*IF($G52="Pickup", SUMIFS(NewEmisData!J:J, NewEmisData!$A:$A, "Pickup", NewEmisData!$B:$B, $A52, NewEmisData!$C:$C, $H52, NewEmisData!$D:$D, BN$2), SUMIFS(NewEmisData!J:J, NewEmisData!$A:$A, "LDV", NewEmisData!$B:$B, $A52, NewEmisData!$C:$C, $H52, NewEmisData!$D:$D, BN$2))</f>
        <v>0.77320002471930704</v>
      </c>
      <c r="BO52" s="324">
        <f>$I52*IF($G52="Pickup", SUMIFS(NewEmisData!K:K, NewEmisData!$A:$A, "Pickup", NewEmisData!$B:$B, $A52, NewEmisData!$C:$C, $H52, NewEmisData!$D:$D, BO$2), SUMIFS(NewEmisData!K:K, NewEmisData!$A:$A, "LDV", NewEmisData!$B:$B, $A52, NewEmisData!$C:$C, $H52, NewEmisData!$D:$D, BO$2))</f>
        <v>0.72183237297719904</v>
      </c>
      <c r="BP52" s="324">
        <f>$I52*IF($G52="Pickup", SUMIFS(NewEmisData!L:L, NewEmisData!$A:$A, "Pickup", NewEmisData!$B:$B, $A52, NewEmisData!$C:$C, $H52, NewEmisData!$D:$D, BP$2), SUMIFS(NewEmisData!L:L, NewEmisData!$A:$A, "LDV", NewEmisData!$B:$B, $A52, NewEmisData!$C:$C, $H52, NewEmisData!$D:$D, BP$2))</f>
        <v>0.70837282942218205</v>
      </c>
      <c r="BQ52" s="324">
        <f>$I52*IF($G52="Pickup", SUMIFS(NewEmisData!M:M, NewEmisData!$A:$A, "Pickup", NewEmisData!$B:$B, $A52, NewEmisData!$C:$C, $H52, NewEmisData!$D:$D, BQ$2), SUMIFS(NewEmisData!M:M, NewEmisData!$A:$A, "LDV", NewEmisData!$B:$B, $A52, NewEmisData!$C:$C, $H52, NewEmisData!$D:$D, BQ$2))</f>
        <v>0.70584484258450297</v>
      </c>
      <c r="BR52" s="324">
        <f t="shared" si="10"/>
        <v>0.70584484258450297</v>
      </c>
      <c r="BS52" s="324">
        <f>$I52*IF($G52="Pickup", SUMIFS(NewEmisData!E:E, NewEmisData!$A:$A, "Pickup", NewEmisData!$B:$B, $A52, NewEmisData!$C:$C, $H52, NewEmisData!$D:$D, BS$2), SUMIFS(NewEmisData!E:E, NewEmisData!$A:$A, "LDV", NewEmisData!$B:$B, $A52, NewEmisData!$C:$C, $H52, NewEmisData!$D:$D, BS$2))</f>
        <v>1.4812032246307101</v>
      </c>
      <c r="BT52" s="324">
        <f>$I52*IF($G52="Pickup", SUMIFS(NewEmisData!F:F, NewEmisData!$A:$A, "Pickup", NewEmisData!$B:$B, $A52, NewEmisData!$C:$C, $H52, NewEmisData!$D:$D, BT$2), SUMIFS(NewEmisData!F:F, NewEmisData!$A:$A, "LDV", NewEmisData!$B:$B, $A52, NewEmisData!$C:$C, $H52, NewEmisData!$D:$D, BT$2))</f>
        <v>0.54792395616724199</v>
      </c>
      <c r="BU52" s="324">
        <f>$I52*IF($G52="Pickup", SUMIFS(NewEmisData!G:G, NewEmisData!$A:$A, "Pickup", NewEmisData!$B:$B, $A52, NewEmisData!$C:$C, $H52, NewEmisData!$D:$D, BU$2), SUMIFS(NewEmisData!G:G, NewEmisData!$A:$A, "LDV", NewEmisData!$B:$B, $A52, NewEmisData!$C:$C, $H52, NewEmisData!$D:$D, BU$2))</f>
        <v>0.23446493505254601</v>
      </c>
      <c r="BV52" s="324">
        <f>$I52*IF($G52="Pickup", SUMIFS(NewEmisData!H:H, NewEmisData!$A:$A, "Pickup", NewEmisData!$B:$B, $A52, NewEmisData!$C:$C, $H52, NewEmisData!$D:$D, BV$2), SUMIFS(NewEmisData!H:H, NewEmisData!$A:$A, "LDV", NewEmisData!$B:$B, $A52, NewEmisData!$C:$C, $H52, NewEmisData!$D:$D, BV$2))</f>
        <v>0.12187940167113399</v>
      </c>
      <c r="BW52" s="324">
        <f>$I52*IF($G52="Pickup", SUMIFS(NewEmisData!I:I, NewEmisData!$A:$A, "Pickup", NewEmisData!$B:$B, $A52, NewEmisData!$C:$C, $H52, NewEmisData!$D:$D, BW$2), SUMIFS(NewEmisData!I:I, NewEmisData!$A:$A, "LDV", NewEmisData!$B:$B, $A52, NewEmisData!$C:$C, $H52, NewEmisData!$D:$D, BW$2))</f>
        <v>9.6647005846271297E-2</v>
      </c>
      <c r="BX52" s="324">
        <f>$I52*IF($G52="Pickup", SUMIFS(NewEmisData!J:J, NewEmisData!$A:$A, "Pickup", NewEmisData!$B:$B, $A52, NewEmisData!$C:$C, $H52, NewEmisData!$D:$D, BX$2), SUMIFS(NewEmisData!J:J, NewEmisData!$A:$A, "LDV", NewEmisData!$B:$B, $A52, NewEmisData!$C:$C, $H52, NewEmisData!$D:$D, BX$2))</f>
        <v>8.8618016448605494E-2</v>
      </c>
      <c r="BY52" s="324">
        <f>$I52*IF($G52="Pickup", SUMIFS(NewEmisData!K:K, NewEmisData!$A:$A, "Pickup", NewEmisData!$B:$B, $A52, NewEmisData!$C:$C, $H52, NewEmisData!$D:$D, BY$2), SUMIFS(NewEmisData!K:K, NewEmisData!$A:$A, "LDV", NewEmisData!$B:$B, $A52, NewEmisData!$C:$C, $H52, NewEmisData!$D:$D, BY$2))</f>
        <v>8.5561027850342405E-2</v>
      </c>
      <c r="BZ52" s="324">
        <f>$I52*IF($G52="Pickup", SUMIFS(NewEmisData!L:L, NewEmisData!$A:$A, "Pickup", NewEmisData!$B:$B, $A52, NewEmisData!$C:$C, $H52, NewEmisData!$D:$D, BZ$2), SUMIFS(NewEmisData!L:L, NewEmisData!$A:$A, "LDV", NewEmisData!$B:$B, $A52, NewEmisData!$C:$C, $H52, NewEmisData!$D:$D, BZ$2))</f>
        <v>8.5214480563201106E-2</v>
      </c>
      <c r="CA52" s="324">
        <f>$I52*IF($G52="Pickup", SUMIFS(NewEmisData!M:M, NewEmisData!$A:$A, "Pickup", NewEmisData!$B:$B, $A52, NewEmisData!$C:$C, $H52, NewEmisData!$D:$D, CA$2), SUMIFS(NewEmisData!M:M, NewEmisData!$A:$A, "LDV", NewEmisData!$B:$B, $A52, NewEmisData!$C:$C, $H52, NewEmisData!$D:$D, CA$2))</f>
        <v>8.5173211054719894E-2</v>
      </c>
      <c r="CB52" s="324">
        <f t="shared" si="11"/>
        <v>8.5173211054719894E-2</v>
      </c>
      <c r="CC52" s="324">
        <f>$I52*IF($G52="Pickup", SUMIFS(NewEmisData!E:E, NewEmisData!$A:$A, "Pickup", NewEmisData!$B:$B, $A52, NewEmisData!$C:$C, $H52, NewEmisData!$D:$D, CC$2), SUMIFS(NewEmisData!E:E, NewEmisData!$A:$A, "LDV", NewEmisData!$B:$B, $A52, NewEmisData!$C:$C, $H52, NewEmisData!$D:$D, CC$2))</f>
        <v>2.8165949380129899E-2</v>
      </c>
      <c r="CD52" s="324">
        <f>$I52*IF($G52="Pickup", SUMIFS(NewEmisData!F:F, NewEmisData!$A:$A, "Pickup", NewEmisData!$B:$B, $A52, NewEmisData!$C:$C, $H52, NewEmisData!$D:$D, CD$2), SUMIFS(NewEmisData!F:F, NewEmisData!$A:$A, "LDV", NewEmisData!$B:$B, $A52, NewEmisData!$C:$C, $H52, NewEmisData!$D:$D, CD$2))</f>
        <v>3.02249021801488E-2</v>
      </c>
      <c r="CE52" s="324">
        <f>$I52*IF($G52="Pickup", SUMIFS(NewEmisData!G:G, NewEmisData!$A:$A, "Pickup", NewEmisData!$B:$B, $A52, NewEmisData!$C:$C, $H52, NewEmisData!$D:$D, CE$2), SUMIFS(NewEmisData!G:G, NewEmisData!$A:$A, "LDV", NewEmisData!$B:$B, $A52, NewEmisData!$C:$C, $H52, NewEmisData!$D:$D, CE$2))</f>
        <v>2.9026822770376999E-2</v>
      </c>
      <c r="CF52" s="324">
        <f>$I52*IF($G52="Pickup", SUMIFS(NewEmisData!H:H, NewEmisData!$A:$A, "Pickup", NewEmisData!$B:$B, $A52, NewEmisData!$C:$C, $H52, NewEmisData!$D:$D, CF$2), SUMIFS(NewEmisData!H:H, NewEmisData!$A:$A, "LDV", NewEmisData!$B:$B, $A52, NewEmisData!$C:$C, $H52, NewEmisData!$D:$D, CF$2))</f>
        <v>2.92911249658874E-2</v>
      </c>
      <c r="CG52" s="324">
        <f>$I52*IF($G52="Pickup", SUMIFS(NewEmisData!I:I, NewEmisData!$A:$A, "Pickup", NewEmisData!$B:$B, $A52, NewEmisData!$C:$C, $H52, NewEmisData!$D:$D, CG$2), SUMIFS(NewEmisData!I:I, NewEmisData!$A:$A, "LDV", NewEmisData!$B:$B, $A52, NewEmisData!$C:$C, $H52, NewEmisData!$D:$D, CG$2))</f>
        <v>2.9415425343037298E-2</v>
      </c>
      <c r="CH52" s="324">
        <f>$I52*IF($G52="Pickup", SUMIFS(NewEmisData!J:J, NewEmisData!$A:$A, "Pickup", NewEmisData!$B:$B, $A52, NewEmisData!$C:$C, $H52, NewEmisData!$D:$D, CH$2), SUMIFS(NewEmisData!J:J, NewEmisData!$A:$A, "LDV", NewEmisData!$B:$B, $A52, NewEmisData!$C:$C, $H52, NewEmisData!$D:$D, CH$2))</f>
        <v>2.9440910975783701E-2</v>
      </c>
      <c r="CI52" s="324">
        <f>$I52*IF($G52="Pickup", SUMIFS(NewEmisData!K:K, NewEmisData!$A:$A, "Pickup", NewEmisData!$B:$B, $A52, NewEmisData!$C:$C, $H52, NewEmisData!$D:$D, CI$2), SUMIFS(NewEmisData!K:K, NewEmisData!$A:$A, "LDV", NewEmisData!$B:$B, $A52, NewEmisData!$C:$C, $H52, NewEmisData!$D:$D, CI$2))</f>
        <v>2.9437400547559101E-2</v>
      </c>
      <c r="CJ52" s="324">
        <f>$I52*IF($G52="Pickup", SUMIFS(NewEmisData!L:L, NewEmisData!$A:$A, "Pickup", NewEmisData!$B:$B, $A52, NewEmisData!$C:$C, $H52, NewEmisData!$D:$D, CJ$2), SUMIFS(NewEmisData!L:L, NewEmisData!$A:$A, "LDV", NewEmisData!$B:$B, $A52, NewEmisData!$C:$C, $H52, NewEmisData!$D:$D, CJ$2))</f>
        <v>2.9443620592142599E-2</v>
      </c>
      <c r="CK52" s="324">
        <f>$I52*IF($G52="Pickup", SUMIFS(NewEmisData!M:M, NewEmisData!$A:$A, "Pickup", NewEmisData!$B:$B, $A52, NewEmisData!$C:$C, $H52, NewEmisData!$D:$D, CK$2), SUMIFS(NewEmisData!M:M, NewEmisData!$A:$A, "LDV", NewEmisData!$B:$B, $A52, NewEmisData!$C:$C, $H52, NewEmisData!$D:$D, CK$2))</f>
        <v>2.94436639271515E-2</v>
      </c>
      <c r="CL52" s="324">
        <f t="shared" si="12"/>
        <v>2.94436639271515E-2</v>
      </c>
      <c r="CM52" s="324">
        <f>$I52*IF($G52="Pickup", SUMIFS(NewEmisData!E:E, NewEmisData!$A:$A, "Pickup", NewEmisData!$B:$B, $A52, NewEmisData!$C:$C, $H52, NewEmisData!$D:$D, CM$2), SUMIFS(NewEmisData!E:E, NewEmisData!$A:$A, "LDV", NewEmisData!$B:$B, $A52, NewEmisData!$C:$C, $H52, NewEmisData!$D:$D, CM$2))</f>
        <v>5.4437064537931701E-3</v>
      </c>
      <c r="CN52" s="324">
        <f>$I52*IF($G52="Pickup", SUMIFS(NewEmisData!F:F, NewEmisData!$A:$A, "Pickup", NewEmisData!$B:$B, $A52, NewEmisData!$C:$C, $H52, NewEmisData!$D:$D, CN$2), SUMIFS(NewEmisData!F:F, NewEmisData!$A:$A, "LDV", NewEmisData!$B:$B, $A52, NewEmisData!$C:$C, $H52, NewEmisData!$D:$D, CN$2))</f>
        <v>5.7099885497643903E-3</v>
      </c>
      <c r="CO52" s="324">
        <f>$I52*IF($G52="Pickup", SUMIFS(NewEmisData!G:G, NewEmisData!$A:$A, "Pickup", NewEmisData!$B:$B, $A52, NewEmisData!$C:$C, $H52, NewEmisData!$D:$D, CO$2), SUMIFS(NewEmisData!G:G, NewEmisData!$A:$A, "LDV", NewEmisData!$B:$B, $A52, NewEmisData!$C:$C, $H52, NewEmisData!$D:$D, CO$2))</f>
        <v>4.9831163513818404E-3</v>
      </c>
      <c r="CP52" s="324">
        <f>$I52*IF($G52="Pickup", SUMIFS(NewEmisData!H:H, NewEmisData!$A:$A, "Pickup", NewEmisData!$B:$B, $A52, NewEmisData!$C:$C, $H52, NewEmisData!$D:$D, CP$2), SUMIFS(NewEmisData!H:H, NewEmisData!$A:$A, "LDV", NewEmisData!$B:$B, $A52, NewEmisData!$C:$C, $H52, NewEmisData!$D:$D, CP$2))</f>
        <v>4.99223210529648E-3</v>
      </c>
      <c r="CQ52" s="324">
        <f>$I52*IF($G52="Pickup", SUMIFS(NewEmisData!I:I, NewEmisData!$A:$A, "Pickup", NewEmisData!$B:$B, $A52, NewEmisData!$C:$C, $H52, NewEmisData!$D:$D, CQ$2), SUMIFS(NewEmisData!I:I, NewEmisData!$A:$A, "LDV", NewEmisData!$B:$B, $A52, NewEmisData!$C:$C, $H52, NewEmisData!$D:$D, CQ$2))</f>
        <v>5.0048487650355897E-3</v>
      </c>
      <c r="CR52" s="324">
        <f>$I52*IF($G52="Pickup", SUMIFS(NewEmisData!J:J, NewEmisData!$A:$A, "Pickup", NewEmisData!$B:$B, $A52, NewEmisData!$C:$C, $H52, NewEmisData!$D:$D, CR$2), SUMIFS(NewEmisData!J:J, NewEmisData!$A:$A, "LDV", NewEmisData!$B:$B, $A52, NewEmisData!$C:$C, $H52, NewEmisData!$D:$D, CR$2))</f>
        <v>5.0155445027106902E-3</v>
      </c>
      <c r="CS52" s="324">
        <f>$I52*IF($G52="Pickup", SUMIFS(NewEmisData!K:K, NewEmisData!$A:$A, "Pickup", NewEmisData!$B:$B, $A52, NewEmisData!$C:$C, $H52, NewEmisData!$D:$D, CS$2), SUMIFS(NewEmisData!K:K, NewEmisData!$A:$A, "LDV", NewEmisData!$B:$B, $A52, NewEmisData!$C:$C, $H52, NewEmisData!$D:$D, CS$2))</f>
        <v>5.0179098254809398E-3</v>
      </c>
      <c r="CT52" s="324">
        <f>$I52*IF($G52="Pickup", SUMIFS(NewEmisData!L:L, NewEmisData!$A:$A, "Pickup", NewEmisData!$B:$B, $A52, NewEmisData!$C:$C, $H52, NewEmisData!$D:$D, CT$2), SUMIFS(NewEmisData!L:L, NewEmisData!$A:$A, "LDV", NewEmisData!$B:$B, $A52, NewEmisData!$C:$C, $H52, NewEmisData!$D:$D, CT$2))</f>
        <v>5.0193479900696898E-3</v>
      </c>
      <c r="CU52" s="324">
        <f>$I52*IF($G52="Pickup", SUMIFS(NewEmisData!M:M, NewEmisData!$A:$A, "Pickup", NewEmisData!$B:$B, $A52, NewEmisData!$C:$C, $H52, NewEmisData!$D:$D, CU$2), SUMIFS(NewEmisData!M:M, NewEmisData!$A:$A, "LDV", NewEmisData!$B:$B, $A52, NewEmisData!$C:$C, $H52, NewEmisData!$D:$D, CU$2))</f>
        <v>5.0198815975100097E-3</v>
      </c>
      <c r="CV52" s="324">
        <f t="shared" si="13"/>
        <v>5.0198815975100097E-3</v>
      </c>
      <c r="CW52" s="324">
        <v>0.12767609553272316</v>
      </c>
      <c r="CX52" s="324">
        <v>6.0965444660888601E-2</v>
      </c>
      <c r="CY52" s="324">
        <v>1.6598456567846732E-2</v>
      </c>
      <c r="CZ52" s="324">
        <v>3.3604812012321423E-3</v>
      </c>
      <c r="DA52" s="324">
        <v>1.5241571918114991E-3</v>
      </c>
      <c r="DB52" s="324">
        <v>1.0003681376209209E-3</v>
      </c>
      <c r="DC52" s="324">
        <v>9.0365490602724134E-4</v>
      </c>
      <c r="DD52" s="324">
        <v>8.9947941829660093E-4</v>
      </c>
      <c r="DE52" s="324">
        <v>8.980159958761482E-4</v>
      </c>
      <c r="DF52" s="324">
        <v>8.980159958761482E-4</v>
      </c>
      <c r="DG52" s="324">
        <f>$I52*IF($G52="Pickup", SUMIFS(NewEmisData!E:E, NewEmisData!$A:$A, "Pickup", NewEmisData!$B:$B, $A52, NewEmisData!$C:$C, $H52, NewEmisData!$D:$D, DG$2), SUMIFS(NewEmisData!E:E, NewEmisData!$A:$A, "LDV", NewEmisData!$B:$B, $A52, NewEmisData!$C:$C, $H52, NewEmisData!$D:$D, DG$2))</f>
        <v>0</v>
      </c>
      <c r="DH52" s="324">
        <f>$I52*IF($G52="Pickup", SUMIFS(NewEmisData!F:F, NewEmisData!$A:$A, "Pickup", NewEmisData!$B:$B, $A52, NewEmisData!$C:$C, $H52, NewEmisData!$D:$D, DH$2), SUMIFS(NewEmisData!F:F, NewEmisData!$A:$A, "LDV", NewEmisData!$B:$B, $A52, NewEmisData!$C:$C, $H52, NewEmisData!$D:$D, DH$2))</f>
        <v>0</v>
      </c>
      <c r="DI52" s="324">
        <f>$I52*IF($G52="Pickup", SUMIFS(NewEmisData!G:G, NewEmisData!$A:$A, "Pickup", NewEmisData!$B:$B, $A52, NewEmisData!$C:$C, $H52, NewEmisData!$D:$D, DI$2), SUMIFS(NewEmisData!G:G, NewEmisData!$A:$A, "LDV", NewEmisData!$B:$B, $A52, NewEmisData!$C:$C, $H52, NewEmisData!$D:$D, DI$2))</f>
        <v>0</v>
      </c>
      <c r="DJ52" s="324">
        <f>$I52*IF($G52="Pickup", SUMIFS(NewEmisData!H:H, NewEmisData!$A:$A, "Pickup", NewEmisData!$B:$B, $A52, NewEmisData!$C:$C, $H52, NewEmisData!$D:$D, DJ$2), SUMIFS(NewEmisData!H:H, NewEmisData!$A:$A, "LDV", NewEmisData!$B:$B, $A52, NewEmisData!$C:$C, $H52, NewEmisData!$D:$D, DJ$2))</f>
        <v>0</v>
      </c>
      <c r="DK52" s="324">
        <f>$I52*IF($G52="Pickup", SUMIFS(NewEmisData!I:I, NewEmisData!$A:$A, "Pickup", NewEmisData!$B:$B, $A52, NewEmisData!$C:$C, $H52, NewEmisData!$D:$D, DK$2), SUMIFS(NewEmisData!I:I, NewEmisData!$A:$A, "LDV", NewEmisData!$B:$B, $A52, NewEmisData!$C:$C, $H52, NewEmisData!$D:$D, DK$2))</f>
        <v>0</v>
      </c>
      <c r="DL52" s="324">
        <f>$I52*IF($G52="Pickup", SUMIFS(NewEmisData!J:J, NewEmisData!$A:$A, "Pickup", NewEmisData!$B:$B, $A52, NewEmisData!$C:$C, $H52, NewEmisData!$D:$D, DL$2), SUMIFS(NewEmisData!J:J, NewEmisData!$A:$A, "LDV", NewEmisData!$B:$B, $A52, NewEmisData!$C:$C, $H52, NewEmisData!$D:$D, DL$2))</f>
        <v>0</v>
      </c>
      <c r="DM52" s="324">
        <f>$I52*IF($G52="Pickup", SUMIFS(NewEmisData!K:K, NewEmisData!$A:$A, "Pickup", NewEmisData!$B:$B, $A52, NewEmisData!$C:$C, $H52, NewEmisData!$D:$D, DM$2), SUMIFS(NewEmisData!K:K, NewEmisData!$A:$A, "LDV", NewEmisData!$B:$B, $A52, NewEmisData!$C:$C, $H52, NewEmisData!$D:$D, DM$2))</f>
        <v>0</v>
      </c>
      <c r="DN52" s="324">
        <f>$I52*IF($G52="Pickup", SUMIFS(NewEmisData!L:L, NewEmisData!$A:$A, "Pickup", NewEmisData!$B:$B, $A52, NewEmisData!$C:$C, $H52, NewEmisData!$D:$D, DN$2), SUMIFS(NewEmisData!L:L, NewEmisData!$A:$A, "LDV", NewEmisData!$B:$B, $A52, NewEmisData!$C:$C, $H52, NewEmisData!$D:$D, DN$2))</f>
        <v>0</v>
      </c>
      <c r="DO52" s="324">
        <f>$I52*IF($G52="Pickup", SUMIFS(NewEmisData!M:M, NewEmisData!$A:$A, "Pickup", NewEmisData!$B:$B, $A52, NewEmisData!$C:$C, $H52, NewEmisData!$D:$D, DO$2), SUMIFS(NewEmisData!M:M, NewEmisData!$A:$A, "LDV", NewEmisData!$B:$B, $A52, NewEmisData!$C:$C, $H52, NewEmisData!$D:$D, DO$2))</f>
        <v>0</v>
      </c>
      <c r="DP52" s="324">
        <f t="shared" si="14"/>
        <v>0</v>
      </c>
      <c r="DQ52" s="324">
        <f>$I52*IF($G52="Pickup", SUMIFS(NewEmisData!E:E, NewEmisData!$A:$A, "Pickup", NewEmisData!$B:$B, $A52, NewEmisData!$C:$C, $H52, NewEmisData!$D:$D, DQ$2), SUMIFS(NewEmisData!E:E, NewEmisData!$A:$A, "LDV", NewEmisData!$B:$B, $A52, NewEmisData!$C:$C, $H52, NewEmisData!$D:$D, DQ$2))</f>
        <v>4.9277076017630497E-2</v>
      </c>
      <c r="DR52" s="324">
        <f>$I52*IF($G52="Pickup", SUMIFS(NewEmisData!F:F, NewEmisData!$A:$A, "Pickup", NewEmisData!$B:$B, $A52, NewEmisData!$C:$C, $H52, NewEmisData!$D:$D, DR$2), SUMIFS(NewEmisData!F:F, NewEmisData!$A:$A, "LDV", NewEmisData!$B:$B, $A52, NewEmisData!$C:$C, $H52, NewEmisData!$D:$D, DR$2))</f>
        <v>8.9070764093330507E-2</v>
      </c>
      <c r="DS52" s="324">
        <f>$I52*IF($G52="Pickup", SUMIFS(NewEmisData!G:G, NewEmisData!$A:$A, "Pickup", NewEmisData!$B:$B, $A52, NewEmisData!$C:$C, $H52, NewEmisData!$D:$D, DS$2), SUMIFS(NewEmisData!G:G, NewEmisData!$A:$A, "LDV", NewEmisData!$B:$B, $A52, NewEmisData!$C:$C, $H52, NewEmisData!$D:$D, DS$2))</f>
        <v>8.8129793114964397E-2</v>
      </c>
      <c r="DT52" s="324">
        <f>$I52*IF($G52="Pickup", SUMIFS(NewEmisData!H:H, NewEmisData!$A:$A, "Pickup", NewEmisData!$B:$B, $A52, NewEmisData!$C:$C, $H52, NewEmisData!$D:$D, DT$2), SUMIFS(NewEmisData!H:H, NewEmisData!$A:$A, "LDV", NewEmisData!$B:$B, $A52, NewEmisData!$C:$C, $H52, NewEmisData!$D:$D, DT$2))</f>
        <v>9.0923734370428805E-2</v>
      </c>
      <c r="DU52" s="324">
        <f>$I52*IF($G52="Pickup", SUMIFS(NewEmisData!I:I, NewEmisData!$A:$A, "Pickup", NewEmisData!$B:$B, $A52, NewEmisData!$C:$C, $H52, NewEmisData!$D:$D, DU$2), SUMIFS(NewEmisData!I:I, NewEmisData!$A:$A, "LDV", NewEmisData!$B:$B, $A52, NewEmisData!$C:$C, $H52, NewEmisData!$D:$D, DU$2))</f>
        <v>8.7997497326810503E-2</v>
      </c>
      <c r="DV52" s="324">
        <f>$I52*IF($G52="Pickup", SUMIFS(NewEmisData!J:J, NewEmisData!$A:$A, "Pickup", NewEmisData!$B:$B, $A52, NewEmisData!$C:$C, $H52, NewEmisData!$D:$D, DV$2), SUMIFS(NewEmisData!J:J, NewEmisData!$A:$A, "LDV", NewEmisData!$B:$B, $A52, NewEmisData!$C:$C, $H52, NewEmisData!$D:$D, DV$2))</f>
        <v>8.6576344642660896E-2</v>
      </c>
      <c r="DW52" s="324">
        <f>$I52*IF($G52="Pickup", SUMIFS(NewEmisData!K:K, NewEmisData!$A:$A, "Pickup", NewEmisData!$B:$B, $A52, NewEmisData!$C:$C, $H52, NewEmisData!$D:$D, DW$2), SUMIFS(NewEmisData!K:K, NewEmisData!$A:$A, "LDV", NewEmisData!$B:$B, $A52, NewEmisData!$C:$C, $H52, NewEmisData!$D:$D, DW$2))</f>
        <v>8.5959353171026598E-2</v>
      </c>
      <c r="DX52" s="324">
        <f>$I52*IF($G52="Pickup", SUMIFS(NewEmisData!L:L, NewEmisData!$A:$A, "Pickup", NewEmisData!$B:$B, $A52, NewEmisData!$C:$C, $H52, NewEmisData!$D:$D, DX$2), SUMIFS(NewEmisData!L:L, NewEmisData!$A:$A, "LDV", NewEmisData!$B:$B, $A52, NewEmisData!$C:$C, $H52, NewEmisData!$D:$D, DX$2))</f>
        <v>8.5594870055825001E-2</v>
      </c>
      <c r="DY52" s="324">
        <f>$I52*IF($G52="Pickup", SUMIFS(NewEmisData!M:M, NewEmisData!$A:$A, "Pickup", NewEmisData!$B:$B, $A52, NewEmisData!$C:$C, $H52, NewEmisData!$D:$D, DY$2), SUMIFS(NewEmisData!M:M, NewEmisData!$A:$A, "LDV", NewEmisData!$B:$B, $A52, NewEmisData!$C:$C, $H52, NewEmisData!$D:$D, DY$2))</f>
        <v>8.5551880167033495E-2</v>
      </c>
      <c r="DZ52" s="324">
        <f t="shared" si="15"/>
        <v>8.5551880167033495E-2</v>
      </c>
      <c r="EA52" s="324">
        <f t="shared" si="16"/>
        <v>1018.96313127451</v>
      </c>
      <c r="EB52" s="324">
        <f t="shared" si="17"/>
        <v>1003.30348772091</v>
      </c>
      <c r="EC52" s="324">
        <f t="shared" si="18"/>
        <v>832.60347781241796</v>
      </c>
      <c r="ED52" s="324">
        <f t="shared" si="19"/>
        <v>765.60951654141104</v>
      </c>
      <c r="EE52" s="324">
        <f t="shared" si="20"/>
        <v>730.82365882186798</v>
      </c>
      <c r="EF52" s="324">
        <f t="shared" si="21"/>
        <v>718.59265298434605</v>
      </c>
      <c r="EG52" s="324">
        <f t="shared" si="22"/>
        <v>713.64358303318795</v>
      </c>
      <c r="EH52" s="324">
        <f t="shared" si="23"/>
        <v>712.61156314924801</v>
      </c>
      <c r="EI52" s="324">
        <f t="shared" si="24"/>
        <v>712.44178461058902</v>
      </c>
      <c r="EJ52" s="324">
        <f t="shared" si="25"/>
        <v>712.44178461058902</v>
      </c>
      <c r="EK52" s="324">
        <f t="shared" si="26"/>
        <v>3.8609668599878799</v>
      </c>
      <c r="EL52" s="324">
        <f t="shared" si="27"/>
        <v>1.7384543043107801</v>
      </c>
      <c r="EM52" s="324">
        <f t="shared" si="28"/>
        <v>1.2103782987071801</v>
      </c>
      <c r="EN52" s="324">
        <f t="shared" si="29"/>
        <v>0.66770894020689397</v>
      </c>
      <c r="EO52" s="324">
        <f t="shared" si="30"/>
        <v>0.49784857859244702</v>
      </c>
      <c r="EP52" s="324">
        <f t="shared" si="31"/>
        <v>0.42701255176701403</v>
      </c>
      <c r="EQ52" s="324">
        <f t="shared" si="32"/>
        <v>0.40301938881553501</v>
      </c>
      <c r="ER52" s="324">
        <f t="shared" si="33"/>
        <v>0.40008467495929501</v>
      </c>
      <c r="ES52" s="324">
        <f t="shared" si="34"/>
        <v>0.39942726133663098</v>
      </c>
      <c r="ET52" s="324">
        <f t="shared" si="35"/>
        <v>0.39942726133663098</v>
      </c>
      <c r="EU52" s="324">
        <f t="shared" si="36"/>
        <v>2.4669617448422401E-2</v>
      </c>
      <c r="EV52" s="324">
        <f t="shared" si="37"/>
        <v>2.3739027735448701E-2</v>
      </c>
      <c r="EW52" s="324">
        <f t="shared" si="38"/>
        <v>6.9959324879015402E-3</v>
      </c>
      <c r="EX52" s="324">
        <f t="shared" si="39"/>
        <v>6.3923298658080004E-3</v>
      </c>
      <c r="EY52" s="324">
        <f t="shared" si="40"/>
        <v>6.0952966022863502E-3</v>
      </c>
      <c r="EZ52" s="324">
        <f t="shared" si="41"/>
        <v>5.9923324338108201E-3</v>
      </c>
      <c r="FA52" s="324">
        <f t="shared" si="42"/>
        <v>5.9497367252985796E-3</v>
      </c>
      <c r="FB52" s="324">
        <f t="shared" si="43"/>
        <v>5.9411276438017602E-3</v>
      </c>
      <c r="FC52" s="324">
        <f t="shared" si="44"/>
        <v>5.9397139594027301E-3</v>
      </c>
      <c r="FD52" s="324">
        <f t="shared" si="45"/>
        <v>5.9397139594027301E-3</v>
      </c>
      <c r="FE52" s="324">
        <f t="shared" si="46"/>
        <v>0.36783761900051698</v>
      </c>
      <c r="FF52" s="324">
        <f t="shared" si="47"/>
        <v>0.18380908994723399</v>
      </c>
      <c r="FG52" s="324">
        <f t="shared" si="48"/>
        <v>0.13458028153150201</v>
      </c>
      <c r="FH52" s="324">
        <f t="shared" si="49"/>
        <v>0.10941693225613</v>
      </c>
      <c r="FI52" s="324">
        <f t="shared" si="50"/>
        <v>0.10368720194384699</v>
      </c>
      <c r="FJ52" s="324">
        <f t="shared" si="51"/>
        <v>0.102786589329098</v>
      </c>
      <c r="FK52" s="324">
        <f t="shared" si="52"/>
        <v>0.10216362480144101</v>
      </c>
      <c r="FL52" s="324">
        <f t="shared" si="53"/>
        <v>0.10215247207365299</v>
      </c>
      <c r="FM52" s="324">
        <f t="shared" si="54"/>
        <v>0.10215234020502</v>
      </c>
      <c r="FN52" s="324">
        <f t="shared" si="55"/>
        <v>0.10215234020502</v>
      </c>
      <c r="FO52" s="324">
        <f t="shared" si="56"/>
        <v>0.25644295590534799</v>
      </c>
      <c r="FP52" s="324">
        <f t="shared" si="57"/>
        <v>8.7008067032986594E-2</v>
      </c>
      <c r="FQ52" s="324">
        <f t="shared" si="58"/>
        <v>5.4457389966713697E-2</v>
      </c>
      <c r="FR52" s="324">
        <f t="shared" si="59"/>
        <v>3.1960173039199E-2</v>
      </c>
      <c r="FS52" s="324">
        <f t="shared" si="60"/>
        <v>2.69431550090969E-2</v>
      </c>
      <c r="FT52" s="324">
        <f t="shared" si="61"/>
        <v>2.6224755089352899E-2</v>
      </c>
      <c r="FU52" s="324">
        <f t="shared" si="62"/>
        <v>2.5675591824579101E-2</v>
      </c>
      <c r="FV52" s="324">
        <f t="shared" si="63"/>
        <v>2.5668770542683898E-2</v>
      </c>
      <c r="FW52" s="324">
        <f t="shared" si="64"/>
        <v>2.5668851803880399E-2</v>
      </c>
      <c r="FX52" s="324">
        <f t="shared" si="65"/>
        <v>2.5668851803880399E-2</v>
      </c>
    </row>
    <row r="53" spans="1:180" x14ac:dyDescent="0.2">
      <c r="A53" s="298" t="str">
        <f>_xlfn.CONCAT(IF(LEFT(TRIM(A52),1)="*", "*R", "R"), 1+RIGHT(TRIM(A52),1))</f>
        <v>R5</v>
      </c>
      <c r="B53" s="298" t="str">
        <f t="shared" si="107"/>
        <v>TLEPDSL</v>
      </c>
      <c r="C53" s="298" t="str">
        <f t="shared" si="108"/>
        <v>TL.DSL.P.Existing fleet</v>
      </c>
      <c r="D53" s="294" t="str">
        <f t="shared" si="109"/>
        <v>bn-vmt, bn-vmt/a</v>
      </c>
      <c r="E53" s="294" t="str">
        <f t="shared" si="110"/>
        <v>TRNDSL</v>
      </c>
      <c r="F53" s="294" t="str">
        <f t="shared" si="111"/>
        <v>TL</v>
      </c>
      <c r="G53" s="294" t="s">
        <v>329</v>
      </c>
      <c r="H53" s="294" t="s">
        <v>477</v>
      </c>
      <c r="I53" s="294">
        <v>1</v>
      </c>
      <c r="J53" s="308" t="str">
        <f t="shared" si="101"/>
        <v>Pickup-DSL</v>
      </c>
      <c r="K53" s="324">
        <f>$I53*IF($G53="Pickup", SUMIFS(NewEmisData!E:E, NewEmisData!$A:$A, "Pickup", NewEmisData!$B:$B, $A53, NewEmisData!$C:$C, $H53, NewEmisData!$D:$D, K$2), SUMIFS(NewEmisData!E:E, NewEmisData!$A:$A, "LDV", NewEmisData!$B:$B, $A53, NewEmisData!$C:$C, $H53, NewEmisData!$D:$D, K$2))</f>
        <v>841.907590718238</v>
      </c>
      <c r="L53" s="324">
        <f>$I53*IF($G53="Pickup", SUMIFS(NewEmisData!F:F, NewEmisData!$A:$A, "Pickup", NewEmisData!$B:$B, $A53, NewEmisData!$C:$C, $H53, NewEmisData!$D:$D, L$2), SUMIFS(NewEmisData!F:F, NewEmisData!$A:$A, "LDV", NewEmisData!$B:$B, $A53, NewEmisData!$C:$C, $H53, NewEmisData!$D:$D, L$2))</f>
        <v>835.87094711822999</v>
      </c>
      <c r="M53" s="324">
        <f>$I53*IF($G53="Pickup", SUMIFS(NewEmisData!G:G, NewEmisData!$A:$A, "Pickup", NewEmisData!$B:$B, $A53, NewEmisData!$C:$C, $H53, NewEmisData!$D:$D, M$2), SUMIFS(NewEmisData!G:G, NewEmisData!$A:$A, "LDV", NewEmisData!$B:$B, $A53, NewEmisData!$C:$C, $H53, NewEmisData!$D:$D, M$2))</f>
        <v>659.78667986321</v>
      </c>
      <c r="N53" s="324">
        <f>$I53*IF($G53="Pickup", SUMIFS(NewEmisData!H:H, NewEmisData!$A:$A, "Pickup", NewEmisData!$B:$B, $A53, NewEmisData!$C:$C, $H53, NewEmisData!$D:$D, N$2), SUMIFS(NewEmisData!H:H, NewEmisData!$A:$A, "LDV", NewEmisData!$B:$B, $A53, NewEmisData!$C:$C, $H53, NewEmisData!$D:$D, N$2))</f>
        <v>614.56929391911797</v>
      </c>
      <c r="O53" s="324">
        <f>$I53*IF($G53="Pickup", SUMIFS(NewEmisData!I:I, NewEmisData!$A:$A, "Pickup", NewEmisData!$B:$B, $A53, NewEmisData!$C:$C, $H53, NewEmisData!$D:$D, O$2), SUMIFS(NewEmisData!I:I, NewEmisData!$A:$A, "LDV", NewEmisData!$B:$B, $A53, NewEmisData!$C:$C, $H53, NewEmisData!$D:$D, O$2))</f>
        <v>589.55955174021699</v>
      </c>
      <c r="P53" s="324">
        <f>$I53*IF($G53="Pickup", SUMIFS(NewEmisData!J:J, NewEmisData!$A:$A, "Pickup", NewEmisData!$B:$B, $A53, NewEmisData!$C:$C, $H53, NewEmisData!$D:$D, P$2), SUMIFS(NewEmisData!J:J, NewEmisData!$A:$A, "LDV", NewEmisData!$B:$B, $A53, NewEmisData!$C:$C, $H53, NewEmisData!$D:$D, P$2))</f>
        <v>580.46937338109694</v>
      </c>
      <c r="Q53" s="324">
        <f>$I53*IF($G53="Pickup", SUMIFS(NewEmisData!K:K, NewEmisData!$A:$A, "Pickup", NewEmisData!$B:$B, $A53, NewEmisData!$C:$C, $H53, NewEmisData!$D:$D, Q$2), SUMIFS(NewEmisData!K:K, NewEmisData!$A:$A, "LDV", NewEmisData!$B:$B, $A53, NewEmisData!$C:$C, $H53, NewEmisData!$D:$D, Q$2))</f>
        <v>576.90045366686502</v>
      </c>
      <c r="R53" s="324">
        <f>$I53*IF($G53="Pickup", SUMIFS(NewEmisData!L:L, NewEmisData!$A:$A, "Pickup", NewEmisData!$B:$B, $A53, NewEmisData!$C:$C, $H53, NewEmisData!$D:$D, R$2), SUMIFS(NewEmisData!L:L, NewEmisData!$A:$A, "LDV", NewEmisData!$B:$B, $A53, NewEmisData!$C:$C, $H53, NewEmisData!$D:$D, R$2))</f>
        <v>576.147005302862</v>
      </c>
      <c r="S53" s="324">
        <f>$I53*IF($G53="Pickup", SUMIFS(NewEmisData!M:M, NewEmisData!$A:$A, "Pickup", NewEmisData!$B:$B, $A53, NewEmisData!$C:$C, $H53, NewEmisData!$D:$D, S$2), SUMIFS(NewEmisData!M:M, NewEmisData!$A:$A, "LDV", NewEmisData!$B:$B, $A53, NewEmisData!$C:$C, $H53, NewEmisData!$D:$D, S$2))</f>
        <v>576.03930724044699</v>
      </c>
      <c r="T53" s="324">
        <f t="shared" si="5"/>
        <v>576.03930724044699</v>
      </c>
      <c r="U53" s="324">
        <f>$I53*IF($G53="Pickup", SUMIFS(NewEmisData!E:E, NewEmisData!$A:$A, "Pickup", NewEmisData!$B:$B, $A53, NewEmisData!$C:$C, $H53, NewEmisData!$D:$D, U$2), SUMIFS(NewEmisData!E:E, NewEmisData!$A:$A, "LDV", NewEmisData!$B:$B, $A53, NewEmisData!$C:$C, $H53, NewEmisData!$D:$D, U$2))</f>
        <v>4.0571629288934901</v>
      </c>
      <c r="V53" s="324">
        <f>$I53*IF($G53="Pickup", SUMIFS(NewEmisData!F:F, NewEmisData!$A:$A, "Pickup", NewEmisData!$B:$B, $A53, NewEmisData!$C:$C, $H53, NewEmisData!$D:$D, V$2), SUMIFS(NewEmisData!F:F, NewEmisData!$A:$A, "LDV", NewEmisData!$B:$B, $A53, NewEmisData!$C:$C, $H53, NewEmisData!$D:$D, V$2))</f>
        <v>2.1079895266671</v>
      </c>
      <c r="W53" s="324">
        <f>$I53*IF($G53="Pickup", SUMIFS(NewEmisData!G:G, NewEmisData!$A:$A, "Pickup", NewEmisData!$B:$B, $A53, NewEmisData!$C:$C, $H53, NewEmisData!$D:$D, W$2), SUMIFS(NewEmisData!G:G, NewEmisData!$A:$A, "LDV", NewEmisData!$B:$B, $A53, NewEmisData!$C:$C, $H53, NewEmisData!$D:$D, W$2))</f>
        <v>0.95171972478398204</v>
      </c>
      <c r="X53" s="324">
        <f>$I53*IF($G53="Pickup", SUMIFS(NewEmisData!H:H, NewEmisData!$A:$A, "Pickup", NewEmisData!$B:$B, $A53, NewEmisData!$C:$C, $H53, NewEmisData!$D:$D, X$2), SUMIFS(NewEmisData!H:H, NewEmisData!$A:$A, "LDV", NewEmisData!$B:$B, $A53, NewEmisData!$C:$C, $H53, NewEmisData!$D:$D, X$2))</f>
        <v>0.57942204846870504</v>
      </c>
      <c r="Y53" s="324">
        <f>$I53*IF($G53="Pickup", SUMIFS(NewEmisData!I:I, NewEmisData!$A:$A, "Pickup", NewEmisData!$B:$B, $A53, NewEmisData!$C:$C, $H53, NewEmisData!$D:$D, Y$2), SUMIFS(NewEmisData!I:I, NewEmisData!$A:$A, "LDV", NewEmisData!$B:$B, $A53, NewEmisData!$C:$C, $H53, NewEmisData!$D:$D, Y$2))</f>
        <v>0.46167885649316898</v>
      </c>
      <c r="Z53" s="324">
        <f>$I53*IF($G53="Pickup", SUMIFS(NewEmisData!J:J, NewEmisData!$A:$A, "Pickup", NewEmisData!$B:$B, $A53, NewEmisData!$C:$C, $H53, NewEmisData!$D:$D, Z$2), SUMIFS(NewEmisData!J:J, NewEmisData!$A:$A, "LDV", NewEmisData!$B:$B, $A53, NewEmisData!$C:$C, $H53, NewEmisData!$D:$D, Z$2))</f>
        <v>0.411122834472536</v>
      </c>
      <c r="AA53" s="324">
        <f>$I53*IF($G53="Pickup", SUMIFS(NewEmisData!K:K, NewEmisData!$A:$A, "Pickup", NewEmisData!$B:$B, $A53, NewEmisData!$C:$C, $H53, NewEmisData!$D:$D, AA$2), SUMIFS(NewEmisData!K:K, NewEmisData!$A:$A, "LDV", NewEmisData!$B:$B, $A53, NewEmisData!$C:$C, $H53, NewEmisData!$D:$D, AA$2))</f>
        <v>0.39342235040821999</v>
      </c>
      <c r="AB53" s="324">
        <f>$I53*IF($G53="Pickup", SUMIFS(NewEmisData!L:L, NewEmisData!$A:$A, "Pickup", NewEmisData!$B:$B, $A53, NewEmisData!$C:$C, $H53, NewEmisData!$D:$D, AB$2), SUMIFS(NewEmisData!L:L, NewEmisData!$A:$A, "LDV", NewEmisData!$B:$B, $A53, NewEmisData!$C:$C, $H53, NewEmisData!$D:$D, AB$2))</f>
        <v>0.39090755745160299</v>
      </c>
      <c r="AC53" s="324">
        <f>$I53*IF($G53="Pickup", SUMIFS(NewEmisData!M:M, NewEmisData!$A:$A, "Pickup", NewEmisData!$B:$B, $A53, NewEmisData!$C:$C, $H53, NewEmisData!$D:$D, AC$2), SUMIFS(NewEmisData!M:M, NewEmisData!$A:$A, "LDV", NewEmisData!$B:$B, $A53, NewEmisData!$C:$C, $H53, NewEmisData!$D:$D, AC$2))</f>
        <v>0.390485776903365</v>
      </c>
      <c r="AD53" s="324">
        <f t="shared" si="6"/>
        <v>0.390485776903365</v>
      </c>
      <c r="AE53" s="324">
        <f>$I53*IF($G53="Pickup", SUMIFS(NewEmisData!E:E, NewEmisData!$A:$A, "Pickup", NewEmisData!$B:$B, $A53, NewEmisData!$C:$C, $H53, NewEmisData!$D:$D, AE$2), SUMIFS(NewEmisData!E:E, NewEmisData!$A:$A, "LDV", NewEmisData!$B:$B, $A53, NewEmisData!$C:$C, $H53, NewEmisData!$D:$D, AE$2))</f>
        <v>2.0811138167889001E-2</v>
      </c>
      <c r="AF53" s="324">
        <f>$I53*IF($G53="Pickup", SUMIFS(NewEmisData!F:F, NewEmisData!$A:$A, "Pickup", NewEmisData!$B:$B, $A53, NewEmisData!$C:$C, $H53, NewEmisData!$D:$D, AF$2), SUMIFS(NewEmisData!F:F, NewEmisData!$A:$A, "LDV", NewEmisData!$B:$B, $A53, NewEmisData!$C:$C, $H53, NewEmisData!$D:$D, AF$2))</f>
        <v>2.0069912405094401E-2</v>
      </c>
      <c r="AG53" s="324">
        <f>$I53*IF($G53="Pickup", SUMIFS(NewEmisData!G:G, NewEmisData!$A:$A, "Pickup", NewEmisData!$B:$B, $A53, NewEmisData!$C:$C, $H53, NewEmisData!$D:$D, AG$2), SUMIFS(NewEmisData!G:G, NewEmisData!$A:$A, "LDV", NewEmisData!$B:$B, $A53, NewEmisData!$C:$C, $H53, NewEmisData!$D:$D, AG$2))</f>
        <v>5.5371654827597004E-3</v>
      </c>
      <c r="AH53" s="324">
        <f>$I53*IF($G53="Pickup", SUMIFS(NewEmisData!H:H, NewEmisData!$A:$A, "Pickup", NewEmisData!$B:$B, $A53, NewEmisData!$C:$C, $H53, NewEmisData!$D:$D, AH$2), SUMIFS(NewEmisData!H:H, NewEmisData!$A:$A, "LDV", NewEmisData!$B:$B, $A53, NewEmisData!$C:$C, $H53, NewEmisData!$D:$D, AH$2))</f>
        <v>5.1293548240660498E-3</v>
      </c>
      <c r="AI53" s="324">
        <f>$I53*IF($G53="Pickup", SUMIFS(NewEmisData!I:I, NewEmisData!$A:$A, "Pickup", NewEmisData!$B:$B, $A53, NewEmisData!$C:$C, $H53, NewEmisData!$D:$D, AI$2), SUMIFS(NewEmisData!I:I, NewEmisData!$A:$A, "LDV", NewEmisData!$B:$B, $A53, NewEmisData!$C:$C, $H53, NewEmisData!$D:$D, AI$2))</f>
        <v>4.9164414579809801E-3</v>
      </c>
      <c r="AJ53" s="324">
        <f>$I53*IF($G53="Pickup", SUMIFS(NewEmisData!J:J, NewEmisData!$A:$A, "Pickup", NewEmisData!$B:$B, $A53, NewEmisData!$C:$C, $H53, NewEmisData!$D:$D, AJ$2), SUMIFS(NewEmisData!J:J, NewEmisData!$A:$A, "LDV", NewEmisData!$B:$B, $A53, NewEmisData!$C:$C, $H53, NewEmisData!$D:$D, AJ$2))</f>
        <v>4.8400921551360202E-3</v>
      </c>
      <c r="AK53" s="324">
        <f>$I53*IF($G53="Pickup", SUMIFS(NewEmisData!K:K, NewEmisData!$A:$A, "Pickup", NewEmisData!$B:$B, $A53, NewEmisData!$C:$C, $H53, NewEmisData!$D:$D, AK$2), SUMIFS(NewEmisData!K:K, NewEmisData!$A:$A, "LDV", NewEmisData!$B:$B, $A53, NewEmisData!$C:$C, $H53, NewEmisData!$D:$D, AK$2))</f>
        <v>4.8096880897375597E-3</v>
      </c>
      <c r="AL53" s="324">
        <f>$I53*IF($G53="Pickup", SUMIFS(NewEmisData!L:L, NewEmisData!$A:$A, "Pickup", NewEmisData!$B:$B, $A53, NewEmisData!$C:$C, $H53, NewEmisData!$D:$D, AL$2), SUMIFS(NewEmisData!L:L, NewEmisData!$A:$A, "LDV", NewEmisData!$B:$B, $A53, NewEmisData!$C:$C, $H53, NewEmisData!$D:$D, AL$2))</f>
        <v>4.8034066129064596E-3</v>
      </c>
      <c r="AM53" s="324">
        <f>$I53*IF($G53="Pickup", SUMIFS(NewEmisData!M:M, NewEmisData!$A:$A, "Pickup", NewEmisData!$B:$B, $A53, NewEmisData!$C:$C, $H53, NewEmisData!$D:$D, AM$2), SUMIFS(NewEmisData!M:M, NewEmisData!$A:$A, "LDV", NewEmisData!$B:$B, $A53, NewEmisData!$C:$C, $H53, NewEmisData!$D:$D, AM$2))</f>
        <v>4.8025112743097604E-3</v>
      </c>
      <c r="AN53" s="324">
        <f t="shared" si="7"/>
        <v>4.8025112743097604E-3</v>
      </c>
      <c r="AO53" s="324">
        <f>$I53*IF($G53="Pickup", SUMIFS(NewEmisData!E:E, NewEmisData!$A:$A, "Pickup", NewEmisData!$B:$B, $A53, NewEmisData!$C:$C, $H53, NewEmisData!$D:$D, AO$2), SUMIFS(NewEmisData!E:E, NewEmisData!$A:$A, "LDV", NewEmisData!$B:$B, $A53, NewEmisData!$C:$C, $H53, NewEmisData!$D:$D, AO$2))</f>
        <v>0.33805168547668302</v>
      </c>
      <c r="AP53" s="324">
        <f>$I53*IF($G53="Pickup", SUMIFS(NewEmisData!F:F, NewEmisData!$A:$A, "Pickup", NewEmisData!$B:$B, $A53, NewEmisData!$C:$C, $H53, NewEmisData!$D:$D, AP$2), SUMIFS(NewEmisData!F:F, NewEmisData!$A:$A, "LDV", NewEmisData!$B:$B, $A53, NewEmisData!$C:$C, $H53, NewEmisData!$D:$D, AP$2))</f>
        <v>0.17896489479042399</v>
      </c>
      <c r="AQ53" s="324">
        <f>$I53*IF($G53="Pickup", SUMIFS(NewEmisData!G:G, NewEmisData!$A:$A, "Pickup", NewEmisData!$B:$B, $A53, NewEmisData!$C:$C, $H53, NewEmisData!$D:$D, AQ$2), SUMIFS(NewEmisData!G:G, NewEmisData!$A:$A, "LDV", NewEmisData!$B:$B, $A53, NewEmisData!$C:$C, $H53, NewEmisData!$D:$D, AQ$2))</f>
        <v>7.9890938416736806E-2</v>
      </c>
      <c r="AR53" s="324">
        <f>$I53*IF($G53="Pickup", SUMIFS(NewEmisData!H:H, NewEmisData!$A:$A, "Pickup", NewEmisData!$B:$B, $A53, NewEmisData!$C:$C, $H53, NewEmisData!$D:$D, AR$2), SUMIFS(NewEmisData!H:H, NewEmisData!$A:$A, "LDV", NewEmisData!$B:$B, $A53, NewEmisData!$C:$C, $H53, NewEmisData!$D:$D, AR$2))</f>
        <v>6.62511849411654E-2</v>
      </c>
      <c r="AS53" s="324">
        <f>$I53*IF($G53="Pickup", SUMIFS(NewEmisData!I:I, NewEmisData!$A:$A, "Pickup", NewEmisData!$B:$B, $A53, NewEmisData!$C:$C, $H53, NewEmisData!$D:$D, AS$2), SUMIFS(NewEmisData!I:I, NewEmisData!$A:$A, "LDV", NewEmisData!$B:$B, $A53, NewEmisData!$C:$C, $H53, NewEmisData!$D:$D, AS$2))</f>
        <v>6.38433895930966E-2</v>
      </c>
      <c r="AT53" s="324">
        <f>$I53*IF($G53="Pickup", SUMIFS(NewEmisData!J:J, NewEmisData!$A:$A, "Pickup", NewEmisData!$B:$B, $A53, NewEmisData!$C:$C, $H53, NewEmisData!$D:$D, AT$2), SUMIFS(NewEmisData!J:J, NewEmisData!$A:$A, "LDV", NewEmisData!$B:$B, $A53, NewEmisData!$C:$C, $H53, NewEmisData!$D:$D, AT$2))</f>
        <v>6.3517512192534306E-2</v>
      </c>
      <c r="AU53" s="324">
        <f>$I53*IF($G53="Pickup", SUMIFS(NewEmisData!K:K, NewEmisData!$A:$A, "Pickup", NewEmisData!$B:$B, $A53, NewEmisData!$C:$C, $H53, NewEmisData!$D:$D, AU$2), SUMIFS(NewEmisData!K:K, NewEmisData!$A:$A, "LDV", NewEmisData!$B:$B, $A53, NewEmisData!$C:$C, $H53, NewEmisData!$D:$D, AU$2))</f>
        <v>6.3258841749161396E-2</v>
      </c>
      <c r="AV53" s="324">
        <f>$I53*IF($G53="Pickup", SUMIFS(NewEmisData!L:L, NewEmisData!$A:$A, "Pickup", NewEmisData!$B:$B, $A53, NewEmisData!$C:$C, $H53, NewEmisData!$D:$D, AV$2), SUMIFS(NewEmisData!L:L, NewEmisData!$A:$A, "LDV", NewEmisData!$B:$B, $A53, NewEmisData!$C:$C, $H53, NewEmisData!$D:$D, AV$2))</f>
        <v>6.32502892090826E-2</v>
      </c>
      <c r="AW53" s="324">
        <f>$I53*IF($G53="Pickup", SUMIFS(NewEmisData!M:M, NewEmisData!$A:$A, "Pickup", NewEmisData!$B:$B, $A53, NewEmisData!$C:$C, $H53, NewEmisData!$D:$D, AW$2), SUMIFS(NewEmisData!M:M, NewEmisData!$A:$A, "LDV", NewEmisData!$B:$B, $A53, NewEmisData!$C:$C, $H53, NewEmisData!$D:$D, AW$2))</f>
        <v>6.3250224011279194E-2</v>
      </c>
      <c r="AX53" s="324">
        <f t="shared" si="8"/>
        <v>6.3250224011279194E-2</v>
      </c>
      <c r="AY53" s="324">
        <f>$I53*IF($G53="Pickup", SUMIFS(NewEmisData!E:E, NewEmisData!$A:$A, "Pickup", NewEmisData!$B:$B, $A53, NewEmisData!$C:$C, $H53, NewEmisData!$D:$D, AY$2), SUMIFS(NewEmisData!E:E, NewEmisData!$A:$A, "LDV", NewEmisData!$B:$B, $A53, NewEmisData!$C:$C, $H53, NewEmisData!$D:$D, AY$2))</f>
        <v>0.254238009093815</v>
      </c>
      <c r="AZ53" s="324">
        <f>$I53*IF($G53="Pickup", SUMIFS(NewEmisData!F:F, NewEmisData!$A:$A, "Pickup", NewEmisData!$B:$B, $A53, NewEmisData!$C:$C, $H53, NewEmisData!$D:$D, AZ$2), SUMIFS(NewEmisData!F:F, NewEmisData!$A:$A, "LDV", NewEmisData!$B:$B, $A53, NewEmisData!$C:$C, $H53, NewEmisData!$D:$D, AZ$2))</f>
        <v>0.10778009370992001</v>
      </c>
      <c r="BA53" s="324">
        <f>$I53*IF($G53="Pickup", SUMIFS(NewEmisData!G:G, NewEmisData!$A:$A, "Pickup", NewEmisData!$B:$B, $A53, NewEmisData!$C:$C, $H53, NewEmisData!$D:$D, BA$2), SUMIFS(NewEmisData!G:G, NewEmisData!$A:$A, "LDV", NewEmisData!$B:$B, $A53, NewEmisData!$C:$C, $H53, NewEmisData!$D:$D, BA$2))</f>
        <v>3.2180435581303402E-2</v>
      </c>
      <c r="BB53" s="324">
        <f>$I53*IF($G53="Pickup", SUMIFS(NewEmisData!H:H, NewEmisData!$A:$A, "Pickup", NewEmisData!$B:$B, $A53, NewEmisData!$C:$C, $H53, NewEmisData!$D:$D, BB$2), SUMIFS(NewEmisData!H:H, NewEmisData!$A:$A, "LDV", NewEmisData!$B:$B, $A53, NewEmisData!$C:$C, $H53, NewEmisData!$D:$D, BB$2))</f>
        <v>1.9656296342157001E-2</v>
      </c>
      <c r="BC53" s="324">
        <f>$I53*IF($G53="Pickup", SUMIFS(NewEmisData!I:I, NewEmisData!$A:$A, "Pickup", NewEmisData!$B:$B, $A53, NewEmisData!$C:$C, $H53, NewEmisData!$D:$D, BC$2), SUMIFS(NewEmisData!I:I, NewEmisData!$A:$A, "LDV", NewEmisData!$B:$B, $A53, NewEmisData!$C:$C, $H53, NewEmisData!$D:$D, BC$2))</f>
        <v>1.7448452247987301E-2</v>
      </c>
      <c r="BD53" s="324">
        <f>$I53*IF($G53="Pickup", SUMIFS(NewEmisData!J:J, NewEmisData!$A:$A, "Pickup", NewEmisData!$B:$B, $A53, NewEmisData!$C:$C, $H53, NewEmisData!$D:$D, BD$2), SUMIFS(NewEmisData!J:J, NewEmisData!$A:$A, "LDV", NewEmisData!$B:$B, $A53, NewEmisData!$C:$C, $H53, NewEmisData!$D:$D, BD$2))</f>
        <v>1.7154220121797799E-2</v>
      </c>
      <c r="BE53" s="324">
        <f>$I53*IF($G53="Pickup", SUMIFS(NewEmisData!K:K, NewEmisData!$A:$A, "Pickup", NewEmisData!$B:$B, $A53, NewEmisData!$C:$C, $H53, NewEmisData!$D:$D, BE$2), SUMIFS(NewEmisData!K:K, NewEmisData!$A:$A, "LDV", NewEmisData!$B:$B, $A53, NewEmisData!$C:$C, $H53, NewEmisData!$D:$D, BE$2))</f>
        <v>1.6918134827601801E-2</v>
      </c>
      <c r="BF53" s="324">
        <f>$I53*IF($G53="Pickup", SUMIFS(NewEmisData!L:L, NewEmisData!$A:$A, "Pickup", NewEmisData!$B:$B, $A53, NewEmisData!$C:$C, $H53, NewEmisData!$D:$D, BF$2), SUMIFS(NewEmisData!L:L, NewEmisData!$A:$A, "LDV", NewEmisData!$B:$B, $A53, NewEmisData!$C:$C, $H53, NewEmisData!$D:$D, BF$2))</f>
        <v>1.6910104655338799E-2</v>
      </c>
      <c r="BG53" s="324">
        <f>$I53*IF($G53="Pickup", SUMIFS(NewEmisData!M:M, NewEmisData!$A:$A, "Pickup", NewEmisData!$B:$B, $A53, NewEmisData!$C:$C, $H53, NewEmisData!$D:$D, BG$2), SUMIFS(NewEmisData!M:M, NewEmisData!$A:$A, "LDV", NewEmisData!$B:$B, $A53, NewEmisData!$C:$C, $H53, NewEmisData!$D:$D, BG$2))</f>
        <v>1.6909991277776301E-2</v>
      </c>
      <c r="BH53" s="324">
        <f t="shared" si="9"/>
        <v>1.6909991277776301E-2</v>
      </c>
      <c r="BI53" s="324">
        <f>$I53*IF($G53="Pickup", SUMIFS(NewEmisData!E:E, NewEmisData!$A:$A, "Pickup", NewEmisData!$B:$B, $A53, NewEmisData!$C:$C, $H53, NewEmisData!$D:$D, BI$2), SUMIFS(NewEmisData!E:E, NewEmisData!$A:$A, "LDV", NewEmisData!$B:$B, $A53, NewEmisData!$C:$C, $H53, NewEmisData!$D:$D, BI$2))</f>
        <v>8.86269129247483</v>
      </c>
      <c r="BJ53" s="324">
        <f>$I53*IF($G53="Pickup", SUMIFS(NewEmisData!F:F, NewEmisData!$A:$A, "Pickup", NewEmisData!$B:$B, $A53, NewEmisData!$C:$C, $H53, NewEmisData!$D:$D, BJ$2), SUMIFS(NewEmisData!F:F, NewEmisData!$A:$A, "LDV", NewEmisData!$B:$B, $A53, NewEmisData!$C:$C, $H53, NewEmisData!$D:$D, BJ$2))</f>
        <v>4.3199287250801799</v>
      </c>
      <c r="BK53" s="324">
        <f>$I53*IF($G53="Pickup", SUMIFS(NewEmisData!G:G, NewEmisData!$A:$A, "Pickup", NewEmisData!$B:$B, $A53, NewEmisData!$C:$C, $H53, NewEmisData!$D:$D, BK$2), SUMIFS(NewEmisData!G:G, NewEmisData!$A:$A, "LDV", NewEmisData!$B:$B, $A53, NewEmisData!$C:$C, $H53, NewEmisData!$D:$D, BK$2))</f>
        <v>1.7914388036904501</v>
      </c>
      <c r="BL53" s="324">
        <f>$I53*IF($G53="Pickup", SUMIFS(NewEmisData!H:H, NewEmisData!$A:$A, "Pickup", NewEmisData!$B:$B, $A53, NewEmisData!$C:$C, $H53, NewEmisData!$D:$D, BL$2), SUMIFS(NewEmisData!H:H, NewEmisData!$A:$A, "LDV", NewEmisData!$B:$B, $A53, NewEmisData!$C:$C, $H53, NewEmisData!$D:$D, BL$2))</f>
        <v>1.12801094686623</v>
      </c>
      <c r="BM53" s="324">
        <f>$I53*IF($G53="Pickup", SUMIFS(NewEmisData!I:I, NewEmisData!$A:$A, "Pickup", NewEmisData!$B:$B, $A53, NewEmisData!$C:$C, $H53, NewEmisData!$D:$D, BM$2), SUMIFS(NewEmisData!I:I, NewEmisData!$A:$A, "LDV", NewEmisData!$B:$B, $A53, NewEmisData!$C:$C, $H53, NewEmisData!$D:$D, BM$2))</f>
        <v>0.85510344792293402</v>
      </c>
      <c r="BN53" s="324">
        <f>$I53*IF($G53="Pickup", SUMIFS(NewEmisData!J:J, NewEmisData!$A:$A, "Pickup", NewEmisData!$B:$B, $A53, NewEmisData!$C:$C, $H53, NewEmisData!$D:$D, BN$2), SUMIFS(NewEmisData!J:J, NewEmisData!$A:$A, "LDV", NewEmisData!$B:$B, $A53, NewEmisData!$C:$C, $H53, NewEmisData!$D:$D, BN$2))</f>
        <v>0.73608764479650002</v>
      </c>
      <c r="BO53" s="324">
        <f>$I53*IF($G53="Pickup", SUMIFS(NewEmisData!K:K, NewEmisData!$A:$A, "Pickup", NewEmisData!$B:$B, $A53, NewEmisData!$C:$C, $H53, NewEmisData!$D:$D, BO$2), SUMIFS(NewEmisData!K:K, NewEmisData!$A:$A, "LDV", NewEmisData!$B:$B, $A53, NewEmisData!$C:$C, $H53, NewEmisData!$D:$D, BO$2))</f>
        <v>0.68753388684831696</v>
      </c>
      <c r="BP53" s="324">
        <f>$I53*IF($G53="Pickup", SUMIFS(NewEmisData!L:L, NewEmisData!$A:$A, "Pickup", NewEmisData!$B:$B, $A53, NewEmisData!$C:$C, $H53, NewEmisData!$D:$D, BP$2), SUMIFS(NewEmisData!L:L, NewEmisData!$A:$A, "LDV", NewEmisData!$B:$B, $A53, NewEmisData!$C:$C, $H53, NewEmisData!$D:$D, BP$2))</f>
        <v>0.67374943714715596</v>
      </c>
      <c r="BQ53" s="324">
        <f>$I53*IF($G53="Pickup", SUMIFS(NewEmisData!M:M, NewEmisData!$A:$A, "Pickup", NewEmisData!$B:$B, $A53, NewEmisData!$C:$C, $H53, NewEmisData!$D:$D, BQ$2), SUMIFS(NewEmisData!M:M, NewEmisData!$A:$A, "LDV", NewEmisData!$B:$B, $A53, NewEmisData!$C:$C, $H53, NewEmisData!$D:$D, BQ$2))</f>
        <v>0.67146596433822003</v>
      </c>
      <c r="BR53" s="324">
        <f t="shared" si="10"/>
        <v>0.67146596433822003</v>
      </c>
      <c r="BS53" s="324">
        <f>$I53*IF($G53="Pickup", SUMIFS(NewEmisData!E:E, NewEmisData!$A:$A, "Pickup", NewEmisData!$B:$B, $A53, NewEmisData!$C:$C, $H53, NewEmisData!$D:$D, BS$2), SUMIFS(NewEmisData!E:E, NewEmisData!$A:$A, "LDV", NewEmisData!$B:$B, $A53, NewEmisData!$C:$C, $H53, NewEmisData!$D:$D, BS$2))</f>
        <v>1.4184736527430899</v>
      </c>
      <c r="BT53" s="324">
        <f>$I53*IF($G53="Pickup", SUMIFS(NewEmisData!F:F, NewEmisData!$A:$A, "Pickup", NewEmisData!$B:$B, $A53, NewEmisData!$C:$C, $H53, NewEmisData!$D:$D, BT$2), SUMIFS(NewEmisData!F:F, NewEmisData!$A:$A, "LDV", NewEmisData!$B:$B, $A53, NewEmisData!$C:$C, $H53, NewEmisData!$D:$D, BT$2))</f>
        <v>0.58928018020581696</v>
      </c>
      <c r="BU53" s="324">
        <f>$I53*IF($G53="Pickup", SUMIFS(NewEmisData!G:G, NewEmisData!$A:$A, "Pickup", NewEmisData!$B:$B, $A53, NewEmisData!$C:$C, $H53, NewEmisData!$D:$D, BU$2), SUMIFS(NewEmisData!G:G, NewEmisData!$A:$A, "LDV", NewEmisData!$B:$B, $A53, NewEmisData!$C:$C, $H53, NewEmisData!$D:$D, BU$2))</f>
        <v>0.203360302018775</v>
      </c>
      <c r="BV53" s="324">
        <f>$I53*IF($G53="Pickup", SUMIFS(NewEmisData!H:H, NewEmisData!$A:$A, "Pickup", NewEmisData!$B:$B, $A53, NewEmisData!$C:$C, $H53, NewEmisData!$D:$D, BV$2), SUMIFS(NewEmisData!H:H, NewEmisData!$A:$A, "LDV", NewEmisData!$B:$B, $A53, NewEmisData!$C:$C, $H53, NewEmisData!$D:$D, BV$2))</f>
        <v>0.11973163158219401</v>
      </c>
      <c r="BW53" s="324">
        <f>$I53*IF($G53="Pickup", SUMIFS(NewEmisData!I:I, NewEmisData!$A:$A, "Pickup", NewEmisData!$B:$B, $A53, NewEmisData!$C:$C, $H53, NewEmisData!$D:$D, BW$2), SUMIFS(NewEmisData!I:I, NewEmisData!$A:$A, "LDV", NewEmisData!$B:$B, $A53, NewEmisData!$C:$C, $H53, NewEmisData!$D:$D, BW$2))</f>
        <v>9.92835706264317E-2</v>
      </c>
      <c r="BX53" s="324">
        <f>$I53*IF($G53="Pickup", SUMIFS(NewEmisData!J:J, NewEmisData!$A:$A, "Pickup", NewEmisData!$B:$B, $A53, NewEmisData!$C:$C, $H53, NewEmisData!$D:$D, BX$2), SUMIFS(NewEmisData!J:J, NewEmisData!$A:$A, "LDV", NewEmisData!$B:$B, $A53, NewEmisData!$C:$C, $H53, NewEmisData!$D:$D, BX$2))</f>
        <v>9.3099949519855701E-2</v>
      </c>
      <c r="BY53" s="324">
        <f>$I53*IF($G53="Pickup", SUMIFS(NewEmisData!K:K, NewEmisData!$A:$A, "Pickup", NewEmisData!$B:$B, $A53, NewEmisData!$C:$C, $H53, NewEmisData!$D:$D, BY$2), SUMIFS(NewEmisData!K:K, NewEmisData!$A:$A, "LDV", NewEmisData!$B:$B, $A53, NewEmisData!$C:$C, $H53, NewEmisData!$D:$D, BY$2))</f>
        <v>9.0800606672097703E-2</v>
      </c>
      <c r="BZ53" s="324">
        <f>$I53*IF($G53="Pickup", SUMIFS(NewEmisData!L:L, NewEmisData!$A:$A, "Pickup", NewEmisData!$B:$B, $A53, NewEmisData!$C:$C, $H53, NewEmisData!$D:$D, BZ$2), SUMIFS(NewEmisData!L:L, NewEmisData!$A:$A, "LDV", NewEmisData!$B:$B, $A53, NewEmisData!$C:$C, $H53, NewEmisData!$D:$D, BZ$2))</f>
        <v>9.0320551775312799E-2</v>
      </c>
      <c r="CA53" s="324">
        <f>$I53*IF($G53="Pickup", SUMIFS(NewEmisData!M:M, NewEmisData!$A:$A, "Pickup", NewEmisData!$B:$B, $A53, NewEmisData!$C:$C, $H53, NewEmisData!$D:$D, CA$2), SUMIFS(NewEmisData!M:M, NewEmisData!$A:$A, "LDV", NewEmisData!$B:$B, $A53, NewEmisData!$C:$C, $H53, NewEmisData!$D:$D, CA$2))</f>
        <v>9.0274249456638006E-2</v>
      </c>
      <c r="CB53" s="324">
        <f t="shared" si="11"/>
        <v>9.0274249456638006E-2</v>
      </c>
      <c r="CC53" s="324">
        <f>$I53*IF($G53="Pickup", SUMIFS(NewEmisData!E:E, NewEmisData!$A:$A, "Pickup", NewEmisData!$B:$B, $A53, NewEmisData!$C:$C, $H53, NewEmisData!$D:$D, CC$2), SUMIFS(NewEmisData!E:E, NewEmisData!$A:$A, "LDV", NewEmisData!$B:$B, $A53, NewEmisData!$C:$C, $H53, NewEmisData!$D:$D, CC$2))</f>
        <v>2.26011364101412E-2</v>
      </c>
      <c r="CD53" s="324">
        <f>$I53*IF($G53="Pickup", SUMIFS(NewEmisData!F:F, NewEmisData!$A:$A, "Pickup", NewEmisData!$B:$B, $A53, NewEmisData!$C:$C, $H53, NewEmisData!$D:$D, CD$2), SUMIFS(NewEmisData!F:F, NewEmisData!$A:$A, "LDV", NewEmisData!$B:$B, $A53, NewEmisData!$C:$C, $H53, NewEmisData!$D:$D, CD$2))</f>
        <v>2.3454525550609399E-2</v>
      </c>
      <c r="CE53" s="324">
        <f>$I53*IF($G53="Pickup", SUMIFS(NewEmisData!G:G, NewEmisData!$A:$A, "Pickup", NewEmisData!$B:$B, $A53, NewEmisData!$C:$C, $H53, NewEmisData!$D:$D, CE$2), SUMIFS(NewEmisData!G:G, NewEmisData!$A:$A, "LDV", NewEmisData!$B:$B, $A53, NewEmisData!$C:$C, $H53, NewEmisData!$D:$D, CE$2))</f>
        <v>2.3614196677915401E-2</v>
      </c>
      <c r="CF53" s="324">
        <f>$I53*IF($G53="Pickup", SUMIFS(NewEmisData!H:H, NewEmisData!$A:$A, "Pickup", NewEmisData!$B:$B, $A53, NewEmisData!$C:$C, $H53, NewEmisData!$D:$D, CF$2), SUMIFS(NewEmisData!H:H, NewEmisData!$A:$A, "LDV", NewEmisData!$B:$B, $A53, NewEmisData!$C:$C, $H53, NewEmisData!$D:$D, CF$2))</f>
        <v>2.3916894990929499E-2</v>
      </c>
      <c r="CG53" s="324">
        <f>$I53*IF($G53="Pickup", SUMIFS(NewEmisData!I:I, NewEmisData!$A:$A, "Pickup", NewEmisData!$B:$B, $A53, NewEmisData!$C:$C, $H53, NewEmisData!$D:$D, CG$2), SUMIFS(NewEmisData!I:I, NewEmisData!$A:$A, "LDV", NewEmisData!$B:$B, $A53, NewEmisData!$C:$C, $H53, NewEmisData!$D:$D, CG$2))</f>
        <v>2.40422957945788E-2</v>
      </c>
      <c r="CH53" s="324">
        <f>$I53*IF($G53="Pickup", SUMIFS(NewEmisData!J:J, NewEmisData!$A:$A, "Pickup", NewEmisData!$B:$B, $A53, NewEmisData!$C:$C, $H53, NewEmisData!$D:$D, CH$2), SUMIFS(NewEmisData!J:J, NewEmisData!$A:$A, "LDV", NewEmisData!$B:$B, $A53, NewEmisData!$C:$C, $H53, NewEmisData!$D:$D, CH$2))</f>
        <v>2.4074191271757701E-2</v>
      </c>
      <c r="CI53" s="324">
        <f>$I53*IF($G53="Pickup", SUMIFS(NewEmisData!K:K, NewEmisData!$A:$A, "Pickup", NewEmisData!$B:$B, $A53, NewEmisData!$C:$C, $H53, NewEmisData!$D:$D, CI$2), SUMIFS(NewEmisData!K:K, NewEmisData!$A:$A, "LDV", NewEmisData!$B:$B, $A53, NewEmisData!$C:$C, $H53, NewEmisData!$D:$D, CI$2))</f>
        <v>2.4075209507305701E-2</v>
      </c>
      <c r="CJ53" s="324">
        <f>$I53*IF($G53="Pickup", SUMIFS(NewEmisData!L:L, NewEmisData!$A:$A, "Pickup", NewEmisData!$B:$B, $A53, NewEmisData!$C:$C, $H53, NewEmisData!$D:$D, CJ$2), SUMIFS(NewEmisData!L:L, NewEmisData!$A:$A, "LDV", NewEmisData!$B:$B, $A53, NewEmisData!$C:$C, $H53, NewEmisData!$D:$D, CJ$2))</f>
        <v>2.40793572890616E-2</v>
      </c>
      <c r="CK53" s="324">
        <f>$I53*IF($G53="Pickup", SUMIFS(NewEmisData!M:M, NewEmisData!$A:$A, "Pickup", NewEmisData!$B:$B, $A53, NewEmisData!$C:$C, $H53, NewEmisData!$D:$D, CK$2), SUMIFS(NewEmisData!M:M, NewEmisData!$A:$A, "LDV", NewEmisData!$B:$B, $A53, NewEmisData!$C:$C, $H53, NewEmisData!$D:$D, CK$2))</f>
        <v>2.40794499777192E-2</v>
      </c>
      <c r="CL53" s="324">
        <f t="shared" si="12"/>
        <v>2.40794499777192E-2</v>
      </c>
      <c r="CM53" s="324">
        <f>$I53*IF($G53="Pickup", SUMIFS(NewEmisData!E:E, NewEmisData!$A:$A, "Pickup", NewEmisData!$B:$B, $A53, NewEmisData!$C:$C, $H53, NewEmisData!$D:$D, CM$2), SUMIFS(NewEmisData!E:E, NewEmisData!$A:$A, "LDV", NewEmisData!$B:$B, $A53, NewEmisData!$C:$C, $H53, NewEmisData!$D:$D, CM$2))</f>
        <v>4.0183859548857297E-3</v>
      </c>
      <c r="CN53" s="324">
        <f>$I53*IF($G53="Pickup", SUMIFS(NewEmisData!F:F, NewEmisData!$A:$A, "Pickup", NewEmisData!$B:$B, $A53, NewEmisData!$C:$C, $H53, NewEmisData!$D:$D, CN$2), SUMIFS(NewEmisData!F:F, NewEmisData!$A:$A, "LDV", NewEmisData!$B:$B, $A53, NewEmisData!$C:$C, $H53, NewEmisData!$D:$D, CN$2))</f>
        <v>4.1166806956555498E-3</v>
      </c>
      <c r="CO53" s="324">
        <f>$I53*IF($G53="Pickup", SUMIFS(NewEmisData!G:G, NewEmisData!$A:$A, "Pickup", NewEmisData!$B:$B, $A53, NewEmisData!$C:$C, $H53, NewEmisData!$D:$D, CO$2), SUMIFS(NewEmisData!G:G, NewEmisData!$A:$A, "LDV", NewEmisData!$B:$B, $A53, NewEmisData!$C:$C, $H53, NewEmisData!$D:$D, CO$2))</f>
        <v>3.3999162837760402E-3</v>
      </c>
      <c r="CP53" s="324">
        <f>$I53*IF($G53="Pickup", SUMIFS(NewEmisData!H:H, NewEmisData!$A:$A, "Pickup", NewEmisData!$B:$B, $A53, NewEmisData!$C:$C, $H53, NewEmisData!$D:$D, CP$2), SUMIFS(NewEmisData!H:H, NewEmisData!$A:$A, "LDV", NewEmisData!$B:$B, $A53, NewEmisData!$C:$C, $H53, NewEmisData!$D:$D, CP$2))</f>
        <v>3.4343400684857502E-3</v>
      </c>
      <c r="CQ53" s="324">
        <f>$I53*IF($G53="Pickup", SUMIFS(NewEmisData!I:I, NewEmisData!$A:$A, "Pickup", NewEmisData!$B:$B, $A53, NewEmisData!$C:$C, $H53, NewEmisData!$D:$D, CQ$2), SUMIFS(NewEmisData!I:I, NewEmisData!$A:$A, "LDV", NewEmisData!$B:$B, $A53, NewEmisData!$C:$C, $H53, NewEmisData!$D:$D, CQ$2))</f>
        <v>3.4601678572763598E-3</v>
      </c>
      <c r="CR53" s="324">
        <f>$I53*IF($G53="Pickup", SUMIFS(NewEmisData!J:J, NewEmisData!$A:$A, "Pickup", NewEmisData!$B:$B, $A53, NewEmisData!$C:$C, $H53, NewEmisData!$D:$D, CR$2), SUMIFS(NewEmisData!J:J, NewEmisData!$A:$A, "LDV", NewEmisData!$B:$B, $A53, NewEmisData!$C:$C, $H53, NewEmisData!$D:$D, CR$2))</f>
        <v>3.4849953698967602E-3</v>
      </c>
      <c r="CS53" s="324">
        <f>$I53*IF($G53="Pickup", SUMIFS(NewEmisData!K:K, NewEmisData!$A:$A, "Pickup", NewEmisData!$B:$B, $A53, NewEmisData!$C:$C, $H53, NewEmisData!$D:$D, CS$2), SUMIFS(NewEmisData!K:K, NewEmisData!$A:$A, "LDV", NewEmisData!$B:$B, $A53, NewEmisData!$C:$C, $H53, NewEmisData!$D:$D, CS$2))</f>
        <v>3.4925363140416799E-3</v>
      </c>
      <c r="CT53" s="324">
        <f>$I53*IF($G53="Pickup", SUMIFS(NewEmisData!L:L, NewEmisData!$A:$A, "Pickup", NewEmisData!$B:$B, $A53, NewEmisData!$C:$C, $H53, NewEmisData!$D:$D, CT$2), SUMIFS(NewEmisData!L:L, NewEmisData!$A:$A, "LDV", NewEmisData!$B:$B, $A53, NewEmisData!$C:$C, $H53, NewEmisData!$D:$D, CT$2))</f>
        <v>3.4942190711013499E-3</v>
      </c>
      <c r="CU53" s="324">
        <f>$I53*IF($G53="Pickup", SUMIFS(NewEmisData!M:M, NewEmisData!$A:$A, "Pickup", NewEmisData!$B:$B, $A53, NewEmisData!$C:$C, $H53, NewEmisData!$D:$D, CU$2), SUMIFS(NewEmisData!M:M, NewEmisData!$A:$A, "LDV", NewEmisData!$B:$B, $A53, NewEmisData!$C:$C, $H53, NewEmisData!$D:$D, CU$2))</f>
        <v>3.4951275451317199E-3</v>
      </c>
      <c r="CV53" s="324">
        <f t="shared" si="13"/>
        <v>3.4951275451317199E-3</v>
      </c>
      <c r="CW53" s="324">
        <v>0.12767609553272316</v>
      </c>
      <c r="CX53" s="324">
        <v>6.0965444660888601E-2</v>
      </c>
      <c r="CY53" s="324">
        <v>1.6598456567846732E-2</v>
      </c>
      <c r="CZ53" s="324">
        <v>3.3604812012321423E-3</v>
      </c>
      <c r="DA53" s="324">
        <v>1.5241571918114991E-3</v>
      </c>
      <c r="DB53" s="324">
        <v>1.0003681376209209E-3</v>
      </c>
      <c r="DC53" s="324">
        <v>9.0365490602724134E-4</v>
      </c>
      <c r="DD53" s="324">
        <v>8.9947941829660093E-4</v>
      </c>
      <c r="DE53" s="324">
        <v>8.980159958761482E-4</v>
      </c>
      <c r="DF53" s="324">
        <v>8.980159958761482E-4</v>
      </c>
      <c r="DG53" s="324">
        <f>$I53*IF($G53="Pickup", SUMIFS(NewEmisData!E:E, NewEmisData!$A:$A, "Pickup", NewEmisData!$B:$B, $A53, NewEmisData!$C:$C, $H53, NewEmisData!$D:$D, DG$2), SUMIFS(NewEmisData!E:E, NewEmisData!$A:$A, "LDV", NewEmisData!$B:$B, $A53, NewEmisData!$C:$C, $H53, NewEmisData!$D:$D, DG$2))</f>
        <v>0</v>
      </c>
      <c r="DH53" s="324">
        <f>$I53*IF($G53="Pickup", SUMIFS(NewEmisData!F:F, NewEmisData!$A:$A, "Pickup", NewEmisData!$B:$B, $A53, NewEmisData!$C:$C, $H53, NewEmisData!$D:$D, DH$2), SUMIFS(NewEmisData!F:F, NewEmisData!$A:$A, "LDV", NewEmisData!$B:$B, $A53, NewEmisData!$C:$C, $H53, NewEmisData!$D:$D, DH$2))</f>
        <v>0</v>
      </c>
      <c r="DI53" s="324">
        <f>$I53*IF($G53="Pickup", SUMIFS(NewEmisData!G:G, NewEmisData!$A:$A, "Pickup", NewEmisData!$B:$B, $A53, NewEmisData!$C:$C, $H53, NewEmisData!$D:$D, DI$2), SUMIFS(NewEmisData!G:G, NewEmisData!$A:$A, "LDV", NewEmisData!$B:$B, $A53, NewEmisData!$C:$C, $H53, NewEmisData!$D:$D, DI$2))</f>
        <v>0</v>
      </c>
      <c r="DJ53" s="324">
        <f>$I53*IF($G53="Pickup", SUMIFS(NewEmisData!H:H, NewEmisData!$A:$A, "Pickup", NewEmisData!$B:$B, $A53, NewEmisData!$C:$C, $H53, NewEmisData!$D:$D, DJ$2), SUMIFS(NewEmisData!H:H, NewEmisData!$A:$A, "LDV", NewEmisData!$B:$B, $A53, NewEmisData!$C:$C, $H53, NewEmisData!$D:$D, DJ$2))</f>
        <v>0</v>
      </c>
      <c r="DK53" s="324">
        <f>$I53*IF($G53="Pickup", SUMIFS(NewEmisData!I:I, NewEmisData!$A:$A, "Pickup", NewEmisData!$B:$B, $A53, NewEmisData!$C:$C, $H53, NewEmisData!$D:$D, DK$2), SUMIFS(NewEmisData!I:I, NewEmisData!$A:$A, "LDV", NewEmisData!$B:$B, $A53, NewEmisData!$C:$C, $H53, NewEmisData!$D:$D, DK$2))</f>
        <v>0</v>
      </c>
      <c r="DL53" s="324">
        <f>$I53*IF($G53="Pickup", SUMIFS(NewEmisData!J:J, NewEmisData!$A:$A, "Pickup", NewEmisData!$B:$B, $A53, NewEmisData!$C:$C, $H53, NewEmisData!$D:$D, DL$2), SUMIFS(NewEmisData!J:J, NewEmisData!$A:$A, "LDV", NewEmisData!$B:$B, $A53, NewEmisData!$C:$C, $H53, NewEmisData!$D:$D, DL$2))</f>
        <v>0</v>
      </c>
      <c r="DM53" s="324">
        <f>$I53*IF($G53="Pickup", SUMIFS(NewEmisData!K:K, NewEmisData!$A:$A, "Pickup", NewEmisData!$B:$B, $A53, NewEmisData!$C:$C, $H53, NewEmisData!$D:$D, DM$2), SUMIFS(NewEmisData!K:K, NewEmisData!$A:$A, "LDV", NewEmisData!$B:$B, $A53, NewEmisData!$C:$C, $H53, NewEmisData!$D:$D, DM$2))</f>
        <v>0</v>
      </c>
      <c r="DN53" s="324">
        <f>$I53*IF($G53="Pickup", SUMIFS(NewEmisData!L:L, NewEmisData!$A:$A, "Pickup", NewEmisData!$B:$B, $A53, NewEmisData!$C:$C, $H53, NewEmisData!$D:$D, DN$2), SUMIFS(NewEmisData!L:L, NewEmisData!$A:$A, "LDV", NewEmisData!$B:$B, $A53, NewEmisData!$C:$C, $H53, NewEmisData!$D:$D, DN$2))</f>
        <v>0</v>
      </c>
      <c r="DO53" s="324">
        <f>$I53*IF($G53="Pickup", SUMIFS(NewEmisData!M:M, NewEmisData!$A:$A, "Pickup", NewEmisData!$B:$B, $A53, NewEmisData!$C:$C, $H53, NewEmisData!$D:$D, DO$2), SUMIFS(NewEmisData!M:M, NewEmisData!$A:$A, "LDV", NewEmisData!$B:$B, $A53, NewEmisData!$C:$C, $H53, NewEmisData!$D:$D, DO$2))</f>
        <v>0</v>
      </c>
      <c r="DP53" s="324">
        <f t="shared" si="14"/>
        <v>0</v>
      </c>
      <c r="DQ53" s="324">
        <f>$I53*IF($G53="Pickup", SUMIFS(NewEmisData!E:E, NewEmisData!$A:$A, "Pickup", NewEmisData!$B:$B, $A53, NewEmisData!$C:$C, $H53, NewEmisData!$D:$D, DQ$2), SUMIFS(NewEmisData!E:E, NewEmisData!$A:$A, "LDV", NewEmisData!$B:$B, $A53, NewEmisData!$C:$C, $H53, NewEmisData!$D:$D, DQ$2))</f>
        <v>2.7635018209204099E-2</v>
      </c>
      <c r="DR53" s="324">
        <f>$I53*IF($G53="Pickup", SUMIFS(NewEmisData!F:F, NewEmisData!$A:$A, "Pickup", NewEmisData!$B:$B, $A53, NewEmisData!$C:$C, $H53, NewEmisData!$D:$D, DR$2), SUMIFS(NewEmisData!F:F, NewEmisData!$A:$A, "LDV", NewEmisData!$B:$B, $A53, NewEmisData!$C:$C, $H53, NewEmisData!$D:$D, DR$2))</f>
        <v>7.9251945523322806E-2</v>
      </c>
      <c r="DS53" s="324">
        <f>$I53*IF($G53="Pickup", SUMIFS(NewEmisData!G:G, NewEmisData!$A:$A, "Pickup", NewEmisData!$B:$B, $A53, NewEmisData!$C:$C, $H53, NewEmisData!$D:$D, DS$2), SUMIFS(NewEmisData!G:G, NewEmisData!$A:$A, "LDV", NewEmisData!$B:$B, $A53, NewEmisData!$C:$C, $H53, NewEmisData!$D:$D, DS$2))</f>
        <v>9.6148153254808605E-2</v>
      </c>
      <c r="DT53" s="324">
        <f>$I53*IF($G53="Pickup", SUMIFS(NewEmisData!H:H, NewEmisData!$A:$A, "Pickup", NewEmisData!$B:$B, $A53, NewEmisData!$C:$C, $H53, NewEmisData!$D:$D, DT$2), SUMIFS(NewEmisData!H:H, NewEmisData!$A:$A, "LDV", NewEmisData!$B:$B, $A53, NewEmisData!$C:$C, $H53, NewEmisData!$D:$D, DT$2))</f>
        <v>9.9785175883289098E-2</v>
      </c>
      <c r="DU53" s="324">
        <f>$I53*IF($G53="Pickup", SUMIFS(NewEmisData!I:I, NewEmisData!$A:$A, "Pickup", NewEmisData!$B:$B, $A53, NewEmisData!$C:$C, $H53, NewEmisData!$D:$D, DU$2), SUMIFS(NewEmisData!I:I, NewEmisData!$A:$A, "LDV", NewEmisData!$B:$B, $A53, NewEmisData!$C:$C, $H53, NewEmisData!$D:$D, DU$2))</f>
        <v>9.5948328253445195E-2</v>
      </c>
      <c r="DV53" s="324">
        <f>$I53*IF($G53="Pickup", SUMIFS(NewEmisData!J:J, NewEmisData!$A:$A, "Pickup", NewEmisData!$B:$B, $A53, NewEmisData!$C:$C, $H53, NewEmisData!$D:$D, DV$2), SUMIFS(NewEmisData!J:J, NewEmisData!$A:$A, "LDV", NewEmisData!$B:$B, $A53, NewEmisData!$C:$C, $H53, NewEmisData!$D:$D, DV$2))</f>
        <v>9.3899906203712996E-2</v>
      </c>
      <c r="DW53" s="324">
        <f>$I53*IF($G53="Pickup", SUMIFS(NewEmisData!K:K, NewEmisData!$A:$A, "Pickup", NewEmisData!$B:$B, $A53, NewEmisData!$C:$C, $H53, NewEmisData!$D:$D, DW$2), SUMIFS(NewEmisData!K:K, NewEmisData!$A:$A, "LDV", NewEmisData!$B:$B, $A53, NewEmisData!$C:$C, $H53, NewEmisData!$D:$D, DW$2))</f>
        <v>9.28466060132421E-2</v>
      </c>
      <c r="DX53" s="324">
        <f>$I53*IF($G53="Pickup", SUMIFS(NewEmisData!L:L, NewEmisData!$A:$A, "Pickup", NewEmisData!$B:$B, $A53, NewEmisData!$C:$C, $H53, NewEmisData!$D:$D, DX$2), SUMIFS(NewEmisData!L:L, NewEmisData!$A:$A, "LDV", NewEmisData!$B:$B, $A53, NewEmisData!$C:$C, $H53, NewEmisData!$D:$D, DX$2))</f>
        <v>9.2335797735822206E-2</v>
      </c>
      <c r="DY53" s="324">
        <f>$I53*IF($G53="Pickup", SUMIFS(NewEmisData!M:M, NewEmisData!$A:$A, "Pickup", NewEmisData!$B:$B, $A53, NewEmisData!$C:$C, $H53, NewEmisData!$D:$D, DY$2), SUMIFS(NewEmisData!M:M, NewEmisData!$A:$A, "LDV", NewEmisData!$B:$B, $A53, NewEmisData!$C:$C, $H53, NewEmisData!$D:$D, DY$2))</f>
        <v>9.2286843881752595E-2</v>
      </c>
      <c r="DZ53" s="324">
        <f t="shared" si="15"/>
        <v>9.2286843881752595E-2</v>
      </c>
      <c r="EA53" s="324">
        <f t="shared" si="16"/>
        <v>841.907590718238</v>
      </c>
      <c r="EB53" s="324">
        <f t="shared" si="17"/>
        <v>835.87094711822999</v>
      </c>
      <c r="EC53" s="324">
        <f t="shared" si="18"/>
        <v>659.78667986321</v>
      </c>
      <c r="ED53" s="324">
        <f t="shared" si="19"/>
        <v>614.56929391911797</v>
      </c>
      <c r="EE53" s="324">
        <f t="shared" si="20"/>
        <v>589.55955174021699</v>
      </c>
      <c r="EF53" s="324">
        <f t="shared" si="21"/>
        <v>580.46937338109694</v>
      </c>
      <c r="EG53" s="324">
        <f t="shared" si="22"/>
        <v>576.90045366686502</v>
      </c>
      <c r="EH53" s="324">
        <f t="shared" si="23"/>
        <v>576.147005302862</v>
      </c>
      <c r="EI53" s="324">
        <f t="shared" si="24"/>
        <v>576.03930724044699</v>
      </c>
      <c r="EJ53" s="324">
        <f t="shared" si="25"/>
        <v>576.03930724044699</v>
      </c>
      <c r="EK53" s="324">
        <f t="shared" si="26"/>
        <v>4.0571629288934901</v>
      </c>
      <c r="EL53" s="324">
        <f t="shared" si="27"/>
        <v>2.1079895266671</v>
      </c>
      <c r="EM53" s="324">
        <f t="shared" si="28"/>
        <v>0.95171972478398204</v>
      </c>
      <c r="EN53" s="324">
        <f t="shared" si="29"/>
        <v>0.57942204846870504</v>
      </c>
      <c r="EO53" s="324">
        <f t="shared" si="30"/>
        <v>0.46167885649316898</v>
      </c>
      <c r="EP53" s="324">
        <f t="shared" si="31"/>
        <v>0.411122834472536</v>
      </c>
      <c r="EQ53" s="324">
        <f t="shared" si="32"/>
        <v>0.39342235040821999</v>
      </c>
      <c r="ER53" s="324">
        <f t="shared" si="33"/>
        <v>0.39090755745160299</v>
      </c>
      <c r="ES53" s="324">
        <f t="shared" si="34"/>
        <v>0.390485776903365</v>
      </c>
      <c r="ET53" s="324">
        <f t="shared" si="35"/>
        <v>0.390485776903365</v>
      </c>
      <c r="EU53" s="324">
        <f t="shared" si="36"/>
        <v>2.0811138167889001E-2</v>
      </c>
      <c r="EV53" s="324">
        <f t="shared" si="37"/>
        <v>2.0069912405094401E-2</v>
      </c>
      <c r="EW53" s="324">
        <f t="shared" si="38"/>
        <v>5.5371654827597004E-3</v>
      </c>
      <c r="EX53" s="324">
        <f t="shared" si="39"/>
        <v>5.1293548240660498E-3</v>
      </c>
      <c r="EY53" s="324">
        <f t="shared" si="40"/>
        <v>4.9164414579809801E-3</v>
      </c>
      <c r="EZ53" s="324">
        <f t="shared" si="41"/>
        <v>4.8400921551360202E-3</v>
      </c>
      <c r="FA53" s="324">
        <f t="shared" si="42"/>
        <v>4.8096880897375597E-3</v>
      </c>
      <c r="FB53" s="324">
        <f t="shared" si="43"/>
        <v>4.8034066129064596E-3</v>
      </c>
      <c r="FC53" s="324">
        <f t="shared" si="44"/>
        <v>4.8025112743097604E-3</v>
      </c>
      <c r="FD53" s="324">
        <f t="shared" si="45"/>
        <v>4.8025112743097604E-3</v>
      </c>
      <c r="FE53" s="324">
        <f t="shared" si="46"/>
        <v>0.33805168547668302</v>
      </c>
      <c r="FF53" s="324">
        <f t="shared" si="47"/>
        <v>0.17896489479042399</v>
      </c>
      <c r="FG53" s="324">
        <f t="shared" si="48"/>
        <v>7.9890938416736806E-2</v>
      </c>
      <c r="FH53" s="324">
        <f t="shared" si="49"/>
        <v>6.62511849411654E-2</v>
      </c>
      <c r="FI53" s="324">
        <f t="shared" si="50"/>
        <v>6.38433895930966E-2</v>
      </c>
      <c r="FJ53" s="324">
        <f t="shared" si="51"/>
        <v>6.3517512192534306E-2</v>
      </c>
      <c r="FK53" s="324">
        <f t="shared" si="52"/>
        <v>6.3258841749161396E-2</v>
      </c>
      <c r="FL53" s="324">
        <f t="shared" si="53"/>
        <v>6.32502892090826E-2</v>
      </c>
      <c r="FM53" s="324">
        <f t="shared" si="54"/>
        <v>6.3250224011279194E-2</v>
      </c>
      <c r="FN53" s="324">
        <f t="shared" si="55"/>
        <v>6.3250224011279194E-2</v>
      </c>
      <c r="FO53" s="324">
        <f t="shared" si="56"/>
        <v>0.254238009093815</v>
      </c>
      <c r="FP53" s="324">
        <f t="shared" si="57"/>
        <v>0.10778009370992001</v>
      </c>
      <c r="FQ53" s="324">
        <f t="shared" si="58"/>
        <v>3.2180435581303402E-2</v>
      </c>
      <c r="FR53" s="324">
        <f t="shared" si="59"/>
        <v>1.9656296342157001E-2</v>
      </c>
      <c r="FS53" s="324">
        <f t="shared" si="60"/>
        <v>1.7448452247987301E-2</v>
      </c>
      <c r="FT53" s="324">
        <f t="shared" si="61"/>
        <v>1.7154220121797799E-2</v>
      </c>
      <c r="FU53" s="324">
        <f t="shared" si="62"/>
        <v>1.6918134827601801E-2</v>
      </c>
      <c r="FV53" s="324">
        <f t="shared" si="63"/>
        <v>1.6910104655338799E-2</v>
      </c>
      <c r="FW53" s="324">
        <f t="shared" si="64"/>
        <v>1.6909991277776301E-2</v>
      </c>
      <c r="FX53" s="324">
        <f t="shared" si="65"/>
        <v>1.6909991277776301E-2</v>
      </c>
    </row>
    <row r="54" spans="1:180" x14ac:dyDescent="0.2">
      <c r="A54" s="298" t="str">
        <f>_xlfn.CONCAT(IF(LEFT(TRIM(A53),1)="*", "*R", "R"), 1+RIGHT(TRIM(A53),1))</f>
        <v>R6</v>
      </c>
      <c r="B54" s="298" t="str">
        <f t="shared" si="107"/>
        <v>TLEPDSL</v>
      </c>
      <c r="C54" s="298" t="str">
        <f t="shared" si="108"/>
        <v>TL.DSL.P.Existing fleet</v>
      </c>
      <c r="D54" s="294" t="str">
        <f t="shared" si="109"/>
        <v>bn-vmt, bn-vmt/a</v>
      </c>
      <c r="E54" s="294" t="str">
        <f t="shared" si="110"/>
        <v>TRNDSL</v>
      </c>
      <c r="F54" s="294" t="str">
        <f t="shared" si="111"/>
        <v>TL</v>
      </c>
      <c r="G54" s="294" t="s">
        <v>329</v>
      </c>
      <c r="H54" s="294" t="s">
        <v>477</v>
      </c>
      <c r="I54" s="294">
        <v>1</v>
      </c>
      <c r="J54" s="308" t="str">
        <f t="shared" si="101"/>
        <v>Pickup-DSL</v>
      </c>
      <c r="K54" s="324">
        <f>$I54*IF($G54="Pickup", SUMIFS(NewEmisData!E:E, NewEmisData!$A:$A, "Pickup", NewEmisData!$B:$B, $A54, NewEmisData!$C:$C, $H54, NewEmisData!$D:$D, K$2), SUMIFS(NewEmisData!E:E, NewEmisData!$A:$A, "LDV", NewEmisData!$B:$B, $A54, NewEmisData!$C:$C, $H54, NewEmisData!$D:$D, K$2))</f>
        <v>824.08783613849801</v>
      </c>
      <c r="L54" s="324">
        <f>$I54*IF($G54="Pickup", SUMIFS(NewEmisData!F:F, NewEmisData!$A:$A, "Pickup", NewEmisData!$B:$B, $A54, NewEmisData!$C:$C, $H54, NewEmisData!$D:$D, L$2), SUMIFS(NewEmisData!F:F, NewEmisData!$A:$A, "LDV", NewEmisData!$B:$B, $A54, NewEmisData!$C:$C, $H54, NewEmisData!$D:$D, L$2))</f>
        <v>839.56905970226001</v>
      </c>
      <c r="M54" s="324">
        <f>$I54*IF($G54="Pickup", SUMIFS(NewEmisData!G:G, NewEmisData!$A:$A, "Pickup", NewEmisData!$B:$B, $A54, NewEmisData!$C:$C, $H54, NewEmisData!$D:$D, M$2), SUMIFS(NewEmisData!G:G, NewEmisData!$A:$A, "LDV", NewEmisData!$B:$B, $A54, NewEmisData!$C:$C, $H54, NewEmisData!$D:$D, M$2))</f>
        <v>700.00511881432499</v>
      </c>
      <c r="N54" s="324">
        <f>$I54*IF($G54="Pickup", SUMIFS(NewEmisData!H:H, NewEmisData!$A:$A, "Pickup", NewEmisData!$B:$B, $A54, NewEmisData!$C:$C, $H54, NewEmisData!$D:$D, N$2), SUMIFS(NewEmisData!H:H, NewEmisData!$A:$A, "LDV", NewEmisData!$B:$B, $A54, NewEmisData!$C:$C, $H54, NewEmisData!$D:$D, N$2))</f>
        <v>640.42628986700595</v>
      </c>
      <c r="O54" s="324">
        <f>$I54*IF($G54="Pickup", SUMIFS(NewEmisData!I:I, NewEmisData!$A:$A, "Pickup", NewEmisData!$B:$B, $A54, NewEmisData!$C:$C, $H54, NewEmisData!$D:$D, O$2), SUMIFS(NewEmisData!I:I, NewEmisData!$A:$A, "LDV", NewEmisData!$B:$B, $A54, NewEmisData!$C:$C, $H54, NewEmisData!$D:$D, O$2))</f>
        <v>610.22294845773899</v>
      </c>
      <c r="P54" s="324">
        <f>$I54*IF($G54="Pickup", SUMIFS(NewEmisData!J:J, NewEmisData!$A:$A, "Pickup", NewEmisData!$B:$B, $A54, NewEmisData!$C:$C, $H54, NewEmisData!$D:$D, P$2), SUMIFS(NewEmisData!J:J, NewEmisData!$A:$A, "LDV", NewEmisData!$B:$B, $A54, NewEmisData!$C:$C, $H54, NewEmisData!$D:$D, P$2))</f>
        <v>600.13082932178804</v>
      </c>
      <c r="Q54" s="324">
        <f>$I54*IF($G54="Pickup", SUMIFS(NewEmisData!K:K, NewEmisData!$A:$A, "Pickup", NewEmisData!$B:$B, $A54, NewEmisData!$C:$C, $H54, NewEmisData!$D:$D, Q$2), SUMIFS(NewEmisData!K:K, NewEmisData!$A:$A, "LDV", NewEmisData!$B:$B, $A54, NewEmisData!$C:$C, $H54, NewEmisData!$D:$D, Q$2))</f>
        <v>595.91623298286004</v>
      </c>
      <c r="R54" s="324">
        <f>$I54*IF($G54="Pickup", SUMIFS(NewEmisData!L:L, NewEmisData!$A:$A, "Pickup", NewEmisData!$B:$B, $A54, NewEmisData!$C:$C, $H54, NewEmisData!$D:$D, R$2), SUMIFS(NewEmisData!L:L, NewEmisData!$A:$A, "LDV", NewEmisData!$B:$B, $A54, NewEmisData!$C:$C, $H54, NewEmisData!$D:$D, R$2))</f>
        <v>595.02405195630899</v>
      </c>
      <c r="S54" s="324">
        <f>$I54*IF($G54="Pickup", SUMIFS(NewEmisData!M:M, NewEmisData!$A:$A, "Pickup", NewEmisData!$B:$B, $A54, NewEmisData!$C:$C, $H54, NewEmisData!$D:$D, S$2), SUMIFS(NewEmisData!M:M, NewEmisData!$A:$A, "LDV", NewEmisData!$B:$B, $A54, NewEmisData!$C:$C, $H54, NewEmisData!$D:$D, S$2))</f>
        <v>594.87606348692998</v>
      </c>
      <c r="T54" s="324">
        <f t="shared" si="5"/>
        <v>594.87606348692998</v>
      </c>
      <c r="U54" s="324">
        <f>$I54*IF($G54="Pickup", SUMIFS(NewEmisData!E:E, NewEmisData!$A:$A, "Pickup", NewEmisData!$B:$B, $A54, NewEmisData!$C:$C, $H54, NewEmisData!$D:$D, U$2), SUMIFS(NewEmisData!E:E, NewEmisData!$A:$A, "LDV", NewEmisData!$B:$B, $A54, NewEmisData!$C:$C, $H54, NewEmisData!$D:$D, U$2))</f>
        <v>3.5836248871385799</v>
      </c>
      <c r="V54" s="324">
        <f>$I54*IF($G54="Pickup", SUMIFS(NewEmisData!F:F, NewEmisData!$A:$A, "Pickup", NewEmisData!$B:$B, $A54, NewEmisData!$C:$C, $H54, NewEmisData!$D:$D, V$2), SUMIFS(NewEmisData!F:F, NewEmisData!$A:$A, "LDV", NewEmisData!$B:$B, $A54, NewEmisData!$C:$C, $H54, NewEmisData!$D:$D, V$2))</f>
        <v>2.4620255710196099</v>
      </c>
      <c r="W54" s="324">
        <f>$I54*IF($G54="Pickup", SUMIFS(NewEmisData!G:G, NewEmisData!$A:$A, "Pickup", NewEmisData!$B:$B, $A54, NewEmisData!$C:$C, $H54, NewEmisData!$D:$D, W$2), SUMIFS(NewEmisData!G:G, NewEmisData!$A:$A, "LDV", NewEmisData!$B:$B, $A54, NewEmisData!$C:$C, $H54, NewEmisData!$D:$D, W$2))</f>
        <v>1.0992466046413001</v>
      </c>
      <c r="X54" s="324">
        <f>$I54*IF($G54="Pickup", SUMIFS(NewEmisData!H:H, NewEmisData!$A:$A, "Pickup", NewEmisData!$B:$B, $A54, NewEmisData!$C:$C, $H54, NewEmisData!$D:$D, X$2), SUMIFS(NewEmisData!H:H, NewEmisData!$A:$A, "LDV", NewEmisData!$B:$B, $A54, NewEmisData!$C:$C, $H54, NewEmisData!$D:$D, X$2))</f>
        <v>0.61428485989636905</v>
      </c>
      <c r="Y54" s="324">
        <f>$I54*IF($G54="Pickup", SUMIFS(NewEmisData!I:I, NewEmisData!$A:$A, "Pickup", NewEmisData!$B:$B, $A54, NewEmisData!$C:$C, $H54, NewEmisData!$D:$D, Y$2), SUMIFS(NewEmisData!I:I, NewEmisData!$A:$A, "LDV", NewEmisData!$B:$B, $A54, NewEmisData!$C:$C, $H54, NewEmisData!$D:$D, Y$2))</f>
        <v>0.46060834805441597</v>
      </c>
      <c r="Z54" s="324">
        <f>$I54*IF($G54="Pickup", SUMIFS(NewEmisData!J:J, NewEmisData!$A:$A, "Pickup", NewEmisData!$B:$B, $A54, NewEmisData!$C:$C, $H54, NewEmisData!$D:$D, Z$2), SUMIFS(NewEmisData!J:J, NewEmisData!$A:$A, "LDV", NewEmisData!$B:$B, $A54, NewEmisData!$C:$C, $H54, NewEmisData!$D:$D, Z$2))</f>
        <v>0.39893050209221598</v>
      </c>
      <c r="AA54" s="324">
        <f>$I54*IF($G54="Pickup", SUMIFS(NewEmisData!K:K, NewEmisData!$A:$A, "Pickup", NewEmisData!$B:$B, $A54, NewEmisData!$C:$C, $H54, NewEmisData!$D:$D, AA$2), SUMIFS(NewEmisData!K:K, NewEmisData!$A:$A, "LDV", NewEmisData!$B:$B, $A54, NewEmisData!$C:$C, $H54, NewEmisData!$D:$D, AA$2))</f>
        <v>0.37710706015261702</v>
      </c>
      <c r="AB54" s="324">
        <f>$I54*IF($G54="Pickup", SUMIFS(NewEmisData!L:L, NewEmisData!$A:$A, "Pickup", NewEmisData!$B:$B, $A54, NewEmisData!$C:$C, $H54, NewEmisData!$D:$D, AB$2), SUMIFS(NewEmisData!L:L, NewEmisData!$A:$A, "LDV", NewEmisData!$B:$B, $A54, NewEmisData!$C:$C, $H54, NewEmisData!$D:$D, AB$2))</f>
        <v>0.37446109942407202</v>
      </c>
      <c r="AC54" s="324">
        <f>$I54*IF($G54="Pickup", SUMIFS(NewEmisData!M:M, NewEmisData!$A:$A, "Pickup", NewEmisData!$B:$B, $A54, NewEmisData!$C:$C, $H54, NewEmisData!$D:$D, AC$2), SUMIFS(NewEmisData!M:M, NewEmisData!$A:$A, "LDV", NewEmisData!$B:$B, $A54, NewEmisData!$C:$C, $H54, NewEmisData!$D:$D, AC$2))</f>
        <v>0.37384740613575301</v>
      </c>
      <c r="AD54" s="324">
        <f t="shared" si="6"/>
        <v>0.37384740613575301</v>
      </c>
      <c r="AE54" s="324">
        <f>$I54*IF($G54="Pickup", SUMIFS(NewEmisData!E:E, NewEmisData!$A:$A, "Pickup", NewEmisData!$B:$B, $A54, NewEmisData!$C:$C, $H54, NewEmisData!$D:$D, AE$2), SUMIFS(NewEmisData!E:E, NewEmisData!$A:$A, "LDV", NewEmisData!$B:$B, $A54, NewEmisData!$C:$C, $H54, NewEmisData!$D:$D, AE$2))</f>
        <v>2.02987259654193E-2</v>
      </c>
      <c r="AF54" s="324">
        <f>$I54*IF($G54="Pickup", SUMIFS(NewEmisData!F:F, NewEmisData!$A:$A, "Pickup", NewEmisData!$B:$B, $A54, NewEmisData!$C:$C, $H54, NewEmisData!$D:$D, AF$2), SUMIFS(NewEmisData!F:F, NewEmisData!$A:$A, "LDV", NewEmisData!$B:$B, $A54, NewEmisData!$C:$C, $H54, NewEmisData!$D:$D, AF$2))</f>
        <v>2.03517774676031E-2</v>
      </c>
      <c r="AG54" s="324">
        <f>$I54*IF($G54="Pickup", SUMIFS(NewEmisData!G:G, NewEmisData!$A:$A, "Pickup", NewEmisData!$B:$B, $A54, NewEmisData!$C:$C, $H54, NewEmisData!$D:$D, AG$2), SUMIFS(NewEmisData!G:G, NewEmisData!$A:$A, "LDV", NewEmisData!$B:$B, $A54, NewEmisData!$C:$C, $H54, NewEmisData!$D:$D, AG$2))</f>
        <v>5.8874063451475004E-3</v>
      </c>
      <c r="AH54" s="324">
        <f>$I54*IF($G54="Pickup", SUMIFS(NewEmisData!H:H, NewEmisData!$A:$A, "Pickup", NewEmisData!$B:$B, $A54, NewEmisData!$C:$C, $H54, NewEmisData!$D:$D, AH$2), SUMIFS(NewEmisData!H:H, NewEmisData!$A:$A, "LDV", NewEmisData!$B:$B, $A54, NewEmisData!$C:$C, $H54, NewEmisData!$D:$D, AH$2))</f>
        <v>5.3488332355279998E-3</v>
      </c>
      <c r="AI54" s="324">
        <f>$I54*IF($G54="Pickup", SUMIFS(NewEmisData!I:I, NewEmisData!$A:$A, "Pickup", NewEmisData!$B:$B, $A54, NewEmisData!$C:$C, $H54, NewEmisData!$D:$D, AI$2), SUMIFS(NewEmisData!I:I, NewEmisData!$A:$A, "LDV", NewEmisData!$B:$B, $A54, NewEmisData!$C:$C, $H54, NewEmisData!$D:$D, AI$2))</f>
        <v>5.0900786712235798E-3</v>
      </c>
      <c r="AJ54" s="324">
        <f>$I54*IF($G54="Pickup", SUMIFS(NewEmisData!J:J, NewEmisData!$A:$A, "Pickup", NewEmisData!$B:$B, $A54, NewEmisData!$C:$C, $H54, NewEmisData!$D:$D, AJ$2), SUMIFS(NewEmisData!J:J, NewEmisData!$A:$A, "LDV", NewEmisData!$B:$B, $A54, NewEmisData!$C:$C, $H54, NewEmisData!$D:$D, AJ$2))</f>
        <v>5.0048506801569003E-3</v>
      </c>
      <c r="AK54" s="324">
        <f>$I54*IF($G54="Pickup", SUMIFS(NewEmisData!K:K, NewEmisData!$A:$A, "Pickup", NewEmisData!$B:$B, $A54, NewEmisData!$C:$C, $H54, NewEmisData!$D:$D, AK$2), SUMIFS(NewEmisData!K:K, NewEmisData!$A:$A, "LDV", NewEmisData!$B:$B, $A54, NewEmisData!$C:$C, $H54, NewEmisData!$D:$D, AK$2))</f>
        <v>4.9682251231770204E-3</v>
      </c>
      <c r="AL54" s="324">
        <f>$I54*IF($G54="Pickup", SUMIFS(NewEmisData!L:L, NewEmisData!$A:$A, "Pickup", NewEmisData!$B:$B, $A54, NewEmisData!$C:$C, $H54, NewEmisData!$D:$D, AL$2), SUMIFS(NewEmisData!L:L, NewEmisData!$A:$A, "LDV", NewEmisData!$B:$B, $A54, NewEmisData!$C:$C, $H54, NewEmisData!$D:$D, AL$2))</f>
        <v>4.96078702640931E-3</v>
      </c>
      <c r="AM54" s="324">
        <f>$I54*IF($G54="Pickup", SUMIFS(NewEmisData!M:M, NewEmisData!$A:$A, "Pickup", NewEmisData!$B:$B, $A54, NewEmisData!$C:$C, $H54, NewEmisData!$D:$D, AM$2), SUMIFS(NewEmisData!M:M, NewEmisData!$A:$A, "LDV", NewEmisData!$B:$B, $A54, NewEmisData!$C:$C, $H54, NewEmisData!$D:$D, AM$2))</f>
        <v>4.9595532329322397E-3</v>
      </c>
      <c r="AN54" s="324">
        <f t="shared" si="7"/>
        <v>4.9595532329322397E-3</v>
      </c>
      <c r="AO54" s="324">
        <f>$I54*IF($G54="Pickup", SUMIFS(NewEmisData!E:E, NewEmisData!$A:$A, "Pickup", NewEmisData!$B:$B, $A54, NewEmisData!$C:$C, $H54, NewEmisData!$D:$D, AO$2), SUMIFS(NewEmisData!E:E, NewEmisData!$A:$A, "LDV", NewEmisData!$B:$B, $A54, NewEmisData!$C:$C, $H54, NewEmisData!$D:$D, AO$2))</f>
        <v>0.30693299916758499</v>
      </c>
      <c r="AP54" s="324">
        <f>$I54*IF($G54="Pickup", SUMIFS(NewEmisData!F:F, NewEmisData!$A:$A, "Pickup", NewEmisData!$B:$B, $A54, NewEmisData!$C:$C, $H54, NewEmisData!$D:$D, AP$2), SUMIFS(NewEmisData!F:F, NewEmisData!$A:$A, "LDV", NewEmisData!$B:$B, $A54, NewEmisData!$C:$C, $H54, NewEmisData!$D:$D, AP$2))</f>
        <v>0.21185033519336999</v>
      </c>
      <c r="AQ54" s="324">
        <f>$I54*IF($G54="Pickup", SUMIFS(NewEmisData!G:G, NewEmisData!$A:$A, "Pickup", NewEmisData!$B:$B, $A54, NewEmisData!$C:$C, $H54, NewEmisData!$D:$D, AQ$2), SUMIFS(NewEmisData!G:G, NewEmisData!$A:$A, "LDV", NewEmisData!$B:$B, $A54, NewEmisData!$C:$C, $H54, NewEmisData!$D:$D, AQ$2))</f>
        <v>0.101369059406912</v>
      </c>
      <c r="AR54" s="324">
        <f>$I54*IF($G54="Pickup", SUMIFS(NewEmisData!H:H, NewEmisData!$A:$A, "Pickup", NewEmisData!$B:$B, $A54, NewEmisData!$C:$C, $H54, NewEmisData!$D:$D, AR$2), SUMIFS(NewEmisData!H:H, NewEmisData!$A:$A, "LDV", NewEmisData!$B:$B, $A54, NewEmisData!$C:$C, $H54, NewEmisData!$D:$D, AR$2))</f>
        <v>7.95683518047864E-2</v>
      </c>
      <c r="AS54" s="324">
        <f>$I54*IF($G54="Pickup", SUMIFS(NewEmisData!I:I, NewEmisData!$A:$A, "Pickup", NewEmisData!$B:$B, $A54, NewEmisData!$C:$C, $H54, NewEmisData!$D:$D, AS$2), SUMIFS(NewEmisData!I:I, NewEmisData!$A:$A, "LDV", NewEmisData!$B:$B, $A54, NewEmisData!$C:$C, $H54, NewEmisData!$D:$D, AS$2))</f>
        <v>7.4197456346946605E-2</v>
      </c>
      <c r="AT54" s="324">
        <f>$I54*IF($G54="Pickup", SUMIFS(NewEmisData!J:J, NewEmisData!$A:$A, "Pickup", NewEmisData!$B:$B, $A54, NewEmisData!$C:$C, $H54, NewEmisData!$D:$D, AT$2), SUMIFS(NewEmisData!J:J, NewEmisData!$A:$A, "LDV", NewEmisData!$B:$B, $A54, NewEmisData!$C:$C, $H54, NewEmisData!$D:$D, AT$2))</f>
        <v>7.3221606155705804E-2</v>
      </c>
      <c r="AU54" s="324">
        <f>$I54*IF($G54="Pickup", SUMIFS(NewEmisData!K:K, NewEmisData!$A:$A, "Pickup", NewEmisData!$B:$B, $A54, NewEmisData!$C:$C, $H54, NewEmisData!$D:$D, AU$2), SUMIFS(NewEmisData!K:K, NewEmisData!$A:$A, "LDV", NewEmisData!$B:$B, $A54, NewEmisData!$C:$C, $H54, NewEmisData!$D:$D, AU$2))</f>
        <v>7.2591041246683793E-2</v>
      </c>
      <c r="AV54" s="324">
        <f>$I54*IF($G54="Pickup", SUMIFS(NewEmisData!L:L, NewEmisData!$A:$A, "Pickup", NewEmisData!$B:$B, $A54, NewEmisData!$C:$C, $H54, NewEmisData!$D:$D, AV$2), SUMIFS(NewEmisData!L:L, NewEmisData!$A:$A, "LDV", NewEmisData!$B:$B, $A54, NewEmisData!$C:$C, $H54, NewEmisData!$D:$D, AV$2))</f>
        <v>7.2574485210858894E-2</v>
      </c>
      <c r="AW54" s="324">
        <f>$I54*IF($G54="Pickup", SUMIFS(NewEmisData!M:M, NewEmisData!$A:$A, "Pickup", NewEmisData!$B:$B, $A54, NewEmisData!$C:$C, $H54, NewEmisData!$D:$D, AW$2), SUMIFS(NewEmisData!M:M, NewEmisData!$A:$A, "LDV", NewEmisData!$B:$B, $A54, NewEmisData!$C:$C, $H54, NewEmisData!$D:$D, AW$2))</f>
        <v>7.2572582897330901E-2</v>
      </c>
      <c r="AX54" s="324">
        <f t="shared" si="8"/>
        <v>7.2572582897330901E-2</v>
      </c>
      <c r="AY54" s="324">
        <f>$I54*IF($G54="Pickup", SUMIFS(NewEmisData!E:E, NewEmisData!$A:$A, "Pickup", NewEmisData!$B:$B, $A54, NewEmisData!$C:$C, $H54, NewEmisData!$D:$D, AY$2), SUMIFS(NewEmisData!E:E, NewEmisData!$A:$A, "LDV", NewEmisData!$B:$B, $A54, NewEmisData!$C:$C, $H54, NewEmisData!$D:$D, AY$2))</f>
        <v>0.22631284143381999</v>
      </c>
      <c r="AZ54" s="324">
        <f>$I54*IF($G54="Pickup", SUMIFS(NewEmisData!F:F, NewEmisData!$A:$A, "Pickup", NewEmisData!$B:$B, $A54, NewEmisData!$C:$C, $H54, NewEmisData!$D:$D, AZ$2), SUMIFS(NewEmisData!F:F, NewEmisData!$A:$A, "LDV", NewEmisData!$B:$B, $A54, NewEmisData!$C:$C, $H54, NewEmisData!$D:$D, AZ$2))</f>
        <v>0.138752652450124</v>
      </c>
      <c r="BA54" s="324">
        <f>$I54*IF($G54="Pickup", SUMIFS(NewEmisData!G:G, NewEmisData!$A:$A, "Pickup", NewEmisData!$B:$B, $A54, NewEmisData!$C:$C, $H54, NewEmisData!$D:$D, BA$2), SUMIFS(NewEmisData!G:G, NewEmisData!$A:$A, "LDV", NewEmisData!$B:$B, $A54, NewEmisData!$C:$C, $H54, NewEmisData!$D:$D, BA$2))</f>
        <v>4.4082850284758598E-2</v>
      </c>
      <c r="BB54" s="324">
        <f>$I54*IF($G54="Pickup", SUMIFS(NewEmisData!H:H, NewEmisData!$A:$A, "Pickup", NewEmisData!$B:$B, $A54, NewEmisData!$C:$C, $H54, NewEmisData!$D:$D, BB$2), SUMIFS(NewEmisData!H:H, NewEmisData!$A:$A, "LDV", NewEmisData!$B:$B, $A54, NewEmisData!$C:$C, $H54, NewEmisData!$D:$D, BB$2))</f>
        <v>2.4660510368797298E-2</v>
      </c>
      <c r="BC54" s="324">
        <f>$I54*IF($G54="Pickup", SUMIFS(NewEmisData!I:I, NewEmisData!$A:$A, "Pickup", NewEmisData!$B:$B, $A54, NewEmisData!$C:$C, $H54, NewEmisData!$D:$D, BC$2), SUMIFS(NewEmisData!I:I, NewEmisData!$A:$A, "LDV", NewEmisData!$B:$B, $A54, NewEmisData!$C:$C, $H54, NewEmisData!$D:$D, BC$2))</f>
        <v>1.9977913759074699E-2</v>
      </c>
      <c r="BD54" s="324">
        <f>$I54*IF($G54="Pickup", SUMIFS(NewEmisData!J:J, NewEmisData!$A:$A, "Pickup", NewEmisData!$B:$B, $A54, NewEmisData!$C:$C, $H54, NewEmisData!$D:$D, BD$2), SUMIFS(NewEmisData!J:J, NewEmisData!$A:$A, "LDV", NewEmisData!$B:$B, $A54, NewEmisData!$C:$C, $H54, NewEmisData!$D:$D, BD$2))</f>
        <v>1.9194563239000099E-2</v>
      </c>
      <c r="BE54" s="324">
        <f>$I54*IF($G54="Pickup", SUMIFS(NewEmisData!K:K, NewEmisData!$A:$A, "Pickup", NewEmisData!$B:$B, $A54, NewEmisData!$C:$C, $H54, NewEmisData!$D:$D, BE$2), SUMIFS(NewEmisData!K:K, NewEmisData!$A:$A, "LDV", NewEmisData!$B:$B, $A54, NewEmisData!$C:$C, $H54, NewEmisData!$D:$D, BE$2))</f>
        <v>1.8639801665147299E-2</v>
      </c>
      <c r="BF54" s="324">
        <f>$I54*IF($G54="Pickup", SUMIFS(NewEmisData!L:L, NewEmisData!$A:$A, "Pickup", NewEmisData!$B:$B, $A54, NewEmisData!$C:$C, $H54, NewEmisData!$D:$D, BF$2), SUMIFS(NewEmisData!L:L, NewEmisData!$A:$A, "LDV", NewEmisData!$B:$B, $A54, NewEmisData!$C:$C, $H54, NewEmisData!$D:$D, BF$2))</f>
        <v>1.86279441096215E-2</v>
      </c>
      <c r="BG54" s="324">
        <f>$I54*IF($G54="Pickup", SUMIFS(NewEmisData!M:M, NewEmisData!$A:$A, "Pickup", NewEmisData!$B:$B, $A54, NewEmisData!$C:$C, $H54, NewEmisData!$D:$D, BG$2), SUMIFS(NewEmisData!M:M, NewEmisData!$A:$A, "LDV", NewEmisData!$B:$B, $A54, NewEmisData!$C:$C, $H54, NewEmisData!$D:$D, BG$2))</f>
        <v>1.8626400356050201E-2</v>
      </c>
      <c r="BH54" s="324">
        <f t="shared" si="9"/>
        <v>1.8626400356050201E-2</v>
      </c>
      <c r="BI54" s="324">
        <f>$I54*IF($G54="Pickup", SUMIFS(NewEmisData!E:E, NewEmisData!$A:$A, "Pickup", NewEmisData!$B:$B, $A54, NewEmisData!$C:$C, $H54, NewEmisData!$D:$D, BI$2), SUMIFS(NewEmisData!E:E, NewEmisData!$A:$A, "LDV", NewEmisData!$B:$B, $A54, NewEmisData!$C:$C, $H54, NewEmisData!$D:$D, BI$2))</f>
        <v>7.1765217613033796</v>
      </c>
      <c r="BJ54" s="324">
        <f>$I54*IF($G54="Pickup", SUMIFS(NewEmisData!F:F, NewEmisData!$A:$A, "Pickup", NewEmisData!$B:$B, $A54, NewEmisData!$C:$C, $H54, NewEmisData!$D:$D, BJ$2), SUMIFS(NewEmisData!F:F, NewEmisData!$A:$A, "LDV", NewEmisData!$B:$B, $A54, NewEmisData!$C:$C, $H54, NewEmisData!$D:$D, BJ$2))</f>
        <v>5.0829903445482501</v>
      </c>
      <c r="BK54" s="324">
        <f>$I54*IF($G54="Pickup", SUMIFS(NewEmisData!G:G, NewEmisData!$A:$A, "Pickup", NewEmisData!$B:$B, $A54, NewEmisData!$C:$C, $H54, NewEmisData!$D:$D, BK$2), SUMIFS(NewEmisData!G:G, NewEmisData!$A:$A, "LDV", NewEmisData!$B:$B, $A54, NewEmisData!$C:$C, $H54, NewEmisData!$D:$D, BK$2))</f>
        <v>2.0622501927327002</v>
      </c>
      <c r="BL54" s="324">
        <f>$I54*IF($G54="Pickup", SUMIFS(NewEmisData!H:H, NewEmisData!$A:$A, "Pickup", NewEmisData!$B:$B, $A54, NewEmisData!$C:$C, $H54, NewEmisData!$D:$D, BL$2), SUMIFS(NewEmisData!H:H, NewEmisData!$A:$A, "LDV", NewEmisData!$B:$B, $A54, NewEmisData!$C:$C, $H54, NewEmisData!$D:$D, BL$2))</f>
        <v>1.23688337839766</v>
      </c>
      <c r="BM54" s="324">
        <f>$I54*IF($G54="Pickup", SUMIFS(NewEmisData!I:I, NewEmisData!$A:$A, "Pickup", NewEmisData!$B:$B, $A54, NewEmisData!$C:$C, $H54, NewEmisData!$D:$D, BM$2), SUMIFS(NewEmisData!I:I, NewEmisData!$A:$A, "LDV", NewEmisData!$B:$B, $A54, NewEmisData!$C:$C, $H54, NewEmisData!$D:$D, BM$2))</f>
        <v>0.88483497721495996</v>
      </c>
      <c r="BN54" s="324">
        <f>$I54*IF($G54="Pickup", SUMIFS(NewEmisData!J:J, NewEmisData!$A:$A, "Pickup", NewEmisData!$B:$B, $A54, NewEmisData!$C:$C, $H54, NewEmisData!$D:$D, BN$2), SUMIFS(NewEmisData!J:J, NewEmisData!$A:$A, "LDV", NewEmisData!$B:$B, $A54, NewEmisData!$C:$C, $H54, NewEmisData!$D:$D, BN$2))</f>
        <v>0.73710801987171404</v>
      </c>
      <c r="BO54" s="324">
        <f>$I54*IF($G54="Pickup", SUMIFS(NewEmisData!K:K, NewEmisData!$A:$A, "Pickup", NewEmisData!$B:$B, $A54, NewEmisData!$C:$C, $H54, NewEmisData!$D:$D, BO$2), SUMIFS(NewEmisData!K:K, NewEmisData!$A:$A, "LDV", NewEmisData!$B:$B, $A54, NewEmisData!$C:$C, $H54, NewEmisData!$D:$D, BO$2))</f>
        <v>0.681954649919569</v>
      </c>
      <c r="BP54" s="324">
        <f>$I54*IF($G54="Pickup", SUMIFS(NewEmisData!L:L, NewEmisData!$A:$A, "Pickup", NewEmisData!$B:$B, $A54, NewEmisData!$C:$C, $H54, NewEmisData!$D:$D, BP$2), SUMIFS(NewEmisData!L:L, NewEmisData!$A:$A, "LDV", NewEmisData!$B:$B, $A54, NewEmisData!$C:$C, $H54, NewEmisData!$D:$D, BP$2))</f>
        <v>0.66649158442590495</v>
      </c>
      <c r="BQ54" s="324">
        <f>$I54*IF($G54="Pickup", SUMIFS(NewEmisData!M:M, NewEmisData!$A:$A, "Pickup", NewEmisData!$B:$B, $A54, NewEmisData!$C:$C, $H54, NewEmisData!$D:$D, BQ$2), SUMIFS(NewEmisData!M:M, NewEmisData!$A:$A, "LDV", NewEmisData!$B:$B, $A54, NewEmisData!$C:$C, $H54, NewEmisData!$D:$D, BQ$2))</f>
        <v>0.66343035322564203</v>
      </c>
      <c r="BR54" s="324">
        <f t="shared" si="10"/>
        <v>0.66343035322564203</v>
      </c>
      <c r="BS54" s="324">
        <f>$I54*IF($G54="Pickup", SUMIFS(NewEmisData!E:E, NewEmisData!$A:$A, "Pickup", NewEmisData!$B:$B, $A54, NewEmisData!$C:$C, $H54, NewEmisData!$D:$D, BS$2), SUMIFS(NewEmisData!E:E, NewEmisData!$A:$A, "LDV", NewEmisData!$B:$B, $A54, NewEmisData!$C:$C, $H54, NewEmisData!$D:$D, BS$2))</f>
        <v>1.15410993346229</v>
      </c>
      <c r="BT54" s="324">
        <f>$I54*IF($G54="Pickup", SUMIFS(NewEmisData!F:F, NewEmisData!$A:$A, "Pickup", NewEmisData!$B:$B, $A54, NewEmisData!$C:$C, $H54, NewEmisData!$D:$D, BT$2), SUMIFS(NewEmisData!F:F, NewEmisData!$A:$A, "LDV", NewEmisData!$B:$B, $A54, NewEmisData!$C:$C, $H54, NewEmisData!$D:$D, BT$2))</f>
        <v>0.708335425269493</v>
      </c>
      <c r="BU54" s="324">
        <f>$I54*IF($G54="Pickup", SUMIFS(NewEmisData!G:G, NewEmisData!$A:$A, "Pickup", NewEmisData!$B:$B, $A54, NewEmisData!$C:$C, $H54, NewEmisData!$D:$D, BU$2), SUMIFS(NewEmisData!G:G, NewEmisData!$A:$A, "LDV", NewEmisData!$B:$B, $A54, NewEmisData!$C:$C, $H54, NewEmisData!$D:$D, BU$2))</f>
        <v>0.237522027610751</v>
      </c>
      <c r="BV54" s="324">
        <f>$I54*IF($G54="Pickup", SUMIFS(NewEmisData!H:H, NewEmisData!$A:$A, "Pickup", NewEmisData!$B:$B, $A54, NewEmisData!$C:$C, $H54, NewEmisData!$D:$D, BV$2), SUMIFS(NewEmisData!H:H, NewEmisData!$A:$A, "LDV", NewEmisData!$B:$B, $A54, NewEmisData!$C:$C, $H54, NewEmisData!$D:$D, BV$2))</f>
        <v>0.13017558107723801</v>
      </c>
      <c r="BW54" s="324">
        <f>$I54*IF($G54="Pickup", SUMIFS(NewEmisData!I:I, NewEmisData!$A:$A, "Pickup", NewEmisData!$B:$B, $A54, NewEmisData!$C:$C, $H54, NewEmisData!$D:$D, BW$2), SUMIFS(NewEmisData!I:I, NewEmisData!$A:$A, "LDV", NewEmisData!$B:$B, $A54, NewEmisData!$C:$C, $H54, NewEmisData!$D:$D, BW$2))</f>
        <v>0.100440458169382</v>
      </c>
      <c r="BX54" s="324">
        <f>$I54*IF($G54="Pickup", SUMIFS(NewEmisData!J:J, NewEmisData!$A:$A, "Pickup", NewEmisData!$B:$B, $A54, NewEmisData!$C:$C, $H54, NewEmisData!$D:$D, BX$2), SUMIFS(NewEmisData!J:J, NewEmisData!$A:$A, "LDV", NewEmisData!$B:$B, $A54, NewEmisData!$C:$C, $H54, NewEmisData!$D:$D, BX$2))</f>
        <v>8.97107600839811E-2</v>
      </c>
      <c r="BY54" s="324">
        <f>$I54*IF($G54="Pickup", SUMIFS(NewEmisData!K:K, NewEmisData!$A:$A, "Pickup", NewEmisData!$B:$B, $A54, NewEmisData!$C:$C, $H54, NewEmisData!$D:$D, BY$2), SUMIFS(NewEmisData!K:K, NewEmisData!$A:$A, "LDV", NewEmisData!$B:$B, $A54, NewEmisData!$C:$C, $H54, NewEmisData!$D:$D, BY$2))</f>
        <v>8.5999644659815494E-2</v>
      </c>
      <c r="BZ54" s="324">
        <f>$I54*IF($G54="Pickup", SUMIFS(NewEmisData!L:L, NewEmisData!$A:$A, "Pickup", NewEmisData!$B:$B, $A54, NewEmisData!$C:$C, $H54, NewEmisData!$D:$D, BZ$2), SUMIFS(NewEmisData!L:L, NewEmisData!$A:$A, "LDV", NewEmisData!$B:$B, $A54, NewEmisData!$C:$C, $H54, NewEmisData!$D:$D, BZ$2))</f>
        <v>8.5474566063168403E-2</v>
      </c>
      <c r="CA54" s="324">
        <f>$I54*IF($G54="Pickup", SUMIFS(NewEmisData!M:M, NewEmisData!$A:$A, "Pickup", NewEmisData!$B:$B, $A54, NewEmisData!$C:$C, $H54, NewEmisData!$D:$D, CA$2), SUMIFS(NewEmisData!M:M, NewEmisData!$A:$A, "LDV", NewEmisData!$B:$B, $A54, NewEmisData!$C:$C, $H54, NewEmisData!$D:$D, CA$2))</f>
        <v>8.5401598704344606E-2</v>
      </c>
      <c r="CB54" s="324">
        <f t="shared" si="11"/>
        <v>8.5401598704344606E-2</v>
      </c>
      <c r="CC54" s="324">
        <f>$I54*IF($G54="Pickup", SUMIFS(NewEmisData!E:E, NewEmisData!$A:$A, "Pickup", NewEmisData!$B:$B, $A54, NewEmisData!$C:$C, $H54, NewEmisData!$D:$D, CC$2), SUMIFS(NewEmisData!E:E, NewEmisData!$A:$A, "LDV", NewEmisData!$B:$B, $A54, NewEmisData!$C:$C, $H54, NewEmisData!$D:$D, CC$2))</f>
        <v>2.2035373098919599E-2</v>
      </c>
      <c r="CD54" s="324">
        <f>$I54*IF($G54="Pickup", SUMIFS(NewEmisData!F:F, NewEmisData!$A:$A, "Pickup", NewEmisData!$B:$B, $A54, NewEmisData!$C:$C, $H54, NewEmisData!$D:$D, CD$2), SUMIFS(NewEmisData!F:F, NewEmisData!$A:$A, "LDV", NewEmisData!$B:$B, $A54, NewEmisData!$C:$C, $H54, NewEmisData!$D:$D, CD$2))</f>
        <v>2.2894892898314201E-2</v>
      </c>
      <c r="CE54" s="324">
        <f>$I54*IF($G54="Pickup", SUMIFS(NewEmisData!G:G, NewEmisData!$A:$A, "Pickup", NewEmisData!$B:$B, $A54, NewEmisData!$C:$C, $H54, NewEmisData!$D:$D, CE$2), SUMIFS(NewEmisData!G:G, NewEmisData!$A:$A, "LDV", NewEmisData!$B:$B, $A54, NewEmisData!$C:$C, $H54, NewEmisData!$D:$D, CE$2))</f>
        <v>2.42297057425616E-2</v>
      </c>
      <c r="CF54" s="324">
        <f>$I54*IF($G54="Pickup", SUMIFS(NewEmisData!H:H, NewEmisData!$A:$A, "Pickup", NewEmisData!$B:$B, $A54, NewEmisData!$C:$C, $H54, NewEmisData!$D:$D, CF$2), SUMIFS(NewEmisData!H:H, NewEmisData!$A:$A, "LDV", NewEmisData!$B:$B, $A54, NewEmisData!$C:$C, $H54, NewEmisData!$D:$D, CF$2))</f>
        <v>2.4527044939664899E-2</v>
      </c>
      <c r="CG54" s="324">
        <f>$I54*IF($G54="Pickup", SUMIFS(NewEmisData!I:I, NewEmisData!$A:$A, "Pickup", NewEmisData!$B:$B, $A54, NewEmisData!$C:$C, $H54, NewEmisData!$D:$D, CG$2), SUMIFS(NewEmisData!I:I, NewEmisData!$A:$A, "LDV", NewEmisData!$B:$B, $A54, NewEmisData!$C:$C, $H54, NewEmisData!$D:$D, CG$2))</f>
        <v>2.4669114217942201E-2</v>
      </c>
      <c r="CH54" s="324">
        <f>$I54*IF($G54="Pickup", SUMIFS(NewEmisData!J:J, NewEmisData!$A:$A, "Pickup", NewEmisData!$B:$B, $A54, NewEmisData!$C:$C, $H54, NewEmisData!$D:$D, CH$2), SUMIFS(NewEmisData!J:J, NewEmisData!$A:$A, "LDV", NewEmisData!$B:$B, $A54, NewEmisData!$C:$C, $H54, NewEmisData!$D:$D, CH$2))</f>
        <v>2.47060770187486E-2</v>
      </c>
      <c r="CI54" s="324">
        <f>$I54*IF($G54="Pickup", SUMIFS(NewEmisData!K:K, NewEmisData!$A:$A, "Pickup", NewEmisData!$B:$B, $A54, NewEmisData!$C:$C, $H54, NewEmisData!$D:$D, CI$2), SUMIFS(NewEmisData!K:K, NewEmisData!$A:$A, "LDV", NewEmisData!$B:$B, $A54, NewEmisData!$C:$C, $H54, NewEmisData!$D:$D, CI$2))</f>
        <v>2.4705240739407899E-2</v>
      </c>
      <c r="CJ54" s="324">
        <f>$I54*IF($G54="Pickup", SUMIFS(NewEmisData!L:L, NewEmisData!$A:$A, "Pickup", NewEmisData!$B:$B, $A54, NewEmisData!$C:$C, $H54, NewEmisData!$D:$D, CJ$2), SUMIFS(NewEmisData!L:L, NewEmisData!$A:$A, "LDV", NewEmisData!$B:$B, $A54, NewEmisData!$C:$C, $H54, NewEmisData!$D:$D, CJ$2))</f>
        <v>2.4711996515782101E-2</v>
      </c>
      <c r="CK54" s="324">
        <f>$I54*IF($G54="Pickup", SUMIFS(NewEmisData!M:M, NewEmisData!$A:$A, "Pickup", NewEmisData!$B:$B, $A54, NewEmisData!$C:$C, $H54, NewEmisData!$D:$D, CK$2), SUMIFS(NewEmisData!M:M, NewEmisData!$A:$A, "LDV", NewEmisData!$B:$B, $A54, NewEmisData!$C:$C, $H54, NewEmisData!$D:$D, CK$2))</f>
        <v>2.4712072953052701E-2</v>
      </c>
      <c r="CL54" s="324">
        <f t="shared" si="12"/>
        <v>2.4712072953052701E-2</v>
      </c>
      <c r="CM54" s="324">
        <f>$I54*IF($G54="Pickup", SUMIFS(NewEmisData!E:E, NewEmisData!$A:$A, "Pickup", NewEmisData!$B:$B, $A54, NewEmisData!$C:$C, $H54, NewEmisData!$D:$D, CM$2), SUMIFS(NewEmisData!E:E, NewEmisData!$A:$A, "LDV", NewEmisData!$B:$B, $A54, NewEmisData!$C:$C, $H54, NewEmisData!$D:$D, CM$2))</f>
        <v>3.70678643474179E-3</v>
      </c>
      <c r="CN54" s="324">
        <f>$I54*IF($G54="Pickup", SUMIFS(NewEmisData!F:F, NewEmisData!$A:$A, "Pickup", NewEmisData!$B:$B, $A54, NewEmisData!$C:$C, $H54, NewEmisData!$D:$D, CN$2), SUMIFS(NewEmisData!F:F, NewEmisData!$A:$A, "LDV", NewEmisData!$B:$B, $A54, NewEmisData!$C:$C, $H54, NewEmisData!$D:$D, CN$2))</f>
        <v>3.9107302246733297E-3</v>
      </c>
      <c r="CO54" s="324">
        <f>$I54*IF($G54="Pickup", SUMIFS(NewEmisData!G:G, NewEmisData!$A:$A, "Pickup", NewEmisData!$B:$B, $A54, NewEmisData!$C:$C, $H54, NewEmisData!$D:$D, CO$2), SUMIFS(NewEmisData!G:G, NewEmisData!$A:$A, "LDV", NewEmisData!$B:$B, $A54, NewEmisData!$C:$C, $H54, NewEmisData!$D:$D, CO$2))</f>
        <v>3.7509054745099501E-3</v>
      </c>
      <c r="CP54" s="324">
        <f>$I54*IF($G54="Pickup", SUMIFS(NewEmisData!H:H, NewEmisData!$A:$A, "Pickup", NewEmisData!$B:$B, $A54, NewEmisData!$C:$C, $H54, NewEmisData!$D:$D, CP$2), SUMIFS(NewEmisData!H:H, NewEmisData!$A:$A, "LDV", NewEmisData!$B:$B, $A54, NewEmisData!$C:$C, $H54, NewEmisData!$D:$D, CP$2))</f>
        <v>3.7469316923085401E-3</v>
      </c>
      <c r="CQ54" s="324">
        <f>$I54*IF($G54="Pickup", SUMIFS(NewEmisData!I:I, NewEmisData!$A:$A, "Pickup", NewEmisData!$B:$B, $A54, NewEmisData!$C:$C, $H54, NewEmisData!$D:$D, CQ$2), SUMIFS(NewEmisData!I:I, NewEmisData!$A:$A, "LDV", NewEmisData!$B:$B, $A54, NewEmisData!$C:$C, $H54, NewEmisData!$D:$D, CQ$2))</f>
        <v>3.7551613445810099E-3</v>
      </c>
      <c r="CR54" s="324">
        <f>$I54*IF($G54="Pickup", SUMIFS(NewEmisData!J:J, NewEmisData!$A:$A, "Pickup", NewEmisData!$B:$B, $A54, NewEmisData!$C:$C, $H54, NewEmisData!$D:$D, CR$2), SUMIFS(NewEmisData!J:J, NewEmisData!$A:$A, "LDV", NewEmisData!$B:$B, $A54, NewEmisData!$C:$C, $H54, NewEmisData!$D:$D, CR$2))</f>
        <v>3.76875923577577E-3</v>
      </c>
      <c r="CS54" s="324">
        <f>$I54*IF($G54="Pickup", SUMIFS(NewEmisData!K:K, NewEmisData!$A:$A, "Pickup", NewEmisData!$B:$B, $A54, NewEmisData!$C:$C, $H54, NewEmisData!$D:$D, CS$2), SUMIFS(NewEmisData!K:K, NewEmisData!$A:$A, "LDV", NewEmisData!$B:$B, $A54, NewEmisData!$C:$C, $H54, NewEmisData!$D:$D, CS$2))</f>
        <v>3.7721628299732099E-3</v>
      </c>
      <c r="CT54" s="324">
        <f>$I54*IF($G54="Pickup", SUMIFS(NewEmisData!L:L, NewEmisData!$A:$A, "Pickup", NewEmisData!$B:$B, $A54, NewEmisData!$C:$C, $H54, NewEmisData!$D:$D, CT$2), SUMIFS(NewEmisData!L:L, NewEmisData!$A:$A, "LDV", NewEmisData!$B:$B, $A54, NewEmisData!$C:$C, $H54, NewEmisData!$D:$D, CT$2))</f>
        <v>3.7736818425326002E-3</v>
      </c>
      <c r="CU54" s="324">
        <f>$I54*IF($G54="Pickup", SUMIFS(NewEmisData!M:M, NewEmisData!$A:$A, "Pickup", NewEmisData!$B:$B, $A54, NewEmisData!$C:$C, $H54, NewEmisData!$D:$D, CU$2), SUMIFS(NewEmisData!M:M, NewEmisData!$A:$A, "LDV", NewEmisData!$B:$B, $A54, NewEmisData!$C:$C, $H54, NewEmisData!$D:$D, CU$2))</f>
        <v>3.77444846136267E-3</v>
      </c>
      <c r="CV54" s="324">
        <f t="shared" si="13"/>
        <v>3.77444846136267E-3</v>
      </c>
      <c r="CW54" s="324">
        <v>0.12767609553272316</v>
      </c>
      <c r="CX54" s="324">
        <v>6.0965444660888601E-2</v>
      </c>
      <c r="CY54" s="324">
        <v>1.6598456567846732E-2</v>
      </c>
      <c r="CZ54" s="324">
        <v>3.3604812012321423E-3</v>
      </c>
      <c r="DA54" s="324">
        <v>1.5241571918114991E-3</v>
      </c>
      <c r="DB54" s="324">
        <v>1.0003681376209209E-3</v>
      </c>
      <c r="DC54" s="324">
        <v>9.0365490602724134E-4</v>
      </c>
      <c r="DD54" s="324">
        <v>8.9947941829660093E-4</v>
      </c>
      <c r="DE54" s="324">
        <v>8.980159958761482E-4</v>
      </c>
      <c r="DF54" s="324">
        <v>8.980159958761482E-4</v>
      </c>
      <c r="DG54" s="324">
        <f>$I54*IF($G54="Pickup", SUMIFS(NewEmisData!E:E, NewEmisData!$A:$A, "Pickup", NewEmisData!$B:$B, $A54, NewEmisData!$C:$C, $H54, NewEmisData!$D:$D, DG$2), SUMIFS(NewEmisData!E:E, NewEmisData!$A:$A, "LDV", NewEmisData!$B:$B, $A54, NewEmisData!$C:$C, $H54, NewEmisData!$D:$D, DG$2))</f>
        <v>0</v>
      </c>
      <c r="DH54" s="324">
        <f>$I54*IF($G54="Pickup", SUMIFS(NewEmisData!F:F, NewEmisData!$A:$A, "Pickup", NewEmisData!$B:$B, $A54, NewEmisData!$C:$C, $H54, NewEmisData!$D:$D, DH$2), SUMIFS(NewEmisData!F:F, NewEmisData!$A:$A, "LDV", NewEmisData!$B:$B, $A54, NewEmisData!$C:$C, $H54, NewEmisData!$D:$D, DH$2))</f>
        <v>0</v>
      </c>
      <c r="DI54" s="324">
        <f>$I54*IF($G54="Pickup", SUMIFS(NewEmisData!G:G, NewEmisData!$A:$A, "Pickup", NewEmisData!$B:$B, $A54, NewEmisData!$C:$C, $H54, NewEmisData!$D:$D, DI$2), SUMIFS(NewEmisData!G:G, NewEmisData!$A:$A, "LDV", NewEmisData!$B:$B, $A54, NewEmisData!$C:$C, $H54, NewEmisData!$D:$D, DI$2))</f>
        <v>0</v>
      </c>
      <c r="DJ54" s="324">
        <f>$I54*IF($G54="Pickup", SUMIFS(NewEmisData!H:H, NewEmisData!$A:$A, "Pickup", NewEmisData!$B:$B, $A54, NewEmisData!$C:$C, $H54, NewEmisData!$D:$D, DJ$2), SUMIFS(NewEmisData!H:H, NewEmisData!$A:$A, "LDV", NewEmisData!$B:$B, $A54, NewEmisData!$C:$C, $H54, NewEmisData!$D:$D, DJ$2))</f>
        <v>0</v>
      </c>
      <c r="DK54" s="324">
        <f>$I54*IF($G54="Pickup", SUMIFS(NewEmisData!I:I, NewEmisData!$A:$A, "Pickup", NewEmisData!$B:$B, $A54, NewEmisData!$C:$C, $H54, NewEmisData!$D:$D, DK$2), SUMIFS(NewEmisData!I:I, NewEmisData!$A:$A, "LDV", NewEmisData!$B:$B, $A54, NewEmisData!$C:$C, $H54, NewEmisData!$D:$D, DK$2))</f>
        <v>0</v>
      </c>
      <c r="DL54" s="324">
        <f>$I54*IF($G54="Pickup", SUMIFS(NewEmisData!J:J, NewEmisData!$A:$A, "Pickup", NewEmisData!$B:$B, $A54, NewEmisData!$C:$C, $H54, NewEmisData!$D:$D, DL$2), SUMIFS(NewEmisData!J:J, NewEmisData!$A:$A, "LDV", NewEmisData!$B:$B, $A54, NewEmisData!$C:$C, $H54, NewEmisData!$D:$D, DL$2))</f>
        <v>0</v>
      </c>
      <c r="DM54" s="324">
        <f>$I54*IF($G54="Pickup", SUMIFS(NewEmisData!K:K, NewEmisData!$A:$A, "Pickup", NewEmisData!$B:$B, $A54, NewEmisData!$C:$C, $H54, NewEmisData!$D:$D, DM$2), SUMIFS(NewEmisData!K:K, NewEmisData!$A:$A, "LDV", NewEmisData!$B:$B, $A54, NewEmisData!$C:$C, $H54, NewEmisData!$D:$D, DM$2))</f>
        <v>0</v>
      </c>
      <c r="DN54" s="324">
        <f>$I54*IF($G54="Pickup", SUMIFS(NewEmisData!L:L, NewEmisData!$A:$A, "Pickup", NewEmisData!$B:$B, $A54, NewEmisData!$C:$C, $H54, NewEmisData!$D:$D, DN$2), SUMIFS(NewEmisData!L:L, NewEmisData!$A:$A, "LDV", NewEmisData!$B:$B, $A54, NewEmisData!$C:$C, $H54, NewEmisData!$D:$D, DN$2))</f>
        <v>0</v>
      </c>
      <c r="DO54" s="324">
        <f>$I54*IF($G54="Pickup", SUMIFS(NewEmisData!M:M, NewEmisData!$A:$A, "Pickup", NewEmisData!$B:$B, $A54, NewEmisData!$C:$C, $H54, NewEmisData!$D:$D, DO$2), SUMIFS(NewEmisData!M:M, NewEmisData!$A:$A, "LDV", NewEmisData!$B:$B, $A54, NewEmisData!$C:$C, $H54, NewEmisData!$D:$D, DO$2))</f>
        <v>0</v>
      </c>
      <c r="DP54" s="324">
        <f t="shared" si="14"/>
        <v>0</v>
      </c>
      <c r="DQ54" s="324">
        <f>$I54*IF($G54="Pickup", SUMIFS(NewEmisData!E:E, NewEmisData!$A:$A, "Pickup", NewEmisData!$B:$B, $A54, NewEmisData!$C:$C, $H54, NewEmisData!$D:$D, DQ$2), SUMIFS(NewEmisData!E:E, NewEmisData!$A:$A, "LDV", NewEmisData!$B:$B, $A54, NewEmisData!$C:$C, $H54, NewEmisData!$D:$D, DQ$2))</f>
        <v>2.8722477337995801E-2</v>
      </c>
      <c r="DR54" s="324">
        <f>$I54*IF($G54="Pickup", SUMIFS(NewEmisData!F:F, NewEmisData!$A:$A, "Pickup", NewEmisData!$B:$B, $A54, NewEmisData!$C:$C, $H54, NewEmisData!$D:$D, DR$2), SUMIFS(NewEmisData!F:F, NewEmisData!$A:$A, "LDV", NewEmisData!$B:$B, $A54, NewEmisData!$C:$C, $H54, NewEmisData!$D:$D, DR$2))</f>
        <v>6.4606485790754897E-2</v>
      </c>
      <c r="DS54" s="324">
        <f>$I54*IF($G54="Pickup", SUMIFS(NewEmisData!G:G, NewEmisData!$A:$A, "Pickup", NewEmisData!$B:$B, $A54, NewEmisData!$C:$C, $H54, NewEmisData!$D:$D, DS$2), SUMIFS(NewEmisData!G:G, NewEmisData!$A:$A, "LDV", NewEmisData!$B:$B, $A54, NewEmisData!$C:$C, $H54, NewEmisData!$D:$D, DS$2))</f>
        <v>9.3319037791356599E-2</v>
      </c>
      <c r="DT54" s="324">
        <f>$I54*IF($G54="Pickup", SUMIFS(NewEmisData!H:H, NewEmisData!$A:$A, "Pickup", NewEmisData!$B:$B, $A54, NewEmisData!$C:$C, $H54, NewEmisData!$D:$D, DT$2), SUMIFS(NewEmisData!H:H, NewEmisData!$A:$A, "LDV", NewEmisData!$B:$B, $A54, NewEmisData!$C:$C, $H54, NewEmisData!$D:$D, DT$2))</f>
        <v>9.5486056411250894E-2</v>
      </c>
      <c r="DU54" s="324">
        <f>$I54*IF($G54="Pickup", SUMIFS(NewEmisData!I:I, NewEmisData!$A:$A, "Pickup", NewEmisData!$B:$B, $A54, NewEmisData!$C:$C, $H54, NewEmisData!$D:$D, DU$2), SUMIFS(NewEmisData!I:I, NewEmisData!$A:$A, "LDV", NewEmisData!$B:$B, $A54, NewEmisData!$C:$C, $H54, NewEmisData!$D:$D, DU$2))</f>
        <v>9.0679097887051197E-2</v>
      </c>
      <c r="DV54" s="324">
        <f>$I54*IF($G54="Pickup", SUMIFS(NewEmisData!J:J, NewEmisData!$A:$A, "Pickup", NewEmisData!$B:$B, $A54, NewEmisData!$C:$C, $H54, NewEmisData!$D:$D, DV$2), SUMIFS(NewEmisData!J:J, NewEmisData!$A:$A, "LDV", NewEmisData!$B:$B, $A54, NewEmisData!$C:$C, $H54, NewEmisData!$D:$D, DV$2))</f>
        <v>8.8339895003666999E-2</v>
      </c>
      <c r="DW54" s="324">
        <f>$I54*IF($G54="Pickup", SUMIFS(NewEmisData!K:K, NewEmisData!$A:$A, "Pickup", NewEmisData!$B:$B, $A54, NewEmisData!$C:$C, $H54, NewEmisData!$D:$D, DW$2), SUMIFS(NewEmisData!K:K, NewEmisData!$A:$A, "LDV", NewEmisData!$B:$B, $A54, NewEmisData!$C:$C, $H54, NewEmisData!$D:$D, DW$2))</f>
        <v>8.74824228447562E-2</v>
      </c>
      <c r="DX54" s="324">
        <f>$I54*IF($G54="Pickup", SUMIFS(NewEmisData!L:L, NewEmisData!$A:$A, "Pickup", NewEmisData!$B:$B, $A54, NewEmisData!$C:$C, $H54, NewEmisData!$D:$D, DX$2), SUMIFS(NewEmisData!L:L, NewEmisData!$A:$A, "LDV", NewEmisData!$B:$B, $A54, NewEmisData!$C:$C, $H54, NewEmisData!$D:$D, DX$2))</f>
        <v>8.6924326776294594E-2</v>
      </c>
      <c r="DY54" s="324">
        <f>$I54*IF($G54="Pickup", SUMIFS(NewEmisData!M:M, NewEmisData!$A:$A, "Pickup", NewEmisData!$B:$B, $A54, NewEmisData!$C:$C, $H54, NewEmisData!$D:$D, DY$2), SUMIFS(NewEmisData!M:M, NewEmisData!$A:$A, "LDV", NewEmisData!$B:$B, $A54, NewEmisData!$C:$C, $H54, NewEmisData!$D:$D, DY$2))</f>
        <v>8.6846961618559398E-2</v>
      </c>
      <c r="DZ54" s="324">
        <f t="shared" si="15"/>
        <v>8.6846961618559398E-2</v>
      </c>
      <c r="EA54" s="324">
        <f t="shared" si="16"/>
        <v>824.08783613849801</v>
      </c>
      <c r="EB54" s="324">
        <f t="shared" si="17"/>
        <v>839.56905970226001</v>
      </c>
      <c r="EC54" s="324">
        <f t="shared" si="18"/>
        <v>700.00511881432499</v>
      </c>
      <c r="ED54" s="324">
        <f t="shared" si="19"/>
        <v>640.42628986700595</v>
      </c>
      <c r="EE54" s="324">
        <f t="shared" si="20"/>
        <v>610.22294845773899</v>
      </c>
      <c r="EF54" s="324">
        <f t="shared" si="21"/>
        <v>600.13082932178804</v>
      </c>
      <c r="EG54" s="324">
        <f t="shared" si="22"/>
        <v>595.91623298286004</v>
      </c>
      <c r="EH54" s="324">
        <f t="shared" si="23"/>
        <v>595.02405195630899</v>
      </c>
      <c r="EI54" s="324">
        <f t="shared" si="24"/>
        <v>594.87606348692998</v>
      </c>
      <c r="EJ54" s="324">
        <f t="shared" si="25"/>
        <v>594.87606348692998</v>
      </c>
      <c r="EK54" s="324">
        <f t="shared" si="26"/>
        <v>3.5836248871385799</v>
      </c>
      <c r="EL54" s="324">
        <f t="shared" si="27"/>
        <v>2.4620255710196099</v>
      </c>
      <c r="EM54" s="324">
        <f t="shared" si="28"/>
        <v>1.0992466046413001</v>
      </c>
      <c r="EN54" s="324">
        <f t="shared" si="29"/>
        <v>0.61428485989636905</v>
      </c>
      <c r="EO54" s="324">
        <f t="shared" si="30"/>
        <v>0.46060834805441597</v>
      </c>
      <c r="EP54" s="324">
        <f t="shared" si="31"/>
        <v>0.39893050209221598</v>
      </c>
      <c r="EQ54" s="324">
        <f t="shared" si="32"/>
        <v>0.37710706015261702</v>
      </c>
      <c r="ER54" s="324">
        <f t="shared" si="33"/>
        <v>0.37446109942407202</v>
      </c>
      <c r="ES54" s="324">
        <f t="shared" si="34"/>
        <v>0.37384740613575301</v>
      </c>
      <c r="ET54" s="324">
        <f t="shared" si="35"/>
        <v>0.37384740613575301</v>
      </c>
      <c r="EU54" s="324">
        <f t="shared" si="36"/>
        <v>2.02987259654193E-2</v>
      </c>
      <c r="EV54" s="324">
        <f t="shared" si="37"/>
        <v>2.03517774676031E-2</v>
      </c>
      <c r="EW54" s="324">
        <f t="shared" si="38"/>
        <v>5.8874063451475004E-3</v>
      </c>
      <c r="EX54" s="324">
        <f t="shared" si="39"/>
        <v>5.3488332355279998E-3</v>
      </c>
      <c r="EY54" s="324">
        <f t="shared" si="40"/>
        <v>5.0900786712235798E-3</v>
      </c>
      <c r="EZ54" s="324">
        <f t="shared" si="41"/>
        <v>5.0048506801569003E-3</v>
      </c>
      <c r="FA54" s="324">
        <f t="shared" si="42"/>
        <v>4.9682251231770204E-3</v>
      </c>
      <c r="FB54" s="324">
        <f t="shared" si="43"/>
        <v>4.96078702640931E-3</v>
      </c>
      <c r="FC54" s="324">
        <f t="shared" si="44"/>
        <v>4.9595532329322397E-3</v>
      </c>
      <c r="FD54" s="324">
        <f t="shared" si="45"/>
        <v>4.9595532329322397E-3</v>
      </c>
      <c r="FE54" s="324">
        <f t="shared" si="46"/>
        <v>0.30693299916758499</v>
      </c>
      <c r="FF54" s="324">
        <f t="shared" si="47"/>
        <v>0.21185033519336999</v>
      </c>
      <c r="FG54" s="324">
        <f t="shared" si="48"/>
        <v>0.101369059406912</v>
      </c>
      <c r="FH54" s="324">
        <f t="shared" si="49"/>
        <v>7.95683518047864E-2</v>
      </c>
      <c r="FI54" s="324">
        <f t="shared" si="50"/>
        <v>7.4197456346946605E-2</v>
      </c>
      <c r="FJ54" s="324">
        <f t="shared" si="51"/>
        <v>7.3221606155705804E-2</v>
      </c>
      <c r="FK54" s="324">
        <f t="shared" si="52"/>
        <v>7.2591041246683793E-2</v>
      </c>
      <c r="FL54" s="324">
        <f t="shared" si="53"/>
        <v>7.2574485210858894E-2</v>
      </c>
      <c r="FM54" s="324">
        <f t="shared" si="54"/>
        <v>7.2572582897330901E-2</v>
      </c>
      <c r="FN54" s="324">
        <f t="shared" si="55"/>
        <v>7.2572582897330901E-2</v>
      </c>
      <c r="FO54" s="324">
        <f t="shared" si="56"/>
        <v>0.22631284143381999</v>
      </c>
      <c r="FP54" s="324">
        <f t="shared" si="57"/>
        <v>0.138752652450124</v>
      </c>
      <c r="FQ54" s="324">
        <f t="shared" si="58"/>
        <v>4.4082850284758598E-2</v>
      </c>
      <c r="FR54" s="324">
        <f t="shared" si="59"/>
        <v>2.4660510368797298E-2</v>
      </c>
      <c r="FS54" s="324">
        <f t="shared" si="60"/>
        <v>1.9977913759074699E-2</v>
      </c>
      <c r="FT54" s="324">
        <f t="shared" si="61"/>
        <v>1.9194563239000099E-2</v>
      </c>
      <c r="FU54" s="324">
        <f t="shared" si="62"/>
        <v>1.8639801665147299E-2</v>
      </c>
      <c r="FV54" s="324">
        <f t="shared" si="63"/>
        <v>1.86279441096215E-2</v>
      </c>
      <c r="FW54" s="324">
        <f t="shared" si="64"/>
        <v>1.8626400356050201E-2</v>
      </c>
      <c r="FX54" s="324">
        <f t="shared" si="65"/>
        <v>1.8626400356050201E-2</v>
      </c>
    </row>
    <row r="55" spans="1:180" x14ac:dyDescent="0.2">
      <c r="A55" s="298" t="str">
        <f>IF(LEFT(TRIM(Technologies!B73),1)="*", _xlfn.CONCAT("*","R2"), "R2")</f>
        <v>*R2</v>
      </c>
      <c r="B55" s="298" t="str">
        <f>TechData_existing!B16</f>
        <v>TLEETHX</v>
      </c>
      <c r="C55" s="298" t="str">
        <f>TechData_existing!C16</f>
        <v>TL.E85X.F.Existing fleet</v>
      </c>
      <c r="D55" s="294" t="str">
        <f>TechData_existing!D16</f>
        <v>bn-vmt, bn-vmt/a</v>
      </c>
      <c r="E55" s="294" t="str">
        <f>TechData_existing!E16</f>
        <v>TLE85X</v>
      </c>
      <c r="F55" s="294" t="str">
        <f>TechData_existing!F16</f>
        <v>TL</v>
      </c>
      <c r="G55" s="294" t="s">
        <v>476</v>
      </c>
      <c r="H55" s="294" t="s">
        <v>332</v>
      </c>
      <c r="I55" s="294">
        <v>1</v>
      </c>
      <c r="J55" s="308" t="str">
        <f t="shared" si="101"/>
        <v>Full size car-E85</v>
      </c>
      <c r="K55" s="324">
        <f>$I55*IF($G55="Pickup", SUMIFS(NewEmisData!E:E, NewEmisData!$A:$A, "Pickup", NewEmisData!$B:$B, $A55, NewEmisData!$C:$C, $H55, NewEmisData!$D:$D, K$2), SUMIFS(NewEmisData!E:E, NewEmisData!$A:$A, "LDV", NewEmisData!$B:$B, $A55, NewEmisData!$C:$C, $H55, NewEmisData!$D:$D, K$2))</f>
        <v>429.196687290726</v>
      </c>
      <c r="L55" s="324">
        <f>$I55*IF($G55="Pickup", SUMIFS(NewEmisData!F:F, NewEmisData!$A:$A, "Pickup", NewEmisData!$B:$B, $A55, NewEmisData!$C:$C, $H55, NewEmisData!$D:$D, L$2), SUMIFS(NewEmisData!F:F, NewEmisData!$A:$A, "LDV", NewEmisData!$B:$B, $A55, NewEmisData!$C:$C, $H55, NewEmisData!$D:$D, L$2))</f>
        <v>413.92588742451602</v>
      </c>
      <c r="M55" s="324">
        <f>$I55*IF($G55="Pickup", SUMIFS(NewEmisData!G:G, NewEmisData!$A:$A, "Pickup", NewEmisData!$B:$B, $A55, NewEmisData!$C:$C, $H55, NewEmisData!$D:$D, M$2), SUMIFS(NewEmisData!G:G, NewEmisData!$A:$A, "LDV", NewEmisData!$B:$B, $A55, NewEmisData!$C:$C, $H55, NewEmisData!$D:$D, M$2))</f>
        <v>357.54354908822597</v>
      </c>
      <c r="N55" s="324">
        <f>$I55*IF($G55="Pickup", SUMIFS(NewEmisData!H:H, NewEmisData!$A:$A, "Pickup", NewEmisData!$B:$B, $A55, NewEmisData!$C:$C, $H55, NewEmisData!$D:$D, N$2), SUMIFS(NewEmisData!H:H, NewEmisData!$A:$A, "LDV", NewEmisData!$B:$B, $A55, NewEmisData!$C:$C, $H55, NewEmisData!$D:$D, N$2))</f>
        <v>312.70443872824399</v>
      </c>
      <c r="O55" s="324">
        <f>$I55*IF($G55="Pickup", SUMIFS(NewEmisData!I:I, NewEmisData!$A:$A, "Pickup", NewEmisData!$B:$B, $A55, NewEmisData!$C:$C, $H55, NewEmisData!$D:$D, O$2), SUMIFS(NewEmisData!I:I, NewEmisData!$A:$A, "LDV", NewEmisData!$B:$B, $A55, NewEmisData!$C:$C, $H55, NewEmisData!$D:$D, O$2))</f>
        <v>295.131332198753</v>
      </c>
      <c r="P55" s="324">
        <f>$I55*IF($G55="Pickup", SUMIFS(NewEmisData!J:J, NewEmisData!$A:$A, "Pickup", NewEmisData!$B:$B, $A55, NewEmisData!$C:$C, $H55, NewEmisData!$D:$D, P$2), SUMIFS(NewEmisData!J:J, NewEmisData!$A:$A, "LDV", NewEmisData!$B:$B, $A55, NewEmisData!$C:$C, $H55, NewEmisData!$D:$D, P$2))</f>
        <v>287.00250507201002</v>
      </c>
      <c r="Q55" s="324">
        <f>$I55*IF($G55="Pickup", SUMIFS(NewEmisData!K:K, NewEmisData!$A:$A, "Pickup", NewEmisData!$B:$B, $A55, NewEmisData!$C:$C, $H55, NewEmisData!$D:$D, Q$2), SUMIFS(NewEmisData!K:K, NewEmisData!$A:$A, "LDV", NewEmisData!$B:$B, $A55, NewEmisData!$C:$C, $H55, NewEmisData!$D:$D, Q$2))</f>
        <v>280.70349092905099</v>
      </c>
      <c r="R55" s="324">
        <f>$I55*IF($G55="Pickup", SUMIFS(NewEmisData!L:L, NewEmisData!$A:$A, "Pickup", NewEmisData!$B:$B, $A55, NewEmisData!$C:$C, $H55, NewEmisData!$D:$D, R$2), SUMIFS(NewEmisData!L:L, NewEmisData!$A:$A, "LDV", NewEmisData!$B:$B, $A55, NewEmisData!$C:$C, $H55, NewEmisData!$D:$D, R$2))</f>
        <v>278.51705728958802</v>
      </c>
      <c r="S55" s="324">
        <f>$I55*IF($G55="Pickup", SUMIFS(NewEmisData!M:M, NewEmisData!$A:$A, "Pickup", NewEmisData!$B:$B, $A55, NewEmisData!$C:$C, $H55, NewEmisData!$D:$D, S$2), SUMIFS(NewEmisData!M:M, NewEmisData!$A:$A, "LDV", NewEmisData!$B:$B, $A55, NewEmisData!$C:$C, $H55, NewEmisData!$D:$D, S$2))</f>
        <v>278.75188774863398</v>
      </c>
      <c r="T55" s="324">
        <f t="shared" si="5"/>
        <v>278.75188774863398</v>
      </c>
      <c r="U55" s="324">
        <f>$I55*IF($G55="Pickup", SUMIFS(NewEmisData!E:E, NewEmisData!$A:$A, "Pickup", NewEmisData!$B:$B, $A55, NewEmisData!$C:$C, $H55, NewEmisData!$D:$D, U$2), SUMIFS(NewEmisData!E:E, NewEmisData!$A:$A, "LDV", NewEmisData!$B:$B, $A55, NewEmisData!$C:$C, $H55, NewEmisData!$D:$D, U$2))</f>
        <v>4.7739662510445001E-2</v>
      </c>
      <c r="V55" s="324">
        <f>$I55*IF($G55="Pickup", SUMIFS(NewEmisData!F:F, NewEmisData!$A:$A, "Pickup", NewEmisData!$B:$B, $A55, NewEmisData!$C:$C, $H55, NewEmisData!$D:$D, V$2), SUMIFS(NewEmisData!F:F, NewEmisData!$A:$A, "LDV", NewEmisData!$B:$B, $A55, NewEmisData!$C:$C, $H55, NewEmisData!$D:$D, V$2))</f>
        <v>4.0222650933890998E-2</v>
      </c>
      <c r="W55" s="324">
        <f>$I55*IF($G55="Pickup", SUMIFS(NewEmisData!G:G, NewEmisData!$A:$A, "Pickup", NewEmisData!$B:$B, $A55, NewEmisData!$C:$C, $H55, NewEmisData!$D:$D, W$2), SUMIFS(NewEmisData!G:G, NewEmisData!$A:$A, "LDV", NewEmisData!$B:$B, $A55, NewEmisData!$C:$C, $H55, NewEmisData!$D:$D, W$2))</f>
        <v>3.7026013334327097E-2</v>
      </c>
      <c r="X55" s="324">
        <f>$I55*IF($G55="Pickup", SUMIFS(NewEmisData!H:H, NewEmisData!$A:$A, "Pickup", NewEmisData!$B:$B, $A55, NewEmisData!$C:$C, $H55, NewEmisData!$D:$D, X$2), SUMIFS(NewEmisData!H:H, NewEmisData!$A:$A, "LDV", NewEmisData!$B:$B, $A55, NewEmisData!$C:$C, $H55, NewEmisData!$D:$D, X$2))</f>
        <v>3.5721368498802003E-2</v>
      </c>
      <c r="Y55" s="324">
        <f>$I55*IF($G55="Pickup", SUMIFS(NewEmisData!I:I, NewEmisData!$A:$A, "Pickup", NewEmisData!$B:$B, $A55, NewEmisData!$C:$C, $H55, NewEmisData!$D:$D, Y$2), SUMIFS(NewEmisData!I:I, NewEmisData!$A:$A, "LDV", NewEmisData!$B:$B, $A55, NewEmisData!$C:$C, $H55, NewEmisData!$D:$D, Y$2))</f>
        <v>3.9556628195455697E-2</v>
      </c>
      <c r="Z55" s="324">
        <f>$I55*IF($G55="Pickup", SUMIFS(NewEmisData!J:J, NewEmisData!$A:$A, "Pickup", NewEmisData!$B:$B, $A55, NewEmisData!$C:$C, $H55, NewEmisData!$D:$D, Z$2), SUMIFS(NewEmisData!J:J, NewEmisData!$A:$A, "LDV", NewEmisData!$B:$B, $A55, NewEmisData!$C:$C, $H55, NewEmisData!$D:$D, Z$2))</f>
        <v>4.0892160755087198E-2</v>
      </c>
      <c r="AA55" s="324">
        <f>$I55*IF($G55="Pickup", SUMIFS(NewEmisData!K:K, NewEmisData!$A:$A, "Pickup", NewEmisData!$B:$B, $A55, NewEmisData!$C:$C, $H55, NewEmisData!$D:$D, AA$2), SUMIFS(NewEmisData!K:K, NewEmisData!$A:$A, "LDV", NewEmisData!$B:$B, $A55, NewEmisData!$C:$C, $H55, NewEmisData!$D:$D, AA$2))</f>
        <v>3.9809174920499499E-2</v>
      </c>
      <c r="AB55" s="324">
        <f>$I55*IF($G55="Pickup", SUMIFS(NewEmisData!L:L, NewEmisData!$A:$A, "Pickup", NewEmisData!$B:$B, $A55, NewEmisData!$C:$C, $H55, NewEmisData!$D:$D, AB$2), SUMIFS(NewEmisData!L:L, NewEmisData!$A:$A, "LDV", NewEmisData!$B:$B, $A55, NewEmisData!$C:$C, $H55, NewEmisData!$D:$D, AB$2))</f>
        <v>3.9117125993598102E-2</v>
      </c>
      <c r="AC55" s="324">
        <f>$I55*IF($G55="Pickup", SUMIFS(NewEmisData!M:M, NewEmisData!$A:$A, "Pickup", NewEmisData!$B:$B, $A55, NewEmisData!$C:$C, $H55, NewEmisData!$D:$D, AC$2), SUMIFS(NewEmisData!M:M, NewEmisData!$A:$A, "LDV", NewEmisData!$B:$B, $A55, NewEmisData!$C:$C, $H55, NewEmisData!$D:$D, AC$2))</f>
        <v>3.9686464950090997E-2</v>
      </c>
      <c r="AD55" s="324">
        <f t="shared" si="6"/>
        <v>3.9686464950090997E-2</v>
      </c>
      <c r="AE55" s="324">
        <f>$I55*IF($G55="Pickup", SUMIFS(NewEmisData!E:E, NewEmisData!$A:$A, "Pickup", NewEmisData!$B:$B, $A55, NewEmisData!$C:$C, $H55, NewEmisData!$D:$D, AE$2), SUMIFS(NewEmisData!E:E, NewEmisData!$A:$A, "LDV", NewEmisData!$B:$B, $A55, NewEmisData!$C:$C, $H55, NewEmisData!$D:$D, AE$2))</f>
        <v>4.5442372364522896E-3</v>
      </c>
      <c r="AF55" s="324">
        <f>$I55*IF($G55="Pickup", SUMIFS(NewEmisData!F:F, NewEmisData!$A:$A, "Pickup", NewEmisData!$B:$B, $A55, NewEmisData!$C:$C, $H55, NewEmisData!$D:$D, AF$2), SUMIFS(NewEmisData!F:F, NewEmisData!$A:$A, "LDV", NewEmisData!$B:$B, $A55, NewEmisData!$C:$C, $H55, NewEmisData!$D:$D, AF$2))</f>
        <v>4.3825669717421E-3</v>
      </c>
      <c r="AG55" s="324">
        <f>$I55*IF($G55="Pickup", SUMIFS(NewEmisData!G:G, NewEmisData!$A:$A, "Pickup", NewEmisData!$B:$B, $A55, NewEmisData!$C:$C, $H55, NewEmisData!$D:$D, AG$2), SUMIFS(NewEmisData!G:G, NewEmisData!$A:$A, "LDV", NewEmisData!$B:$B, $A55, NewEmisData!$C:$C, $H55, NewEmisData!$D:$D, AG$2))</f>
        <v>2.75316137470643E-3</v>
      </c>
      <c r="AH55" s="324">
        <f>$I55*IF($G55="Pickup", SUMIFS(NewEmisData!H:H, NewEmisData!$A:$A, "Pickup", NewEmisData!$B:$B, $A55, NewEmisData!$C:$C, $H55, NewEmisData!$D:$D, AH$2), SUMIFS(NewEmisData!H:H, NewEmisData!$A:$A, "LDV", NewEmisData!$B:$B, $A55, NewEmisData!$C:$C, $H55, NewEmisData!$D:$D, AH$2))</f>
        <v>2.4078903553578401E-3</v>
      </c>
      <c r="AI55" s="324">
        <f>$I55*IF($G55="Pickup", SUMIFS(NewEmisData!I:I, NewEmisData!$A:$A, "Pickup", NewEmisData!$B:$B, $A55, NewEmisData!$C:$C, $H55, NewEmisData!$D:$D, AI$2), SUMIFS(NewEmisData!I:I, NewEmisData!$A:$A, "LDV", NewEmisData!$B:$B, $A55, NewEmisData!$C:$C, $H55, NewEmisData!$D:$D, AI$2))</f>
        <v>2.27257345888271E-3</v>
      </c>
      <c r="AJ55" s="324">
        <f>$I55*IF($G55="Pickup", SUMIFS(NewEmisData!J:J, NewEmisData!$A:$A, "Pickup", NewEmisData!$B:$B, $A55, NewEmisData!$C:$C, $H55, NewEmisData!$D:$D, AJ$2), SUMIFS(NewEmisData!J:J, NewEmisData!$A:$A, "LDV", NewEmisData!$B:$B, $A55, NewEmisData!$C:$C, $H55, NewEmisData!$D:$D, AJ$2))</f>
        <v>2.2099795405175798E-3</v>
      </c>
      <c r="AK55" s="324">
        <f>$I55*IF($G55="Pickup", SUMIFS(NewEmisData!K:K, NewEmisData!$A:$A, "Pickup", NewEmisData!$B:$B, $A55, NewEmisData!$C:$C, $H55, NewEmisData!$D:$D, AK$2), SUMIFS(NewEmisData!K:K, NewEmisData!$A:$A, "LDV", NewEmisData!$B:$B, $A55, NewEmisData!$C:$C, $H55, NewEmisData!$D:$D, AK$2))</f>
        <v>2.16147670002603E-3</v>
      </c>
      <c r="AL55" s="324">
        <f>$I55*IF($G55="Pickup", SUMIFS(NewEmisData!L:L, NewEmisData!$A:$A, "Pickup", NewEmisData!$B:$B, $A55, NewEmisData!$C:$C, $H55, NewEmisData!$D:$D, AL$2), SUMIFS(NewEmisData!L:L, NewEmisData!$A:$A, "LDV", NewEmisData!$B:$B, $A55, NewEmisData!$C:$C, $H55, NewEmisData!$D:$D, AL$2))</f>
        <v>2.1446401853113602E-3</v>
      </c>
      <c r="AM55" s="324">
        <f>$I55*IF($G55="Pickup", SUMIFS(NewEmisData!M:M, NewEmisData!$A:$A, "Pickup", NewEmisData!$B:$B, $A55, NewEmisData!$C:$C, $H55, NewEmisData!$D:$D, AM$2), SUMIFS(NewEmisData!M:M, NewEmisData!$A:$A, "LDV", NewEmisData!$B:$B, $A55, NewEmisData!$C:$C, $H55, NewEmisData!$D:$D, AM$2))</f>
        <v>2.1464475654284099E-3</v>
      </c>
      <c r="AN55" s="324">
        <f t="shared" si="7"/>
        <v>2.1464475654284099E-3</v>
      </c>
      <c r="AO55" s="324">
        <f>$I55*IF($G55="Pickup", SUMIFS(NewEmisData!E:E, NewEmisData!$A:$A, "Pickup", NewEmisData!$B:$B, $A55, NewEmisData!$C:$C, $H55, NewEmisData!$D:$D, AO$2), SUMIFS(NewEmisData!E:E, NewEmisData!$A:$A, "LDV", NewEmisData!$B:$B, $A55, NewEmisData!$C:$C, $H55, NewEmisData!$D:$D, AO$2))</f>
        <v>6.8718020723861406E-2</v>
      </c>
      <c r="AP55" s="324">
        <f>$I55*IF($G55="Pickup", SUMIFS(NewEmisData!F:F, NewEmisData!$A:$A, "Pickup", NewEmisData!$B:$B, $A55, NewEmisData!$C:$C, $H55, NewEmisData!$D:$D, AP$2), SUMIFS(NewEmisData!F:F, NewEmisData!$A:$A, "LDV", NewEmisData!$B:$B, $A55, NewEmisData!$C:$C, $H55, NewEmisData!$D:$D, AP$2))</f>
        <v>6.8726817375946297E-2</v>
      </c>
      <c r="AQ55" s="324">
        <f>$I55*IF($G55="Pickup", SUMIFS(NewEmisData!G:G, NewEmisData!$A:$A, "Pickup", NewEmisData!$B:$B, $A55, NewEmisData!$C:$C, $H55, NewEmisData!$D:$D, AQ$2), SUMIFS(NewEmisData!G:G, NewEmisData!$A:$A, "LDV", NewEmisData!$B:$B, $A55, NewEmisData!$C:$C, $H55, NewEmisData!$D:$D, AQ$2))</f>
        <v>7.5053777430390503E-2</v>
      </c>
      <c r="AR55" s="324">
        <f>$I55*IF($G55="Pickup", SUMIFS(NewEmisData!H:H, NewEmisData!$A:$A, "Pickup", NewEmisData!$B:$B, $A55, NewEmisData!$C:$C, $H55, NewEmisData!$D:$D, AR$2), SUMIFS(NewEmisData!H:H, NewEmisData!$A:$A, "LDV", NewEmisData!$B:$B, $A55, NewEmisData!$C:$C, $H55, NewEmisData!$D:$D, AR$2))</f>
        <v>7.4787483412829606E-2</v>
      </c>
      <c r="AS55" s="324">
        <f>$I55*IF($G55="Pickup", SUMIFS(NewEmisData!I:I, NewEmisData!$A:$A, "Pickup", NewEmisData!$B:$B, $A55, NewEmisData!$C:$C, $H55, NewEmisData!$D:$D, AS$2), SUMIFS(NewEmisData!I:I, NewEmisData!$A:$A, "LDV", NewEmisData!$B:$B, $A55, NewEmisData!$C:$C, $H55, NewEmisData!$D:$D, AS$2))</f>
        <v>7.4715797469106393E-2</v>
      </c>
      <c r="AT55" s="324">
        <f>$I55*IF($G55="Pickup", SUMIFS(NewEmisData!J:J, NewEmisData!$A:$A, "Pickup", NewEmisData!$B:$B, $A55, NewEmisData!$C:$C, $H55, NewEmisData!$D:$D, AT$2), SUMIFS(NewEmisData!J:J, NewEmisData!$A:$A, "LDV", NewEmisData!$B:$B, $A55, NewEmisData!$C:$C, $H55, NewEmisData!$D:$D, AT$2))</f>
        <v>7.4683474858337304E-2</v>
      </c>
      <c r="AU55" s="324">
        <f>$I55*IF($G55="Pickup", SUMIFS(NewEmisData!K:K, NewEmisData!$A:$A, "Pickup", NewEmisData!$B:$B, $A55, NewEmisData!$C:$C, $H55, NewEmisData!$D:$D, AU$2), SUMIFS(NewEmisData!K:K, NewEmisData!$A:$A, "LDV", NewEmisData!$B:$B, $A55, NewEmisData!$C:$C, $H55, NewEmisData!$D:$D, AU$2))</f>
        <v>7.4519830404688694E-2</v>
      </c>
      <c r="AV55" s="324">
        <f>$I55*IF($G55="Pickup", SUMIFS(NewEmisData!L:L, NewEmisData!$A:$A, "Pickup", NewEmisData!$B:$B, $A55, NewEmisData!$C:$C, $H55, NewEmisData!$D:$D, AV$2), SUMIFS(NewEmisData!L:L, NewEmisData!$A:$A, "LDV", NewEmisData!$B:$B, $A55, NewEmisData!$C:$C, $H55, NewEmisData!$D:$D, AV$2))</f>
        <v>7.4375705674705195E-2</v>
      </c>
      <c r="AW55" s="324">
        <f>$I55*IF($G55="Pickup", SUMIFS(NewEmisData!M:M, NewEmisData!$A:$A, "Pickup", NewEmisData!$B:$B, $A55, NewEmisData!$C:$C, $H55, NewEmisData!$D:$D, AW$2), SUMIFS(NewEmisData!M:M, NewEmisData!$A:$A, "LDV", NewEmisData!$B:$B, $A55, NewEmisData!$C:$C, $H55, NewEmisData!$D:$D, AW$2))</f>
        <v>7.4367996322656102E-2</v>
      </c>
      <c r="AX55" s="324">
        <f t="shared" si="8"/>
        <v>7.4367996322656102E-2</v>
      </c>
      <c r="AY55" s="324">
        <f>$I55*IF($G55="Pickup", SUMIFS(NewEmisData!E:E, NewEmisData!$A:$A, "Pickup", NewEmisData!$B:$B, $A55, NewEmisData!$C:$C, $H55, NewEmisData!$D:$D, AY$2), SUMIFS(NewEmisData!E:E, NewEmisData!$A:$A, "LDV", NewEmisData!$B:$B, $A55, NewEmisData!$C:$C, $H55, NewEmisData!$D:$D, AY$2))</f>
        <v>1.04003337420696E-2</v>
      </c>
      <c r="AZ55" s="324">
        <f>$I55*IF($G55="Pickup", SUMIFS(NewEmisData!F:F, NewEmisData!$A:$A, "Pickup", NewEmisData!$B:$B, $A55, NewEmisData!$C:$C, $H55, NewEmisData!$D:$D, AZ$2), SUMIFS(NewEmisData!F:F, NewEmisData!$A:$A, "LDV", NewEmisData!$B:$B, $A55, NewEmisData!$C:$C, $H55, NewEmisData!$D:$D, AZ$2))</f>
        <v>1.04081158830562E-2</v>
      </c>
      <c r="BA55" s="324">
        <f>$I55*IF($G55="Pickup", SUMIFS(NewEmisData!G:G, NewEmisData!$A:$A, "Pickup", NewEmisData!$B:$B, $A55, NewEmisData!$C:$C, $H55, NewEmisData!$D:$D, BA$2), SUMIFS(NewEmisData!G:G, NewEmisData!$A:$A, "LDV", NewEmisData!$B:$B, $A55, NewEmisData!$C:$C, $H55, NewEmisData!$D:$D, BA$2))</f>
        <v>1.1052941096405E-2</v>
      </c>
      <c r="BB55" s="324">
        <f>$I55*IF($G55="Pickup", SUMIFS(NewEmisData!H:H, NewEmisData!$A:$A, "Pickup", NewEmisData!$B:$B, $A55, NewEmisData!$C:$C, $H55, NewEmisData!$D:$D, BB$2), SUMIFS(NewEmisData!H:H, NewEmisData!$A:$A, "LDV", NewEmisData!$B:$B, $A55, NewEmisData!$C:$C, $H55, NewEmisData!$D:$D, BB$2))</f>
        <v>1.0817163462008301E-2</v>
      </c>
      <c r="BC55" s="324">
        <f>$I55*IF($G55="Pickup", SUMIFS(NewEmisData!I:I, NewEmisData!$A:$A, "Pickup", NewEmisData!$B:$B, $A55, NewEmisData!$C:$C, $H55, NewEmisData!$D:$D, BC$2), SUMIFS(NewEmisData!I:I, NewEmisData!$A:$A, "LDV", NewEmisData!$B:$B, $A55, NewEmisData!$C:$C, $H55, NewEmisData!$D:$D, BC$2))</f>
        <v>1.0753769380543701E-2</v>
      </c>
      <c r="BD55" s="324">
        <f>$I55*IF($G55="Pickup", SUMIFS(NewEmisData!J:J, NewEmisData!$A:$A, "Pickup", NewEmisData!$B:$B, $A55, NewEmisData!$C:$C, $H55, NewEmisData!$D:$D, BD$2), SUMIFS(NewEmisData!J:J, NewEmisData!$A:$A, "LDV", NewEmisData!$B:$B, $A55, NewEmisData!$C:$C, $H55, NewEmisData!$D:$D, BD$2))</f>
        <v>1.07252399459136E-2</v>
      </c>
      <c r="BE55" s="324">
        <f>$I55*IF($G55="Pickup", SUMIFS(NewEmisData!K:K, NewEmisData!$A:$A, "Pickup", NewEmisData!$B:$B, $A55, NewEmisData!$C:$C, $H55, NewEmisData!$D:$D, BE$2), SUMIFS(NewEmisData!K:K, NewEmisData!$A:$A, "LDV", NewEmisData!$B:$B, $A55, NewEmisData!$C:$C, $H55, NewEmisData!$D:$D, BE$2))</f>
        <v>1.05804069130733E-2</v>
      </c>
      <c r="BF55" s="324">
        <f>$I55*IF($G55="Pickup", SUMIFS(NewEmisData!L:L, NewEmisData!$A:$A, "Pickup", NewEmisData!$B:$B, $A55, NewEmisData!$C:$C, $H55, NewEmisData!$D:$D, BF$2), SUMIFS(NewEmisData!L:L, NewEmisData!$A:$A, "LDV", NewEmisData!$B:$B, $A55, NewEmisData!$C:$C, $H55, NewEmisData!$D:$D, BF$2))</f>
        <v>1.04530345160975E-2</v>
      </c>
      <c r="BG55" s="324">
        <f>$I55*IF($G55="Pickup", SUMIFS(NewEmisData!M:M, NewEmisData!$A:$A, "Pickup", NewEmisData!$B:$B, $A55, NewEmisData!$C:$C, $H55, NewEmisData!$D:$D, BG$2), SUMIFS(NewEmisData!M:M, NewEmisData!$A:$A, "LDV", NewEmisData!$B:$B, $A55, NewEmisData!$C:$C, $H55, NewEmisData!$D:$D, BG$2))</f>
        <v>1.04461903633429E-2</v>
      </c>
      <c r="BH55" s="324">
        <f t="shared" si="9"/>
        <v>1.04461903633429E-2</v>
      </c>
      <c r="BI55" s="324">
        <f>$I55*IF($G55="Pickup", SUMIFS(NewEmisData!E:E, NewEmisData!$A:$A, "Pickup", NewEmisData!$B:$B, $A55, NewEmisData!$C:$C, $H55, NewEmisData!$D:$D, BI$2), SUMIFS(NewEmisData!E:E, NewEmisData!$A:$A, "LDV", NewEmisData!$B:$B, $A55, NewEmisData!$C:$C, $H55, NewEmisData!$D:$D, BI$2))</f>
        <v>1.32158662771403</v>
      </c>
      <c r="BJ55" s="324">
        <f>$I55*IF($G55="Pickup", SUMIFS(NewEmisData!F:F, NewEmisData!$A:$A, "Pickup", NewEmisData!$B:$B, $A55, NewEmisData!$C:$C, $H55, NewEmisData!$D:$D, BJ$2), SUMIFS(NewEmisData!F:F, NewEmisData!$A:$A, "LDV", NewEmisData!$B:$B, $A55, NewEmisData!$C:$C, $H55, NewEmisData!$D:$D, BJ$2))</f>
        <v>1.1051213114887799</v>
      </c>
      <c r="BK55" s="324">
        <f>$I55*IF($G55="Pickup", SUMIFS(NewEmisData!G:G, NewEmisData!$A:$A, "Pickup", NewEmisData!$B:$B, $A55, NewEmisData!$C:$C, $H55, NewEmisData!$D:$D, BK$2), SUMIFS(NewEmisData!G:G, NewEmisData!$A:$A, "LDV", NewEmisData!$B:$B, $A55, NewEmisData!$C:$C, $H55, NewEmisData!$D:$D, BK$2))</f>
        <v>0.85699846388005796</v>
      </c>
      <c r="BL55" s="324">
        <f>$I55*IF($G55="Pickup", SUMIFS(NewEmisData!H:H, NewEmisData!$A:$A, "Pickup", NewEmisData!$B:$B, $A55, NewEmisData!$C:$C, $H55, NewEmisData!$D:$D, BL$2), SUMIFS(NewEmisData!H:H, NewEmisData!$A:$A, "LDV", NewEmisData!$B:$B, $A55, NewEmisData!$C:$C, $H55, NewEmisData!$D:$D, BL$2))</f>
        <v>0.91971363495352998</v>
      </c>
      <c r="BM55" s="324">
        <f>$I55*IF($G55="Pickup", SUMIFS(NewEmisData!I:I, NewEmisData!$A:$A, "Pickup", NewEmisData!$B:$B, $A55, NewEmisData!$C:$C, $H55, NewEmisData!$D:$D, BM$2), SUMIFS(NewEmisData!I:I, NewEmisData!$A:$A, "LDV", NewEmisData!$B:$B, $A55, NewEmisData!$C:$C, $H55, NewEmisData!$D:$D, BM$2))</f>
        <v>1.0081406051919299</v>
      </c>
      <c r="BN55" s="324">
        <f>$I55*IF($G55="Pickup", SUMIFS(NewEmisData!J:J, NewEmisData!$A:$A, "Pickup", NewEmisData!$B:$B, $A55, NewEmisData!$C:$C, $H55, NewEmisData!$D:$D, BN$2), SUMIFS(NewEmisData!J:J, NewEmisData!$A:$A, "LDV", NewEmisData!$B:$B, $A55, NewEmisData!$C:$C, $H55, NewEmisData!$D:$D, BN$2))</f>
        <v>1.04990784921702</v>
      </c>
      <c r="BO55" s="324">
        <f>$I55*IF($G55="Pickup", SUMIFS(NewEmisData!K:K, NewEmisData!$A:$A, "Pickup", NewEmisData!$B:$B, $A55, NewEmisData!$C:$C, $H55, NewEmisData!$D:$D, BO$2), SUMIFS(NewEmisData!K:K, NewEmisData!$A:$A, "LDV", NewEmisData!$B:$B, $A55, NewEmisData!$C:$C, $H55, NewEmisData!$D:$D, BO$2))</f>
        <v>1.0325958196984799</v>
      </c>
      <c r="BP55" s="324">
        <f>$I55*IF($G55="Pickup", SUMIFS(NewEmisData!L:L, NewEmisData!$A:$A, "Pickup", NewEmisData!$B:$B, $A55, NewEmisData!$C:$C, $H55, NewEmisData!$D:$D, BP$2), SUMIFS(NewEmisData!L:L, NewEmisData!$A:$A, "LDV", NewEmisData!$B:$B, $A55, NewEmisData!$C:$C, $H55, NewEmisData!$D:$D, BP$2))</f>
        <v>1.01861793765058</v>
      </c>
      <c r="BQ55" s="324">
        <f>$I55*IF($G55="Pickup", SUMIFS(NewEmisData!M:M, NewEmisData!$A:$A, "Pickup", NewEmisData!$B:$B, $A55, NewEmisData!$C:$C, $H55, NewEmisData!$D:$D, BQ$2), SUMIFS(NewEmisData!M:M, NewEmisData!$A:$A, "LDV", NewEmisData!$B:$B, $A55, NewEmisData!$C:$C, $H55, NewEmisData!$D:$D, BQ$2))</f>
        <v>1.03039235154496</v>
      </c>
      <c r="BR55" s="324">
        <f t="shared" si="10"/>
        <v>1.03039235154496</v>
      </c>
      <c r="BS55" s="324">
        <f>$I55*IF($G55="Pickup", SUMIFS(NewEmisData!E:E, NewEmisData!$A:$A, "Pickup", NewEmisData!$B:$B, $A55, NewEmisData!$C:$C, $H55, NewEmisData!$D:$D, BS$2), SUMIFS(NewEmisData!E:E, NewEmisData!$A:$A, "LDV", NewEmisData!$B:$B, $A55, NewEmisData!$C:$C, $H55, NewEmisData!$D:$D, BS$2))</f>
        <v>0.13207489128696501</v>
      </c>
      <c r="BT55" s="324">
        <f>$I55*IF($G55="Pickup", SUMIFS(NewEmisData!F:F, NewEmisData!$A:$A, "Pickup", NewEmisData!$B:$B, $A55, NewEmisData!$C:$C, $H55, NewEmisData!$D:$D, BT$2), SUMIFS(NewEmisData!F:F, NewEmisData!$A:$A, "LDV", NewEmisData!$B:$B, $A55, NewEmisData!$C:$C, $H55, NewEmisData!$D:$D, BT$2))</f>
        <v>0.12626925775646</v>
      </c>
      <c r="BU55" s="324">
        <f>$I55*IF($G55="Pickup", SUMIFS(NewEmisData!G:G, NewEmisData!$A:$A, "Pickup", NewEmisData!$B:$B, $A55, NewEmisData!$C:$C, $H55, NewEmisData!$D:$D, BU$2), SUMIFS(NewEmisData!G:G, NewEmisData!$A:$A, "LDV", NewEmisData!$B:$B, $A55, NewEmisData!$C:$C, $H55, NewEmisData!$D:$D, BU$2))</f>
        <v>0.100736508526501</v>
      </c>
      <c r="BV55" s="324">
        <f>$I55*IF($G55="Pickup", SUMIFS(NewEmisData!H:H, NewEmisData!$A:$A, "Pickup", NewEmisData!$B:$B, $A55, NewEmisData!$C:$C, $H55, NewEmisData!$D:$D, BV$2), SUMIFS(NewEmisData!H:H, NewEmisData!$A:$A, "LDV", NewEmisData!$B:$B, $A55, NewEmisData!$C:$C, $H55, NewEmisData!$D:$D, BV$2))</f>
        <v>9.5423343083205103E-2</v>
      </c>
      <c r="BW55" s="324">
        <f>$I55*IF($G55="Pickup", SUMIFS(NewEmisData!I:I, NewEmisData!$A:$A, "Pickup", NewEmisData!$B:$B, $A55, NewEmisData!$C:$C, $H55, NewEmisData!$D:$D, BW$2), SUMIFS(NewEmisData!I:I, NewEmisData!$A:$A, "LDV", NewEmisData!$B:$B, $A55, NewEmisData!$C:$C, $H55, NewEmisData!$D:$D, BW$2))</f>
        <v>0.111625646710618</v>
      </c>
      <c r="BX55" s="324">
        <f>$I55*IF($G55="Pickup", SUMIFS(NewEmisData!J:J, NewEmisData!$A:$A, "Pickup", NewEmisData!$B:$B, $A55, NewEmisData!$C:$C, $H55, NewEmisData!$D:$D, BX$2), SUMIFS(NewEmisData!J:J, NewEmisData!$A:$A, "LDV", NewEmisData!$B:$B, $A55, NewEmisData!$C:$C, $H55, NewEmisData!$D:$D, BX$2))</f>
        <v>0.13327231851045501</v>
      </c>
      <c r="BY55" s="324">
        <f>$I55*IF($G55="Pickup", SUMIFS(NewEmisData!K:K, NewEmisData!$A:$A, "Pickup", NewEmisData!$B:$B, $A55, NewEmisData!$C:$C, $H55, NewEmisData!$D:$D, BY$2), SUMIFS(NewEmisData!K:K, NewEmisData!$A:$A, "LDV", NewEmisData!$B:$B, $A55, NewEmisData!$C:$C, $H55, NewEmisData!$D:$D, BY$2))</f>
        <v>0.14972574068165501</v>
      </c>
      <c r="BZ55" s="324">
        <f>$I55*IF($G55="Pickup", SUMIFS(NewEmisData!L:L, NewEmisData!$A:$A, "Pickup", NewEmisData!$B:$B, $A55, NewEmisData!$C:$C, $H55, NewEmisData!$D:$D, BZ$2), SUMIFS(NewEmisData!L:L, NewEmisData!$A:$A, "LDV", NewEmisData!$B:$B, $A55, NewEmisData!$C:$C, $H55, NewEmisData!$D:$D, BZ$2))</f>
        <v>0.15567917178582799</v>
      </c>
      <c r="CA55" s="324">
        <f>$I55*IF($G55="Pickup", SUMIFS(NewEmisData!M:M, NewEmisData!$A:$A, "Pickup", NewEmisData!$B:$B, $A55, NewEmisData!$C:$C, $H55, NewEmisData!$D:$D, CA$2), SUMIFS(NewEmisData!M:M, NewEmisData!$A:$A, "LDV", NewEmisData!$B:$B, $A55, NewEmisData!$C:$C, $H55, NewEmisData!$D:$D, CA$2))</f>
        <v>0.16731991889835501</v>
      </c>
      <c r="CB55" s="324">
        <f t="shared" si="11"/>
        <v>0.16731991889835501</v>
      </c>
      <c r="CC55" s="324">
        <f>$I55*IF($G55="Pickup", SUMIFS(NewEmisData!E:E, NewEmisData!$A:$A, "Pickup", NewEmisData!$B:$B, $A55, NewEmisData!$C:$C, $H55, NewEmisData!$D:$D, CC$2), SUMIFS(NewEmisData!E:E, NewEmisData!$A:$A, "LDV", NewEmisData!$B:$B, $A55, NewEmisData!$C:$C, $H55, NewEmisData!$D:$D, CC$2))</f>
        <v>1.8744288340151301E-2</v>
      </c>
      <c r="CD55" s="324">
        <f>$I55*IF($G55="Pickup", SUMIFS(NewEmisData!F:F, NewEmisData!$A:$A, "Pickup", NewEmisData!$B:$B, $A55, NewEmisData!$C:$C, $H55, NewEmisData!$D:$D, CD$2), SUMIFS(NewEmisData!F:F, NewEmisData!$A:$A, "LDV", NewEmisData!$B:$B, $A55, NewEmisData!$C:$C, $H55, NewEmisData!$D:$D, CD$2))</f>
        <v>1.87443184019199E-2</v>
      </c>
      <c r="CE55" s="324">
        <f>$I55*IF($G55="Pickup", SUMIFS(NewEmisData!G:G, NewEmisData!$A:$A, "Pickup", NewEmisData!$B:$B, $A55, NewEmisData!$C:$C, $H55, NewEmisData!$D:$D, CE$2), SUMIFS(NewEmisData!G:G, NewEmisData!$A:$A, "LDV", NewEmisData!$B:$B, $A55, NewEmisData!$C:$C, $H55, NewEmisData!$D:$D, CE$2))</f>
        <v>2.1533410605215301E-2</v>
      </c>
      <c r="CF55" s="324">
        <f>$I55*IF($G55="Pickup", SUMIFS(NewEmisData!H:H, NewEmisData!$A:$A, "Pickup", NewEmisData!$B:$B, $A55, NewEmisData!$C:$C, $H55, NewEmisData!$D:$D, CF$2), SUMIFS(NewEmisData!H:H, NewEmisData!$A:$A, "LDV", NewEmisData!$B:$B, $A55, NewEmisData!$C:$C, $H55, NewEmisData!$D:$D, CF$2))</f>
        <v>2.2190394081474701E-2</v>
      </c>
      <c r="CG55" s="324">
        <f>$I55*IF($G55="Pickup", SUMIFS(NewEmisData!I:I, NewEmisData!$A:$A, "Pickup", NewEmisData!$B:$B, $A55, NewEmisData!$C:$C, $H55, NewEmisData!$D:$D, CG$2), SUMIFS(NewEmisData!I:I, NewEmisData!$A:$A, "LDV", NewEmisData!$B:$B, $A55, NewEmisData!$C:$C, $H55, NewEmisData!$D:$D, CG$2))</f>
        <v>2.4069890362633298E-2</v>
      </c>
      <c r="CH55" s="324">
        <f>$I55*IF($G55="Pickup", SUMIFS(NewEmisData!J:J, NewEmisData!$A:$A, "Pickup", NewEmisData!$B:$B, $A55, NewEmisData!$C:$C, $H55, NewEmisData!$D:$D, CH$2), SUMIFS(NewEmisData!J:J, NewEmisData!$A:$A, "LDV", NewEmisData!$B:$B, $A55, NewEmisData!$C:$C, $H55, NewEmisData!$D:$D, CH$2))</f>
        <v>2.51391279045017E-2</v>
      </c>
      <c r="CI55" s="324">
        <f>$I55*IF($G55="Pickup", SUMIFS(NewEmisData!K:K, NewEmisData!$A:$A, "Pickup", NewEmisData!$B:$B, $A55, NewEmisData!$C:$C, $H55, NewEmisData!$D:$D, CI$2), SUMIFS(NewEmisData!K:K, NewEmisData!$A:$A, "LDV", NewEmisData!$B:$B, $A55, NewEmisData!$C:$C, $H55, NewEmisData!$D:$D, CI$2))</f>
        <v>2.5486378596443E-2</v>
      </c>
      <c r="CJ55" s="324">
        <f>$I55*IF($G55="Pickup", SUMIFS(NewEmisData!L:L, NewEmisData!$A:$A, "Pickup", NewEmisData!$B:$B, $A55, NewEmisData!$C:$C, $H55, NewEmisData!$D:$D, CJ$2), SUMIFS(NewEmisData!L:L, NewEmisData!$A:$A, "LDV", NewEmisData!$B:$B, $A55, NewEmisData!$C:$C, $H55, NewEmisData!$D:$D, CJ$2))</f>
        <v>2.5555207964834799E-2</v>
      </c>
      <c r="CK55" s="324">
        <f>$I55*IF($G55="Pickup", SUMIFS(NewEmisData!M:M, NewEmisData!$A:$A, "Pickup", NewEmisData!$B:$B, $A55, NewEmisData!$C:$C, $H55, NewEmisData!$D:$D, CK$2), SUMIFS(NewEmisData!M:M, NewEmisData!$A:$A, "LDV", NewEmisData!$B:$B, $A55, NewEmisData!$C:$C, $H55, NewEmisData!$D:$D, CK$2))</f>
        <v>2.5589747988834202E-2</v>
      </c>
      <c r="CL55" s="324">
        <f t="shared" si="12"/>
        <v>2.5589747988834202E-2</v>
      </c>
      <c r="CM55" s="324">
        <f>$I55*IF($G55="Pickup", SUMIFS(NewEmisData!E:E, NewEmisData!$A:$A, "Pickup", NewEmisData!$B:$B, $A55, NewEmisData!$C:$C, $H55, NewEmisData!$D:$D, CM$2), SUMIFS(NewEmisData!E:E, NewEmisData!$A:$A, "LDV", NewEmisData!$B:$B, $A55, NewEmisData!$C:$C, $H55, NewEmisData!$D:$D, CM$2))</f>
        <v>6.0586256603843902E-3</v>
      </c>
      <c r="CN55" s="324">
        <f>$I55*IF($G55="Pickup", SUMIFS(NewEmisData!F:F, NewEmisData!$A:$A, "Pickup", NewEmisData!$B:$B, $A55, NewEmisData!$C:$C, $H55, NewEmisData!$D:$D, CN$2), SUMIFS(NewEmisData!F:F, NewEmisData!$A:$A, "LDV", NewEmisData!$B:$B, $A55, NewEmisData!$C:$C, $H55, NewEmisData!$D:$D, CN$2))</f>
        <v>6.2537513362051298E-3</v>
      </c>
      <c r="CO55" s="324">
        <f>$I55*IF($G55="Pickup", SUMIFS(NewEmisData!G:G, NewEmisData!$A:$A, "Pickup", NewEmisData!$B:$B, $A55, NewEmisData!$C:$C, $H55, NewEmisData!$D:$D, CO$2), SUMIFS(NewEmisData!G:G, NewEmisData!$A:$A, "LDV", NewEmisData!$B:$B, $A55, NewEmisData!$C:$C, $H55, NewEmisData!$D:$D, CO$2))</f>
        <v>6.80614663939446E-3</v>
      </c>
      <c r="CP55" s="324">
        <f>$I55*IF($G55="Pickup", SUMIFS(NewEmisData!H:H, NewEmisData!$A:$A, "Pickup", NewEmisData!$B:$B, $A55, NewEmisData!$C:$C, $H55, NewEmisData!$D:$D, CP$2), SUMIFS(NewEmisData!H:H, NewEmisData!$A:$A, "LDV", NewEmisData!$B:$B, $A55, NewEmisData!$C:$C, $H55, NewEmisData!$D:$D, CP$2))</f>
        <v>6.9736830779963798E-3</v>
      </c>
      <c r="CQ55" s="324">
        <f>$I55*IF($G55="Pickup", SUMIFS(NewEmisData!I:I, NewEmisData!$A:$A, "Pickup", NewEmisData!$B:$B, $A55, NewEmisData!$C:$C, $H55, NewEmisData!$D:$D, CQ$2), SUMIFS(NewEmisData!I:I, NewEmisData!$A:$A, "LDV", NewEmisData!$B:$B, $A55, NewEmisData!$C:$C, $H55, NewEmisData!$D:$D, CQ$2))</f>
        <v>7.2238049352861501E-3</v>
      </c>
      <c r="CR55" s="324">
        <f>$I55*IF($G55="Pickup", SUMIFS(NewEmisData!J:J, NewEmisData!$A:$A, "Pickup", NewEmisData!$B:$B, $A55, NewEmisData!$C:$C, $H55, NewEmisData!$D:$D, CR$2), SUMIFS(NewEmisData!J:J, NewEmisData!$A:$A, "LDV", NewEmisData!$B:$B, $A55, NewEmisData!$C:$C, $H55, NewEmisData!$D:$D, CR$2))</f>
        <v>7.4694271682748297E-3</v>
      </c>
      <c r="CS55" s="324">
        <f>$I55*IF($G55="Pickup", SUMIFS(NewEmisData!K:K, NewEmisData!$A:$A, "Pickup", NewEmisData!$B:$B, $A55, NewEmisData!$C:$C, $H55, NewEmisData!$D:$D, CS$2), SUMIFS(NewEmisData!K:K, NewEmisData!$A:$A, "LDV", NewEmisData!$B:$B, $A55, NewEmisData!$C:$C, $H55, NewEmisData!$D:$D, CS$2))</f>
        <v>7.5984944292585002E-3</v>
      </c>
      <c r="CT55" s="324">
        <f>$I55*IF($G55="Pickup", SUMIFS(NewEmisData!L:L, NewEmisData!$A:$A, "Pickup", NewEmisData!$B:$B, $A55, NewEmisData!$C:$C, $H55, NewEmisData!$D:$D, CT$2), SUMIFS(NewEmisData!L:L, NewEmisData!$A:$A, "LDV", NewEmisData!$B:$B, $A55, NewEmisData!$C:$C, $H55, NewEmisData!$D:$D, CT$2))</f>
        <v>7.6419049905203E-3</v>
      </c>
      <c r="CU55" s="324">
        <f>$I55*IF($G55="Pickup", SUMIFS(NewEmisData!M:M, NewEmisData!$A:$A, "Pickup", NewEmisData!$B:$B, $A55, NewEmisData!$C:$C, $H55, NewEmisData!$D:$D, CU$2), SUMIFS(NewEmisData!M:M, NewEmisData!$A:$A, "LDV", NewEmisData!$B:$B, $A55, NewEmisData!$C:$C, $H55, NewEmisData!$D:$D, CU$2))</f>
        <v>7.6983175372303996E-3</v>
      </c>
      <c r="CV55" s="324">
        <f t="shared" si="13"/>
        <v>7.6983175372303996E-3</v>
      </c>
      <c r="CW55" s="324">
        <v>2.3565166490963768E-3</v>
      </c>
      <c r="CX55" s="324">
        <v>1.9673319546263789E-3</v>
      </c>
      <c r="CY55" s="324">
        <v>1.6026857138538807E-3</v>
      </c>
      <c r="CZ55" s="324">
        <v>1.3411753569780424E-3</v>
      </c>
      <c r="DA55" s="324">
        <v>1.0123523956178946E-3</v>
      </c>
      <c r="DB55" s="324">
        <v>7.9852111520206551E-4</v>
      </c>
      <c r="DC55" s="324">
        <v>7.6707942200167378E-4</v>
      </c>
      <c r="DD55" s="324">
        <v>7.5828050366392866E-4</v>
      </c>
      <c r="DE55" s="324">
        <v>7.5710079606015706E-4</v>
      </c>
      <c r="DF55" s="324">
        <v>7.5710079606015706E-4</v>
      </c>
      <c r="DG55" s="324">
        <f>$I55*IF($G55="Pickup", SUMIFS(NewEmisData!E:E, NewEmisData!$A:$A, "Pickup", NewEmisData!$B:$B, $A55, NewEmisData!$C:$C, $H55, NewEmisData!$D:$D, DG$2), SUMIFS(NewEmisData!E:E, NewEmisData!$A:$A, "LDV", NewEmisData!$B:$B, $A55, NewEmisData!$C:$C, $H55, NewEmisData!$D:$D, DG$2))</f>
        <v>0</v>
      </c>
      <c r="DH55" s="324">
        <f>$I55*IF($G55="Pickup", SUMIFS(NewEmisData!F:F, NewEmisData!$A:$A, "Pickup", NewEmisData!$B:$B, $A55, NewEmisData!$C:$C, $H55, NewEmisData!$D:$D, DH$2), SUMIFS(NewEmisData!F:F, NewEmisData!$A:$A, "LDV", NewEmisData!$B:$B, $A55, NewEmisData!$C:$C, $H55, NewEmisData!$D:$D, DH$2))</f>
        <v>0</v>
      </c>
      <c r="DI55" s="324">
        <f>$I55*IF($G55="Pickup", SUMIFS(NewEmisData!G:G, NewEmisData!$A:$A, "Pickup", NewEmisData!$B:$B, $A55, NewEmisData!$C:$C, $H55, NewEmisData!$D:$D, DI$2), SUMIFS(NewEmisData!G:G, NewEmisData!$A:$A, "LDV", NewEmisData!$B:$B, $A55, NewEmisData!$C:$C, $H55, NewEmisData!$D:$D, DI$2))</f>
        <v>0</v>
      </c>
      <c r="DJ55" s="324">
        <f>$I55*IF($G55="Pickup", SUMIFS(NewEmisData!H:H, NewEmisData!$A:$A, "Pickup", NewEmisData!$B:$B, $A55, NewEmisData!$C:$C, $H55, NewEmisData!$D:$D, DJ$2), SUMIFS(NewEmisData!H:H, NewEmisData!$A:$A, "LDV", NewEmisData!$B:$B, $A55, NewEmisData!$C:$C, $H55, NewEmisData!$D:$D, DJ$2))</f>
        <v>0</v>
      </c>
      <c r="DK55" s="324">
        <f>$I55*IF($G55="Pickup", SUMIFS(NewEmisData!I:I, NewEmisData!$A:$A, "Pickup", NewEmisData!$B:$B, $A55, NewEmisData!$C:$C, $H55, NewEmisData!$D:$D, DK$2), SUMIFS(NewEmisData!I:I, NewEmisData!$A:$A, "LDV", NewEmisData!$B:$B, $A55, NewEmisData!$C:$C, $H55, NewEmisData!$D:$D, DK$2))</f>
        <v>0</v>
      </c>
      <c r="DL55" s="324">
        <f>$I55*IF($G55="Pickup", SUMIFS(NewEmisData!J:J, NewEmisData!$A:$A, "Pickup", NewEmisData!$B:$B, $A55, NewEmisData!$C:$C, $H55, NewEmisData!$D:$D, DL$2), SUMIFS(NewEmisData!J:J, NewEmisData!$A:$A, "LDV", NewEmisData!$B:$B, $A55, NewEmisData!$C:$C, $H55, NewEmisData!$D:$D, DL$2))</f>
        <v>0</v>
      </c>
      <c r="DM55" s="324">
        <f>$I55*IF($G55="Pickup", SUMIFS(NewEmisData!K:K, NewEmisData!$A:$A, "Pickup", NewEmisData!$B:$B, $A55, NewEmisData!$C:$C, $H55, NewEmisData!$D:$D, DM$2), SUMIFS(NewEmisData!K:K, NewEmisData!$A:$A, "LDV", NewEmisData!$B:$B, $A55, NewEmisData!$C:$C, $H55, NewEmisData!$D:$D, DM$2))</f>
        <v>0</v>
      </c>
      <c r="DN55" s="324">
        <f>$I55*IF($G55="Pickup", SUMIFS(NewEmisData!L:L, NewEmisData!$A:$A, "Pickup", NewEmisData!$B:$B, $A55, NewEmisData!$C:$C, $H55, NewEmisData!$D:$D, DN$2), SUMIFS(NewEmisData!L:L, NewEmisData!$A:$A, "LDV", NewEmisData!$B:$B, $A55, NewEmisData!$C:$C, $H55, NewEmisData!$D:$D, DN$2))</f>
        <v>0</v>
      </c>
      <c r="DO55" s="324">
        <f>$I55*IF($G55="Pickup", SUMIFS(NewEmisData!M:M, NewEmisData!$A:$A, "Pickup", NewEmisData!$B:$B, $A55, NewEmisData!$C:$C, $H55, NewEmisData!$D:$D, DO$2), SUMIFS(NewEmisData!M:M, NewEmisData!$A:$A, "LDV", NewEmisData!$B:$B, $A55, NewEmisData!$C:$C, $H55, NewEmisData!$D:$D, DO$2))</f>
        <v>0</v>
      </c>
      <c r="DP55" s="324">
        <f t="shared" si="14"/>
        <v>0</v>
      </c>
      <c r="DQ55" s="324">
        <f>$I55*IF($G55="Pickup", SUMIFS(NewEmisData!E:E, NewEmisData!$A:$A, "Pickup", NewEmisData!$B:$B, $A55, NewEmisData!$C:$C, $H55, NewEmisData!$D:$D, DQ$2), SUMIFS(NewEmisData!E:E, NewEmisData!$A:$A, "LDV", NewEmisData!$B:$B, $A55, NewEmisData!$C:$C, $H55, NewEmisData!$D:$D, DQ$2))</f>
        <v>1.9861767714788401E-2</v>
      </c>
      <c r="DR55" s="324">
        <f>$I55*IF($G55="Pickup", SUMIFS(NewEmisData!F:F, NewEmisData!$A:$A, "Pickup", NewEmisData!$B:$B, $A55, NewEmisData!$C:$C, $H55, NewEmisData!$D:$D, DR$2), SUMIFS(NewEmisData!F:F, NewEmisData!$A:$A, "LDV", NewEmisData!$B:$B, $A55, NewEmisData!$C:$C, $H55, NewEmisData!$D:$D, DR$2))</f>
        <v>1.6826002646991401E-2</v>
      </c>
      <c r="DS55" s="324">
        <f>$I55*IF($G55="Pickup", SUMIFS(NewEmisData!G:G, NewEmisData!$A:$A, "Pickup", NewEmisData!$B:$B, $A55, NewEmisData!$C:$C, $H55, NewEmisData!$D:$D, DS$2), SUMIFS(NewEmisData!G:G, NewEmisData!$A:$A, "LDV", NewEmisData!$B:$B, $A55, NewEmisData!$C:$C, $H55, NewEmisData!$D:$D, DS$2))</f>
        <v>1.4540062445343701E-2</v>
      </c>
      <c r="DT55" s="324">
        <f>$I55*IF($G55="Pickup", SUMIFS(NewEmisData!H:H, NewEmisData!$A:$A, "Pickup", NewEmisData!$B:$B, $A55, NewEmisData!$C:$C, $H55, NewEmisData!$D:$D, DT$2), SUMIFS(NewEmisData!H:H, NewEmisData!$A:$A, "LDV", NewEmisData!$B:$B, $A55, NewEmisData!$C:$C, $H55, NewEmisData!$D:$D, DT$2))</f>
        <v>1.0889127855739599E-2</v>
      </c>
      <c r="DU55" s="324">
        <f>$I55*IF($G55="Pickup", SUMIFS(NewEmisData!I:I, NewEmisData!$A:$A, "Pickup", NewEmisData!$B:$B, $A55, NewEmisData!$C:$C, $H55, NewEmisData!$D:$D, DU$2), SUMIFS(NewEmisData!I:I, NewEmisData!$A:$A, "LDV", NewEmisData!$B:$B, $A55, NewEmisData!$C:$C, $H55, NewEmisData!$D:$D, DU$2))</f>
        <v>9.2771581803737097E-3</v>
      </c>
      <c r="DV55" s="324">
        <f>$I55*IF($G55="Pickup", SUMIFS(NewEmisData!J:J, NewEmisData!$A:$A, "Pickup", NewEmisData!$B:$B, $A55, NewEmisData!$C:$C, $H55, NewEmisData!$D:$D, DV$2), SUMIFS(NewEmisData!J:J, NewEmisData!$A:$A, "LDV", NewEmisData!$B:$B, $A55, NewEmisData!$C:$C, $H55, NewEmisData!$D:$D, DV$2))</f>
        <v>8.6157906132964604E-3</v>
      </c>
      <c r="DW55" s="324">
        <f>$I55*IF($G55="Pickup", SUMIFS(NewEmisData!K:K, NewEmisData!$A:$A, "Pickup", NewEmisData!$B:$B, $A55, NewEmisData!$C:$C, $H55, NewEmisData!$D:$D, DW$2), SUMIFS(NewEmisData!K:K, NewEmisData!$A:$A, "LDV", NewEmisData!$B:$B, $A55, NewEmisData!$C:$C, $H55, NewEmisData!$D:$D, DW$2))</f>
        <v>8.2603947841698305E-3</v>
      </c>
      <c r="DX55" s="324">
        <f>$I55*IF($G55="Pickup", SUMIFS(NewEmisData!L:L, NewEmisData!$A:$A, "Pickup", NewEmisData!$B:$B, $A55, NewEmisData!$C:$C, $H55, NewEmisData!$D:$D, DX$2), SUMIFS(NewEmisData!L:L, NewEmisData!$A:$A, "LDV", NewEmisData!$B:$B, $A55, NewEmisData!$C:$C, $H55, NewEmisData!$D:$D, DX$2))</f>
        <v>8.1602779301112108E-3</v>
      </c>
      <c r="DY55" s="324">
        <f>$I55*IF($G55="Pickup", SUMIFS(NewEmisData!M:M, NewEmisData!$A:$A, "Pickup", NewEmisData!$B:$B, $A55, NewEmisData!$C:$C, $H55, NewEmisData!$D:$D, DY$2), SUMIFS(NewEmisData!M:M, NewEmisData!$A:$A, "LDV", NewEmisData!$B:$B, $A55, NewEmisData!$C:$C, $H55, NewEmisData!$D:$D, DY$2))</f>
        <v>8.1861829277557301E-3</v>
      </c>
      <c r="DZ55" s="324">
        <f t="shared" si="15"/>
        <v>8.1861829277557301E-3</v>
      </c>
      <c r="EA55" s="324">
        <f t="shared" si="16"/>
        <v>429.196687290726</v>
      </c>
      <c r="EB55" s="324">
        <f t="shared" si="17"/>
        <v>413.92588742451602</v>
      </c>
      <c r="EC55" s="324">
        <f t="shared" si="18"/>
        <v>357.54354908822597</v>
      </c>
      <c r="ED55" s="324">
        <f t="shared" si="19"/>
        <v>312.70443872824399</v>
      </c>
      <c r="EE55" s="324">
        <f t="shared" si="20"/>
        <v>295.131332198753</v>
      </c>
      <c r="EF55" s="324">
        <f t="shared" si="21"/>
        <v>287.00250507201002</v>
      </c>
      <c r="EG55" s="324">
        <f t="shared" si="22"/>
        <v>280.70349092905099</v>
      </c>
      <c r="EH55" s="324">
        <f t="shared" si="23"/>
        <v>278.51705728958802</v>
      </c>
      <c r="EI55" s="324">
        <f t="shared" si="24"/>
        <v>278.75188774863398</v>
      </c>
      <c r="EJ55" s="324">
        <f t="shared" si="25"/>
        <v>278.75188774863398</v>
      </c>
      <c r="EK55" s="324">
        <f t="shared" si="26"/>
        <v>4.7739662510445001E-2</v>
      </c>
      <c r="EL55" s="324">
        <f t="shared" si="27"/>
        <v>4.0222650933890998E-2</v>
      </c>
      <c r="EM55" s="324">
        <f t="shared" si="28"/>
        <v>3.7026013334327097E-2</v>
      </c>
      <c r="EN55" s="324">
        <f t="shared" si="29"/>
        <v>3.5721368498802003E-2</v>
      </c>
      <c r="EO55" s="324">
        <f t="shared" si="30"/>
        <v>3.9556628195455697E-2</v>
      </c>
      <c r="EP55" s="324">
        <f t="shared" si="31"/>
        <v>4.0892160755087198E-2</v>
      </c>
      <c r="EQ55" s="324">
        <f t="shared" si="32"/>
        <v>3.9809174920499499E-2</v>
      </c>
      <c r="ER55" s="324">
        <f t="shared" si="33"/>
        <v>3.9117125993598102E-2</v>
      </c>
      <c r="ES55" s="324">
        <f t="shared" si="34"/>
        <v>3.9686464950090997E-2</v>
      </c>
      <c r="ET55" s="324">
        <f t="shared" si="35"/>
        <v>3.9686464950090997E-2</v>
      </c>
      <c r="EU55" s="324">
        <f t="shared" si="36"/>
        <v>4.5442372364522896E-3</v>
      </c>
      <c r="EV55" s="324">
        <f t="shared" si="37"/>
        <v>4.3825669717421E-3</v>
      </c>
      <c r="EW55" s="324">
        <f t="shared" si="38"/>
        <v>2.75316137470643E-3</v>
      </c>
      <c r="EX55" s="324">
        <f t="shared" si="39"/>
        <v>2.4078903553578401E-3</v>
      </c>
      <c r="EY55" s="324">
        <f t="shared" si="40"/>
        <v>2.27257345888271E-3</v>
      </c>
      <c r="EZ55" s="324">
        <f t="shared" si="41"/>
        <v>2.2099795405175798E-3</v>
      </c>
      <c r="FA55" s="324">
        <f t="shared" si="42"/>
        <v>2.16147670002603E-3</v>
      </c>
      <c r="FB55" s="324">
        <f t="shared" si="43"/>
        <v>2.1446401853113602E-3</v>
      </c>
      <c r="FC55" s="324">
        <f t="shared" si="44"/>
        <v>2.1464475654284099E-3</v>
      </c>
      <c r="FD55" s="324">
        <f t="shared" si="45"/>
        <v>2.1464475654284099E-3</v>
      </c>
      <c r="FE55" s="324">
        <f t="shared" si="46"/>
        <v>6.8718020723861406E-2</v>
      </c>
      <c r="FF55" s="324">
        <f t="shared" si="47"/>
        <v>6.8726817375946297E-2</v>
      </c>
      <c r="FG55" s="324">
        <f t="shared" si="48"/>
        <v>7.5053777430390503E-2</v>
      </c>
      <c r="FH55" s="324">
        <f t="shared" si="49"/>
        <v>7.4787483412829606E-2</v>
      </c>
      <c r="FI55" s="324">
        <f t="shared" si="50"/>
        <v>7.4715797469106393E-2</v>
      </c>
      <c r="FJ55" s="324">
        <f t="shared" si="51"/>
        <v>7.4683474858337304E-2</v>
      </c>
      <c r="FK55" s="324">
        <f t="shared" si="52"/>
        <v>7.4519830404688694E-2</v>
      </c>
      <c r="FL55" s="324">
        <f t="shared" si="53"/>
        <v>7.4375705674705195E-2</v>
      </c>
      <c r="FM55" s="324">
        <f t="shared" si="54"/>
        <v>7.4367996322656102E-2</v>
      </c>
      <c r="FN55" s="324">
        <f t="shared" si="55"/>
        <v>7.4367996322656102E-2</v>
      </c>
      <c r="FO55" s="324">
        <f t="shared" si="56"/>
        <v>1.04003337420696E-2</v>
      </c>
      <c r="FP55" s="324">
        <f t="shared" si="57"/>
        <v>1.04081158830562E-2</v>
      </c>
      <c r="FQ55" s="324">
        <f t="shared" si="58"/>
        <v>1.1052941096405E-2</v>
      </c>
      <c r="FR55" s="324">
        <f t="shared" si="59"/>
        <v>1.0817163462008301E-2</v>
      </c>
      <c r="FS55" s="324">
        <f t="shared" si="60"/>
        <v>1.0753769380543701E-2</v>
      </c>
      <c r="FT55" s="324">
        <f t="shared" si="61"/>
        <v>1.07252399459136E-2</v>
      </c>
      <c r="FU55" s="324">
        <f t="shared" si="62"/>
        <v>1.05804069130733E-2</v>
      </c>
      <c r="FV55" s="324">
        <f t="shared" si="63"/>
        <v>1.04530345160975E-2</v>
      </c>
      <c r="FW55" s="324">
        <f t="shared" si="64"/>
        <v>1.04461903633429E-2</v>
      </c>
      <c r="FX55" s="324">
        <f t="shared" si="65"/>
        <v>1.04461903633429E-2</v>
      </c>
    </row>
    <row r="56" spans="1:180" x14ac:dyDescent="0.2">
      <c r="A56" s="298" t="str">
        <f>_xlfn.CONCAT(IF(LEFT(TRIM(A55),1)="*", "*R", "R"), 1+RIGHT(TRIM(A55),1))</f>
        <v>*R3</v>
      </c>
      <c r="B56" s="298" t="str">
        <f t="shared" ref="B56:B59" si="112">B55</f>
        <v>TLEETHX</v>
      </c>
      <c r="C56" s="298" t="str">
        <f t="shared" ref="C56:C59" si="113">C55</f>
        <v>TL.E85X.F.Existing fleet</v>
      </c>
      <c r="D56" s="294" t="str">
        <f t="shared" ref="D56:D59" si="114">D55</f>
        <v>bn-vmt, bn-vmt/a</v>
      </c>
      <c r="E56" s="294" t="str">
        <f t="shared" ref="E56:E59" si="115">E55</f>
        <v>TLE85X</v>
      </c>
      <c r="F56" s="294" t="str">
        <f t="shared" ref="F56:F59" si="116">F55</f>
        <v>TL</v>
      </c>
      <c r="G56" s="294" t="s">
        <v>476</v>
      </c>
      <c r="H56" s="294" t="s">
        <v>332</v>
      </c>
      <c r="I56" s="294">
        <v>1</v>
      </c>
      <c r="J56" s="308" t="str">
        <f t="shared" si="101"/>
        <v>Full size car-E85</v>
      </c>
      <c r="K56" s="324">
        <f>$I56*IF($G56="Pickup", SUMIFS(NewEmisData!E:E, NewEmisData!$A:$A, "Pickup", NewEmisData!$B:$B, $A56, NewEmisData!$C:$C, $H56, NewEmisData!$D:$D, K$2), SUMIFS(NewEmisData!E:E, NewEmisData!$A:$A, "LDV", NewEmisData!$B:$B, $A56, NewEmisData!$C:$C, $H56, NewEmisData!$D:$D, K$2))</f>
        <v>394.83751183448101</v>
      </c>
      <c r="L56" s="324">
        <f>$I56*IF($G56="Pickup", SUMIFS(NewEmisData!F:F, NewEmisData!$A:$A, "Pickup", NewEmisData!$B:$B, $A56, NewEmisData!$C:$C, $H56, NewEmisData!$D:$D, L$2), SUMIFS(NewEmisData!F:F, NewEmisData!$A:$A, "LDV", NewEmisData!$B:$B, $A56, NewEmisData!$C:$C, $H56, NewEmisData!$D:$D, L$2))</f>
        <v>382.24571125104399</v>
      </c>
      <c r="M56" s="324">
        <f>$I56*IF($G56="Pickup", SUMIFS(NewEmisData!G:G, NewEmisData!$A:$A, "Pickup", NewEmisData!$B:$B, $A56, NewEmisData!$C:$C, $H56, NewEmisData!$D:$D, M$2), SUMIFS(NewEmisData!G:G, NewEmisData!$A:$A, "LDV", NewEmisData!$B:$B, $A56, NewEmisData!$C:$C, $H56, NewEmisData!$D:$D, M$2))</f>
        <v>311.20898804842699</v>
      </c>
      <c r="N56" s="324">
        <f>$I56*IF($G56="Pickup", SUMIFS(NewEmisData!H:H, NewEmisData!$A:$A, "Pickup", NewEmisData!$B:$B, $A56, NewEmisData!$C:$C, $H56, NewEmisData!$D:$D, N$2), SUMIFS(NewEmisData!H:H, NewEmisData!$A:$A, "LDV", NewEmisData!$B:$B, $A56, NewEmisData!$C:$C, $H56, NewEmisData!$D:$D, N$2))</f>
        <v>272.03741746452602</v>
      </c>
      <c r="O56" s="324">
        <f>$I56*IF($G56="Pickup", SUMIFS(NewEmisData!I:I, NewEmisData!$A:$A, "Pickup", NewEmisData!$B:$B, $A56, NewEmisData!$C:$C, $H56, NewEmisData!$D:$D, O$2), SUMIFS(NewEmisData!I:I, NewEmisData!$A:$A, "LDV", NewEmisData!$B:$B, $A56, NewEmisData!$C:$C, $H56, NewEmisData!$D:$D, O$2))</f>
        <v>256.63322215887302</v>
      </c>
      <c r="P56" s="324">
        <f>$I56*IF($G56="Pickup", SUMIFS(NewEmisData!J:J, NewEmisData!$A:$A, "Pickup", NewEmisData!$B:$B, $A56, NewEmisData!$C:$C, $H56, NewEmisData!$D:$D, P$2), SUMIFS(NewEmisData!J:J, NewEmisData!$A:$A, "LDV", NewEmisData!$B:$B, $A56, NewEmisData!$C:$C, $H56, NewEmisData!$D:$D, P$2))</f>
        <v>249.47351911251101</v>
      </c>
      <c r="Q56" s="324">
        <f>$I56*IF($G56="Pickup", SUMIFS(NewEmisData!K:K, NewEmisData!$A:$A, "Pickup", NewEmisData!$B:$B, $A56, NewEmisData!$C:$C, $H56, NewEmisData!$D:$D, Q$2), SUMIFS(NewEmisData!K:K, NewEmisData!$A:$A, "LDV", NewEmisData!$B:$B, $A56, NewEmisData!$C:$C, $H56, NewEmisData!$D:$D, Q$2))</f>
        <v>243.947047715764</v>
      </c>
      <c r="R56" s="324">
        <f>$I56*IF($G56="Pickup", SUMIFS(NewEmisData!L:L, NewEmisData!$A:$A, "Pickup", NewEmisData!$B:$B, $A56, NewEmisData!$C:$C, $H56, NewEmisData!$D:$D, R$2), SUMIFS(NewEmisData!L:L, NewEmisData!$A:$A, "LDV", NewEmisData!$B:$B, $A56, NewEmisData!$C:$C, $H56, NewEmisData!$D:$D, R$2))</f>
        <v>242.03087756441701</v>
      </c>
      <c r="S56" s="324">
        <f>$I56*IF($G56="Pickup", SUMIFS(NewEmisData!M:M, NewEmisData!$A:$A, "Pickup", NewEmisData!$B:$B, $A56, NewEmisData!$C:$C, $H56, NewEmisData!$D:$D, S$2), SUMIFS(NewEmisData!M:M, NewEmisData!$A:$A, "LDV", NewEmisData!$B:$B, $A56, NewEmisData!$C:$C, $H56, NewEmisData!$D:$D, S$2))</f>
        <v>242.21948488777301</v>
      </c>
      <c r="T56" s="324">
        <f t="shared" si="5"/>
        <v>242.21948488777301</v>
      </c>
      <c r="U56" s="324">
        <f>$I56*IF($G56="Pickup", SUMIFS(NewEmisData!E:E, NewEmisData!$A:$A, "Pickup", NewEmisData!$B:$B, $A56, NewEmisData!$C:$C, $H56, NewEmisData!$D:$D, U$2), SUMIFS(NewEmisData!E:E, NewEmisData!$A:$A, "LDV", NewEmisData!$B:$B, $A56, NewEmisData!$C:$C, $H56, NewEmisData!$D:$D, U$2))</f>
        <v>4.1722988994872201E-2</v>
      </c>
      <c r="V56" s="324">
        <f>$I56*IF($G56="Pickup", SUMIFS(NewEmisData!F:F, NewEmisData!$A:$A, "Pickup", NewEmisData!$B:$B, $A56, NewEmisData!$C:$C, $H56, NewEmisData!$D:$D, V$2), SUMIFS(NewEmisData!F:F, NewEmisData!$A:$A, "LDV", NewEmisData!$B:$B, $A56, NewEmisData!$C:$C, $H56, NewEmisData!$D:$D, V$2))</f>
        <v>3.46409702122705E-2</v>
      </c>
      <c r="W56" s="324">
        <f>$I56*IF($G56="Pickup", SUMIFS(NewEmisData!G:G, NewEmisData!$A:$A, "Pickup", NewEmisData!$B:$B, $A56, NewEmisData!$C:$C, $H56, NewEmisData!$D:$D, W$2), SUMIFS(NewEmisData!G:G, NewEmisData!$A:$A, "LDV", NewEmisData!$B:$B, $A56, NewEmisData!$C:$C, $H56, NewEmisData!$D:$D, W$2))</f>
        <v>3.2406542165289903E-2</v>
      </c>
      <c r="X56" s="324">
        <f>$I56*IF($G56="Pickup", SUMIFS(NewEmisData!H:H, NewEmisData!$A:$A, "Pickup", NewEmisData!$B:$B, $A56, NewEmisData!$C:$C, $H56, NewEmisData!$D:$D, X$2), SUMIFS(NewEmisData!H:H, NewEmisData!$A:$A, "LDV", NewEmisData!$B:$B, $A56, NewEmisData!$C:$C, $H56, NewEmisData!$D:$D, X$2))</f>
        <v>3.0987315768082901E-2</v>
      </c>
      <c r="Y56" s="324">
        <f>$I56*IF($G56="Pickup", SUMIFS(NewEmisData!I:I, NewEmisData!$A:$A, "Pickup", NewEmisData!$B:$B, $A56, NewEmisData!$C:$C, $H56, NewEmisData!$D:$D, Y$2), SUMIFS(NewEmisData!I:I, NewEmisData!$A:$A, "LDV", NewEmisData!$B:$B, $A56, NewEmisData!$C:$C, $H56, NewEmisData!$D:$D, Y$2))</f>
        <v>3.42812868295745E-2</v>
      </c>
      <c r="Z56" s="324">
        <f>$I56*IF($G56="Pickup", SUMIFS(NewEmisData!J:J, NewEmisData!$A:$A, "Pickup", NewEmisData!$B:$B, $A56, NewEmisData!$C:$C, $H56, NewEmisData!$D:$D, Z$2), SUMIFS(NewEmisData!J:J, NewEmisData!$A:$A, "LDV", NewEmisData!$B:$B, $A56, NewEmisData!$C:$C, $H56, NewEmisData!$D:$D, Z$2))</f>
        <v>3.5241041104630097E-2</v>
      </c>
      <c r="AA56" s="324">
        <f>$I56*IF($G56="Pickup", SUMIFS(NewEmisData!K:K, NewEmisData!$A:$A, "Pickup", NewEmisData!$B:$B, $A56, NewEmisData!$C:$C, $H56, NewEmisData!$D:$D, AA$2), SUMIFS(NewEmisData!K:K, NewEmisData!$A:$A, "LDV", NewEmisData!$B:$B, $A56, NewEmisData!$C:$C, $H56, NewEmisData!$D:$D, AA$2))</f>
        <v>3.4104926459791303E-2</v>
      </c>
      <c r="AB56" s="324">
        <f>$I56*IF($G56="Pickup", SUMIFS(NewEmisData!L:L, NewEmisData!$A:$A, "Pickup", NewEmisData!$B:$B, $A56, NewEmisData!$C:$C, $H56, NewEmisData!$D:$D, AB$2), SUMIFS(NewEmisData!L:L, NewEmisData!$A:$A, "LDV", NewEmisData!$B:$B, $A56, NewEmisData!$C:$C, $H56, NewEmisData!$D:$D, AB$2))</f>
        <v>3.3427882317031102E-2</v>
      </c>
      <c r="AC56" s="324">
        <f>$I56*IF($G56="Pickup", SUMIFS(NewEmisData!M:M, NewEmisData!$A:$A, "Pickup", NewEmisData!$B:$B, $A56, NewEmisData!$C:$C, $H56, NewEmisData!$D:$D, AC$2), SUMIFS(NewEmisData!M:M, NewEmisData!$A:$A, "LDV", NewEmisData!$B:$B, $A56, NewEmisData!$C:$C, $H56, NewEmisData!$D:$D, AC$2))</f>
        <v>3.3891475717267E-2</v>
      </c>
      <c r="AD56" s="324">
        <f t="shared" si="6"/>
        <v>3.3891475717267E-2</v>
      </c>
      <c r="AE56" s="324">
        <f>$I56*IF($G56="Pickup", SUMIFS(NewEmisData!E:E, NewEmisData!$A:$A, "Pickup", NewEmisData!$B:$B, $A56, NewEmisData!$C:$C, $H56, NewEmisData!$D:$D, AE$2), SUMIFS(NewEmisData!E:E, NewEmisData!$A:$A, "LDV", NewEmisData!$B:$B, $A56, NewEmisData!$C:$C, $H56, NewEmisData!$D:$D, AE$2))</f>
        <v>4.18045875613407E-3</v>
      </c>
      <c r="AF56" s="324">
        <f>$I56*IF($G56="Pickup", SUMIFS(NewEmisData!F:F, NewEmisData!$A:$A, "Pickup", NewEmisData!$B:$B, $A56, NewEmisData!$C:$C, $H56, NewEmisData!$D:$D, AF$2), SUMIFS(NewEmisData!F:F, NewEmisData!$A:$A, "LDV", NewEmisData!$B:$B, $A56, NewEmisData!$C:$C, $H56, NewEmisData!$D:$D, AF$2))</f>
        <v>4.0471378457488504E-3</v>
      </c>
      <c r="AG56" s="324">
        <f>$I56*IF($G56="Pickup", SUMIFS(NewEmisData!G:G, NewEmisData!$A:$A, "Pickup", NewEmisData!$B:$B, $A56, NewEmisData!$C:$C, $H56, NewEmisData!$D:$D, AG$2), SUMIFS(NewEmisData!G:G, NewEmisData!$A:$A, "LDV", NewEmisData!$B:$B, $A56, NewEmisData!$C:$C, $H56, NewEmisData!$D:$D, AG$2))</f>
        <v>2.3963740356682502E-3</v>
      </c>
      <c r="AH56" s="324">
        <f>$I56*IF($G56="Pickup", SUMIFS(NewEmisData!H:H, NewEmisData!$A:$A, "Pickup", NewEmisData!$B:$B, $A56, NewEmisData!$C:$C, $H56, NewEmisData!$D:$D, AH$2), SUMIFS(NewEmisData!H:H, NewEmisData!$A:$A, "LDV", NewEmisData!$B:$B, $A56, NewEmisData!$C:$C, $H56, NewEmisData!$D:$D, AH$2))</f>
        <v>2.0947461612804202E-3</v>
      </c>
      <c r="AI56" s="324">
        <f>$I56*IF($G56="Pickup", SUMIFS(NewEmisData!I:I, NewEmisData!$A:$A, "Pickup", NewEmisData!$B:$B, $A56, NewEmisData!$C:$C, $H56, NewEmisData!$D:$D, AI$2), SUMIFS(NewEmisData!I:I, NewEmisData!$A:$A, "LDV", NewEmisData!$B:$B, $A56, NewEmisData!$C:$C, $H56, NewEmisData!$D:$D, AI$2))</f>
        <v>1.9761294738190999E-3</v>
      </c>
      <c r="AJ56" s="324">
        <f>$I56*IF($G56="Pickup", SUMIFS(NewEmisData!J:J, NewEmisData!$A:$A, "Pickup", NewEmisData!$B:$B, $A56, NewEmisData!$C:$C, $H56, NewEmisData!$D:$D, AJ$2), SUMIFS(NewEmisData!J:J, NewEmisData!$A:$A, "LDV", NewEmisData!$B:$B, $A56, NewEmisData!$C:$C, $H56, NewEmisData!$D:$D, AJ$2))</f>
        <v>1.9209993079262E-3</v>
      </c>
      <c r="AK56" s="324">
        <f>$I56*IF($G56="Pickup", SUMIFS(NewEmisData!K:K, NewEmisData!$A:$A, "Pickup", NewEmisData!$B:$B, $A56, NewEmisData!$C:$C, $H56, NewEmisData!$D:$D, AK$2), SUMIFS(NewEmisData!K:K, NewEmisData!$A:$A, "LDV", NewEmisData!$B:$B, $A56, NewEmisData!$C:$C, $H56, NewEmisData!$D:$D, AK$2))</f>
        <v>1.8784446265214399E-3</v>
      </c>
      <c r="AL56" s="324">
        <f>$I56*IF($G56="Pickup", SUMIFS(NewEmisData!L:L, NewEmisData!$A:$A, "Pickup", NewEmisData!$B:$B, $A56, NewEmisData!$C:$C, $H56, NewEmisData!$D:$D, AL$2), SUMIFS(NewEmisData!L:L, NewEmisData!$A:$A, "LDV", NewEmisData!$B:$B, $A56, NewEmisData!$C:$C, $H56, NewEmisData!$D:$D, AL$2))</f>
        <v>1.8636889724050101E-3</v>
      </c>
      <c r="AM56" s="324">
        <f>$I56*IF($G56="Pickup", SUMIFS(NewEmisData!M:M, NewEmisData!$A:$A, "Pickup", NewEmisData!$B:$B, $A56, NewEmisData!$C:$C, $H56, NewEmisData!$D:$D, AM$2), SUMIFS(NewEmisData!M:M, NewEmisData!$A:$A, "LDV", NewEmisData!$B:$B, $A56, NewEmisData!$C:$C, $H56, NewEmisData!$D:$D, AM$2))</f>
        <v>1.8651401165369901E-3</v>
      </c>
      <c r="AN56" s="324">
        <f t="shared" si="7"/>
        <v>1.8651401165369901E-3</v>
      </c>
      <c r="AO56" s="324">
        <f>$I56*IF($G56="Pickup", SUMIFS(NewEmisData!E:E, NewEmisData!$A:$A, "Pickup", NewEmisData!$B:$B, $A56, NewEmisData!$C:$C, $H56, NewEmisData!$D:$D, AO$2), SUMIFS(NewEmisData!E:E, NewEmisData!$A:$A, "LDV", NewEmisData!$B:$B, $A56, NewEmisData!$C:$C, $H56, NewEmisData!$D:$D, AO$2))</f>
        <v>5.70149509117601E-2</v>
      </c>
      <c r="AP56" s="324">
        <f>$I56*IF($G56="Pickup", SUMIFS(NewEmisData!F:F, NewEmisData!$A:$A, "Pickup", NewEmisData!$B:$B, $A56, NewEmisData!$C:$C, $H56, NewEmisData!$D:$D, AP$2), SUMIFS(NewEmisData!F:F, NewEmisData!$A:$A, "LDV", NewEmisData!$B:$B, $A56, NewEmisData!$C:$C, $H56, NewEmisData!$D:$D, AP$2))</f>
        <v>5.7021889138304603E-2</v>
      </c>
      <c r="AQ56" s="324">
        <f>$I56*IF($G56="Pickup", SUMIFS(NewEmisData!G:G, NewEmisData!$A:$A, "Pickup", NewEmisData!$B:$B, $A56, NewEmisData!$C:$C, $H56, NewEmisData!$D:$D, AQ$2), SUMIFS(NewEmisData!G:G, NewEmisData!$A:$A, "LDV", NewEmisData!$B:$B, $A56, NewEmisData!$C:$C, $H56, NewEmisData!$D:$D, AQ$2))</f>
        <v>5.7501606282491798E-2</v>
      </c>
      <c r="AR56" s="324">
        <f>$I56*IF($G56="Pickup", SUMIFS(NewEmisData!H:H, NewEmisData!$A:$A, "Pickup", NewEmisData!$B:$B, $A56, NewEmisData!$C:$C, $H56, NewEmisData!$D:$D, AR$2), SUMIFS(NewEmisData!H:H, NewEmisData!$A:$A, "LDV", NewEmisData!$B:$B, $A56, NewEmisData!$C:$C, $H56, NewEmisData!$D:$D, AR$2))</f>
        <v>5.7272335517784601E-2</v>
      </c>
      <c r="AS56" s="324">
        <f>$I56*IF($G56="Pickup", SUMIFS(NewEmisData!I:I, NewEmisData!$A:$A, "Pickup", NewEmisData!$B:$B, $A56, NewEmisData!$C:$C, $H56, NewEmisData!$D:$D, AS$2), SUMIFS(NewEmisData!I:I, NewEmisData!$A:$A, "LDV", NewEmisData!$B:$B, $A56, NewEmisData!$C:$C, $H56, NewEmisData!$D:$D, AS$2))</f>
        <v>5.7208750023327502E-2</v>
      </c>
      <c r="AT56" s="324">
        <f>$I56*IF($G56="Pickup", SUMIFS(NewEmisData!J:J, NewEmisData!$A:$A, "Pickup", NewEmisData!$B:$B, $A56, NewEmisData!$C:$C, $H56, NewEmisData!$D:$D, AT$2), SUMIFS(NewEmisData!J:J, NewEmisData!$A:$A, "LDV", NewEmisData!$B:$B, $A56, NewEmisData!$C:$C, $H56, NewEmisData!$D:$D, AT$2))</f>
        <v>5.7179082239302903E-2</v>
      </c>
      <c r="AU56" s="324">
        <f>$I56*IF($G56="Pickup", SUMIFS(NewEmisData!K:K, NewEmisData!$A:$A, "Pickup", NewEmisData!$B:$B, $A56, NewEmisData!$C:$C, $H56, NewEmisData!$D:$D, AU$2), SUMIFS(NewEmisData!K:K, NewEmisData!$A:$A, "LDV", NewEmisData!$B:$B, $A56, NewEmisData!$C:$C, $H56, NewEmisData!$D:$D, AU$2))</f>
        <v>5.7038376882496397E-2</v>
      </c>
      <c r="AV56" s="324">
        <f>$I56*IF($G56="Pickup", SUMIFS(NewEmisData!L:L, NewEmisData!$A:$A, "Pickup", NewEmisData!$B:$B, $A56, NewEmisData!$C:$C, $H56, NewEmisData!$D:$D, AV$2), SUMIFS(NewEmisData!L:L, NewEmisData!$A:$A, "LDV", NewEmisData!$B:$B, $A56, NewEmisData!$C:$C, $H56, NewEmisData!$D:$D, AV$2))</f>
        <v>5.6915696785157503E-2</v>
      </c>
      <c r="AW56" s="324">
        <f>$I56*IF($G56="Pickup", SUMIFS(NewEmisData!M:M, NewEmisData!$A:$A, "Pickup", NewEmisData!$B:$B, $A56, NewEmisData!$C:$C, $H56, NewEmisData!$D:$D, AW$2), SUMIFS(NewEmisData!M:M, NewEmisData!$A:$A, "LDV", NewEmisData!$B:$B, $A56, NewEmisData!$C:$C, $H56, NewEmisData!$D:$D, AW$2))</f>
        <v>5.6908699033520103E-2</v>
      </c>
      <c r="AX56" s="324">
        <f t="shared" si="8"/>
        <v>5.6908699033520103E-2</v>
      </c>
      <c r="AY56" s="324">
        <f>$I56*IF($G56="Pickup", SUMIFS(NewEmisData!E:E, NewEmisData!$A:$A, "Pickup", NewEmisData!$B:$B, $A56, NewEmisData!$C:$C, $H56, NewEmisData!$D:$D, AY$2), SUMIFS(NewEmisData!E:E, NewEmisData!$A:$A, "LDV", NewEmisData!$B:$B, $A56, NewEmisData!$C:$C, $H56, NewEmisData!$D:$D, AY$2))</f>
        <v>8.7560770343190295E-3</v>
      </c>
      <c r="AZ56" s="324">
        <f>$I56*IF($G56="Pickup", SUMIFS(NewEmisData!F:F, NewEmisData!$A:$A, "Pickup", NewEmisData!$B:$B, $A56, NewEmisData!$C:$C, $H56, NewEmisData!$D:$D, AZ$2), SUMIFS(NewEmisData!F:F, NewEmisData!$A:$A, "LDV", NewEmisData!$B:$B, $A56, NewEmisData!$C:$C, $H56, NewEmisData!$D:$D, AZ$2))</f>
        <v>8.7622036543780306E-3</v>
      </c>
      <c r="BA56" s="324">
        <f>$I56*IF($G56="Pickup", SUMIFS(NewEmisData!G:G, NewEmisData!$A:$A, "Pickup", NewEmisData!$B:$B, $A56, NewEmisData!$C:$C, $H56, NewEmisData!$D:$D, BA$2), SUMIFS(NewEmisData!G:G, NewEmisData!$A:$A, "LDV", NewEmisData!$B:$B, $A56, NewEmisData!$C:$C, $H56, NewEmisData!$D:$D, BA$2))</f>
        <v>8.6304265757909393E-3</v>
      </c>
      <c r="BB56" s="324">
        <f>$I56*IF($G56="Pickup", SUMIFS(NewEmisData!H:H, NewEmisData!$A:$A, "Pickup", NewEmisData!$B:$B, $A56, NewEmisData!$C:$C, $H56, NewEmisData!$D:$D, BB$2), SUMIFS(NewEmisData!H:H, NewEmisData!$A:$A, "LDV", NewEmisData!$B:$B, $A56, NewEmisData!$C:$C, $H56, NewEmisData!$D:$D, BB$2))</f>
        <v>8.4275847239737908E-3</v>
      </c>
      <c r="BC56" s="324">
        <f>$I56*IF($G56="Pickup", SUMIFS(NewEmisData!I:I, NewEmisData!$A:$A, "Pickup", NewEmisData!$B:$B, $A56, NewEmisData!$C:$C, $H56, NewEmisData!$D:$D, BC$2), SUMIFS(NewEmisData!I:I, NewEmisData!$A:$A, "LDV", NewEmisData!$B:$B, $A56, NewEmisData!$C:$C, $H56, NewEmisData!$D:$D, BC$2))</f>
        <v>8.3714032789610707E-3</v>
      </c>
      <c r="BD56" s="324">
        <f>$I56*IF($G56="Pickup", SUMIFS(NewEmisData!J:J, NewEmisData!$A:$A, "Pickup", NewEmisData!$B:$B, $A56, NewEmisData!$C:$C, $H56, NewEmisData!$D:$D, BD$2), SUMIFS(NewEmisData!J:J, NewEmisData!$A:$A, "LDV", NewEmisData!$B:$B, $A56, NewEmisData!$C:$C, $H56, NewEmisData!$D:$D, BD$2))</f>
        <v>8.3451695612363607E-3</v>
      </c>
      <c r="BE56" s="324">
        <f>$I56*IF($G56="Pickup", SUMIFS(NewEmisData!K:K, NewEmisData!$A:$A, "Pickup", NewEmisData!$B:$B, $A56, NewEmisData!$C:$C, $H56, NewEmisData!$D:$D, BE$2), SUMIFS(NewEmisData!K:K, NewEmisData!$A:$A, "LDV", NewEmisData!$B:$B, $A56, NewEmisData!$C:$C, $H56, NewEmisData!$D:$D, BE$2))</f>
        <v>8.2207090340707199E-3</v>
      </c>
      <c r="BF56" s="324">
        <f>$I56*IF($G56="Pickup", SUMIFS(NewEmisData!L:L, NewEmisData!$A:$A, "Pickup", NewEmisData!$B:$B, $A56, NewEmisData!$C:$C, $H56, NewEmisData!$D:$D, BF$2), SUMIFS(NewEmisData!L:L, NewEmisData!$A:$A, "LDV", NewEmisData!$B:$B, $A56, NewEmisData!$C:$C, $H56, NewEmisData!$D:$D, BF$2))</f>
        <v>8.1121785136203401E-3</v>
      </c>
      <c r="BG56" s="324">
        <f>$I56*IF($G56="Pickup", SUMIFS(NewEmisData!M:M, NewEmisData!$A:$A, "Pickup", NewEmisData!$B:$B, $A56, NewEmisData!$C:$C, $H56, NewEmisData!$D:$D, BG$2), SUMIFS(NewEmisData!M:M, NewEmisData!$A:$A, "LDV", NewEmisData!$B:$B, $A56, NewEmisData!$C:$C, $H56, NewEmisData!$D:$D, BG$2))</f>
        <v>8.1060201670228992E-3</v>
      </c>
      <c r="BH56" s="324">
        <f t="shared" si="9"/>
        <v>8.1060201670228992E-3</v>
      </c>
      <c r="BI56" s="324">
        <f>$I56*IF($G56="Pickup", SUMIFS(NewEmisData!E:E, NewEmisData!$A:$A, "Pickup", NewEmisData!$B:$B, $A56, NewEmisData!$C:$C, $H56, NewEmisData!$D:$D, BI$2), SUMIFS(NewEmisData!E:E, NewEmisData!$A:$A, "LDV", NewEmisData!$B:$B, $A56, NewEmisData!$C:$C, $H56, NewEmisData!$D:$D, BI$2))</f>
        <v>1.1106141710219199</v>
      </c>
      <c r="BJ56" s="324">
        <f>$I56*IF($G56="Pickup", SUMIFS(NewEmisData!F:F, NewEmisData!$A:$A, "Pickup", NewEmisData!$B:$B, $A56, NewEmisData!$C:$C, $H56, NewEmisData!$D:$D, BJ$2), SUMIFS(NewEmisData!F:F, NewEmisData!$A:$A, "LDV", NewEmisData!$B:$B, $A56, NewEmisData!$C:$C, $H56, NewEmisData!$D:$D, BJ$2))</f>
        <v>0.92630032120899797</v>
      </c>
      <c r="BK56" s="324">
        <f>$I56*IF($G56="Pickup", SUMIFS(NewEmisData!G:G, NewEmisData!$A:$A, "Pickup", NewEmisData!$B:$B, $A56, NewEmisData!$C:$C, $H56, NewEmisData!$D:$D, BK$2), SUMIFS(NewEmisData!G:G, NewEmisData!$A:$A, "LDV", NewEmisData!$B:$B, $A56, NewEmisData!$C:$C, $H56, NewEmisData!$D:$D, BK$2))</f>
        <v>0.70836745128844603</v>
      </c>
      <c r="BL56" s="324">
        <f>$I56*IF($G56="Pickup", SUMIFS(NewEmisData!H:H, NewEmisData!$A:$A, "Pickup", NewEmisData!$B:$B, $A56, NewEmisData!$C:$C, $H56, NewEmisData!$D:$D, BL$2), SUMIFS(NewEmisData!H:H, NewEmisData!$A:$A, "LDV", NewEmisData!$B:$B, $A56, NewEmisData!$C:$C, $H56, NewEmisData!$D:$D, BL$2))</f>
        <v>0.76035132822019802</v>
      </c>
      <c r="BM56" s="324">
        <f>$I56*IF($G56="Pickup", SUMIFS(NewEmisData!I:I, NewEmisData!$A:$A, "Pickup", NewEmisData!$B:$B, $A56, NewEmisData!$C:$C, $H56, NewEmisData!$D:$D, BM$2), SUMIFS(NewEmisData!I:I, NewEmisData!$A:$A, "LDV", NewEmisData!$B:$B, $A56, NewEmisData!$C:$C, $H56, NewEmisData!$D:$D, BM$2))</f>
        <v>0.83318246308080801</v>
      </c>
      <c r="BN56" s="324">
        <f>$I56*IF($G56="Pickup", SUMIFS(NewEmisData!J:J, NewEmisData!$A:$A, "Pickup", NewEmisData!$B:$B, $A56, NewEmisData!$C:$C, $H56, NewEmisData!$D:$D, BN$2), SUMIFS(NewEmisData!J:J, NewEmisData!$A:$A, "LDV", NewEmisData!$B:$B, $A56, NewEmisData!$C:$C, $H56, NewEmisData!$D:$D, BN$2))</f>
        <v>0.86711380928999104</v>
      </c>
      <c r="BO56" s="324">
        <f>$I56*IF($G56="Pickup", SUMIFS(NewEmisData!K:K, NewEmisData!$A:$A, "Pickup", NewEmisData!$B:$B, $A56, NewEmisData!$C:$C, $H56, NewEmisData!$D:$D, BO$2), SUMIFS(NewEmisData!K:K, NewEmisData!$A:$A, "LDV", NewEmisData!$B:$B, $A56, NewEmisData!$C:$C, $H56, NewEmisData!$D:$D, BO$2))</f>
        <v>0.85197482629105803</v>
      </c>
      <c r="BP56" s="324">
        <f>$I56*IF($G56="Pickup", SUMIFS(NewEmisData!L:L, NewEmisData!$A:$A, "Pickup", NewEmisData!$B:$B, $A56, NewEmisData!$C:$C, $H56, NewEmisData!$D:$D, BP$2), SUMIFS(NewEmisData!L:L, NewEmisData!$A:$A, "LDV", NewEmisData!$B:$B, $A56, NewEmisData!$C:$C, $H56, NewEmisData!$D:$D, BP$2))</f>
        <v>0.84004828138755605</v>
      </c>
      <c r="BQ56" s="324">
        <f>$I56*IF($G56="Pickup", SUMIFS(NewEmisData!M:M, NewEmisData!$A:$A, "Pickup", NewEmisData!$B:$B, $A56, NewEmisData!$C:$C, $H56, NewEmisData!$D:$D, BQ$2), SUMIFS(NewEmisData!M:M, NewEmisData!$A:$A, "LDV", NewEmisData!$B:$B, $A56, NewEmisData!$C:$C, $H56, NewEmisData!$D:$D, BQ$2))</f>
        <v>0.84951701993338402</v>
      </c>
      <c r="BR56" s="324">
        <f t="shared" si="10"/>
        <v>0.84951701993338402</v>
      </c>
      <c r="BS56" s="324">
        <f>$I56*IF($G56="Pickup", SUMIFS(NewEmisData!E:E, NewEmisData!$A:$A, "Pickup", NewEmisData!$B:$B, $A56, NewEmisData!$C:$C, $H56, NewEmisData!$D:$D, BS$2), SUMIFS(NewEmisData!E:E, NewEmisData!$A:$A, "LDV", NewEmisData!$B:$B, $A56, NewEmisData!$C:$C, $H56, NewEmisData!$D:$D, BS$2))</f>
        <v>0.108307993552558</v>
      </c>
      <c r="BT56" s="324">
        <f>$I56*IF($G56="Pickup", SUMIFS(NewEmisData!F:F, NewEmisData!$A:$A, "Pickup", NewEmisData!$B:$B, $A56, NewEmisData!$C:$C, $H56, NewEmisData!$D:$D, BT$2), SUMIFS(NewEmisData!F:F, NewEmisData!$A:$A, "LDV", NewEmisData!$B:$B, $A56, NewEmisData!$C:$C, $H56, NewEmisData!$D:$D, BT$2))</f>
        <v>0.103525288595275</v>
      </c>
      <c r="BU56" s="324">
        <f>$I56*IF($G56="Pickup", SUMIFS(NewEmisData!G:G, NewEmisData!$A:$A, "Pickup", NewEmisData!$B:$B, $A56, NewEmisData!$C:$C, $H56, NewEmisData!$D:$D, BU$2), SUMIFS(NewEmisData!G:G, NewEmisData!$A:$A, "LDV", NewEmisData!$B:$B, $A56, NewEmisData!$C:$C, $H56, NewEmisData!$D:$D, BU$2))</f>
        <v>8.0340497381977904E-2</v>
      </c>
      <c r="BV56" s="324">
        <f>$I56*IF($G56="Pickup", SUMIFS(NewEmisData!H:H, NewEmisData!$A:$A, "Pickup", NewEmisData!$B:$B, $A56, NewEmisData!$C:$C, $H56, NewEmisData!$D:$D, BV$2), SUMIFS(NewEmisData!H:H, NewEmisData!$A:$A, "LDV", NewEmisData!$B:$B, $A56, NewEmisData!$C:$C, $H56, NewEmisData!$D:$D, BV$2))</f>
        <v>7.5743596158134405E-2</v>
      </c>
      <c r="BW56" s="324">
        <f>$I56*IF($G56="Pickup", SUMIFS(NewEmisData!I:I, NewEmisData!$A:$A, "Pickup", NewEmisData!$B:$B, $A56, NewEmisData!$C:$C, $H56, NewEmisData!$D:$D, BW$2), SUMIFS(NewEmisData!I:I, NewEmisData!$A:$A, "LDV", NewEmisData!$B:$B, $A56, NewEmisData!$C:$C, $H56, NewEmisData!$D:$D, BW$2))</f>
        <v>8.8655261911971206E-2</v>
      </c>
      <c r="BX56" s="324">
        <f>$I56*IF($G56="Pickup", SUMIFS(NewEmisData!J:J, NewEmisData!$A:$A, "Pickup", NewEmisData!$B:$B, $A56, NewEmisData!$C:$C, $H56, NewEmisData!$D:$D, BX$2), SUMIFS(NewEmisData!J:J, NewEmisData!$A:$A, "LDV", NewEmisData!$B:$B, $A56, NewEmisData!$C:$C, $H56, NewEmisData!$D:$D, BX$2))</f>
        <v>0.10581706956195</v>
      </c>
      <c r="BY56" s="324">
        <f>$I56*IF($G56="Pickup", SUMIFS(NewEmisData!K:K, NewEmisData!$A:$A, "Pickup", NewEmisData!$B:$B, $A56, NewEmisData!$C:$C, $H56, NewEmisData!$D:$D, BY$2), SUMIFS(NewEmisData!K:K, NewEmisData!$A:$A, "LDV", NewEmisData!$B:$B, $A56, NewEmisData!$C:$C, $H56, NewEmisData!$D:$D, BY$2))</f>
        <v>0.118820433465155</v>
      </c>
      <c r="BZ56" s="324">
        <f>$I56*IF($G56="Pickup", SUMIFS(NewEmisData!L:L, NewEmisData!$A:$A, "Pickup", NewEmisData!$B:$B, $A56, NewEmisData!$C:$C, $H56, NewEmisData!$D:$D, BZ$2), SUMIFS(NewEmisData!L:L, NewEmisData!$A:$A, "LDV", NewEmisData!$B:$B, $A56, NewEmisData!$C:$C, $H56, NewEmisData!$D:$D, BZ$2))</f>
        <v>0.123526134201004</v>
      </c>
      <c r="CA56" s="324">
        <f>$I56*IF($G56="Pickup", SUMIFS(NewEmisData!M:M, NewEmisData!$A:$A, "Pickup", NewEmisData!$B:$B, $A56, NewEmisData!$C:$C, $H56, NewEmisData!$D:$D, CA$2), SUMIFS(NewEmisData!M:M, NewEmisData!$A:$A, "LDV", NewEmisData!$B:$B, $A56, NewEmisData!$C:$C, $H56, NewEmisData!$D:$D, CA$2))</f>
        <v>0.13283469100223899</v>
      </c>
      <c r="CB56" s="324">
        <f t="shared" si="11"/>
        <v>0.13283469100223899</v>
      </c>
      <c r="CC56" s="324">
        <f>$I56*IF($G56="Pickup", SUMIFS(NewEmisData!E:E, NewEmisData!$A:$A, "Pickup", NewEmisData!$B:$B, $A56, NewEmisData!$C:$C, $H56, NewEmisData!$D:$D, CC$2), SUMIFS(NewEmisData!E:E, NewEmisData!$A:$A, "LDV", NewEmisData!$B:$B, $A56, NewEmisData!$C:$C, $H56, NewEmisData!$D:$D, CC$2))</f>
        <v>1.8079570898517701E-2</v>
      </c>
      <c r="CD56" s="324">
        <f>$I56*IF($G56="Pickup", SUMIFS(NewEmisData!F:F, NewEmisData!$A:$A, "Pickup", NewEmisData!$B:$B, $A56, NewEmisData!$C:$C, $H56, NewEmisData!$D:$D, CD$2), SUMIFS(NewEmisData!F:F, NewEmisData!$A:$A, "LDV", NewEmisData!$B:$B, $A56, NewEmisData!$C:$C, $H56, NewEmisData!$D:$D, CD$2))</f>
        <v>1.8079636999697599E-2</v>
      </c>
      <c r="CE56" s="324">
        <f>$I56*IF($G56="Pickup", SUMIFS(NewEmisData!G:G, NewEmisData!$A:$A, "Pickup", NewEmisData!$B:$B, $A56, NewEmisData!$C:$C, $H56, NewEmisData!$D:$D, CE$2), SUMIFS(NewEmisData!G:G, NewEmisData!$A:$A, "LDV", NewEmisData!$B:$B, $A56, NewEmisData!$C:$C, $H56, NewEmisData!$D:$D, CE$2))</f>
        <v>1.9655113558621502E-2</v>
      </c>
      <c r="CF56" s="324">
        <f>$I56*IF($G56="Pickup", SUMIFS(NewEmisData!H:H, NewEmisData!$A:$A, "Pickup", NewEmisData!$B:$B, $A56, NewEmisData!$C:$C, $H56, NewEmisData!$D:$D, CF$2), SUMIFS(NewEmisData!H:H, NewEmisData!$A:$A, "LDV", NewEmisData!$B:$B, $A56, NewEmisData!$C:$C, $H56, NewEmisData!$D:$D, CF$2))</f>
        <v>2.0254758568530099E-2</v>
      </c>
      <c r="CG56" s="324">
        <f>$I56*IF($G56="Pickup", SUMIFS(NewEmisData!I:I, NewEmisData!$A:$A, "Pickup", NewEmisData!$B:$B, $A56, NewEmisData!$C:$C, $H56, NewEmisData!$D:$D, CG$2), SUMIFS(NewEmisData!I:I, NewEmisData!$A:$A, "LDV", NewEmisData!$B:$B, $A56, NewEmisData!$C:$C, $H56, NewEmisData!$D:$D, CG$2))</f>
        <v>2.1970309015692E-2</v>
      </c>
      <c r="CH56" s="324">
        <f>$I56*IF($G56="Pickup", SUMIFS(NewEmisData!J:J, NewEmisData!$A:$A, "Pickup", NewEmisData!$B:$B, $A56, NewEmisData!$C:$C, $H56, NewEmisData!$D:$D, CH$2), SUMIFS(NewEmisData!J:J, NewEmisData!$A:$A, "LDV", NewEmisData!$B:$B, $A56, NewEmisData!$C:$C, $H56, NewEmisData!$D:$D, CH$2))</f>
        <v>2.2946274997103E-2</v>
      </c>
      <c r="CI56" s="324">
        <f>$I56*IF($G56="Pickup", SUMIFS(NewEmisData!K:K, NewEmisData!$A:$A, "Pickup", NewEmisData!$B:$B, $A56, NewEmisData!$C:$C, $H56, NewEmisData!$D:$D, CI$2), SUMIFS(NewEmisData!K:K, NewEmisData!$A:$A, "LDV", NewEmisData!$B:$B, $A56, NewEmisData!$C:$C, $H56, NewEmisData!$D:$D, CI$2))</f>
        <v>2.3263234119917701E-2</v>
      </c>
      <c r="CJ56" s="324">
        <f>$I56*IF($G56="Pickup", SUMIFS(NewEmisData!L:L, NewEmisData!$A:$A, "Pickup", NewEmisData!$B:$B, $A56, NewEmisData!$C:$C, $H56, NewEmisData!$D:$D, CJ$2), SUMIFS(NewEmisData!L:L, NewEmisData!$A:$A, "LDV", NewEmisData!$B:$B, $A56, NewEmisData!$C:$C, $H56, NewEmisData!$D:$D, CJ$2))</f>
        <v>2.3326088366215001E-2</v>
      </c>
      <c r="CK56" s="324">
        <f>$I56*IF($G56="Pickup", SUMIFS(NewEmisData!M:M, NewEmisData!$A:$A, "Pickup", NewEmisData!$B:$B, $A56, NewEmisData!$C:$C, $H56, NewEmisData!$D:$D, CK$2), SUMIFS(NewEmisData!M:M, NewEmisData!$A:$A, "LDV", NewEmisData!$B:$B, $A56, NewEmisData!$C:$C, $H56, NewEmisData!$D:$D, CK$2))</f>
        <v>2.33575885977713E-2</v>
      </c>
      <c r="CL56" s="324">
        <f t="shared" si="12"/>
        <v>2.33575885977713E-2</v>
      </c>
      <c r="CM56" s="324">
        <f>$I56*IF($G56="Pickup", SUMIFS(NewEmisData!E:E, NewEmisData!$A:$A, "Pickup", NewEmisData!$B:$B, $A56, NewEmisData!$C:$C, $H56, NewEmisData!$D:$D, CM$2), SUMIFS(NewEmisData!E:E, NewEmisData!$A:$A, "LDV", NewEmisData!$B:$B, $A56, NewEmisData!$C:$C, $H56, NewEmisData!$D:$D, CM$2))</f>
        <v>4.9899929081567004E-3</v>
      </c>
      <c r="CN56" s="324">
        <f>$I56*IF($G56="Pickup", SUMIFS(NewEmisData!F:F, NewEmisData!$A:$A, "Pickup", NewEmisData!$B:$B, $A56, NewEmisData!$C:$C, $H56, NewEmisData!$D:$D, CN$2), SUMIFS(NewEmisData!F:F, NewEmisData!$A:$A, "LDV", NewEmisData!$B:$B, $A56, NewEmisData!$C:$C, $H56, NewEmisData!$D:$D, CN$2))</f>
        <v>5.1404683892156402E-3</v>
      </c>
      <c r="CO56" s="324">
        <f>$I56*IF($G56="Pickup", SUMIFS(NewEmisData!G:G, NewEmisData!$A:$A, "Pickup", NewEmisData!$B:$B, $A56, NewEmisData!$C:$C, $H56, NewEmisData!$D:$D, CO$2), SUMIFS(NewEmisData!G:G, NewEmisData!$A:$A, "LDV", NewEmisData!$B:$B, $A56, NewEmisData!$C:$C, $H56, NewEmisData!$D:$D, CO$2))</f>
        <v>5.4300814679314304E-3</v>
      </c>
      <c r="CP56" s="324">
        <f>$I56*IF($G56="Pickup", SUMIFS(NewEmisData!H:H, NewEmisData!$A:$A, "Pickup", NewEmisData!$B:$B, $A56, NewEmisData!$C:$C, $H56, NewEmisData!$D:$D, CP$2), SUMIFS(NewEmisData!H:H, NewEmisData!$A:$A, "LDV", NewEmisData!$B:$B, $A56, NewEmisData!$C:$C, $H56, NewEmisData!$D:$D, CP$2))</f>
        <v>5.56595165298921E-3</v>
      </c>
      <c r="CQ56" s="324">
        <f>$I56*IF($G56="Pickup", SUMIFS(NewEmisData!I:I, NewEmisData!$A:$A, "Pickup", NewEmisData!$B:$B, $A56, NewEmisData!$C:$C, $H56, NewEmisData!$D:$D, CQ$2), SUMIFS(NewEmisData!I:I, NewEmisData!$A:$A, "LDV", NewEmisData!$B:$B, $A56, NewEmisData!$C:$C, $H56, NewEmisData!$D:$D, CQ$2))</f>
        <v>5.7688384740272897E-3</v>
      </c>
      <c r="CR56" s="324">
        <f>$I56*IF($G56="Pickup", SUMIFS(NewEmisData!J:J, NewEmisData!$A:$A, "Pickup", NewEmisData!$B:$B, $A56, NewEmisData!$C:$C, $H56, NewEmisData!$D:$D, CR$2), SUMIFS(NewEmisData!J:J, NewEmisData!$A:$A, "LDV", NewEmisData!$B:$B, $A56, NewEmisData!$C:$C, $H56, NewEmisData!$D:$D, CR$2))</f>
        <v>5.9680796124647701E-3</v>
      </c>
      <c r="CS56" s="324">
        <f>$I56*IF($G56="Pickup", SUMIFS(NewEmisData!K:K, NewEmisData!$A:$A, "Pickup", NewEmisData!$B:$B, $A56, NewEmisData!$C:$C, $H56, NewEmisData!$D:$D, CS$2), SUMIFS(NewEmisData!K:K, NewEmisData!$A:$A, "LDV", NewEmisData!$B:$B, $A56, NewEmisData!$C:$C, $H56, NewEmisData!$D:$D, CS$2))</f>
        <v>6.0727800338873598E-3</v>
      </c>
      <c r="CT56" s="324">
        <f>$I56*IF($G56="Pickup", SUMIFS(NewEmisData!L:L, NewEmisData!$A:$A, "Pickup", NewEmisData!$B:$B, $A56, NewEmisData!$C:$C, $H56, NewEmisData!$D:$D, CT$2), SUMIFS(NewEmisData!L:L, NewEmisData!$A:$A, "LDV", NewEmisData!$B:$B, $A56, NewEmisData!$C:$C, $H56, NewEmisData!$D:$D, CT$2))</f>
        <v>6.1079950582028798E-3</v>
      </c>
      <c r="CU56" s="324">
        <f>$I56*IF($G56="Pickup", SUMIFS(NewEmisData!M:M, NewEmisData!$A:$A, "Pickup", NewEmisData!$B:$B, $A56, NewEmisData!$C:$C, $H56, NewEmisData!$D:$D, CU$2), SUMIFS(NewEmisData!M:M, NewEmisData!$A:$A, "LDV", NewEmisData!$B:$B, $A56, NewEmisData!$C:$C, $H56, NewEmisData!$D:$D, CU$2))</f>
        <v>6.1537553281445197E-3</v>
      </c>
      <c r="CV56" s="324">
        <f t="shared" si="13"/>
        <v>6.1537553281445197E-3</v>
      </c>
      <c r="CW56" s="324">
        <v>2.3565166490963768E-3</v>
      </c>
      <c r="CX56" s="324">
        <v>1.9673319546263789E-3</v>
      </c>
      <c r="CY56" s="324">
        <v>1.6026857138538807E-3</v>
      </c>
      <c r="CZ56" s="324">
        <v>1.3411753569780424E-3</v>
      </c>
      <c r="DA56" s="324">
        <v>1.0123523956178946E-3</v>
      </c>
      <c r="DB56" s="324">
        <v>7.9852111520206551E-4</v>
      </c>
      <c r="DC56" s="324">
        <v>7.6707942200167378E-4</v>
      </c>
      <c r="DD56" s="324">
        <v>7.5828050366392866E-4</v>
      </c>
      <c r="DE56" s="324">
        <v>7.5710079606015706E-4</v>
      </c>
      <c r="DF56" s="324">
        <v>7.5710079606015706E-4</v>
      </c>
      <c r="DG56" s="324">
        <f>$I56*IF($G56="Pickup", SUMIFS(NewEmisData!E:E, NewEmisData!$A:$A, "Pickup", NewEmisData!$B:$B, $A56, NewEmisData!$C:$C, $H56, NewEmisData!$D:$D, DG$2), SUMIFS(NewEmisData!E:E, NewEmisData!$A:$A, "LDV", NewEmisData!$B:$B, $A56, NewEmisData!$C:$C, $H56, NewEmisData!$D:$D, DG$2))</f>
        <v>0</v>
      </c>
      <c r="DH56" s="324">
        <f>$I56*IF($G56="Pickup", SUMIFS(NewEmisData!F:F, NewEmisData!$A:$A, "Pickup", NewEmisData!$B:$B, $A56, NewEmisData!$C:$C, $H56, NewEmisData!$D:$D, DH$2), SUMIFS(NewEmisData!F:F, NewEmisData!$A:$A, "LDV", NewEmisData!$B:$B, $A56, NewEmisData!$C:$C, $H56, NewEmisData!$D:$D, DH$2))</f>
        <v>0</v>
      </c>
      <c r="DI56" s="324">
        <f>$I56*IF($G56="Pickup", SUMIFS(NewEmisData!G:G, NewEmisData!$A:$A, "Pickup", NewEmisData!$B:$B, $A56, NewEmisData!$C:$C, $H56, NewEmisData!$D:$D, DI$2), SUMIFS(NewEmisData!G:G, NewEmisData!$A:$A, "LDV", NewEmisData!$B:$B, $A56, NewEmisData!$C:$C, $H56, NewEmisData!$D:$D, DI$2))</f>
        <v>0</v>
      </c>
      <c r="DJ56" s="324">
        <f>$I56*IF($G56="Pickup", SUMIFS(NewEmisData!H:H, NewEmisData!$A:$A, "Pickup", NewEmisData!$B:$B, $A56, NewEmisData!$C:$C, $H56, NewEmisData!$D:$D, DJ$2), SUMIFS(NewEmisData!H:H, NewEmisData!$A:$A, "LDV", NewEmisData!$B:$B, $A56, NewEmisData!$C:$C, $H56, NewEmisData!$D:$D, DJ$2))</f>
        <v>0</v>
      </c>
      <c r="DK56" s="324">
        <f>$I56*IF($G56="Pickup", SUMIFS(NewEmisData!I:I, NewEmisData!$A:$A, "Pickup", NewEmisData!$B:$B, $A56, NewEmisData!$C:$C, $H56, NewEmisData!$D:$D, DK$2), SUMIFS(NewEmisData!I:I, NewEmisData!$A:$A, "LDV", NewEmisData!$B:$B, $A56, NewEmisData!$C:$C, $H56, NewEmisData!$D:$D, DK$2))</f>
        <v>0</v>
      </c>
      <c r="DL56" s="324">
        <f>$I56*IF($G56="Pickup", SUMIFS(NewEmisData!J:J, NewEmisData!$A:$A, "Pickup", NewEmisData!$B:$B, $A56, NewEmisData!$C:$C, $H56, NewEmisData!$D:$D, DL$2), SUMIFS(NewEmisData!J:J, NewEmisData!$A:$A, "LDV", NewEmisData!$B:$B, $A56, NewEmisData!$C:$C, $H56, NewEmisData!$D:$D, DL$2))</f>
        <v>0</v>
      </c>
      <c r="DM56" s="324">
        <f>$I56*IF($G56="Pickup", SUMIFS(NewEmisData!K:K, NewEmisData!$A:$A, "Pickup", NewEmisData!$B:$B, $A56, NewEmisData!$C:$C, $H56, NewEmisData!$D:$D, DM$2), SUMIFS(NewEmisData!K:K, NewEmisData!$A:$A, "LDV", NewEmisData!$B:$B, $A56, NewEmisData!$C:$C, $H56, NewEmisData!$D:$D, DM$2))</f>
        <v>0</v>
      </c>
      <c r="DN56" s="324">
        <f>$I56*IF($G56="Pickup", SUMIFS(NewEmisData!L:L, NewEmisData!$A:$A, "Pickup", NewEmisData!$B:$B, $A56, NewEmisData!$C:$C, $H56, NewEmisData!$D:$D, DN$2), SUMIFS(NewEmisData!L:L, NewEmisData!$A:$A, "LDV", NewEmisData!$B:$B, $A56, NewEmisData!$C:$C, $H56, NewEmisData!$D:$D, DN$2))</f>
        <v>0</v>
      </c>
      <c r="DO56" s="324">
        <f>$I56*IF($G56="Pickup", SUMIFS(NewEmisData!M:M, NewEmisData!$A:$A, "Pickup", NewEmisData!$B:$B, $A56, NewEmisData!$C:$C, $H56, NewEmisData!$D:$D, DO$2), SUMIFS(NewEmisData!M:M, NewEmisData!$A:$A, "LDV", NewEmisData!$B:$B, $A56, NewEmisData!$C:$C, $H56, NewEmisData!$D:$D, DO$2))</f>
        <v>0</v>
      </c>
      <c r="DP56" s="324">
        <f t="shared" si="14"/>
        <v>0</v>
      </c>
      <c r="DQ56" s="324">
        <f>$I56*IF($G56="Pickup", SUMIFS(NewEmisData!E:E, NewEmisData!$A:$A, "Pickup", NewEmisData!$B:$B, $A56, NewEmisData!$C:$C, $H56, NewEmisData!$D:$D, DQ$2), SUMIFS(NewEmisData!E:E, NewEmisData!$A:$A, "LDV", NewEmisData!$B:$B, $A56, NewEmisData!$C:$C, $H56, NewEmisData!$D:$D, DQ$2))</f>
        <v>1.6116881071256101E-2</v>
      </c>
      <c r="DR56" s="324">
        <f>$I56*IF($G56="Pickup", SUMIFS(NewEmisData!F:F, NewEmisData!$A:$A, "Pickup", NewEmisData!$B:$B, $A56, NewEmisData!$C:$C, $H56, NewEmisData!$D:$D, DR$2), SUMIFS(NewEmisData!F:F, NewEmisData!$A:$A, "LDV", NewEmisData!$B:$B, $A56, NewEmisData!$C:$C, $H56, NewEmisData!$D:$D, DR$2))</f>
        <v>1.35414212486473E-2</v>
      </c>
      <c r="DS56" s="324">
        <f>$I56*IF($G56="Pickup", SUMIFS(NewEmisData!G:G, NewEmisData!$A:$A, "Pickup", NewEmisData!$B:$B, $A56, NewEmisData!$C:$C, $H56, NewEmisData!$D:$D, DS$2), SUMIFS(NewEmisData!G:G, NewEmisData!$A:$A, "LDV", NewEmisData!$B:$B, $A56, NewEmisData!$C:$C, $H56, NewEmisData!$D:$D, DS$2))</f>
        <v>1.1491928516569799E-2</v>
      </c>
      <c r="DT56" s="324">
        <f>$I56*IF($G56="Pickup", SUMIFS(NewEmisData!H:H, NewEmisData!$A:$A, "Pickup", NewEmisData!$B:$B, $A56, NewEmisData!$C:$C, $H56, NewEmisData!$D:$D, DT$2), SUMIFS(NewEmisData!H:H, NewEmisData!$A:$A, "LDV", NewEmisData!$B:$B, $A56, NewEmisData!$C:$C, $H56, NewEmisData!$D:$D, DT$2))</f>
        <v>8.5314259330267692E-3</v>
      </c>
      <c r="DU56" s="324">
        <f>$I56*IF($G56="Pickup", SUMIFS(NewEmisData!I:I, NewEmisData!$A:$A, "Pickup", NewEmisData!$B:$B, $A56, NewEmisData!$C:$C, $H56, NewEmisData!$D:$D, DU$2), SUMIFS(NewEmisData!I:I, NewEmisData!$A:$A, "LDV", NewEmisData!$B:$B, $A56, NewEmisData!$C:$C, $H56, NewEmisData!$D:$D, DU$2))</f>
        <v>7.2620321039548897E-3</v>
      </c>
      <c r="DV56" s="324">
        <f>$I56*IF($G56="Pickup", SUMIFS(NewEmisData!J:J, NewEmisData!$A:$A, "Pickup", NewEmisData!$B:$B, $A56, NewEmisData!$C:$C, $H56, NewEmisData!$D:$D, DV$2), SUMIFS(NewEmisData!J:J, NewEmisData!$A:$A, "LDV", NewEmisData!$B:$B, $A56, NewEmisData!$C:$C, $H56, NewEmisData!$D:$D, DV$2))</f>
        <v>6.7394080571002201E-3</v>
      </c>
      <c r="DW56" s="324">
        <f>$I56*IF($G56="Pickup", SUMIFS(NewEmisData!K:K, NewEmisData!$A:$A, "Pickup", NewEmisData!$B:$B, $A56, NewEmisData!$C:$C, $H56, NewEmisData!$D:$D, DW$2), SUMIFS(NewEmisData!K:K, NewEmisData!$A:$A, "LDV", NewEmisData!$B:$B, $A56, NewEmisData!$C:$C, $H56, NewEmisData!$D:$D, DW$2))</f>
        <v>6.4494195705351899E-3</v>
      </c>
      <c r="DX56" s="324">
        <f>$I56*IF($G56="Pickup", SUMIFS(NewEmisData!L:L, NewEmisData!$A:$A, "Pickup", NewEmisData!$B:$B, $A56, NewEmisData!$C:$C, $H56, NewEmisData!$D:$D, DX$2), SUMIFS(NewEmisData!L:L, NewEmisData!$A:$A, "LDV", NewEmisData!$B:$B, $A56, NewEmisData!$C:$C, $H56, NewEmisData!$D:$D, DX$2))</f>
        <v>6.3649236127540001E-3</v>
      </c>
      <c r="DY56" s="324">
        <f>$I56*IF($G56="Pickup", SUMIFS(NewEmisData!M:M, NewEmisData!$A:$A, "Pickup", NewEmisData!$B:$B, $A56, NewEmisData!$C:$C, $H56, NewEmisData!$D:$D, DY$2), SUMIFS(NewEmisData!M:M, NewEmisData!$A:$A, "LDV", NewEmisData!$B:$B, $A56, NewEmisData!$C:$C, $H56, NewEmisData!$D:$D, DY$2))</f>
        <v>6.3855265963559203E-3</v>
      </c>
      <c r="DZ56" s="324">
        <f t="shared" si="15"/>
        <v>6.3855265963559203E-3</v>
      </c>
      <c r="EA56" s="324">
        <f t="shared" si="16"/>
        <v>394.83751183448101</v>
      </c>
      <c r="EB56" s="324">
        <f t="shared" si="17"/>
        <v>382.24571125104399</v>
      </c>
      <c r="EC56" s="324">
        <f t="shared" si="18"/>
        <v>311.20898804842699</v>
      </c>
      <c r="ED56" s="324">
        <f t="shared" si="19"/>
        <v>272.03741746452602</v>
      </c>
      <c r="EE56" s="324">
        <f t="shared" si="20"/>
        <v>256.63322215887302</v>
      </c>
      <c r="EF56" s="324">
        <f t="shared" si="21"/>
        <v>249.47351911251101</v>
      </c>
      <c r="EG56" s="324">
        <f t="shared" si="22"/>
        <v>243.947047715764</v>
      </c>
      <c r="EH56" s="324">
        <f t="shared" si="23"/>
        <v>242.03087756441701</v>
      </c>
      <c r="EI56" s="324">
        <f t="shared" si="24"/>
        <v>242.21948488777301</v>
      </c>
      <c r="EJ56" s="324">
        <f t="shared" si="25"/>
        <v>242.21948488777301</v>
      </c>
      <c r="EK56" s="324">
        <f t="shared" si="26"/>
        <v>4.1722988994872201E-2</v>
      </c>
      <c r="EL56" s="324">
        <f t="shared" si="27"/>
        <v>3.46409702122705E-2</v>
      </c>
      <c r="EM56" s="324">
        <f t="shared" si="28"/>
        <v>3.2406542165289903E-2</v>
      </c>
      <c r="EN56" s="324">
        <f t="shared" si="29"/>
        <v>3.0987315768082901E-2</v>
      </c>
      <c r="EO56" s="324">
        <f t="shared" si="30"/>
        <v>3.42812868295745E-2</v>
      </c>
      <c r="EP56" s="324">
        <f t="shared" si="31"/>
        <v>3.5241041104630097E-2</v>
      </c>
      <c r="EQ56" s="324">
        <f t="shared" si="32"/>
        <v>3.4104926459791303E-2</v>
      </c>
      <c r="ER56" s="324">
        <f t="shared" si="33"/>
        <v>3.3427882317031102E-2</v>
      </c>
      <c r="ES56" s="324">
        <f t="shared" si="34"/>
        <v>3.3891475717267E-2</v>
      </c>
      <c r="ET56" s="324">
        <f t="shared" si="35"/>
        <v>3.3891475717267E-2</v>
      </c>
      <c r="EU56" s="324">
        <f t="shared" si="36"/>
        <v>4.18045875613407E-3</v>
      </c>
      <c r="EV56" s="324">
        <f t="shared" si="37"/>
        <v>4.0471378457488504E-3</v>
      </c>
      <c r="EW56" s="324">
        <f t="shared" si="38"/>
        <v>2.3963740356682502E-3</v>
      </c>
      <c r="EX56" s="324">
        <f t="shared" si="39"/>
        <v>2.0947461612804202E-3</v>
      </c>
      <c r="EY56" s="324">
        <f t="shared" si="40"/>
        <v>1.9761294738190999E-3</v>
      </c>
      <c r="EZ56" s="324">
        <f t="shared" si="41"/>
        <v>1.9209993079262E-3</v>
      </c>
      <c r="FA56" s="324">
        <f t="shared" si="42"/>
        <v>1.8784446265214399E-3</v>
      </c>
      <c r="FB56" s="324">
        <f t="shared" si="43"/>
        <v>1.8636889724050101E-3</v>
      </c>
      <c r="FC56" s="324">
        <f t="shared" si="44"/>
        <v>1.8651401165369901E-3</v>
      </c>
      <c r="FD56" s="324">
        <f t="shared" si="45"/>
        <v>1.8651401165369901E-3</v>
      </c>
      <c r="FE56" s="324">
        <f t="shared" si="46"/>
        <v>5.70149509117601E-2</v>
      </c>
      <c r="FF56" s="324">
        <f t="shared" si="47"/>
        <v>5.7021889138304603E-2</v>
      </c>
      <c r="FG56" s="324">
        <f t="shared" si="48"/>
        <v>5.7501606282491798E-2</v>
      </c>
      <c r="FH56" s="324">
        <f t="shared" si="49"/>
        <v>5.7272335517784601E-2</v>
      </c>
      <c r="FI56" s="324">
        <f t="shared" si="50"/>
        <v>5.7208750023327502E-2</v>
      </c>
      <c r="FJ56" s="324">
        <f t="shared" si="51"/>
        <v>5.7179082239302903E-2</v>
      </c>
      <c r="FK56" s="324">
        <f t="shared" si="52"/>
        <v>5.7038376882496397E-2</v>
      </c>
      <c r="FL56" s="324">
        <f t="shared" si="53"/>
        <v>5.6915696785157503E-2</v>
      </c>
      <c r="FM56" s="324">
        <f t="shared" si="54"/>
        <v>5.6908699033520103E-2</v>
      </c>
      <c r="FN56" s="324">
        <f t="shared" si="55"/>
        <v>5.6908699033520103E-2</v>
      </c>
      <c r="FO56" s="324">
        <f t="shared" si="56"/>
        <v>8.7560770343190295E-3</v>
      </c>
      <c r="FP56" s="324">
        <f t="shared" si="57"/>
        <v>8.7622036543780306E-3</v>
      </c>
      <c r="FQ56" s="324">
        <f t="shared" si="58"/>
        <v>8.6304265757909393E-3</v>
      </c>
      <c r="FR56" s="324">
        <f t="shared" si="59"/>
        <v>8.4275847239737908E-3</v>
      </c>
      <c r="FS56" s="324">
        <f t="shared" si="60"/>
        <v>8.3714032789610707E-3</v>
      </c>
      <c r="FT56" s="324">
        <f t="shared" si="61"/>
        <v>8.3451695612363607E-3</v>
      </c>
      <c r="FU56" s="324">
        <f t="shared" si="62"/>
        <v>8.2207090340707199E-3</v>
      </c>
      <c r="FV56" s="324">
        <f t="shared" si="63"/>
        <v>8.1121785136203401E-3</v>
      </c>
      <c r="FW56" s="324">
        <f t="shared" si="64"/>
        <v>8.1060201670228992E-3</v>
      </c>
      <c r="FX56" s="324">
        <f t="shared" si="65"/>
        <v>8.1060201670228992E-3</v>
      </c>
    </row>
    <row r="57" spans="1:180" x14ac:dyDescent="0.2">
      <c r="A57" s="298" t="str">
        <f>_xlfn.CONCAT(IF(LEFT(TRIM(A56),1)="*", "*R", "R"), 1+RIGHT(TRIM(A56),1))</f>
        <v>*R4</v>
      </c>
      <c r="B57" s="298" t="str">
        <f t="shared" si="112"/>
        <v>TLEETHX</v>
      </c>
      <c r="C57" s="298" t="str">
        <f t="shared" si="113"/>
        <v>TL.E85X.F.Existing fleet</v>
      </c>
      <c r="D57" s="294" t="str">
        <f t="shared" si="114"/>
        <v>bn-vmt, bn-vmt/a</v>
      </c>
      <c r="E57" s="294" t="str">
        <f t="shared" si="115"/>
        <v>TLE85X</v>
      </c>
      <c r="F57" s="294" t="str">
        <f t="shared" si="116"/>
        <v>TL</v>
      </c>
      <c r="G57" s="294" t="s">
        <v>476</v>
      </c>
      <c r="H57" s="294" t="s">
        <v>332</v>
      </c>
      <c r="I57" s="294">
        <v>1</v>
      </c>
      <c r="J57" s="308" t="str">
        <f t="shared" si="101"/>
        <v>Full size car-E85</v>
      </c>
      <c r="K57" s="324">
        <f>$I57*IF($G57="Pickup", SUMIFS(NewEmisData!E:E, NewEmisData!$A:$A, "Pickup", NewEmisData!$B:$B, $A57, NewEmisData!$C:$C, $H57, NewEmisData!$D:$D, K$2), SUMIFS(NewEmisData!E:E, NewEmisData!$A:$A, "LDV", NewEmisData!$B:$B, $A57, NewEmisData!$C:$C, $H57, NewEmisData!$D:$D, K$2))</f>
        <v>544.06140229978803</v>
      </c>
      <c r="L57" s="324">
        <f>$I57*IF($G57="Pickup", SUMIFS(NewEmisData!F:F, NewEmisData!$A:$A, "Pickup", NewEmisData!$B:$B, $A57, NewEmisData!$C:$C, $H57, NewEmisData!$D:$D, L$2), SUMIFS(NewEmisData!F:F, NewEmisData!$A:$A, "LDV", NewEmisData!$B:$B, $A57, NewEmisData!$C:$C, $H57, NewEmisData!$D:$D, L$2))</f>
        <v>523.413327777066</v>
      </c>
      <c r="M57" s="324">
        <f>$I57*IF($G57="Pickup", SUMIFS(NewEmisData!G:G, NewEmisData!$A:$A, "Pickup", NewEmisData!$B:$B, $A57, NewEmisData!$C:$C, $H57, NewEmisData!$D:$D, M$2), SUMIFS(NewEmisData!G:G, NewEmisData!$A:$A, "LDV", NewEmisData!$B:$B, $A57, NewEmisData!$C:$C, $H57, NewEmisData!$D:$D, M$2))</f>
        <v>357.99141886123999</v>
      </c>
      <c r="N57" s="324">
        <f>$I57*IF($G57="Pickup", SUMIFS(NewEmisData!H:H, NewEmisData!$A:$A, "Pickup", NewEmisData!$B:$B, $A57, NewEmisData!$C:$C, $H57, NewEmisData!$D:$D, N$2), SUMIFS(NewEmisData!H:H, NewEmisData!$A:$A, "LDV", NewEmisData!$B:$B, $A57, NewEmisData!$C:$C, $H57, NewEmisData!$D:$D, N$2))</f>
        <v>312.66678906093301</v>
      </c>
      <c r="O57" s="324">
        <f>$I57*IF($G57="Pickup", SUMIFS(NewEmisData!I:I, NewEmisData!$A:$A, "Pickup", NewEmisData!$B:$B, $A57, NewEmisData!$C:$C, $H57, NewEmisData!$D:$D, O$2), SUMIFS(NewEmisData!I:I, NewEmisData!$A:$A, "LDV", NewEmisData!$B:$B, $A57, NewEmisData!$C:$C, $H57, NewEmisData!$D:$D, O$2))</f>
        <v>294.74575835697101</v>
      </c>
      <c r="P57" s="324">
        <f>$I57*IF($G57="Pickup", SUMIFS(NewEmisData!J:J, NewEmisData!$A:$A, "Pickup", NewEmisData!$B:$B, $A57, NewEmisData!$C:$C, $H57, NewEmisData!$D:$D, P$2), SUMIFS(NewEmisData!J:J, NewEmisData!$A:$A, "LDV", NewEmisData!$B:$B, $A57, NewEmisData!$C:$C, $H57, NewEmisData!$D:$D, P$2))</f>
        <v>286.352398145763</v>
      </c>
      <c r="Q57" s="324">
        <f>$I57*IF($G57="Pickup", SUMIFS(NewEmisData!K:K, NewEmisData!$A:$A, "Pickup", NewEmisData!$B:$B, $A57, NewEmisData!$C:$C, $H57, NewEmisData!$D:$D, Q$2), SUMIFS(NewEmisData!K:K, NewEmisData!$A:$A, "LDV", NewEmisData!$B:$B, $A57, NewEmisData!$C:$C, $H57, NewEmisData!$D:$D, Q$2))</f>
        <v>279.91384153210601</v>
      </c>
      <c r="R57" s="324">
        <f>$I57*IF($G57="Pickup", SUMIFS(NewEmisData!L:L, NewEmisData!$A:$A, "Pickup", NewEmisData!$B:$B, $A57, NewEmisData!$C:$C, $H57, NewEmisData!$D:$D, R$2), SUMIFS(NewEmisData!L:L, NewEmisData!$A:$A, "LDV", NewEmisData!$B:$B, $A57, NewEmisData!$C:$C, $H57, NewEmisData!$D:$D, R$2))</f>
        <v>277.68437233076702</v>
      </c>
      <c r="S57" s="324">
        <f>$I57*IF($G57="Pickup", SUMIFS(NewEmisData!M:M, NewEmisData!$A:$A, "Pickup", NewEmisData!$B:$B, $A57, NewEmisData!$C:$C, $H57, NewEmisData!$D:$D, S$2), SUMIFS(NewEmisData!M:M, NewEmisData!$A:$A, "LDV", NewEmisData!$B:$B, $A57, NewEmisData!$C:$C, $H57, NewEmisData!$D:$D, S$2))</f>
        <v>277.87214787868902</v>
      </c>
      <c r="T57" s="324">
        <f t="shared" si="5"/>
        <v>277.87214787868902</v>
      </c>
      <c r="U57" s="324">
        <f>$I57*IF($G57="Pickup", SUMIFS(NewEmisData!E:E, NewEmisData!$A:$A, "Pickup", NewEmisData!$B:$B, $A57, NewEmisData!$C:$C, $H57, NewEmisData!$D:$D, U$2), SUMIFS(NewEmisData!E:E, NewEmisData!$A:$A, "LDV", NewEmisData!$B:$B, $A57, NewEmisData!$C:$C, $H57, NewEmisData!$D:$D, U$2))</f>
        <v>4.1591145158291702E-2</v>
      </c>
      <c r="V57" s="324">
        <f>$I57*IF($G57="Pickup", SUMIFS(NewEmisData!F:F, NewEmisData!$A:$A, "Pickup", NewEmisData!$B:$B, $A57, NewEmisData!$C:$C, $H57, NewEmisData!$D:$D, V$2), SUMIFS(NewEmisData!F:F, NewEmisData!$A:$A, "LDV", NewEmisData!$B:$B, $A57, NewEmisData!$C:$C, $H57, NewEmisData!$D:$D, V$2))</f>
        <v>3.3567901229069899E-2</v>
      </c>
      <c r="W57" s="324">
        <f>$I57*IF($G57="Pickup", SUMIFS(NewEmisData!G:G, NewEmisData!$A:$A, "Pickup", NewEmisData!$B:$B, $A57, NewEmisData!$C:$C, $H57, NewEmisData!$D:$D, W$2), SUMIFS(NewEmisData!G:G, NewEmisData!$A:$A, "LDV", NewEmisData!$B:$B, $A57, NewEmisData!$C:$C, $H57, NewEmisData!$D:$D, W$2))</f>
        <v>3.10903118023543E-2</v>
      </c>
      <c r="X57" s="324">
        <f>$I57*IF($G57="Pickup", SUMIFS(NewEmisData!H:H, NewEmisData!$A:$A, "Pickup", NewEmisData!$B:$B, $A57, NewEmisData!$C:$C, $H57, NewEmisData!$D:$D, X$2), SUMIFS(NewEmisData!H:H, NewEmisData!$A:$A, "LDV", NewEmisData!$B:$B, $A57, NewEmisData!$C:$C, $H57, NewEmisData!$D:$D, X$2))</f>
        <v>2.9494448323488E-2</v>
      </c>
      <c r="Y57" s="324">
        <f>$I57*IF($G57="Pickup", SUMIFS(NewEmisData!I:I, NewEmisData!$A:$A, "Pickup", NewEmisData!$B:$B, $A57, NewEmisData!$C:$C, $H57, NewEmisData!$D:$D, Y$2), SUMIFS(NewEmisData!I:I, NewEmisData!$A:$A, "LDV", NewEmisData!$B:$B, $A57, NewEmisData!$C:$C, $H57, NewEmisData!$D:$D, Y$2))</f>
        <v>3.24157979138915E-2</v>
      </c>
      <c r="Z57" s="324">
        <f>$I57*IF($G57="Pickup", SUMIFS(NewEmisData!J:J, NewEmisData!$A:$A, "Pickup", NewEmisData!$B:$B, $A57, NewEmisData!$C:$C, $H57, NewEmisData!$D:$D, Z$2), SUMIFS(NewEmisData!J:J, NewEmisData!$A:$A, "LDV", NewEmisData!$B:$B, $A57, NewEmisData!$C:$C, $H57, NewEmisData!$D:$D, Z$2))</f>
        <v>3.3172947032470201E-2</v>
      </c>
      <c r="AA57" s="324">
        <f>$I57*IF($G57="Pickup", SUMIFS(NewEmisData!K:K, NewEmisData!$A:$A, "Pickup", NewEmisData!$B:$B, $A57, NewEmisData!$C:$C, $H57, NewEmisData!$D:$D, AA$2), SUMIFS(NewEmisData!K:K, NewEmisData!$A:$A, "LDV", NewEmisData!$B:$B, $A57, NewEmisData!$C:$C, $H57, NewEmisData!$D:$D, AA$2))</f>
        <v>3.1994284946783497E-2</v>
      </c>
      <c r="AB57" s="324">
        <f>$I57*IF($G57="Pickup", SUMIFS(NewEmisData!L:L, NewEmisData!$A:$A, "Pickup", NewEmisData!$B:$B, $A57, NewEmisData!$C:$C, $H57, NewEmisData!$D:$D, AB$2), SUMIFS(NewEmisData!L:L, NewEmisData!$A:$A, "LDV", NewEmisData!$B:$B, $A57, NewEmisData!$C:$C, $H57, NewEmisData!$D:$D, AB$2))</f>
        <v>3.1321415112152799E-2</v>
      </c>
      <c r="AC57" s="324">
        <f>$I57*IF($G57="Pickup", SUMIFS(NewEmisData!M:M, NewEmisData!$A:$A, "Pickup", NewEmisData!$B:$B, $A57, NewEmisData!$C:$C, $H57, NewEmisData!$D:$D, AC$2), SUMIFS(NewEmisData!M:M, NewEmisData!$A:$A, "LDV", NewEmisData!$B:$B, $A57, NewEmisData!$C:$C, $H57, NewEmisData!$D:$D, AC$2))</f>
        <v>3.1760554326411998E-2</v>
      </c>
      <c r="AD57" s="324">
        <f t="shared" si="6"/>
        <v>3.1760554326411998E-2</v>
      </c>
      <c r="AE57" s="324">
        <f>$I57*IF($G57="Pickup", SUMIFS(NewEmisData!E:E, NewEmisData!$A:$A, "Pickup", NewEmisData!$B:$B, $A57, NewEmisData!$C:$C, $H57, NewEmisData!$D:$D, AE$2), SUMIFS(NewEmisData!E:E, NewEmisData!$A:$A, "LDV", NewEmisData!$B:$B, $A57, NewEmisData!$C:$C, $H57, NewEmisData!$D:$D, AE$2))</f>
        <v>5.7604083038927199E-3</v>
      </c>
      <c r="AF57" s="324">
        <f>$I57*IF($G57="Pickup", SUMIFS(NewEmisData!F:F, NewEmisData!$A:$A, "Pickup", NewEmisData!$B:$B, $A57, NewEmisData!$C:$C, $H57, NewEmisData!$D:$D, AF$2), SUMIFS(NewEmisData!F:F, NewEmisData!$A:$A, "LDV", NewEmisData!$B:$B, $A57, NewEmisData!$C:$C, $H57, NewEmisData!$D:$D, AF$2))</f>
        <v>5.5417937646853798E-3</v>
      </c>
      <c r="AG57" s="324">
        <f>$I57*IF($G57="Pickup", SUMIFS(NewEmisData!G:G, NewEmisData!$A:$A, "Pickup", NewEmisData!$B:$B, $A57, NewEmisData!$C:$C, $H57, NewEmisData!$D:$D, AG$2), SUMIFS(NewEmisData!G:G, NewEmisData!$A:$A, "LDV", NewEmisData!$B:$B, $A57, NewEmisData!$C:$C, $H57, NewEmisData!$D:$D, AG$2))</f>
        <v>2.7566082972264299E-3</v>
      </c>
      <c r="AH57" s="324">
        <f>$I57*IF($G57="Pickup", SUMIFS(NewEmisData!H:H, NewEmisData!$A:$A, "Pickup", NewEmisData!$B:$B, $A57, NewEmisData!$C:$C, $H57, NewEmisData!$D:$D, AH$2), SUMIFS(NewEmisData!H:H, NewEmisData!$A:$A, "LDV", NewEmisData!$B:$B, $A57, NewEmisData!$C:$C, $H57, NewEmisData!$D:$D, AH$2))</f>
        <v>2.4076004556077501E-3</v>
      </c>
      <c r="AI57" s="324">
        <f>$I57*IF($G57="Pickup", SUMIFS(NewEmisData!I:I, NewEmisData!$A:$A, "Pickup", NewEmisData!$B:$B, $A57, NewEmisData!$C:$C, $H57, NewEmisData!$D:$D, AI$2), SUMIFS(NewEmisData!I:I, NewEmisData!$A:$A, "LDV", NewEmisData!$B:$B, $A57, NewEmisData!$C:$C, $H57, NewEmisData!$D:$D, AI$2))</f>
        <v>2.2696033600869301E-3</v>
      </c>
      <c r="AJ57" s="324">
        <f>$I57*IF($G57="Pickup", SUMIFS(NewEmisData!J:J, NewEmisData!$A:$A, "Pickup", NewEmisData!$B:$B, $A57, NewEmisData!$C:$C, $H57, NewEmisData!$D:$D, AJ$2), SUMIFS(NewEmisData!J:J, NewEmisData!$A:$A, "LDV", NewEmisData!$B:$B, $A57, NewEmisData!$C:$C, $H57, NewEmisData!$D:$D, AJ$2))</f>
        <v>2.2049736201383199E-3</v>
      </c>
      <c r="AK57" s="324">
        <f>$I57*IF($G57="Pickup", SUMIFS(NewEmisData!K:K, NewEmisData!$A:$A, "Pickup", NewEmisData!$B:$B, $A57, NewEmisData!$C:$C, $H57, NewEmisData!$D:$D, AK$2), SUMIFS(NewEmisData!K:K, NewEmisData!$A:$A, "LDV", NewEmisData!$B:$B, $A57, NewEmisData!$C:$C, $H57, NewEmisData!$D:$D, AK$2))</f>
        <v>2.1553953660312102E-3</v>
      </c>
      <c r="AL57" s="324">
        <f>$I57*IF($G57="Pickup", SUMIFS(NewEmisData!L:L, NewEmisData!$A:$A, "Pickup", NewEmisData!$B:$B, $A57, NewEmisData!$C:$C, $H57, NewEmisData!$D:$D, AL$2), SUMIFS(NewEmisData!L:L, NewEmisData!$A:$A, "LDV", NewEmisData!$B:$B, $A57, NewEmisData!$C:$C, $H57, NewEmisData!$D:$D, AL$2))</f>
        <v>2.1382282417646901E-3</v>
      </c>
      <c r="AM57" s="324">
        <f>$I57*IF($G57="Pickup", SUMIFS(NewEmisData!M:M, NewEmisData!$A:$A, "Pickup", NewEmisData!$B:$B, $A57, NewEmisData!$C:$C, $H57, NewEmisData!$D:$D, AM$2), SUMIFS(NewEmisData!M:M, NewEmisData!$A:$A, "LDV", NewEmisData!$B:$B, $A57, NewEmisData!$C:$C, $H57, NewEmisData!$D:$D, AM$2))</f>
        <v>2.1396749034826201E-3</v>
      </c>
      <c r="AN57" s="324">
        <f t="shared" si="7"/>
        <v>2.1396749034826201E-3</v>
      </c>
      <c r="AO57" s="324">
        <f>$I57*IF($G57="Pickup", SUMIFS(NewEmisData!E:E, NewEmisData!$A:$A, "Pickup", NewEmisData!$B:$B, $A57, NewEmisData!$C:$C, $H57, NewEmisData!$D:$D, AO$2), SUMIFS(NewEmisData!E:E, NewEmisData!$A:$A, "LDV", NewEmisData!$B:$B, $A57, NewEmisData!$C:$C, $H57, NewEmisData!$D:$D, AO$2))</f>
        <v>9.5237657915846596E-2</v>
      </c>
      <c r="AP57" s="324">
        <f>$I57*IF($G57="Pickup", SUMIFS(NewEmisData!F:F, NewEmisData!$A:$A, "Pickup", NewEmisData!$B:$B, $A57, NewEmisData!$C:$C, $H57, NewEmisData!$D:$D, AP$2), SUMIFS(NewEmisData!F:F, NewEmisData!$A:$A, "LDV", NewEmisData!$B:$B, $A57, NewEmisData!$C:$C, $H57, NewEmisData!$D:$D, AP$2))</f>
        <v>9.5233803814773199E-2</v>
      </c>
      <c r="AQ57" s="324">
        <f>$I57*IF($G57="Pickup", SUMIFS(NewEmisData!G:G, NewEmisData!$A:$A, "Pickup", NewEmisData!$B:$B, $A57, NewEmisData!$C:$C, $H57, NewEmisData!$D:$D, AQ$2), SUMIFS(NewEmisData!G:G, NewEmisData!$A:$A, "LDV", NewEmisData!$B:$B, $A57, NewEmisData!$C:$C, $H57, NewEmisData!$D:$D, AQ$2))</f>
        <v>7.6274845717456005E-2</v>
      </c>
      <c r="AR57" s="324">
        <f>$I57*IF($G57="Pickup", SUMIFS(NewEmisData!H:H, NewEmisData!$A:$A, "Pickup", NewEmisData!$B:$B, $A57, NewEmisData!$C:$C, $H57, NewEmisData!$D:$D, AR$2), SUMIFS(NewEmisData!H:H, NewEmisData!$A:$A, "LDV", NewEmisData!$B:$B, $A57, NewEmisData!$C:$C, $H57, NewEmisData!$D:$D, AR$2))</f>
        <v>7.6015147426408802E-2</v>
      </c>
      <c r="AS57" s="324">
        <f>$I57*IF($G57="Pickup", SUMIFS(NewEmisData!I:I, NewEmisData!$A:$A, "Pickup", NewEmisData!$B:$B, $A57, NewEmisData!$C:$C, $H57, NewEmisData!$D:$D, AS$2), SUMIFS(NewEmisData!I:I, NewEmisData!$A:$A, "LDV", NewEmisData!$B:$B, $A57, NewEmisData!$C:$C, $H57, NewEmisData!$D:$D, AS$2))</f>
        <v>7.5941173275762303E-2</v>
      </c>
      <c r="AT57" s="324">
        <f>$I57*IF($G57="Pickup", SUMIFS(NewEmisData!J:J, NewEmisData!$A:$A, "Pickup", NewEmisData!$B:$B, $A57, NewEmisData!$C:$C, $H57, NewEmisData!$D:$D, AT$2), SUMIFS(NewEmisData!J:J, NewEmisData!$A:$A, "LDV", NewEmisData!$B:$B, $A57, NewEmisData!$C:$C, $H57, NewEmisData!$D:$D, AT$2))</f>
        <v>7.5905318392472401E-2</v>
      </c>
      <c r="AU57" s="324">
        <f>$I57*IF($G57="Pickup", SUMIFS(NewEmisData!K:K, NewEmisData!$A:$A, "Pickup", NewEmisData!$B:$B, $A57, NewEmisData!$C:$C, $H57, NewEmisData!$D:$D, AU$2), SUMIFS(NewEmisData!K:K, NewEmisData!$A:$A, "LDV", NewEmisData!$B:$B, $A57, NewEmisData!$C:$C, $H57, NewEmisData!$D:$D, AU$2))</f>
        <v>7.5746506350714102E-2</v>
      </c>
      <c r="AV57" s="324">
        <f>$I57*IF($G57="Pickup", SUMIFS(NewEmisData!L:L, NewEmisData!$A:$A, "Pickup", NewEmisData!$B:$B, $A57, NewEmisData!$C:$C, $H57, NewEmisData!$D:$D, AV$2), SUMIFS(NewEmisData!L:L, NewEmisData!$A:$A, "LDV", NewEmisData!$B:$B, $A57, NewEmisData!$C:$C, $H57, NewEmisData!$D:$D, AV$2))</f>
        <v>7.5609197138019502E-2</v>
      </c>
      <c r="AW57" s="324">
        <f>$I57*IF($G57="Pickup", SUMIFS(NewEmisData!M:M, NewEmisData!$A:$A, "Pickup", NewEmisData!$B:$B, $A57, NewEmisData!$C:$C, $H57, NewEmisData!$D:$D, AW$2), SUMIFS(NewEmisData!M:M, NewEmisData!$A:$A, "LDV", NewEmisData!$B:$B, $A57, NewEmisData!$C:$C, $H57, NewEmisData!$D:$D, AW$2))</f>
        <v>7.5600977518040596E-2</v>
      </c>
      <c r="AX57" s="324">
        <f t="shared" si="8"/>
        <v>7.5600977518040596E-2</v>
      </c>
      <c r="AY57" s="324">
        <f>$I57*IF($G57="Pickup", SUMIFS(NewEmisData!E:E, NewEmisData!$A:$A, "Pickup", NewEmisData!$B:$B, $A57, NewEmisData!$C:$C, $H57, NewEmisData!$D:$D, AY$2), SUMIFS(NewEmisData!E:E, NewEmisData!$A:$A, "LDV", NewEmisData!$B:$B, $A57, NewEmisData!$C:$C, $H57, NewEmisData!$D:$D, AY$2))</f>
        <v>1.40169037450868E-2</v>
      </c>
      <c r="AZ57" s="324">
        <f>$I57*IF($G57="Pickup", SUMIFS(NewEmisData!F:F, NewEmisData!$A:$A, "Pickup", NewEmisData!$B:$B, $A57, NewEmisData!$C:$C, $H57, NewEmisData!$D:$D, AZ$2), SUMIFS(NewEmisData!F:F, NewEmisData!$A:$A, "LDV", NewEmisData!$B:$B, $A57, NewEmisData!$C:$C, $H57, NewEmisData!$D:$D, AZ$2))</f>
        <v>1.4013573377583501E-2</v>
      </c>
      <c r="BA57" s="324">
        <f>$I57*IF($G57="Pickup", SUMIFS(NewEmisData!G:G, NewEmisData!$A:$A, "Pickup", NewEmisData!$B:$B, $A57, NewEmisData!$C:$C, $H57, NewEmisData!$D:$D, BA$2), SUMIFS(NewEmisData!G:G, NewEmisData!$A:$A, "LDV", NewEmisData!$B:$B, $A57, NewEmisData!$C:$C, $H57, NewEmisData!$D:$D, BA$2))</f>
        <v>1.11562424125551E-2</v>
      </c>
      <c r="BB57" s="324">
        <f>$I57*IF($G57="Pickup", SUMIFS(NewEmisData!H:H, NewEmisData!$A:$A, "Pickup", NewEmisData!$B:$B, $A57, NewEmisData!$C:$C, $H57, NewEmisData!$D:$D, BB$2), SUMIFS(NewEmisData!H:H, NewEmisData!$A:$A, "LDV", NewEmisData!$B:$B, $A57, NewEmisData!$C:$C, $H57, NewEmisData!$D:$D, BB$2))</f>
        <v>1.09265188788693E-2</v>
      </c>
      <c r="BC57" s="324">
        <f>$I57*IF($G57="Pickup", SUMIFS(NewEmisData!I:I, NewEmisData!$A:$A, "Pickup", NewEmisData!$B:$B, $A57, NewEmisData!$C:$C, $H57, NewEmisData!$D:$D, BC$2), SUMIFS(NewEmisData!I:I, NewEmisData!$A:$A, "LDV", NewEmisData!$B:$B, $A57, NewEmisData!$C:$C, $H57, NewEmisData!$D:$D, BC$2))</f>
        <v>1.0861054896046199E-2</v>
      </c>
      <c r="BD57" s="324">
        <f>$I57*IF($G57="Pickup", SUMIFS(NewEmisData!J:J, NewEmisData!$A:$A, "Pickup", NewEmisData!$B:$B, $A57, NewEmisData!$C:$C, $H57, NewEmisData!$D:$D, BD$2), SUMIFS(NewEmisData!J:J, NewEmisData!$A:$A, "LDV", NewEmisData!$B:$B, $A57, NewEmisData!$C:$C, $H57, NewEmisData!$D:$D, BD$2))</f>
        <v>1.08293882777488E-2</v>
      </c>
      <c r="BE57" s="324">
        <f>$I57*IF($G57="Pickup", SUMIFS(NewEmisData!K:K, NewEmisData!$A:$A, "Pickup", NewEmisData!$B:$B, $A57, NewEmisData!$C:$C, $H57, NewEmisData!$D:$D, BE$2), SUMIFS(NewEmisData!K:K, NewEmisData!$A:$A, "LDV", NewEmisData!$B:$B, $A57, NewEmisData!$C:$C, $H57, NewEmisData!$D:$D, BE$2))</f>
        <v>1.06888930906526E-2</v>
      </c>
      <c r="BF57" s="324">
        <f>$I57*IF($G57="Pickup", SUMIFS(NewEmisData!L:L, NewEmisData!$A:$A, "Pickup", NewEmisData!$B:$B, $A57, NewEmisData!$C:$C, $H57, NewEmisData!$D:$D, BF$2), SUMIFS(NewEmisData!L:L, NewEmisData!$A:$A, "LDV", NewEmisData!$B:$B, $A57, NewEmisData!$C:$C, $H57, NewEmisData!$D:$D, BF$2))</f>
        <v>1.05674353285179E-2</v>
      </c>
      <c r="BG57" s="324">
        <f>$I57*IF($G57="Pickup", SUMIFS(NewEmisData!M:M, NewEmisData!$A:$A, "Pickup", NewEmisData!$B:$B, $A57, NewEmisData!$C:$C, $H57, NewEmisData!$D:$D, BG$2), SUMIFS(NewEmisData!M:M, NewEmisData!$A:$A, "LDV", NewEmisData!$B:$B, $A57, NewEmisData!$C:$C, $H57, NewEmisData!$D:$D, BG$2))</f>
        <v>1.05601708467511E-2</v>
      </c>
      <c r="BH57" s="324">
        <f t="shared" si="9"/>
        <v>1.05601708467511E-2</v>
      </c>
      <c r="BI57" s="324">
        <f>$I57*IF($G57="Pickup", SUMIFS(NewEmisData!E:E, NewEmisData!$A:$A, "Pickup", NewEmisData!$B:$B, $A57, NewEmisData!$C:$C, $H57, NewEmisData!$D:$D, BI$2), SUMIFS(NewEmisData!E:E, NewEmisData!$A:$A, "LDV", NewEmisData!$B:$B, $A57, NewEmisData!$C:$C, $H57, NewEmisData!$D:$D, BI$2))</f>
        <v>1.2691960654493</v>
      </c>
      <c r="BJ57" s="324">
        <f>$I57*IF($G57="Pickup", SUMIFS(NewEmisData!F:F, NewEmisData!$A:$A, "Pickup", NewEmisData!$B:$B, $A57, NewEmisData!$C:$C, $H57, NewEmisData!$D:$D, BJ$2), SUMIFS(NewEmisData!F:F, NewEmisData!$A:$A, "LDV", NewEmisData!$B:$B, $A57, NewEmisData!$C:$C, $H57, NewEmisData!$D:$D, BJ$2))</f>
        <v>1.0417224074664899</v>
      </c>
      <c r="BK57" s="324">
        <f>$I57*IF($G57="Pickup", SUMIFS(NewEmisData!G:G, NewEmisData!$A:$A, "Pickup", NewEmisData!$B:$B, $A57, NewEmisData!$C:$C, $H57, NewEmisData!$D:$D, BK$2), SUMIFS(NewEmisData!G:G, NewEmisData!$A:$A, "LDV", NewEmisData!$B:$B, $A57, NewEmisData!$C:$C, $H57, NewEmisData!$D:$D, BK$2))</f>
        <v>0.71990684431713603</v>
      </c>
      <c r="BL57" s="324">
        <f>$I57*IF($G57="Pickup", SUMIFS(NewEmisData!H:H, NewEmisData!$A:$A, "Pickup", NewEmisData!$B:$B, $A57, NewEmisData!$C:$C, $H57, NewEmisData!$D:$D, BL$2), SUMIFS(NewEmisData!H:H, NewEmisData!$A:$A, "LDV", NewEmisData!$B:$B, $A57, NewEmisData!$C:$C, $H57, NewEmisData!$D:$D, BL$2))</f>
        <v>0.77406938341631604</v>
      </c>
      <c r="BM57" s="324">
        <f>$I57*IF($G57="Pickup", SUMIFS(NewEmisData!I:I, NewEmisData!$A:$A, "Pickup", NewEmisData!$B:$B, $A57, NewEmisData!$C:$C, $H57, NewEmisData!$D:$D, BM$2), SUMIFS(NewEmisData!I:I, NewEmisData!$A:$A, "LDV", NewEmisData!$B:$B, $A57, NewEmisData!$C:$C, $H57, NewEmisData!$D:$D, BM$2))</f>
        <v>0.850428111115753</v>
      </c>
      <c r="BN57" s="324">
        <f>$I57*IF($G57="Pickup", SUMIFS(NewEmisData!J:J, NewEmisData!$A:$A, "Pickup", NewEmisData!$B:$B, $A57, NewEmisData!$C:$C, $H57, NewEmisData!$D:$D, BN$2), SUMIFS(NewEmisData!J:J, NewEmisData!$A:$A, "LDV", NewEmisData!$B:$B, $A57, NewEmisData!$C:$C, $H57, NewEmisData!$D:$D, BN$2))</f>
        <v>0.88398432246613101</v>
      </c>
      <c r="BO57" s="324">
        <f>$I57*IF($G57="Pickup", SUMIFS(NewEmisData!K:K, NewEmisData!$A:$A, "Pickup", NewEmisData!$B:$B, $A57, NewEmisData!$C:$C, $H57, NewEmisData!$D:$D, BO$2), SUMIFS(NewEmisData!K:K, NewEmisData!$A:$A, "LDV", NewEmisData!$B:$B, $A57, NewEmisData!$C:$C, $H57, NewEmisData!$D:$D, BO$2))</f>
        <v>0.86746558005476404</v>
      </c>
      <c r="BP57" s="324">
        <f>$I57*IF($G57="Pickup", SUMIFS(NewEmisData!L:L, NewEmisData!$A:$A, "Pickup", NewEmisData!$B:$B, $A57, NewEmisData!$C:$C, $H57, NewEmisData!$D:$D, BP$2), SUMIFS(NewEmisData!L:L, NewEmisData!$A:$A, "LDV", NewEmisData!$B:$B, $A57, NewEmisData!$C:$C, $H57, NewEmisData!$D:$D, BP$2))</f>
        <v>0.85493079785318604</v>
      </c>
      <c r="BQ57" s="324">
        <f>$I57*IF($G57="Pickup", SUMIFS(NewEmisData!M:M, NewEmisData!$A:$A, "Pickup", NewEmisData!$B:$B, $A57, NewEmisData!$C:$C, $H57, NewEmisData!$D:$D, BQ$2), SUMIFS(NewEmisData!M:M, NewEmisData!$A:$A, "LDV", NewEmisData!$B:$B, $A57, NewEmisData!$C:$C, $H57, NewEmisData!$D:$D, BQ$2))</f>
        <v>0.86425549081219399</v>
      </c>
      <c r="BR57" s="324">
        <f t="shared" si="10"/>
        <v>0.86425549081219399</v>
      </c>
      <c r="BS57" s="324">
        <f>$I57*IF($G57="Pickup", SUMIFS(NewEmisData!E:E, NewEmisData!$A:$A, "Pickup", NewEmisData!$B:$B, $A57, NewEmisData!$C:$C, $H57, NewEmisData!$D:$D, BS$2), SUMIFS(NewEmisData!E:E, NewEmisData!$A:$A, "LDV", NewEmisData!$B:$B, $A57, NewEmisData!$C:$C, $H57, NewEmisData!$D:$D, BS$2))</f>
        <v>0.12595175891714899</v>
      </c>
      <c r="BT57" s="324">
        <f>$I57*IF($G57="Pickup", SUMIFS(NewEmisData!F:F, NewEmisData!$A:$A, "Pickup", NewEmisData!$B:$B, $A57, NewEmisData!$C:$C, $H57, NewEmisData!$D:$D, BT$2), SUMIFS(NewEmisData!F:F, NewEmisData!$A:$A, "LDV", NewEmisData!$B:$B, $A57, NewEmisData!$C:$C, $H57, NewEmisData!$D:$D, BT$2))</f>
        <v>0.117078419912489</v>
      </c>
      <c r="BU57" s="324">
        <f>$I57*IF($G57="Pickup", SUMIFS(NewEmisData!G:G, NewEmisData!$A:$A, "Pickup", NewEmisData!$B:$B, $A57, NewEmisData!$C:$C, $H57, NewEmisData!$D:$D, BU$2), SUMIFS(NewEmisData!G:G, NewEmisData!$A:$A, "LDV", NewEmisData!$B:$B, $A57, NewEmisData!$C:$C, $H57, NewEmisData!$D:$D, BU$2))</f>
        <v>8.2694195367886997E-2</v>
      </c>
      <c r="BV57" s="324">
        <f>$I57*IF($G57="Pickup", SUMIFS(NewEmisData!H:H, NewEmisData!$A:$A, "Pickup", NewEmisData!$B:$B, $A57, NewEmisData!$C:$C, $H57, NewEmisData!$D:$D, BV$2), SUMIFS(NewEmisData!H:H, NewEmisData!$A:$A, "LDV", NewEmisData!$B:$B, $A57, NewEmisData!$C:$C, $H57, NewEmisData!$D:$D, BV$2))</f>
        <v>7.8253057541772197E-2</v>
      </c>
      <c r="BW57" s="324">
        <f>$I57*IF($G57="Pickup", SUMIFS(NewEmisData!I:I, NewEmisData!$A:$A, "Pickup", NewEmisData!$B:$B, $A57, NewEmisData!$C:$C, $H57, NewEmisData!$D:$D, BW$2), SUMIFS(NewEmisData!I:I, NewEmisData!$A:$A, "LDV", NewEmisData!$B:$B, $A57, NewEmisData!$C:$C, $H57, NewEmisData!$D:$D, BW$2))</f>
        <v>9.1630190121546704E-2</v>
      </c>
      <c r="BX57" s="324">
        <f>$I57*IF($G57="Pickup", SUMIFS(NewEmisData!J:J, NewEmisData!$A:$A, "Pickup", NewEmisData!$B:$B, $A57, NewEmisData!$C:$C, $H57, NewEmisData!$D:$D, BX$2), SUMIFS(NewEmisData!J:J, NewEmisData!$A:$A, "LDV", NewEmisData!$B:$B, $A57, NewEmisData!$C:$C, $H57, NewEmisData!$D:$D, BX$2))</f>
        <v>0.11005344876291601</v>
      </c>
      <c r="BY57" s="324">
        <f>$I57*IF($G57="Pickup", SUMIFS(NewEmisData!K:K, NewEmisData!$A:$A, "Pickup", NewEmisData!$B:$B, $A57, NewEmisData!$C:$C, $H57, NewEmisData!$D:$D, BY$2), SUMIFS(NewEmisData!K:K, NewEmisData!$A:$A, "LDV", NewEmisData!$B:$B, $A57, NewEmisData!$C:$C, $H57, NewEmisData!$D:$D, BY$2))</f>
        <v>0.124255361832616</v>
      </c>
      <c r="BZ57" s="324">
        <f>$I57*IF($G57="Pickup", SUMIFS(NewEmisData!L:L, NewEmisData!$A:$A, "Pickup", NewEmisData!$B:$B, $A57, NewEmisData!$C:$C, $H57, NewEmisData!$D:$D, BZ$2), SUMIFS(NewEmisData!L:L, NewEmisData!$A:$A, "LDV", NewEmisData!$B:$B, $A57, NewEmisData!$C:$C, $H57, NewEmisData!$D:$D, BZ$2))</f>
        <v>0.12937271269558401</v>
      </c>
      <c r="CA57" s="324">
        <f>$I57*IF($G57="Pickup", SUMIFS(NewEmisData!M:M, NewEmisData!$A:$A, "Pickup", NewEmisData!$B:$B, $A57, NewEmisData!$C:$C, $H57, NewEmisData!$D:$D, CA$2), SUMIFS(NewEmisData!M:M, NewEmisData!$A:$A, "LDV", NewEmisData!$B:$B, $A57, NewEmisData!$C:$C, $H57, NewEmisData!$D:$D, CA$2))</f>
        <v>0.13909439218126199</v>
      </c>
      <c r="CB57" s="324">
        <f t="shared" si="11"/>
        <v>0.13909439218126199</v>
      </c>
      <c r="CC57" s="324">
        <f>$I57*IF($G57="Pickup", SUMIFS(NewEmisData!E:E, NewEmisData!$A:$A, "Pickup", NewEmisData!$B:$B, $A57, NewEmisData!$C:$C, $H57, NewEmisData!$D:$D, CC$2), SUMIFS(NewEmisData!E:E, NewEmisData!$A:$A, "LDV", NewEmisData!$B:$B, $A57, NewEmisData!$C:$C, $H57, NewEmisData!$D:$D, CC$2))</f>
        <v>2.3959600214614001E-2</v>
      </c>
      <c r="CD57" s="324">
        <f>$I57*IF($G57="Pickup", SUMIFS(NewEmisData!F:F, NewEmisData!$A:$A, "Pickup", NewEmisData!$B:$B, $A57, NewEmisData!$C:$C, $H57, NewEmisData!$D:$D, CD$2), SUMIFS(NewEmisData!F:F, NewEmisData!$A:$A, "LDV", NewEmisData!$B:$B, $A57, NewEmisData!$C:$C, $H57, NewEmisData!$D:$D, CD$2))</f>
        <v>2.39595561203313E-2</v>
      </c>
      <c r="CE57" s="324">
        <f>$I57*IF($G57="Pickup", SUMIFS(NewEmisData!G:G, NewEmisData!$A:$A, "Pickup", NewEmisData!$B:$B, $A57, NewEmisData!$C:$C, $H57, NewEmisData!$D:$D, CE$2), SUMIFS(NewEmisData!G:G, NewEmisData!$A:$A, "LDV", NewEmisData!$B:$B, $A57, NewEmisData!$C:$C, $H57, NewEmisData!$D:$D, CE$2))</f>
        <v>2.1883978700773001E-2</v>
      </c>
      <c r="CF57" s="324">
        <f>$I57*IF($G57="Pickup", SUMIFS(NewEmisData!H:H, NewEmisData!$A:$A, "Pickup", NewEmisData!$B:$B, $A57, NewEmisData!$C:$C, $H57, NewEmisData!$D:$D, CF$2), SUMIFS(NewEmisData!H:H, NewEmisData!$A:$A, "LDV", NewEmisData!$B:$B, $A57, NewEmisData!$C:$C, $H57, NewEmisData!$D:$D, CF$2))</f>
        <v>2.25515751155465E-2</v>
      </c>
      <c r="CG57" s="324">
        <f>$I57*IF($G57="Pickup", SUMIFS(NewEmisData!I:I, NewEmisData!$A:$A, "Pickup", NewEmisData!$B:$B, $A57, NewEmisData!$C:$C, $H57, NewEmisData!$D:$D, CG$2), SUMIFS(NewEmisData!I:I, NewEmisData!$A:$A, "LDV", NewEmisData!$B:$B, $A57, NewEmisData!$C:$C, $H57, NewEmisData!$D:$D, CG$2))</f>
        <v>2.4461655004649401E-2</v>
      </c>
      <c r="CH57" s="324">
        <f>$I57*IF($G57="Pickup", SUMIFS(NewEmisData!J:J, NewEmisData!$A:$A, "Pickup", NewEmisData!$B:$B, $A57, NewEmisData!$C:$C, $H57, NewEmisData!$D:$D, CH$2), SUMIFS(NewEmisData!J:J, NewEmisData!$A:$A, "LDV", NewEmisData!$B:$B, $A57, NewEmisData!$C:$C, $H57, NewEmisData!$D:$D, CH$2))</f>
        <v>2.55482861436532E-2</v>
      </c>
      <c r="CI57" s="324">
        <f>$I57*IF($G57="Pickup", SUMIFS(NewEmisData!K:K, NewEmisData!$A:$A, "Pickup", NewEmisData!$B:$B, $A57, NewEmisData!$C:$C, $H57, NewEmisData!$D:$D, CI$2), SUMIFS(NewEmisData!K:K, NewEmisData!$A:$A, "LDV", NewEmisData!$B:$B, $A57, NewEmisData!$C:$C, $H57, NewEmisData!$D:$D, CI$2))</f>
        <v>2.5901161089235299E-2</v>
      </c>
      <c r="CJ57" s="324">
        <f>$I57*IF($G57="Pickup", SUMIFS(NewEmisData!L:L, NewEmisData!$A:$A, "Pickup", NewEmisData!$B:$B, $A57, NewEmisData!$C:$C, $H57, NewEmisData!$D:$D, CJ$2), SUMIFS(NewEmisData!L:L, NewEmisData!$A:$A, "LDV", NewEmisData!$B:$B, $A57, NewEmisData!$C:$C, $H57, NewEmisData!$D:$D, CJ$2))</f>
        <v>2.59711515976483E-2</v>
      </c>
      <c r="CK57" s="324">
        <f>$I57*IF($G57="Pickup", SUMIFS(NewEmisData!M:M, NewEmisData!$A:$A, "Pickup", NewEmisData!$B:$B, $A57, NewEmisData!$C:$C, $H57, NewEmisData!$D:$D, CK$2), SUMIFS(NewEmisData!M:M, NewEmisData!$A:$A, "LDV", NewEmisData!$B:$B, $A57, NewEmisData!$C:$C, $H57, NewEmisData!$D:$D, CK$2))</f>
        <v>2.6006232363577901E-2</v>
      </c>
      <c r="CL57" s="324">
        <f t="shared" si="12"/>
        <v>2.6006232363577901E-2</v>
      </c>
      <c r="CM57" s="324">
        <f>$I57*IF($G57="Pickup", SUMIFS(NewEmisData!E:E, NewEmisData!$A:$A, "Pickup", NewEmisData!$B:$B, $A57, NewEmisData!$C:$C, $H57, NewEmisData!$D:$D, CM$2), SUMIFS(NewEmisData!E:E, NewEmisData!$A:$A, "LDV", NewEmisData!$B:$B, $A57, NewEmisData!$C:$C, $H57, NewEmisData!$D:$D, CM$2))</f>
        <v>6.6247436710222896E-3</v>
      </c>
      <c r="CN57" s="324">
        <f>$I57*IF($G57="Pickup", SUMIFS(NewEmisData!F:F, NewEmisData!$A:$A, "Pickup", NewEmisData!$B:$B, $A57, NewEmisData!$C:$C, $H57, NewEmisData!$D:$D, CN$2), SUMIFS(NewEmisData!F:F, NewEmisData!$A:$A, "LDV", NewEmisData!$B:$B, $A57, NewEmisData!$C:$C, $H57, NewEmisData!$D:$D, CN$2))</f>
        <v>6.6281448502966099E-3</v>
      </c>
      <c r="CO57" s="324">
        <f>$I57*IF($G57="Pickup", SUMIFS(NewEmisData!G:G, NewEmisData!$A:$A, "Pickup", NewEmisData!$B:$B, $A57, NewEmisData!$C:$C, $H57, NewEmisData!$D:$D, CO$2), SUMIFS(NewEmisData!G:G, NewEmisData!$A:$A, "LDV", NewEmisData!$B:$B, $A57, NewEmisData!$C:$C, $H57, NewEmisData!$D:$D, CO$2))</f>
        <v>5.8722582728920596E-3</v>
      </c>
      <c r="CP57" s="324">
        <f>$I57*IF($G57="Pickup", SUMIFS(NewEmisData!H:H, NewEmisData!$A:$A, "Pickup", NewEmisData!$B:$B, $A57, NewEmisData!$C:$C, $H57, NewEmisData!$D:$D, CP$2), SUMIFS(NewEmisData!H:H, NewEmisData!$A:$A, "LDV", NewEmisData!$B:$B, $A57, NewEmisData!$C:$C, $H57, NewEmisData!$D:$D, CP$2))</f>
        <v>5.9987733822495001E-3</v>
      </c>
      <c r="CQ57" s="324">
        <f>$I57*IF($G57="Pickup", SUMIFS(NewEmisData!I:I, NewEmisData!$A:$A, "Pickup", NewEmisData!$B:$B, $A57, NewEmisData!$C:$C, $H57, NewEmisData!$D:$D, CQ$2), SUMIFS(NewEmisData!I:I, NewEmisData!$A:$A, "LDV", NewEmisData!$B:$B, $A57, NewEmisData!$C:$C, $H57, NewEmisData!$D:$D, CQ$2))</f>
        <v>6.1874595969005101E-3</v>
      </c>
      <c r="CR57" s="324">
        <f>$I57*IF($G57="Pickup", SUMIFS(NewEmisData!J:J, NewEmisData!$A:$A, "Pickup", NewEmisData!$B:$B, $A57, NewEmisData!$C:$C, $H57, NewEmisData!$D:$D, CR$2), SUMIFS(NewEmisData!J:J, NewEmisData!$A:$A, "LDV", NewEmisData!$B:$B, $A57, NewEmisData!$C:$C, $H57, NewEmisData!$D:$D, CR$2))</f>
        <v>6.3726817480412997E-3</v>
      </c>
      <c r="CS57" s="324">
        <f>$I57*IF($G57="Pickup", SUMIFS(NewEmisData!K:K, NewEmisData!$A:$A, "Pickup", NewEmisData!$B:$B, $A57, NewEmisData!$C:$C, $H57, NewEmisData!$D:$D, CS$2), SUMIFS(NewEmisData!K:K, NewEmisData!$A:$A, "LDV", NewEmisData!$B:$B, $A57, NewEmisData!$C:$C, $H57, NewEmisData!$D:$D, CS$2))</f>
        <v>6.4700080275717697E-3</v>
      </c>
      <c r="CT57" s="324">
        <f>$I57*IF($G57="Pickup", SUMIFS(NewEmisData!L:L, NewEmisData!$A:$A, "Pickup", NewEmisData!$B:$B, $A57, NewEmisData!$C:$C, $H57, NewEmisData!$D:$D, CT$2), SUMIFS(NewEmisData!L:L, NewEmisData!$A:$A, "LDV", NewEmisData!$B:$B, $A57, NewEmisData!$C:$C, $H57, NewEmisData!$D:$D, CT$2))</f>
        <v>6.5027598829567098E-3</v>
      </c>
      <c r="CU57" s="324">
        <f>$I57*IF($G57="Pickup", SUMIFS(NewEmisData!M:M, NewEmisData!$A:$A, "Pickup", NewEmisData!$B:$B, $A57, NewEmisData!$C:$C, $H57, NewEmisData!$D:$D, CU$2), SUMIFS(NewEmisData!M:M, NewEmisData!$A:$A, "LDV", NewEmisData!$B:$B, $A57, NewEmisData!$C:$C, $H57, NewEmisData!$D:$D, CU$2))</f>
        <v>6.5452972205059003E-3</v>
      </c>
      <c r="CV57" s="324">
        <f t="shared" si="13"/>
        <v>6.5452972205059003E-3</v>
      </c>
      <c r="CW57" s="324">
        <v>2.3565166490963768E-3</v>
      </c>
      <c r="CX57" s="324">
        <v>1.9673319546263789E-3</v>
      </c>
      <c r="CY57" s="324">
        <v>1.6026857138538807E-3</v>
      </c>
      <c r="CZ57" s="324">
        <v>1.3411753569780424E-3</v>
      </c>
      <c r="DA57" s="324">
        <v>1.0123523956178946E-3</v>
      </c>
      <c r="DB57" s="324">
        <v>7.9852111520206551E-4</v>
      </c>
      <c r="DC57" s="324">
        <v>7.6707942200167378E-4</v>
      </c>
      <c r="DD57" s="324">
        <v>7.5828050366392866E-4</v>
      </c>
      <c r="DE57" s="324">
        <v>7.5710079606015706E-4</v>
      </c>
      <c r="DF57" s="324">
        <v>7.5710079606015706E-4</v>
      </c>
      <c r="DG57" s="324">
        <f>$I57*IF($G57="Pickup", SUMIFS(NewEmisData!E:E, NewEmisData!$A:$A, "Pickup", NewEmisData!$B:$B, $A57, NewEmisData!$C:$C, $H57, NewEmisData!$D:$D, DG$2), SUMIFS(NewEmisData!E:E, NewEmisData!$A:$A, "LDV", NewEmisData!$B:$B, $A57, NewEmisData!$C:$C, $H57, NewEmisData!$D:$D, DG$2))</f>
        <v>0</v>
      </c>
      <c r="DH57" s="324">
        <f>$I57*IF($G57="Pickup", SUMIFS(NewEmisData!F:F, NewEmisData!$A:$A, "Pickup", NewEmisData!$B:$B, $A57, NewEmisData!$C:$C, $H57, NewEmisData!$D:$D, DH$2), SUMIFS(NewEmisData!F:F, NewEmisData!$A:$A, "LDV", NewEmisData!$B:$B, $A57, NewEmisData!$C:$C, $H57, NewEmisData!$D:$D, DH$2))</f>
        <v>0</v>
      </c>
      <c r="DI57" s="324">
        <f>$I57*IF($G57="Pickup", SUMIFS(NewEmisData!G:G, NewEmisData!$A:$A, "Pickup", NewEmisData!$B:$B, $A57, NewEmisData!$C:$C, $H57, NewEmisData!$D:$D, DI$2), SUMIFS(NewEmisData!G:G, NewEmisData!$A:$A, "LDV", NewEmisData!$B:$B, $A57, NewEmisData!$C:$C, $H57, NewEmisData!$D:$D, DI$2))</f>
        <v>0</v>
      </c>
      <c r="DJ57" s="324">
        <f>$I57*IF($G57="Pickup", SUMIFS(NewEmisData!H:H, NewEmisData!$A:$A, "Pickup", NewEmisData!$B:$B, $A57, NewEmisData!$C:$C, $H57, NewEmisData!$D:$D, DJ$2), SUMIFS(NewEmisData!H:H, NewEmisData!$A:$A, "LDV", NewEmisData!$B:$B, $A57, NewEmisData!$C:$C, $H57, NewEmisData!$D:$D, DJ$2))</f>
        <v>0</v>
      </c>
      <c r="DK57" s="324">
        <f>$I57*IF($G57="Pickup", SUMIFS(NewEmisData!I:I, NewEmisData!$A:$A, "Pickup", NewEmisData!$B:$B, $A57, NewEmisData!$C:$C, $H57, NewEmisData!$D:$D, DK$2), SUMIFS(NewEmisData!I:I, NewEmisData!$A:$A, "LDV", NewEmisData!$B:$B, $A57, NewEmisData!$C:$C, $H57, NewEmisData!$D:$D, DK$2))</f>
        <v>0</v>
      </c>
      <c r="DL57" s="324">
        <f>$I57*IF($G57="Pickup", SUMIFS(NewEmisData!J:J, NewEmisData!$A:$A, "Pickup", NewEmisData!$B:$B, $A57, NewEmisData!$C:$C, $H57, NewEmisData!$D:$D, DL$2), SUMIFS(NewEmisData!J:J, NewEmisData!$A:$A, "LDV", NewEmisData!$B:$B, $A57, NewEmisData!$C:$C, $H57, NewEmisData!$D:$D, DL$2))</f>
        <v>0</v>
      </c>
      <c r="DM57" s="324">
        <f>$I57*IF($G57="Pickup", SUMIFS(NewEmisData!K:K, NewEmisData!$A:$A, "Pickup", NewEmisData!$B:$B, $A57, NewEmisData!$C:$C, $H57, NewEmisData!$D:$D, DM$2), SUMIFS(NewEmisData!K:K, NewEmisData!$A:$A, "LDV", NewEmisData!$B:$B, $A57, NewEmisData!$C:$C, $H57, NewEmisData!$D:$D, DM$2))</f>
        <v>0</v>
      </c>
      <c r="DN57" s="324">
        <f>$I57*IF($G57="Pickup", SUMIFS(NewEmisData!L:L, NewEmisData!$A:$A, "Pickup", NewEmisData!$B:$B, $A57, NewEmisData!$C:$C, $H57, NewEmisData!$D:$D, DN$2), SUMIFS(NewEmisData!L:L, NewEmisData!$A:$A, "LDV", NewEmisData!$B:$B, $A57, NewEmisData!$C:$C, $H57, NewEmisData!$D:$D, DN$2))</f>
        <v>0</v>
      </c>
      <c r="DO57" s="324">
        <f>$I57*IF($G57="Pickup", SUMIFS(NewEmisData!M:M, NewEmisData!$A:$A, "Pickup", NewEmisData!$B:$B, $A57, NewEmisData!$C:$C, $H57, NewEmisData!$D:$D, DO$2), SUMIFS(NewEmisData!M:M, NewEmisData!$A:$A, "LDV", NewEmisData!$B:$B, $A57, NewEmisData!$C:$C, $H57, NewEmisData!$D:$D, DO$2))</f>
        <v>0</v>
      </c>
      <c r="DP57" s="324">
        <f t="shared" si="14"/>
        <v>0</v>
      </c>
      <c r="DQ57" s="324">
        <f>$I57*IF($G57="Pickup", SUMIFS(NewEmisData!E:E, NewEmisData!$A:$A, "Pickup", NewEmisData!$B:$B, $A57, NewEmisData!$C:$C, $H57, NewEmisData!$D:$D, DQ$2), SUMIFS(NewEmisData!E:E, NewEmisData!$A:$A, "LDV", NewEmisData!$B:$B, $A57, NewEmisData!$C:$C, $H57, NewEmisData!$D:$D, DQ$2))</f>
        <v>1.72060513456559E-2</v>
      </c>
      <c r="DR57" s="324">
        <f>$I57*IF($G57="Pickup", SUMIFS(NewEmisData!F:F, NewEmisData!$A:$A, "Pickup", NewEmisData!$B:$B, $A57, NewEmisData!$C:$C, $H57, NewEmisData!$D:$D, DR$2), SUMIFS(NewEmisData!F:F, NewEmisData!$A:$A, "LDV", NewEmisData!$B:$B, $A57, NewEmisData!$C:$C, $H57, NewEmisData!$D:$D, DR$2))</f>
        <v>1.39445975504595E-2</v>
      </c>
      <c r="DS57" s="324">
        <f>$I57*IF($G57="Pickup", SUMIFS(NewEmisData!G:G, NewEmisData!$A:$A, "Pickup", NewEmisData!$B:$B, $A57, NewEmisData!$C:$C, $H57, NewEmisData!$D:$D, DS$2), SUMIFS(NewEmisData!G:G, NewEmisData!$A:$A, "LDV", NewEmisData!$B:$B, $A57, NewEmisData!$C:$C, $H57, NewEmisData!$D:$D, DS$2))</f>
        <v>1.1545350421749499E-2</v>
      </c>
      <c r="DT57" s="324">
        <f>$I57*IF($G57="Pickup", SUMIFS(NewEmisData!H:H, NewEmisData!$A:$A, "Pickup", NewEmisData!$B:$B, $A57, NewEmisData!$C:$C, $H57, NewEmisData!$D:$D, DT$2), SUMIFS(NewEmisData!H:H, NewEmisData!$A:$A, "LDV", NewEmisData!$B:$B, $A57, NewEmisData!$C:$C, $H57, NewEmisData!$D:$D, DT$2))</f>
        <v>8.6081220221104308E-3</v>
      </c>
      <c r="DU57" s="324">
        <f>$I57*IF($G57="Pickup", SUMIFS(NewEmisData!I:I, NewEmisData!$A:$A, "Pickup", NewEmisData!$B:$B, $A57, NewEmisData!$C:$C, $H57, NewEmisData!$D:$D, DU$2), SUMIFS(NewEmisData!I:I, NewEmisData!$A:$A, "LDV", NewEmisData!$B:$B, $A57, NewEmisData!$C:$C, $H57, NewEmisData!$D:$D, DU$2))</f>
        <v>7.3358997295851396E-3</v>
      </c>
      <c r="DV57" s="324">
        <f>$I57*IF($G57="Pickup", SUMIFS(NewEmisData!J:J, NewEmisData!$A:$A, "Pickup", NewEmisData!$B:$B, $A57, NewEmisData!$C:$C, $H57, NewEmisData!$D:$D, DV$2), SUMIFS(NewEmisData!J:J, NewEmisData!$A:$A, "LDV", NewEmisData!$B:$B, $A57, NewEmisData!$C:$C, $H57, NewEmisData!$D:$D, DV$2))</f>
        <v>6.80763615470716E-3</v>
      </c>
      <c r="DW57" s="324">
        <f>$I57*IF($G57="Pickup", SUMIFS(NewEmisData!K:K, NewEmisData!$A:$A, "Pickup", NewEmisData!$B:$B, $A57, NewEmisData!$C:$C, $H57, NewEmisData!$D:$D, DW$2), SUMIFS(NewEmisData!K:K, NewEmisData!$A:$A, "LDV", NewEmisData!$B:$B, $A57, NewEmisData!$C:$C, $H57, NewEmisData!$D:$D, DW$2))</f>
        <v>6.5187746094924597E-3</v>
      </c>
      <c r="DX57" s="324">
        <f>$I57*IF($G57="Pickup", SUMIFS(NewEmisData!L:L, NewEmisData!$A:$A, "Pickup", NewEmisData!$B:$B, $A57, NewEmisData!$C:$C, $H57, NewEmisData!$D:$D, DX$2), SUMIFS(NewEmisData!L:L, NewEmisData!$A:$A, "LDV", NewEmisData!$B:$B, $A57, NewEmisData!$C:$C, $H57, NewEmisData!$D:$D, DX$2))</f>
        <v>6.4360300854497997E-3</v>
      </c>
      <c r="DY57" s="324">
        <f>$I57*IF($G57="Pickup", SUMIFS(NewEmisData!M:M, NewEmisData!$A:$A, "Pickup", NewEmisData!$B:$B, $A57, NewEmisData!$C:$C, $H57, NewEmisData!$D:$D, DY$2), SUMIFS(NewEmisData!M:M, NewEmisData!$A:$A, "LDV", NewEmisData!$B:$B, $A57, NewEmisData!$C:$C, $H57, NewEmisData!$D:$D, DY$2))</f>
        <v>6.4555791711704098E-3</v>
      </c>
      <c r="DZ57" s="324">
        <f t="shared" si="15"/>
        <v>6.4555791711704098E-3</v>
      </c>
      <c r="EA57" s="324">
        <f t="shared" si="16"/>
        <v>544.06140229978803</v>
      </c>
      <c r="EB57" s="324">
        <f t="shared" si="17"/>
        <v>523.413327777066</v>
      </c>
      <c r="EC57" s="324">
        <f t="shared" si="18"/>
        <v>357.99141886123999</v>
      </c>
      <c r="ED57" s="324">
        <f t="shared" si="19"/>
        <v>312.66678906093301</v>
      </c>
      <c r="EE57" s="324">
        <f t="shared" si="20"/>
        <v>294.74575835697101</v>
      </c>
      <c r="EF57" s="324">
        <f t="shared" si="21"/>
        <v>286.352398145763</v>
      </c>
      <c r="EG57" s="324">
        <f t="shared" si="22"/>
        <v>279.91384153210601</v>
      </c>
      <c r="EH57" s="324">
        <f t="shared" si="23"/>
        <v>277.68437233076702</v>
      </c>
      <c r="EI57" s="324">
        <f t="shared" si="24"/>
        <v>277.87214787868902</v>
      </c>
      <c r="EJ57" s="324">
        <f t="shared" si="25"/>
        <v>277.87214787868902</v>
      </c>
      <c r="EK57" s="324">
        <f t="shared" si="26"/>
        <v>4.1591145158291702E-2</v>
      </c>
      <c r="EL57" s="324">
        <f t="shared" si="27"/>
        <v>3.3567901229069899E-2</v>
      </c>
      <c r="EM57" s="324">
        <f t="shared" si="28"/>
        <v>3.10903118023543E-2</v>
      </c>
      <c r="EN57" s="324">
        <f t="shared" si="29"/>
        <v>2.9494448323488E-2</v>
      </c>
      <c r="EO57" s="324">
        <f t="shared" si="30"/>
        <v>3.24157979138915E-2</v>
      </c>
      <c r="EP57" s="324">
        <f t="shared" si="31"/>
        <v>3.3172947032470201E-2</v>
      </c>
      <c r="EQ57" s="324">
        <f t="shared" si="32"/>
        <v>3.1994284946783497E-2</v>
      </c>
      <c r="ER57" s="324">
        <f t="shared" si="33"/>
        <v>3.1321415112152799E-2</v>
      </c>
      <c r="ES57" s="324">
        <f t="shared" si="34"/>
        <v>3.1760554326411998E-2</v>
      </c>
      <c r="ET57" s="324">
        <f t="shared" si="35"/>
        <v>3.1760554326411998E-2</v>
      </c>
      <c r="EU57" s="324">
        <f t="shared" si="36"/>
        <v>5.7604083038927199E-3</v>
      </c>
      <c r="EV57" s="324">
        <f t="shared" si="37"/>
        <v>5.5417937646853798E-3</v>
      </c>
      <c r="EW57" s="324">
        <f t="shared" si="38"/>
        <v>2.7566082972264299E-3</v>
      </c>
      <c r="EX57" s="324">
        <f t="shared" si="39"/>
        <v>2.4076004556077501E-3</v>
      </c>
      <c r="EY57" s="324">
        <f t="shared" si="40"/>
        <v>2.2696033600869301E-3</v>
      </c>
      <c r="EZ57" s="324">
        <f t="shared" si="41"/>
        <v>2.2049736201383199E-3</v>
      </c>
      <c r="FA57" s="324">
        <f t="shared" si="42"/>
        <v>2.1553953660312102E-3</v>
      </c>
      <c r="FB57" s="324">
        <f t="shared" si="43"/>
        <v>2.1382282417646901E-3</v>
      </c>
      <c r="FC57" s="324">
        <f t="shared" si="44"/>
        <v>2.1396749034826201E-3</v>
      </c>
      <c r="FD57" s="324">
        <f t="shared" si="45"/>
        <v>2.1396749034826201E-3</v>
      </c>
      <c r="FE57" s="324">
        <f t="shared" si="46"/>
        <v>9.5237657915846596E-2</v>
      </c>
      <c r="FF57" s="324">
        <f t="shared" si="47"/>
        <v>9.5233803814773199E-2</v>
      </c>
      <c r="FG57" s="324">
        <f t="shared" si="48"/>
        <v>7.6274845717456005E-2</v>
      </c>
      <c r="FH57" s="324">
        <f t="shared" si="49"/>
        <v>7.6015147426408802E-2</v>
      </c>
      <c r="FI57" s="324">
        <f t="shared" si="50"/>
        <v>7.5941173275762303E-2</v>
      </c>
      <c r="FJ57" s="324">
        <f t="shared" si="51"/>
        <v>7.5905318392472401E-2</v>
      </c>
      <c r="FK57" s="324">
        <f t="shared" si="52"/>
        <v>7.5746506350714102E-2</v>
      </c>
      <c r="FL57" s="324">
        <f t="shared" si="53"/>
        <v>7.5609197138019502E-2</v>
      </c>
      <c r="FM57" s="324">
        <f t="shared" si="54"/>
        <v>7.5600977518040596E-2</v>
      </c>
      <c r="FN57" s="324">
        <f t="shared" si="55"/>
        <v>7.5600977518040596E-2</v>
      </c>
      <c r="FO57" s="324">
        <f t="shared" si="56"/>
        <v>1.40169037450868E-2</v>
      </c>
      <c r="FP57" s="324">
        <f t="shared" si="57"/>
        <v>1.4013573377583501E-2</v>
      </c>
      <c r="FQ57" s="324">
        <f t="shared" si="58"/>
        <v>1.11562424125551E-2</v>
      </c>
      <c r="FR57" s="324">
        <f t="shared" si="59"/>
        <v>1.09265188788693E-2</v>
      </c>
      <c r="FS57" s="324">
        <f t="shared" si="60"/>
        <v>1.0861054896046199E-2</v>
      </c>
      <c r="FT57" s="324">
        <f t="shared" si="61"/>
        <v>1.08293882777488E-2</v>
      </c>
      <c r="FU57" s="324">
        <f t="shared" si="62"/>
        <v>1.06888930906526E-2</v>
      </c>
      <c r="FV57" s="324">
        <f t="shared" si="63"/>
        <v>1.05674353285179E-2</v>
      </c>
      <c r="FW57" s="324">
        <f t="shared" si="64"/>
        <v>1.05601708467511E-2</v>
      </c>
      <c r="FX57" s="324">
        <f t="shared" si="65"/>
        <v>1.05601708467511E-2</v>
      </c>
    </row>
    <row r="58" spans="1:180" x14ac:dyDescent="0.2">
      <c r="A58" s="298" t="str">
        <f>_xlfn.CONCAT(IF(LEFT(TRIM(A57),1)="*", "*R", "R"), 1+RIGHT(TRIM(A57),1))</f>
        <v>*R5</v>
      </c>
      <c r="B58" s="298" t="str">
        <f t="shared" si="112"/>
        <v>TLEETHX</v>
      </c>
      <c r="C58" s="298" t="str">
        <f t="shared" si="113"/>
        <v>TL.E85X.F.Existing fleet</v>
      </c>
      <c r="D58" s="294" t="str">
        <f t="shared" si="114"/>
        <v>bn-vmt, bn-vmt/a</v>
      </c>
      <c r="E58" s="294" t="str">
        <f t="shared" si="115"/>
        <v>TLE85X</v>
      </c>
      <c r="F58" s="294" t="str">
        <f t="shared" si="116"/>
        <v>TL</v>
      </c>
      <c r="G58" s="294" t="s">
        <v>476</v>
      </c>
      <c r="H58" s="294" t="s">
        <v>332</v>
      </c>
      <c r="I58" s="294">
        <v>1</v>
      </c>
      <c r="J58" s="308" t="str">
        <f t="shared" si="101"/>
        <v>Full size car-E85</v>
      </c>
      <c r="K58" s="324">
        <f>$I58*IF($G58="Pickup", SUMIFS(NewEmisData!E:E, NewEmisData!$A:$A, "Pickup", NewEmisData!$B:$B, $A58, NewEmisData!$C:$C, $H58, NewEmisData!$D:$D, K$2), SUMIFS(NewEmisData!E:E, NewEmisData!$A:$A, "LDV", NewEmisData!$B:$B, $A58, NewEmisData!$C:$C, $H58, NewEmisData!$D:$D, K$2))</f>
        <v>427.22035607805998</v>
      </c>
      <c r="L58" s="324">
        <f>$I58*IF($G58="Pickup", SUMIFS(NewEmisData!F:F, NewEmisData!$A:$A, "Pickup", NewEmisData!$B:$B, $A58, NewEmisData!$C:$C, $H58, NewEmisData!$D:$D, L$2), SUMIFS(NewEmisData!F:F, NewEmisData!$A:$A, "LDV", NewEmisData!$B:$B, $A58, NewEmisData!$C:$C, $H58, NewEmisData!$D:$D, L$2))</f>
        <v>410.99295031887198</v>
      </c>
      <c r="M58" s="324">
        <f>$I58*IF($G58="Pickup", SUMIFS(NewEmisData!G:G, NewEmisData!$A:$A, "Pickup", NewEmisData!$B:$B, $A58, NewEmisData!$C:$C, $H58, NewEmisData!$D:$D, M$2), SUMIFS(NewEmisData!G:G, NewEmisData!$A:$A, "LDV", NewEmisData!$B:$B, $A58, NewEmisData!$C:$C, $H58, NewEmisData!$D:$D, M$2))</f>
        <v>286.65796119002903</v>
      </c>
      <c r="N58" s="324">
        <f>$I58*IF($G58="Pickup", SUMIFS(NewEmisData!H:H, NewEmisData!$A:$A, "Pickup", NewEmisData!$B:$B, $A58, NewEmisData!$C:$C, $H58, NewEmisData!$D:$D, N$2), SUMIFS(NewEmisData!H:H, NewEmisData!$A:$A, "LDV", NewEmisData!$B:$B, $A58, NewEmisData!$C:$C, $H58, NewEmisData!$D:$D, N$2))</f>
        <v>251.42291340526501</v>
      </c>
      <c r="O58" s="324">
        <f>$I58*IF($G58="Pickup", SUMIFS(NewEmisData!I:I, NewEmisData!$A:$A, "Pickup", NewEmisData!$B:$B, $A58, NewEmisData!$C:$C, $H58, NewEmisData!$D:$D, O$2), SUMIFS(NewEmisData!I:I, NewEmisData!$A:$A, "LDV", NewEmisData!$B:$B, $A58, NewEmisData!$C:$C, $H58, NewEmisData!$D:$D, O$2))</f>
        <v>237.879150946539</v>
      </c>
      <c r="P58" s="324">
        <f>$I58*IF($G58="Pickup", SUMIFS(NewEmisData!J:J, NewEmisData!$A:$A, "Pickup", NewEmisData!$B:$B, $A58, NewEmisData!$C:$C, $H58, NewEmisData!$D:$D, P$2), SUMIFS(NewEmisData!J:J, NewEmisData!$A:$A, "LDV", NewEmisData!$B:$B, $A58, NewEmisData!$C:$C, $H58, NewEmisData!$D:$D, P$2))</f>
        <v>231.785973261176</v>
      </c>
      <c r="Q58" s="324">
        <f>$I58*IF($G58="Pickup", SUMIFS(NewEmisData!K:K, NewEmisData!$A:$A, "Pickup", NewEmisData!$B:$B, $A58, NewEmisData!$C:$C, $H58, NewEmisData!$D:$D, Q$2), SUMIFS(NewEmisData!K:K, NewEmisData!$A:$A, "LDV", NewEmisData!$B:$B, $A58, NewEmisData!$C:$C, $H58, NewEmisData!$D:$D, Q$2))</f>
        <v>226.95489929379499</v>
      </c>
      <c r="R58" s="324">
        <f>$I58*IF($G58="Pickup", SUMIFS(NewEmisData!L:L, NewEmisData!$A:$A, "Pickup", NewEmisData!$B:$B, $A58, NewEmisData!$C:$C, $H58, NewEmisData!$D:$D, R$2), SUMIFS(NewEmisData!L:L, NewEmisData!$A:$A, "LDV", NewEmisData!$B:$B, $A58, NewEmisData!$C:$C, $H58, NewEmisData!$D:$D, R$2))</f>
        <v>225.270240547784</v>
      </c>
      <c r="S58" s="324">
        <f>$I58*IF($G58="Pickup", SUMIFS(NewEmisData!M:M, NewEmisData!$A:$A, "Pickup", NewEmisData!$B:$B, $A58, NewEmisData!$C:$C, $H58, NewEmisData!$D:$D, S$2), SUMIFS(NewEmisData!M:M, NewEmisData!$A:$A, "LDV", NewEmisData!$B:$B, $A58, NewEmisData!$C:$C, $H58, NewEmisData!$D:$D, S$2))</f>
        <v>225.537595537371</v>
      </c>
      <c r="T58" s="324">
        <f t="shared" si="5"/>
        <v>225.537595537371</v>
      </c>
      <c r="U58" s="324">
        <f>$I58*IF($G58="Pickup", SUMIFS(NewEmisData!E:E, NewEmisData!$A:$A, "Pickup", NewEmisData!$B:$B, $A58, NewEmisData!$C:$C, $H58, NewEmisData!$D:$D, U$2), SUMIFS(NewEmisData!E:E, NewEmisData!$A:$A, "LDV", NewEmisData!$B:$B, $A58, NewEmisData!$C:$C, $H58, NewEmisData!$D:$D, U$2))</f>
        <v>5.43221938231905E-2</v>
      </c>
      <c r="V58" s="324">
        <f>$I58*IF($G58="Pickup", SUMIFS(NewEmisData!F:F, NewEmisData!$A:$A, "Pickup", NewEmisData!$B:$B, $A58, NewEmisData!$C:$C, $H58, NewEmisData!$D:$D, V$2), SUMIFS(NewEmisData!F:F, NewEmisData!$A:$A, "LDV", NewEmisData!$B:$B, $A58, NewEmisData!$C:$C, $H58, NewEmisData!$D:$D, V$2))</f>
        <v>4.5813368539693498E-2</v>
      </c>
      <c r="W58" s="324">
        <f>$I58*IF($G58="Pickup", SUMIFS(NewEmisData!G:G, NewEmisData!$A:$A, "Pickup", NewEmisData!$B:$B, $A58, NewEmisData!$C:$C, $H58, NewEmisData!$D:$D, W$2), SUMIFS(NewEmisData!G:G, NewEmisData!$A:$A, "LDV", NewEmisData!$B:$B, $A58, NewEmisData!$C:$C, $H58, NewEmisData!$D:$D, W$2))</f>
        <v>4.3138992375732398E-2</v>
      </c>
      <c r="X58" s="324">
        <f>$I58*IF($G58="Pickup", SUMIFS(NewEmisData!H:H, NewEmisData!$A:$A, "Pickup", NewEmisData!$B:$B, $A58, NewEmisData!$C:$C, $H58, NewEmisData!$D:$D, X$2), SUMIFS(NewEmisData!H:H, NewEmisData!$A:$A, "LDV", NewEmisData!$B:$B, $A58, NewEmisData!$C:$C, $H58, NewEmisData!$D:$D, X$2))</f>
        <v>4.22702301498529E-2</v>
      </c>
      <c r="Y58" s="324">
        <f>$I58*IF($G58="Pickup", SUMIFS(NewEmisData!I:I, NewEmisData!$A:$A, "Pickup", NewEmisData!$B:$B, $A58, NewEmisData!$C:$C, $H58, NewEmisData!$D:$D, Y$2), SUMIFS(NewEmisData!I:I, NewEmisData!$A:$A, "LDV", NewEmisData!$B:$B, $A58, NewEmisData!$C:$C, $H58, NewEmisData!$D:$D, Y$2))</f>
        <v>4.7266554092845102E-2</v>
      </c>
      <c r="Z58" s="324">
        <f>$I58*IF($G58="Pickup", SUMIFS(NewEmisData!J:J, NewEmisData!$A:$A, "Pickup", NewEmisData!$B:$B, $A58, NewEmisData!$C:$C, $H58, NewEmisData!$D:$D, Z$2), SUMIFS(NewEmisData!J:J, NewEmisData!$A:$A, "LDV", NewEmisData!$B:$B, $A58, NewEmisData!$C:$C, $H58, NewEmisData!$D:$D, Z$2))</f>
        <v>4.92796412957313E-2</v>
      </c>
      <c r="AA58" s="324">
        <f>$I58*IF($G58="Pickup", SUMIFS(NewEmisData!K:K, NewEmisData!$A:$A, "Pickup", NewEmisData!$B:$B, $A58, NewEmisData!$C:$C, $H58, NewEmisData!$D:$D, AA$2), SUMIFS(NewEmisData!K:K, NewEmisData!$A:$A, "LDV", NewEmisData!$B:$B, $A58, NewEmisData!$C:$C, $H58, NewEmisData!$D:$D, AA$2))</f>
        <v>4.83132390691993E-2</v>
      </c>
      <c r="AB58" s="324">
        <f>$I58*IF($G58="Pickup", SUMIFS(NewEmisData!L:L, NewEmisData!$A:$A, "Pickup", NewEmisData!$B:$B, $A58, NewEmisData!$C:$C, $H58, NewEmisData!$D:$D, AB$2), SUMIFS(NewEmisData!L:L, NewEmisData!$A:$A, "LDV", NewEmisData!$B:$B, $A58, NewEmisData!$C:$C, $H58, NewEmisData!$D:$D, AB$2))</f>
        <v>4.7598470704443001E-2</v>
      </c>
      <c r="AC58" s="324">
        <f>$I58*IF($G58="Pickup", SUMIFS(NewEmisData!M:M, NewEmisData!$A:$A, "Pickup", NewEmisData!$B:$B, $A58, NewEmisData!$C:$C, $H58, NewEmisData!$D:$D, AC$2), SUMIFS(NewEmisData!M:M, NewEmisData!$A:$A, "LDV", NewEmisData!$B:$B, $A58, NewEmisData!$C:$C, $H58, NewEmisData!$D:$D, AC$2))</f>
        <v>4.8291189756298203E-2</v>
      </c>
      <c r="AD58" s="324">
        <f t="shared" si="6"/>
        <v>4.8291189756298203E-2</v>
      </c>
      <c r="AE58" s="324">
        <f>$I58*IF($G58="Pickup", SUMIFS(NewEmisData!E:E, NewEmisData!$A:$A, "Pickup", NewEmisData!$B:$B, $A58, NewEmisData!$C:$C, $H58, NewEmisData!$D:$D, AE$2), SUMIFS(NewEmisData!E:E, NewEmisData!$A:$A, "LDV", NewEmisData!$B:$B, $A58, NewEmisData!$C:$C, $H58, NewEmisData!$D:$D, AE$2))</f>
        <v>4.5233219210783302E-3</v>
      </c>
      <c r="AF58" s="324">
        <f>$I58*IF($G58="Pickup", SUMIFS(NewEmisData!F:F, NewEmisData!$A:$A, "Pickup", NewEmisData!$B:$B, $A58, NewEmisData!$C:$C, $H58, NewEmisData!$D:$D, AF$2), SUMIFS(NewEmisData!F:F, NewEmisData!$A:$A, "LDV", NewEmisData!$B:$B, $A58, NewEmisData!$C:$C, $H58, NewEmisData!$D:$D, AF$2))</f>
        <v>4.35150523268109E-3</v>
      </c>
      <c r="AG58" s="324">
        <f>$I58*IF($G58="Pickup", SUMIFS(NewEmisData!G:G, NewEmisData!$A:$A, "Pickup", NewEmisData!$B:$B, $A58, NewEmisData!$C:$C, $H58, NewEmisData!$D:$D, AG$2), SUMIFS(NewEmisData!G:G, NewEmisData!$A:$A, "LDV", NewEmisData!$B:$B, $A58, NewEmisData!$C:$C, $H58, NewEmisData!$D:$D, AG$2))</f>
        <v>2.2073239302791599E-3</v>
      </c>
      <c r="AH58" s="324">
        <f>$I58*IF($G58="Pickup", SUMIFS(NewEmisData!H:H, NewEmisData!$A:$A, "Pickup", NewEmisData!$B:$B, $A58, NewEmisData!$C:$C, $H58, NewEmisData!$D:$D, AH$2), SUMIFS(NewEmisData!H:H, NewEmisData!$A:$A, "LDV", NewEmisData!$B:$B, $A58, NewEmisData!$C:$C, $H58, NewEmisData!$D:$D, AH$2))</f>
        <v>1.93600769277144E-3</v>
      </c>
      <c r="AI58" s="324">
        <f>$I58*IF($G58="Pickup", SUMIFS(NewEmisData!I:I, NewEmisData!$A:$A, "Pickup", NewEmisData!$B:$B, $A58, NewEmisData!$C:$C, $H58, NewEmisData!$D:$D, AI$2), SUMIFS(NewEmisData!I:I, NewEmisData!$A:$A, "LDV", NewEmisData!$B:$B, $A58, NewEmisData!$C:$C, $H58, NewEmisData!$D:$D, AI$2))</f>
        <v>1.83171782200173E-3</v>
      </c>
      <c r="AJ58" s="324">
        <f>$I58*IF($G58="Pickup", SUMIFS(NewEmisData!J:J, NewEmisData!$A:$A, "Pickup", NewEmisData!$B:$B, $A58, NewEmisData!$C:$C, $H58, NewEmisData!$D:$D, AJ$2), SUMIFS(NewEmisData!J:J, NewEmisData!$A:$A, "LDV", NewEmisData!$B:$B, $A58, NewEmisData!$C:$C, $H58, NewEmisData!$D:$D, AJ$2))</f>
        <v>1.7848006969164801E-3</v>
      </c>
      <c r="AK58" s="324">
        <f>$I58*IF($G58="Pickup", SUMIFS(NewEmisData!K:K, NewEmisData!$A:$A, "Pickup", NewEmisData!$B:$B, $A58, NewEmisData!$C:$C, $H58, NewEmisData!$D:$D, AK$2), SUMIFS(NewEmisData!K:K, NewEmisData!$A:$A, "LDV", NewEmisData!$B:$B, $A58, NewEmisData!$C:$C, $H58, NewEmisData!$D:$D, AK$2))</f>
        <v>1.74760082534328E-3</v>
      </c>
      <c r="AL58" s="324">
        <f>$I58*IF($G58="Pickup", SUMIFS(NewEmisData!L:L, NewEmisData!$A:$A, "Pickup", NewEmisData!$B:$B, $A58, NewEmisData!$C:$C, $H58, NewEmisData!$D:$D, AL$2), SUMIFS(NewEmisData!L:L, NewEmisData!$A:$A, "LDV", NewEmisData!$B:$B, $A58, NewEmisData!$C:$C, $H58, NewEmisData!$D:$D, AL$2))</f>
        <v>1.73462764249673E-3</v>
      </c>
      <c r="AM58" s="324">
        <f>$I58*IF($G58="Pickup", SUMIFS(NewEmisData!M:M, NewEmisData!$A:$A, "Pickup", NewEmisData!$B:$B, $A58, NewEmisData!$C:$C, $H58, NewEmisData!$D:$D, AM$2), SUMIFS(NewEmisData!M:M, NewEmisData!$A:$A, "LDV", NewEmisData!$B:$B, $A58, NewEmisData!$C:$C, $H58, NewEmisData!$D:$D, AM$2))</f>
        <v>1.7366872463193499E-3</v>
      </c>
      <c r="AN58" s="324">
        <f t="shared" si="7"/>
        <v>1.7366872463193499E-3</v>
      </c>
      <c r="AO58" s="324">
        <f>$I58*IF($G58="Pickup", SUMIFS(NewEmisData!E:E, NewEmisData!$A:$A, "Pickup", NewEmisData!$B:$B, $A58, NewEmisData!$C:$C, $H58, NewEmisData!$D:$D, AO$2), SUMIFS(NewEmisData!E:E, NewEmisData!$A:$A, "LDV", NewEmisData!$B:$B, $A58, NewEmisData!$C:$C, $H58, NewEmisData!$D:$D, AO$2))</f>
        <v>6.5525486311907397E-2</v>
      </c>
      <c r="AP58" s="324">
        <f>$I58*IF($G58="Pickup", SUMIFS(NewEmisData!F:F, NewEmisData!$A:$A, "Pickup", NewEmisData!$B:$B, $A58, NewEmisData!$C:$C, $H58, NewEmisData!$D:$D, AP$2), SUMIFS(NewEmisData!F:F, NewEmisData!$A:$A, "LDV", NewEmisData!$B:$B, $A58, NewEmisData!$C:$C, $H58, NewEmisData!$D:$D, AP$2))</f>
        <v>6.5532413100286402E-2</v>
      </c>
      <c r="AQ58" s="324">
        <f>$I58*IF($G58="Pickup", SUMIFS(NewEmisData!G:G, NewEmisData!$A:$A, "Pickup", NewEmisData!$B:$B, $A58, NewEmisData!$C:$C, $H58, NewEmisData!$D:$D, AQ$2), SUMIFS(NewEmisData!G:G, NewEmisData!$A:$A, "LDV", NewEmisData!$B:$B, $A58, NewEmisData!$C:$C, $H58, NewEmisData!$D:$D, AQ$2))</f>
        <v>4.72274911635963E-2</v>
      </c>
      <c r="AR58" s="324">
        <f>$I58*IF($G58="Pickup", SUMIFS(NewEmisData!H:H, NewEmisData!$A:$A, "Pickup", NewEmisData!$B:$B, $A58, NewEmisData!$C:$C, $H58, NewEmisData!$D:$D, AR$2), SUMIFS(NewEmisData!H:H, NewEmisData!$A:$A, "LDV", NewEmisData!$B:$B, $A58, NewEmisData!$C:$C, $H58, NewEmisData!$D:$D, AR$2))</f>
        <v>4.7004553415883499E-2</v>
      </c>
      <c r="AS58" s="324">
        <f>$I58*IF($G58="Pickup", SUMIFS(NewEmisData!I:I, NewEmisData!$A:$A, "Pickup", NewEmisData!$B:$B, $A58, NewEmisData!$C:$C, $H58, NewEmisData!$D:$D, AS$2), SUMIFS(NewEmisData!I:I, NewEmisData!$A:$A, "LDV", NewEmisData!$B:$B, $A58, NewEmisData!$C:$C, $H58, NewEmisData!$D:$D, AS$2))</f>
        <v>4.6951187368693102E-2</v>
      </c>
      <c r="AT58" s="324">
        <f>$I58*IF($G58="Pickup", SUMIFS(NewEmisData!J:J, NewEmisData!$A:$A, "Pickup", NewEmisData!$B:$B, $A58, NewEmisData!$C:$C, $H58, NewEmisData!$D:$D, AT$2), SUMIFS(NewEmisData!J:J, NewEmisData!$A:$A, "LDV", NewEmisData!$B:$B, $A58, NewEmisData!$C:$C, $H58, NewEmisData!$D:$D, AT$2))</f>
        <v>4.69310774047937E-2</v>
      </c>
      <c r="AU58" s="324">
        <f>$I58*IF($G58="Pickup", SUMIFS(NewEmisData!K:K, NewEmisData!$A:$A, "Pickup", NewEmisData!$B:$B, $A58, NewEmisData!$C:$C, $H58, NewEmisData!$D:$D, AU$2), SUMIFS(NewEmisData!K:K, NewEmisData!$A:$A, "LDV", NewEmisData!$B:$B, $A58, NewEmisData!$C:$C, $H58, NewEmisData!$D:$D, AU$2))</f>
        <v>4.6792796731001701E-2</v>
      </c>
      <c r="AV58" s="324">
        <f>$I58*IF($G58="Pickup", SUMIFS(NewEmisData!L:L, NewEmisData!$A:$A, "Pickup", NewEmisData!$B:$B, $A58, NewEmisData!$C:$C, $H58, NewEmisData!$D:$D, AV$2), SUMIFS(NewEmisData!L:L, NewEmisData!$A:$A, "LDV", NewEmisData!$B:$B, $A58, NewEmisData!$C:$C, $H58, NewEmisData!$D:$D, AV$2))</f>
        <v>4.6667520898197902E-2</v>
      </c>
      <c r="AW58" s="324">
        <f>$I58*IF($G58="Pickup", SUMIFS(NewEmisData!M:M, NewEmisData!$A:$A, "Pickup", NewEmisData!$B:$B, $A58, NewEmisData!$C:$C, $H58, NewEmisData!$D:$D, AW$2), SUMIFS(NewEmisData!M:M, NewEmisData!$A:$A, "LDV", NewEmisData!$B:$B, $A58, NewEmisData!$C:$C, $H58, NewEmisData!$D:$D, AW$2))</f>
        <v>4.6662125786885798E-2</v>
      </c>
      <c r="AX58" s="324">
        <f t="shared" si="8"/>
        <v>4.6662125786885798E-2</v>
      </c>
      <c r="AY58" s="324">
        <f>$I58*IF($G58="Pickup", SUMIFS(NewEmisData!E:E, NewEmisData!$A:$A, "Pickup", NewEmisData!$B:$B, $A58, NewEmisData!$C:$C, $H58, NewEmisData!$D:$D, AY$2), SUMIFS(NewEmisData!E:E, NewEmisData!$A:$A, "LDV", NewEmisData!$B:$B, $A58, NewEmisData!$C:$C, $H58, NewEmisData!$D:$D, AY$2))</f>
        <v>1.0010238476339899E-2</v>
      </c>
      <c r="AZ58" s="324">
        <f>$I58*IF($G58="Pickup", SUMIFS(NewEmisData!F:F, NewEmisData!$A:$A, "Pickup", NewEmisData!$B:$B, $A58, NewEmisData!$C:$C, $H58, NewEmisData!$D:$D, AZ$2), SUMIFS(NewEmisData!F:F, NewEmisData!$A:$A, "LDV", NewEmisData!$B:$B, $A58, NewEmisData!$C:$C, $H58, NewEmisData!$D:$D, AZ$2))</f>
        <v>1.00161273530144E-2</v>
      </c>
      <c r="BA58" s="324">
        <f>$I58*IF($G58="Pickup", SUMIFS(NewEmisData!G:G, NewEmisData!$A:$A, "Pickup", NewEmisData!$B:$B, $A58, NewEmisData!$C:$C, $H58, NewEmisData!$D:$D, BA$2), SUMIFS(NewEmisData!G:G, NewEmisData!$A:$A, "LDV", NewEmisData!$B:$B, $A58, NewEmisData!$C:$C, $H58, NewEmisData!$D:$D, BA$2))</f>
        <v>7.3231092956545603E-3</v>
      </c>
      <c r="BB58" s="324">
        <f>$I58*IF($G58="Pickup", SUMIFS(NewEmisData!H:H, NewEmisData!$A:$A, "Pickup", NewEmisData!$B:$B, $A58, NewEmisData!$C:$C, $H58, NewEmisData!$D:$D, BB$2), SUMIFS(NewEmisData!H:H, NewEmisData!$A:$A, "LDV", NewEmisData!$B:$B, $A58, NewEmisData!$C:$C, $H58, NewEmisData!$D:$D, BB$2))</f>
        <v>7.1259171686559502E-3</v>
      </c>
      <c r="BC58" s="324">
        <f>$I58*IF($G58="Pickup", SUMIFS(NewEmisData!I:I, NewEmisData!$A:$A, "Pickup", NewEmisData!$B:$B, $A58, NewEmisData!$C:$C, $H58, NewEmisData!$D:$D, BC$2), SUMIFS(NewEmisData!I:I, NewEmisData!$A:$A, "LDV", NewEmisData!$B:$B, $A58, NewEmisData!$C:$C, $H58, NewEmisData!$D:$D, BC$2))</f>
        <v>7.0786866585371699E-3</v>
      </c>
      <c r="BD58" s="324">
        <f>$I58*IF($G58="Pickup", SUMIFS(NewEmisData!J:J, NewEmisData!$A:$A, "Pickup", NewEmisData!$B:$B, $A58, NewEmisData!$C:$C, $H58, NewEmisData!$D:$D, BD$2), SUMIFS(NewEmisData!J:J, NewEmisData!$A:$A, "LDV", NewEmisData!$B:$B, $A58, NewEmisData!$C:$C, $H58, NewEmisData!$D:$D, BD$2))</f>
        <v>7.0609240367398201E-3</v>
      </c>
      <c r="BE58" s="324">
        <f>$I58*IF($G58="Pickup", SUMIFS(NewEmisData!K:K, NewEmisData!$A:$A, "Pickup", NewEmisData!$B:$B, $A58, NewEmisData!$C:$C, $H58, NewEmisData!$D:$D, BE$2), SUMIFS(NewEmisData!K:K, NewEmisData!$A:$A, "LDV", NewEmisData!$B:$B, $A58, NewEmisData!$C:$C, $H58, NewEmisData!$D:$D, BE$2))</f>
        <v>6.9386110678336301E-3</v>
      </c>
      <c r="BF58" s="324">
        <f>$I58*IF($G58="Pickup", SUMIFS(NewEmisData!L:L, NewEmisData!$A:$A, "Pickup", NewEmisData!$B:$B, $A58, NewEmisData!$C:$C, $H58, NewEmisData!$D:$D, BF$2), SUMIFS(NewEmisData!L:L, NewEmisData!$A:$A, "LDV", NewEmisData!$B:$B, $A58, NewEmisData!$C:$C, $H58, NewEmisData!$D:$D, BF$2))</f>
        <v>6.8278327244941798E-3</v>
      </c>
      <c r="BG58" s="324">
        <f>$I58*IF($G58="Pickup", SUMIFS(NewEmisData!M:M, NewEmisData!$A:$A, "Pickup", NewEmisData!$B:$B, $A58, NewEmisData!$C:$C, $H58, NewEmisData!$D:$D, BG$2), SUMIFS(NewEmisData!M:M, NewEmisData!$A:$A, "LDV", NewEmisData!$B:$B, $A58, NewEmisData!$C:$C, $H58, NewEmisData!$D:$D, BG$2))</f>
        <v>6.8230359525153703E-3</v>
      </c>
      <c r="BH58" s="324">
        <f t="shared" si="9"/>
        <v>6.8230359525153703E-3</v>
      </c>
      <c r="BI58" s="324">
        <f>$I58*IF($G58="Pickup", SUMIFS(NewEmisData!E:E, NewEmisData!$A:$A, "Pickup", NewEmisData!$B:$B, $A58, NewEmisData!$C:$C, $H58, NewEmisData!$D:$D, BI$2), SUMIFS(NewEmisData!E:E, NewEmisData!$A:$A, "LDV", NewEmisData!$B:$B, $A58, NewEmisData!$C:$C, $H58, NewEmisData!$D:$D, BI$2))</f>
        <v>1.48251124534534</v>
      </c>
      <c r="BJ58" s="324">
        <f>$I58*IF($G58="Pickup", SUMIFS(NewEmisData!F:F, NewEmisData!$A:$A, "Pickup", NewEmisData!$B:$B, $A58, NewEmisData!$C:$C, $H58, NewEmisData!$D:$D, BJ$2), SUMIFS(NewEmisData!F:F, NewEmisData!$A:$A, "LDV", NewEmisData!$B:$B, $A58, NewEmisData!$C:$C, $H58, NewEmisData!$D:$D, BJ$2))</f>
        <v>1.22808663434379</v>
      </c>
      <c r="BK58" s="324">
        <f>$I58*IF($G58="Pickup", SUMIFS(NewEmisData!G:G, NewEmisData!$A:$A, "Pickup", NewEmisData!$B:$B, $A58, NewEmisData!$C:$C, $H58, NewEmisData!$D:$D, BK$2), SUMIFS(NewEmisData!G:G, NewEmisData!$A:$A, "LDV", NewEmisData!$B:$B, $A58, NewEmisData!$C:$C, $H58, NewEmisData!$D:$D, BK$2))</f>
        <v>0.91807354200382896</v>
      </c>
      <c r="BL58" s="324">
        <f>$I58*IF($G58="Pickup", SUMIFS(NewEmisData!H:H, NewEmisData!$A:$A, "Pickup", NewEmisData!$B:$B, $A58, NewEmisData!$C:$C, $H58, NewEmisData!$D:$D, BL$2), SUMIFS(NewEmisData!H:H, NewEmisData!$A:$A, "LDV", NewEmisData!$B:$B, $A58, NewEmisData!$C:$C, $H58, NewEmisData!$D:$D, BL$2))</f>
        <v>0.98238297821727305</v>
      </c>
      <c r="BM58" s="324">
        <f>$I58*IF($G58="Pickup", SUMIFS(NewEmisData!I:I, NewEmisData!$A:$A, "Pickup", NewEmisData!$B:$B, $A58, NewEmisData!$C:$C, $H58, NewEmisData!$D:$D, BM$2), SUMIFS(NewEmisData!I:I, NewEmisData!$A:$A, "LDV", NewEmisData!$B:$B, $A58, NewEmisData!$C:$C, $H58, NewEmisData!$D:$D, BM$2))</f>
        <v>1.0725932306113299</v>
      </c>
      <c r="BN58" s="324">
        <f>$I58*IF($G58="Pickup", SUMIFS(NewEmisData!J:J, NewEmisData!$A:$A, "Pickup", NewEmisData!$B:$B, $A58, NewEmisData!$C:$C, $H58, NewEmisData!$D:$D, BN$2), SUMIFS(NewEmisData!J:J, NewEmisData!$A:$A, "LDV", NewEmisData!$B:$B, $A58, NewEmisData!$C:$C, $H58, NewEmisData!$D:$D, BN$2))</f>
        <v>1.1199441114408999</v>
      </c>
      <c r="BO58" s="324">
        <f>$I58*IF($G58="Pickup", SUMIFS(NewEmisData!K:K, NewEmisData!$A:$A, "Pickup", NewEmisData!$B:$B, $A58, NewEmisData!$C:$C, $H58, NewEmisData!$D:$D, BO$2), SUMIFS(NewEmisData!K:K, NewEmisData!$A:$A, "LDV", NewEmisData!$B:$B, $A58, NewEmisData!$C:$C, $H58, NewEmisData!$D:$D, BO$2))</f>
        <v>1.10453796202271</v>
      </c>
      <c r="BP58" s="324">
        <f>$I58*IF($G58="Pickup", SUMIFS(NewEmisData!L:L, NewEmisData!$A:$A, "Pickup", NewEmisData!$B:$B, $A58, NewEmisData!$C:$C, $H58, NewEmisData!$D:$D, BP$2), SUMIFS(NewEmisData!L:L, NewEmisData!$A:$A, "LDV", NewEmisData!$B:$B, $A58, NewEmisData!$C:$C, $H58, NewEmisData!$D:$D, BP$2))</f>
        <v>1.0907612634210799</v>
      </c>
      <c r="BQ58" s="324">
        <f>$I58*IF($G58="Pickup", SUMIFS(NewEmisData!M:M, NewEmisData!$A:$A, "Pickup", NewEmisData!$B:$B, $A58, NewEmisData!$C:$C, $H58, NewEmisData!$D:$D, BQ$2), SUMIFS(NewEmisData!M:M, NewEmisData!$A:$A, "LDV", NewEmisData!$B:$B, $A58, NewEmisData!$C:$C, $H58, NewEmisData!$D:$D, BQ$2))</f>
        <v>1.1043108576684499</v>
      </c>
      <c r="BR58" s="324">
        <f t="shared" si="10"/>
        <v>1.1043108576684499</v>
      </c>
      <c r="BS58" s="324">
        <f>$I58*IF($G58="Pickup", SUMIFS(NewEmisData!E:E, NewEmisData!$A:$A, "Pickup", NewEmisData!$B:$B, $A58, NewEmisData!$C:$C, $H58, NewEmisData!$D:$D, BS$2), SUMIFS(NewEmisData!E:E, NewEmisData!$A:$A, "LDV", NewEmisData!$B:$B, $A58, NewEmisData!$C:$C, $H58, NewEmisData!$D:$D, BS$2))</f>
        <v>0.16321186757077699</v>
      </c>
      <c r="BT58" s="324">
        <f>$I58*IF($G58="Pickup", SUMIFS(NewEmisData!F:F, NewEmisData!$A:$A, "Pickup", NewEmisData!$B:$B, $A58, NewEmisData!$C:$C, $H58, NewEmisData!$D:$D, BT$2), SUMIFS(NewEmisData!F:F, NewEmisData!$A:$A, "LDV", NewEmisData!$B:$B, $A58, NewEmisData!$C:$C, $H58, NewEmisData!$D:$D, BT$2))</f>
        <v>0.154397875969284</v>
      </c>
      <c r="BU58" s="324">
        <f>$I58*IF($G58="Pickup", SUMIFS(NewEmisData!G:G, NewEmisData!$A:$A, "Pickup", NewEmisData!$B:$B, $A58, NewEmisData!$C:$C, $H58, NewEmisData!$D:$D, BU$2), SUMIFS(NewEmisData!G:G, NewEmisData!$A:$A, "LDV", NewEmisData!$B:$B, $A58, NewEmisData!$C:$C, $H58, NewEmisData!$D:$D, BU$2))</f>
        <v>0.10925895770364299</v>
      </c>
      <c r="BV58" s="324">
        <f>$I58*IF($G58="Pickup", SUMIFS(NewEmisData!H:H, NewEmisData!$A:$A, "Pickup", NewEmisData!$B:$B, $A58, NewEmisData!$C:$C, $H58, NewEmisData!$D:$D, BV$2), SUMIFS(NewEmisData!H:H, NewEmisData!$A:$A, "LDV", NewEmisData!$B:$B, $A58, NewEmisData!$C:$C, $H58, NewEmisData!$D:$D, BV$2))</f>
        <v>0.10320250472907801</v>
      </c>
      <c r="BW58" s="324">
        <f>$I58*IF($G58="Pickup", SUMIFS(NewEmisData!I:I, NewEmisData!$A:$A, "Pickup", NewEmisData!$B:$B, $A58, NewEmisData!$C:$C, $H58, NewEmisData!$D:$D, BW$2), SUMIFS(NewEmisData!I:I, NewEmisData!$A:$A, "LDV", NewEmisData!$B:$B, $A58, NewEmisData!$C:$C, $H58, NewEmisData!$D:$D, BW$2))</f>
        <v>0.120586776372786</v>
      </c>
      <c r="BX58" s="324">
        <f>$I58*IF($G58="Pickup", SUMIFS(NewEmisData!J:J, NewEmisData!$A:$A, "Pickup", NewEmisData!$B:$B, $A58, NewEmisData!$C:$C, $H58, NewEmisData!$D:$D, BX$2), SUMIFS(NewEmisData!J:J, NewEmisData!$A:$A, "LDV", NewEmisData!$B:$B, $A58, NewEmisData!$C:$C, $H58, NewEmisData!$D:$D, BX$2))</f>
        <v>0.14263504906803201</v>
      </c>
      <c r="BY58" s="324">
        <f>$I58*IF($G58="Pickup", SUMIFS(NewEmisData!K:K, NewEmisData!$A:$A, "Pickup", NewEmisData!$B:$B, $A58, NewEmisData!$C:$C, $H58, NewEmisData!$D:$D, BY$2), SUMIFS(NewEmisData!K:K, NewEmisData!$A:$A, "LDV", NewEmisData!$B:$B, $A58, NewEmisData!$C:$C, $H58, NewEmisData!$D:$D, BY$2))</f>
        <v>0.15896719271608001</v>
      </c>
      <c r="BZ58" s="324">
        <f>$I58*IF($G58="Pickup", SUMIFS(NewEmisData!L:L, NewEmisData!$A:$A, "Pickup", NewEmisData!$B:$B, $A58, NewEmisData!$C:$C, $H58, NewEmisData!$D:$D, BZ$2), SUMIFS(NewEmisData!L:L, NewEmisData!$A:$A, "LDV", NewEmisData!$B:$B, $A58, NewEmisData!$C:$C, $H58, NewEmisData!$D:$D, BZ$2))</f>
        <v>0.16492550955944399</v>
      </c>
      <c r="CA58" s="324">
        <f>$I58*IF($G58="Pickup", SUMIFS(NewEmisData!M:M, NewEmisData!$A:$A, "Pickup", NewEmisData!$B:$B, $A58, NewEmisData!$C:$C, $H58, NewEmisData!$D:$D, CA$2), SUMIFS(NewEmisData!M:M, NewEmisData!$A:$A, "LDV", NewEmisData!$B:$B, $A58, NewEmisData!$C:$C, $H58, NewEmisData!$D:$D, CA$2))</f>
        <v>0.17726949696552699</v>
      </c>
      <c r="CB58" s="324">
        <f t="shared" si="11"/>
        <v>0.17726949696552699</v>
      </c>
      <c r="CC58" s="324">
        <f>$I58*IF($G58="Pickup", SUMIFS(NewEmisData!E:E, NewEmisData!$A:$A, "Pickup", NewEmisData!$B:$B, $A58, NewEmisData!$C:$C, $H58, NewEmisData!$D:$D, CC$2), SUMIFS(NewEmisData!E:E, NewEmisData!$A:$A, "LDV", NewEmisData!$B:$B, $A58, NewEmisData!$C:$C, $H58, NewEmisData!$D:$D, CC$2))</f>
        <v>1.8729600919409201E-2</v>
      </c>
      <c r="CD58" s="324">
        <f>$I58*IF($G58="Pickup", SUMIFS(NewEmisData!F:F, NewEmisData!$A:$A, "Pickup", NewEmisData!$B:$B, $A58, NewEmisData!$C:$C, $H58, NewEmisData!$D:$D, CD$2), SUMIFS(NewEmisData!F:F, NewEmisData!$A:$A, "LDV", NewEmisData!$B:$B, $A58, NewEmisData!$C:$C, $H58, NewEmisData!$D:$D, CD$2))</f>
        <v>1.87295992113196E-2</v>
      </c>
      <c r="CE58" s="324">
        <f>$I58*IF($G58="Pickup", SUMIFS(NewEmisData!G:G, NewEmisData!$A:$A, "Pickup", NewEmisData!$B:$B, $A58, NewEmisData!$C:$C, $H58, NewEmisData!$D:$D, CE$2), SUMIFS(NewEmisData!G:G, NewEmisData!$A:$A, "LDV", NewEmisData!$B:$B, $A58, NewEmisData!$C:$C, $H58, NewEmisData!$D:$D, CE$2))</f>
        <v>1.7896401271485798E-2</v>
      </c>
      <c r="CF58" s="324">
        <f>$I58*IF($G58="Pickup", SUMIFS(NewEmisData!H:H, NewEmisData!$A:$A, "Pickup", NewEmisData!$B:$B, $A58, NewEmisData!$C:$C, $H58, NewEmisData!$D:$D, CF$2), SUMIFS(NewEmisData!H:H, NewEmisData!$A:$A, "LDV", NewEmisData!$B:$B, $A58, NewEmisData!$C:$C, $H58, NewEmisData!$D:$D, CF$2))</f>
        <v>1.8442422202507001E-2</v>
      </c>
      <c r="CG58" s="324">
        <f>$I58*IF($G58="Pickup", SUMIFS(NewEmisData!I:I, NewEmisData!$A:$A, "Pickup", NewEmisData!$B:$B, $A58, NewEmisData!$C:$C, $H58, NewEmisData!$D:$D, CG$2), SUMIFS(NewEmisData!I:I, NewEmisData!$A:$A, "LDV", NewEmisData!$B:$B, $A58, NewEmisData!$C:$C, $H58, NewEmisData!$D:$D, CG$2))</f>
        <v>2.00045303285145E-2</v>
      </c>
      <c r="CH58" s="324">
        <f>$I58*IF($G58="Pickup", SUMIFS(NewEmisData!J:J, NewEmisData!$A:$A, "Pickup", NewEmisData!$B:$B, $A58, NewEmisData!$C:$C, $H58, NewEmisData!$D:$D, CH$2), SUMIFS(NewEmisData!J:J, NewEmisData!$A:$A, "LDV", NewEmisData!$B:$B, $A58, NewEmisData!$C:$C, $H58, NewEmisData!$D:$D, CH$2))</f>
        <v>2.0893189392550599E-2</v>
      </c>
      <c r="CI58" s="324">
        <f>$I58*IF($G58="Pickup", SUMIFS(NewEmisData!K:K, NewEmisData!$A:$A, "Pickup", NewEmisData!$B:$B, $A58, NewEmisData!$C:$C, $H58, NewEmisData!$D:$D, CI$2), SUMIFS(NewEmisData!K:K, NewEmisData!$A:$A, "LDV", NewEmisData!$B:$B, $A58, NewEmisData!$C:$C, $H58, NewEmisData!$D:$D, CI$2))</f>
        <v>2.1181769136144502E-2</v>
      </c>
      <c r="CJ58" s="324">
        <f>$I58*IF($G58="Pickup", SUMIFS(NewEmisData!L:L, NewEmisData!$A:$A, "Pickup", NewEmisData!$B:$B, $A58, NewEmisData!$C:$C, $H58, NewEmisData!$D:$D, CJ$2), SUMIFS(NewEmisData!L:L, NewEmisData!$A:$A, "LDV", NewEmisData!$B:$B, $A58, NewEmisData!$C:$C, $H58, NewEmisData!$D:$D, CJ$2))</f>
        <v>2.1238997688836601E-2</v>
      </c>
      <c r="CK58" s="324">
        <f>$I58*IF($G58="Pickup", SUMIFS(NewEmisData!M:M, NewEmisData!$A:$A, "Pickup", NewEmisData!$B:$B, $A58, NewEmisData!$C:$C, $H58, NewEmisData!$D:$D, CK$2), SUMIFS(NewEmisData!M:M, NewEmisData!$A:$A, "LDV", NewEmisData!$B:$B, $A58, NewEmisData!$C:$C, $H58, NewEmisData!$D:$D, CK$2))</f>
        <v>2.1267714859422301E-2</v>
      </c>
      <c r="CL58" s="324">
        <f t="shared" si="12"/>
        <v>2.1267714859422301E-2</v>
      </c>
      <c r="CM58" s="324">
        <f>$I58*IF($G58="Pickup", SUMIFS(NewEmisData!E:E, NewEmisData!$A:$A, "Pickup", NewEmisData!$B:$B, $A58, NewEmisData!$C:$C, $H58, NewEmisData!$D:$D, CM$2), SUMIFS(NewEmisData!E:E, NewEmisData!$A:$A, "LDV", NewEmisData!$B:$B, $A58, NewEmisData!$C:$C, $H58, NewEmisData!$D:$D, CM$2))</f>
        <v>7.2287830937431304E-3</v>
      </c>
      <c r="CN58" s="324">
        <f>$I58*IF($G58="Pickup", SUMIFS(NewEmisData!F:F, NewEmisData!$A:$A, "Pickup", NewEmisData!$B:$B, $A58, NewEmisData!$C:$C, $H58, NewEmisData!$D:$D, CN$2), SUMIFS(NewEmisData!F:F, NewEmisData!$A:$A, "LDV", NewEmisData!$B:$B, $A58, NewEmisData!$C:$C, $H58, NewEmisData!$D:$D, CN$2))</f>
        <v>7.4146327299102702E-3</v>
      </c>
      <c r="CO58" s="324">
        <f>$I58*IF($G58="Pickup", SUMIFS(NewEmisData!G:G, NewEmisData!$A:$A, "Pickup", NewEmisData!$B:$B, $A58, NewEmisData!$C:$C, $H58, NewEmisData!$D:$D, CO$2), SUMIFS(NewEmisData!G:G, NewEmisData!$A:$A, "LDV", NewEmisData!$B:$B, $A58, NewEmisData!$C:$C, $H58, NewEmisData!$D:$D, CO$2))</f>
        <v>6.76375506570253E-3</v>
      </c>
      <c r="CP58" s="324">
        <f>$I58*IF($G58="Pickup", SUMIFS(NewEmisData!H:H, NewEmisData!$A:$A, "Pickup", NewEmisData!$B:$B, $A58, NewEmisData!$C:$C, $H58, NewEmisData!$D:$D, CP$2), SUMIFS(NewEmisData!H:H, NewEmisData!$A:$A, "LDV", NewEmisData!$B:$B, $A58, NewEmisData!$C:$C, $H58, NewEmisData!$D:$D, CP$2))</f>
        <v>6.9716691870337104E-3</v>
      </c>
      <c r="CQ58" s="324">
        <f>$I58*IF($G58="Pickup", SUMIFS(NewEmisData!I:I, NewEmisData!$A:$A, "Pickup", NewEmisData!$B:$B, $A58, NewEmisData!$C:$C, $H58, NewEmisData!$D:$D, CQ$2), SUMIFS(NewEmisData!I:I, NewEmisData!$A:$A, "LDV", NewEmisData!$B:$B, $A58, NewEmisData!$C:$C, $H58, NewEmisData!$D:$D, CQ$2))</f>
        <v>7.2825939573400002E-3</v>
      </c>
      <c r="CR58" s="324">
        <f>$I58*IF($G58="Pickup", SUMIFS(NewEmisData!J:J, NewEmisData!$A:$A, "Pickup", NewEmisData!$B:$B, $A58, NewEmisData!$C:$C, $H58, NewEmisData!$D:$D, CR$2), SUMIFS(NewEmisData!J:J, NewEmisData!$A:$A, "LDV", NewEmisData!$B:$B, $A58, NewEmisData!$C:$C, $H58, NewEmisData!$D:$D, CR$2))</f>
        <v>7.5880838814802402E-3</v>
      </c>
      <c r="CS58" s="324">
        <f>$I58*IF($G58="Pickup", SUMIFS(NewEmisData!K:K, NewEmisData!$A:$A, "Pickup", NewEmisData!$B:$B, $A58, NewEmisData!$C:$C, $H58, NewEmisData!$D:$D, CS$2), SUMIFS(NewEmisData!K:K, NewEmisData!$A:$A, "LDV", NewEmisData!$B:$B, $A58, NewEmisData!$C:$C, $H58, NewEmisData!$D:$D, CS$2))</f>
        <v>7.7486002757361496E-3</v>
      </c>
      <c r="CT58" s="324">
        <f>$I58*IF($G58="Pickup", SUMIFS(NewEmisData!L:L, NewEmisData!$A:$A, "Pickup", NewEmisData!$B:$B, $A58, NewEmisData!$C:$C, $H58, NewEmisData!$D:$D, CT$2), SUMIFS(NewEmisData!L:L, NewEmisData!$A:$A, "LDV", NewEmisData!$B:$B, $A58, NewEmisData!$C:$C, $H58, NewEmisData!$D:$D, CT$2))</f>
        <v>7.8025827022679597E-3</v>
      </c>
      <c r="CU58" s="324">
        <f>$I58*IF($G58="Pickup", SUMIFS(NewEmisData!M:M, NewEmisData!$A:$A, "Pickup", NewEmisData!$B:$B, $A58, NewEmisData!$C:$C, $H58, NewEmisData!$D:$D, CU$2), SUMIFS(NewEmisData!M:M, NewEmisData!$A:$A, "LDV", NewEmisData!$B:$B, $A58, NewEmisData!$C:$C, $H58, NewEmisData!$D:$D, CU$2))</f>
        <v>7.8727516933241991E-3</v>
      </c>
      <c r="CV58" s="324">
        <f t="shared" si="13"/>
        <v>7.8727516933241991E-3</v>
      </c>
      <c r="CW58" s="324">
        <v>2.3565166490963768E-3</v>
      </c>
      <c r="CX58" s="324">
        <v>1.9673319546263789E-3</v>
      </c>
      <c r="CY58" s="324">
        <v>1.6026857138538807E-3</v>
      </c>
      <c r="CZ58" s="324">
        <v>1.3411753569780424E-3</v>
      </c>
      <c r="DA58" s="324">
        <v>1.0123523956178946E-3</v>
      </c>
      <c r="DB58" s="324">
        <v>7.9852111520206551E-4</v>
      </c>
      <c r="DC58" s="324">
        <v>7.6707942200167378E-4</v>
      </c>
      <c r="DD58" s="324">
        <v>7.5828050366392866E-4</v>
      </c>
      <c r="DE58" s="324">
        <v>7.5710079606015706E-4</v>
      </c>
      <c r="DF58" s="324">
        <v>7.5710079606015706E-4</v>
      </c>
      <c r="DG58" s="324">
        <f>$I58*IF($G58="Pickup", SUMIFS(NewEmisData!E:E, NewEmisData!$A:$A, "Pickup", NewEmisData!$B:$B, $A58, NewEmisData!$C:$C, $H58, NewEmisData!$D:$D, DG$2), SUMIFS(NewEmisData!E:E, NewEmisData!$A:$A, "LDV", NewEmisData!$B:$B, $A58, NewEmisData!$C:$C, $H58, NewEmisData!$D:$D, DG$2))</f>
        <v>0</v>
      </c>
      <c r="DH58" s="324">
        <f>$I58*IF($G58="Pickup", SUMIFS(NewEmisData!F:F, NewEmisData!$A:$A, "Pickup", NewEmisData!$B:$B, $A58, NewEmisData!$C:$C, $H58, NewEmisData!$D:$D, DH$2), SUMIFS(NewEmisData!F:F, NewEmisData!$A:$A, "LDV", NewEmisData!$B:$B, $A58, NewEmisData!$C:$C, $H58, NewEmisData!$D:$D, DH$2))</f>
        <v>0</v>
      </c>
      <c r="DI58" s="324">
        <f>$I58*IF($G58="Pickup", SUMIFS(NewEmisData!G:G, NewEmisData!$A:$A, "Pickup", NewEmisData!$B:$B, $A58, NewEmisData!$C:$C, $H58, NewEmisData!$D:$D, DI$2), SUMIFS(NewEmisData!G:G, NewEmisData!$A:$A, "LDV", NewEmisData!$B:$B, $A58, NewEmisData!$C:$C, $H58, NewEmisData!$D:$D, DI$2))</f>
        <v>0</v>
      </c>
      <c r="DJ58" s="324">
        <f>$I58*IF($G58="Pickup", SUMIFS(NewEmisData!H:H, NewEmisData!$A:$A, "Pickup", NewEmisData!$B:$B, $A58, NewEmisData!$C:$C, $H58, NewEmisData!$D:$D, DJ$2), SUMIFS(NewEmisData!H:H, NewEmisData!$A:$A, "LDV", NewEmisData!$B:$B, $A58, NewEmisData!$C:$C, $H58, NewEmisData!$D:$D, DJ$2))</f>
        <v>0</v>
      </c>
      <c r="DK58" s="324">
        <f>$I58*IF($G58="Pickup", SUMIFS(NewEmisData!I:I, NewEmisData!$A:$A, "Pickup", NewEmisData!$B:$B, $A58, NewEmisData!$C:$C, $H58, NewEmisData!$D:$D, DK$2), SUMIFS(NewEmisData!I:I, NewEmisData!$A:$A, "LDV", NewEmisData!$B:$B, $A58, NewEmisData!$C:$C, $H58, NewEmisData!$D:$D, DK$2))</f>
        <v>0</v>
      </c>
      <c r="DL58" s="324">
        <f>$I58*IF($G58="Pickup", SUMIFS(NewEmisData!J:J, NewEmisData!$A:$A, "Pickup", NewEmisData!$B:$B, $A58, NewEmisData!$C:$C, $H58, NewEmisData!$D:$D, DL$2), SUMIFS(NewEmisData!J:J, NewEmisData!$A:$A, "LDV", NewEmisData!$B:$B, $A58, NewEmisData!$C:$C, $H58, NewEmisData!$D:$D, DL$2))</f>
        <v>0</v>
      </c>
      <c r="DM58" s="324">
        <f>$I58*IF($G58="Pickup", SUMIFS(NewEmisData!K:K, NewEmisData!$A:$A, "Pickup", NewEmisData!$B:$B, $A58, NewEmisData!$C:$C, $H58, NewEmisData!$D:$D, DM$2), SUMIFS(NewEmisData!K:K, NewEmisData!$A:$A, "LDV", NewEmisData!$B:$B, $A58, NewEmisData!$C:$C, $H58, NewEmisData!$D:$D, DM$2))</f>
        <v>0</v>
      </c>
      <c r="DN58" s="324">
        <f>$I58*IF($G58="Pickup", SUMIFS(NewEmisData!L:L, NewEmisData!$A:$A, "Pickup", NewEmisData!$B:$B, $A58, NewEmisData!$C:$C, $H58, NewEmisData!$D:$D, DN$2), SUMIFS(NewEmisData!L:L, NewEmisData!$A:$A, "LDV", NewEmisData!$B:$B, $A58, NewEmisData!$C:$C, $H58, NewEmisData!$D:$D, DN$2))</f>
        <v>0</v>
      </c>
      <c r="DO58" s="324">
        <f>$I58*IF($G58="Pickup", SUMIFS(NewEmisData!M:M, NewEmisData!$A:$A, "Pickup", NewEmisData!$B:$B, $A58, NewEmisData!$C:$C, $H58, NewEmisData!$D:$D, DO$2), SUMIFS(NewEmisData!M:M, NewEmisData!$A:$A, "LDV", NewEmisData!$B:$B, $A58, NewEmisData!$C:$C, $H58, NewEmisData!$D:$D, DO$2))</f>
        <v>0</v>
      </c>
      <c r="DP58" s="324">
        <f t="shared" si="14"/>
        <v>0</v>
      </c>
      <c r="DQ58" s="324">
        <f>$I58*IF($G58="Pickup", SUMIFS(NewEmisData!E:E, NewEmisData!$A:$A, "Pickup", NewEmisData!$B:$B, $A58, NewEmisData!$C:$C, $H58, NewEmisData!$D:$D, DQ$2), SUMIFS(NewEmisData!E:E, NewEmisData!$A:$A, "LDV", NewEmisData!$B:$B, $A58, NewEmisData!$C:$C, $H58, NewEmisData!$D:$D, DQ$2))</f>
        <v>2.33674779731823E-2</v>
      </c>
      <c r="DR58" s="324">
        <f>$I58*IF($G58="Pickup", SUMIFS(NewEmisData!F:F, NewEmisData!$A:$A, "Pickup", NewEmisData!$B:$B, $A58, NewEmisData!$C:$C, $H58, NewEmisData!$D:$D, DR$2), SUMIFS(NewEmisData!F:F, NewEmisData!$A:$A, "LDV", NewEmisData!$B:$B, $A58, NewEmisData!$C:$C, $H58, NewEmisData!$D:$D, DR$2))</f>
        <v>1.9525178006445001E-2</v>
      </c>
      <c r="DS58" s="324">
        <f>$I58*IF($G58="Pickup", SUMIFS(NewEmisData!G:G, NewEmisData!$A:$A, "Pickup", NewEmisData!$B:$B, $A58, NewEmisData!$C:$C, $H58, NewEmisData!$D:$D, DS$2), SUMIFS(NewEmisData!G:G, NewEmisData!$A:$A, "LDV", NewEmisData!$B:$B, $A58, NewEmisData!$C:$C, $H58, NewEmisData!$D:$D, DS$2))</f>
        <v>1.6477832855323799E-2</v>
      </c>
      <c r="DT58" s="324">
        <f>$I58*IF($G58="Pickup", SUMIFS(NewEmisData!H:H, NewEmisData!$A:$A, "Pickup", NewEmisData!$B:$B, $A58, NewEmisData!$C:$C, $H58, NewEmisData!$D:$D, DT$2), SUMIFS(NewEmisData!H:H, NewEmisData!$A:$A, "LDV", NewEmisData!$B:$B, $A58, NewEmisData!$C:$C, $H58, NewEmisData!$D:$D, DT$2))</f>
        <v>1.2323455390398899E-2</v>
      </c>
      <c r="DU58" s="324">
        <f>$I58*IF($G58="Pickup", SUMIFS(NewEmisData!I:I, NewEmisData!$A:$A, "Pickup", NewEmisData!$B:$B, $A58, NewEmisData!$C:$C, $H58, NewEmisData!$D:$D, DU$2), SUMIFS(NewEmisData!I:I, NewEmisData!$A:$A, "LDV", NewEmisData!$B:$B, $A58, NewEmisData!$C:$C, $H58, NewEmisData!$D:$D, DU$2))</f>
        <v>1.0486485983059899E-2</v>
      </c>
      <c r="DV58" s="324">
        <f>$I58*IF($G58="Pickup", SUMIFS(NewEmisData!J:J, NewEmisData!$A:$A, "Pickup", NewEmisData!$B:$B, $A58, NewEmisData!$C:$C, $H58, NewEmisData!$D:$D, DV$2), SUMIFS(NewEmisData!J:J, NewEmisData!$A:$A, "LDV", NewEmisData!$B:$B, $A58, NewEmisData!$C:$C, $H58, NewEmisData!$D:$D, DV$2))</f>
        <v>9.7436333441081602E-3</v>
      </c>
      <c r="DW58" s="324">
        <f>$I58*IF($G58="Pickup", SUMIFS(NewEmisData!K:K, NewEmisData!$A:$A, "Pickup", NewEmisData!$B:$B, $A58, NewEmisData!$C:$C, $H58, NewEmisData!$D:$D, DW$2), SUMIFS(NewEmisData!K:K, NewEmisData!$A:$A, "LDV", NewEmisData!$B:$B, $A58, NewEmisData!$C:$C, $H58, NewEmisData!$D:$D, DW$2))</f>
        <v>9.3430650941362103E-3</v>
      </c>
      <c r="DX58" s="324">
        <f>$I58*IF($G58="Pickup", SUMIFS(NewEmisData!L:L, NewEmisData!$A:$A, "Pickup", NewEmisData!$B:$B, $A58, NewEmisData!$C:$C, $H58, NewEmisData!$D:$D, DX$2), SUMIFS(NewEmisData!L:L, NewEmisData!$A:$A, "LDV", NewEmisData!$B:$B, $A58, NewEmisData!$C:$C, $H58, NewEmisData!$D:$D, DX$2))</f>
        <v>9.2294945579063908E-3</v>
      </c>
      <c r="DY58" s="324">
        <f>$I58*IF($G58="Pickup", SUMIFS(NewEmisData!M:M, NewEmisData!$A:$A, "Pickup", NewEmisData!$B:$B, $A58, NewEmisData!$C:$C, $H58, NewEmisData!$D:$D, DY$2), SUMIFS(NewEmisData!M:M, NewEmisData!$A:$A, "LDV", NewEmisData!$B:$B, $A58, NewEmisData!$C:$C, $H58, NewEmisData!$D:$D, DY$2))</f>
        <v>9.2611544349932001E-3</v>
      </c>
      <c r="DZ58" s="324">
        <f t="shared" si="15"/>
        <v>9.2611544349932001E-3</v>
      </c>
      <c r="EA58" s="324">
        <f t="shared" si="16"/>
        <v>427.22035607805998</v>
      </c>
      <c r="EB58" s="324">
        <f t="shared" si="17"/>
        <v>410.99295031887198</v>
      </c>
      <c r="EC58" s="324">
        <f t="shared" si="18"/>
        <v>286.65796119002903</v>
      </c>
      <c r="ED58" s="324">
        <f t="shared" si="19"/>
        <v>251.42291340526501</v>
      </c>
      <c r="EE58" s="324">
        <f t="shared" si="20"/>
        <v>237.879150946539</v>
      </c>
      <c r="EF58" s="324">
        <f t="shared" si="21"/>
        <v>231.785973261176</v>
      </c>
      <c r="EG58" s="324">
        <f t="shared" si="22"/>
        <v>226.95489929379499</v>
      </c>
      <c r="EH58" s="324">
        <f t="shared" si="23"/>
        <v>225.270240547784</v>
      </c>
      <c r="EI58" s="324">
        <f t="shared" si="24"/>
        <v>225.537595537371</v>
      </c>
      <c r="EJ58" s="324">
        <f t="shared" si="25"/>
        <v>225.537595537371</v>
      </c>
      <c r="EK58" s="324">
        <f t="shared" si="26"/>
        <v>5.43221938231905E-2</v>
      </c>
      <c r="EL58" s="324">
        <f t="shared" si="27"/>
        <v>4.5813368539693498E-2</v>
      </c>
      <c r="EM58" s="324">
        <f t="shared" si="28"/>
        <v>4.3138992375732398E-2</v>
      </c>
      <c r="EN58" s="324">
        <f t="shared" si="29"/>
        <v>4.22702301498529E-2</v>
      </c>
      <c r="EO58" s="324">
        <f t="shared" si="30"/>
        <v>4.7266554092845102E-2</v>
      </c>
      <c r="EP58" s="324">
        <f t="shared" si="31"/>
        <v>4.92796412957313E-2</v>
      </c>
      <c r="EQ58" s="324">
        <f t="shared" si="32"/>
        <v>4.83132390691993E-2</v>
      </c>
      <c r="ER58" s="324">
        <f t="shared" si="33"/>
        <v>4.7598470704443001E-2</v>
      </c>
      <c r="ES58" s="324">
        <f t="shared" si="34"/>
        <v>4.8291189756298203E-2</v>
      </c>
      <c r="ET58" s="324">
        <f t="shared" si="35"/>
        <v>4.8291189756298203E-2</v>
      </c>
      <c r="EU58" s="324">
        <f t="shared" si="36"/>
        <v>4.5233219210783302E-3</v>
      </c>
      <c r="EV58" s="324">
        <f t="shared" si="37"/>
        <v>4.35150523268109E-3</v>
      </c>
      <c r="EW58" s="324">
        <f t="shared" si="38"/>
        <v>2.2073239302791599E-3</v>
      </c>
      <c r="EX58" s="324">
        <f t="shared" si="39"/>
        <v>1.93600769277144E-3</v>
      </c>
      <c r="EY58" s="324">
        <f t="shared" si="40"/>
        <v>1.83171782200173E-3</v>
      </c>
      <c r="EZ58" s="324">
        <f t="shared" si="41"/>
        <v>1.7848006969164801E-3</v>
      </c>
      <c r="FA58" s="324">
        <f t="shared" si="42"/>
        <v>1.74760082534328E-3</v>
      </c>
      <c r="FB58" s="324">
        <f t="shared" si="43"/>
        <v>1.73462764249673E-3</v>
      </c>
      <c r="FC58" s="324">
        <f t="shared" si="44"/>
        <v>1.7366872463193499E-3</v>
      </c>
      <c r="FD58" s="324">
        <f t="shared" si="45"/>
        <v>1.7366872463193499E-3</v>
      </c>
      <c r="FE58" s="324">
        <f t="shared" si="46"/>
        <v>6.5525486311907397E-2</v>
      </c>
      <c r="FF58" s="324">
        <f t="shared" si="47"/>
        <v>6.5532413100286402E-2</v>
      </c>
      <c r="FG58" s="324">
        <f t="shared" si="48"/>
        <v>4.72274911635963E-2</v>
      </c>
      <c r="FH58" s="324">
        <f t="shared" si="49"/>
        <v>4.7004553415883499E-2</v>
      </c>
      <c r="FI58" s="324">
        <f t="shared" si="50"/>
        <v>4.6951187368693102E-2</v>
      </c>
      <c r="FJ58" s="324">
        <f t="shared" si="51"/>
        <v>4.69310774047937E-2</v>
      </c>
      <c r="FK58" s="324">
        <f t="shared" si="52"/>
        <v>4.6792796731001701E-2</v>
      </c>
      <c r="FL58" s="324">
        <f t="shared" si="53"/>
        <v>4.6667520898197902E-2</v>
      </c>
      <c r="FM58" s="324">
        <f t="shared" si="54"/>
        <v>4.6662125786885798E-2</v>
      </c>
      <c r="FN58" s="324">
        <f t="shared" si="55"/>
        <v>4.6662125786885798E-2</v>
      </c>
      <c r="FO58" s="324">
        <f t="shared" si="56"/>
        <v>1.0010238476339899E-2</v>
      </c>
      <c r="FP58" s="324">
        <f t="shared" si="57"/>
        <v>1.00161273530144E-2</v>
      </c>
      <c r="FQ58" s="324">
        <f t="shared" si="58"/>
        <v>7.3231092956545603E-3</v>
      </c>
      <c r="FR58" s="324">
        <f t="shared" si="59"/>
        <v>7.1259171686559502E-3</v>
      </c>
      <c r="FS58" s="324">
        <f t="shared" si="60"/>
        <v>7.0786866585371699E-3</v>
      </c>
      <c r="FT58" s="324">
        <f t="shared" si="61"/>
        <v>7.0609240367398201E-3</v>
      </c>
      <c r="FU58" s="324">
        <f t="shared" si="62"/>
        <v>6.9386110678336301E-3</v>
      </c>
      <c r="FV58" s="324">
        <f t="shared" si="63"/>
        <v>6.8278327244941798E-3</v>
      </c>
      <c r="FW58" s="324">
        <f t="shared" si="64"/>
        <v>6.8230359525153703E-3</v>
      </c>
      <c r="FX58" s="324">
        <f t="shared" si="65"/>
        <v>6.8230359525153703E-3</v>
      </c>
    </row>
    <row r="59" spans="1:180" x14ac:dyDescent="0.2">
      <c r="A59" s="298" t="str">
        <f>_xlfn.CONCAT(IF(LEFT(TRIM(A58),1)="*", "*R", "R"), 1+RIGHT(TRIM(A58),1))</f>
        <v>*R6</v>
      </c>
      <c r="B59" s="298" t="str">
        <f t="shared" si="112"/>
        <v>TLEETHX</v>
      </c>
      <c r="C59" s="298" t="str">
        <f t="shared" si="113"/>
        <v>TL.E85X.F.Existing fleet</v>
      </c>
      <c r="D59" s="294" t="str">
        <f t="shared" si="114"/>
        <v>bn-vmt, bn-vmt/a</v>
      </c>
      <c r="E59" s="294" t="str">
        <f t="shared" si="115"/>
        <v>TLE85X</v>
      </c>
      <c r="F59" s="294" t="str">
        <f t="shared" si="116"/>
        <v>TL</v>
      </c>
      <c r="G59" s="294" t="s">
        <v>476</v>
      </c>
      <c r="H59" s="294" t="s">
        <v>332</v>
      </c>
      <c r="I59" s="294">
        <v>1</v>
      </c>
      <c r="J59" s="308" t="str">
        <f t="shared" si="101"/>
        <v>Full size car-E85</v>
      </c>
      <c r="K59" s="324">
        <f>$I59*IF($G59="Pickup", SUMIFS(NewEmisData!E:E, NewEmisData!$A:$A, "Pickup", NewEmisData!$B:$B, $A59, NewEmisData!$C:$C, $H59, NewEmisData!$D:$D, K$2), SUMIFS(NewEmisData!E:E, NewEmisData!$A:$A, "LDV", NewEmisData!$B:$B, $A59, NewEmisData!$C:$C, $H59, NewEmisData!$D:$D, K$2))</f>
        <v>419.67640551412597</v>
      </c>
      <c r="L59" s="324">
        <f>$I59*IF($G59="Pickup", SUMIFS(NewEmisData!F:F, NewEmisData!$A:$A, "Pickup", NewEmisData!$B:$B, $A59, NewEmisData!$C:$C, $H59, NewEmisData!$D:$D, L$2), SUMIFS(NewEmisData!F:F, NewEmisData!$A:$A, "LDV", NewEmisData!$B:$B, $A59, NewEmisData!$C:$C, $H59, NewEmisData!$D:$D, L$2))</f>
        <v>404.10461508813802</v>
      </c>
      <c r="M59" s="324">
        <f>$I59*IF($G59="Pickup", SUMIFS(NewEmisData!G:G, NewEmisData!$A:$A, "Pickup", NewEmisData!$B:$B, $A59, NewEmisData!$C:$C, $H59, NewEmisData!$D:$D, M$2), SUMIFS(NewEmisData!G:G, NewEmisData!$A:$A, "LDV", NewEmisData!$B:$B, $A59, NewEmisData!$C:$C, $H59, NewEmisData!$D:$D, M$2))</f>
        <v>296.64497554148397</v>
      </c>
      <c r="N59" s="324">
        <f>$I59*IF($G59="Pickup", SUMIFS(NewEmisData!H:H, NewEmisData!$A:$A, "Pickup", NewEmisData!$B:$B, $A59, NewEmisData!$C:$C, $H59, NewEmisData!$D:$D, N$2), SUMIFS(NewEmisData!H:H, NewEmisData!$A:$A, "LDV", NewEmisData!$B:$B, $A59, NewEmisData!$C:$C, $H59, NewEmisData!$D:$D, N$2))</f>
        <v>259.84558529690901</v>
      </c>
      <c r="O59" s="324">
        <f>$I59*IF($G59="Pickup", SUMIFS(NewEmisData!I:I, NewEmisData!$A:$A, "Pickup", NewEmisData!$B:$B, $A59, NewEmisData!$C:$C, $H59, NewEmisData!$D:$D, O$2), SUMIFS(NewEmisData!I:I, NewEmisData!$A:$A, "LDV", NewEmisData!$B:$B, $A59, NewEmisData!$C:$C, $H59, NewEmisData!$D:$D, O$2))</f>
        <v>245.572517771138</v>
      </c>
      <c r="P59" s="324">
        <f>$I59*IF($G59="Pickup", SUMIFS(NewEmisData!J:J, NewEmisData!$A:$A, "Pickup", NewEmisData!$B:$B, $A59, NewEmisData!$C:$C, $H59, NewEmisData!$D:$D, P$2), SUMIFS(NewEmisData!J:J, NewEmisData!$A:$A, "LDV", NewEmisData!$B:$B, $A59, NewEmisData!$C:$C, $H59, NewEmisData!$D:$D, P$2))</f>
        <v>239.06681409593699</v>
      </c>
      <c r="Q59" s="324">
        <f>$I59*IF($G59="Pickup", SUMIFS(NewEmisData!K:K, NewEmisData!$A:$A, "Pickup", NewEmisData!$B:$B, $A59, NewEmisData!$C:$C, $H59, NewEmisData!$D:$D, Q$2), SUMIFS(NewEmisData!K:K, NewEmisData!$A:$A, "LDV", NewEmisData!$B:$B, $A59, NewEmisData!$C:$C, $H59, NewEmisData!$D:$D, Q$2))</f>
        <v>233.96415864234601</v>
      </c>
      <c r="R59" s="324">
        <f>$I59*IF($G59="Pickup", SUMIFS(NewEmisData!L:L, NewEmisData!$A:$A, "Pickup", NewEmisData!$B:$B, $A59, NewEmisData!$C:$C, $H59, NewEmisData!$D:$D, R$2), SUMIFS(NewEmisData!L:L, NewEmisData!$A:$A, "LDV", NewEmisData!$B:$B, $A59, NewEmisData!$C:$C, $H59, NewEmisData!$D:$D, R$2))</f>
        <v>232.18870705220701</v>
      </c>
      <c r="S59" s="324">
        <f>$I59*IF($G59="Pickup", SUMIFS(NewEmisData!M:M, NewEmisData!$A:$A, "Pickup", NewEmisData!$B:$B, $A59, NewEmisData!$C:$C, $H59, NewEmisData!$D:$D, S$2), SUMIFS(NewEmisData!M:M, NewEmisData!$A:$A, "LDV", NewEmisData!$B:$B, $A59, NewEmisData!$C:$C, $H59, NewEmisData!$D:$D, S$2))</f>
        <v>232.42779835443099</v>
      </c>
      <c r="T59" s="324">
        <f t="shared" si="5"/>
        <v>232.42779835443099</v>
      </c>
      <c r="U59" s="324">
        <f>$I59*IF($G59="Pickup", SUMIFS(NewEmisData!E:E, NewEmisData!$A:$A, "Pickup", NewEmisData!$B:$B, $A59, NewEmisData!$C:$C, $H59, NewEmisData!$D:$D, U$2), SUMIFS(NewEmisData!E:E, NewEmisData!$A:$A, "LDV", NewEmisData!$B:$B, $A59, NewEmisData!$C:$C, $H59, NewEmisData!$D:$D, U$2))</f>
        <v>4.85420613095323E-2</v>
      </c>
      <c r="V59" s="324">
        <f>$I59*IF($G59="Pickup", SUMIFS(NewEmisData!F:F, NewEmisData!$A:$A, "Pickup", NewEmisData!$B:$B, $A59, NewEmisData!$C:$C, $H59, NewEmisData!$D:$D, V$2), SUMIFS(NewEmisData!F:F, NewEmisData!$A:$A, "LDV", NewEmisData!$B:$B, $A59, NewEmisData!$C:$C, $H59, NewEmisData!$D:$D, V$2))</f>
        <v>4.1584694059798401E-2</v>
      </c>
      <c r="W59" s="324">
        <f>$I59*IF($G59="Pickup", SUMIFS(NewEmisData!G:G, NewEmisData!$A:$A, "Pickup", NewEmisData!$B:$B, $A59, NewEmisData!$C:$C, $H59, NewEmisData!$D:$D, W$2), SUMIFS(NewEmisData!G:G, NewEmisData!$A:$A, "LDV", NewEmisData!$B:$B, $A59, NewEmisData!$C:$C, $H59, NewEmisData!$D:$D, W$2))</f>
        <v>3.8512841866564999E-2</v>
      </c>
      <c r="X59" s="324">
        <f>$I59*IF($G59="Pickup", SUMIFS(NewEmisData!H:H, NewEmisData!$A:$A, "Pickup", NewEmisData!$B:$B, $A59, NewEmisData!$C:$C, $H59, NewEmisData!$D:$D, X$2), SUMIFS(NewEmisData!H:H, NewEmisData!$A:$A, "LDV", NewEmisData!$B:$B, $A59, NewEmisData!$C:$C, $H59, NewEmisData!$D:$D, X$2))</f>
        <v>3.7453351076298699E-2</v>
      </c>
      <c r="Y59" s="324">
        <f>$I59*IF($G59="Pickup", SUMIFS(NewEmisData!I:I, NewEmisData!$A:$A, "Pickup", NewEmisData!$B:$B, $A59, NewEmisData!$C:$C, $H59, NewEmisData!$D:$D, Y$2), SUMIFS(NewEmisData!I:I, NewEmisData!$A:$A, "LDV", NewEmisData!$B:$B, $A59, NewEmisData!$C:$C, $H59, NewEmisData!$D:$D, Y$2))</f>
        <v>4.17495921494591E-2</v>
      </c>
      <c r="Z59" s="324">
        <f>$I59*IF($G59="Pickup", SUMIFS(NewEmisData!J:J, NewEmisData!$A:$A, "Pickup", NewEmisData!$B:$B, $A59, NewEmisData!$C:$C, $H59, NewEmisData!$D:$D, Z$2), SUMIFS(NewEmisData!J:J, NewEmisData!$A:$A, "LDV", NewEmisData!$B:$B, $A59, NewEmisData!$C:$C, $H59, NewEmisData!$D:$D, Z$2))</f>
        <v>4.3363198134277997E-2</v>
      </c>
      <c r="AA59" s="324">
        <f>$I59*IF($G59="Pickup", SUMIFS(NewEmisData!K:K, NewEmisData!$A:$A, "Pickup", NewEmisData!$B:$B, $A59, NewEmisData!$C:$C, $H59, NewEmisData!$D:$D, AA$2), SUMIFS(NewEmisData!K:K, NewEmisData!$A:$A, "LDV", NewEmisData!$B:$B, $A59, NewEmisData!$C:$C, $H59, NewEmisData!$D:$D, AA$2))</f>
        <v>4.2354566228836397E-2</v>
      </c>
      <c r="AB59" s="324">
        <f>$I59*IF($G59="Pickup", SUMIFS(NewEmisData!L:L, NewEmisData!$A:$A, "Pickup", NewEmisData!$B:$B, $A59, NewEmisData!$C:$C, $H59, NewEmisData!$D:$D, AB$2), SUMIFS(NewEmisData!L:L, NewEmisData!$A:$A, "LDV", NewEmisData!$B:$B, $A59, NewEmisData!$C:$C, $H59, NewEmisData!$D:$D, AB$2))</f>
        <v>4.1664829012930303E-2</v>
      </c>
      <c r="AC59" s="324">
        <f>$I59*IF($G59="Pickup", SUMIFS(NewEmisData!M:M, NewEmisData!$A:$A, "Pickup", NewEmisData!$B:$B, $A59, NewEmisData!$C:$C, $H59, NewEmisData!$D:$D, AC$2), SUMIFS(NewEmisData!M:M, NewEmisData!$A:$A, "LDV", NewEmisData!$B:$B, $A59, NewEmisData!$C:$C, $H59, NewEmisData!$D:$D, AC$2))</f>
        <v>4.2271900806735603E-2</v>
      </c>
      <c r="AD59" s="324">
        <f t="shared" si="6"/>
        <v>4.2271900806735603E-2</v>
      </c>
      <c r="AE59" s="324">
        <f>$I59*IF($G59="Pickup", SUMIFS(NewEmisData!E:E, NewEmisData!$A:$A, "Pickup", NewEmisData!$B:$B, $A59, NewEmisData!$C:$C, $H59, NewEmisData!$D:$D, AE$2), SUMIFS(NewEmisData!E:E, NewEmisData!$A:$A, "LDV", NewEmisData!$B:$B, $A59, NewEmisData!$C:$C, $H59, NewEmisData!$D:$D, AE$2))</f>
        <v>4.4434403610189698E-3</v>
      </c>
      <c r="AF59" s="324">
        <f>$I59*IF($G59="Pickup", SUMIFS(NewEmisData!F:F, NewEmisData!$A:$A, "Pickup", NewEmisData!$B:$B, $A59, NewEmisData!$C:$C, $H59, NewEmisData!$D:$D, AF$2), SUMIFS(NewEmisData!F:F, NewEmisData!$A:$A, "LDV", NewEmisData!$B:$B, $A59, NewEmisData!$C:$C, $H59, NewEmisData!$D:$D, AF$2))</f>
        <v>4.2785778468179296E-3</v>
      </c>
      <c r="AG59" s="324">
        <f>$I59*IF($G59="Pickup", SUMIFS(NewEmisData!G:G, NewEmisData!$A:$A, "Pickup", NewEmisData!$B:$B, $A59, NewEmisData!$C:$C, $H59, NewEmisData!$D:$D, AG$2), SUMIFS(NewEmisData!G:G, NewEmisData!$A:$A, "LDV", NewEmisData!$B:$B, $A59, NewEmisData!$C:$C, $H59, NewEmisData!$D:$D, AG$2))</f>
        <v>2.2842291862218301E-3</v>
      </c>
      <c r="AH59" s="324">
        <f>$I59*IF($G59="Pickup", SUMIFS(NewEmisData!H:H, NewEmisData!$A:$A, "Pickup", NewEmisData!$B:$B, $A59, NewEmisData!$C:$C, $H59, NewEmisData!$D:$D, AH$2), SUMIFS(NewEmisData!H:H, NewEmisData!$A:$A, "LDV", NewEmisData!$B:$B, $A59, NewEmisData!$C:$C, $H59, NewEmisData!$D:$D, AH$2))</f>
        <v>2.00086557744566E-3</v>
      </c>
      <c r="AI59" s="324">
        <f>$I59*IF($G59="Pickup", SUMIFS(NewEmisData!I:I, NewEmisData!$A:$A, "Pickup", NewEmisData!$B:$B, $A59, NewEmisData!$C:$C, $H59, NewEmisData!$D:$D, AI$2), SUMIFS(NewEmisData!I:I, NewEmisData!$A:$A, "LDV", NewEmisData!$B:$B, $A59, NewEmisData!$C:$C, $H59, NewEmisData!$D:$D, AI$2))</f>
        <v>1.8909591105040499E-3</v>
      </c>
      <c r="AJ59" s="324">
        <f>$I59*IF($G59="Pickup", SUMIFS(NewEmisData!J:J, NewEmisData!$A:$A, "Pickup", NewEmisData!$B:$B, $A59, NewEmisData!$C:$C, $H59, NewEmisData!$D:$D, AJ$2), SUMIFS(NewEmisData!J:J, NewEmisData!$A:$A, "LDV", NewEmisData!$B:$B, $A59, NewEmisData!$C:$C, $H59, NewEmisData!$D:$D, AJ$2))</f>
        <v>1.84086487691808E-3</v>
      </c>
      <c r="AK59" s="324">
        <f>$I59*IF($G59="Pickup", SUMIFS(NewEmisData!K:K, NewEmisData!$A:$A, "Pickup", NewEmisData!$B:$B, $A59, NewEmisData!$C:$C, $H59, NewEmisData!$D:$D, AK$2), SUMIFS(NewEmisData!K:K, NewEmisData!$A:$A, "LDV", NewEmisData!$B:$B, $A59, NewEmisData!$C:$C, $H59, NewEmisData!$D:$D, AK$2))</f>
        <v>1.80157428678178E-3</v>
      </c>
      <c r="AL59" s="324">
        <f>$I59*IF($G59="Pickup", SUMIFS(NewEmisData!L:L, NewEmisData!$A:$A, "Pickup", NewEmisData!$B:$B, $A59, NewEmisData!$C:$C, $H59, NewEmisData!$D:$D, AL$2), SUMIFS(NewEmisData!L:L, NewEmisData!$A:$A, "LDV", NewEmisData!$B:$B, $A59, NewEmisData!$C:$C, $H59, NewEmisData!$D:$D, AL$2))</f>
        <v>1.78790186962937E-3</v>
      </c>
      <c r="AM59" s="324">
        <f>$I59*IF($G59="Pickup", SUMIFS(NewEmisData!M:M, NewEmisData!$A:$A, "Pickup", NewEmisData!$B:$B, $A59, NewEmisData!$C:$C, $H59, NewEmisData!$D:$D, AM$2), SUMIFS(NewEmisData!M:M, NewEmisData!$A:$A, "LDV", NewEmisData!$B:$B, $A59, NewEmisData!$C:$C, $H59, NewEmisData!$D:$D, AM$2))</f>
        <v>1.7897430443873201E-3</v>
      </c>
      <c r="AN59" s="324">
        <f t="shared" si="7"/>
        <v>1.7897430443873201E-3</v>
      </c>
      <c r="AO59" s="324">
        <f>$I59*IF($G59="Pickup", SUMIFS(NewEmisData!E:E, NewEmisData!$A:$A, "Pickup", NewEmisData!$B:$B, $A59, NewEmisData!$C:$C, $H59, NewEmisData!$D:$D, AO$2), SUMIFS(NewEmisData!E:E, NewEmisData!$A:$A, "LDV", NewEmisData!$B:$B, $A59, NewEmisData!$C:$C, $H59, NewEmisData!$D:$D, AO$2))</f>
        <v>6.4822337358144896E-2</v>
      </c>
      <c r="AP59" s="324">
        <f>$I59*IF($G59="Pickup", SUMIFS(NewEmisData!F:F, NewEmisData!$A:$A, "Pickup", NewEmisData!$B:$B, $A59, NewEmisData!$C:$C, $H59, NewEmisData!$D:$D, AP$2), SUMIFS(NewEmisData!F:F, NewEmisData!$A:$A, "LDV", NewEmisData!$B:$B, $A59, NewEmisData!$C:$C, $H59, NewEmisData!$D:$D, AP$2))</f>
        <v>6.4837908765685404E-2</v>
      </c>
      <c r="AQ59" s="324">
        <f>$I59*IF($G59="Pickup", SUMIFS(NewEmisData!G:G, NewEmisData!$A:$A, "Pickup", NewEmisData!$B:$B, $A59, NewEmisData!$C:$C, $H59, NewEmisData!$D:$D, AQ$2), SUMIFS(NewEmisData!G:G, NewEmisData!$A:$A, "LDV", NewEmisData!$B:$B, $A59, NewEmisData!$C:$C, $H59, NewEmisData!$D:$D, AQ$2))</f>
        <v>5.2743763590154202E-2</v>
      </c>
      <c r="AR59" s="324">
        <f>$I59*IF($G59="Pickup", SUMIFS(NewEmisData!H:H, NewEmisData!$A:$A, "Pickup", NewEmisData!$B:$B, $A59, NewEmisData!$C:$C, $H59, NewEmisData!$D:$D, AR$2), SUMIFS(NewEmisData!H:H, NewEmisData!$A:$A, "LDV", NewEmisData!$B:$B, $A59, NewEmisData!$C:$C, $H59, NewEmisData!$D:$D, AR$2))</f>
        <v>5.2520196198013597E-2</v>
      </c>
      <c r="AS59" s="324">
        <f>$I59*IF($G59="Pickup", SUMIFS(NewEmisData!I:I, NewEmisData!$A:$A, "Pickup", NewEmisData!$B:$B, $A59, NewEmisData!$C:$C, $H59, NewEmisData!$D:$D, AS$2), SUMIFS(NewEmisData!I:I, NewEmisData!$A:$A, "LDV", NewEmisData!$B:$B, $A59, NewEmisData!$C:$C, $H59, NewEmisData!$D:$D, AS$2))</f>
        <v>5.2463644304192002E-2</v>
      </c>
      <c r="AT59" s="324">
        <f>$I59*IF($G59="Pickup", SUMIFS(NewEmisData!J:J, NewEmisData!$A:$A, "Pickup", NewEmisData!$B:$B, $A59, NewEmisData!$C:$C, $H59, NewEmisData!$D:$D, AT$2), SUMIFS(NewEmisData!J:J, NewEmisData!$A:$A, "LDV", NewEmisData!$B:$B, $A59, NewEmisData!$C:$C, $H59, NewEmisData!$D:$D, AT$2))</f>
        <v>5.2440329646546102E-2</v>
      </c>
      <c r="AU59" s="324">
        <f>$I59*IF($G59="Pickup", SUMIFS(NewEmisData!K:K, NewEmisData!$A:$A, "Pickup", NewEmisData!$B:$B, $A59, NewEmisData!$C:$C, $H59, NewEmisData!$D:$D, AU$2), SUMIFS(NewEmisData!K:K, NewEmisData!$A:$A, "LDV", NewEmisData!$B:$B, $A59, NewEmisData!$C:$C, $H59, NewEmisData!$D:$D, AU$2))</f>
        <v>5.23021646581514E-2</v>
      </c>
      <c r="AV59" s="324">
        <f>$I59*IF($G59="Pickup", SUMIFS(NewEmisData!L:L, NewEmisData!$A:$A, "Pickup", NewEmisData!$B:$B, $A59, NewEmisData!$C:$C, $H59, NewEmisData!$D:$D, AV$2), SUMIFS(NewEmisData!L:L, NewEmisData!$A:$A, "LDV", NewEmisData!$B:$B, $A59, NewEmisData!$C:$C, $H59, NewEmisData!$D:$D, AV$2))</f>
        <v>5.2178675954472099E-2</v>
      </c>
      <c r="AW59" s="324">
        <f>$I59*IF($G59="Pickup", SUMIFS(NewEmisData!M:M, NewEmisData!$A:$A, "Pickup", NewEmisData!$B:$B, $A59, NewEmisData!$C:$C, $H59, NewEmisData!$D:$D, AW$2), SUMIFS(NewEmisData!M:M, NewEmisData!$A:$A, "LDV", NewEmisData!$B:$B, $A59, NewEmisData!$C:$C, $H59, NewEmisData!$D:$D, AW$2))</f>
        <v>5.2172700953765999E-2</v>
      </c>
      <c r="AX59" s="324">
        <f t="shared" si="8"/>
        <v>5.2172700953765999E-2</v>
      </c>
      <c r="AY59" s="324">
        <f>$I59*IF($G59="Pickup", SUMIFS(NewEmisData!E:E, NewEmisData!$A:$A, "Pickup", NewEmisData!$B:$B, $A59, NewEmisData!$C:$C, $H59, NewEmisData!$D:$D, AY$2), SUMIFS(NewEmisData!E:E, NewEmisData!$A:$A, "LDV", NewEmisData!$B:$B, $A59, NewEmisData!$C:$C, $H59, NewEmisData!$D:$D, AY$2))</f>
        <v>9.8683488873566507E-3</v>
      </c>
      <c r="AZ59" s="324">
        <f>$I59*IF($G59="Pickup", SUMIFS(NewEmisData!F:F, NewEmisData!$A:$A, "Pickup", NewEmisData!$B:$B, $A59, NewEmisData!$C:$C, $H59, NewEmisData!$D:$D, AZ$2), SUMIFS(NewEmisData!F:F, NewEmisData!$A:$A, "LDV", NewEmisData!$B:$B, $A59, NewEmisData!$C:$C, $H59, NewEmisData!$D:$D, AZ$2))</f>
        <v>9.88217384347829E-3</v>
      </c>
      <c r="BA59" s="324">
        <f>$I59*IF($G59="Pickup", SUMIFS(NewEmisData!G:G, NewEmisData!$A:$A, "Pickup", NewEmisData!$B:$B, $A59, NewEmisData!$C:$C, $H59, NewEmisData!$D:$D, BA$2), SUMIFS(NewEmisData!G:G, NewEmisData!$A:$A, "LDV", NewEmisData!$B:$B, $A59, NewEmisData!$C:$C, $H59, NewEmisData!$D:$D, BA$2))</f>
        <v>8.0183682752347305E-3</v>
      </c>
      <c r="BB59" s="324">
        <f>$I59*IF($G59="Pickup", SUMIFS(NewEmisData!H:H, NewEmisData!$A:$A, "Pickup", NewEmisData!$B:$B, $A59, NewEmisData!$C:$C, $H59, NewEmisData!$D:$D, BB$2), SUMIFS(NewEmisData!H:H, NewEmisData!$A:$A, "LDV", NewEmisData!$B:$B, $A59, NewEmisData!$C:$C, $H59, NewEmisData!$D:$D, BB$2))</f>
        <v>7.8205598319836794E-3</v>
      </c>
      <c r="BC59" s="324">
        <f>$I59*IF($G59="Pickup", SUMIFS(NewEmisData!I:I, NewEmisData!$A:$A, "Pickup", NewEmisData!$B:$B, $A59, NewEmisData!$C:$C, $H59, NewEmisData!$D:$D, BC$2), SUMIFS(NewEmisData!I:I, NewEmisData!$A:$A, "LDV", NewEmisData!$B:$B, $A59, NewEmisData!$C:$C, $H59, NewEmisData!$D:$D, BC$2))</f>
        <v>7.7705101128409003E-3</v>
      </c>
      <c r="BD59" s="324">
        <f>$I59*IF($G59="Pickup", SUMIFS(NewEmisData!J:J, NewEmisData!$A:$A, "Pickup", NewEmisData!$B:$B, $A59, NewEmisData!$C:$C, $H59, NewEmisData!$D:$D, BD$2), SUMIFS(NewEmisData!J:J, NewEmisData!$A:$A, "LDV", NewEmisData!$B:$B, $A59, NewEmisData!$C:$C, $H59, NewEmisData!$D:$D, BD$2))</f>
        <v>7.7499080674948602E-3</v>
      </c>
      <c r="BE59" s="324">
        <f>$I59*IF($G59="Pickup", SUMIFS(NewEmisData!K:K, NewEmisData!$A:$A, "Pickup", NewEmisData!$B:$B, $A59, NewEmisData!$C:$C, $H59, NewEmisData!$D:$D, BE$2), SUMIFS(NewEmisData!K:K, NewEmisData!$A:$A, "LDV", NewEmisData!$B:$B, $A59, NewEmisData!$C:$C, $H59, NewEmisData!$D:$D, BE$2))</f>
        <v>7.6276556248612501E-3</v>
      </c>
      <c r="BF59" s="324">
        <f>$I59*IF($G59="Pickup", SUMIFS(NewEmisData!L:L, NewEmisData!$A:$A, "Pickup", NewEmisData!$B:$B, $A59, NewEmisData!$C:$C, $H59, NewEmisData!$D:$D, BF$2), SUMIFS(NewEmisData!L:L, NewEmisData!$A:$A, "LDV", NewEmisData!$B:$B, $A59, NewEmisData!$C:$C, $H59, NewEmisData!$D:$D, BF$2))</f>
        <v>7.5183919209819098E-3</v>
      </c>
      <c r="BG59" s="324">
        <f>$I59*IF($G59="Pickup", SUMIFS(NewEmisData!M:M, NewEmisData!$A:$A, "Pickup", NewEmisData!$B:$B, $A59, NewEmisData!$C:$C, $H59, NewEmisData!$D:$D, BG$2), SUMIFS(NewEmisData!M:M, NewEmisData!$A:$A, "LDV", NewEmisData!$B:$B, $A59, NewEmisData!$C:$C, $H59, NewEmisData!$D:$D, BG$2))</f>
        <v>7.5131480934889404E-3</v>
      </c>
      <c r="BH59" s="324">
        <f t="shared" si="9"/>
        <v>7.5131480934889404E-3</v>
      </c>
      <c r="BI59" s="324">
        <f>$I59*IF($G59="Pickup", SUMIFS(NewEmisData!E:E, NewEmisData!$A:$A, "Pickup", NewEmisData!$B:$B, $A59, NewEmisData!$C:$C, $H59, NewEmisData!$D:$D, BI$2), SUMIFS(NewEmisData!E:E, NewEmisData!$A:$A, "LDV", NewEmisData!$B:$B, $A59, NewEmisData!$C:$C, $H59, NewEmisData!$D:$D, BI$2))</f>
        <v>1.32570056659601</v>
      </c>
      <c r="BJ59" s="324">
        <f>$I59*IF($G59="Pickup", SUMIFS(NewEmisData!F:F, NewEmisData!$A:$A, "Pickup", NewEmisData!$B:$B, $A59, NewEmisData!$C:$C, $H59, NewEmisData!$D:$D, BJ$2), SUMIFS(NewEmisData!F:F, NewEmisData!$A:$A, "LDV", NewEmisData!$B:$B, $A59, NewEmisData!$C:$C, $H59, NewEmisData!$D:$D, BJ$2))</f>
        <v>1.1219409270783001</v>
      </c>
      <c r="BK59" s="324">
        <f>$I59*IF($G59="Pickup", SUMIFS(NewEmisData!G:G, NewEmisData!$A:$A, "Pickup", NewEmisData!$B:$B, $A59, NewEmisData!$C:$C, $H59, NewEmisData!$D:$D, BK$2), SUMIFS(NewEmisData!G:G, NewEmisData!$A:$A, "LDV", NewEmisData!$B:$B, $A59, NewEmisData!$C:$C, $H59, NewEmisData!$D:$D, BK$2))</f>
        <v>0.83252879315791894</v>
      </c>
      <c r="BL59" s="324">
        <f>$I59*IF($G59="Pickup", SUMIFS(NewEmisData!H:H, NewEmisData!$A:$A, "Pickup", NewEmisData!$B:$B, $A59, NewEmisData!$C:$C, $H59, NewEmisData!$D:$D, BL$2), SUMIFS(NewEmisData!H:H, NewEmisData!$A:$A, "LDV", NewEmisData!$B:$B, $A59, NewEmisData!$C:$C, $H59, NewEmisData!$D:$D, BL$2))</f>
        <v>0.89205385808431303</v>
      </c>
      <c r="BM59" s="324">
        <f>$I59*IF($G59="Pickup", SUMIFS(NewEmisData!I:I, NewEmisData!$A:$A, "Pickup", NewEmisData!$B:$B, $A59, NewEmisData!$C:$C, $H59, NewEmisData!$D:$D, BM$2), SUMIFS(NewEmisData!I:I, NewEmisData!$A:$A, "LDV", NewEmisData!$B:$B, $A59, NewEmisData!$C:$C, $H59, NewEmisData!$D:$D, BM$2))</f>
        <v>0.97570084220765296</v>
      </c>
      <c r="BN59" s="324">
        <f>$I59*IF($G59="Pickup", SUMIFS(NewEmisData!J:J, NewEmisData!$A:$A, "Pickup", NewEmisData!$B:$B, $A59, NewEmisData!$C:$C, $H59, NewEmisData!$D:$D, BN$2), SUMIFS(NewEmisData!J:J, NewEmisData!$A:$A, "LDV", NewEmisData!$B:$B, $A59, NewEmisData!$C:$C, $H59, NewEmisData!$D:$D, BN$2))</f>
        <v>1.01783855429797</v>
      </c>
      <c r="BO59" s="324">
        <f>$I59*IF($G59="Pickup", SUMIFS(NewEmisData!K:K, NewEmisData!$A:$A, "Pickup", NewEmisData!$B:$B, $A59, NewEmisData!$C:$C, $H59, NewEmisData!$D:$D, BO$2), SUMIFS(NewEmisData!K:K, NewEmisData!$A:$A, "LDV", NewEmisData!$B:$B, $A59, NewEmisData!$C:$C, $H59, NewEmisData!$D:$D, BO$2))</f>
        <v>1.0024623082797799</v>
      </c>
      <c r="BP59" s="324">
        <f>$I59*IF($G59="Pickup", SUMIFS(NewEmisData!L:L, NewEmisData!$A:$A, "Pickup", NewEmisData!$B:$B, $A59, NewEmisData!$C:$C, $H59, NewEmisData!$D:$D, BP$2), SUMIFS(NewEmisData!L:L, NewEmisData!$A:$A, "LDV", NewEmisData!$B:$B, $A59, NewEmisData!$C:$C, $H59, NewEmisData!$D:$D, BP$2))</f>
        <v>0.98935537647268101</v>
      </c>
      <c r="BQ59" s="324">
        <f>$I59*IF($G59="Pickup", SUMIFS(NewEmisData!M:M, NewEmisData!$A:$A, "Pickup", NewEmisData!$B:$B, $A59, NewEmisData!$C:$C, $H59, NewEmisData!$D:$D, BQ$2), SUMIFS(NewEmisData!M:M, NewEmisData!$A:$A, "LDV", NewEmisData!$B:$B, $A59, NewEmisData!$C:$C, $H59, NewEmisData!$D:$D, BQ$2))</f>
        <v>1.00140417178715</v>
      </c>
      <c r="BR59" s="324">
        <f t="shared" si="10"/>
        <v>1.00140417178715</v>
      </c>
      <c r="BS59" s="324">
        <f>$I59*IF($G59="Pickup", SUMIFS(NewEmisData!E:E, NewEmisData!$A:$A, "Pickup", NewEmisData!$B:$B, $A59, NewEmisData!$C:$C, $H59, NewEmisData!$D:$D, BS$2), SUMIFS(NewEmisData!E:E, NewEmisData!$A:$A, "LDV", NewEmisData!$B:$B, $A59, NewEmisData!$C:$C, $H59, NewEmisData!$D:$D, BS$2))</f>
        <v>0.137019353780302</v>
      </c>
      <c r="BT59" s="324">
        <f>$I59*IF($G59="Pickup", SUMIFS(NewEmisData!F:F, NewEmisData!$A:$A, "Pickup", NewEmisData!$B:$B, $A59, NewEmisData!$C:$C, $H59, NewEmisData!$D:$D, BT$2), SUMIFS(NewEmisData!F:F, NewEmisData!$A:$A, "LDV", NewEmisData!$B:$B, $A59, NewEmisData!$C:$C, $H59, NewEmisData!$D:$D, BT$2))</f>
        <v>0.133250973233911</v>
      </c>
      <c r="BU59" s="324">
        <f>$I59*IF($G59="Pickup", SUMIFS(NewEmisData!G:G, NewEmisData!$A:$A, "Pickup", NewEmisData!$B:$B, $A59, NewEmisData!$C:$C, $H59, NewEmisData!$D:$D, BU$2), SUMIFS(NewEmisData!G:G, NewEmisData!$A:$A, "LDV", NewEmisData!$B:$B, $A59, NewEmisData!$C:$C, $H59, NewEmisData!$D:$D, BU$2))</f>
        <v>9.9439295872654807E-2</v>
      </c>
      <c r="BV59" s="324">
        <f>$I59*IF($G59="Pickup", SUMIFS(NewEmisData!H:H, NewEmisData!$A:$A, "Pickup", NewEmisData!$B:$B, $A59, NewEmisData!$C:$C, $H59, NewEmisData!$D:$D, BV$2), SUMIFS(NewEmisData!H:H, NewEmisData!$A:$A, "LDV", NewEmisData!$B:$B, $A59, NewEmisData!$C:$C, $H59, NewEmisData!$D:$D, BV$2))</f>
        <v>9.3778372024376805E-2</v>
      </c>
      <c r="BW59" s="324">
        <f>$I59*IF($G59="Pickup", SUMIFS(NewEmisData!I:I, NewEmisData!$A:$A, "Pickup", NewEmisData!$B:$B, $A59, NewEmisData!$C:$C, $H59, NewEmisData!$D:$D, BW$2), SUMIFS(NewEmisData!I:I, NewEmisData!$A:$A, "LDV", NewEmisData!$B:$B, $A59, NewEmisData!$C:$C, $H59, NewEmisData!$D:$D, BW$2))</f>
        <v>0.10966688034274</v>
      </c>
      <c r="BX59" s="324">
        <f>$I59*IF($G59="Pickup", SUMIFS(NewEmisData!J:J, NewEmisData!$A:$A, "Pickup", NewEmisData!$B:$B, $A59, NewEmisData!$C:$C, $H59, NewEmisData!$D:$D, BX$2), SUMIFS(NewEmisData!J:J, NewEmisData!$A:$A, "LDV", NewEmisData!$B:$B, $A59, NewEmisData!$C:$C, $H59, NewEmisData!$D:$D, BX$2))</f>
        <v>0.130181993771496</v>
      </c>
      <c r="BY59" s="324">
        <f>$I59*IF($G59="Pickup", SUMIFS(NewEmisData!K:K, NewEmisData!$A:$A, "Pickup", NewEmisData!$B:$B, $A59, NewEmisData!$C:$C, $H59, NewEmisData!$D:$D, BY$2), SUMIFS(NewEmisData!K:K, NewEmisData!$A:$A, "LDV", NewEmisData!$B:$B, $A59, NewEmisData!$C:$C, $H59, NewEmisData!$D:$D, BY$2))</f>
        <v>0.14551322797611199</v>
      </c>
      <c r="BZ59" s="324">
        <f>$I59*IF($G59="Pickup", SUMIFS(NewEmisData!L:L, NewEmisData!$A:$A, "Pickup", NewEmisData!$B:$B, $A59, NewEmisData!$C:$C, $H59, NewEmisData!$D:$D, BZ$2), SUMIFS(NewEmisData!L:L, NewEmisData!$A:$A, "LDV", NewEmisData!$B:$B, $A59, NewEmisData!$C:$C, $H59, NewEmisData!$D:$D, BZ$2))</f>
        <v>0.151092504593482</v>
      </c>
      <c r="CA59" s="324">
        <f>$I59*IF($G59="Pickup", SUMIFS(NewEmisData!M:M, NewEmisData!$A:$A, "Pickup", NewEmisData!$B:$B, $A59, NewEmisData!$C:$C, $H59, NewEmisData!$D:$D, CA$2), SUMIFS(NewEmisData!M:M, NewEmisData!$A:$A, "LDV", NewEmisData!$B:$B, $A59, NewEmisData!$C:$C, $H59, NewEmisData!$D:$D, CA$2))</f>
        <v>0.162465752470559</v>
      </c>
      <c r="CB59" s="324">
        <f t="shared" si="11"/>
        <v>0.162465752470559</v>
      </c>
      <c r="CC59" s="324">
        <f>$I59*IF($G59="Pickup", SUMIFS(NewEmisData!E:E, NewEmisData!$A:$A, "Pickup", NewEmisData!$B:$B, $A59, NewEmisData!$C:$C, $H59, NewEmisData!$D:$D, CC$2), SUMIFS(NewEmisData!E:E, NewEmisData!$A:$A, "LDV", NewEmisData!$B:$B, $A59, NewEmisData!$C:$C, $H59, NewEmisData!$D:$D, CC$2))</f>
        <v>1.8547030146358501E-2</v>
      </c>
      <c r="CD59" s="324">
        <f>$I59*IF($G59="Pickup", SUMIFS(NewEmisData!F:F, NewEmisData!$A:$A, "Pickup", NewEmisData!$B:$B, $A59, NewEmisData!$C:$C, $H59, NewEmisData!$D:$D, CD$2), SUMIFS(NewEmisData!F:F, NewEmisData!$A:$A, "LDV", NewEmisData!$B:$B, $A59, NewEmisData!$C:$C, $H59, NewEmisData!$D:$D, CD$2))</f>
        <v>1.85469993938937E-2</v>
      </c>
      <c r="CE59" s="324">
        <f>$I59*IF($G59="Pickup", SUMIFS(NewEmisData!G:G, NewEmisData!$A:$A, "Pickup", NewEmisData!$B:$B, $A59, NewEmisData!$C:$C, $H59, NewEmisData!$D:$D, CE$2), SUMIFS(NewEmisData!G:G, NewEmisData!$A:$A, "LDV", NewEmisData!$B:$B, $A59, NewEmisData!$C:$C, $H59, NewEmisData!$D:$D, CE$2))</f>
        <v>1.8452398436060301E-2</v>
      </c>
      <c r="CF59" s="324">
        <f>$I59*IF($G59="Pickup", SUMIFS(NewEmisData!H:H, NewEmisData!$A:$A, "Pickup", NewEmisData!$B:$B, $A59, NewEmisData!$C:$C, $H59, NewEmisData!$D:$D, CF$2), SUMIFS(NewEmisData!H:H, NewEmisData!$A:$A, "LDV", NewEmisData!$B:$B, $A59, NewEmisData!$C:$C, $H59, NewEmisData!$D:$D, CF$2))</f>
        <v>1.90153795953279E-2</v>
      </c>
      <c r="CG59" s="324">
        <f>$I59*IF($G59="Pickup", SUMIFS(NewEmisData!I:I, NewEmisData!$A:$A, "Pickup", NewEmisData!$B:$B, $A59, NewEmisData!$C:$C, $H59, NewEmisData!$D:$D, CG$2), SUMIFS(NewEmisData!I:I, NewEmisData!$A:$A, "LDV", NewEmisData!$B:$B, $A59, NewEmisData!$C:$C, $H59, NewEmisData!$D:$D, CG$2))</f>
        <v>2.06259998538827E-2</v>
      </c>
      <c r="CH59" s="324">
        <f>$I59*IF($G59="Pickup", SUMIFS(NewEmisData!J:J, NewEmisData!$A:$A, "Pickup", NewEmisData!$B:$B, $A59, NewEmisData!$C:$C, $H59, NewEmisData!$D:$D, CH$2), SUMIFS(NewEmisData!J:J, NewEmisData!$A:$A, "LDV", NewEmisData!$B:$B, $A59, NewEmisData!$C:$C, $H59, NewEmisData!$D:$D, CH$2))</f>
        <v>2.15422462041495E-2</v>
      </c>
      <c r="CI59" s="324">
        <f>$I59*IF($G59="Pickup", SUMIFS(NewEmisData!K:K, NewEmisData!$A:$A, "Pickup", NewEmisData!$B:$B, $A59, NewEmisData!$C:$C, $H59, NewEmisData!$D:$D, CI$2), SUMIFS(NewEmisData!K:K, NewEmisData!$A:$A, "LDV", NewEmisData!$B:$B, $A59, NewEmisData!$C:$C, $H59, NewEmisData!$D:$D, CI$2))</f>
        <v>2.1839816094931099E-2</v>
      </c>
      <c r="CJ59" s="324">
        <f>$I59*IF($G59="Pickup", SUMIFS(NewEmisData!L:L, NewEmisData!$A:$A, "Pickup", NewEmisData!$B:$B, $A59, NewEmisData!$C:$C, $H59, NewEmisData!$D:$D, CJ$2), SUMIFS(NewEmisData!L:L, NewEmisData!$A:$A, "LDV", NewEmisData!$B:$B, $A59, NewEmisData!$C:$C, $H59, NewEmisData!$D:$D, CJ$2))</f>
        <v>2.1898815091166601E-2</v>
      </c>
      <c r="CK59" s="324">
        <f>$I59*IF($G59="Pickup", SUMIFS(NewEmisData!M:M, NewEmisData!$A:$A, "Pickup", NewEmisData!$B:$B, $A59, NewEmisData!$C:$C, $H59, NewEmisData!$D:$D, CK$2), SUMIFS(NewEmisData!M:M, NewEmisData!$A:$A, "LDV", NewEmisData!$B:$B, $A59, NewEmisData!$C:$C, $H59, NewEmisData!$D:$D, CK$2))</f>
        <v>2.1928414168851499E-2</v>
      </c>
      <c r="CL59" s="324">
        <f t="shared" si="12"/>
        <v>2.1928414168851499E-2</v>
      </c>
      <c r="CM59" s="324">
        <f>$I59*IF($G59="Pickup", SUMIFS(NewEmisData!E:E, NewEmisData!$A:$A, "Pickup", NewEmisData!$B:$B, $A59, NewEmisData!$C:$C, $H59, NewEmisData!$D:$D, CM$2), SUMIFS(NewEmisData!E:E, NewEmisData!$A:$A, "LDV", NewEmisData!$B:$B, $A59, NewEmisData!$C:$C, $H59, NewEmisData!$D:$D, CM$2))</f>
        <v>6.2094333887986004E-3</v>
      </c>
      <c r="CN59" s="324">
        <f>$I59*IF($G59="Pickup", SUMIFS(NewEmisData!F:F, NewEmisData!$A:$A, "Pickup", NewEmisData!$B:$B, $A59, NewEmisData!$C:$C, $H59, NewEmisData!$D:$D, CN$2), SUMIFS(NewEmisData!F:F, NewEmisData!$A:$A, "LDV", NewEmisData!$B:$B, $A59, NewEmisData!$C:$C, $H59, NewEmisData!$D:$D, CN$2))</f>
        <v>6.5097473575926402E-3</v>
      </c>
      <c r="CO59" s="324">
        <f>$I59*IF($G59="Pickup", SUMIFS(NewEmisData!G:G, NewEmisData!$A:$A, "Pickup", NewEmisData!$B:$B, $A59, NewEmisData!$C:$C, $H59, NewEmisData!$D:$D, CO$2), SUMIFS(NewEmisData!G:G, NewEmisData!$A:$A, "LDV", NewEmisData!$B:$B, $A59, NewEmisData!$C:$C, $H59, NewEmisData!$D:$D, CO$2))</f>
        <v>6.3480368759580904E-3</v>
      </c>
      <c r="CP59" s="324">
        <f>$I59*IF($G59="Pickup", SUMIFS(NewEmisData!H:H, NewEmisData!$A:$A, "Pickup", NewEmisData!$B:$B, $A59, NewEmisData!$C:$C, $H59, NewEmisData!$D:$D, CP$2), SUMIFS(NewEmisData!H:H, NewEmisData!$A:$A, "LDV", NewEmisData!$B:$B, $A59, NewEmisData!$C:$C, $H59, NewEmisData!$D:$D, CP$2))</f>
        <v>6.5309612269676296E-3</v>
      </c>
      <c r="CQ59" s="324">
        <f>$I59*IF($G59="Pickup", SUMIFS(NewEmisData!I:I, NewEmisData!$A:$A, "Pickup", NewEmisData!$B:$B, $A59, NewEmisData!$C:$C, $H59, NewEmisData!$D:$D, CQ$2), SUMIFS(NewEmisData!I:I, NewEmisData!$A:$A, "LDV", NewEmisData!$B:$B, $A59, NewEmisData!$C:$C, $H59, NewEmisData!$D:$D, CQ$2))</f>
        <v>6.80438551567813E-3</v>
      </c>
      <c r="CR59" s="324">
        <f>$I59*IF($G59="Pickup", SUMIFS(NewEmisData!J:J, NewEmisData!$A:$A, "Pickup", NewEmisData!$B:$B, $A59, NewEmisData!$C:$C, $H59, NewEmisData!$D:$D, CR$2), SUMIFS(NewEmisData!J:J, NewEmisData!$A:$A, "LDV", NewEmisData!$B:$B, $A59, NewEmisData!$C:$C, $H59, NewEmisData!$D:$D, CR$2))</f>
        <v>7.0729885156519904E-3</v>
      </c>
      <c r="CS59" s="324">
        <f>$I59*IF($G59="Pickup", SUMIFS(NewEmisData!K:K, NewEmisData!$A:$A, "Pickup", NewEmisData!$B:$B, $A59, NewEmisData!$C:$C, $H59, NewEmisData!$D:$D, CS$2), SUMIFS(NewEmisData!K:K, NewEmisData!$A:$A, "LDV", NewEmisData!$B:$B, $A59, NewEmisData!$C:$C, $H59, NewEmisData!$D:$D, CS$2))</f>
        <v>7.2141431732336897E-3</v>
      </c>
      <c r="CT59" s="324">
        <f>$I59*IF($G59="Pickup", SUMIFS(NewEmisData!L:L, NewEmisData!$A:$A, "Pickup", NewEmisData!$B:$B, $A59, NewEmisData!$C:$C, $H59, NewEmisData!$D:$D, CT$2), SUMIFS(NewEmisData!L:L, NewEmisData!$A:$A, "LDV", NewEmisData!$B:$B, $A59, NewEmisData!$C:$C, $H59, NewEmisData!$D:$D, CT$2))</f>
        <v>7.2616103108278903E-3</v>
      </c>
      <c r="CU59" s="324">
        <f>$I59*IF($G59="Pickup", SUMIFS(NewEmisData!M:M, NewEmisData!$A:$A, "Pickup", NewEmisData!$B:$B, $A59, NewEmisData!$C:$C, $H59, NewEmisData!$D:$D, CU$2), SUMIFS(NewEmisData!M:M, NewEmisData!$A:$A, "LDV", NewEmisData!$B:$B, $A59, NewEmisData!$C:$C, $H59, NewEmisData!$D:$D, CU$2))</f>
        <v>7.3233023742548999E-3</v>
      </c>
      <c r="CV59" s="324">
        <f t="shared" si="13"/>
        <v>7.3233023742548999E-3</v>
      </c>
      <c r="CW59" s="324">
        <v>2.3565166490963768E-3</v>
      </c>
      <c r="CX59" s="324">
        <v>1.9673319546263789E-3</v>
      </c>
      <c r="CY59" s="324">
        <v>1.6026857138538807E-3</v>
      </c>
      <c r="CZ59" s="324">
        <v>1.3411753569780424E-3</v>
      </c>
      <c r="DA59" s="324">
        <v>1.0123523956178946E-3</v>
      </c>
      <c r="DB59" s="324">
        <v>7.9852111520206551E-4</v>
      </c>
      <c r="DC59" s="324">
        <v>7.6707942200167378E-4</v>
      </c>
      <c r="DD59" s="324">
        <v>7.5828050366392866E-4</v>
      </c>
      <c r="DE59" s="324">
        <v>7.5710079606015706E-4</v>
      </c>
      <c r="DF59" s="324">
        <v>7.5710079606015706E-4</v>
      </c>
      <c r="DG59" s="324">
        <f>$I59*IF($G59="Pickup", SUMIFS(NewEmisData!E:E, NewEmisData!$A:$A, "Pickup", NewEmisData!$B:$B, $A59, NewEmisData!$C:$C, $H59, NewEmisData!$D:$D, DG$2), SUMIFS(NewEmisData!E:E, NewEmisData!$A:$A, "LDV", NewEmisData!$B:$B, $A59, NewEmisData!$C:$C, $H59, NewEmisData!$D:$D, DG$2))</f>
        <v>0</v>
      </c>
      <c r="DH59" s="324">
        <f>$I59*IF($G59="Pickup", SUMIFS(NewEmisData!F:F, NewEmisData!$A:$A, "Pickup", NewEmisData!$B:$B, $A59, NewEmisData!$C:$C, $H59, NewEmisData!$D:$D, DH$2), SUMIFS(NewEmisData!F:F, NewEmisData!$A:$A, "LDV", NewEmisData!$B:$B, $A59, NewEmisData!$C:$C, $H59, NewEmisData!$D:$D, DH$2))</f>
        <v>0</v>
      </c>
      <c r="DI59" s="324">
        <f>$I59*IF($G59="Pickup", SUMIFS(NewEmisData!G:G, NewEmisData!$A:$A, "Pickup", NewEmisData!$B:$B, $A59, NewEmisData!$C:$C, $H59, NewEmisData!$D:$D, DI$2), SUMIFS(NewEmisData!G:G, NewEmisData!$A:$A, "LDV", NewEmisData!$B:$B, $A59, NewEmisData!$C:$C, $H59, NewEmisData!$D:$D, DI$2))</f>
        <v>0</v>
      </c>
      <c r="DJ59" s="324">
        <f>$I59*IF($G59="Pickup", SUMIFS(NewEmisData!H:H, NewEmisData!$A:$A, "Pickup", NewEmisData!$B:$B, $A59, NewEmisData!$C:$C, $H59, NewEmisData!$D:$D, DJ$2), SUMIFS(NewEmisData!H:H, NewEmisData!$A:$A, "LDV", NewEmisData!$B:$B, $A59, NewEmisData!$C:$C, $H59, NewEmisData!$D:$D, DJ$2))</f>
        <v>0</v>
      </c>
      <c r="DK59" s="324">
        <f>$I59*IF($G59="Pickup", SUMIFS(NewEmisData!I:I, NewEmisData!$A:$A, "Pickup", NewEmisData!$B:$B, $A59, NewEmisData!$C:$C, $H59, NewEmisData!$D:$D, DK$2), SUMIFS(NewEmisData!I:I, NewEmisData!$A:$A, "LDV", NewEmisData!$B:$B, $A59, NewEmisData!$C:$C, $H59, NewEmisData!$D:$D, DK$2))</f>
        <v>0</v>
      </c>
      <c r="DL59" s="324">
        <f>$I59*IF($G59="Pickup", SUMIFS(NewEmisData!J:J, NewEmisData!$A:$A, "Pickup", NewEmisData!$B:$B, $A59, NewEmisData!$C:$C, $H59, NewEmisData!$D:$D, DL$2), SUMIFS(NewEmisData!J:J, NewEmisData!$A:$A, "LDV", NewEmisData!$B:$B, $A59, NewEmisData!$C:$C, $H59, NewEmisData!$D:$D, DL$2))</f>
        <v>0</v>
      </c>
      <c r="DM59" s="324">
        <f>$I59*IF($G59="Pickup", SUMIFS(NewEmisData!K:K, NewEmisData!$A:$A, "Pickup", NewEmisData!$B:$B, $A59, NewEmisData!$C:$C, $H59, NewEmisData!$D:$D, DM$2), SUMIFS(NewEmisData!K:K, NewEmisData!$A:$A, "LDV", NewEmisData!$B:$B, $A59, NewEmisData!$C:$C, $H59, NewEmisData!$D:$D, DM$2))</f>
        <v>0</v>
      </c>
      <c r="DN59" s="324">
        <f>$I59*IF($G59="Pickup", SUMIFS(NewEmisData!L:L, NewEmisData!$A:$A, "Pickup", NewEmisData!$B:$B, $A59, NewEmisData!$C:$C, $H59, NewEmisData!$D:$D, DN$2), SUMIFS(NewEmisData!L:L, NewEmisData!$A:$A, "LDV", NewEmisData!$B:$B, $A59, NewEmisData!$C:$C, $H59, NewEmisData!$D:$D, DN$2))</f>
        <v>0</v>
      </c>
      <c r="DO59" s="324">
        <f>$I59*IF($G59="Pickup", SUMIFS(NewEmisData!M:M, NewEmisData!$A:$A, "Pickup", NewEmisData!$B:$B, $A59, NewEmisData!$C:$C, $H59, NewEmisData!$D:$D, DO$2), SUMIFS(NewEmisData!M:M, NewEmisData!$A:$A, "LDV", NewEmisData!$B:$B, $A59, NewEmisData!$C:$C, $H59, NewEmisData!$D:$D, DO$2))</f>
        <v>0</v>
      </c>
      <c r="DP59" s="324">
        <f t="shared" si="14"/>
        <v>0</v>
      </c>
      <c r="DQ59" s="324">
        <f>$I59*IF($G59="Pickup", SUMIFS(NewEmisData!E:E, NewEmisData!$A:$A, "Pickup", NewEmisData!$B:$B, $A59, NewEmisData!$C:$C, $H59, NewEmisData!$D:$D, DQ$2), SUMIFS(NewEmisData!E:E, NewEmisData!$A:$A, "LDV", NewEmisData!$B:$B, $A59, NewEmisData!$C:$C, $H59, NewEmisData!$D:$D, DQ$2))</f>
        <v>2.0264876007702801E-2</v>
      </c>
      <c r="DR59" s="324">
        <f>$I59*IF($G59="Pickup", SUMIFS(NewEmisData!F:F, NewEmisData!$A:$A, "Pickup", NewEmisData!$B:$B, $A59, NewEmisData!$C:$C, $H59, NewEmisData!$D:$D, DR$2), SUMIFS(NewEmisData!F:F, NewEmisData!$A:$A, "LDV", NewEmisData!$B:$B, $A59, NewEmisData!$C:$C, $H59, NewEmisData!$D:$D, DR$2))</f>
        <v>1.7476291093061098E-2</v>
      </c>
      <c r="DS59" s="324">
        <f>$I59*IF($G59="Pickup", SUMIFS(NewEmisData!G:G, NewEmisData!$A:$A, "Pickup", NewEmisData!$B:$B, $A59, NewEmisData!$C:$C, $H59, NewEmisData!$D:$D, DS$2), SUMIFS(NewEmisData!G:G, NewEmisData!$A:$A, "LDV", NewEmisData!$B:$B, $A59, NewEmisData!$C:$C, $H59, NewEmisData!$D:$D, DS$2))</f>
        <v>1.4556629606467E-2</v>
      </c>
      <c r="DT59" s="324">
        <f>$I59*IF($G59="Pickup", SUMIFS(NewEmisData!H:H, NewEmisData!$A:$A, "Pickup", NewEmisData!$B:$B, $A59, NewEmisData!$C:$C, $H59, NewEmisData!$D:$D, DT$2), SUMIFS(NewEmisData!H:H, NewEmisData!$A:$A, "LDV", NewEmisData!$B:$B, $A59, NewEmisData!$C:$C, $H59, NewEmisData!$D:$D, DT$2))</f>
        <v>1.08581575576798E-2</v>
      </c>
      <c r="DU59" s="324">
        <f>$I59*IF($G59="Pickup", SUMIFS(NewEmisData!I:I, NewEmisData!$A:$A, "Pickup", NewEmisData!$B:$B, $A59, NewEmisData!$C:$C, $H59, NewEmisData!$D:$D, DU$2), SUMIFS(NewEmisData!I:I, NewEmisData!$A:$A, "LDV", NewEmisData!$B:$B, $A59, NewEmisData!$C:$C, $H59, NewEmisData!$D:$D, DU$2))</f>
        <v>9.2384332224605403E-3</v>
      </c>
      <c r="DV59" s="324">
        <f>$I59*IF($G59="Pickup", SUMIFS(NewEmisData!J:J, NewEmisData!$A:$A, "Pickup", NewEmisData!$B:$B, $A59, NewEmisData!$C:$C, $H59, NewEmisData!$D:$D, DV$2), SUMIFS(NewEmisData!J:J, NewEmisData!$A:$A, "LDV", NewEmisData!$B:$B, $A59, NewEmisData!$C:$C, $H59, NewEmisData!$D:$D, DV$2))</f>
        <v>8.5813745880311092E-3</v>
      </c>
      <c r="DW59" s="324">
        <f>$I59*IF($G59="Pickup", SUMIFS(NewEmisData!K:K, NewEmisData!$A:$A, "Pickup", NewEmisData!$B:$B, $A59, NewEmisData!$C:$C, $H59, NewEmisData!$D:$D, DW$2), SUMIFS(NewEmisData!K:K, NewEmisData!$A:$A, "LDV", NewEmisData!$B:$B, $A59, NewEmisData!$C:$C, $H59, NewEmisData!$D:$D, DW$2))</f>
        <v>8.2235517706582897E-3</v>
      </c>
      <c r="DX59" s="324">
        <f>$I59*IF($G59="Pickup", SUMIFS(NewEmisData!L:L, NewEmisData!$A:$A, "Pickup", NewEmisData!$B:$B, $A59, NewEmisData!$C:$C, $H59, NewEmisData!$D:$D, DX$2), SUMIFS(NewEmisData!L:L, NewEmisData!$A:$A, "LDV", NewEmisData!$B:$B, $A59, NewEmisData!$C:$C, $H59, NewEmisData!$D:$D, DX$2))</f>
        <v>8.1210505303536996E-3</v>
      </c>
      <c r="DY59" s="324">
        <f>$I59*IF($G59="Pickup", SUMIFS(NewEmisData!M:M, NewEmisData!$A:$A, "Pickup", NewEmisData!$B:$B, $A59, NewEmisData!$C:$C, $H59, NewEmisData!$D:$D, DY$2), SUMIFS(NewEmisData!M:M, NewEmisData!$A:$A, "LDV", NewEmisData!$B:$B, $A59, NewEmisData!$C:$C, $H59, NewEmisData!$D:$D, DY$2))</f>
        <v>8.1487894013837301E-3</v>
      </c>
      <c r="DZ59" s="324">
        <f t="shared" si="15"/>
        <v>8.1487894013837301E-3</v>
      </c>
      <c r="EA59" s="324">
        <f t="shared" si="16"/>
        <v>419.67640551412597</v>
      </c>
      <c r="EB59" s="324">
        <f t="shared" si="17"/>
        <v>404.10461508813802</v>
      </c>
      <c r="EC59" s="324">
        <f t="shared" si="18"/>
        <v>296.64497554148397</v>
      </c>
      <c r="ED59" s="324">
        <f t="shared" si="19"/>
        <v>259.84558529690901</v>
      </c>
      <c r="EE59" s="324">
        <f t="shared" si="20"/>
        <v>245.572517771138</v>
      </c>
      <c r="EF59" s="324">
        <f t="shared" si="21"/>
        <v>239.06681409593699</v>
      </c>
      <c r="EG59" s="324">
        <f t="shared" si="22"/>
        <v>233.96415864234601</v>
      </c>
      <c r="EH59" s="324">
        <f t="shared" si="23"/>
        <v>232.18870705220701</v>
      </c>
      <c r="EI59" s="324">
        <f t="shared" si="24"/>
        <v>232.42779835443099</v>
      </c>
      <c r="EJ59" s="324">
        <f t="shared" si="25"/>
        <v>232.42779835443099</v>
      </c>
      <c r="EK59" s="324">
        <f t="shared" si="26"/>
        <v>4.85420613095323E-2</v>
      </c>
      <c r="EL59" s="324">
        <f t="shared" si="27"/>
        <v>4.1584694059798401E-2</v>
      </c>
      <c r="EM59" s="324">
        <f t="shared" si="28"/>
        <v>3.8512841866564999E-2</v>
      </c>
      <c r="EN59" s="324">
        <f t="shared" si="29"/>
        <v>3.7453351076298699E-2</v>
      </c>
      <c r="EO59" s="324">
        <f t="shared" si="30"/>
        <v>4.17495921494591E-2</v>
      </c>
      <c r="EP59" s="324">
        <f t="shared" si="31"/>
        <v>4.3363198134277997E-2</v>
      </c>
      <c r="EQ59" s="324">
        <f t="shared" si="32"/>
        <v>4.2354566228836397E-2</v>
      </c>
      <c r="ER59" s="324">
        <f t="shared" si="33"/>
        <v>4.1664829012930303E-2</v>
      </c>
      <c r="ES59" s="324">
        <f t="shared" si="34"/>
        <v>4.2271900806735603E-2</v>
      </c>
      <c r="ET59" s="324">
        <f t="shared" si="35"/>
        <v>4.2271900806735603E-2</v>
      </c>
      <c r="EU59" s="324">
        <f t="shared" si="36"/>
        <v>4.4434403610189698E-3</v>
      </c>
      <c r="EV59" s="324">
        <f t="shared" si="37"/>
        <v>4.2785778468179296E-3</v>
      </c>
      <c r="EW59" s="324">
        <f t="shared" si="38"/>
        <v>2.2842291862218301E-3</v>
      </c>
      <c r="EX59" s="324">
        <f t="shared" si="39"/>
        <v>2.00086557744566E-3</v>
      </c>
      <c r="EY59" s="324">
        <f t="shared" si="40"/>
        <v>1.8909591105040499E-3</v>
      </c>
      <c r="EZ59" s="324">
        <f t="shared" si="41"/>
        <v>1.84086487691808E-3</v>
      </c>
      <c r="FA59" s="324">
        <f t="shared" si="42"/>
        <v>1.80157428678178E-3</v>
      </c>
      <c r="FB59" s="324">
        <f t="shared" si="43"/>
        <v>1.78790186962937E-3</v>
      </c>
      <c r="FC59" s="324">
        <f t="shared" si="44"/>
        <v>1.7897430443873201E-3</v>
      </c>
      <c r="FD59" s="324">
        <f t="shared" si="45"/>
        <v>1.7897430443873201E-3</v>
      </c>
      <c r="FE59" s="324">
        <f t="shared" si="46"/>
        <v>6.4822337358144896E-2</v>
      </c>
      <c r="FF59" s="324">
        <f t="shared" si="47"/>
        <v>6.4837908765685404E-2</v>
      </c>
      <c r="FG59" s="324">
        <f t="shared" si="48"/>
        <v>5.2743763590154202E-2</v>
      </c>
      <c r="FH59" s="324">
        <f t="shared" si="49"/>
        <v>5.2520196198013597E-2</v>
      </c>
      <c r="FI59" s="324">
        <f t="shared" si="50"/>
        <v>5.2463644304192002E-2</v>
      </c>
      <c r="FJ59" s="324">
        <f t="shared" si="51"/>
        <v>5.2440329646546102E-2</v>
      </c>
      <c r="FK59" s="324">
        <f t="shared" si="52"/>
        <v>5.23021646581514E-2</v>
      </c>
      <c r="FL59" s="324">
        <f t="shared" si="53"/>
        <v>5.2178675954472099E-2</v>
      </c>
      <c r="FM59" s="324">
        <f t="shared" si="54"/>
        <v>5.2172700953765999E-2</v>
      </c>
      <c r="FN59" s="324">
        <f t="shared" si="55"/>
        <v>5.2172700953765999E-2</v>
      </c>
      <c r="FO59" s="324">
        <f t="shared" si="56"/>
        <v>9.8683488873566507E-3</v>
      </c>
      <c r="FP59" s="324">
        <f t="shared" si="57"/>
        <v>9.88217384347829E-3</v>
      </c>
      <c r="FQ59" s="324">
        <f t="shared" si="58"/>
        <v>8.0183682752347305E-3</v>
      </c>
      <c r="FR59" s="324">
        <f t="shared" si="59"/>
        <v>7.8205598319836794E-3</v>
      </c>
      <c r="FS59" s="324">
        <f t="shared" si="60"/>
        <v>7.7705101128409003E-3</v>
      </c>
      <c r="FT59" s="324">
        <f t="shared" si="61"/>
        <v>7.7499080674948602E-3</v>
      </c>
      <c r="FU59" s="324">
        <f t="shared" si="62"/>
        <v>7.6276556248612501E-3</v>
      </c>
      <c r="FV59" s="324">
        <f t="shared" si="63"/>
        <v>7.5183919209819098E-3</v>
      </c>
      <c r="FW59" s="324">
        <f t="shared" si="64"/>
        <v>7.5131480934889404E-3</v>
      </c>
      <c r="FX59" s="324">
        <f t="shared" si="65"/>
        <v>7.5131480934889404E-3</v>
      </c>
    </row>
    <row r="60" spans="1:180" x14ac:dyDescent="0.2">
      <c r="A60" s="298" t="str">
        <f>IF(LEFT(TRIM(Technologies!B114),1)="*", _xlfn.CONCAT("*","R2"), "R2")</f>
        <v>*R2</v>
      </c>
      <c r="B60" s="298" t="str">
        <f>TechData_existing!B17</f>
        <v>TLECNGX</v>
      </c>
      <c r="C60" s="298" t="str">
        <f>TechData_existing!C17</f>
        <v>TL.CNGX.F.Existing fleet</v>
      </c>
      <c r="D60" s="294" t="str">
        <f>TechData_existing!D17</f>
        <v>bn-vmt, bn-vmt/a</v>
      </c>
      <c r="E60" s="294" t="str">
        <f>TechData_existing!E17</f>
        <v>TRNCNG</v>
      </c>
      <c r="F60" s="294" t="str">
        <f>TechData_existing!F17</f>
        <v>TL</v>
      </c>
      <c r="G60" s="294" t="s">
        <v>476</v>
      </c>
      <c r="H60" s="294" t="s">
        <v>474</v>
      </c>
      <c r="I60" s="294">
        <v>1</v>
      </c>
      <c r="J60" s="308" t="str">
        <f t="shared" si="101"/>
        <v>Full size car-GSL</v>
      </c>
      <c r="K60" s="324">
        <f>$I60*IF($G60="Pickup", SUMIFS(NewEmisData!E:E, NewEmisData!$A:$A, "Pickup", NewEmisData!$B:$B, $A60, NewEmisData!$C:$C, $H60, NewEmisData!$D:$D, K$2), SUMIFS(NewEmisData!E:E, NewEmisData!$A:$A, "LDV", NewEmisData!$B:$B, $A60, NewEmisData!$C:$C, $H60, NewEmisData!$D:$D, K$2))</f>
        <v>477.08587282575797</v>
      </c>
      <c r="L60" s="324">
        <f>$I60*IF($G60="Pickup", SUMIFS(NewEmisData!F:F, NewEmisData!$A:$A, "Pickup", NewEmisData!$B:$B, $A60, NewEmisData!$C:$C, $H60, NewEmisData!$D:$D, L$2), SUMIFS(NewEmisData!F:F, NewEmisData!$A:$A, "LDV", NewEmisData!$B:$B, $A60, NewEmisData!$C:$C, $H60, NewEmisData!$D:$D, L$2))</f>
        <v>459.34104292251902</v>
      </c>
      <c r="M60" s="324">
        <f>$I60*IF($G60="Pickup", SUMIFS(NewEmisData!G:G, NewEmisData!$A:$A, "Pickup", NewEmisData!$B:$B, $A60, NewEmisData!$C:$C, $H60, NewEmisData!$D:$D, M$2), SUMIFS(NewEmisData!G:G, NewEmisData!$A:$A, "LDV", NewEmisData!$B:$B, $A60, NewEmisData!$C:$C, $H60, NewEmisData!$D:$D, M$2))</f>
        <v>447.45896927637102</v>
      </c>
      <c r="N60" s="324">
        <f>$I60*IF($G60="Pickup", SUMIFS(NewEmisData!H:H, NewEmisData!$A:$A, "Pickup", NewEmisData!$B:$B, $A60, NewEmisData!$C:$C, $H60, NewEmisData!$D:$D, N$2), SUMIFS(NewEmisData!H:H, NewEmisData!$A:$A, "LDV", NewEmisData!$B:$B, $A60, NewEmisData!$C:$C, $H60, NewEmisData!$D:$D, N$2))</f>
        <v>380.72392677964001</v>
      </c>
      <c r="O60" s="324">
        <f>$I60*IF($G60="Pickup", SUMIFS(NewEmisData!I:I, NewEmisData!$A:$A, "Pickup", NewEmisData!$B:$B, $A60, NewEmisData!$C:$C, $H60, NewEmisData!$D:$D, O$2), SUMIFS(NewEmisData!I:I, NewEmisData!$A:$A, "LDV", NewEmisData!$B:$B, $A60, NewEmisData!$C:$C, $H60, NewEmisData!$D:$D, O$2))</f>
        <v>329.54737069801098</v>
      </c>
      <c r="P60" s="324">
        <f>$I60*IF($G60="Pickup", SUMIFS(NewEmisData!J:J, NewEmisData!$A:$A, "Pickup", NewEmisData!$B:$B, $A60, NewEmisData!$C:$C, $H60, NewEmisData!$D:$D, P$2), SUMIFS(NewEmisData!J:J, NewEmisData!$A:$A, "LDV", NewEmisData!$B:$B, $A60, NewEmisData!$C:$C, $H60, NewEmisData!$D:$D, P$2))</f>
        <v>300.69829568412598</v>
      </c>
      <c r="Q60" s="324">
        <f>$I60*IF($G60="Pickup", SUMIFS(NewEmisData!K:K, NewEmisData!$A:$A, "Pickup", NewEmisData!$B:$B, $A60, NewEmisData!$C:$C, $H60, NewEmisData!$D:$D, Q$2), SUMIFS(NewEmisData!K:K, NewEmisData!$A:$A, "LDV", NewEmisData!$B:$B, $A60, NewEmisData!$C:$C, $H60, NewEmisData!$D:$D, Q$2))</f>
        <v>287.83799703632701</v>
      </c>
      <c r="R60" s="324">
        <f>$I60*IF($G60="Pickup", SUMIFS(NewEmisData!L:L, NewEmisData!$A:$A, "Pickup", NewEmisData!$B:$B, $A60, NewEmisData!$C:$C, $H60, NewEmisData!$D:$D, R$2), SUMIFS(NewEmisData!L:L, NewEmisData!$A:$A, "LDV", NewEmisData!$B:$B, $A60, NewEmisData!$C:$C, $H60, NewEmisData!$D:$D, R$2))</f>
        <v>283.26610797837998</v>
      </c>
      <c r="S60" s="324">
        <f>$I60*IF($G60="Pickup", SUMIFS(NewEmisData!M:M, NewEmisData!$A:$A, "Pickup", NewEmisData!$B:$B, $A60, NewEmisData!$C:$C, $H60, NewEmisData!$D:$D, S$2), SUMIFS(NewEmisData!M:M, NewEmisData!$A:$A, "LDV", NewEmisData!$B:$B, $A60, NewEmisData!$C:$C, $H60, NewEmisData!$D:$D, S$2))</f>
        <v>281.57834098528099</v>
      </c>
      <c r="T60" s="324">
        <f t="shared" si="5"/>
        <v>281.57834098528099</v>
      </c>
      <c r="U60" s="324">
        <f>$I60*IF($G60="Pickup", SUMIFS(NewEmisData!E:E, NewEmisData!$A:$A, "Pickup", NewEmisData!$B:$B, $A60, NewEmisData!$C:$C, $H60, NewEmisData!$D:$D, U$2), SUMIFS(NewEmisData!E:E, NewEmisData!$A:$A, "LDV", NewEmisData!$B:$B, $A60, NewEmisData!$C:$C, $H60, NewEmisData!$D:$D, U$2))</f>
        <v>0.82339103642645395</v>
      </c>
      <c r="V60" s="324">
        <f>$I60*IF($G60="Pickup", SUMIFS(NewEmisData!F:F, NewEmisData!$A:$A, "Pickup", NewEmisData!$B:$B, $A60, NewEmisData!$C:$C, $H60, NewEmisData!$D:$D, V$2), SUMIFS(NewEmisData!F:F, NewEmisData!$A:$A, "LDV", NewEmisData!$B:$B, $A60, NewEmisData!$C:$C, $H60, NewEmisData!$D:$D, V$2))</f>
        <v>0.360872733315452</v>
      </c>
      <c r="W60" s="324">
        <f>$I60*IF($G60="Pickup", SUMIFS(NewEmisData!G:G, NewEmisData!$A:$A, "Pickup", NewEmisData!$B:$B, $A60, NewEmisData!$C:$C, $H60, NewEmisData!$D:$D, W$2), SUMIFS(NewEmisData!G:G, NewEmisData!$A:$A, "LDV", NewEmisData!$B:$B, $A60, NewEmisData!$C:$C, $H60, NewEmisData!$D:$D, W$2))</f>
        <v>0.21658171178065999</v>
      </c>
      <c r="X60" s="324">
        <f>$I60*IF($G60="Pickup", SUMIFS(NewEmisData!H:H, NewEmisData!$A:$A, "Pickup", NewEmisData!$B:$B, $A60, NewEmisData!$C:$C, $H60, NewEmisData!$D:$D, X$2), SUMIFS(NewEmisData!H:H, NewEmisData!$A:$A, "LDV", NewEmisData!$B:$B, $A60, NewEmisData!$C:$C, $H60, NewEmisData!$D:$D, X$2))</f>
        <v>0.14200533002195401</v>
      </c>
      <c r="Y60" s="324">
        <f>$I60*IF($G60="Pickup", SUMIFS(NewEmisData!I:I, NewEmisData!$A:$A, "Pickup", NewEmisData!$B:$B, $A60, NewEmisData!$C:$C, $H60, NewEmisData!$D:$D, Y$2), SUMIFS(NewEmisData!I:I, NewEmisData!$A:$A, "LDV", NewEmisData!$B:$B, $A60, NewEmisData!$C:$C, $H60, NewEmisData!$D:$D, Y$2))</f>
        <v>8.8016804659711706E-2</v>
      </c>
      <c r="Z60" s="324">
        <f>$I60*IF($G60="Pickup", SUMIFS(NewEmisData!J:J, NewEmisData!$A:$A, "Pickup", NewEmisData!$B:$B, $A60, NewEmisData!$C:$C, $H60, NewEmisData!$D:$D, Z$2), SUMIFS(NewEmisData!J:J, NewEmisData!$A:$A, "LDV", NewEmisData!$B:$B, $A60, NewEmisData!$C:$C, $H60, NewEmisData!$D:$D, Z$2))</f>
        <v>6.5736379947852003E-2</v>
      </c>
      <c r="AA60" s="324">
        <f>$I60*IF($G60="Pickup", SUMIFS(NewEmisData!K:K, NewEmisData!$A:$A, "Pickup", NewEmisData!$B:$B, $A60, NewEmisData!$C:$C, $H60, NewEmisData!$D:$D, AA$2), SUMIFS(NewEmisData!K:K, NewEmisData!$A:$A, "LDV", NewEmisData!$B:$B, $A60, NewEmisData!$C:$C, $H60, NewEmisData!$D:$D, AA$2))</f>
        <v>5.6635638117250503E-2</v>
      </c>
      <c r="AB60" s="324">
        <f>$I60*IF($G60="Pickup", SUMIFS(NewEmisData!L:L, NewEmisData!$A:$A, "Pickup", NewEmisData!$B:$B, $A60, NewEmisData!$C:$C, $H60, NewEmisData!$D:$D, AB$2), SUMIFS(NewEmisData!L:L, NewEmisData!$A:$A, "LDV", NewEmisData!$B:$B, $A60, NewEmisData!$C:$C, $H60, NewEmisData!$D:$D, AB$2))</f>
        <v>5.4115247223223299E-2</v>
      </c>
      <c r="AC60" s="324">
        <f>$I60*IF($G60="Pickup", SUMIFS(NewEmisData!M:M, NewEmisData!$A:$A, "Pickup", NewEmisData!$B:$B, $A60, NewEmisData!$C:$C, $H60, NewEmisData!$D:$D, AC$2), SUMIFS(NewEmisData!M:M, NewEmisData!$A:$A, "LDV", NewEmisData!$B:$B, $A60, NewEmisData!$C:$C, $H60, NewEmisData!$D:$D, AC$2))</f>
        <v>5.2826207223764E-2</v>
      </c>
      <c r="AD60" s="324">
        <f t="shared" si="6"/>
        <v>5.2826207223764E-2</v>
      </c>
      <c r="AE60" s="324">
        <f>$I60*IF($G60="Pickup", SUMIFS(NewEmisData!E:E, NewEmisData!$A:$A, "Pickup", NewEmisData!$B:$B, $A60, NewEmisData!$C:$C, $H60, NewEmisData!$D:$D, AE$2), SUMIFS(NewEmisData!E:E, NewEmisData!$A:$A, "LDV", NewEmisData!$B:$B, $A60, NewEmisData!$C:$C, $H60, NewEmisData!$D:$D, AE$2))</f>
        <v>8.2552586035919695E-3</v>
      </c>
      <c r="AF60" s="324">
        <f>$I60*IF($G60="Pickup", SUMIFS(NewEmisData!F:F, NewEmisData!$A:$A, "Pickup", NewEmisData!$B:$B, $A60, NewEmisData!$C:$C, $H60, NewEmisData!$D:$D, AF$2), SUMIFS(NewEmisData!F:F, NewEmisData!$A:$A, "LDV", NewEmisData!$B:$B, $A60, NewEmisData!$C:$C, $H60, NewEmisData!$D:$D, AF$2))</f>
        <v>7.9482131517538395E-3</v>
      </c>
      <c r="AG60" s="324">
        <f>$I60*IF($G60="Pickup", SUMIFS(NewEmisData!G:G, NewEmisData!$A:$A, "Pickup", NewEmisData!$B:$B, $A60, NewEmisData!$C:$C, $H60, NewEmisData!$D:$D, AG$2), SUMIFS(NewEmisData!G:G, NewEmisData!$A:$A, "LDV", NewEmisData!$B:$B, $A60, NewEmisData!$C:$C, $H60, NewEmisData!$D:$D, AG$2))</f>
        <v>6.4190305556059996E-3</v>
      </c>
      <c r="AH60" s="324">
        <f>$I60*IF($G60="Pickup", SUMIFS(NewEmisData!H:H, NewEmisData!$A:$A, "Pickup", NewEmisData!$B:$B, $A60, NewEmisData!$C:$C, $H60, NewEmisData!$D:$D, AH$2), SUMIFS(NewEmisData!H:H, NewEmisData!$A:$A, "LDV", NewEmisData!$B:$B, $A60, NewEmisData!$C:$C, $H60, NewEmisData!$D:$D, AH$2))</f>
        <v>5.4616828003907899E-3</v>
      </c>
      <c r="AI60" s="324">
        <f>$I60*IF($G60="Pickup", SUMIFS(NewEmisData!I:I, NewEmisData!$A:$A, "Pickup", NewEmisData!$B:$B, $A60, NewEmisData!$C:$C, $H60, NewEmisData!$D:$D, AI$2), SUMIFS(NewEmisData!I:I, NewEmisData!$A:$A, "LDV", NewEmisData!$B:$B, $A60, NewEmisData!$C:$C, $H60, NewEmisData!$D:$D, AI$2))</f>
        <v>4.7275285851957304E-3</v>
      </c>
      <c r="AJ60" s="324">
        <f>$I60*IF($G60="Pickup", SUMIFS(NewEmisData!J:J, NewEmisData!$A:$A, "Pickup", NewEmisData!$B:$B, $A60, NewEmisData!$C:$C, $H60, NewEmisData!$D:$D, AJ$2), SUMIFS(NewEmisData!J:J, NewEmisData!$A:$A, "LDV", NewEmisData!$B:$B, $A60, NewEmisData!$C:$C, $H60, NewEmisData!$D:$D, AJ$2))</f>
        <v>4.3136734611450098E-3</v>
      </c>
      <c r="AK60" s="324">
        <f>$I60*IF($G60="Pickup", SUMIFS(NewEmisData!K:K, NewEmisData!$A:$A, "Pickup", NewEmisData!$B:$B, $A60, NewEmisData!$C:$C, $H60, NewEmisData!$D:$D, AK$2), SUMIFS(NewEmisData!K:K, NewEmisData!$A:$A, "LDV", NewEmisData!$B:$B, $A60, NewEmisData!$C:$C, $H60, NewEmisData!$D:$D, AK$2))</f>
        <v>4.1291858052272803E-3</v>
      </c>
      <c r="AL60" s="324">
        <f>$I60*IF($G60="Pickup", SUMIFS(NewEmisData!L:L, NewEmisData!$A:$A, "Pickup", NewEmisData!$B:$B, $A60, NewEmisData!$C:$C, $H60, NewEmisData!$D:$D, AL$2), SUMIFS(NewEmisData!L:L, NewEmisData!$A:$A, "LDV", NewEmisData!$B:$B, $A60, NewEmisData!$C:$C, $H60, NewEmisData!$D:$D, AL$2))</f>
        <v>4.0635983922117898E-3</v>
      </c>
      <c r="AM60" s="324">
        <f>$I60*IF($G60="Pickup", SUMIFS(NewEmisData!M:M, NewEmisData!$A:$A, "Pickup", NewEmisData!$B:$B, $A60, NewEmisData!$C:$C, $H60, NewEmisData!$D:$D, AM$2), SUMIFS(NewEmisData!M:M, NewEmisData!$A:$A, "LDV", NewEmisData!$B:$B, $A60, NewEmisData!$C:$C, $H60, NewEmisData!$D:$D, AM$2))</f>
        <v>4.0393864318059199E-3</v>
      </c>
      <c r="AN60" s="324">
        <f t="shared" si="7"/>
        <v>4.0393864318059199E-3</v>
      </c>
      <c r="AO60" s="324">
        <f>$I60*IF($G60="Pickup", SUMIFS(NewEmisData!E:E, NewEmisData!$A:$A, "Pickup", NewEmisData!$B:$B, $A60, NewEmisData!$C:$C, $H60, NewEmisData!$D:$D, AO$2), SUMIFS(NewEmisData!E:E, NewEmisData!$A:$A, "LDV", NewEmisData!$B:$B, $A60, NewEmisData!$C:$C, $H60, NewEmisData!$D:$D, AO$2))</f>
        <v>8.1828643727713493E-2</v>
      </c>
      <c r="AP60" s="324">
        <f>$I60*IF($G60="Pickup", SUMIFS(NewEmisData!F:F, NewEmisData!$A:$A, "Pickup", NewEmisData!$B:$B, $A60, NewEmisData!$C:$C, $H60, NewEmisData!$D:$D, AP$2), SUMIFS(NewEmisData!F:F, NewEmisData!$A:$A, "LDV", NewEmisData!$B:$B, $A60, NewEmisData!$C:$C, $H60, NewEmisData!$D:$D, AP$2))</f>
        <v>7.6175839057221195E-2</v>
      </c>
      <c r="AQ60" s="324">
        <f>$I60*IF($G60="Pickup", SUMIFS(NewEmisData!G:G, NewEmisData!$A:$A, "Pickup", NewEmisData!$B:$B, $A60, NewEmisData!$C:$C, $H60, NewEmisData!$D:$D, AQ$2), SUMIFS(NewEmisData!G:G, NewEmisData!$A:$A, "LDV", NewEmisData!$B:$B, $A60, NewEmisData!$C:$C, $H60, NewEmisData!$D:$D, AQ$2))</f>
        <v>8.1302809072104507E-2</v>
      </c>
      <c r="AR60" s="324">
        <f>$I60*IF($G60="Pickup", SUMIFS(NewEmisData!H:H, NewEmisData!$A:$A, "Pickup", NewEmisData!$B:$B, $A60, NewEmisData!$C:$C, $H60, NewEmisData!$D:$D, AR$2), SUMIFS(NewEmisData!H:H, NewEmisData!$A:$A, "LDV", NewEmisData!$B:$B, $A60, NewEmisData!$C:$C, $H60, NewEmisData!$D:$D, AR$2))</f>
        <v>7.9561688690416299E-2</v>
      </c>
      <c r="AS60" s="324">
        <f>$I60*IF($G60="Pickup", SUMIFS(NewEmisData!I:I, NewEmisData!$A:$A, "Pickup", NewEmisData!$B:$B, $A60, NewEmisData!$C:$C, $H60, NewEmisData!$D:$D, AS$2), SUMIFS(NewEmisData!I:I, NewEmisData!$A:$A, "LDV", NewEmisData!$B:$B, $A60, NewEmisData!$C:$C, $H60, NewEmisData!$D:$D, AS$2))</f>
        <v>7.7910530261031605E-2</v>
      </c>
      <c r="AT60" s="324">
        <f>$I60*IF($G60="Pickup", SUMIFS(NewEmisData!J:J, NewEmisData!$A:$A, "Pickup", NewEmisData!$B:$B, $A60, NewEmisData!$C:$C, $H60, NewEmisData!$D:$D, AT$2), SUMIFS(NewEmisData!J:J, NewEmisData!$A:$A, "LDV", NewEmisData!$B:$B, $A60, NewEmisData!$C:$C, $H60, NewEmisData!$D:$D, AT$2))</f>
        <v>7.6590334474495605E-2</v>
      </c>
      <c r="AU60" s="324">
        <f>$I60*IF($G60="Pickup", SUMIFS(NewEmisData!K:K, NewEmisData!$A:$A, "Pickup", NewEmisData!$B:$B, $A60, NewEmisData!$C:$C, $H60, NewEmisData!$D:$D, AU$2), SUMIFS(NewEmisData!K:K, NewEmisData!$A:$A, "LDV", NewEmisData!$B:$B, $A60, NewEmisData!$C:$C, $H60, NewEmisData!$D:$D, AU$2))</f>
        <v>7.5767938917924701E-2</v>
      </c>
      <c r="AV60" s="324">
        <f>$I60*IF($G60="Pickup", SUMIFS(NewEmisData!L:L, NewEmisData!$A:$A, "Pickup", NewEmisData!$B:$B, $A60, NewEmisData!$C:$C, $H60, NewEmisData!$D:$D, AV$2), SUMIFS(NewEmisData!L:L, NewEmisData!$A:$A, "LDV", NewEmisData!$B:$B, $A60, NewEmisData!$C:$C, $H60, NewEmisData!$D:$D, AV$2))</f>
        <v>7.5353710070808794E-2</v>
      </c>
      <c r="AW60" s="324">
        <f>$I60*IF($G60="Pickup", SUMIFS(NewEmisData!M:M, NewEmisData!$A:$A, "Pickup", NewEmisData!$B:$B, $A60, NewEmisData!$C:$C, $H60, NewEmisData!$D:$D, AW$2), SUMIFS(NewEmisData!M:M, NewEmisData!$A:$A, "LDV", NewEmisData!$B:$B, $A60, NewEmisData!$C:$C, $H60, NewEmisData!$D:$D, AW$2))</f>
        <v>7.5117977052891499E-2</v>
      </c>
      <c r="AX60" s="324">
        <f t="shared" si="8"/>
        <v>7.5117977052891499E-2</v>
      </c>
      <c r="AY60" s="324">
        <f>$I60*IF($G60="Pickup", SUMIFS(NewEmisData!E:E, NewEmisData!$A:$A, "Pickup", NewEmisData!$B:$B, $A60, NewEmisData!$C:$C, $H60, NewEmisData!$D:$D, AY$2), SUMIFS(NewEmisData!E:E, NewEmisData!$A:$A, "LDV", NewEmisData!$B:$B, $A60, NewEmisData!$C:$C, $H60, NewEmisData!$D:$D, AY$2))</f>
        <v>2.1998193760633E-2</v>
      </c>
      <c r="AZ60" s="324">
        <f>$I60*IF($G60="Pickup", SUMIFS(NewEmisData!F:F, NewEmisData!$A:$A, "Pickup", NewEmisData!$B:$B, $A60, NewEmisData!$C:$C, $H60, NewEmisData!$D:$D, AZ$2), SUMIFS(NewEmisData!F:F, NewEmisData!$A:$A, "LDV", NewEmisData!$B:$B, $A60, NewEmisData!$C:$C, $H60, NewEmisData!$D:$D, AZ$2))</f>
        <v>1.6997575378008601E-2</v>
      </c>
      <c r="BA60" s="324">
        <f>$I60*IF($G60="Pickup", SUMIFS(NewEmisData!G:G, NewEmisData!$A:$A, "Pickup", NewEmisData!$B:$B, $A60, NewEmisData!$C:$C, $H60, NewEmisData!$D:$D, BA$2), SUMIFS(NewEmisData!G:G, NewEmisData!$A:$A, "LDV", NewEmisData!$B:$B, $A60, NewEmisData!$C:$C, $H60, NewEmisData!$D:$D, BA$2))</f>
        <v>1.6580879412419602E-2</v>
      </c>
      <c r="BB60" s="324">
        <f>$I60*IF($G60="Pickup", SUMIFS(NewEmisData!H:H, NewEmisData!$A:$A, "Pickup", NewEmisData!$B:$B, $A60, NewEmisData!$C:$C, $H60, NewEmisData!$D:$D, BB$2), SUMIFS(NewEmisData!H:H, NewEmisData!$A:$A, "LDV", NewEmisData!$B:$B, $A60, NewEmisData!$C:$C, $H60, NewEmisData!$D:$D, BB$2))</f>
        <v>1.5040645169031801E-2</v>
      </c>
      <c r="BC60" s="324">
        <f>$I60*IF($G60="Pickup", SUMIFS(NewEmisData!I:I, NewEmisData!$A:$A, "Pickup", NewEmisData!$B:$B, $A60, NewEmisData!$C:$C, $H60, NewEmisData!$D:$D, BC$2), SUMIFS(NewEmisData!I:I, NewEmisData!$A:$A, "LDV", NewEmisData!$B:$B, $A60, NewEmisData!$C:$C, $H60, NewEmisData!$D:$D, BC$2))</f>
        <v>1.35799610150696E-2</v>
      </c>
      <c r="BD60" s="324">
        <f>$I60*IF($G60="Pickup", SUMIFS(NewEmisData!J:J, NewEmisData!$A:$A, "Pickup", NewEmisData!$B:$B, $A60, NewEmisData!$C:$C, $H60, NewEmisData!$D:$D, BD$2), SUMIFS(NewEmisData!J:J, NewEmisData!$A:$A, "LDV", NewEmisData!$B:$B, $A60, NewEmisData!$C:$C, $H60, NewEmisData!$D:$D, BD$2))</f>
        <v>1.24120667817219E-2</v>
      </c>
      <c r="BE60" s="324">
        <f>$I60*IF($G60="Pickup", SUMIFS(NewEmisData!K:K, NewEmisData!$A:$A, "Pickup", NewEmisData!$B:$B, $A60, NewEmisData!$C:$C, $H60, NewEmisData!$D:$D, BE$2), SUMIFS(NewEmisData!K:K, NewEmisData!$A:$A, "LDV", NewEmisData!$B:$B, $A60, NewEmisData!$C:$C, $H60, NewEmisData!$D:$D, BE$2))</f>
        <v>1.16845073314224E-2</v>
      </c>
      <c r="BF60" s="324">
        <f>$I60*IF($G60="Pickup", SUMIFS(NewEmisData!L:L, NewEmisData!$A:$A, "Pickup", NewEmisData!$B:$B, $A60, NewEmisData!$C:$C, $H60, NewEmisData!$D:$D, BF$2), SUMIFS(NewEmisData!L:L, NewEmisData!$A:$A, "LDV", NewEmisData!$B:$B, $A60, NewEmisData!$C:$C, $H60, NewEmisData!$D:$D, BF$2))</f>
        <v>1.1318096390010799E-2</v>
      </c>
      <c r="BG60" s="324">
        <f>$I60*IF($G60="Pickup", SUMIFS(NewEmisData!M:M, NewEmisData!$A:$A, "Pickup", NewEmisData!$B:$B, $A60, NewEmisData!$C:$C, $H60, NewEmisData!$D:$D, BG$2), SUMIFS(NewEmisData!M:M, NewEmisData!$A:$A, "LDV", NewEmisData!$B:$B, $A60, NewEmisData!$C:$C, $H60, NewEmisData!$D:$D, BG$2))</f>
        <v>1.1109456757731499E-2</v>
      </c>
      <c r="BH60" s="324">
        <f t="shared" si="9"/>
        <v>1.1109456757731499E-2</v>
      </c>
      <c r="BI60" s="324">
        <f>$I60*IF($G60="Pickup", SUMIFS(NewEmisData!E:E, NewEmisData!$A:$A, "Pickup", NewEmisData!$B:$B, $A60, NewEmisData!$C:$C, $H60, NewEmisData!$D:$D, BI$2), SUMIFS(NewEmisData!E:E, NewEmisData!$A:$A, "LDV", NewEmisData!$B:$B, $A60, NewEmisData!$C:$C, $H60, NewEmisData!$D:$D, BI$2))</f>
        <v>6.6339830086865597</v>
      </c>
      <c r="BJ60" s="324">
        <f>$I60*IF($G60="Pickup", SUMIFS(NewEmisData!F:F, NewEmisData!$A:$A, "Pickup", NewEmisData!$B:$B, $A60, NewEmisData!$C:$C, $H60, NewEmisData!$D:$D, BJ$2), SUMIFS(NewEmisData!F:F, NewEmisData!$A:$A, "LDV", NewEmisData!$B:$B, $A60, NewEmisData!$C:$C, $H60, NewEmisData!$D:$D, BJ$2))</f>
        <v>3.9206205551931301</v>
      </c>
      <c r="BK60" s="324">
        <f>$I60*IF($G60="Pickup", SUMIFS(NewEmisData!G:G, NewEmisData!$A:$A, "Pickup", NewEmisData!$B:$B, $A60, NewEmisData!$C:$C, $H60, NewEmisData!$D:$D, BK$2), SUMIFS(NewEmisData!G:G, NewEmisData!$A:$A, "LDV", NewEmisData!$B:$B, $A60, NewEmisData!$C:$C, $H60, NewEmisData!$D:$D, BK$2))</f>
        <v>3.0174466275096199</v>
      </c>
      <c r="BL60" s="324">
        <f>$I60*IF($G60="Pickup", SUMIFS(NewEmisData!H:H, NewEmisData!$A:$A, "Pickup", NewEmisData!$B:$B, $A60, NewEmisData!$C:$C, $H60, NewEmisData!$D:$D, BL$2), SUMIFS(NewEmisData!H:H, NewEmisData!$A:$A, "LDV", NewEmisData!$B:$B, $A60, NewEmisData!$C:$C, $H60, NewEmisData!$D:$D, BL$2))</f>
        <v>2.3529221673804699</v>
      </c>
      <c r="BM60" s="324">
        <f>$I60*IF($G60="Pickup", SUMIFS(NewEmisData!I:I, NewEmisData!$A:$A, "Pickup", NewEmisData!$B:$B, $A60, NewEmisData!$C:$C, $H60, NewEmisData!$D:$D, BM$2), SUMIFS(NewEmisData!I:I, NewEmisData!$A:$A, "LDV", NewEmisData!$B:$B, $A60, NewEmisData!$C:$C, $H60, NewEmisData!$D:$D, BM$2))</f>
        <v>1.70384058027793</v>
      </c>
      <c r="BN60" s="324">
        <f>$I60*IF($G60="Pickup", SUMIFS(NewEmisData!J:J, NewEmisData!$A:$A, "Pickup", NewEmisData!$B:$B, $A60, NewEmisData!$C:$C, $H60, NewEmisData!$D:$D, BN$2), SUMIFS(NewEmisData!J:J, NewEmisData!$A:$A, "LDV", NewEmisData!$B:$B, $A60, NewEmisData!$C:$C, $H60, NewEmisData!$D:$D, BN$2))</f>
        <v>1.3463730618004399</v>
      </c>
      <c r="BO60" s="324">
        <f>$I60*IF($G60="Pickup", SUMIFS(NewEmisData!K:K, NewEmisData!$A:$A, "Pickup", NewEmisData!$B:$B, $A60, NewEmisData!$C:$C, $H60, NewEmisData!$D:$D, BO$2), SUMIFS(NewEmisData!K:K, NewEmisData!$A:$A, "LDV", NewEmisData!$B:$B, $A60, NewEmisData!$C:$C, $H60, NewEmisData!$D:$D, BO$2))</f>
        <v>1.1858346520835299</v>
      </c>
      <c r="BP60" s="324">
        <f>$I60*IF($G60="Pickup", SUMIFS(NewEmisData!L:L, NewEmisData!$A:$A, "Pickup", NewEmisData!$B:$B, $A60, NewEmisData!$C:$C, $H60, NewEmisData!$D:$D, BP$2), SUMIFS(NewEmisData!L:L, NewEmisData!$A:$A, "LDV", NewEmisData!$B:$B, $A60, NewEmisData!$C:$C, $H60, NewEmisData!$D:$D, BP$2))</f>
        <v>1.1335061554616499</v>
      </c>
      <c r="BQ60" s="324">
        <f>$I60*IF($G60="Pickup", SUMIFS(NewEmisData!M:M, NewEmisData!$A:$A, "Pickup", NewEmisData!$B:$B, $A60, NewEmisData!$C:$C, $H60, NewEmisData!$D:$D, BQ$2), SUMIFS(NewEmisData!M:M, NewEmisData!$A:$A, "LDV", NewEmisData!$B:$B, $A60, NewEmisData!$C:$C, $H60, NewEmisData!$D:$D, BQ$2))</f>
        <v>1.1009029054349999</v>
      </c>
      <c r="BR60" s="324">
        <f t="shared" si="10"/>
        <v>1.1009029054349999</v>
      </c>
      <c r="BS60" s="324">
        <f>$I60*IF($G60="Pickup", SUMIFS(NewEmisData!E:E, NewEmisData!$A:$A, "Pickup", NewEmisData!$B:$B, $A60, NewEmisData!$C:$C, $H60, NewEmisData!$D:$D, BS$2), SUMIFS(NewEmisData!E:E, NewEmisData!$A:$A, "LDV", NewEmisData!$B:$B, $A60, NewEmisData!$C:$C, $H60, NewEmisData!$D:$D, BS$2))</f>
        <v>0.77473150733664098</v>
      </c>
      <c r="BT60" s="324">
        <f>$I60*IF($G60="Pickup", SUMIFS(NewEmisData!F:F, NewEmisData!$A:$A, "Pickup", NewEmisData!$B:$B, $A60, NewEmisData!$C:$C, $H60, NewEmisData!$D:$D, BT$2), SUMIFS(NewEmisData!F:F, NewEmisData!$A:$A, "LDV", NewEmisData!$B:$B, $A60, NewEmisData!$C:$C, $H60, NewEmisData!$D:$D, BT$2))</f>
        <v>0.41904908416840297</v>
      </c>
      <c r="BU60" s="324">
        <f>$I60*IF($G60="Pickup", SUMIFS(NewEmisData!G:G, NewEmisData!$A:$A, "Pickup", NewEmisData!$B:$B, $A60, NewEmisData!$C:$C, $H60, NewEmisData!$D:$D, BU$2), SUMIFS(NewEmisData!G:G, NewEmisData!$A:$A, "LDV", NewEmisData!$B:$B, $A60, NewEmisData!$C:$C, $H60, NewEmisData!$D:$D, BU$2))</f>
        <v>0.30982899515166501</v>
      </c>
      <c r="BV60" s="324">
        <f>$I60*IF($G60="Pickup", SUMIFS(NewEmisData!H:H, NewEmisData!$A:$A, "Pickup", NewEmisData!$B:$B, $A60, NewEmisData!$C:$C, $H60, NewEmisData!$D:$D, BV$2), SUMIFS(NewEmisData!H:H, NewEmisData!$A:$A, "LDV", NewEmisData!$B:$B, $A60, NewEmisData!$C:$C, $H60, NewEmisData!$D:$D, BV$2))</f>
        <v>0.25046259079934602</v>
      </c>
      <c r="BW60" s="324">
        <f>$I60*IF($G60="Pickup", SUMIFS(NewEmisData!I:I, NewEmisData!$A:$A, "Pickup", NewEmisData!$B:$B, $A60, NewEmisData!$C:$C, $H60, NewEmisData!$D:$D, BW$2), SUMIFS(NewEmisData!I:I, NewEmisData!$A:$A, "LDV", NewEmisData!$B:$B, $A60, NewEmisData!$C:$C, $H60, NewEmisData!$D:$D, BW$2))</f>
        <v>0.18616224227516101</v>
      </c>
      <c r="BX60" s="324">
        <f>$I60*IF($G60="Pickup", SUMIFS(NewEmisData!J:J, NewEmisData!$A:$A, "Pickup", NewEmisData!$B:$B, $A60, NewEmisData!$C:$C, $H60, NewEmisData!$D:$D, BX$2), SUMIFS(NewEmisData!J:J, NewEmisData!$A:$A, "LDV", NewEmisData!$B:$B, $A60, NewEmisData!$C:$C, $H60, NewEmisData!$D:$D, BX$2))</f>
        <v>0.15683046751729501</v>
      </c>
      <c r="BY60" s="324">
        <f>$I60*IF($G60="Pickup", SUMIFS(NewEmisData!K:K, NewEmisData!$A:$A, "Pickup", NewEmisData!$B:$B, $A60, NewEmisData!$C:$C, $H60, NewEmisData!$D:$D, BY$2), SUMIFS(NewEmisData!K:K, NewEmisData!$A:$A, "LDV", NewEmisData!$B:$B, $A60, NewEmisData!$C:$C, $H60, NewEmisData!$D:$D, BY$2))</f>
        <v>0.14094000257929501</v>
      </c>
      <c r="BZ60" s="324">
        <f>$I60*IF($G60="Pickup", SUMIFS(NewEmisData!L:L, NewEmisData!$A:$A, "Pickup", NewEmisData!$B:$B, $A60, NewEmisData!$C:$C, $H60, NewEmisData!$D:$D, BZ$2), SUMIFS(NewEmisData!L:L, NewEmisData!$A:$A, "LDV", NewEmisData!$B:$B, $A60, NewEmisData!$C:$C, $H60, NewEmisData!$D:$D, BZ$2))</f>
        <v>0.134774071356623</v>
      </c>
      <c r="CA60" s="324">
        <f>$I60*IF($G60="Pickup", SUMIFS(NewEmisData!M:M, NewEmisData!$A:$A, "Pickup", NewEmisData!$B:$B, $A60, NewEmisData!$C:$C, $H60, NewEmisData!$D:$D, CA$2), SUMIFS(NewEmisData!M:M, NewEmisData!$A:$A, "LDV", NewEmisData!$B:$B, $A60, NewEmisData!$C:$C, $H60, NewEmisData!$D:$D, CA$2))</f>
        <v>0.12984032725640701</v>
      </c>
      <c r="CB60" s="324">
        <f t="shared" si="11"/>
        <v>0.12984032725640701</v>
      </c>
      <c r="CC60" s="324">
        <f>$I60*IF($G60="Pickup", SUMIFS(NewEmisData!E:E, NewEmisData!$A:$A, "Pickup", NewEmisData!$B:$B, $A60, NewEmisData!$C:$C, $H60, NewEmisData!$D:$D, CC$2), SUMIFS(NewEmisData!E:E, NewEmisData!$A:$A, "LDV", NewEmisData!$B:$B, $A60, NewEmisData!$C:$C, $H60, NewEmisData!$D:$D, CC$2))</f>
        <v>4.52789246362666E-2</v>
      </c>
      <c r="CD60" s="324">
        <f>$I60*IF($G60="Pickup", SUMIFS(NewEmisData!F:F, NewEmisData!$A:$A, "Pickup", NewEmisData!$B:$B, $A60, NewEmisData!$C:$C, $H60, NewEmisData!$D:$D, CD$2), SUMIFS(NewEmisData!F:F, NewEmisData!$A:$A, "LDV", NewEmisData!$B:$B, $A60, NewEmisData!$C:$C, $H60, NewEmisData!$D:$D, CD$2))</f>
        <v>3.0659932051567799E-2</v>
      </c>
      <c r="CE60" s="324">
        <f>$I60*IF($G60="Pickup", SUMIFS(NewEmisData!G:G, NewEmisData!$A:$A, "Pickup", NewEmisData!$B:$B, $A60, NewEmisData!$C:$C, $H60, NewEmisData!$D:$D, CE$2), SUMIFS(NewEmisData!G:G, NewEmisData!$A:$A, "LDV", NewEmisData!$B:$B, $A60, NewEmisData!$C:$C, $H60, NewEmisData!$D:$D, CE$2))</f>
        <v>2.8386595157116199E-2</v>
      </c>
      <c r="CF60" s="324">
        <f>$I60*IF($G60="Pickup", SUMIFS(NewEmisData!H:H, NewEmisData!$A:$A, "Pickup", NewEmisData!$B:$B, $A60, NewEmisData!$C:$C, $H60, NewEmisData!$D:$D, CF$2), SUMIFS(NewEmisData!H:H, NewEmisData!$A:$A, "LDV", NewEmisData!$B:$B, $A60, NewEmisData!$C:$C, $H60, NewEmisData!$D:$D, CF$2))</f>
        <v>2.7093413499500101E-2</v>
      </c>
      <c r="CG60" s="324">
        <f>$I60*IF($G60="Pickup", SUMIFS(NewEmisData!I:I, NewEmisData!$A:$A, "Pickup", NewEmisData!$B:$B, $A60, NewEmisData!$C:$C, $H60, NewEmisData!$D:$D, CG$2), SUMIFS(NewEmisData!I:I, NewEmisData!$A:$A, "LDV", NewEmisData!$B:$B, $A60, NewEmisData!$C:$C, $H60, NewEmisData!$D:$D, CG$2))</f>
        <v>2.6239574855980601E-2</v>
      </c>
      <c r="CH60" s="324">
        <f>$I60*IF($G60="Pickup", SUMIFS(NewEmisData!J:J, NewEmisData!$A:$A, "Pickup", NewEmisData!$B:$B, $A60, NewEmisData!$C:$C, $H60, NewEmisData!$D:$D, CH$2), SUMIFS(NewEmisData!J:J, NewEmisData!$A:$A, "LDV", NewEmisData!$B:$B, $A60, NewEmisData!$C:$C, $H60, NewEmisData!$D:$D, CH$2))</f>
        <v>2.5564245202349602E-2</v>
      </c>
      <c r="CI60" s="324">
        <f>$I60*IF($G60="Pickup", SUMIFS(NewEmisData!K:K, NewEmisData!$A:$A, "Pickup", NewEmisData!$B:$B, $A60, NewEmisData!$C:$C, $H60, NewEmisData!$D:$D, CI$2), SUMIFS(NewEmisData!K:K, NewEmisData!$A:$A, "LDV", NewEmisData!$B:$B, $A60, NewEmisData!$C:$C, $H60, NewEmisData!$D:$D, CI$2))</f>
        <v>2.5562136009582501E-2</v>
      </c>
      <c r="CJ60" s="324">
        <f>$I60*IF($G60="Pickup", SUMIFS(NewEmisData!L:L, NewEmisData!$A:$A, "Pickup", NewEmisData!$B:$B, $A60, NewEmisData!$C:$C, $H60, NewEmisData!$D:$D, CJ$2), SUMIFS(NewEmisData!L:L, NewEmisData!$A:$A, "LDV", NewEmisData!$B:$B, $A60, NewEmisData!$C:$C, $H60, NewEmisData!$D:$D, CJ$2))</f>
        <v>2.5561539762266602E-2</v>
      </c>
      <c r="CK60" s="324">
        <f>$I60*IF($G60="Pickup", SUMIFS(NewEmisData!M:M, NewEmisData!$A:$A, "Pickup", NewEmisData!$B:$B, $A60, NewEmisData!$C:$C, $H60, NewEmisData!$D:$D, CK$2), SUMIFS(NewEmisData!M:M, NewEmisData!$A:$A, "LDV", NewEmisData!$B:$B, $A60, NewEmisData!$C:$C, $H60, NewEmisData!$D:$D, CK$2))</f>
        <v>2.5560994254839702E-2</v>
      </c>
      <c r="CL60" s="324">
        <f t="shared" si="12"/>
        <v>2.5560994254839702E-2</v>
      </c>
      <c r="CM60" s="324">
        <f>$I60*IF($G60="Pickup", SUMIFS(NewEmisData!E:E, NewEmisData!$A:$A, "Pickup", NewEmisData!$B:$B, $A60, NewEmisData!$C:$C, $H60, NewEmisData!$D:$D, CM$2), SUMIFS(NewEmisData!E:E, NewEmisData!$A:$A, "LDV", NewEmisData!$B:$B, $A60, NewEmisData!$C:$C, $H60, NewEmisData!$D:$D, CM$2))</f>
        <v>2.2616228111616499E-2</v>
      </c>
      <c r="CN60" s="324">
        <f>$I60*IF($G60="Pickup", SUMIFS(NewEmisData!F:F, NewEmisData!$A:$A, "Pickup", NewEmisData!$B:$B, $A60, NewEmisData!$C:$C, $H60, NewEmisData!$D:$D, CN$2), SUMIFS(NewEmisData!F:F, NewEmisData!$A:$A, "LDV", NewEmisData!$B:$B, $A60, NewEmisData!$C:$C, $H60, NewEmisData!$D:$D, CN$2))</f>
        <v>1.37039938381133E-2</v>
      </c>
      <c r="CO60" s="324">
        <f>$I60*IF($G60="Pickup", SUMIFS(NewEmisData!G:G, NewEmisData!$A:$A, "Pickup", NewEmisData!$B:$B, $A60, NewEmisData!$C:$C, $H60, NewEmisData!$D:$D, CO$2), SUMIFS(NewEmisData!G:G, NewEmisData!$A:$A, "LDV", NewEmisData!$B:$B, $A60, NewEmisData!$C:$C, $H60, NewEmisData!$D:$D, CO$2))</f>
        <v>1.11279535576189E-2</v>
      </c>
      <c r="CP60" s="324">
        <f>$I60*IF($G60="Pickup", SUMIFS(NewEmisData!H:H, NewEmisData!$A:$A, "Pickup", NewEmisData!$B:$B, $A60, NewEmisData!$C:$C, $H60, NewEmisData!$D:$D, CP$2), SUMIFS(NewEmisData!H:H, NewEmisData!$A:$A, "LDV", NewEmisData!$B:$B, $A60, NewEmisData!$C:$C, $H60, NewEmisData!$D:$D, CP$2))</f>
        <v>9.1642249406405796E-3</v>
      </c>
      <c r="CQ60" s="324">
        <f>$I60*IF($G60="Pickup", SUMIFS(NewEmisData!I:I, NewEmisData!$A:$A, "Pickup", NewEmisData!$B:$B, $A60, NewEmisData!$C:$C, $H60, NewEmisData!$D:$D, CQ$2), SUMIFS(NewEmisData!I:I, NewEmisData!$A:$A, "LDV", NewEmisData!$B:$B, $A60, NewEmisData!$C:$C, $H60, NewEmisData!$D:$D, CQ$2))</f>
        <v>8.2157407295701708E-3</v>
      </c>
      <c r="CR60" s="324">
        <f>$I60*IF($G60="Pickup", SUMIFS(NewEmisData!J:J, NewEmisData!$A:$A, "Pickup", NewEmisData!$B:$B, $A60, NewEmisData!$C:$C, $H60, NewEmisData!$D:$D, CR$2), SUMIFS(NewEmisData!J:J, NewEmisData!$A:$A, "LDV", NewEmisData!$B:$B, $A60, NewEmisData!$C:$C, $H60, NewEmisData!$D:$D, CR$2))</f>
        <v>7.8051702943740097E-3</v>
      </c>
      <c r="CS60" s="324">
        <f>$I60*IF($G60="Pickup", SUMIFS(NewEmisData!K:K, NewEmisData!$A:$A, "Pickup", NewEmisData!$B:$B, $A60, NewEmisData!$C:$C, $H60, NewEmisData!$D:$D, CS$2), SUMIFS(NewEmisData!K:K, NewEmisData!$A:$A, "LDV", NewEmisData!$B:$B, $A60, NewEmisData!$C:$C, $H60, NewEmisData!$D:$D, CS$2))</f>
        <v>7.7607552788062101E-3</v>
      </c>
      <c r="CT60" s="324">
        <f>$I60*IF($G60="Pickup", SUMIFS(NewEmisData!L:L, NewEmisData!$A:$A, "Pickup", NewEmisData!$B:$B, $A60, NewEmisData!$C:$C, $H60, NewEmisData!$D:$D, CT$2), SUMIFS(NewEmisData!L:L, NewEmisData!$A:$A, "LDV", NewEmisData!$B:$B, $A60, NewEmisData!$C:$C, $H60, NewEmisData!$D:$D, CT$2))</f>
        <v>7.6883348823828098E-3</v>
      </c>
      <c r="CU60" s="324">
        <f>$I60*IF($G60="Pickup", SUMIFS(NewEmisData!M:M, NewEmisData!$A:$A, "Pickup", NewEmisData!$B:$B, $A60, NewEmisData!$C:$C, $H60, NewEmisData!$D:$D, CU$2), SUMIFS(NewEmisData!M:M, NewEmisData!$A:$A, "LDV", NewEmisData!$B:$B, $A60, NewEmisData!$C:$C, $H60, NewEmisData!$D:$D, CU$2))</f>
        <v>7.6878848286885603E-3</v>
      </c>
      <c r="CV60" s="324">
        <f t="shared" si="13"/>
        <v>7.6878848286885603E-3</v>
      </c>
      <c r="CW60" s="324">
        <v>3.0448046675121709E-3</v>
      </c>
      <c r="CX60" s="324">
        <v>1.8865908720768221E-3</v>
      </c>
      <c r="CY60" s="324">
        <v>1.5570268485524494E-3</v>
      </c>
      <c r="CZ60" s="324">
        <v>1.2432183416122382E-3</v>
      </c>
      <c r="DA60" s="324">
        <v>9.252251866281976E-4</v>
      </c>
      <c r="DB60" s="324">
        <v>7.2309456596024934E-4</v>
      </c>
      <c r="DC60" s="324">
        <v>6.8940706870607876E-4</v>
      </c>
      <c r="DD60" s="324">
        <v>6.844148428615973E-4</v>
      </c>
      <c r="DE60" s="324">
        <v>6.8634617396886091E-4</v>
      </c>
      <c r="DF60" s="324">
        <v>6.8634617396886091E-4</v>
      </c>
      <c r="DG60" s="324">
        <f>$I60*IF($G60="Pickup", SUMIFS(NewEmisData!E:E, NewEmisData!$A:$A, "Pickup", NewEmisData!$B:$B, $A60, NewEmisData!$C:$C, $H60, NewEmisData!$D:$D, DG$2), SUMIFS(NewEmisData!E:E, NewEmisData!$A:$A, "LDV", NewEmisData!$B:$B, $A60, NewEmisData!$C:$C, $H60, NewEmisData!$D:$D, DG$2))</f>
        <v>0</v>
      </c>
      <c r="DH60" s="324">
        <f>$I60*IF($G60="Pickup", SUMIFS(NewEmisData!F:F, NewEmisData!$A:$A, "Pickup", NewEmisData!$B:$B, $A60, NewEmisData!$C:$C, $H60, NewEmisData!$D:$D, DH$2), SUMIFS(NewEmisData!F:F, NewEmisData!$A:$A, "LDV", NewEmisData!$B:$B, $A60, NewEmisData!$C:$C, $H60, NewEmisData!$D:$D, DH$2))</f>
        <v>0</v>
      </c>
      <c r="DI60" s="324">
        <f>$I60*IF($G60="Pickup", SUMIFS(NewEmisData!G:G, NewEmisData!$A:$A, "Pickup", NewEmisData!$B:$B, $A60, NewEmisData!$C:$C, $H60, NewEmisData!$D:$D, DI$2), SUMIFS(NewEmisData!G:G, NewEmisData!$A:$A, "LDV", NewEmisData!$B:$B, $A60, NewEmisData!$C:$C, $H60, NewEmisData!$D:$D, DI$2))</f>
        <v>0</v>
      </c>
      <c r="DJ60" s="324">
        <f>$I60*IF($G60="Pickup", SUMIFS(NewEmisData!H:H, NewEmisData!$A:$A, "Pickup", NewEmisData!$B:$B, $A60, NewEmisData!$C:$C, $H60, NewEmisData!$D:$D, DJ$2), SUMIFS(NewEmisData!H:H, NewEmisData!$A:$A, "LDV", NewEmisData!$B:$B, $A60, NewEmisData!$C:$C, $H60, NewEmisData!$D:$D, DJ$2))</f>
        <v>0</v>
      </c>
      <c r="DK60" s="324">
        <f>$I60*IF($G60="Pickup", SUMIFS(NewEmisData!I:I, NewEmisData!$A:$A, "Pickup", NewEmisData!$B:$B, $A60, NewEmisData!$C:$C, $H60, NewEmisData!$D:$D, DK$2), SUMIFS(NewEmisData!I:I, NewEmisData!$A:$A, "LDV", NewEmisData!$B:$B, $A60, NewEmisData!$C:$C, $H60, NewEmisData!$D:$D, DK$2))</f>
        <v>0</v>
      </c>
      <c r="DL60" s="324">
        <f>$I60*IF($G60="Pickup", SUMIFS(NewEmisData!J:J, NewEmisData!$A:$A, "Pickup", NewEmisData!$B:$B, $A60, NewEmisData!$C:$C, $H60, NewEmisData!$D:$D, DL$2), SUMIFS(NewEmisData!J:J, NewEmisData!$A:$A, "LDV", NewEmisData!$B:$B, $A60, NewEmisData!$C:$C, $H60, NewEmisData!$D:$D, DL$2))</f>
        <v>0</v>
      </c>
      <c r="DM60" s="324">
        <f>$I60*IF($G60="Pickup", SUMIFS(NewEmisData!K:K, NewEmisData!$A:$A, "Pickup", NewEmisData!$B:$B, $A60, NewEmisData!$C:$C, $H60, NewEmisData!$D:$D, DM$2), SUMIFS(NewEmisData!K:K, NewEmisData!$A:$A, "LDV", NewEmisData!$B:$B, $A60, NewEmisData!$C:$C, $H60, NewEmisData!$D:$D, DM$2))</f>
        <v>0</v>
      </c>
      <c r="DN60" s="324">
        <f>$I60*IF($G60="Pickup", SUMIFS(NewEmisData!L:L, NewEmisData!$A:$A, "Pickup", NewEmisData!$B:$B, $A60, NewEmisData!$C:$C, $H60, NewEmisData!$D:$D, DN$2), SUMIFS(NewEmisData!L:L, NewEmisData!$A:$A, "LDV", NewEmisData!$B:$B, $A60, NewEmisData!$C:$C, $H60, NewEmisData!$D:$D, DN$2))</f>
        <v>0</v>
      </c>
      <c r="DO60" s="324">
        <f>$I60*IF($G60="Pickup", SUMIFS(NewEmisData!M:M, NewEmisData!$A:$A, "Pickup", NewEmisData!$B:$B, $A60, NewEmisData!$C:$C, $H60, NewEmisData!$D:$D, DO$2), SUMIFS(NewEmisData!M:M, NewEmisData!$A:$A, "LDV", NewEmisData!$B:$B, $A60, NewEmisData!$C:$C, $H60, NewEmisData!$D:$D, DO$2))</f>
        <v>0</v>
      </c>
      <c r="DP60" s="324">
        <f t="shared" si="14"/>
        <v>0</v>
      </c>
      <c r="DQ60" s="324">
        <f>$I60*IF($G60="Pickup", SUMIFS(NewEmisData!E:E, NewEmisData!$A:$A, "Pickup", NewEmisData!$B:$B, $A60, NewEmisData!$C:$C, $H60, NewEmisData!$D:$D, DQ$2), SUMIFS(NewEmisData!E:E, NewEmisData!$A:$A, "LDV", NewEmisData!$B:$B, $A60, NewEmisData!$C:$C, $H60, NewEmisData!$D:$D, DQ$2))</f>
        <v>1.53337301393982E-2</v>
      </c>
      <c r="DR60" s="324">
        <f>$I60*IF($G60="Pickup", SUMIFS(NewEmisData!F:F, NewEmisData!$A:$A, "Pickup", NewEmisData!$B:$B, $A60, NewEmisData!$C:$C, $H60, NewEmisData!$D:$D, DR$2), SUMIFS(NewEmisData!F:F, NewEmisData!$A:$A, "LDV", NewEmisData!$B:$B, $A60, NewEmisData!$C:$C, $H60, NewEmisData!$D:$D, DR$2))</f>
        <v>8.5791399504283501E-3</v>
      </c>
      <c r="DS60" s="324">
        <f>$I60*IF($G60="Pickup", SUMIFS(NewEmisData!G:G, NewEmisData!$A:$A, "Pickup", NewEmisData!$B:$B, $A60, NewEmisData!$C:$C, $H60, NewEmisData!$D:$D, DS$2), SUMIFS(NewEmisData!G:G, NewEmisData!$A:$A, "LDV", NewEmisData!$B:$B, $A60, NewEmisData!$C:$C, $H60, NewEmisData!$D:$D, DS$2))</f>
        <v>6.82614050243104E-3</v>
      </c>
      <c r="DT60" s="324">
        <f>$I60*IF($G60="Pickup", SUMIFS(NewEmisData!H:H, NewEmisData!$A:$A, "Pickup", NewEmisData!$B:$B, $A60, NewEmisData!$C:$C, $H60, NewEmisData!$D:$D, DT$2), SUMIFS(NewEmisData!H:H, NewEmisData!$A:$A, "LDV", NewEmisData!$B:$B, $A60, NewEmisData!$C:$C, $H60, NewEmisData!$D:$D, DT$2))</f>
        <v>5.2306090144423403E-3</v>
      </c>
      <c r="DU60" s="324">
        <f>$I60*IF($G60="Pickup", SUMIFS(NewEmisData!I:I, NewEmisData!$A:$A, "Pickup", NewEmisData!$B:$B, $A60, NewEmisData!$C:$C, $H60, NewEmisData!$D:$D, DU$2), SUMIFS(NewEmisData!I:I, NewEmisData!$A:$A, "LDV", NewEmisData!$B:$B, $A60, NewEmisData!$C:$C, $H60, NewEmisData!$D:$D, DU$2))</f>
        <v>4.0991034424651901E-3</v>
      </c>
      <c r="DV60" s="324">
        <f>$I60*IF($G60="Pickup", SUMIFS(NewEmisData!J:J, NewEmisData!$A:$A, "Pickup", NewEmisData!$B:$B, $A60, NewEmisData!$C:$C, $H60, NewEmisData!$D:$D, DV$2), SUMIFS(NewEmisData!J:J, NewEmisData!$A:$A, "LDV", NewEmisData!$B:$B, $A60, NewEmisData!$C:$C, $H60, NewEmisData!$D:$D, DV$2))</f>
        <v>3.5909983676119801E-3</v>
      </c>
      <c r="DW60" s="324">
        <f>$I60*IF($G60="Pickup", SUMIFS(NewEmisData!K:K, NewEmisData!$A:$A, "Pickup", NewEmisData!$B:$B, $A60, NewEmisData!$C:$C, $H60, NewEmisData!$D:$D, DW$2), SUMIFS(NewEmisData!K:K, NewEmisData!$A:$A, "LDV", NewEmisData!$B:$B, $A60, NewEmisData!$C:$C, $H60, NewEmisData!$D:$D, DW$2))</f>
        <v>3.3016556899443999E-3</v>
      </c>
      <c r="DX60" s="324">
        <f>$I60*IF($G60="Pickup", SUMIFS(NewEmisData!L:L, NewEmisData!$A:$A, "Pickup", NewEmisData!$B:$B, $A60, NewEmisData!$C:$C, $H60, NewEmisData!$D:$D, DX$2), SUMIFS(NewEmisData!L:L, NewEmisData!$A:$A, "LDV", NewEmisData!$B:$B, $A60, NewEmisData!$C:$C, $H60, NewEmisData!$D:$D, DX$2))</f>
        <v>3.2097040973390598E-3</v>
      </c>
      <c r="DY60" s="324">
        <f>$I60*IF($G60="Pickup", SUMIFS(NewEmisData!M:M, NewEmisData!$A:$A, "Pickup", NewEmisData!$B:$B, $A60, NewEmisData!$C:$C, $H60, NewEmisData!$D:$D, DY$2), SUMIFS(NewEmisData!M:M, NewEmisData!$A:$A, "LDV", NewEmisData!$B:$B, $A60, NewEmisData!$C:$C, $H60, NewEmisData!$D:$D, DY$2))</f>
        <v>3.1631494921928599E-3</v>
      </c>
      <c r="DZ60" s="324">
        <f t="shared" si="15"/>
        <v>3.1631494921928599E-3</v>
      </c>
      <c r="EA60" s="324">
        <f t="shared" si="16"/>
        <v>477.08587282575797</v>
      </c>
      <c r="EB60" s="324">
        <f t="shared" si="17"/>
        <v>459.34104292251902</v>
      </c>
      <c r="EC60" s="324">
        <f t="shared" si="18"/>
        <v>447.45896927637102</v>
      </c>
      <c r="ED60" s="324">
        <f t="shared" si="19"/>
        <v>380.72392677964001</v>
      </c>
      <c r="EE60" s="324">
        <f t="shared" si="20"/>
        <v>329.54737069801098</v>
      </c>
      <c r="EF60" s="324">
        <f t="shared" si="21"/>
        <v>300.69829568412598</v>
      </c>
      <c r="EG60" s="324">
        <f t="shared" si="22"/>
        <v>287.83799703632701</v>
      </c>
      <c r="EH60" s="324">
        <f t="shared" si="23"/>
        <v>283.26610797837998</v>
      </c>
      <c r="EI60" s="324">
        <f t="shared" si="24"/>
        <v>281.57834098528099</v>
      </c>
      <c r="EJ60" s="324">
        <f t="shared" si="25"/>
        <v>281.57834098528099</v>
      </c>
      <c r="EK60" s="324">
        <f t="shared" si="26"/>
        <v>0.82339103642645395</v>
      </c>
      <c r="EL60" s="324">
        <f t="shared" si="27"/>
        <v>0.360872733315452</v>
      </c>
      <c r="EM60" s="324">
        <f t="shared" si="28"/>
        <v>0.21658171178065999</v>
      </c>
      <c r="EN60" s="324">
        <f t="shared" si="29"/>
        <v>0.14200533002195401</v>
      </c>
      <c r="EO60" s="324">
        <f t="shared" si="30"/>
        <v>8.8016804659711706E-2</v>
      </c>
      <c r="EP60" s="324">
        <f t="shared" si="31"/>
        <v>6.5736379947852003E-2</v>
      </c>
      <c r="EQ60" s="324">
        <f t="shared" si="32"/>
        <v>5.6635638117250503E-2</v>
      </c>
      <c r="ER60" s="324">
        <f t="shared" si="33"/>
        <v>5.4115247223223299E-2</v>
      </c>
      <c r="ES60" s="324">
        <f t="shared" si="34"/>
        <v>5.2826207223764E-2</v>
      </c>
      <c r="ET60" s="324">
        <f t="shared" si="35"/>
        <v>5.2826207223764E-2</v>
      </c>
      <c r="EU60" s="324">
        <f t="shared" si="36"/>
        <v>8.2552586035919695E-3</v>
      </c>
      <c r="EV60" s="324">
        <f t="shared" si="37"/>
        <v>7.9482131517538395E-3</v>
      </c>
      <c r="EW60" s="324">
        <f t="shared" si="38"/>
        <v>6.4190305556059996E-3</v>
      </c>
      <c r="EX60" s="324">
        <f t="shared" si="39"/>
        <v>5.4616828003907899E-3</v>
      </c>
      <c r="EY60" s="324">
        <f t="shared" si="40"/>
        <v>4.7275285851957304E-3</v>
      </c>
      <c r="EZ60" s="324">
        <f t="shared" si="41"/>
        <v>4.3136734611450098E-3</v>
      </c>
      <c r="FA60" s="324">
        <f t="shared" si="42"/>
        <v>4.1291858052272803E-3</v>
      </c>
      <c r="FB60" s="324">
        <f t="shared" si="43"/>
        <v>4.0635983922117898E-3</v>
      </c>
      <c r="FC60" s="324">
        <f t="shared" si="44"/>
        <v>4.0393864318059199E-3</v>
      </c>
      <c r="FD60" s="324">
        <f t="shared" si="45"/>
        <v>4.0393864318059199E-3</v>
      </c>
      <c r="FE60" s="324">
        <f t="shared" si="46"/>
        <v>8.1828643727713493E-2</v>
      </c>
      <c r="FF60" s="324">
        <f t="shared" si="47"/>
        <v>7.6175839057221195E-2</v>
      </c>
      <c r="FG60" s="324">
        <f t="shared" si="48"/>
        <v>8.1302809072104507E-2</v>
      </c>
      <c r="FH60" s="324">
        <f t="shared" si="49"/>
        <v>7.9561688690416299E-2</v>
      </c>
      <c r="FI60" s="324">
        <f t="shared" si="50"/>
        <v>7.7910530261031605E-2</v>
      </c>
      <c r="FJ60" s="324">
        <f t="shared" si="51"/>
        <v>7.6590334474495605E-2</v>
      </c>
      <c r="FK60" s="324">
        <f t="shared" si="52"/>
        <v>7.5767938917924701E-2</v>
      </c>
      <c r="FL60" s="324">
        <f t="shared" si="53"/>
        <v>7.5353710070808794E-2</v>
      </c>
      <c r="FM60" s="324">
        <f t="shared" si="54"/>
        <v>7.5117977052891499E-2</v>
      </c>
      <c r="FN60" s="324">
        <f t="shared" si="55"/>
        <v>7.5117977052891499E-2</v>
      </c>
      <c r="FO60" s="324">
        <f t="shared" si="56"/>
        <v>2.1998193760633E-2</v>
      </c>
      <c r="FP60" s="324">
        <f t="shared" si="57"/>
        <v>1.6997575378008601E-2</v>
      </c>
      <c r="FQ60" s="324">
        <f t="shared" si="58"/>
        <v>1.6580879412419602E-2</v>
      </c>
      <c r="FR60" s="324">
        <f t="shared" si="59"/>
        <v>1.5040645169031801E-2</v>
      </c>
      <c r="FS60" s="324">
        <f t="shared" si="60"/>
        <v>1.35799610150696E-2</v>
      </c>
      <c r="FT60" s="324">
        <f t="shared" si="61"/>
        <v>1.24120667817219E-2</v>
      </c>
      <c r="FU60" s="324">
        <f t="shared" si="62"/>
        <v>1.16845073314224E-2</v>
      </c>
      <c r="FV60" s="324">
        <f t="shared" si="63"/>
        <v>1.1318096390010799E-2</v>
      </c>
      <c r="FW60" s="324">
        <f t="shared" si="64"/>
        <v>1.1109456757731499E-2</v>
      </c>
      <c r="FX60" s="324">
        <f t="shared" si="65"/>
        <v>1.1109456757731499E-2</v>
      </c>
    </row>
    <row r="61" spans="1:180" x14ac:dyDescent="0.2">
      <c r="A61" s="298" t="str">
        <f>_xlfn.CONCAT(IF(LEFT(TRIM(A60),1)="*", "*R", "R"), 1+RIGHT(TRIM(A60),1))</f>
        <v>*R3</v>
      </c>
      <c r="B61" s="298" t="str">
        <f t="shared" ref="B61:B64" si="117">B60</f>
        <v>TLECNGX</v>
      </c>
      <c r="C61" s="298" t="str">
        <f t="shared" ref="C61:C64" si="118">C60</f>
        <v>TL.CNGX.F.Existing fleet</v>
      </c>
      <c r="D61" s="294" t="str">
        <f t="shared" ref="D61:D64" si="119">D60</f>
        <v>bn-vmt, bn-vmt/a</v>
      </c>
      <c r="E61" s="294" t="str">
        <f t="shared" ref="E61:E64" si="120">E60</f>
        <v>TRNCNG</v>
      </c>
      <c r="F61" s="294" t="str">
        <f t="shared" ref="F61:F64" si="121">F60</f>
        <v>TL</v>
      </c>
      <c r="G61" s="294" t="s">
        <v>476</v>
      </c>
      <c r="H61" s="294" t="s">
        <v>474</v>
      </c>
      <c r="I61" s="294">
        <v>1</v>
      </c>
      <c r="J61" s="308" t="str">
        <f t="shared" si="101"/>
        <v>Full size car-GSL</v>
      </c>
      <c r="K61" s="324">
        <f>$I61*IF($G61="Pickup", SUMIFS(NewEmisData!E:E, NewEmisData!$A:$A, "Pickup", NewEmisData!$B:$B, $A61, NewEmisData!$C:$C, $H61, NewEmisData!$D:$D, K$2), SUMIFS(NewEmisData!E:E, NewEmisData!$A:$A, "LDV", NewEmisData!$B:$B, $A61, NewEmisData!$C:$C, $H61, NewEmisData!$D:$D, K$2))</f>
        <v>437.85746964693402</v>
      </c>
      <c r="L61" s="324">
        <f>$I61*IF($G61="Pickup", SUMIFS(NewEmisData!F:F, NewEmisData!$A:$A, "Pickup", NewEmisData!$B:$B, $A61, NewEmisData!$C:$C, $H61, NewEmisData!$D:$D, L$2), SUMIFS(NewEmisData!F:F, NewEmisData!$A:$A, "LDV", NewEmisData!$B:$B, $A61, NewEmisData!$C:$C, $H61, NewEmisData!$D:$D, L$2))</f>
        <v>424.609883045034</v>
      </c>
      <c r="M61" s="324">
        <f>$I61*IF($G61="Pickup", SUMIFS(NewEmisData!G:G, NewEmisData!$A:$A, "Pickup", NewEmisData!$B:$B, $A61, NewEmisData!$C:$C, $H61, NewEmisData!$D:$D, M$2), SUMIFS(NewEmisData!G:G, NewEmisData!$A:$A, "LDV", NewEmisData!$B:$B, $A61, NewEmisData!$C:$C, $H61, NewEmisData!$D:$D, M$2))</f>
        <v>389.26792072260798</v>
      </c>
      <c r="N61" s="324">
        <f>$I61*IF($G61="Pickup", SUMIFS(NewEmisData!H:H, NewEmisData!$A:$A, "Pickup", NewEmisData!$B:$B, $A61, NewEmisData!$C:$C, $H61, NewEmisData!$D:$D, N$2), SUMIFS(NewEmisData!H:H, NewEmisData!$A:$A, "LDV", NewEmisData!$B:$B, $A61, NewEmisData!$C:$C, $H61, NewEmisData!$D:$D, N$2))</f>
        <v>331.09003080375697</v>
      </c>
      <c r="O61" s="324">
        <f>$I61*IF($G61="Pickup", SUMIFS(NewEmisData!I:I, NewEmisData!$A:$A, "Pickup", NewEmisData!$B:$B, $A61, NewEmisData!$C:$C, $H61, NewEmisData!$D:$D, O$2), SUMIFS(NewEmisData!I:I, NewEmisData!$A:$A, "LDV", NewEmisData!$B:$B, $A61, NewEmisData!$C:$C, $H61, NewEmisData!$D:$D, O$2))</f>
        <v>286.46929869872997</v>
      </c>
      <c r="P61" s="324">
        <f>$I61*IF($G61="Pickup", SUMIFS(NewEmisData!J:J, NewEmisData!$A:$A, "Pickup", NewEmisData!$B:$B, $A61, NewEmisData!$C:$C, $H61, NewEmisData!$D:$D, P$2), SUMIFS(NewEmisData!J:J, NewEmisData!$A:$A, "LDV", NewEmisData!$B:$B, $A61, NewEmisData!$C:$C, $H61, NewEmisData!$D:$D, P$2))</f>
        <v>261.33080310252802</v>
      </c>
      <c r="Q61" s="324">
        <f>$I61*IF($G61="Pickup", SUMIFS(NewEmisData!K:K, NewEmisData!$A:$A, "Pickup", NewEmisData!$B:$B, $A61, NewEmisData!$C:$C, $H61, NewEmisData!$D:$D, Q$2), SUMIFS(NewEmisData!K:K, NewEmisData!$A:$A, "LDV", NewEmisData!$B:$B, $A61, NewEmisData!$C:$C, $H61, NewEmisData!$D:$D, Q$2))</f>
        <v>250.12665030232699</v>
      </c>
      <c r="R61" s="324">
        <f>$I61*IF($G61="Pickup", SUMIFS(NewEmisData!L:L, NewEmisData!$A:$A, "Pickup", NewEmisData!$B:$B, $A61, NewEmisData!$C:$C, $H61, NewEmisData!$D:$D, R$2), SUMIFS(NewEmisData!L:L, NewEmisData!$A:$A, "LDV", NewEmisData!$B:$B, $A61, NewEmisData!$C:$C, $H61, NewEmisData!$D:$D, R$2))</f>
        <v>246.146486551527</v>
      </c>
      <c r="S61" s="324">
        <f>$I61*IF($G61="Pickup", SUMIFS(NewEmisData!M:M, NewEmisData!$A:$A, "Pickup", NewEmisData!$B:$B, $A61, NewEmisData!$C:$C, $H61, NewEmisData!$D:$D, S$2), SUMIFS(NewEmisData!M:M, NewEmisData!$A:$A, "LDV", NewEmisData!$B:$B, $A61, NewEmisData!$C:$C, $H61, NewEmisData!$D:$D, S$2))</f>
        <v>244.677818234341</v>
      </c>
      <c r="T61" s="324">
        <f t="shared" si="5"/>
        <v>244.677818234341</v>
      </c>
      <c r="U61" s="324">
        <f>$I61*IF($G61="Pickup", SUMIFS(NewEmisData!E:E, NewEmisData!$A:$A, "Pickup", NewEmisData!$B:$B, $A61, NewEmisData!$C:$C, $H61, NewEmisData!$D:$D, U$2), SUMIFS(NewEmisData!E:E, NewEmisData!$A:$A, "LDV", NewEmisData!$B:$B, $A61, NewEmisData!$C:$C, $H61, NewEmisData!$D:$D, U$2))</f>
        <v>0.78000130642291299</v>
      </c>
      <c r="V61" s="324">
        <f>$I61*IF($G61="Pickup", SUMIFS(NewEmisData!F:F, NewEmisData!$A:$A, "Pickup", NewEmisData!$B:$B, $A61, NewEmisData!$C:$C, $H61, NewEmisData!$D:$D, V$2), SUMIFS(NewEmisData!F:F, NewEmisData!$A:$A, "LDV", NewEmisData!$B:$B, $A61, NewEmisData!$C:$C, $H61, NewEmisData!$D:$D, V$2))</f>
        <v>0.323605278282381</v>
      </c>
      <c r="W61" s="324">
        <f>$I61*IF($G61="Pickup", SUMIFS(NewEmisData!G:G, NewEmisData!$A:$A, "Pickup", NewEmisData!$B:$B, $A61, NewEmisData!$C:$C, $H61, NewEmisData!$D:$D, W$2), SUMIFS(NewEmisData!G:G, NewEmisData!$A:$A, "LDV", NewEmisData!$B:$B, $A61, NewEmisData!$C:$C, $H61, NewEmisData!$D:$D, W$2))</f>
        <v>0.19152446532377701</v>
      </c>
      <c r="X61" s="324">
        <f>$I61*IF($G61="Pickup", SUMIFS(NewEmisData!H:H, NewEmisData!$A:$A, "Pickup", NewEmisData!$B:$B, $A61, NewEmisData!$C:$C, $H61, NewEmisData!$D:$D, X$2), SUMIFS(NewEmisData!H:H, NewEmisData!$A:$A, "LDV", NewEmisData!$B:$B, $A61, NewEmisData!$C:$C, $H61, NewEmisData!$D:$D, X$2))</f>
        <v>0.12537127832280801</v>
      </c>
      <c r="Y61" s="324">
        <f>$I61*IF($G61="Pickup", SUMIFS(NewEmisData!I:I, NewEmisData!$A:$A, "Pickup", NewEmisData!$B:$B, $A61, NewEmisData!$C:$C, $H61, NewEmisData!$D:$D, Y$2), SUMIFS(NewEmisData!I:I, NewEmisData!$A:$A, "LDV", NewEmisData!$B:$B, $A61, NewEmisData!$C:$C, $H61, NewEmisData!$D:$D, Y$2))</f>
        <v>7.6671766649271E-2</v>
      </c>
      <c r="Z61" s="324">
        <f>$I61*IF($G61="Pickup", SUMIFS(NewEmisData!J:J, NewEmisData!$A:$A, "Pickup", NewEmisData!$B:$B, $A61, NewEmisData!$C:$C, $H61, NewEmisData!$D:$D, Z$2), SUMIFS(NewEmisData!J:J, NewEmisData!$A:$A, "LDV", NewEmisData!$B:$B, $A61, NewEmisData!$C:$C, $H61, NewEmisData!$D:$D, Z$2))</f>
        <v>5.7019026656941203E-2</v>
      </c>
      <c r="AA61" s="324">
        <f>$I61*IF($G61="Pickup", SUMIFS(NewEmisData!K:K, NewEmisData!$A:$A, "Pickup", NewEmisData!$B:$B, $A61, NewEmisData!$C:$C, $H61, NewEmisData!$D:$D, AA$2), SUMIFS(NewEmisData!K:K, NewEmisData!$A:$A, "LDV", NewEmisData!$B:$B, $A61, NewEmisData!$C:$C, $H61, NewEmisData!$D:$D, AA$2))</f>
        <v>4.8823281713844202E-2</v>
      </c>
      <c r="AB61" s="324">
        <f>$I61*IF($G61="Pickup", SUMIFS(NewEmisData!L:L, NewEmisData!$A:$A, "Pickup", NewEmisData!$B:$B, $A61, NewEmisData!$C:$C, $H61, NewEmisData!$D:$D, AB$2), SUMIFS(NewEmisData!L:L, NewEmisData!$A:$A, "LDV", NewEmisData!$B:$B, $A61, NewEmisData!$C:$C, $H61, NewEmisData!$D:$D, AB$2))</f>
        <v>4.6542407484685501E-2</v>
      </c>
      <c r="AC61" s="324">
        <f>$I61*IF($G61="Pickup", SUMIFS(NewEmisData!M:M, NewEmisData!$A:$A, "Pickup", NewEmisData!$B:$B, $A61, NewEmisData!$C:$C, $H61, NewEmisData!$D:$D, AC$2), SUMIFS(NewEmisData!M:M, NewEmisData!$A:$A, "LDV", NewEmisData!$B:$B, $A61, NewEmisData!$C:$C, $H61, NewEmisData!$D:$D, AC$2))</f>
        <v>4.5415311435121702E-2</v>
      </c>
      <c r="AD61" s="324">
        <f t="shared" si="6"/>
        <v>4.5415311435121702E-2</v>
      </c>
      <c r="AE61" s="324">
        <f>$I61*IF($G61="Pickup", SUMIFS(NewEmisData!E:E, NewEmisData!$A:$A, "Pickup", NewEmisData!$B:$B, $A61, NewEmisData!$C:$C, $H61, NewEmisData!$D:$D, AE$2), SUMIFS(NewEmisData!E:E, NewEmisData!$A:$A, "LDV", NewEmisData!$B:$B, $A61, NewEmisData!$C:$C, $H61, NewEmisData!$D:$D, AE$2))</f>
        <v>7.5764719154140002E-3</v>
      </c>
      <c r="AF61" s="324">
        <f>$I61*IF($G61="Pickup", SUMIFS(NewEmisData!F:F, NewEmisData!$A:$A, "Pickup", NewEmisData!$B:$B, $A61, NewEmisData!$C:$C, $H61, NewEmisData!$D:$D, AF$2), SUMIFS(NewEmisData!F:F, NewEmisData!$A:$A, "LDV", NewEmisData!$B:$B, $A61, NewEmisData!$C:$C, $H61, NewEmisData!$D:$D, AF$2))</f>
        <v>7.3472400077695399E-3</v>
      </c>
      <c r="AG61" s="324">
        <f>$I61*IF($G61="Pickup", SUMIFS(NewEmisData!G:G, NewEmisData!$A:$A, "Pickup", NewEmisData!$B:$B, $A61, NewEmisData!$C:$C, $H61, NewEmisData!$D:$D, AG$2), SUMIFS(NewEmisData!G:G, NewEmisData!$A:$A, "LDV", NewEmisData!$B:$B, $A61, NewEmisData!$C:$C, $H61, NewEmisData!$D:$D, AG$2))</f>
        <v>5.5842494055705696E-3</v>
      </c>
      <c r="AH61" s="324">
        <f>$I61*IF($G61="Pickup", SUMIFS(NewEmisData!H:H, NewEmisData!$A:$A, "Pickup", NewEmisData!$B:$B, $A61, NewEmisData!$C:$C, $H61, NewEmisData!$D:$D, AH$2), SUMIFS(NewEmisData!H:H, NewEmisData!$A:$A, "LDV", NewEmisData!$B:$B, $A61, NewEmisData!$C:$C, $H61, NewEmisData!$D:$D, AH$2))</f>
        <v>4.7496587466809804E-3</v>
      </c>
      <c r="AI61" s="324">
        <f>$I61*IF($G61="Pickup", SUMIFS(NewEmisData!I:I, NewEmisData!$A:$A, "Pickup", NewEmisData!$B:$B, $A61, NewEmisData!$C:$C, $H61, NewEmisData!$D:$D, AI$2), SUMIFS(NewEmisData!I:I, NewEmisData!$A:$A, "LDV", NewEmisData!$B:$B, $A61, NewEmisData!$C:$C, $H61, NewEmisData!$D:$D, AI$2))</f>
        <v>4.1095518958717504E-3</v>
      </c>
      <c r="AJ61" s="324">
        <f>$I61*IF($G61="Pickup", SUMIFS(NewEmisData!J:J, NewEmisData!$A:$A, "Pickup", NewEmisData!$B:$B, $A61, NewEmisData!$C:$C, $H61, NewEmisData!$D:$D, AJ$2), SUMIFS(NewEmisData!J:J, NewEmisData!$A:$A, "LDV", NewEmisData!$B:$B, $A61, NewEmisData!$C:$C, $H61, NewEmisData!$D:$D, AJ$2))</f>
        <v>3.7489264773323799E-3</v>
      </c>
      <c r="AK61" s="324">
        <f>$I61*IF($G61="Pickup", SUMIFS(NewEmisData!K:K, NewEmisData!$A:$A, "Pickup", NewEmisData!$B:$B, $A61, NewEmisData!$C:$C, $H61, NewEmisData!$D:$D, AK$2), SUMIFS(NewEmisData!K:K, NewEmisData!$A:$A, "LDV", NewEmisData!$B:$B, $A61, NewEmisData!$C:$C, $H61, NewEmisData!$D:$D, AK$2))</f>
        <v>3.5881959766524201E-3</v>
      </c>
      <c r="AL61" s="324">
        <f>$I61*IF($G61="Pickup", SUMIFS(NewEmisData!L:L, NewEmisData!$A:$A, "Pickup", NewEmisData!$B:$B, $A61, NewEmisData!$C:$C, $H61, NewEmisData!$D:$D, AL$2), SUMIFS(NewEmisData!L:L, NewEmisData!$A:$A, "LDV", NewEmisData!$B:$B, $A61, NewEmisData!$C:$C, $H61, NewEmisData!$D:$D, AL$2))</f>
        <v>3.5311006464952199E-3</v>
      </c>
      <c r="AM61" s="324">
        <f>$I61*IF($G61="Pickup", SUMIFS(NewEmisData!M:M, NewEmisData!$A:$A, "Pickup", NewEmisData!$B:$B, $A61, NewEmisData!$C:$C, $H61, NewEmisData!$D:$D, AM$2), SUMIFS(NewEmisData!M:M, NewEmisData!$A:$A, "LDV", NewEmisData!$B:$B, $A61, NewEmisData!$C:$C, $H61, NewEmisData!$D:$D, AM$2))</f>
        <v>3.5100309709840301E-3</v>
      </c>
      <c r="AN61" s="324">
        <f t="shared" si="7"/>
        <v>3.5100309709840301E-3</v>
      </c>
      <c r="AO61" s="324">
        <f>$I61*IF($G61="Pickup", SUMIFS(NewEmisData!E:E, NewEmisData!$A:$A, "Pickup", NewEmisData!$B:$B, $A61, NewEmisData!$C:$C, $H61, NewEmisData!$D:$D, AO$2), SUMIFS(NewEmisData!E:E, NewEmisData!$A:$A, "LDV", NewEmisData!$B:$B, $A61, NewEmisData!$C:$C, $H61, NewEmisData!$D:$D, AO$2))</f>
        <v>6.7831755328566196E-2</v>
      </c>
      <c r="AP61" s="324">
        <f>$I61*IF($G61="Pickup", SUMIFS(NewEmisData!F:F, NewEmisData!$A:$A, "Pickup", NewEmisData!$B:$B, $A61, NewEmisData!$C:$C, $H61, NewEmisData!$D:$D, AP$2), SUMIFS(NewEmisData!F:F, NewEmisData!$A:$A, "LDV", NewEmisData!$B:$B, $A61, NewEmisData!$C:$C, $H61, NewEmisData!$D:$D, AP$2))</f>
        <v>6.3250667156757298E-2</v>
      </c>
      <c r="AQ61" s="324">
        <f>$I61*IF($G61="Pickup", SUMIFS(NewEmisData!G:G, NewEmisData!$A:$A, "Pickup", NewEmisData!$B:$B, $A61, NewEmisData!$C:$C, $H61, NewEmisData!$D:$D, AQ$2), SUMIFS(NewEmisData!G:G, NewEmisData!$A:$A, "LDV", NewEmisData!$B:$B, $A61, NewEmisData!$C:$C, $H61, NewEmisData!$D:$D, AQ$2))</f>
        <v>6.2628417187727006E-2</v>
      </c>
      <c r="AR61" s="324">
        <f>$I61*IF($G61="Pickup", SUMIFS(NewEmisData!H:H, NewEmisData!$A:$A, "Pickup", NewEmisData!$B:$B, $A61, NewEmisData!$C:$C, $H61, NewEmisData!$D:$D, AR$2), SUMIFS(NewEmisData!H:H, NewEmisData!$A:$A, "LDV", NewEmisData!$B:$B, $A61, NewEmisData!$C:$C, $H61, NewEmisData!$D:$D, AR$2))</f>
        <v>6.1216981125607202E-2</v>
      </c>
      <c r="AS61" s="324">
        <f>$I61*IF($G61="Pickup", SUMIFS(NewEmisData!I:I, NewEmisData!$A:$A, "Pickup", NewEmisData!$B:$B, $A61, NewEmisData!$C:$C, $H61, NewEmisData!$D:$D, AS$2), SUMIFS(NewEmisData!I:I, NewEmisData!$A:$A, "LDV", NewEmisData!$B:$B, $A61, NewEmisData!$C:$C, $H61, NewEmisData!$D:$D, AS$2))</f>
        <v>5.9842025439809501E-2</v>
      </c>
      <c r="AT61" s="324">
        <f>$I61*IF($G61="Pickup", SUMIFS(NewEmisData!J:J, NewEmisData!$A:$A, "Pickup", NewEmisData!$B:$B, $A61, NewEmisData!$C:$C, $H61, NewEmisData!$D:$D, AT$2), SUMIFS(NewEmisData!J:J, NewEmisData!$A:$A, "LDV", NewEmisData!$B:$B, $A61, NewEmisData!$C:$C, $H61, NewEmisData!$D:$D, AT$2))</f>
        <v>5.8761885691048198E-2</v>
      </c>
      <c r="AU61" s="324">
        <f>$I61*IF($G61="Pickup", SUMIFS(NewEmisData!K:K, NewEmisData!$A:$A, "Pickup", NewEmisData!$B:$B, $A61, NewEmisData!$C:$C, $H61, NewEmisData!$D:$D, AU$2), SUMIFS(NewEmisData!K:K, NewEmisData!$A:$A, "LDV", NewEmisData!$B:$B, $A61, NewEmisData!$C:$C, $H61, NewEmisData!$D:$D, AU$2))</f>
        <v>5.8072078083983E-2</v>
      </c>
      <c r="AV61" s="324">
        <f>$I61*IF($G61="Pickup", SUMIFS(NewEmisData!L:L, NewEmisData!$A:$A, "Pickup", NewEmisData!$B:$B, $A61, NewEmisData!$C:$C, $H61, NewEmisData!$D:$D, AV$2), SUMIFS(NewEmisData!L:L, NewEmisData!$A:$A, "LDV", NewEmisData!$B:$B, $A61, NewEmisData!$C:$C, $H61, NewEmisData!$D:$D, AV$2))</f>
        <v>5.7726484266030297E-2</v>
      </c>
      <c r="AW61" s="324">
        <f>$I61*IF($G61="Pickup", SUMIFS(NewEmisData!M:M, NewEmisData!$A:$A, "Pickup", NewEmisData!$B:$B, $A61, NewEmisData!$C:$C, $H61, NewEmisData!$D:$D, AW$2), SUMIFS(NewEmisData!M:M, NewEmisData!$A:$A, "LDV", NewEmisData!$B:$B, $A61, NewEmisData!$C:$C, $H61, NewEmisData!$D:$D, AW$2))</f>
        <v>5.7530226905323702E-2</v>
      </c>
      <c r="AX61" s="324">
        <f t="shared" si="8"/>
        <v>5.7530226905323702E-2</v>
      </c>
      <c r="AY61" s="324">
        <f>$I61*IF($G61="Pickup", SUMIFS(NewEmisData!E:E, NewEmisData!$A:$A, "Pickup", NewEmisData!$B:$B, $A61, NewEmisData!$C:$C, $H61, NewEmisData!$D:$D, AY$2), SUMIFS(NewEmisData!E:E, NewEmisData!$A:$A, "LDV", NewEmisData!$B:$B, $A61, NewEmisData!$C:$C, $H61, NewEmisData!$D:$D, AY$2))</f>
        <v>1.8324822567621701E-2</v>
      </c>
      <c r="AZ61" s="324">
        <f>$I61*IF($G61="Pickup", SUMIFS(NewEmisData!F:F, NewEmisData!$A:$A, "Pickup", NewEmisData!$B:$B, $A61, NewEmisData!$C:$C, $H61, NewEmisData!$D:$D, AZ$2), SUMIFS(NewEmisData!F:F, NewEmisData!$A:$A, "LDV", NewEmisData!$B:$B, $A61, NewEmisData!$C:$C, $H61, NewEmisData!$D:$D, AZ$2))</f>
        <v>1.4272294035055699E-2</v>
      </c>
      <c r="BA61" s="324">
        <f>$I61*IF($G61="Pickup", SUMIFS(NewEmisData!G:G, NewEmisData!$A:$A, "Pickup", NewEmisData!$B:$B, $A61, NewEmisData!$C:$C, $H61, NewEmisData!$D:$D, BA$2), SUMIFS(NewEmisData!G:G, NewEmisData!$A:$A, "LDV", NewEmisData!$B:$B, $A61, NewEmisData!$C:$C, $H61, NewEmisData!$D:$D, BA$2))</f>
        <v>1.3165752481838801E-2</v>
      </c>
      <c r="BB61" s="324">
        <f>$I61*IF($G61="Pickup", SUMIFS(NewEmisData!H:H, NewEmisData!$A:$A, "Pickup", NewEmisData!$B:$B, $A61, NewEmisData!$C:$C, $H61, NewEmisData!$D:$D, BB$2), SUMIFS(NewEmisData!H:H, NewEmisData!$A:$A, "LDV", NewEmisData!$B:$B, $A61, NewEmisData!$C:$C, $H61, NewEmisData!$D:$D, BB$2))</f>
        <v>1.1917194849656599E-2</v>
      </c>
      <c r="BC61" s="324">
        <f>$I61*IF($G61="Pickup", SUMIFS(NewEmisData!I:I, NewEmisData!$A:$A, "Pickup", NewEmisData!$B:$B, $A61, NewEmisData!$C:$C, $H61, NewEmisData!$D:$D, BC$2), SUMIFS(NewEmisData!I:I, NewEmisData!$A:$A, "LDV", NewEmisData!$B:$B, $A61, NewEmisData!$C:$C, $H61, NewEmisData!$D:$D, BC$2))</f>
        <v>1.0700861948252101E-2</v>
      </c>
      <c r="BD61" s="324">
        <f>$I61*IF($G61="Pickup", SUMIFS(NewEmisData!J:J, NewEmisData!$A:$A, "Pickup", NewEmisData!$B:$B, $A61, NewEmisData!$C:$C, $H61, NewEmisData!$D:$D, BD$2), SUMIFS(NewEmisData!J:J, NewEmisData!$A:$A, "LDV", NewEmisData!$B:$B, $A61, NewEmisData!$C:$C, $H61, NewEmisData!$D:$D, BD$2))</f>
        <v>9.7453521893521699E-3</v>
      </c>
      <c r="BE61" s="324">
        <f>$I61*IF($G61="Pickup", SUMIFS(NewEmisData!K:K, NewEmisData!$A:$A, "Pickup", NewEmisData!$B:$B, $A61, NewEmisData!$C:$C, $H61, NewEmisData!$D:$D, BE$2), SUMIFS(NewEmisData!K:K, NewEmisData!$A:$A, "LDV", NewEmisData!$B:$B, $A61, NewEmisData!$C:$C, $H61, NewEmisData!$D:$D, BE$2))</f>
        <v>9.1351470976244707E-3</v>
      </c>
      <c r="BF61" s="324">
        <f>$I61*IF($G61="Pickup", SUMIFS(NewEmisData!L:L, NewEmisData!$A:$A, "Pickup", NewEmisData!$B:$B, $A61, NewEmisData!$C:$C, $H61, NewEmisData!$D:$D, BF$2), SUMIFS(NewEmisData!L:L, NewEmisData!$A:$A, "LDV", NewEmisData!$B:$B, $A61, NewEmisData!$C:$C, $H61, NewEmisData!$D:$D, BF$2))</f>
        <v>8.8293874131557606E-3</v>
      </c>
      <c r="BG61" s="324">
        <f>$I61*IF($G61="Pickup", SUMIFS(NewEmisData!M:M, NewEmisData!$A:$A, "Pickup", NewEmisData!$B:$B, $A61, NewEmisData!$C:$C, $H61, NewEmisData!$D:$D, BG$2), SUMIFS(NewEmisData!M:M, NewEmisData!$A:$A, "LDV", NewEmisData!$B:$B, $A61, NewEmisData!$C:$C, $H61, NewEmisData!$D:$D, BG$2))</f>
        <v>8.6558174466142106E-3</v>
      </c>
      <c r="BH61" s="324">
        <f t="shared" si="9"/>
        <v>8.6558174466142106E-3</v>
      </c>
      <c r="BI61" s="324">
        <f>$I61*IF($G61="Pickup", SUMIFS(NewEmisData!E:E, NewEmisData!$A:$A, "Pickup", NewEmisData!$B:$B, $A61, NewEmisData!$C:$C, $H61, NewEmisData!$D:$D, BI$2), SUMIFS(NewEmisData!E:E, NewEmisData!$A:$A, "LDV", NewEmisData!$B:$B, $A61, NewEmisData!$C:$C, $H61, NewEmisData!$D:$D, BI$2))</f>
        <v>5.6341971782511804</v>
      </c>
      <c r="BJ61" s="324">
        <f>$I61*IF($G61="Pickup", SUMIFS(NewEmisData!F:F, NewEmisData!$A:$A, "Pickup", NewEmisData!$B:$B, $A61, NewEmisData!$C:$C, $H61, NewEmisData!$D:$D, BJ$2), SUMIFS(NewEmisData!F:F, NewEmisData!$A:$A, "LDV", NewEmisData!$B:$B, $A61, NewEmisData!$C:$C, $H61, NewEmisData!$D:$D, BJ$2))</f>
        <v>3.2912080717511998</v>
      </c>
      <c r="BK61" s="324">
        <f>$I61*IF($G61="Pickup", SUMIFS(NewEmisData!G:G, NewEmisData!$A:$A, "Pickup", NewEmisData!$B:$B, $A61, NewEmisData!$C:$C, $H61, NewEmisData!$D:$D, BK$2), SUMIFS(NewEmisData!G:G, NewEmisData!$A:$A, "LDV", NewEmisData!$B:$B, $A61, NewEmisData!$C:$C, $H61, NewEmisData!$D:$D, BK$2))</f>
        <v>2.5038449092773698</v>
      </c>
      <c r="BL61" s="324">
        <f>$I61*IF($G61="Pickup", SUMIFS(NewEmisData!H:H, NewEmisData!$A:$A, "Pickup", NewEmisData!$B:$B, $A61, NewEmisData!$C:$C, $H61, NewEmisData!$D:$D, BL$2), SUMIFS(NewEmisData!H:H, NewEmisData!$A:$A, "LDV", NewEmisData!$B:$B, $A61, NewEmisData!$C:$C, $H61, NewEmisData!$D:$D, BL$2))</f>
        <v>1.9586302072503601</v>
      </c>
      <c r="BM61" s="324">
        <f>$I61*IF($G61="Pickup", SUMIFS(NewEmisData!I:I, NewEmisData!$A:$A, "Pickup", NewEmisData!$B:$B, $A61, NewEmisData!$C:$C, $H61, NewEmisData!$D:$D, BM$2), SUMIFS(NewEmisData!I:I, NewEmisData!$A:$A, "LDV", NewEmisData!$B:$B, $A61, NewEmisData!$C:$C, $H61, NewEmisData!$D:$D, BM$2))</f>
        <v>1.4188080704430199</v>
      </c>
      <c r="BN61" s="324">
        <f>$I61*IF($G61="Pickup", SUMIFS(NewEmisData!J:J, NewEmisData!$A:$A, "Pickup", NewEmisData!$B:$B, $A61, NewEmisData!$C:$C, $H61, NewEmisData!$D:$D, BN$2), SUMIFS(NewEmisData!J:J, NewEmisData!$A:$A, "LDV", NewEmisData!$B:$B, $A61, NewEmisData!$C:$C, $H61, NewEmisData!$D:$D, BN$2))</f>
        <v>1.12295829909247</v>
      </c>
      <c r="BO61" s="324">
        <f>$I61*IF($G61="Pickup", SUMIFS(NewEmisData!K:K, NewEmisData!$A:$A, "Pickup", NewEmisData!$B:$B, $A61, NewEmisData!$C:$C, $H61, NewEmisData!$D:$D, BO$2), SUMIFS(NewEmisData!K:K, NewEmisData!$A:$A, "LDV", NewEmisData!$B:$B, $A61, NewEmisData!$C:$C, $H61, NewEmisData!$D:$D, BO$2))</f>
        <v>0.98917470890575399</v>
      </c>
      <c r="BP61" s="324">
        <f>$I61*IF($G61="Pickup", SUMIFS(NewEmisData!L:L, NewEmisData!$A:$A, "Pickup", NewEmisData!$B:$B, $A61, NewEmisData!$C:$C, $H61, NewEmisData!$D:$D, BP$2), SUMIFS(NewEmisData!L:L, NewEmisData!$A:$A, "LDV", NewEmisData!$B:$B, $A61, NewEmisData!$C:$C, $H61, NewEmisData!$D:$D, BP$2))</f>
        <v>0.94587291374607996</v>
      </c>
      <c r="BQ61" s="324">
        <f>$I61*IF($G61="Pickup", SUMIFS(NewEmisData!M:M, NewEmisData!$A:$A, "Pickup", NewEmisData!$B:$B, $A61, NewEmisData!$C:$C, $H61, NewEmisData!$D:$D, BQ$2), SUMIFS(NewEmisData!M:M, NewEmisData!$A:$A, "LDV", NewEmisData!$B:$B, $A61, NewEmisData!$C:$C, $H61, NewEmisData!$D:$D, BQ$2))</f>
        <v>0.91886504762322097</v>
      </c>
      <c r="BR61" s="324">
        <f t="shared" si="10"/>
        <v>0.91886504762322097</v>
      </c>
      <c r="BS61" s="324">
        <f>$I61*IF($G61="Pickup", SUMIFS(NewEmisData!E:E, NewEmisData!$A:$A, "Pickup", NewEmisData!$B:$B, $A61, NewEmisData!$C:$C, $H61, NewEmisData!$D:$D, BS$2), SUMIFS(NewEmisData!E:E, NewEmisData!$A:$A, "LDV", NewEmisData!$B:$B, $A61, NewEmisData!$C:$C, $H61, NewEmisData!$D:$D, BS$2))</f>
        <v>0.64604041020523395</v>
      </c>
      <c r="BT61" s="324">
        <f>$I61*IF($G61="Pickup", SUMIFS(NewEmisData!F:F, NewEmisData!$A:$A, "Pickup", NewEmisData!$B:$B, $A61, NewEmisData!$C:$C, $H61, NewEmisData!$D:$D, BT$2), SUMIFS(NewEmisData!F:F, NewEmisData!$A:$A, "LDV", NewEmisData!$B:$B, $A61, NewEmisData!$C:$C, $H61, NewEmisData!$D:$D, BT$2))</f>
        <v>0.33711601886070303</v>
      </c>
      <c r="BU61" s="324">
        <f>$I61*IF($G61="Pickup", SUMIFS(NewEmisData!G:G, NewEmisData!$A:$A, "Pickup", NewEmisData!$B:$B, $A61, NewEmisData!$C:$C, $H61, NewEmisData!$D:$D, BU$2), SUMIFS(NewEmisData!G:G, NewEmisData!$A:$A, "LDV", NewEmisData!$B:$B, $A61, NewEmisData!$C:$C, $H61, NewEmisData!$D:$D, BU$2))</f>
        <v>0.24835485029207899</v>
      </c>
      <c r="BV61" s="324">
        <f>$I61*IF($G61="Pickup", SUMIFS(NewEmisData!H:H, NewEmisData!$A:$A, "Pickup", NewEmisData!$B:$B, $A61, NewEmisData!$C:$C, $H61, NewEmisData!$D:$D, BV$2), SUMIFS(NewEmisData!H:H, NewEmisData!$A:$A, "LDV", NewEmisData!$B:$B, $A61, NewEmisData!$C:$C, $H61, NewEmisData!$D:$D, BV$2))</f>
        <v>0.20063726173746699</v>
      </c>
      <c r="BW61" s="324">
        <f>$I61*IF($G61="Pickup", SUMIFS(NewEmisData!I:I, NewEmisData!$A:$A, "Pickup", NewEmisData!$B:$B, $A61, NewEmisData!$C:$C, $H61, NewEmisData!$D:$D, BW$2), SUMIFS(NewEmisData!I:I, NewEmisData!$A:$A, "LDV", NewEmisData!$B:$B, $A61, NewEmisData!$C:$C, $H61, NewEmisData!$D:$D, BW$2))</f>
        <v>0.148388069930526</v>
      </c>
      <c r="BX61" s="324">
        <f>$I61*IF($G61="Pickup", SUMIFS(NewEmisData!J:J, NewEmisData!$A:$A, "Pickup", NewEmisData!$B:$B, $A61, NewEmisData!$C:$C, $H61, NewEmisData!$D:$D, BX$2), SUMIFS(NewEmisData!J:J, NewEmisData!$A:$A, "LDV", NewEmisData!$B:$B, $A61, NewEmisData!$C:$C, $H61, NewEmisData!$D:$D, BX$2))</f>
        <v>0.12460657527841699</v>
      </c>
      <c r="BY61" s="324">
        <f>$I61*IF($G61="Pickup", SUMIFS(NewEmisData!K:K, NewEmisData!$A:$A, "Pickup", NewEmisData!$B:$B, $A61, NewEmisData!$C:$C, $H61, NewEmisData!$D:$D, BY$2), SUMIFS(NewEmisData!K:K, NewEmisData!$A:$A, "LDV", NewEmisData!$B:$B, $A61, NewEmisData!$C:$C, $H61, NewEmisData!$D:$D, BY$2))</f>
        <v>0.11177610097077099</v>
      </c>
      <c r="BZ61" s="324">
        <f>$I61*IF($G61="Pickup", SUMIFS(NewEmisData!L:L, NewEmisData!$A:$A, "Pickup", NewEmisData!$B:$B, $A61, NewEmisData!$C:$C, $H61, NewEmisData!$D:$D, BZ$2), SUMIFS(NewEmisData!L:L, NewEmisData!$A:$A, "LDV", NewEmisData!$B:$B, $A61, NewEmisData!$C:$C, $H61, NewEmisData!$D:$D, BZ$2))</f>
        <v>0.10678198489299399</v>
      </c>
      <c r="CA61" s="324">
        <f>$I61*IF($G61="Pickup", SUMIFS(NewEmisData!M:M, NewEmisData!$A:$A, "Pickup", NewEmisData!$B:$B, $A61, NewEmisData!$C:$C, $H61, NewEmisData!$D:$D, CA$2), SUMIFS(NewEmisData!M:M, NewEmisData!$A:$A, "LDV", NewEmisData!$B:$B, $A61, NewEmisData!$C:$C, $H61, NewEmisData!$D:$D, CA$2))</f>
        <v>0.102788686456563</v>
      </c>
      <c r="CB61" s="324">
        <f t="shared" si="11"/>
        <v>0.102788686456563</v>
      </c>
      <c r="CC61" s="324">
        <f>$I61*IF($G61="Pickup", SUMIFS(NewEmisData!E:E, NewEmisData!$A:$A, "Pickup", NewEmisData!$B:$B, $A61, NewEmisData!$C:$C, $H61, NewEmisData!$D:$D, CC$2), SUMIFS(NewEmisData!E:E, NewEmisData!$A:$A, "LDV", NewEmisData!$B:$B, $A61, NewEmisData!$C:$C, $H61, NewEmisData!$D:$D, CC$2))</f>
        <v>4.5186599160421101E-2</v>
      </c>
      <c r="CD61" s="324">
        <f>$I61*IF($G61="Pickup", SUMIFS(NewEmisData!F:F, NewEmisData!$A:$A, "Pickup", NewEmisData!$B:$B, $A61, NewEmisData!$C:$C, $H61, NewEmisData!$D:$D, CD$2), SUMIFS(NewEmisData!F:F, NewEmisData!$A:$A, "LDV", NewEmisData!$B:$B, $A61, NewEmisData!$C:$C, $H61, NewEmisData!$D:$D, CD$2))</f>
        <v>3.0321042660064499E-2</v>
      </c>
      <c r="CE61" s="324">
        <f>$I61*IF($G61="Pickup", SUMIFS(NewEmisData!G:G, NewEmisData!$A:$A, "Pickup", NewEmisData!$B:$B, $A61, NewEmisData!$C:$C, $H61, NewEmisData!$D:$D, CE$2), SUMIFS(NewEmisData!G:G, NewEmisData!$A:$A, "LDV", NewEmisData!$B:$B, $A61, NewEmisData!$C:$C, $H61, NewEmisData!$D:$D, CE$2))</f>
        <v>2.5916716030162101E-2</v>
      </c>
      <c r="CF61" s="324">
        <f>$I61*IF($G61="Pickup", SUMIFS(NewEmisData!H:H, NewEmisData!$A:$A, "Pickup", NewEmisData!$B:$B, $A61, NewEmisData!$C:$C, $H61, NewEmisData!$D:$D, CF$2), SUMIFS(NewEmisData!H:H, NewEmisData!$A:$A, "LDV", NewEmisData!$B:$B, $A61, NewEmisData!$C:$C, $H61, NewEmisData!$D:$D, CF$2))</f>
        <v>2.4735955589537201E-2</v>
      </c>
      <c r="CG61" s="324">
        <f>$I61*IF($G61="Pickup", SUMIFS(NewEmisData!I:I, NewEmisData!$A:$A, "Pickup", NewEmisData!$B:$B, $A61, NewEmisData!$C:$C, $H61, NewEmisData!$D:$D, CG$2), SUMIFS(NewEmisData!I:I, NewEmisData!$A:$A, "LDV", NewEmisData!$B:$B, $A61, NewEmisData!$C:$C, $H61, NewEmisData!$D:$D, CG$2))</f>
        <v>2.39507418397766E-2</v>
      </c>
      <c r="CH61" s="324">
        <f>$I61*IF($G61="Pickup", SUMIFS(NewEmisData!J:J, NewEmisData!$A:$A, "Pickup", NewEmisData!$B:$B, $A61, NewEmisData!$C:$C, $H61, NewEmisData!$D:$D, CH$2), SUMIFS(NewEmisData!J:J, NewEmisData!$A:$A, "LDV", NewEmisData!$B:$B, $A61, NewEmisData!$C:$C, $H61, NewEmisData!$D:$D, CH$2))</f>
        <v>2.33343295652753E-2</v>
      </c>
      <c r="CI61" s="324">
        <f>$I61*IF($G61="Pickup", SUMIFS(NewEmisData!K:K, NewEmisData!$A:$A, "Pickup", NewEmisData!$B:$B, $A61, NewEmisData!$C:$C, $H61, NewEmisData!$D:$D, CI$2), SUMIFS(NewEmisData!K:K, NewEmisData!$A:$A, "LDV", NewEmisData!$B:$B, $A61, NewEmisData!$C:$C, $H61, NewEmisData!$D:$D, CI$2))</f>
        <v>2.33323778682475E-2</v>
      </c>
      <c r="CJ61" s="324">
        <f>$I61*IF($G61="Pickup", SUMIFS(NewEmisData!L:L, NewEmisData!$A:$A, "Pickup", NewEmisData!$B:$B, $A61, NewEmisData!$C:$C, $H61, NewEmisData!$D:$D, CJ$2), SUMIFS(NewEmisData!L:L, NewEmisData!$A:$A, "LDV", NewEmisData!$B:$B, $A61, NewEmisData!$C:$C, $H61, NewEmisData!$D:$D, CJ$2))</f>
        <v>2.3331868508858E-2</v>
      </c>
      <c r="CK61" s="324">
        <f>$I61*IF($G61="Pickup", SUMIFS(NewEmisData!M:M, NewEmisData!$A:$A, "Pickup", NewEmisData!$B:$B, $A61, NewEmisData!$C:$C, $H61, NewEmisData!$D:$D, CK$2), SUMIFS(NewEmisData!M:M, NewEmisData!$A:$A, "LDV", NewEmisData!$B:$B, $A61, NewEmisData!$C:$C, $H61, NewEmisData!$D:$D, CK$2))</f>
        <v>2.3331333840255802E-2</v>
      </c>
      <c r="CL61" s="324">
        <f t="shared" si="12"/>
        <v>2.3331333840255802E-2</v>
      </c>
      <c r="CM61" s="324">
        <f>$I61*IF($G61="Pickup", SUMIFS(NewEmisData!E:E, NewEmisData!$A:$A, "Pickup", NewEmisData!$B:$B, $A61, NewEmisData!$C:$C, $H61, NewEmisData!$D:$D, CM$2), SUMIFS(NewEmisData!E:E, NewEmisData!$A:$A, "LDV", NewEmisData!$B:$B, $A61, NewEmisData!$C:$C, $H61, NewEmisData!$D:$D, CM$2))</f>
        <v>1.8999640989844298E-2</v>
      </c>
      <c r="CN61" s="324">
        <f>$I61*IF($G61="Pickup", SUMIFS(NewEmisData!F:F, NewEmisData!$A:$A, "Pickup", NewEmisData!$B:$B, $A61, NewEmisData!$C:$C, $H61, NewEmisData!$D:$D, CN$2), SUMIFS(NewEmisData!F:F, NewEmisData!$A:$A, "LDV", NewEmisData!$B:$B, $A61, NewEmisData!$C:$C, $H61, NewEmisData!$D:$D, CN$2))</f>
        <v>1.12934038283153E-2</v>
      </c>
      <c r="CO61" s="324">
        <f>$I61*IF($G61="Pickup", SUMIFS(NewEmisData!G:G, NewEmisData!$A:$A, "Pickup", NewEmisData!$B:$B, $A61, NewEmisData!$C:$C, $H61, NewEmisData!$D:$D, CO$2), SUMIFS(NewEmisData!G:G, NewEmisData!$A:$A, "LDV", NewEmisData!$B:$B, $A61, NewEmisData!$C:$C, $H61, NewEmisData!$D:$D, CO$2))</f>
        <v>8.9155864809614994E-3</v>
      </c>
      <c r="CP61" s="324">
        <f>$I61*IF($G61="Pickup", SUMIFS(NewEmisData!H:H, NewEmisData!$A:$A, "Pickup", NewEmisData!$B:$B, $A61, NewEmisData!$C:$C, $H61, NewEmisData!$D:$D, CP$2), SUMIFS(NewEmisData!H:H, NewEmisData!$A:$A, "LDV", NewEmisData!$B:$B, $A61, NewEmisData!$C:$C, $H61, NewEmisData!$D:$D, CP$2))</f>
        <v>7.3372921922104104E-3</v>
      </c>
      <c r="CQ61" s="324">
        <f>$I61*IF($G61="Pickup", SUMIFS(NewEmisData!I:I, NewEmisData!$A:$A, "Pickup", NewEmisData!$B:$B, $A61, NewEmisData!$C:$C, $H61, NewEmisData!$D:$D, CQ$2), SUMIFS(NewEmisData!I:I, NewEmisData!$A:$A, "LDV", NewEmisData!$B:$B, $A61, NewEmisData!$C:$C, $H61, NewEmisData!$D:$D, CQ$2))</f>
        <v>6.5724995115123896E-3</v>
      </c>
      <c r="CR61" s="324">
        <f>$I61*IF($G61="Pickup", SUMIFS(NewEmisData!J:J, NewEmisData!$A:$A, "Pickup", NewEmisData!$B:$B, $A61, NewEmisData!$C:$C, $H61, NewEmisData!$D:$D, CR$2), SUMIFS(NewEmisData!J:J, NewEmisData!$A:$A, "LDV", NewEmisData!$B:$B, $A61, NewEmisData!$C:$C, $H61, NewEmisData!$D:$D, CR$2))</f>
        <v>6.2407197852133098E-3</v>
      </c>
      <c r="CS61" s="324">
        <f>$I61*IF($G61="Pickup", SUMIFS(NewEmisData!K:K, NewEmisData!$A:$A, "Pickup", NewEmisData!$B:$B, $A61, NewEmisData!$C:$C, $H61, NewEmisData!$D:$D, CS$2), SUMIFS(NewEmisData!K:K, NewEmisData!$A:$A, "LDV", NewEmisData!$B:$B, $A61, NewEmisData!$C:$C, $H61, NewEmisData!$D:$D, CS$2))</f>
        <v>6.20457620974787E-3</v>
      </c>
      <c r="CT61" s="324">
        <f>$I61*IF($G61="Pickup", SUMIFS(NewEmisData!L:L, NewEmisData!$A:$A, "Pickup", NewEmisData!$B:$B, $A61, NewEmisData!$C:$C, $H61, NewEmisData!$D:$D, CT$2), SUMIFS(NewEmisData!L:L, NewEmisData!$A:$A, "LDV", NewEmisData!$B:$B, $A61, NewEmisData!$C:$C, $H61, NewEmisData!$D:$D, CT$2))</f>
        <v>6.1456645266433898E-3</v>
      </c>
      <c r="CU61" s="324">
        <f>$I61*IF($G61="Pickup", SUMIFS(NewEmisData!M:M, NewEmisData!$A:$A, "Pickup", NewEmisData!$B:$B, $A61, NewEmisData!$C:$C, $H61, NewEmisData!$D:$D, CU$2), SUMIFS(NewEmisData!M:M, NewEmisData!$A:$A, "LDV", NewEmisData!$B:$B, $A61, NewEmisData!$C:$C, $H61, NewEmisData!$D:$D, CU$2))</f>
        <v>6.1452936234844303E-3</v>
      </c>
      <c r="CV61" s="324">
        <f t="shared" si="13"/>
        <v>6.1452936234844303E-3</v>
      </c>
      <c r="CW61" s="324">
        <v>3.0448046675121709E-3</v>
      </c>
      <c r="CX61" s="324">
        <v>1.8865908720768221E-3</v>
      </c>
      <c r="CY61" s="324">
        <v>1.5570268485524494E-3</v>
      </c>
      <c r="CZ61" s="324">
        <v>1.2432183416122382E-3</v>
      </c>
      <c r="DA61" s="324">
        <v>9.252251866281976E-4</v>
      </c>
      <c r="DB61" s="324">
        <v>7.2309456596024934E-4</v>
      </c>
      <c r="DC61" s="324">
        <v>6.8940706870607876E-4</v>
      </c>
      <c r="DD61" s="324">
        <v>6.844148428615973E-4</v>
      </c>
      <c r="DE61" s="324">
        <v>6.8634617396886091E-4</v>
      </c>
      <c r="DF61" s="324">
        <v>6.8634617396886091E-4</v>
      </c>
      <c r="DG61" s="324">
        <f>$I61*IF($G61="Pickup", SUMIFS(NewEmisData!E:E, NewEmisData!$A:$A, "Pickup", NewEmisData!$B:$B, $A61, NewEmisData!$C:$C, $H61, NewEmisData!$D:$D, DG$2), SUMIFS(NewEmisData!E:E, NewEmisData!$A:$A, "LDV", NewEmisData!$B:$B, $A61, NewEmisData!$C:$C, $H61, NewEmisData!$D:$D, DG$2))</f>
        <v>0</v>
      </c>
      <c r="DH61" s="324">
        <f>$I61*IF($G61="Pickup", SUMIFS(NewEmisData!F:F, NewEmisData!$A:$A, "Pickup", NewEmisData!$B:$B, $A61, NewEmisData!$C:$C, $H61, NewEmisData!$D:$D, DH$2), SUMIFS(NewEmisData!F:F, NewEmisData!$A:$A, "LDV", NewEmisData!$B:$B, $A61, NewEmisData!$C:$C, $H61, NewEmisData!$D:$D, DH$2))</f>
        <v>0</v>
      </c>
      <c r="DI61" s="324">
        <f>$I61*IF($G61="Pickup", SUMIFS(NewEmisData!G:G, NewEmisData!$A:$A, "Pickup", NewEmisData!$B:$B, $A61, NewEmisData!$C:$C, $H61, NewEmisData!$D:$D, DI$2), SUMIFS(NewEmisData!G:G, NewEmisData!$A:$A, "LDV", NewEmisData!$B:$B, $A61, NewEmisData!$C:$C, $H61, NewEmisData!$D:$D, DI$2))</f>
        <v>0</v>
      </c>
      <c r="DJ61" s="324">
        <f>$I61*IF($G61="Pickup", SUMIFS(NewEmisData!H:H, NewEmisData!$A:$A, "Pickup", NewEmisData!$B:$B, $A61, NewEmisData!$C:$C, $H61, NewEmisData!$D:$D, DJ$2), SUMIFS(NewEmisData!H:H, NewEmisData!$A:$A, "LDV", NewEmisData!$B:$B, $A61, NewEmisData!$C:$C, $H61, NewEmisData!$D:$D, DJ$2))</f>
        <v>0</v>
      </c>
      <c r="DK61" s="324">
        <f>$I61*IF($G61="Pickup", SUMIFS(NewEmisData!I:I, NewEmisData!$A:$A, "Pickup", NewEmisData!$B:$B, $A61, NewEmisData!$C:$C, $H61, NewEmisData!$D:$D, DK$2), SUMIFS(NewEmisData!I:I, NewEmisData!$A:$A, "LDV", NewEmisData!$B:$B, $A61, NewEmisData!$C:$C, $H61, NewEmisData!$D:$D, DK$2))</f>
        <v>0</v>
      </c>
      <c r="DL61" s="324">
        <f>$I61*IF($G61="Pickup", SUMIFS(NewEmisData!J:J, NewEmisData!$A:$A, "Pickup", NewEmisData!$B:$B, $A61, NewEmisData!$C:$C, $H61, NewEmisData!$D:$D, DL$2), SUMIFS(NewEmisData!J:J, NewEmisData!$A:$A, "LDV", NewEmisData!$B:$B, $A61, NewEmisData!$C:$C, $H61, NewEmisData!$D:$D, DL$2))</f>
        <v>0</v>
      </c>
      <c r="DM61" s="324">
        <f>$I61*IF($G61="Pickup", SUMIFS(NewEmisData!K:K, NewEmisData!$A:$A, "Pickup", NewEmisData!$B:$B, $A61, NewEmisData!$C:$C, $H61, NewEmisData!$D:$D, DM$2), SUMIFS(NewEmisData!K:K, NewEmisData!$A:$A, "LDV", NewEmisData!$B:$B, $A61, NewEmisData!$C:$C, $H61, NewEmisData!$D:$D, DM$2))</f>
        <v>0</v>
      </c>
      <c r="DN61" s="324">
        <f>$I61*IF($G61="Pickup", SUMIFS(NewEmisData!L:L, NewEmisData!$A:$A, "Pickup", NewEmisData!$B:$B, $A61, NewEmisData!$C:$C, $H61, NewEmisData!$D:$D, DN$2), SUMIFS(NewEmisData!L:L, NewEmisData!$A:$A, "LDV", NewEmisData!$B:$B, $A61, NewEmisData!$C:$C, $H61, NewEmisData!$D:$D, DN$2))</f>
        <v>0</v>
      </c>
      <c r="DO61" s="324">
        <f>$I61*IF($G61="Pickup", SUMIFS(NewEmisData!M:M, NewEmisData!$A:$A, "Pickup", NewEmisData!$B:$B, $A61, NewEmisData!$C:$C, $H61, NewEmisData!$D:$D, DO$2), SUMIFS(NewEmisData!M:M, NewEmisData!$A:$A, "LDV", NewEmisData!$B:$B, $A61, NewEmisData!$C:$C, $H61, NewEmisData!$D:$D, DO$2))</f>
        <v>0</v>
      </c>
      <c r="DP61" s="324">
        <f t="shared" si="14"/>
        <v>0</v>
      </c>
      <c r="DQ61" s="324">
        <f>$I61*IF($G61="Pickup", SUMIFS(NewEmisData!E:E, NewEmisData!$A:$A, "Pickup", NewEmisData!$B:$B, $A61, NewEmisData!$C:$C, $H61, NewEmisData!$D:$D, DQ$2), SUMIFS(NewEmisData!E:E, NewEmisData!$A:$A, "LDV", NewEmisData!$B:$B, $A61, NewEmisData!$C:$C, $H61, NewEmisData!$D:$D, DQ$2))</f>
        <v>1.28100272800791E-2</v>
      </c>
      <c r="DR61" s="324">
        <f>$I61*IF($G61="Pickup", SUMIFS(NewEmisData!F:F, NewEmisData!$A:$A, "Pickup", NewEmisData!$B:$B, $A61, NewEmisData!$C:$C, $H61, NewEmisData!$D:$D, DR$2), SUMIFS(NewEmisData!F:F, NewEmisData!$A:$A, "LDV", NewEmisData!$B:$B, $A61, NewEmisData!$C:$C, $H61, NewEmisData!$D:$D, DR$2))</f>
        <v>6.9424260700293398E-3</v>
      </c>
      <c r="DS61" s="324">
        <f>$I61*IF($G61="Pickup", SUMIFS(NewEmisData!G:G, NewEmisData!$A:$A, "Pickup", NewEmisData!$B:$B, $A61, NewEmisData!$C:$C, $H61, NewEmisData!$D:$D, DS$2), SUMIFS(NewEmisData!G:G, NewEmisData!$A:$A, "LDV", NewEmisData!$B:$B, $A61, NewEmisData!$C:$C, $H61, NewEmisData!$D:$D, DS$2))</f>
        <v>5.5718062948972597E-3</v>
      </c>
      <c r="DT61" s="324">
        <f>$I61*IF($G61="Pickup", SUMIFS(NewEmisData!H:H, NewEmisData!$A:$A, "Pickup", NewEmisData!$B:$B, $A61, NewEmisData!$C:$C, $H61, NewEmisData!$D:$D, DT$2), SUMIFS(NewEmisData!H:H, NewEmisData!$A:$A, "LDV", NewEmisData!$B:$B, $A61, NewEmisData!$C:$C, $H61, NewEmisData!$D:$D, DT$2))</f>
        <v>4.2603417623007303E-3</v>
      </c>
      <c r="DU61" s="324">
        <f>$I61*IF($G61="Pickup", SUMIFS(NewEmisData!I:I, NewEmisData!$A:$A, "Pickup", NewEmisData!$B:$B, $A61, NewEmisData!$C:$C, $H61, NewEmisData!$D:$D, DU$2), SUMIFS(NewEmisData!I:I, NewEmisData!$A:$A, "LDV", NewEmisData!$B:$B, $A61, NewEmisData!$C:$C, $H61, NewEmisData!$D:$D, DU$2))</f>
        <v>3.31959498333436E-3</v>
      </c>
      <c r="DV61" s="324">
        <f>$I61*IF($G61="Pickup", SUMIFS(NewEmisData!J:J, NewEmisData!$A:$A, "Pickup", NewEmisData!$B:$B, $A61, NewEmisData!$C:$C, $H61, NewEmisData!$D:$D, DV$2), SUMIFS(NewEmisData!J:J, NewEmisData!$A:$A, "LDV", NewEmisData!$B:$B, $A61, NewEmisData!$C:$C, $H61, NewEmisData!$D:$D, DV$2))</f>
        <v>2.8901416801040899E-3</v>
      </c>
      <c r="DW61" s="324">
        <f>$I61*IF($G61="Pickup", SUMIFS(NewEmisData!K:K, NewEmisData!$A:$A, "Pickup", NewEmisData!$B:$B, $A61, NewEmisData!$C:$C, $H61, NewEmisData!$D:$D, DW$2), SUMIFS(NewEmisData!K:K, NewEmisData!$A:$A, "LDV", NewEmisData!$B:$B, $A61, NewEmisData!$C:$C, $H61, NewEmisData!$D:$D, DW$2))</f>
        <v>2.6480526244027302E-3</v>
      </c>
      <c r="DX61" s="324">
        <f>$I61*IF($G61="Pickup", SUMIFS(NewEmisData!L:L, NewEmisData!$A:$A, "Pickup", NewEmisData!$B:$B, $A61, NewEmisData!$C:$C, $H61, NewEmisData!$D:$D, DX$2), SUMIFS(NewEmisData!L:L, NewEmisData!$A:$A, "LDV", NewEmisData!$B:$B, $A61, NewEmisData!$C:$C, $H61, NewEmisData!$D:$D, DX$2))</f>
        <v>2.5707167297103401E-3</v>
      </c>
      <c r="DY61" s="324">
        <f>$I61*IF($G61="Pickup", SUMIFS(NewEmisData!M:M, NewEmisData!$A:$A, "Pickup", NewEmisData!$B:$B, $A61, NewEmisData!$C:$C, $H61, NewEmisData!$D:$D, DY$2), SUMIFS(NewEmisData!M:M, NewEmisData!$A:$A, "LDV", NewEmisData!$B:$B, $A61, NewEmisData!$C:$C, $H61, NewEmisData!$D:$D, DY$2))</f>
        <v>2.5319062605993902E-3</v>
      </c>
      <c r="DZ61" s="324">
        <f t="shared" si="15"/>
        <v>2.5319062605993902E-3</v>
      </c>
      <c r="EA61" s="324">
        <f t="shared" si="16"/>
        <v>437.85746964693402</v>
      </c>
      <c r="EB61" s="324">
        <f t="shared" si="17"/>
        <v>424.609883045034</v>
      </c>
      <c r="EC61" s="324">
        <f t="shared" si="18"/>
        <v>389.26792072260798</v>
      </c>
      <c r="ED61" s="324">
        <f t="shared" si="19"/>
        <v>331.09003080375697</v>
      </c>
      <c r="EE61" s="324">
        <f t="shared" si="20"/>
        <v>286.46929869872997</v>
      </c>
      <c r="EF61" s="324">
        <f t="shared" si="21"/>
        <v>261.33080310252802</v>
      </c>
      <c r="EG61" s="324">
        <f t="shared" si="22"/>
        <v>250.12665030232699</v>
      </c>
      <c r="EH61" s="324">
        <f t="shared" si="23"/>
        <v>246.146486551527</v>
      </c>
      <c r="EI61" s="324">
        <f t="shared" si="24"/>
        <v>244.677818234341</v>
      </c>
      <c r="EJ61" s="324">
        <f t="shared" si="25"/>
        <v>244.677818234341</v>
      </c>
      <c r="EK61" s="324">
        <f t="shared" si="26"/>
        <v>0.78000130642291299</v>
      </c>
      <c r="EL61" s="324">
        <f t="shared" si="27"/>
        <v>0.323605278282381</v>
      </c>
      <c r="EM61" s="324">
        <f t="shared" si="28"/>
        <v>0.19152446532377701</v>
      </c>
      <c r="EN61" s="324">
        <f t="shared" si="29"/>
        <v>0.12537127832280801</v>
      </c>
      <c r="EO61" s="324">
        <f t="shared" si="30"/>
        <v>7.6671766649271E-2</v>
      </c>
      <c r="EP61" s="324">
        <f t="shared" si="31"/>
        <v>5.7019026656941203E-2</v>
      </c>
      <c r="EQ61" s="324">
        <f t="shared" si="32"/>
        <v>4.8823281713844202E-2</v>
      </c>
      <c r="ER61" s="324">
        <f t="shared" si="33"/>
        <v>4.6542407484685501E-2</v>
      </c>
      <c r="ES61" s="324">
        <f t="shared" si="34"/>
        <v>4.5415311435121702E-2</v>
      </c>
      <c r="ET61" s="324">
        <f t="shared" si="35"/>
        <v>4.5415311435121702E-2</v>
      </c>
      <c r="EU61" s="324">
        <f t="shared" si="36"/>
        <v>7.5764719154140002E-3</v>
      </c>
      <c r="EV61" s="324">
        <f t="shared" si="37"/>
        <v>7.3472400077695399E-3</v>
      </c>
      <c r="EW61" s="324">
        <f t="shared" si="38"/>
        <v>5.5842494055705696E-3</v>
      </c>
      <c r="EX61" s="324">
        <f t="shared" si="39"/>
        <v>4.7496587466809804E-3</v>
      </c>
      <c r="EY61" s="324">
        <f t="shared" si="40"/>
        <v>4.1095518958717504E-3</v>
      </c>
      <c r="EZ61" s="324">
        <f t="shared" si="41"/>
        <v>3.7489264773323799E-3</v>
      </c>
      <c r="FA61" s="324">
        <f t="shared" si="42"/>
        <v>3.5881959766524201E-3</v>
      </c>
      <c r="FB61" s="324">
        <f t="shared" si="43"/>
        <v>3.5311006464952199E-3</v>
      </c>
      <c r="FC61" s="324">
        <f t="shared" si="44"/>
        <v>3.5100309709840301E-3</v>
      </c>
      <c r="FD61" s="324">
        <f t="shared" si="45"/>
        <v>3.5100309709840301E-3</v>
      </c>
      <c r="FE61" s="324">
        <f t="shared" si="46"/>
        <v>6.7831755328566196E-2</v>
      </c>
      <c r="FF61" s="324">
        <f t="shared" si="47"/>
        <v>6.3250667156757298E-2</v>
      </c>
      <c r="FG61" s="324">
        <f t="shared" si="48"/>
        <v>6.2628417187727006E-2</v>
      </c>
      <c r="FH61" s="324">
        <f t="shared" si="49"/>
        <v>6.1216981125607202E-2</v>
      </c>
      <c r="FI61" s="324">
        <f t="shared" si="50"/>
        <v>5.9842025439809501E-2</v>
      </c>
      <c r="FJ61" s="324">
        <f t="shared" si="51"/>
        <v>5.8761885691048198E-2</v>
      </c>
      <c r="FK61" s="324">
        <f t="shared" si="52"/>
        <v>5.8072078083983E-2</v>
      </c>
      <c r="FL61" s="324">
        <f t="shared" si="53"/>
        <v>5.7726484266030297E-2</v>
      </c>
      <c r="FM61" s="324">
        <f t="shared" si="54"/>
        <v>5.7530226905323702E-2</v>
      </c>
      <c r="FN61" s="324">
        <f t="shared" si="55"/>
        <v>5.7530226905323702E-2</v>
      </c>
      <c r="FO61" s="324">
        <f t="shared" si="56"/>
        <v>1.8324822567621701E-2</v>
      </c>
      <c r="FP61" s="324">
        <f t="shared" si="57"/>
        <v>1.4272294035055699E-2</v>
      </c>
      <c r="FQ61" s="324">
        <f t="shared" si="58"/>
        <v>1.3165752481838801E-2</v>
      </c>
      <c r="FR61" s="324">
        <f t="shared" si="59"/>
        <v>1.1917194849656599E-2</v>
      </c>
      <c r="FS61" s="324">
        <f t="shared" si="60"/>
        <v>1.0700861948252101E-2</v>
      </c>
      <c r="FT61" s="324">
        <f t="shared" si="61"/>
        <v>9.7453521893521699E-3</v>
      </c>
      <c r="FU61" s="324">
        <f t="shared" si="62"/>
        <v>9.1351470976244707E-3</v>
      </c>
      <c r="FV61" s="324">
        <f t="shared" si="63"/>
        <v>8.8293874131557606E-3</v>
      </c>
      <c r="FW61" s="324">
        <f t="shared" si="64"/>
        <v>8.6558174466142106E-3</v>
      </c>
      <c r="FX61" s="324">
        <f t="shared" si="65"/>
        <v>8.6558174466142106E-3</v>
      </c>
    </row>
    <row r="62" spans="1:180" x14ac:dyDescent="0.2">
      <c r="A62" s="298" t="str">
        <f>_xlfn.CONCAT(IF(LEFT(TRIM(A61),1)="*", "*R", "R"), 1+RIGHT(TRIM(A61),1))</f>
        <v>*R4</v>
      </c>
      <c r="B62" s="298" t="str">
        <f t="shared" si="117"/>
        <v>TLECNGX</v>
      </c>
      <c r="C62" s="298" t="str">
        <f t="shared" si="118"/>
        <v>TL.CNGX.F.Existing fleet</v>
      </c>
      <c r="D62" s="294" t="str">
        <f t="shared" si="119"/>
        <v>bn-vmt, bn-vmt/a</v>
      </c>
      <c r="E62" s="294" t="str">
        <f t="shared" si="120"/>
        <v>TRNCNG</v>
      </c>
      <c r="F62" s="294" t="str">
        <f t="shared" si="121"/>
        <v>TL</v>
      </c>
      <c r="G62" s="294" t="s">
        <v>476</v>
      </c>
      <c r="H62" s="294" t="s">
        <v>474</v>
      </c>
      <c r="I62" s="294">
        <v>1</v>
      </c>
      <c r="J62" s="308" t="str">
        <f t="shared" si="101"/>
        <v>Full size car-GSL</v>
      </c>
      <c r="K62" s="324">
        <f>$I62*IF($G62="Pickup", SUMIFS(NewEmisData!E:E, NewEmisData!$A:$A, "Pickup", NewEmisData!$B:$B, $A62, NewEmisData!$C:$C, $H62, NewEmisData!$D:$D, K$2), SUMIFS(NewEmisData!E:E, NewEmisData!$A:$A, "LDV", NewEmisData!$B:$B, $A62, NewEmisData!$C:$C, $H62, NewEmisData!$D:$D, K$2))</f>
        <v>605.35194063093002</v>
      </c>
      <c r="L62" s="324">
        <f>$I62*IF($G62="Pickup", SUMIFS(NewEmisData!F:F, NewEmisData!$A:$A, "Pickup", NewEmisData!$B:$B, $A62, NewEmisData!$C:$C, $H62, NewEmisData!$D:$D, L$2), SUMIFS(NewEmisData!F:F, NewEmisData!$A:$A, "LDV", NewEmisData!$B:$B, $A62, NewEmisData!$C:$C, $H62, NewEmisData!$D:$D, L$2))</f>
        <v>575.43677827742204</v>
      </c>
      <c r="M62" s="324">
        <f>$I62*IF($G62="Pickup", SUMIFS(NewEmisData!G:G, NewEmisData!$A:$A, "Pickup", NewEmisData!$B:$B, $A62, NewEmisData!$C:$C, $H62, NewEmisData!$D:$D, M$2), SUMIFS(NewEmisData!G:G, NewEmisData!$A:$A, "LDV", NewEmisData!$B:$B, $A62, NewEmisData!$C:$C, $H62, NewEmisData!$D:$D, M$2))</f>
        <v>447.50306541281799</v>
      </c>
      <c r="N62" s="324">
        <f>$I62*IF($G62="Pickup", SUMIFS(NewEmisData!H:H, NewEmisData!$A:$A, "Pickup", NewEmisData!$B:$B, $A62, NewEmisData!$C:$C, $H62, NewEmisData!$D:$D, N$2), SUMIFS(NewEmisData!H:H, NewEmisData!$A:$A, "LDV", NewEmisData!$B:$B, $A62, NewEmisData!$C:$C, $H62, NewEmisData!$D:$D, N$2))</f>
        <v>380.32748601406797</v>
      </c>
      <c r="O62" s="324">
        <f>$I62*IF($G62="Pickup", SUMIFS(NewEmisData!I:I, NewEmisData!$A:$A, "Pickup", NewEmisData!$B:$B, $A62, NewEmisData!$C:$C, $H62, NewEmisData!$D:$D, O$2), SUMIFS(NewEmisData!I:I, NewEmisData!$A:$A, "LDV", NewEmisData!$B:$B, $A62, NewEmisData!$C:$C, $H62, NewEmisData!$D:$D, O$2))</f>
        <v>328.8508655947</v>
      </c>
      <c r="P62" s="324">
        <f>$I62*IF($G62="Pickup", SUMIFS(NewEmisData!J:J, NewEmisData!$A:$A, "Pickup", NewEmisData!$B:$B, $A62, NewEmisData!$C:$C, $H62, NewEmisData!$D:$D, P$2), SUMIFS(NewEmisData!J:J, NewEmisData!$A:$A, "LDV", NewEmisData!$B:$B, $A62, NewEmisData!$C:$C, $H62, NewEmisData!$D:$D, P$2))</f>
        <v>299.87343037562698</v>
      </c>
      <c r="Q62" s="324">
        <f>$I62*IF($G62="Pickup", SUMIFS(NewEmisData!K:K, NewEmisData!$A:$A, "Pickup", NewEmisData!$B:$B, $A62, NewEmisData!$C:$C, $H62, NewEmisData!$D:$D, Q$2), SUMIFS(NewEmisData!K:K, NewEmisData!$A:$A, "LDV", NewEmisData!$B:$B, $A62, NewEmisData!$C:$C, $H62, NewEmisData!$D:$D, Q$2))</f>
        <v>286.96645721008798</v>
      </c>
      <c r="R62" s="324">
        <f>$I62*IF($G62="Pickup", SUMIFS(NewEmisData!L:L, NewEmisData!$A:$A, "Pickup", NewEmisData!$B:$B, $A62, NewEmisData!$C:$C, $H62, NewEmisData!$D:$D, R$2), SUMIFS(NewEmisData!L:L, NewEmisData!$A:$A, "LDV", NewEmisData!$B:$B, $A62, NewEmisData!$C:$C, $H62, NewEmisData!$D:$D, R$2))</f>
        <v>282.38592098475101</v>
      </c>
      <c r="S62" s="324">
        <f>$I62*IF($G62="Pickup", SUMIFS(NewEmisData!M:M, NewEmisData!$A:$A, "Pickup", NewEmisData!$B:$B, $A62, NewEmisData!$C:$C, $H62, NewEmisData!$D:$D, S$2), SUMIFS(NewEmisData!M:M, NewEmisData!$A:$A, "LDV", NewEmisData!$B:$B, $A62, NewEmisData!$C:$C, $H62, NewEmisData!$D:$D, S$2))</f>
        <v>280.69816184937503</v>
      </c>
      <c r="T62" s="324">
        <f t="shared" si="5"/>
        <v>280.69816184937503</v>
      </c>
      <c r="U62" s="324">
        <f>$I62*IF($G62="Pickup", SUMIFS(NewEmisData!E:E, NewEmisData!$A:$A, "Pickup", NewEmisData!$B:$B, $A62, NewEmisData!$C:$C, $H62, NewEmisData!$D:$D, U$2), SUMIFS(NewEmisData!E:E, NewEmisData!$A:$A, "LDV", NewEmisData!$B:$B, $A62, NewEmisData!$C:$C, $H62, NewEmisData!$D:$D, U$2))</f>
        <v>0.73999493628111201</v>
      </c>
      <c r="V62" s="324">
        <f>$I62*IF($G62="Pickup", SUMIFS(NewEmisData!F:F, NewEmisData!$A:$A, "Pickup", NewEmisData!$B:$B, $A62, NewEmisData!$C:$C, $H62, NewEmisData!$D:$D, V$2), SUMIFS(NewEmisData!F:F, NewEmisData!$A:$A, "LDV", NewEmisData!$B:$B, $A62, NewEmisData!$C:$C, $H62, NewEmisData!$D:$D, V$2))</f>
        <v>0.35335240075773999</v>
      </c>
      <c r="W62" s="324">
        <f>$I62*IF($G62="Pickup", SUMIFS(NewEmisData!G:G, NewEmisData!$A:$A, "Pickup", NewEmisData!$B:$B, $A62, NewEmisData!$C:$C, $H62, NewEmisData!$D:$D, W$2), SUMIFS(NewEmisData!G:G, NewEmisData!$A:$A, "LDV", NewEmisData!$B:$B, $A62, NewEmisData!$C:$C, $H62, NewEmisData!$D:$D, W$2))</f>
        <v>0.18897755292818599</v>
      </c>
      <c r="X62" s="324">
        <f>$I62*IF($G62="Pickup", SUMIFS(NewEmisData!H:H, NewEmisData!$A:$A, "Pickup", NewEmisData!$B:$B, $A62, NewEmisData!$C:$C, $H62, NewEmisData!$D:$D, X$2), SUMIFS(NewEmisData!H:H, NewEmisData!$A:$A, "LDV", NewEmisData!$B:$B, $A62, NewEmisData!$C:$C, $H62, NewEmisData!$D:$D, X$2))</f>
        <v>0.12218817840455801</v>
      </c>
      <c r="Y62" s="324">
        <f>$I62*IF($G62="Pickup", SUMIFS(NewEmisData!I:I, NewEmisData!$A:$A, "Pickup", NewEmisData!$B:$B, $A62, NewEmisData!$C:$C, $H62, NewEmisData!$D:$D, Y$2), SUMIFS(NewEmisData!I:I, NewEmisData!$A:$A, "LDV", NewEmisData!$B:$B, $A62, NewEmisData!$C:$C, $H62, NewEmisData!$D:$D, Y$2))</f>
        <v>7.3060825114572805E-2</v>
      </c>
      <c r="Z62" s="324">
        <f>$I62*IF($G62="Pickup", SUMIFS(NewEmisData!J:J, NewEmisData!$A:$A, "Pickup", NewEmisData!$B:$B, $A62, NewEmisData!$C:$C, $H62, NewEmisData!$D:$D, Z$2), SUMIFS(NewEmisData!J:J, NewEmisData!$A:$A, "LDV", NewEmisData!$B:$B, $A62, NewEmisData!$C:$C, $H62, NewEmisData!$D:$D, Z$2))</f>
        <v>5.3764321341730301E-2</v>
      </c>
      <c r="AA62" s="324">
        <f>$I62*IF($G62="Pickup", SUMIFS(NewEmisData!K:K, NewEmisData!$A:$A, "Pickup", NewEmisData!$B:$B, $A62, NewEmisData!$C:$C, $H62, NewEmisData!$D:$D, AA$2), SUMIFS(NewEmisData!K:K, NewEmisData!$A:$A, "LDV", NewEmisData!$B:$B, $A62, NewEmisData!$C:$C, $H62, NewEmisData!$D:$D, AA$2))</f>
        <v>4.5765873698397498E-2</v>
      </c>
      <c r="AB62" s="324">
        <f>$I62*IF($G62="Pickup", SUMIFS(NewEmisData!L:L, NewEmisData!$A:$A, "Pickup", NewEmisData!$B:$B, $A62, NewEmisData!$C:$C, $H62, NewEmisData!$D:$D, AB$2), SUMIFS(NewEmisData!L:L, NewEmisData!$A:$A, "LDV", NewEmisData!$B:$B, $A62, NewEmisData!$C:$C, $H62, NewEmisData!$D:$D, AB$2))</f>
        <v>4.3548109073897001E-2</v>
      </c>
      <c r="AC62" s="324">
        <f>$I62*IF($G62="Pickup", SUMIFS(NewEmisData!M:M, NewEmisData!$A:$A, "Pickup", NewEmisData!$B:$B, $A62, NewEmisData!$C:$C, $H62, NewEmisData!$D:$D, AC$2), SUMIFS(NewEmisData!M:M, NewEmisData!$A:$A, "LDV", NewEmisData!$B:$B, $A62, NewEmisData!$C:$C, $H62, NewEmisData!$D:$D, AC$2))</f>
        <v>4.24609775043936E-2</v>
      </c>
      <c r="AD62" s="324">
        <f t="shared" si="6"/>
        <v>4.24609775043936E-2</v>
      </c>
      <c r="AE62" s="324">
        <f>$I62*IF($G62="Pickup", SUMIFS(NewEmisData!E:E, NewEmisData!$A:$A, "Pickup", NewEmisData!$B:$B, $A62, NewEmisData!$C:$C, $H62, NewEmisData!$D:$D, AE$2), SUMIFS(NewEmisData!E:E, NewEmisData!$A:$A, "LDV", NewEmisData!$B:$B, $A62, NewEmisData!$C:$C, $H62, NewEmisData!$D:$D, AE$2))</f>
        <v>1.04747160569124E-2</v>
      </c>
      <c r="AF62" s="324">
        <f>$I62*IF($G62="Pickup", SUMIFS(NewEmisData!F:F, NewEmisData!$A:$A, "Pickup", NewEmisData!$B:$B, $A62, NewEmisData!$C:$C, $H62, NewEmisData!$D:$D, AF$2), SUMIFS(NewEmisData!F:F, NewEmisData!$A:$A, "LDV", NewEmisData!$B:$B, $A62, NewEmisData!$C:$C, $H62, NewEmisData!$D:$D, AF$2))</f>
        <v>9.9570764799691708E-3</v>
      </c>
      <c r="AG62" s="324">
        <f>$I62*IF($G62="Pickup", SUMIFS(NewEmisData!G:G, NewEmisData!$A:$A, "Pickup", NewEmisData!$B:$B, $A62, NewEmisData!$C:$C, $H62, NewEmisData!$D:$D, AG$2), SUMIFS(NewEmisData!G:G, NewEmisData!$A:$A, "LDV", NewEmisData!$B:$B, $A62, NewEmisData!$C:$C, $H62, NewEmisData!$D:$D, AG$2))</f>
        <v>6.4196648888919499E-3</v>
      </c>
      <c r="AH62" s="324">
        <f>$I62*IF($G62="Pickup", SUMIFS(NewEmisData!H:H, NewEmisData!$A:$A, "Pickup", NewEmisData!$B:$B, $A62, NewEmisData!$C:$C, $H62, NewEmisData!$D:$D, AH$2), SUMIFS(NewEmisData!H:H, NewEmisData!$A:$A, "LDV", NewEmisData!$B:$B, $A62, NewEmisData!$C:$C, $H62, NewEmisData!$D:$D, AH$2))</f>
        <v>5.45599526494426E-3</v>
      </c>
      <c r="AI62" s="324">
        <f>$I62*IF($G62="Pickup", SUMIFS(NewEmisData!I:I, NewEmisData!$A:$A, "Pickup", NewEmisData!$B:$B, $A62, NewEmisData!$C:$C, $H62, NewEmisData!$D:$D, AI$2), SUMIFS(NewEmisData!I:I, NewEmisData!$A:$A, "LDV", NewEmisData!$B:$B, $A62, NewEmisData!$C:$C, $H62, NewEmisData!$D:$D, AI$2))</f>
        <v>4.7175365225731996E-3</v>
      </c>
      <c r="AJ62" s="324">
        <f>$I62*IF($G62="Pickup", SUMIFS(NewEmisData!J:J, NewEmisData!$A:$A, "Pickup", NewEmisData!$B:$B, $A62, NewEmisData!$C:$C, $H62, NewEmisData!$D:$D, AJ$2), SUMIFS(NewEmisData!J:J, NewEmisData!$A:$A, "LDV", NewEmisData!$B:$B, $A62, NewEmisData!$C:$C, $H62, NewEmisData!$D:$D, AJ$2))</f>
        <v>4.3018391726363297E-3</v>
      </c>
      <c r="AK62" s="324">
        <f>$I62*IF($G62="Pickup", SUMIFS(NewEmisData!K:K, NewEmisData!$A:$A, "Pickup", NewEmisData!$B:$B, $A62, NewEmisData!$C:$C, $H62, NewEmisData!$D:$D, AK$2), SUMIFS(NewEmisData!K:K, NewEmisData!$A:$A, "LDV", NewEmisData!$B:$B, $A62, NewEmisData!$C:$C, $H62, NewEmisData!$D:$D, AK$2))</f>
        <v>4.1166816404986702E-3</v>
      </c>
      <c r="AL62" s="324">
        <f>$I62*IF($G62="Pickup", SUMIFS(NewEmisData!L:L, NewEmisData!$A:$A, "Pickup", NewEmisData!$B:$B, $A62, NewEmisData!$C:$C, $H62, NewEmisData!$D:$D, AL$2), SUMIFS(NewEmisData!L:L, NewEmisData!$A:$A, "LDV", NewEmisData!$B:$B, $A62, NewEmisData!$C:$C, $H62, NewEmisData!$D:$D, AL$2))</f>
        <v>4.0509726462172697E-3</v>
      </c>
      <c r="AM62" s="324">
        <f>$I62*IF($G62="Pickup", SUMIFS(NewEmisData!M:M, NewEmisData!$A:$A, "Pickup", NewEmisData!$B:$B, $A62, NewEmisData!$C:$C, $H62, NewEmisData!$D:$D, AM$2), SUMIFS(NewEmisData!M:M, NewEmisData!$A:$A, "LDV", NewEmisData!$B:$B, $A62, NewEmisData!$C:$C, $H62, NewEmisData!$D:$D, AM$2))</f>
        <v>4.0267596573162799E-3</v>
      </c>
      <c r="AN62" s="324">
        <f t="shared" si="7"/>
        <v>4.0267596573162799E-3</v>
      </c>
      <c r="AO62" s="324">
        <f>$I62*IF($G62="Pickup", SUMIFS(NewEmisData!E:E, NewEmisData!$A:$A, "Pickup", NewEmisData!$B:$B, $A62, NewEmisData!$C:$C, $H62, NewEmisData!$D:$D, AO$2), SUMIFS(NewEmisData!E:E, NewEmisData!$A:$A, "LDV", NewEmisData!$B:$B, $A62, NewEmisData!$C:$C, $H62, NewEmisData!$D:$D, AO$2))</f>
        <v>0.112529836649977</v>
      </c>
      <c r="AP62" s="324">
        <f>$I62*IF($G62="Pickup", SUMIFS(NewEmisData!F:F, NewEmisData!$A:$A, "Pickup", NewEmisData!$B:$B, $A62, NewEmisData!$C:$C, $H62, NewEmisData!$D:$D, AP$2), SUMIFS(NewEmisData!F:F, NewEmisData!$A:$A, "LDV", NewEmisData!$B:$B, $A62, NewEmisData!$C:$C, $H62, NewEmisData!$D:$D, AP$2))</f>
        <v>0.103764807432247</v>
      </c>
      <c r="AQ62" s="324">
        <f>$I62*IF($G62="Pickup", SUMIFS(NewEmisData!G:G, NewEmisData!$A:$A, "Pickup", NewEmisData!$B:$B, $A62, NewEmisData!$C:$C, $H62, NewEmisData!$D:$D, AQ$2), SUMIFS(NewEmisData!G:G, NewEmisData!$A:$A, "LDV", NewEmisData!$B:$B, $A62, NewEmisData!$C:$C, $H62, NewEmisData!$D:$D, AQ$2))</f>
        <v>8.1904009889209095E-2</v>
      </c>
      <c r="AR62" s="324">
        <f>$I62*IF($G62="Pickup", SUMIFS(NewEmisData!H:H, NewEmisData!$A:$A, "Pickup", NewEmisData!$B:$B, $A62, NewEmisData!$C:$C, $H62, NewEmisData!$D:$D, AR$2), SUMIFS(NewEmisData!H:H, NewEmisData!$A:$A, "LDV", NewEmisData!$B:$B, $A62, NewEmisData!$C:$C, $H62, NewEmisData!$D:$D, AR$2))</f>
        <v>8.0372811122020202E-2</v>
      </c>
      <c r="AS62" s="324">
        <f>$I62*IF($G62="Pickup", SUMIFS(NewEmisData!I:I, NewEmisData!$A:$A, "Pickup", NewEmisData!$B:$B, $A62, NewEmisData!$C:$C, $H62, NewEmisData!$D:$D, AS$2), SUMIFS(NewEmisData!I:I, NewEmisData!$A:$A, "LDV", NewEmisData!$B:$B, $A62, NewEmisData!$C:$C, $H62, NewEmisData!$D:$D, AS$2))</f>
        <v>7.8826850839141593E-2</v>
      </c>
      <c r="AT62" s="324">
        <f>$I62*IF($G62="Pickup", SUMIFS(NewEmisData!J:J, NewEmisData!$A:$A, "Pickup", NewEmisData!$B:$B, $A62, NewEmisData!$C:$C, $H62, NewEmisData!$D:$D, AT$2), SUMIFS(NewEmisData!J:J, NewEmisData!$A:$A, "LDV", NewEmisData!$B:$B, $A62, NewEmisData!$C:$C, $H62, NewEmisData!$D:$D, AT$2))</f>
        <v>7.7629471627150906E-2</v>
      </c>
      <c r="AU62" s="324">
        <f>$I62*IF($G62="Pickup", SUMIFS(NewEmisData!K:K, NewEmisData!$A:$A, "Pickup", NewEmisData!$B:$B, $A62, NewEmisData!$C:$C, $H62, NewEmisData!$D:$D, AU$2), SUMIFS(NewEmisData!K:K, NewEmisData!$A:$A, "LDV", NewEmisData!$B:$B, $A62, NewEmisData!$C:$C, $H62, NewEmisData!$D:$D, AU$2))</f>
        <v>7.6869255276324197E-2</v>
      </c>
      <c r="AV62" s="324">
        <f>$I62*IF($G62="Pickup", SUMIFS(NewEmisData!L:L, NewEmisData!$A:$A, "Pickup", NewEmisData!$B:$B, $A62, NewEmisData!$C:$C, $H62, NewEmisData!$D:$D, AV$2), SUMIFS(NewEmisData!L:L, NewEmisData!$A:$A, "LDV", NewEmisData!$B:$B, $A62, NewEmisData!$C:$C, $H62, NewEmisData!$D:$D, AV$2))</f>
        <v>7.6489801218608905E-2</v>
      </c>
      <c r="AW62" s="324">
        <f>$I62*IF($G62="Pickup", SUMIFS(NewEmisData!M:M, NewEmisData!$A:$A, "Pickup", NewEmisData!$B:$B, $A62, NewEmisData!$C:$C, $H62, NewEmisData!$D:$D, AW$2), SUMIFS(NewEmisData!M:M, NewEmisData!$A:$A, "LDV", NewEmisData!$B:$B, $A62, NewEmisData!$C:$C, $H62, NewEmisData!$D:$D, AW$2))</f>
        <v>7.6275890012832595E-2</v>
      </c>
      <c r="AX62" s="324">
        <f t="shared" si="8"/>
        <v>7.6275890012832595E-2</v>
      </c>
      <c r="AY62" s="324">
        <f>$I62*IF($G62="Pickup", SUMIFS(NewEmisData!E:E, NewEmisData!$A:$A, "Pickup", NewEmisData!$B:$B, $A62, NewEmisData!$C:$C, $H62, NewEmisData!$D:$D, AY$2), SUMIFS(NewEmisData!E:E, NewEmisData!$A:$A, "LDV", NewEmisData!$B:$B, $A62, NewEmisData!$C:$C, $H62, NewEmisData!$D:$D, AY$2))</f>
        <v>2.93140110896879E-2</v>
      </c>
      <c r="AZ62" s="324">
        <f>$I62*IF($G62="Pickup", SUMIFS(NewEmisData!F:F, NewEmisData!$A:$A, "Pickup", NewEmisData!$B:$B, $A62, NewEmisData!$C:$C, $H62, NewEmisData!$D:$D, AZ$2), SUMIFS(NewEmisData!F:F, NewEmisData!$A:$A, "LDV", NewEmisData!$B:$B, $A62, NewEmisData!$C:$C, $H62, NewEmisData!$D:$D, AZ$2))</f>
        <v>2.15603319614842E-2</v>
      </c>
      <c r="BA62" s="324">
        <f>$I62*IF($G62="Pickup", SUMIFS(NewEmisData!G:G, NewEmisData!$A:$A, "Pickup", NewEmisData!$B:$B, $A62, NewEmisData!$C:$C, $H62, NewEmisData!$D:$D, BA$2), SUMIFS(NewEmisData!G:G, NewEmisData!$A:$A, "LDV", NewEmisData!$B:$B, $A62, NewEmisData!$C:$C, $H62, NewEmisData!$D:$D, BA$2))</f>
        <v>1.61359542510712E-2</v>
      </c>
      <c r="BB62" s="324">
        <f>$I62*IF($G62="Pickup", SUMIFS(NewEmisData!H:H, NewEmisData!$A:$A, "Pickup", NewEmisData!$B:$B, $A62, NewEmisData!$C:$C, $H62, NewEmisData!$D:$D, BB$2), SUMIFS(NewEmisData!H:H, NewEmisData!$A:$A, "LDV", NewEmisData!$B:$B, $A62, NewEmisData!$C:$C, $H62, NewEmisData!$D:$D, BB$2))</f>
        <v>1.4781439172223E-2</v>
      </c>
      <c r="BC62" s="324">
        <f>$I62*IF($G62="Pickup", SUMIFS(NewEmisData!I:I, NewEmisData!$A:$A, "Pickup", NewEmisData!$B:$B, $A62, NewEmisData!$C:$C, $H62, NewEmisData!$D:$D, BC$2), SUMIFS(NewEmisData!I:I, NewEmisData!$A:$A, "LDV", NewEmisData!$B:$B, $A62, NewEmisData!$C:$C, $H62, NewEmisData!$D:$D, BC$2))</f>
        <v>1.3413837806436801E-2</v>
      </c>
      <c r="BD62" s="324">
        <f>$I62*IF($G62="Pickup", SUMIFS(NewEmisData!J:J, NewEmisData!$A:$A, "Pickup", NewEmisData!$B:$B, $A62, NewEmisData!$C:$C, $H62, NewEmisData!$D:$D, BD$2), SUMIFS(NewEmisData!J:J, NewEmisData!$A:$A, "LDV", NewEmisData!$B:$B, $A62, NewEmisData!$C:$C, $H62, NewEmisData!$D:$D, BD$2))</f>
        <v>1.2354573478352299E-2</v>
      </c>
      <c r="BE62" s="324">
        <f>$I62*IF($G62="Pickup", SUMIFS(NewEmisData!K:K, NewEmisData!$A:$A, "Pickup", NewEmisData!$B:$B, $A62, NewEmisData!$C:$C, $H62, NewEmisData!$D:$D, BE$2), SUMIFS(NewEmisData!K:K, NewEmisData!$A:$A, "LDV", NewEmisData!$B:$B, $A62, NewEmisData!$C:$C, $H62, NewEmisData!$D:$D, BE$2))</f>
        <v>1.16820653404197E-2</v>
      </c>
      <c r="BF62" s="324">
        <f>$I62*IF($G62="Pickup", SUMIFS(NewEmisData!L:L, NewEmisData!$A:$A, "Pickup", NewEmisData!$B:$B, $A62, NewEmisData!$C:$C, $H62, NewEmisData!$D:$D, BF$2), SUMIFS(NewEmisData!L:L, NewEmisData!$A:$A, "LDV", NewEmisData!$B:$B, $A62, NewEmisData!$C:$C, $H62, NewEmisData!$D:$D, BF$2))</f>
        <v>1.13463459698093E-2</v>
      </c>
      <c r="BG62" s="324">
        <f>$I62*IF($G62="Pickup", SUMIFS(NewEmisData!M:M, NewEmisData!$A:$A, "Pickup", NewEmisData!$B:$B, $A62, NewEmisData!$C:$C, $H62, NewEmisData!$D:$D, BG$2), SUMIFS(NewEmisData!M:M, NewEmisData!$A:$A, "LDV", NewEmisData!$B:$B, $A62, NewEmisData!$C:$C, $H62, NewEmisData!$D:$D, BG$2))</f>
        <v>1.1157149268450401E-2</v>
      </c>
      <c r="BH62" s="324">
        <f t="shared" si="9"/>
        <v>1.1157149268450401E-2</v>
      </c>
      <c r="BI62" s="324">
        <f>$I62*IF($G62="Pickup", SUMIFS(NewEmisData!E:E, NewEmisData!$A:$A, "Pickup", NewEmisData!$B:$B, $A62, NewEmisData!$C:$C, $H62, NewEmisData!$D:$D, BI$2), SUMIFS(NewEmisData!E:E, NewEmisData!$A:$A, "LDV", NewEmisData!$B:$B, $A62, NewEmisData!$C:$C, $H62, NewEmisData!$D:$D, BI$2))</f>
        <v>7.7707306410078001</v>
      </c>
      <c r="BJ62" s="324">
        <f>$I62*IF($G62="Pickup", SUMIFS(NewEmisData!F:F, NewEmisData!$A:$A, "Pickup", NewEmisData!$B:$B, $A62, NewEmisData!$C:$C, $H62, NewEmisData!$D:$D, BJ$2), SUMIFS(NewEmisData!F:F, NewEmisData!$A:$A, "LDV", NewEmisData!$B:$B, $A62, NewEmisData!$C:$C, $H62, NewEmisData!$D:$D, BJ$2))</f>
        <v>4.4247869376442202</v>
      </c>
      <c r="BK62" s="324">
        <f>$I62*IF($G62="Pickup", SUMIFS(NewEmisData!G:G, NewEmisData!$A:$A, "Pickup", NewEmisData!$B:$B, $A62, NewEmisData!$C:$C, $H62, NewEmisData!$D:$D, BK$2), SUMIFS(NewEmisData!G:G, NewEmisData!$A:$A, "LDV", NewEmisData!$B:$B, $A62, NewEmisData!$C:$C, $H62, NewEmisData!$D:$D, BK$2))</f>
        <v>2.6540717659073501</v>
      </c>
      <c r="BL62" s="324">
        <f>$I62*IF($G62="Pickup", SUMIFS(NewEmisData!H:H, NewEmisData!$A:$A, "Pickup", NewEmisData!$B:$B, $A62, NewEmisData!$C:$C, $H62, NewEmisData!$D:$D, BL$2), SUMIFS(NewEmisData!H:H, NewEmisData!$A:$A, "LDV", NewEmisData!$B:$B, $A62, NewEmisData!$C:$C, $H62, NewEmisData!$D:$D, BL$2))</f>
        <v>2.0604732381170998</v>
      </c>
      <c r="BM62" s="324">
        <f>$I62*IF($G62="Pickup", SUMIFS(NewEmisData!I:I, NewEmisData!$A:$A, "Pickup", NewEmisData!$B:$B, $A62, NewEmisData!$C:$C, $H62, NewEmisData!$D:$D, BM$2), SUMIFS(NewEmisData!I:I, NewEmisData!$A:$A, "LDV", NewEmisData!$B:$B, $A62, NewEmisData!$C:$C, $H62, NewEmisData!$D:$D, BM$2))</f>
        <v>1.4768702583128299</v>
      </c>
      <c r="BN62" s="324">
        <f>$I62*IF($G62="Pickup", SUMIFS(NewEmisData!J:J, NewEmisData!$A:$A, "Pickup", NewEmisData!$B:$B, $A62, NewEmisData!$C:$C, $H62, NewEmisData!$D:$D, BN$2), SUMIFS(NewEmisData!J:J, NewEmisData!$A:$A, "LDV", NewEmisData!$B:$B, $A62, NewEmisData!$C:$C, $H62, NewEmisData!$D:$D, BN$2))</f>
        <v>1.1597745551704699</v>
      </c>
      <c r="BO62" s="324">
        <f>$I62*IF($G62="Pickup", SUMIFS(NewEmisData!K:K, NewEmisData!$A:$A, "Pickup", NewEmisData!$B:$B, $A62, NewEmisData!$C:$C, $H62, NewEmisData!$D:$D, BO$2), SUMIFS(NewEmisData!K:K, NewEmisData!$A:$A, "LDV", NewEmisData!$B:$B, $A62, NewEmisData!$C:$C, $H62, NewEmisData!$D:$D, BO$2))</f>
        <v>1.01795642585422</v>
      </c>
      <c r="BP62" s="324">
        <f>$I62*IF($G62="Pickup", SUMIFS(NewEmisData!L:L, NewEmisData!$A:$A, "Pickup", NewEmisData!$B:$B, $A62, NewEmisData!$C:$C, $H62, NewEmisData!$D:$D, BP$2), SUMIFS(NewEmisData!L:L, NewEmisData!$A:$A, "LDV", NewEmisData!$B:$B, $A62, NewEmisData!$C:$C, $H62, NewEmisData!$D:$D, BP$2))</f>
        <v>0.97243111781319103</v>
      </c>
      <c r="BQ62" s="324">
        <f>$I62*IF($G62="Pickup", SUMIFS(NewEmisData!M:M, NewEmisData!$A:$A, "Pickup", NewEmisData!$B:$B, $A62, NewEmisData!$C:$C, $H62, NewEmisData!$D:$D, BQ$2), SUMIFS(NewEmisData!M:M, NewEmisData!$A:$A, "LDV", NewEmisData!$B:$B, $A62, NewEmisData!$C:$C, $H62, NewEmisData!$D:$D, BQ$2))</f>
        <v>0.94396289100680397</v>
      </c>
      <c r="BR62" s="324">
        <f t="shared" si="10"/>
        <v>0.94396289100680397</v>
      </c>
      <c r="BS62" s="324">
        <f>$I62*IF($G62="Pickup", SUMIFS(NewEmisData!E:E, NewEmisData!$A:$A, "Pickup", NewEmisData!$B:$B, $A62, NewEmisData!$C:$C, $H62, NewEmisData!$D:$D, BS$2), SUMIFS(NewEmisData!E:E, NewEmisData!$A:$A, "LDV", NewEmisData!$B:$B, $A62, NewEmisData!$C:$C, $H62, NewEmisData!$D:$D, BS$2))</f>
        <v>0.868939523792984</v>
      </c>
      <c r="BT62" s="324">
        <f>$I62*IF($G62="Pickup", SUMIFS(NewEmisData!F:F, NewEmisData!$A:$A, "Pickup", NewEmisData!$B:$B, $A62, NewEmisData!$C:$C, $H62, NewEmisData!$D:$D, BT$2), SUMIFS(NewEmisData!F:F, NewEmisData!$A:$A, "LDV", NewEmisData!$B:$B, $A62, NewEmisData!$C:$C, $H62, NewEmisData!$D:$D, BT$2))</f>
        <v>0.46984846516954898</v>
      </c>
      <c r="BU62" s="324">
        <f>$I62*IF($G62="Pickup", SUMIFS(NewEmisData!G:G, NewEmisData!$A:$A, "Pickup", NewEmisData!$B:$B, $A62, NewEmisData!$C:$C, $H62, NewEmisData!$D:$D, BU$2), SUMIFS(NewEmisData!G:G, NewEmisData!$A:$A, "LDV", NewEmisData!$B:$B, $A62, NewEmisData!$C:$C, $H62, NewEmisData!$D:$D, BU$2))</f>
        <v>0.25380786816335299</v>
      </c>
      <c r="BV62" s="324">
        <f>$I62*IF($G62="Pickup", SUMIFS(NewEmisData!H:H, NewEmisData!$A:$A, "Pickup", NewEmisData!$B:$B, $A62, NewEmisData!$C:$C, $H62, NewEmisData!$D:$D, BV$2), SUMIFS(NewEmisData!H:H, NewEmisData!$A:$A, "LDV", NewEmisData!$B:$B, $A62, NewEmisData!$C:$C, $H62, NewEmisData!$D:$D, BV$2))</f>
        <v>0.20500079484657399</v>
      </c>
      <c r="BW62" s="324">
        <f>$I62*IF($G62="Pickup", SUMIFS(NewEmisData!I:I, NewEmisData!$A:$A, "Pickup", NewEmisData!$B:$B, $A62, NewEmisData!$C:$C, $H62, NewEmisData!$D:$D, BW$2), SUMIFS(NewEmisData!I:I, NewEmisData!$A:$A, "LDV", NewEmisData!$B:$B, $A62, NewEmisData!$C:$C, $H62, NewEmisData!$D:$D, BW$2))</f>
        <v>0.15182918417959501</v>
      </c>
      <c r="BX62" s="324">
        <f>$I62*IF($G62="Pickup", SUMIFS(NewEmisData!J:J, NewEmisData!$A:$A, "Pickup", NewEmisData!$B:$B, $A62, NewEmisData!$C:$C, $H62, NewEmisData!$D:$D, BX$2), SUMIFS(NewEmisData!J:J, NewEmisData!$A:$A, "LDV", NewEmisData!$B:$B, $A62, NewEmisData!$C:$C, $H62, NewEmisData!$D:$D, BX$2))</f>
        <v>0.12865137268893501</v>
      </c>
      <c r="BY62" s="324">
        <f>$I62*IF($G62="Pickup", SUMIFS(NewEmisData!K:K, NewEmisData!$A:$A, "Pickup", NewEmisData!$B:$B, $A62, NewEmisData!$C:$C, $H62, NewEmisData!$D:$D, BY$2), SUMIFS(NewEmisData!K:K, NewEmisData!$A:$A, "LDV", NewEmisData!$B:$B, $A62, NewEmisData!$C:$C, $H62, NewEmisData!$D:$D, BY$2))</f>
        <v>0.11591502454704899</v>
      </c>
      <c r="BZ62" s="324">
        <f>$I62*IF($G62="Pickup", SUMIFS(NewEmisData!L:L, NewEmisData!$A:$A, "Pickup", NewEmisData!$B:$B, $A62, NewEmisData!$C:$C, $H62, NewEmisData!$D:$D, BZ$2), SUMIFS(NewEmisData!L:L, NewEmisData!$A:$A, "LDV", NewEmisData!$B:$B, $A62, NewEmisData!$C:$C, $H62, NewEmisData!$D:$D, BZ$2))</f>
        <v>0.110951334785302</v>
      </c>
      <c r="CA62" s="324">
        <f>$I62*IF($G62="Pickup", SUMIFS(NewEmisData!M:M, NewEmisData!$A:$A, "Pickup", NewEmisData!$B:$B, $A62, NewEmisData!$C:$C, $H62, NewEmisData!$D:$D, CA$2), SUMIFS(NewEmisData!M:M, NewEmisData!$A:$A, "LDV", NewEmisData!$B:$B, $A62, NewEmisData!$C:$C, $H62, NewEmisData!$D:$D, CA$2))</f>
        <v>0.10699337260583799</v>
      </c>
      <c r="CB62" s="324">
        <f t="shared" si="11"/>
        <v>0.10699337260583799</v>
      </c>
      <c r="CC62" s="324">
        <f>$I62*IF($G62="Pickup", SUMIFS(NewEmisData!E:E, NewEmisData!$A:$A, "Pickup", NewEmisData!$B:$B, $A62, NewEmisData!$C:$C, $H62, NewEmisData!$D:$D, CC$2), SUMIFS(NewEmisData!E:E, NewEmisData!$A:$A, "LDV", NewEmisData!$B:$B, $A62, NewEmisData!$C:$C, $H62, NewEmisData!$D:$D, CC$2))</f>
        <v>5.1125583760404797E-2</v>
      </c>
      <c r="CD62" s="324">
        <f>$I62*IF($G62="Pickup", SUMIFS(NewEmisData!F:F, NewEmisData!$A:$A, "Pickup", NewEmisData!$B:$B, $A62, NewEmisData!$C:$C, $H62, NewEmisData!$D:$D, CD$2), SUMIFS(NewEmisData!F:F, NewEmisData!$A:$A, "LDV", NewEmisData!$B:$B, $A62, NewEmisData!$C:$C, $H62, NewEmisData!$D:$D, CD$2))</f>
        <v>3.7154393856404101E-2</v>
      </c>
      <c r="CE62" s="324">
        <f>$I62*IF($G62="Pickup", SUMIFS(NewEmisData!G:G, NewEmisData!$A:$A, "Pickup", NewEmisData!$B:$B, $A62, NewEmisData!$C:$C, $H62, NewEmisData!$D:$D, CE$2), SUMIFS(NewEmisData!G:G, NewEmisData!$A:$A, "LDV", NewEmisData!$B:$B, $A62, NewEmisData!$C:$C, $H62, NewEmisData!$D:$D, CE$2))</f>
        <v>2.8853651309577E-2</v>
      </c>
      <c r="CF62" s="324">
        <f>$I62*IF($G62="Pickup", SUMIFS(NewEmisData!H:H, NewEmisData!$A:$A, "Pickup", NewEmisData!$B:$B, $A62, NewEmisData!$C:$C, $H62, NewEmisData!$D:$D, CF$2), SUMIFS(NewEmisData!H:H, NewEmisData!$A:$A, "LDV", NewEmisData!$B:$B, $A62, NewEmisData!$C:$C, $H62, NewEmisData!$D:$D, CF$2))</f>
        <v>2.7537520644524499E-2</v>
      </c>
      <c r="CG62" s="324">
        <f>$I62*IF($G62="Pickup", SUMIFS(NewEmisData!I:I, NewEmisData!$A:$A, "Pickup", NewEmisData!$B:$B, $A62, NewEmisData!$C:$C, $H62, NewEmisData!$D:$D, CG$2), SUMIFS(NewEmisData!I:I, NewEmisData!$A:$A, "LDV", NewEmisData!$B:$B, $A62, NewEmisData!$C:$C, $H62, NewEmisData!$D:$D, CG$2))</f>
        <v>2.6666633761740999E-2</v>
      </c>
      <c r="CH62" s="324">
        <f>$I62*IF($G62="Pickup", SUMIFS(NewEmisData!J:J, NewEmisData!$A:$A, "Pickup", NewEmisData!$B:$B, $A62, NewEmisData!$C:$C, $H62, NewEmisData!$D:$D, CH$2), SUMIFS(NewEmisData!J:J, NewEmisData!$A:$A, "LDV", NewEmisData!$B:$B, $A62, NewEmisData!$C:$C, $H62, NewEmisData!$D:$D, CH$2))</f>
        <v>2.5980348711507999E-2</v>
      </c>
      <c r="CI62" s="324">
        <f>$I62*IF($G62="Pickup", SUMIFS(NewEmisData!K:K, NewEmisData!$A:$A, "Pickup", NewEmisData!$B:$B, $A62, NewEmisData!$C:$C, $H62, NewEmisData!$D:$D, CI$2), SUMIFS(NewEmisData!K:K, NewEmisData!$A:$A, "LDV", NewEmisData!$B:$B, $A62, NewEmisData!$C:$C, $H62, NewEmisData!$D:$D, CI$2))</f>
        <v>2.5978185303944301E-2</v>
      </c>
      <c r="CJ62" s="324">
        <f>$I62*IF($G62="Pickup", SUMIFS(NewEmisData!L:L, NewEmisData!$A:$A, "Pickup", NewEmisData!$B:$B, $A62, NewEmisData!$C:$C, $H62, NewEmisData!$D:$D, CJ$2), SUMIFS(NewEmisData!L:L, NewEmisData!$A:$A, "LDV", NewEmisData!$B:$B, $A62, NewEmisData!$C:$C, $H62, NewEmisData!$D:$D, CJ$2))</f>
        <v>2.5977588735828699E-2</v>
      </c>
      <c r="CK62" s="324">
        <f>$I62*IF($G62="Pickup", SUMIFS(NewEmisData!M:M, NewEmisData!$A:$A, "Pickup", NewEmisData!$B:$B, $A62, NewEmisData!$C:$C, $H62, NewEmisData!$D:$D, CK$2), SUMIFS(NewEmisData!M:M, NewEmisData!$A:$A, "LDV", NewEmisData!$B:$B, $A62, NewEmisData!$C:$C, $H62, NewEmisData!$D:$D, CK$2))</f>
        <v>2.5976994364069798E-2</v>
      </c>
      <c r="CL62" s="324">
        <f t="shared" si="12"/>
        <v>2.5976994364069798E-2</v>
      </c>
      <c r="CM62" s="324">
        <f>$I62*IF($G62="Pickup", SUMIFS(NewEmisData!E:E, NewEmisData!$A:$A, "Pickup", NewEmisData!$B:$B, $A62, NewEmisData!$C:$C, $H62, NewEmisData!$D:$D, CM$2), SUMIFS(NewEmisData!E:E, NewEmisData!$A:$A, "LDV", NewEmisData!$B:$B, $A62, NewEmisData!$C:$C, $H62, NewEmisData!$D:$D, CM$2))</f>
        <v>2.2752592498671498E-2</v>
      </c>
      <c r="CN62" s="324">
        <f>$I62*IF($G62="Pickup", SUMIFS(NewEmisData!F:F, NewEmisData!$A:$A, "Pickup", NewEmisData!$B:$B, $A62, NewEmisData!$C:$C, $H62, NewEmisData!$D:$D, CN$2), SUMIFS(NewEmisData!F:F, NewEmisData!$A:$A, "LDV", NewEmisData!$B:$B, $A62, NewEmisData!$C:$C, $H62, NewEmisData!$D:$D, CN$2))</f>
        <v>1.4156662086893E-2</v>
      </c>
      <c r="CO62" s="324">
        <f>$I62*IF($G62="Pickup", SUMIFS(NewEmisData!G:G, NewEmisData!$A:$A, "Pickup", NewEmisData!$B:$B, $A62, NewEmisData!$C:$C, $H62, NewEmisData!$D:$D, CO$2), SUMIFS(NewEmisData!G:G, NewEmisData!$A:$A, "LDV", NewEmisData!$B:$B, $A62, NewEmisData!$C:$C, $H62, NewEmisData!$D:$D, CO$2))</f>
        <v>9.29628541682684E-3</v>
      </c>
      <c r="CP62" s="324">
        <f>$I62*IF($G62="Pickup", SUMIFS(NewEmisData!H:H, NewEmisData!$A:$A, "Pickup", NewEmisData!$B:$B, $A62, NewEmisData!$C:$C, $H62, NewEmisData!$D:$D, CP$2), SUMIFS(NewEmisData!H:H, NewEmisData!$A:$A, "LDV", NewEmisData!$B:$B, $A62, NewEmisData!$C:$C, $H62, NewEmisData!$D:$D, CP$2))</f>
        <v>7.6962231490179996E-3</v>
      </c>
      <c r="CQ62" s="324">
        <f>$I62*IF($G62="Pickup", SUMIFS(NewEmisData!I:I, NewEmisData!$A:$A, "Pickup", NewEmisData!$B:$B, $A62, NewEmisData!$C:$C, $H62, NewEmisData!$D:$D, CQ$2), SUMIFS(NewEmisData!I:I, NewEmisData!$A:$A, "LDV", NewEmisData!$B:$B, $A62, NewEmisData!$C:$C, $H62, NewEmisData!$D:$D, CQ$2))</f>
        <v>6.9434858281499498E-3</v>
      </c>
      <c r="CR62" s="324">
        <f>$I62*IF($G62="Pickup", SUMIFS(NewEmisData!J:J, NewEmisData!$A:$A, "Pickup", NewEmisData!$B:$B, $A62, NewEmisData!$C:$C, $H62, NewEmisData!$D:$D, CR$2), SUMIFS(NewEmisData!J:J, NewEmisData!$A:$A, "LDV", NewEmisData!$B:$B, $A62, NewEmisData!$C:$C, $H62, NewEmisData!$D:$D, CR$2))</f>
        <v>6.6235501686008101E-3</v>
      </c>
      <c r="CS62" s="324">
        <f>$I62*IF($G62="Pickup", SUMIFS(NewEmisData!K:K, NewEmisData!$A:$A, "Pickup", NewEmisData!$B:$B, $A62, NewEmisData!$C:$C, $H62, NewEmisData!$D:$D, CS$2), SUMIFS(NewEmisData!K:K, NewEmisData!$A:$A, "LDV", NewEmisData!$B:$B, $A62, NewEmisData!$C:$C, $H62, NewEmisData!$D:$D, CS$2))</f>
        <v>6.5909545130035602E-3</v>
      </c>
      <c r="CT62" s="324">
        <f>$I62*IF($G62="Pickup", SUMIFS(NewEmisData!L:L, NewEmisData!$A:$A, "Pickup", NewEmisData!$B:$B, $A62, NewEmisData!$C:$C, $H62, NewEmisData!$D:$D, CT$2), SUMIFS(NewEmisData!L:L, NewEmisData!$A:$A, "LDV", NewEmisData!$B:$B, $A62, NewEmisData!$C:$C, $H62, NewEmisData!$D:$D, CT$2))</f>
        <v>6.5377802107072303E-3</v>
      </c>
      <c r="CU62" s="324">
        <f>$I62*IF($G62="Pickup", SUMIFS(NewEmisData!M:M, NewEmisData!$A:$A, "Pickup", NewEmisData!$B:$B, $A62, NewEmisData!$C:$C, $H62, NewEmisData!$D:$D, CU$2), SUMIFS(NewEmisData!M:M, NewEmisData!$A:$A, "LDV", NewEmisData!$B:$B, $A62, NewEmisData!$C:$C, $H62, NewEmisData!$D:$D, CU$2))</f>
        <v>6.5374275690386098E-3</v>
      </c>
      <c r="CV62" s="324">
        <f t="shared" si="13"/>
        <v>6.5374275690386098E-3</v>
      </c>
      <c r="CW62" s="324">
        <v>3.0448046675121709E-3</v>
      </c>
      <c r="CX62" s="324">
        <v>1.8865908720768221E-3</v>
      </c>
      <c r="CY62" s="324">
        <v>1.5570268485524494E-3</v>
      </c>
      <c r="CZ62" s="324">
        <v>1.2432183416122382E-3</v>
      </c>
      <c r="DA62" s="324">
        <v>9.252251866281976E-4</v>
      </c>
      <c r="DB62" s="324">
        <v>7.2309456596024934E-4</v>
      </c>
      <c r="DC62" s="324">
        <v>6.8940706870607876E-4</v>
      </c>
      <c r="DD62" s="324">
        <v>6.844148428615973E-4</v>
      </c>
      <c r="DE62" s="324">
        <v>6.8634617396886091E-4</v>
      </c>
      <c r="DF62" s="324">
        <v>6.8634617396886091E-4</v>
      </c>
      <c r="DG62" s="324">
        <f>$I62*IF($G62="Pickup", SUMIFS(NewEmisData!E:E, NewEmisData!$A:$A, "Pickup", NewEmisData!$B:$B, $A62, NewEmisData!$C:$C, $H62, NewEmisData!$D:$D, DG$2), SUMIFS(NewEmisData!E:E, NewEmisData!$A:$A, "LDV", NewEmisData!$B:$B, $A62, NewEmisData!$C:$C, $H62, NewEmisData!$D:$D, DG$2))</f>
        <v>0</v>
      </c>
      <c r="DH62" s="324">
        <f>$I62*IF($G62="Pickup", SUMIFS(NewEmisData!F:F, NewEmisData!$A:$A, "Pickup", NewEmisData!$B:$B, $A62, NewEmisData!$C:$C, $H62, NewEmisData!$D:$D, DH$2), SUMIFS(NewEmisData!F:F, NewEmisData!$A:$A, "LDV", NewEmisData!$B:$B, $A62, NewEmisData!$C:$C, $H62, NewEmisData!$D:$D, DH$2))</f>
        <v>0</v>
      </c>
      <c r="DI62" s="324">
        <f>$I62*IF($G62="Pickup", SUMIFS(NewEmisData!G:G, NewEmisData!$A:$A, "Pickup", NewEmisData!$B:$B, $A62, NewEmisData!$C:$C, $H62, NewEmisData!$D:$D, DI$2), SUMIFS(NewEmisData!G:G, NewEmisData!$A:$A, "LDV", NewEmisData!$B:$B, $A62, NewEmisData!$C:$C, $H62, NewEmisData!$D:$D, DI$2))</f>
        <v>0</v>
      </c>
      <c r="DJ62" s="324">
        <f>$I62*IF($G62="Pickup", SUMIFS(NewEmisData!H:H, NewEmisData!$A:$A, "Pickup", NewEmisData!$B:$B, $A62, NewEmisData!$C:$C, $H62, NewEmisData!$D:$D, DJ$2), SUMIFS(NewEmisData!H:H, NewEmisData!$A:$A, "LDV", NewEmisData!$B:$B, $A62, NewEmisData!$C:$C, $H62, NewEmisData!$D:$D, DJ$2))</f>
        <v>0</v>
      </c>
      <c r="DK62" s="324">
        <f>$I62*IF($G62="Pickup", SUMIFS(NewEmisData!I:I, NewEmisData!$A:$A, "Pickup", NewEmisData!$B:$B, $A62, NewEmisData!$C:$C, $H62, NewEmisData!$D:$D, DK$2), SUMIFS(NewEmisData!I:I, NewEmisData!$A:$A, "LDV", NewEmisData!$B:$B, $A62, NewEmisData!$C:$C, $H62, NewEmisData!$D:$D, DK$2))</f>
        <v>0</v>
      </c>
      <c r="DL62" s="324">
        <f>$I62*IF($G62="Pickup", SUMIFS(NewEmisData!J:J, NewEmisData!$A:$A, "Pickup", NewEmisData!$B:$B, $A62, NewEmisData!$C:$C, $H62, NewEmisData!$D:$D, DL$2), SUMIFS(NewEmisData!J:J, NewEmisData!$A:$A, "LDV", NewEmisData!$B:$B, $A62, NewEmisData!$C:$C, $H62, NewEmisData!$D:$D, DL$2))</f>
        <v>0</v>
      </c>
      <c r="DM62" s="324">
        <f>$I62*IF($G62="Pickup", SUMIFS(NewEmisData!K:K, NewEmisData!$A:$A, "Pickup", NewEmisData!$B:$B, $A62, NewEmisData!$C:$C, $H62, NewEmisData!$D:$D, DM$2), SUMIFS(NewEmisData!K:K, NewEmisData!$A:$A, "LDV", NewEmisData!$B:$B, $A62, NewEmisData!$C:$C, $H62, NewEmisData!$D:$D, DM$2))</f>
        <v>0</v>
      </c>
      <c r="DN62" s="324">
        <f>$I62*IF($G62="Pickup", SUMIFS(NewEmisData!L:L, NewEmisData!$A:$A, "Pickup", NewEmisData!$B:$B, $A62, NewEmisData!$C:$C, $H62, NewEmisData!$D:$D, DN$2), SUMIFS(NewEmisData!L:L, NewEmisData!$A:$A, "LDV", NewEmisData!$B:$B, $A62, NewEmisData!$C:$C, $H62, NewEmisData!$D:$D, DN$2))</f>
        <v>0</v>
      </c>
      <c r="DO62" s="324">
        <f>$I62*IF($G62="Pickup", SUMIFS(NewEmisData!M:M, NewEmisData!$A:$A, "Pickup", NewEmisData!$B:$B, $A62, NewEmisData!$C:$C, $H62, NewEmisData!$D:$D, DO$2), SUMIFS(NewEmisData!M:M, NewEmisData!$A:$A, "LDV", NewEmisData!$B:$B, $A62, NewEmisData!$C:$C, $H62, NewEmisData!$D:$D, DO$2))</f>
        <v>0</v>
      </c>
      <c r="DP62" s="324">
        <f t="shared" si="14"/>
        <v>0</v>
      </c>
      <c r="DQ62" s="324">
        <f>$I62*IF($G62="Pickup", SUMIFS(NewEmisData!E:E, NewEmisData!$A:$A, "Pickup", NewEmisData!$B:$B, $A62, NewEmisData!$C:$C, $H62, NewEmisData!$D:$D, DQ$2), SUMIFS(NewEmisData!E:E, NewEmisData!$A:$A, "LDV", NewEmisData!$B:$B, $A62, NewEmisData!$C:$C, $H62, NewEmisData!$D:$D, DQ$2))</f>
        <v>1.7231430999334701E-2</v>
      </c>
      <c r="DR62" s="324">
        <f>$I62*IF($G62="Pickup", SUMIFS(NewEmisData!F:F, NewEmisData!$A:$A, "Pickup", NewEmisData!$B:$B, $A62, NewEmisData!$C:$C, $H62, NewEmisData!$D:$D, DR$2), SUMIFS(NewEmisData!F:F, NewEmisData!$A:$A, "LDV", NewEmisData!$B:$B, $A62, NewEmisData!$C:$C, $H62, NewEmisData!$D:$D, DR$2))</f>
        <v>8.9963646277585099E-3</v>
      </c>
      <c r="DS62" s="324">
        <f>$I62*IF($G62="Pickup", SUMIFS(NewEmisData!G:G, NewEmisData!$A:$A, "Pickup", NewEmisData!$B:$B, $A62, NewEmisData!$C:$C, $H62, NewEmisData!$D:$D, DS$2), SUMIFS(NewEmisData!G:G, NewEmisData!$A:$A, "LDV", NewEmisData!$B:$B, $A62, NewEmisData!$C:$C, $H62, NewEmisData!$D:$D, DS$2))</f>
        <v>5.6961522615022698E-3</v>
      </c>
      <c r="DT62" s="324">
        <f>$I62*IF($G62="Pickup", SUMIFS(NewEmisData!H:H, NewEmisData!$A:$A, "Pickup", NewEmisData!$B:$B, $A62, NewEmisData!$C:$C, $H62, NewEmisData!$D:$D, DT$2), SUMIFS(NewEmisData!H:H, NewEmisData!$A:$A, "LDV", NewEmisData!$B:$B, $A62, NewEmisData!$C:$C, $H62, NewEmisData!$D:$D, DT$2))</f>
        <v>4.3151143502781096E-3</v>
      </c>
      <c r="DU62" s="324">
        <f>$I62*IF($G62="Pickup", SUMIFS(NewEmisData!I:I, NewEmisData!$A:$A, "Pickup", NewEmisData!$B:$B, $A62, NewEmisData!$C:$C, $H62, NewEmisData!$D:$D, DU$2), SUMIFS(NewEmisData!I:I, NewEmisData!$A:$A, "LDV", NewEmisData!$B:$B, $A62, NewEmisData!$C:$C, $H62, NewEmisData!$D:$D, DU$2))</f>
        <v>3.35028978849721E-3</v>
      </c>
      <c r="DV62" s="324">
        <f>$I62*IF($G62="Pickup", SUMIFS(NewEmisData!J:J, NewEmisData!$A:$A, "Pickup", NewEmisData!$B:$B, $A62, NewEmisData!$C:$C, $H62, NewEmisData!$D:$D, DV$2), SUMIFS(NewEmisData!J:J, NewEmisData!$A:$A, "LDV", NewEmisData!$B:$B, $A62, NewEmisData!$C:$C, $H62, NewEmisData!$D:$D, DV$2))</f>
        <v>2.9288858721300301E-3</v>
      </c>
      <c r="DW62" s="324">
        <f>$I62*IF($G62="Pickup", SUMIFS(NewEmisData!K:K, NewEmisData!$A:$A, "Pickup", NewEmisData!$B:$B, $A62, NewEmisData!$C:$C, $H62, NewEmisData!$D:$D, DW$2), SUMIFS(NewEmisData!K:K, NewEmisData!$A:$A, "LDV", NewEmisData!$B:$B, $A62, NewEmisData!$C:$C, $H62, NewEmisData!$D:$D, DW$2))</f>
        <v>2.6889748661232601E-3</v>
      </c>
      <c r="DX62" s="324">
        <f>$I62*IF($G62="Pickup", SUMIFS(NewEmisData!L:L, NewEmisData!$A:$A, "Pickup", NewEmisData!$B:$B, $A62, NewEmisData!$C:$C, $H62, NewEmisData!$D:$D, DX$2), SUMIFS(NewEmisData!L:L, NewEmisData!$A:$A, "LDV", NewEmisData!$B:$B, $A62, NewEmisData!$C:$C, $H62, NewEmisData!$D:$D, DX$2))</f>
        <v>2.6131014849391301E-3</v>
      </c>
      <c r="DY62" s="324">
        <f>$I62*IF($G62="Pickup", SUMIFS(NewEmisData!M:M, NewEmisData!$A:$A, "Pickup", NewEmisData!$B:$B, $A62, NewEmisData!$C:$C, $H62, NewEmisData!$D:$D, DY$2), SUMIFS(NewEmisData!M:M, NewEmisData!$A:$A, "LDV", NewEmisData!$B:$B, $A62, NewEmisData!$C:$C, $H62, NewEmisData!$D:$D, DY$2))</f>
        <v>2.5757099053792102E-3</v>
      </c>
      <c r="DZ62" s="324">
        <f t="shared" si="15"/>
        <v>2.5757099053792102E-3</v>
      </c>
      <c r="EA62" s="324">
        <f t="shared" si="16"/>
        <v>605.35194063093002</v>
      </c>
      <c r="EB62" s="324">
        <f t="shared" si="17"/>
        <v>575.43677827742204</v>
      </c>
      <c r="EC62" s="324">
        <f t="shared" si="18"/>
        <v>447.50306541281799</v>
      </c>
      <c r="ED62" s="324">
        <f t="shared" si="19"/>
        <v>380.32748601406797</v>
      </c>
      <c r="EE62" s="324">
        <f t="shared" si="20"/>
        <v>328.8508655947</v>
      </c>
      <c r="EF62" s="324">
        <f t="shared" si="21"/>
        <v>299.87343037562698</v>
      </c>
      <c r="EG62" s="324">
        <f t="shared" si="22"/>
        <v>286.96645721008798</v>
      </c>
      <c r="EH62" s="324">
        <f t="shared" si="23"/>
        <v>282.38592098475101</v>
      </c>
      <c r="EI62" s="324">
        <f t="shared" si="24"/>
        <v>280.69816184937503</v>
      </c>
      <c r="EJ62" s="324">
        <f t="shared" si="25"/>
        <v>280.69816184937503</v>
      </c>
      <c r="EK62" s="324">
        <f t="shared" si="26"/>
        <v>0.73999493628111201</v>
      </c>
      <c r="EL62" s="324">
        <f t="shared" si="27"/>
        <v>0.35335240075773999</v>
      </c>
      <c r="EM62" s="324">
        <f t="shared" si="28"/>
        <v>0.18897755292818599</v>
      </c>
      <c r="EN62" s="324">
        <f t="shared" si="29"/>
        <v>0.12218817840455801</v>
      </c>
      <c r="EO62" s="324">
        <f t="shared" si="30"/>
        <v>7.3060825114572805E-2</v>
      </c>
      <c r="EP62" s="324">
        <f t="shared" si="31"/>
        <v>5.3764321341730301E-2</v>
      </c>
      <c r="EQ62" s="324">
        <f t="shared" si="32"/>
        <v>4.5765873698397498E-2</v>
      </c>
      <c r="ER62" s="324">
        <f t="shared" si="33"/>
        <v>4.3548109073897001E-2</v>
      </c>
      <c r="ES62" s="324">
        <f t="shared" si="34"/>
        <v>4.24609775043936E-2</v>
      </c>
      <c r="ET62" s="324">
        <f t="shared" si="35"/>
        <v>4.24609775043936E-2</v>
      </c>
      <c r="EU62" s="324">
        <f t="shared" si="36"/>
        <v>1.04747160569124E-2</v>
      </c>
      <c r="EV62" s="324">
        <f t="shared" si="37"/>
        <v>9.9570764799691708E-3</v>
      </c>
      <c r="EW62" s="324">
        <f t="shared" si="38"/>
        <v>6.4196648888919499E-3</v>
      </c>
      <c r="EX62" s="324">
        <f t="shared" si="39"/>
        <v>5.45599526494426E-3</v>
      </c>
      <c r="EY62" s="324">
        <f t="shared" si="40"/>
        <v>4.7175365225731996E-3</v>
      </c>
      <c r="EZ62" s="324">
        <f t="shared" si="41"/>
        <v>4.3018391726363297E-3</v>
      </c>
      <c r="FA62" s="324">
        <f t="shared" si="42"/>
        <v>4.1166816404986702E-3</v>
      </c>
      <c r="FB62" s="324">
        <f t="shared" si="43"/>
        <v>4.0509726462172697E-3</v>
      </c>
      <c r="FC62" s="324">
        <f t="shared" si="44"/>
        <v>4.0267596573162799E-3</v>
      </c>
      <c r="FD62" s="324">
        <f t="shared" si="45"/>
        <v>4.0267596573162799E-3</v>
      </c>
      <c r="FE62" s="324">
        <f t="shared" si="46"/>
        <v>0.112529836649977</v>
      </c>
      <c r="FF62" s="324">
        <f t="shared" si="47"/>
        <v>0.103764807432247</v>
      </c>
      <c r="FG62" s="324">
        <f t="shared" si="48"/>
        <v>8.1904009889209095E-2</v>
      </c>
      <c r="FH62" s="324">
        <f t="shared" si="49"/>
        <v>8.0372811122020202E-2</v>
      </c>
      <c r="FI62" s="324">
        <f t="shared" si="50"/>
        <v>7.8826850839141593E-2</v>
      </c>
      <c r="FJ62" s="324">
        <f t="shared" si="51"/>
        <v>7.7629471627150906E-2</v>
      </c>
      <c r="FK62" s="324">
        <f t="shared" si="52"/>
        <v>7.6869255276324197E-2</v>
      </c>
      <c r="FL62" s="324">
        <f t="shared" si="53"/>
        <v>7.6489801218608905E-2</v>
      </c>
      <c r="FM62" s="324">
        <f t="shared" si="54"/>
        <v>7.6275890012832595E-2</v>
      </c>
      <c r="FN62" s="324">
        <f t="shared" si="55"/>
        <v>7.6275890012832595E-2</v>
      </c>
      <c r="FO62" s="324">
        <f t="shared" si="56"/>
        <v>2.93140110896879E-2</v>
      </c>
      <c r="FP62" s="324">
        <f t="shared" si="57"/>
        <v>2.15603319614842E-2</v>
      </c>
      <c r="FQ62" s="324">
        <f t="shared" si="58"/>
        <v>1.61359542510712E-2</v>
      </c>
      <c r="FR62" s="324">
        <f t="shared" si="59"/>
        <v>1.4781439172223E-2</v>
      </c>
      <c r="FS62" s="324">
        <f t="shared" si="60"/>
        <v>1.3413837806436801E-2</v>
      </c>
      <c r="FT62" s="324">
        <f t="shared" si="61"/>
        <v>1.2354573478352299E-2</v>
      </c>
      <c r="FU62" s="324">
        <f t="shared" si="62"/>
        <v>1.16820653404197E-2</v>
      </c>
      <c r="FV62" s="324">
        <f t="shared" si="63"/>
        <v>1.13463459698093E-2</v>
      </c>
      <c r="FW62" s="324">
        <f t="shared" si="64"/>
        <v>1.1157149268450401E-2</v>
      </c>
      <c r="FX62" s="324">
        <f t="shared" si="65"/>
        <v>1.1157149268450401E-2</v>
      </c>
    </row>
    <row r="63" spans="1:180" x14ac:dyDescent="0.2">
      <c r="A63" s="298" t="str">
        <f>_xlfn.CONCAT(IF(LEFT(TRIM(A62),1)="*", "*R", "R"), 1+RIGHT(TRIM(A62),1))</f>
        <v>*R5</v>
      </c>
      <c r="B63" s="298" t="str">
        <f t="shared" si="117"/>
        <v>TLECNGX</v>
      </c>
      <c r="C63" s="298" t="str">
        <f t="shared" si="118"/>
        <v>TL.CNGX.F.Existing fleet</v>
      </c>
      <c r="D63" s="294" t="str">
        <f t="shared" si="119"/>
        <v>bn-vmt, bn-vmt/a</v>
      </c>
      <c r="E63" s="294" t="str">
        <f t="shared" si="120"/>
        <v>TRNCNG</v>
      </c>
      <c r="F63" s="294" t="str">
        <f t="shared" si="121"/>
        <v>TL</v>
      </c>
      <c r="G63" s="294" t="s">
        <v>476</v>
      </c>
      <c r="H63" s="294" t="s">
        <v>474</v>
      </c>
      <c r="I63" s="294">
        <v>1</v>
      </c>
      <c r="J63" s="308" t="str">
        <f t="shared" si="101"/>
        <v>Full size car-GSL</v>
      </c>
      <c r="K63" s="324">
        <f>$I63*IF($G63="Pickup", SUMIFS(NewEmisData!E:E, NewEmisData!$A:$A, "Pickup", NewEmisData!$B:$B, $A63, NewEmisData!$C:$C, $H63, NewEmisData!$D:$D, K$2), SUMIFS(NewEmisData!E:E, NewEmisData!$A:$A, "LDV", NewEmisData!$B:$B, $A63, NewEmisData!$C:$C, $H63, NewEmisData!$D:$D, K$2))</f>
        <v>474.817101058422</v>
      </c>
      <c r="L63" s="324">
        <f>$I63*IF($G63="Pickup", SUMIFS(NewEmisData!F:F, NewEmisData!$A:$A, "Pickup", NewEmisData!$B:$B, $A63, NewEmisData!$C:$C, $H63, NewEmisData!$D:$D, L$2), SUMIFS(NewEmisData!F:F, NewEmisData!$A:$A, "LDV", NewEmisData!$B:$B, $A63, NewEmisData!$C:$C, $H63, NewEmisData!$D:$D, L$2))</f>
        <v>451.24703471572099</v>
      </c>
      <c r="M63" s="324">
        <f>$I63*IF($G63="Pickup", SUMIFS(NewEmisData!G:G, NewEmisData!$A:$A, "Pickup", NewEmisData!$B:$B, $A63, NewEmisData!$C:$C, $H63, NewEmisData!$D:$D, M$2), SUMIFS(NewEmisData!G:G, NewEmisData!$A:$A, "LDV", NewEmisData!$B:$B, $A63, NewEmisData!$C:$C, $H63, NewEmisData!$D:$D, M$2))</f>
        <v>359.55406391675598</v>
      </c>
      <c r="N63" s="324">
        <f>$I63*IF($G63="Pickup", SUMIFS(NewEmisData!H:H, NewEmisData!$A:$A, "Pickup", NewEmisData!$B:$B, $A63, NewEmisData!$C:$C, $H63, NewEmisData!$D:$D, N$2), SUMIFS(NewEmisData!H:H, NewEmisData!$A:$A, "LDV", NewEmisData!$B:$B, $A63, NewEmisData!$C:$C, $H63, NewEmisData!$D:$D, N$2))</f>
        <v>306.68867751853497</v>
      </c>
      <c r="O63" s="324">
        <f>$I63*IF($G63="Pickup", SUMIFS(NewEmisData!I:I, NewEmisData!$A:$A, "Pickup", NewEmisData!$B:$B, $A63, NewEmisData!$C:$C, $H63, NewEmisData!$D:$D, O$2), SUMIFS(NewEmisData!I:I, NewEmisData!$A:$A, "LDV", NewEmisData!$B:$B, $A63, NewEmisData!$C:$C, $H63, NewEmisData!$D:$D, O$2))</f>
        <v>266.05693149041099</v>
      </c>
      <c r="P63" s="324">
        <f>$I63*IF($G63="Pickup", SUMIFS(NewEmisData!J:J, NewEmisData!$A:$A, "Pickup", NewEmisData!$B:$B, $A63, NewEmisData!$C:$C, $H63, NewEmisData!$D:$D, P$2), SUMIFS(NewEmisData!J:J, NewEmisData!$A:$A, "LDV", NewEmisData!$B:$B, $A63, NewEmisData!$C:$C, $H63, NewEmisData!$D:$D, P$2))</f>
        <v>243.087176828883</v>
      </c>
      <c r="Q63" s="324">
        <f>$I63*IF($G63="Pickup", SUMIFS(NewEmisData!K:K, NewEmisData!$A:$A, "Pickup", NewEmisData!$B:$B, $A63, NewEmisData!$C:$C, $H63, NewEmisData!$D:$D, Q$2), SUMIFS(NewEmisData!K:K, NewEmisData!$A:$A, "LDV", NewEmisData!$B:$B, $A63, NewEmisData!$C:$C, $H63, NewEmisData!$D:$D, Q$2))</f>
        <v>232.82718030870799</v>
      </c>
      <c r="R63" s="324">
        <f>$I63*IF($G63="Pickup", SUMIFS(NewEmisData!L:L, NewEmisData!$A:$A, "Pickup", NewEmisData!$B:$B, $A63, NewEmisData!$C:$C, $H63, NewEmisData!$D:$D, R$2), SUMIFS(NewEmisData!L:L, NewEmisData!$A:$A, "LDV", NewEmisData!$B:$B, $A63, NewEmisData!$C:$C, $H63, NewEmisData!$D:$D, R$2))</f>
        <v>229.167353178653</v>
      </c>
      <c r="S63" s="324">
        <f>$I63*IF($G63="Pickup", SUMIFS(NewEmisData!M:M, NewEmisData!$A:$A, "Pickup", NewEmisData!$B:$B, $A63, NewEmisData!$C:$C, $H63, NewEmisData!$D:$D, S$2), SUMIFS(NewEmisData!M:M, NewEmisData!$A:$A, "LDV", NewEmisData!$B:$B, $A63, NewEmisData!$C:$C, $H63, NewEmisData!$D:$D, S$2))</f>
        <v>227.80956840287899</v>
      </c>
      <c r="T63" s="324">
        <f t="shared" si="5"/>
        <v>227.80956840287899</v>
      </c>
      <c r="U63" s="324">
        <f>$I63*IF($G63="Pickup", SUMIFS(NewEmisData!E:E, NewEmisData!$A:$A, "Pickup", NewEmisData!$B:$B, $A63, NewEmisData!$C:$C, $H63, NewEmisData!$D:$D, U$2), SUMIFS(NewEmisData!E:E, NewEmisData!$A:$A, "LDV", NewEmisData!$B:$B, $A63, NewEmisData!$C:$C, $H63, NewEmisData!$D:$D, U$2))</f>
        <v>0.70973077210402302</v>
      </c>
      <c r="V63" s="324">
        <f>$I63*IF($G63="Pickup", SUMIFS(NewEmisData!F:F, NewEmisData!$A:$A, "Pickup", NewEmisData!$B:$B, $A63, NewEmisData!$C:$C, $H63, NewEmisData!$D:$D, V$2), SUMIFS(NewEmisData!F:F, NewEmisData!$A:$A, "LDV", NewEmisData!$B:$B, $A63, NewEmisData!$C:$C, $H63, NewEmisData!$D:$D, V$2))</f>
        <v>0.32036907792622199</v>
      </c>
      <c r="W63" s="324">
        <f>$I63*IF($G63="Pickup", SUMIFS(NewEmisData!G:G, NewEmisData!$A:$A, "Pickup", NewEmisData!$B:$B, $A63, NewEmisData!$C:$C, $H63, NewEmisData!$D:$D, W$2), SUMIFS(NewEmisData!G:G, NewEmisData!$A:$A, "LDV", NewEmisData!$B:$B, $A63, NewEmisData!$C:$C, $H63, NewEmisData!$D:$D, W$2))</f>
        <v>0.23974719966536701</v>
      </c>
      <c r="X63" s="324">
        <f>$I63*IF($G63="Pickup", SUMIFS(NewEmisData!H:H, NewEmisData!$A:$A, "Pickup", NewEmisData!$B:$B, $A63, NewEmisData!$C:$C, $H63, NewEmisData!$D:$D, X$2), SUMIFS(NewEmisData!H:H, NewEmisData!$A:$A, "LDV", NewEmisData!$B:$B, $A63, NewEmisData!$C:$C, $H63, NewEmisData!$D:$D, X$2))</f>
        <v>0.160612501035788</v>
      </c>
      <c r="Y63" s="324">
        <f>$I63*IF($G63="Pickup", SUMIFS(NewEmisData!I:I, NewEmisData!$A:$A, "Pickup", NewEmisData!$B:$B, $A63, NewEmisData!$C:$C, $H63, NewEmisData!$D:$D, Y$2), SUMIFS(NewEmisData!I:I, NewEmisData!$A:$A, "LDV", NewEmisData!$B:$B, $A63, NewEmisData!$C:$C, $H63, NewEmisData!$D:$D, Y$2))</f>
        <v>0.10365613117262901</v>
      </c>
      <c r="Z63" s="324">
        <f>$I63*IF($G63="Pickup", SUMIFS(NewEmisData!J:J, NewEmisData!$A:$A, "Pickup", NewEmisData!$B:$B, $A63, NewEmisData!$C:$C, $H63, NewEmisData!$D:$D, Z$2), SUMIFS(NewEmisData!J:J, NewEmisData!$A:$A, "LDV", NewEmisData!$B:$B, $A63, NewEmisData!$C:$C, $H63, NewEmisData!$D:$D, Z$2))</f>
        <v>7.8799994555065797E-2</v>
      </c>
      <c r="AA63" s="324">
        <f>$I63*IF($G63="Pickup", SUMIFS(NewEmisData!K:K, NewEmisData!$A:$A, "Pickup", NewEmisData!$B:$B, $A63, NewEmisData!$C:$C, $H63, NewEmisData!$D:$D, AA$2), SUMIFS(NewEmisData!K:K, NewEmisData!$A:$A, "LDV", NewEmisData!$B:$B, $A63, NewEmisData!$C:$C, $H63, NewEmisData!$D:$D, AA$2))</f>
        <v>6.8646939612850705E-2</v>
      </c>
      <c r="AB63" s="324">
        <f>$I63*IF($G63="Pickup", SUMIFS(NewEmisData!L:L, NewEmisData!$A:$A, "Pickup", NewEmisData!$B:$B, $A63, NewEmisData!$C:$C, $H63, NewEmisData!$D:$D, AB$2), SUMIFS(NewEmisData!L:L, NewEmisData!$A:$A, "LDV", NewEmisData!$B:$B, $A63, NewEmisData!$C:$C, $H63, NewEmisData!$D:$D, AB$2))</f>
        <v>6.5824398729591893E-2</v>
      </c>
      <c r="AC63" s="324">
        <f>$I63*IF($G63="Pickup", SUMIFS(NewEmisData!M:M, NewEmisData!$A:$A, "Pickup", NewEmisData!$B:$B, $A63, NewEmisData!$C:$C, $H63, NewEmisData!$D:$D, AC$2), SUMIFS(NewEmisData!M:M, NewEmisData!$A:$A, "LDV", NewEmisData!$B:$B, $A63, NewEmisData!$C:$C, $H63, NewEmisData!$D:$D, AC$2))</f>
        <v>6.4340803704991095E-2</v>
      </c>
      <c r="AD63" s="324">
        <f t="shared" si="6"/>
        <v>6.4340803704991095E-2</v>
      </c>
      <c r="AE63" s="324">
        <f>$I63*IF($G63="Pickup", SUMIFS(NewEmisData!E:E, NewEmisData!$A:$A, "Pickup", NewEmisData!$B:$B, $A63, NewEmisData!$C:$C, $H63, NewEmisData!$D:$D, AE$2), SUMIFS(NewEmisData!E:E, NewEmisData!$A:$A, "LDV", NewEmisData!$B:$B, $A63, NewEmisData!$C:$C, $H63, NewEmisData!$D:$D, AE$2))</f>
        <v>8.2160020457903906E-3</v>
      </c>
      <c r="AF63" s="324">
        <f>$I63*IF($G63="Pickup", SUMIFS(NewEmisData!F:F, NewEmisData!$A:$A, "Pickup", NewEmisData!$B:$B, $A63, NewEmisData!$C:$C, $H63, NewEmisData!$D:$D, AF$2), SUMIFS(NewEmisData!F:F, NewEmisData!$A:$A, "LDV", NewEmisData!$B:$B, $A63, NewEmisData!$C:$C, $H63, NewEmisData!$D:$D, AF$2))</f>
        <v>7.80815598787189E-3</v>
      </c>
      <c r="AG63" s="324">
        <f>$I63*IF($G63="Pickup", SUMIFS(NewEmisData!G:G, NewEmisData!$A:$A, "Pickup", NewEmisData!$B:$B, $A63, NewEmisData!$C:$C, $H63, NewEmisData!$D:$D, AG$2), SUMIFS(NewEmisData!G:G, NewEmisData!$A:$A, "LDV", NewEmisData!$B:$B, $A63, NewEmisData!$C:$C, $H63, NewEmisData!$D:$D, AG$2))</f>
        <v>5.1579884513251097E-3</v>
      </c>
      <c r="AH63" s="324">
        <f>$I63*IF($G63="Pickup", SUMIFS(NewEmisData!H:H, NewEmisData!$A:$A, "Pickup", NewEmisData!$B:$B, $A63, NewEmisData!$C:$C, $H63, NewEmisData!$D:$D, AH$2), SUMIFS(NewEmisData!H:H, NewEmisData!$A:$A, "LDV", NewEmisData!$B:$B, $A63, NewEmisData!$C:$C, $H63, NewEmisData!$D:$D, AH$2))</f>
        <v>4.3996084263759998E-3</v>
      </c>
      <c r="AI63" s="324">
        <f>$I63*IF($G63="Pickup", SUMIFS(NewEmisData!I:I, NewEmisData!$A:$A, "Pickup", NewEmisData!$B:$B, $A63, NewEmisData!$C:$C, $H63, NewEmisData!$D:$D, AI$2), SUMIFS(NewEmisData!I:I, NewEmisData!$A:$A, "LDV", NewEmisData!$B:$B, $A63, NewEmisData!$C:$C, $H63, NewEmisData!$D:$D, AI$2))</f>
        <v>3.81672539575274E-3</v>
      </c>
      <c r="AJ63" s="324">
        <f>$I63*IF($G63="Pickup", SUMIFS(NewEmisData!J:J, NewEmisData!$A:$A, "Pickup", NewEmisData!$B:$B, $A63, NewEmisData!$C:$C, $H63, NewEmisData!$D:$D, AJ$2), SUMIFS(NewEmisData!J:J, NewEmisData!$A:$A, "LDV", NewEmisData!$B:$B, $A63, NewEmisData!$C:$C, $H63, NewEmisData!$D:$D, AJ$2))</f>
        <v>3.4872096414849999E-3</v>
      </c>
      <c r="AK63" s="324">
        <f>$I63*IF($G63="Pickup", SUMIFS(NewEmisData!K:K, NewEmisData!$A:$A, "Pickup", NewEmisData!$B:$B, $A63, NewEmisData!$C:$C, $H63, NewEmisData!$D:$D, AK$2), SUMIFS(NewEmisData!K:K, NewEmisData!$A:$A, "LDV", NewEmisData!$B:$B, $A63, NewEmisData!$C:$C, $H63, NewEmisData!$D:$D, AK$2))</f>
        <v>3.3400286224750798E-3</v>
      </c>
      <c r="AL63" s="324">
        <f>$I63*IF($G63="Pickup", SUMIFS(NewEmisData!L:L, NewEmisData!$A:$A, "Pickup", NewEmisData!$B:$B, $A63, NewEmisData!$C:$C, $H63, NewEmisData!$D:$D, AL$2), SUMIFS(NewEmisData!L:L, NewEmisData!$A:$A, "LDV", NewEmisData!$B:$B, $A63, NewEmisData!$C:$C, $H63, NewEmisData!$D:$D, AL$2))</f>
        <v>3.2875233288682799E-3</v>
      </c>
      <c r="AM63" s="324">
        <f>$I63*IF($G63="Pickup", SUMIFS(NewEmisData!M:M, NewEmisData!$A:$A, "Pickup", NewEmisData!$B:$B, $A63, NewEmisData!$C:$C, $H63, NewEmisData!$D:$D, AM$2), SUMIFS(NewEmisData!M:M, NewEmisData!$A:$A, "LDV", NewEmisData!$B:$B, $A63, NewEmisData!$C:$C, $H63, NewEmisData!$D:$D, AM$2))</f>
        <v>3.2680461258744399E-3</v>
      </c>
      <c r="AN63" s="324">
        <f t="shared" si="7"/>
        <v>3.2680461258744399E-3</v>
      </c>
      <c r="AO63" s="324">
        <f>$I63*IF($G63="Pickup", SUMIFS(NewEmisData!E:E, NewEmisData!$A:$A, "Pickup", NewEmisData!$B:$B, $A63, NewEmisData!$C:$C, $H63, NewEmisData!$D:$D, AO$2), SUMIFS(NewEmisData!E:E, NewEmisData!$A:$A, "LDV", NewEmisData!$B:$B, $A63, NewEmisData!$C:$C, $H63, NewEmisData!$D:$D, AO$2))</f>
        <v>7.6637268565666605E-2</v>
      </c>
      <c r="AP63" s="324">
        <f>$I63*IF($G63="Pickup", SUMIFS(NewEmisData!F:F, NewEmisData!$A:$A, "Pickup", NewEmisData!$B:$B, $A63, NewEmisData!$C:$C, $H63, NewEmisData!$D:$D, AP$2), SUMIFS(NewEmisData!F:F, NewEmisData!$A:$A, "LDV", NewEmisData!$B:$B, $A63, NewEmisData!$C:$C, $H63, NewEmisData!$D:$D, AP$2))</f>
        <v>7.17220347655846E-2</v>
      </c>
      <c r="AQ63" s="324">
        <f>$I63*IF($G63="Pickup", SUMIFS(NewEmisData!G:G, NewEmisData!$A:$A, "Pickup", NewEmisData!$B:$B, $A63, NewEmisData!$C:$C, $H63, NewEmisData!$D:$D, AQ$2), SUMIFS(NewEmisData!G:G, NewEmisData!$A:$A, "LDV", NewEmisData!$B:$B, $A63, NewEmisData!$C:$C, $H63, NewEmisData!$D:$D, AQ$2))</f>
        <v>5.3063354209187903E-2</v>
      </c>
      <c r="AR63" s="324">
        <f>$I63*IF($G63="Pickup", SUMIFS(NewEmisData!H:H, NewEmisData!$A:$A, "Pickup", NewEmisData!$B:$B, $A63, NewEmisData!$C:$C, $H63, NewEmisData!$D:$D, AR$2), SUMIFS(NewEmisData!H:H, NewEmisData!$A:$A, "LDV", NewEmisData!$B:$B, $A63, NewEmisData!$C:$C, $H63, NewEmisData!$D:$D, AR$2))</f>
        <v>5.1413159178765599E-2</v>
      </c>
      <c r="AS63" s="324">
        <f>$I63*IF($G63="Pickup", SUMIFS(NewEmisData!I:I, NewEmisData!$A:$A, "Pickup", NewEmisData!$B:$B, $A63, NewEmisData!$C:$C, $H63, NewEmisData!$D:$D, AS$2), SUMIFS(NewEmisData!I:I, NewEmisData!$A:$A, "LDV", NewEmisData!$B:$B, $A63, NewEmisData!$C:$C, $H63, NewEmisData!$D:$D, AS$2))</f>
        <v>4.9937748877796798E-2</v>
      </c>
      <c r="AT63" s="324">
        <f>$I63*IF($G63="Pickup", SUMIFS(NewEmisData!J:J, NewEmisData!$A:$A, "Pickup", NewEmisData!$B:$B, $A63, NewEmisData!$C:$C, $H63, NewEmisData!$D:$D, AT$2), SUMIFS(NewEmisData!J:J, NewEmisData!$A:$A, "LDV", NewEmisData!$B:$B, $A63, NewEmisData!$C:$C, $H63, NewEmisData!$D:$D, AT$2))</f>
        <v>4.8737436898882699E-2</v>
      </c>
      <c r="AU63" s="324">
        <f>$I63*IF($G63="Pickup", SUMIFS(NewEmisData!K:K, NewEmisData!$A:$A, "Pickup", NewEmisData!$B:$B, $A63, NewEmisData!$C:$C, $H63, NewEmisData!$D:$D, AU$2), SUMIFS(NewEmisData!K:K, NewEmisData!$A:$A, "LDV", NewEmisData!$B:$B, $A63, NewEmisData!$C:$C, $H63, NewEmisData!$D:$D, AU$2))</f>
        <v>4.7984590527250397E-2</v>
      </c>
      <c r="AV63" s="324">
        <f>$I63*IF($G63="Pickup", SUMIFS(NewEmisData!L:L, NewEmisData!$A:$A, "Pickup", NewEmisData!$B:$B, $A63, NewEmisData!$C:$C, $H63, NewEmisData!$D:$D, AV$2), SUMIFS(NewEmisData!L:L, NewEmisData!$A:$A, "LDV", NewEmisData!$B:$B, $A63, NewEmisData!$C:$C, $H63, NewEmisData!$D:$D, AV$2))</f>
        <v>4.76005320802948E-2</v>
      </c>
      <c r="AW63" s="324">
        <f>$I63*IF($G63="Pickup", SUMIFS(NewEmisData!M:M, NewEmisData!$A:$A, "Pickup", NewEmisData!$B:$B, $A63, NewEmisData!$C:$C, $H63, NewEmisData!$D:$D, AW$2), SUMIFS(NewEmisData!M:M, NewEmisData!$A:$A, "LDV", NewEmisData!$B:$B, $A63, NewEmisData!$C:$C, $H63, NewEmisData!$D:$D, AW$2))</f>
        <v>4.7377866603412998E-2</v>
      </c>
      <c r="AX63" s="324">
        <f t="shared" si="8"/>
        <v>4.7377866603412998E-2</v>
      </c>
      <c r="AY63" s="324">
        <f>$I63*IF($G63="Pickup", SUMIFS(NewEmisData!E:E, NewEmisData!$A:$A, "Pickup", NewEmisData!$B:$B, $A63, NewEmisData!$C:$C, $H63, NewEmisData!$D:$D, AY$2), SUMIFS(NewEmisData!E:E, NewEmisData!$A:$A, "LDV", NewEmisData!$B:$B, $A63, NewEmisData!$C:$C, $H63, NewEmisData!$D:$D, AY$2))</f>
        <v>1.9839679684136899E-2</v>
      </c>
      <c r="AZ63" s="324">
        <f>$I63*IF($G63="Pickup", SUMIFS(NewEmisData!F:F, NewEmisData!$A:$A, "Pickup", NewEmisData!$B:$B, $A63, NewEmisData!$C:$C, $H63, NewEmisData!$D:$D, AZ$2), SUMIFS(NewEmisData!F:F, NewEmisData!$A:$A, "LDV", NewEmisData!$B:$B, $A63, NewEmisData!$C:$C, $H63, NewEmisData!$D:$D, AZ$2))</f>
        <v>1.54915322396613E-2</v>
      </c>
      <c r="BA63" s="324">
        <f>$I63*IF($G63="Pickup", SUMIFS(NewEmisData!G:G, NewEmisData!$A:$A, "Pickup", NewEmisData!$B:$B, $A63, NewEmisData!$C:$C, $H63, NewEmisData!$D:$D, BA$2), SUMIFS(NewEmisData!G:G, NewEmisData!$A:$A, "LDV", NewEmisData!$B:$B, $A63, NewEmisData!$C:$C, $H63, NewEmisData!$D:$D, BA$2))</f>
        <v>1.24856485125612E-2</v>
      </c>
      <c r="BB63" s="324">
        <f>$I63*IF($G63="Pickup", SUMIFS(NewEmisData!H:H, NewEmisData!$A:$A, "Pickup", NewEmisData!$B:$B, $A63, NewEmisData!$C:$C, $H63, NewEmisData!$D:$D, BB$2), SUMIFS(NewEmisData!H:H, NewEmisData!$A:$A, "LDV", NewEmisData!$B:$B, $A63, NewEmisData!$C:$C, $H63, NewEmisData!$D:$D, BB$2))</f>
        <v>1.10258430769824E-2</v>
      </c>
      <c r="BC63" s="324">
        <f>$I63*IF($G63="Pickup", SUMIFS(NewEmisData!I:I, NewEmisData!$A:$A, "Pickup", NewEmisData!$B:$B, $A63, NewEmisData!$C:$C, $H63, NewEmisData!$D:$D, BC$2), SUMIFS(NewEmisData!I:I, NewEmisData!$A:$A, "LDV", NewEmisData!$B:$B, $A63, NewEmisData!$C:$C, $H63, NewEmisData!$D:$D, BC$2))</f>
        <v>9.7206839249302599E-3</v>
      </c>
      <c r="BD63" s="324">
        <f>$I63*IF($G63="Pickup", SUMIFS(NewEmisData!J:J, NewEmisData!$A:$A, "Pickup", NewEmisData!$B:$B, $A63, NewEmisData!$C:$C, $H63, NewEmisData!$D:$D, BD$2), SUMIFS(NewEmisData!J:J, NewEmisData!$A:$A, "LDV", NewEmisData!$B:$B, $A63, NewEmisData!$C:$C, $H63, NewEmisData!$D:$D, BD$2))</f>
        <v>8.6588886279032502E-3</v>
      </c>
      <c r="BE63" s="324">
        <f>$I63*IF($G63="Pickup", SUMIFS(NewEmisData!K:K, NewEmisData!$A:$A, "Pickup", NewEmisData!$B:$B, $A63, NewEmisData!$C:$C, $H63, NewEmisData!$D:$D, BE$2), SUMIFS(NewEmisData!K:K, NewEmisData!$A:$A, "LDV", NewEmisData!$B:$B, $A63, NewEmisData!$C:$C, $H63, NewEmisData!$D:$D, BE$2))</f>
        <v>7.9928948991222996E-3</v>
      </c>
      <c r="BF63" s="324">
        <f>$I63*IF($G63="Pickup", SUMIFS(NewEmisData!L:L, NewEmisData!$A:$A, "Pickup", NewEmisData!$B:$B, $A63, NewEmisData!$C:$C, $H63, NewEmisData!$D:$D, BF$2), SUMIFS(NewEmisData!L:L, NewEmisData!$A:$A, "LDV", NewEmisData!$B:$B, $A63, NewEmisData!$C:$C, $H63, NewEmisData!$D:$D, BF$2))</f>
        <v>7.65317007618625E-3</v>
      </c>
      <c r="BG63" s="324">
        <f>$I63*IF($G63="Pickup", SUMIFS(NewEmisData!M:M, NewEmisData!$A:$A, "Pickup", NewEmisData!$B:$B, $A63, NewEmisData!$C:$C, $H63, NewEmisData!$D:$D, BG$2), SUMIFS(NewEmisData!M:M, NewEmisData!$A:$A, "LDV", NewEmisData!$B:$B, $A63, NewEmisData!$C:$C, $H63, NewEmisData!$D:$D, BG$2))</f>
        <v>7.4561632981935697E-3</v>
      </c>
      <c r="BH63" s="324">
        <f t="shared" si="9"/>
        <v>7.4561632981935697E-3</v>
      </c>
      <c r="BI63" s="324">
        <f>$I63*IF($G63="Pickup", SUMIFS(NewEmisData!E:E, NewEmisData!$A:$A, "Pickup", NewEmisData!$B:$B, $A63, NewEmisData!$C:$C, $H63, NewEmisData!$D:$D, BI$2), SUMIFS(NewEmisData!E:E, NewEmisData!$A:$A, "LDV", NewEmisData!$B:$B, $A63, NewEmisData!$C:$C, $H63, NewEmisData!$D:$D, BI$2))</f>
        <v>6.4220034872518204</v>
      </c>
      <c r="BJ63" s="324">
        <f>$I63*IF($G63="Pickup", SUMIFS(NewEmisData!F:F, NewEmisData!$A:$A, "Pickup", NewEmisData!$B:$B, $A63, NewEmisData!$C:$C, $H63, NewEmisData!$D:$D, BJ$2), SUMIFS(NewEmisData!F:F, NewEmisData!$A:$A, "LDV", NewEmisData!$B:$B, $A63, NewEmisData!$C:$C, $H63, NewEmisData!$D:$D, BJ$2))</f>
        <v>3.8479800836345999</v>
      </c>
      <c r="BK63" s="324">
        <f>$I63*IF($G63="Pickup", SUMIFS(NewEmisData!G:G, NewEmisData!$A:$A, "Pickup", NewEmisData!$B:$B, $A63, NewEmisData!$C:$C, $H63, NewEmisData!$D:$D, BK$2), SUMIFS(NewEmisData!G:G, NewEmisData!$A:$A, "LDV", NewEmisData!$B:$B, $A63, NewEmisData!$C:$C, $H63, NewEmisData!$D:$D, BK$2))</f>
        <v>2.9970734916117499</v>
      </c>
      <c r="BL63" s="324">
        <f>$I63*IF($G63="Pickup", SUMIFS(NewEmisData!H:H, NewEmisData!$A:$A, "Pickup", NewEmisData!$B:$B, $A63, NewEmisData!$C:$C, $H63, NewEmisData!$D:$D, BL$2), SUMIFS(NewEmisData!H:H, NewEmisData!$A:$A, "LDV", NewEmisData!$B:$B, $A63, NewEmisData!$C:$C, $H63, NewEmisData!$D:$D, BL$2))</f>
        <v>2.36472323758924</v>
      </c>
      <c r="BM63" s="324">
        <f>$I63*IF($G63="Pickup", SUMIFS(NewEmisData!I:I, NewEmisData!$A:$A, "Pickup", NewEmisData!$B:$B, $A63, NewEmisData!$C:$C, $H63, NewEmisData!$D:$D, BM$2), SUMIFS(NewEmisData!I:I, NewEmisData!$A:$A, "LDV", NewEmisData!$B:$B, $A63, NewEmisData!$C:$C, $H63, NewEmisData!$D:$D, BM$2))</f>
        <v>1.7421472431707099</v>
      </c>
      <c r="BN63" s="324">
        <f>$I63*IF($G63="Pickup", SUMIFS(NewEmisData!J:J, NewEmisData!$A:$A, "Pickup", NewEmisData!$B:$B, $A63, NewEmisData!$C:$C, $H63, NewEmisData!$D:$D, BN$2), SUMIFS(NewEmisData!J:J, NewEmisData!$A:$A, "LDV", NewEmisData!$B:$B, $A63, NewEmisData!$C:$C, $H63, NewEmisData!$D:$D, BN$2))</f>
        <v>1.3931539503279999</v>
      </c>
      <c r="BO63" s="324">
        <f>$I63*IF($G63="Pickup", SUMIFS(NewEmisData!K:K, NewEmisData!$A:$A, "Pickup", NewEmisData!$B:$B, $A63, NewEmisData!$C:$C, $H63, NewEmisData!$D:$D, BO$2), SUMIFS(NewEmisData!K:K, NewEmisData!$A:$A, "LDV", NewEmisData!$B:$B, $A63, NewEmisData!$C:$C, $H63, NewEmisData!$D:$D, BO$2))</f>
        <v>1.2342051269933401</v>
      </c>
      <c r="BP63" s="324">
        <f>$I63*IF($G63="Pickup", SUMIFS(NewEmisData!L:L, NewEmisData!$A:$A, "Pickup", NewEmisData!$B:$B, $A63, NewEmisData!$C:$C, $H63, NewEmisData!$D:$D, BP$2), SUMIFS(NewEmisData!L:L, NewEmisData!$A:$A, "LDV", NewEmisData!$B:$B, $A63, NewEmisData!$C:$C, $H63, NewEmisData!$D:$D, BP$2))</f>
        <v>1.18127069132138</v>
      </c>
      <c r="BQ63" s="324">
        <f>$I63*IF($G63="Pickup", SUMIFS(NewEmisData!M:M, NewEmisData!$A:$A, "Pickup", NewEmisData!$B:$B, $A63, NewEmisData!$C:$C, $H63, NewEmisData!$D:$D, BQ$2), SUMIFS(NewEmisData!M:M, NewEmisData!$A:$A, "LDV", NewEmisData!$B:$B, $A63, NewEmisData!$C:$C, $H63, NewEmisData!$D:$D, BQ$2))</f>
        <v>1.1484293714755001</v>
      </c>
      <c r="BR63" s="324">
        <f t="shared" si="10"/>
        <v>1.1484293714755001</v>
      </c>
      <c r="BS63" s="324">
        <f>$I63*IF($G63="Pickup", SUMIFS(NewEmisData!E:E, NewEmisData!$A:$A, "Pickup", NewEmisData!$B:$B, $A63, NewEmisData!$C:$C, $H63, NewEmisData!$D:$D, BS$2), SUMIFS(NewEmisData!E:E, NewEmisData!$A:$A, "LDV", NewEmisData!$B:$B, $A63, NewEmisData!$C:$C, $H63, NewEmisData!$D:$D, BS$2))</f>
        <v>0.76625314114096599</v>
      </c>
      <c r="BT63" s="324">
        <f>$I63*IF($G63="Pickup", SUMIFS(NewEmisData!F:F, NewEmisData!$A:$A, "Pickup", NewEmisData!$B:$B, $A63, NewEmisData!$C:$C, $H63, NewEmisData!$D:$D, BT$2), SUMIFS(NewEmisData!F:F, NewEmisData!$A:$A, "LDV", NewEmisData!$B:$B, $A63, NewEmisData!$C:$C, $H63, NewEmisData!$D:$D, BT$2))</f>
        <v>0.42849019580384201</v>
      </c>
      <c r="BU63" s="324">
        <f>$I63*IF($G63="Pickup", SUMIFS(NewEmisData!G:G, NewEmisData!$A:$A, "Pickup", NewEmisData!$B:$B, $A63, NewEmisData!$C:$C, $H63, NewEmisData!$D:$D, BU$2), SUMIFS(NewEmisData!G:G, NewEmisData!$A:$A, "LDV", NewEmisData!$B:$B, $A63, NewEmisData!$C:$C, $H63, NewEmisData!$D:$D, BU$2))</f>
        <v>0.33923869580754101</v>
      </c>
      <c r="BV63" s="324">
        <f>$I63*IF($G63="Pickup", SUMIFS(NewEmisData!H:H, NewEmisData!$A:$A, "Pickup", NewEmisData!$B:$B, $A63, NewEmisData!$C:$C, $H63, NewEmisData!$D:$D, BV$2), SUMIFS(NewEmisData!H:H, NewEmisData!$A:$A, "LDV", NewEmisData!$B:$B, $A63, NewEmisData!$C:$C, $H63, NewEmisData!$D:$D, BV$2))</f>
        <v>0.274572609184357</v>
      </c>
      <c r="BW63" s="324">
        <f>$I63*IF($G63="Pickup", SUMIFS(NewEmisData!I:I, NewEmisData!$A:$A, "Pickup", NewEmisData!$B:$B, $A63, NewEmisData!$C:$C, $H63, NewEmisData!$D:$D, BW$2), SUMIFS(NewEmisData!I:I, NewEmisData!$A:$A, "LDV", NewEmisData!$B:$B, $A63, NewEmisData!$C:$C, $H63, NewEmisData!$D:$D, BW$2))</f>
        <v>0.20444446873760599</v>
      </c>
      <c r="BX63" s="324">
        <f>$I63*IF($G63="Pickup", SUMIFS(NewEmisData!J:J, NewEmisData!$A:$A, "Pickup", NewEmisData!$B:$B, $A63, NewEmisData!$C:$C, $H63, NewEmisData!$D:$D, BX$2), SUMIFS(NewEmisData!J:J, NewEmisData!$A:$A, "LDV", NewEmisData!$B:$B, $A63, NewEmisData!$C:$C, $H63, NewEmisData!$D:$D, BX$2))</f>
        <v>0.170176908378738</v>
      </c>
      <c r="BY63" s="324">
        <f>$I63*IF($G63="Pickup", SUMIFS(NewEmisData!K:K, NewEmisData!$A:$A, "Pickup", NewEmisData!$B:$B, $A63, NewEmisData!$C:$C, $H63, NewEmisData!$D:$D, BY$2), SUMIFS(NewEmisData!K:K, NewEmisData!$A:$A, "LDV", NewEmisData!$B:$B, $A63, NewEmisData!$C:$C, $H63, NewEmisData!$D:$D, BY$2))</f>
        <v>0.152045525981331</v>
      </c>
      <c r="BZ63" s="324">
        <f>$I63*IF($G63="Pickup", SUMIFS(NewEmisData!L:L, NewEmisData!$A:$A, "Pickup", NewEmisData!$B:$B, $A63, NewEmisData!$C:$C, $H63, NewEmisData!$D:$D, BZ$2), SUMIFS(NewEmisData!L:L, NewEmisData!$A:$A, "LDV", NewEmisData!$B:$B, $A63, NewEmisData!$C:$C, $H63, NewEmisData!$D:$D, BZ$2))</f>
        <v>0.14503696159912</v>
      </c>
      <c r="CA63" s="324">
        <f>$I63*IF($G63="Pickup", SUMIFS(NewEmisData!M:M, NewEmisData!$A:$A, "Pickup", NewEmisData!$B:$B, $A63, NewEmisData!$C:$C, $H63, NewEmisData!$D:$D, CA$2), SUMIFS(NewEmisData!M:M, NewEmisData!$A:$A, "LDV", NewEmisData!$B:$B, $A63, NewEmisData!$C:$C, $H63, NewEmisData!$D:$D, CA$2))</f>
        <v>0.139402683427791</v>
      </c>
      <c r="CB63" s="324">
        <f t="shared" si="11"/>
        <v>0.139402683427791</v>
      </c>
      <c r="CC63" s="324">
        <f>$I63*IF($G63="Pickup", SUMIFS(NewEmisData!E:E, NewEmisData!$A:$A, "Pickup", NewEmisData!$B:$B, $A63, NewEmisData!$C:$C, $H63, NewEmisData!$D:$D, CC$2), SUMIFS(NewEmisData!E:E, NewEmisData!$A:$A, "LDV", NewEmisData!$B:$B, $A63, NewEmisData!$C:$C, $H63, NewEmisData!$D:$D, CC$2))</f>
        <v>3.9065075142891502E-2</v>
      </c>
      <c r="CD63" s="324">
        <f>$I63*IF($G63="Pickup", SUMIFS(NewEmisData!F:F, NewEmisData!$A:$A, "Pickup", NewEmisData!$B:$B, $A63, NewEmisData!$C:$C, $H63, NewEmisData!$D:$D, CD$2), SUMIFS(NewEmisData!F:F, NewEmisData!$A:$A, "LDV", NewEmisData!$B:$B, $A63, NewEmisData!$C:$C, $H63, NewEmisData!$D:$D, CD$2))</f>
        <v>2.71884075109541E-2</v>
      </c>
      <c r="CE63" s="324">
        <f>$I63*IF($G63="Pickup", SUMIFS(NewEmisData!G:G, NewEmisData!$A:$A, "Pickup", NewEmisData!$B:$B, $A63, NewEmisData!$C:$C, $H63, NewEmisData!$D:$D, CE$2), SUMIFS(NewEmisData!G:G, NewEmisData!$A:$A, "LDV", NewEmisData!$B:$B, $A63, NewEmisData!$C:$C, $H63, NewEmisData!$D:$D, CE$2))</f>
        <v>2.35915905182916E-2</v>
      </c>
      <c r="CF63" s="324">
        <f>$I63*IF($G63="Pickup", SUMIFS(NewEmisData!H:H, NewEmisData!$A:$A, "Pickup", NewEmisData!$B:$B, $A63, NewEmisData!$C:$C, $H63, NewEmisData!$D:$D, CF$2), SUMIFS(NewEmisData!H:H, NewEmisData!$A:$A, "LDV", NewEmisData!$B:$B, $A63, NewEmisData!$C:$C, $H63, NewEmisData!$D:$D, CF$2))</f>
        <v>2.2519914122574401E-2</v>
      </c>
      <c r="CG63" s="324">
        <f>$I63*IF($G63="Pickup", SUMIFS(NewEmisData!I:I, NewEmisData!$A:$A, "Pickup", NewEmisData!$B:$B, $A63, NewEmisData!$C:$C, $H63, NewEmisData!$D:$D, CG$2), SUMIFS(NewEmisData!I:I, NewEmisData!$A:$A, "LDV", NewEmisData!$B:$B, $A63, NewEmisData!$C:$C, $H63, NewEmisData!$D:$D, CG$2))</f>
        <v>2.1807779866682201E-2</v>
      </c>
      <c r="CH63" s="324">
        <f>$I63*IF($G63="Pickup", SUMIFS(NewEmisData!J:J, NewEmisData!$A:$A, "Pickup", NewEmisData!$B:$B, $A63, NewEmisData!$C:$C, $H63, NewEmisData!$D:$D, CH$2), SUMIFS(NewEmisData!J:J, NewEmisData!$A:$A, "LDV", NewEmisData!$B:$B, $A63, NewEmisData!$C:$C, $H63, NewEmisData!$D:$D, CH$2))</f>
        <v>2.1246517083751901E-2</v>
      </c>
      <c r="CI63" s="324">
        <f>$I63*IF($G63="Pickup", SUMIFS(NewEmisData!K:K, NewEmisData!$A:$A, "Pickup", NewEmisData!$B:$B, $A63, NewEmisData!$C:$C, $H63, NewEmisData!$D:$D, CI$2), SUMIFS(NewEmisData!K:K, NewEmisData!$A:$A, "LDV", NewEmisData!$B:$B, $A63, NewEmisData!$C:$C, $H63, NewEmisData!$D:$D, CI$2))</f>
        <v>2.1244746441372499E-2</v>
      </c>
      <c r="CJ63" s="324">
        <f>$I63*IF($G63="Pickup", SUMIFS(NewEmisData!L:L, NewEmisData!$A:$A, "Pickup", NewEmisData!$B:$B, $A63, NewEmisData!$C:$C, $H63, NewEmisData!$D:$D, CJ$2), SUMIFS(NewEmisData!L:L, NewEmisData!$A:$A, "LDV", NewEmisData!$B:$B, $A63, NewEmisData!$C:$C, $H63, NewEmisData!$D:$D, CJ$2))</f>
        <v>2.1244238664552498E-2</v>
      </c>
      <c r="CK63" s="324">
        <f>$I63*IF($G63="Pickup", SUMIFS(NewEmisData!M:M, NewEmisData!$A:$A, "Pickup", NewEmisData!$B:$B, $A63, NewEmisData!$C:$C, $H63, NewEmisData!$D:$D, CK$2), SUMIFS(NewEmisData!M:M, NewEmisData!$A:$A, "LDV", NewEmisData!$B:$B, $A63, NewEmisData!$C:$C, $H63, NewEmisData!$D:$D, CK$2))</f>
        <v>2.1243800212783201E-2</v>
      </c>
      <c r="CL63" s="324">
        <f t="shared" si="12"/>
        <v>2.1243800212783201E-2</v>
      </c>
      <c r="CM63" s="324">
        <f>$I63*IF($G63="Pickup", SUMIFS(NewEmisData!E:E, NewEmisData!$A:$A, "Pickup", NewEmisData!$B:$B, $A63, NewEmisData!$C:$C, $H63, NewEmisData!$D:$D, CM$2), SUMIFS(NewEmisData!E:E, NewEmisData!$A:$A, "LDV", NewEmisData!$B:$B, $A63, NewEmisData!$C:$C, $H63, NewEmisData!$D:$D, CM$2))</f>
        <v>2.3400482606005499E-2</v>
      </c>
      <c r="CN63" s="324">
        <f>$I63*IF($G63="Pickup", SUMIFS(NewEmisData!F:F, NewEmisData!$A:$A, "Pickup", NewEmisData!$B:$B, $A63, NewEmisData!$C:$C, $H63, NewEmisData!$D:$D, CN$2), SUMIFS(NewEmisData!F:F, NewEmisData!$A:$A, "LDV", NewEmisData!$B:$B, $A63, NewEmisData!$C:$C, $H63, NewEmisData!$D:$D, CN$2))</f>
        <v>1.46264020139097E-2</v>
      </c>
      <c r="CO63" s="324">
        <f>$I63*IF($G63="Pickup", SUMIFS(NewEmisData!G:G, NewEmisData!$A:$A, "Pickup", NewEmisData!$B:$B, $A63, NewEmisData!$C:$C, $H63, NewEmisData!$D:$D, CO$2), SUMIFS(NewEmisData!G:G, NewEmisData!$A:$A, "LDV", NewEmisData!$B:$B, $A63, NewEmisData!$C:$C, $H63, NewEmisData!$D:$D, CO$2))</f>
        <v>1.17594755724597E-2</v>
      </c>
      <c r="CP63" s="324">
        <f>$I63*IF($G63="Pickup", SUMIFS(NewEmisData!H:H, NewEmisData!$A:$A, "Pickup", NewEmisData!$B:$B, $A63, NewEmisData!$C:$C, $H63, NewEmisData!$D:$D, CP$2), SUMIFS(NewEmisData!H:H, NewEmisData!$A:$A, "LDV", NewEmisData!$B:$B, $A63, NewEmisData!$C:$C, $H63, NewEmisData!$D:$D, CP$2))</f>
        <v>9.5913131178771704E-3</v>
      </c>
      <c r="CQ63" s="324">
        <f>$I63*IF($G63="Pickup", SUMIFS(NewEmisData!I:I, NewEmisData!$A:$A, "Pickup", NewEmisData!$B:$B, $A63, NewEmisData!$C:$C, $H63, NewEmisData!$D:$D, CQ$2), SUMIFS(NewEmisData!I:I, NewEmisData!$A:$A, "LDV", NewEmisData!$B:$B, $A63, NewEmisData!$C:$C, $H63, NewEmisData!$D:$D, CQ$2))</f>
        <v>8.49787062067325E-3</v>
      </c>
      <c r="CR63" s="324">
        <f>$I63*IF($G63="Pickup", SUMIFS(NewEmisData!J:J, NewEmisData!$A:$A, "Pickup", NewEmisData!$B:$B, $A63, NewEmisData!$C:$C, $H63, NewEmisData!$D:$D, CR$2), SUMIFS(NewEmisData!J:J, NewEmisData!$A:$A, "LDV", NewEmisData!$B:$B, $A63, NewEmisData!$C:$C, $H63, NewEmisData!$D:$D, CR$2))</f>
        <v>8.0109865110152001E-3</v>
      </c>
      <c r="CS63" s="324">
        <f>$I63*IF($G63="Pickup", SUMIFS(NewEmisData!K:K, NewEmisData!$A:$A, "Pickup", NewEmisData!$B:$B, $A63, NewEmisData!$C:$C, $H63, NewEmisData!$D:$D, CS$2), SUMIFS(NewEmisData!K:K, NewEmisData!$A:$A, "LDV", NewEmisData!$B:$B, $A63, NewEmisData!$C:$C, $H63, NewEmisData!$D:$D, CS$2))</f>
        <v>7.9536784391849198E-3</v>
      </c>
      <c r="CT63" s="324">
        <f>$I63*IF($G63="Pickup", SUMIFS(NewEmisData!L:L, NewEmisData!$A:$A, "Pickup", NewEmisData!$B:$B, $A63, NewEmisData!$C:$C, $H63, NewEmisData!$D:$D, CT$2), SUMIFS(NewEmisData!L:L, NewEmisData!$A:$A, "LDV", NewEmisData!$B:$B, $A63, NewEmisData!$C:$C, $H63, NewEmisData!$D:$D, CT$2))</f>
        <v>7.8603296078806496E-3</v>
      </c>
      <c r="CU63" s="324">
        <f>$I63*IF($G63="Pickup", SUMIFS(NewEmisData!M:M, NewEmisData!$A:$A, "Pickup", NewEmisData!$B:$B, $A63, NewEmisData!$C:$C, $H63, NewEmisData!$D:$D, CU$2), SUMIFS(NewEmisData!M:M, NewEmisData!$A:$A, "LDV", NewEmisData!$B:$B, $A63, NewEmisData!$C:$C, $H63, NewEmisData!$D:$D, CU$2))</f>
        <v>7.8597717488691193E-3</v>
      </c>
      <c r="CV63" s="324">
        <f t="shared" si="13"/>
        <v>7.8597717488691193E-3</v>
      </c>
      <c r="CW63" s="324">
        <v>3.0448046675121709E-3</v>
      </c>
      <c r="CX63" s="324">
        <v>1.8865908720768221E-3</v>
      </c>
      <c r="CY63" s="324">
        <v>1.5570268485524494E-3</v>
      </c>
      <c r="CZ63" s="324">
        <v>1.2432183416122382E-3</v>
      </c>
      <c r="DA63" s="324">
        <v>9.252251866281976E-4</v>
      </c>
      <c r="DB63" s="324">
        <v>7.2309456596024934E-4</v>
      </c>
      <c r="DC63" s="324">
        <v>6.8940706870607876E-4</v>
      </c>
      <c r="DD63" s="324">
        <v>6.844148428615973E-4</v>
      </c>
      <c r="DE63" s="324">
        <v>6.8634617396886091E-4</v>
      </c>
      <c r="DF63" s="324">
        <v>6.8634617396886091E-4</v>
      </c>
      <c r="DG63" s="324">
        <f>$I63*IF($G63="Pickup", SUMIFS(NewEmisData!E:E, NewEmisData!$A:$A, "Pickup", NewEmisData!$B:$B, $A63, NewEmisData!$C:$C, $H63, NewEmisData!$D:$D, DG$2), SUMIFS(NewEmisData!E:E, NewEmisData!$A:$A, "LDV", NewEmisData!$B:$B, $A63, NewEmisData!$C:$C, $H63, NewEmisData!$D:$D, DG$2))</f>
        <v>0</v>
      </c>
      <c r="DH63" s="324">
        <f>$I63*IF($G63="Pickup", SUMIFS(NewEmisData!F:F, NewEmisData!$A:$A, "Pickup", NewEmisData!$B:$B, $A63, NewEmisData!$C:$C, $H63, NewEmisData!$D:$D, DH$2), SUMIFS(NewEmisData!F:F, NewEmisData!$A:$A, "LDV", NewEmisData!$B:$B, $A63, NewEmisData!$C:$C, $H63, NewEmisData!$D:$D, DH$2))</f>
        <v>0</v>
      </c>
      <c r="DI63" s="324">
        <f>$I63*IF($G63="Pickup", SUMIFS(NewEmisData!G:G, NewEmisData!$A:$A, "Pickup", NewEmisData!$B:$B, $A63, NewEmisData!$C:$C, $H63, NewEmisData!$D:$D, DI$2), SUMIFS(NewEmisData!G:G, NewEmisData!$A:$A, "LDV", NewEmisData!$B:$B, $A63, NewEmisData!$C:$C, $H63, NewEmisData!$D:$D, DI$2))</f>
        <v>0</v>
      </c>
      <c r="DJ63" s="324">
        <f>$I63*IF($G63="Pickup", SUMIFS(NewEmisData!H:H, NewEmisData!$A:$A, "Pickup", NewEmisData!$B:$B, $A63, NewEmisData!$C:$C, $H63, NewEmisData!$D:$D, DJ$2), SUMIFS(NewEmisData!H:H, NewEmisData!$A:$A, "LDV", NewEmisData!$B:$B, $A63, NewEmisData!$C:$C, $H63, NewEmisData!$D:$D, DJ$2))</f>
        <v>0</v>
      </c>
      <c r="DK63" s="324">
        <f>$I63*IF($G63="Pickup", SUMIFS(NewEmisData!I:I, NewEmisData!$A:$A, "Pickup", NewEmisData!$B:$B, $A63, NewEmisData!$C:$C, $H63, NewEmisData!$D:$D, DK$2), SUMIFS(NewEmisData!I:I, NewEmisData!$A:$A, "LDV", NewEmisData!$B:$B, $A63, NewEmisData!$C:$C, $H63, NewEmisData!$D:$D, DK$2))</f>
        <v>0</v>
      </c>
      <c r="DL63" s="324">
        <f>$I63*IF($G63="Pickup", SUMIFS(NewEmisData!J:J, NewEmisData!$A:$A, "Pickup", NewEmisData!$B:$B, $A63, NewEmisData!$C:$C, $H63, NewEmisData!$D:$D, DL$2), SUMIFS(NewEmisData!J:J, NewEmisData!$A:$A, "LDV", NewEmisData!$B:$B, $A63, NewEmisData!$C:$C, $H63, NewEmisData!$D:$D, DL$2))</f>
        <v>0</v>
      </c>
      <c r="DM63" s="324">
        <f>$I63*IF($G63="Pickup", SUMIFS(NewEmisData!K:K, NewEmisData!$A:$A, "Pickup", NewEmisData!$B:$B, $A63, NewEmisData!$C:$C, $H63, NewEmisData!$D:$D, DM$2), SUMIFS(NewEmisData!K:K, NewEmisData!$A:$A, "LDV", NewEmisData!$B:$B, $A63, NewEmisData!$C:$C, $H63, NewEmisData!$D:$D, DM$2))</f>
        <v>0</v>
      </c>
      <c r="DN63" s="324">
        <f>$I63*IF($G63="Pickup", SUMIFS(NewEmisData!L:L, NewEmisData!$A:$A, "Pickup", NewEmisData!$B:$B, $A63, NewEmisData!$C:$C, $H63, NewEmisData!$D:$D, DN$2), SUMIFS(NewEmisData!L:L, NewEmisData!$A:$A, "LDV", NewEmisData!$B:$B, $A63, NewEmisData!$C:$C, $H63, NewEmisData!$D:$D, DN$2))</f>
        <v>0</v>
      </c>
      <c r="DO63" s="324">
        <f>$I63*IF($G63="Pickup", SUMIFS(NewEmisData!M:M, NewEmisData!$A:$A, "Pickup", NewEmisData!$B:$B, $A63, NewEmisData!$C:$C, $H63, NewEmisData!$D:$D, DO$2), SUMIFS(NewEmisData!M:M, NewEmisData!$A:$A, "LDV", NewEmisData!$B:$B, $A63, NewEmisData!$C:$C, $H63, NewEmisData!$D:$D, DO$2))</f>
        <v>0</v>
      </c>
      <c r="DP63" s="324">
        <f t="shared" si="14"/>
        <v>0</v>
      </c>
      <c r="DQ63" s="324">
        <f>$I63*IF($G63="Pickup", SUMIFS(NewEmisData!E:E, NewEmisData!$A:$A, "Pickup", NewEmisData!$B:$B, $A63, NewEmisData!$C:$C, $H63, NewEmisData!$D:$D, DQ$2), SUMIFS(NewEmisData!E:E, NewEmisData!$A:$A, "LDV", NewEmisData!$B:$B, $A63, NewEmisData!$C:$C, $H63, NewEmisData!$D:$D, DQ$2))</f>
        <v>1.5358627671248499E-2</v>
      </c>
      <c r="DR63" s="324">
        <f>$I63*IF($G63="Pickup", SUMIFS(NewEmisData!F:F, NewEmisData!$A:$A, "Pickup", NewEmisData!$B:$B, $A63, NewEmisData!$C:$C, $H63, NewEmisData!$D:$D, DR$2), SUMIFS(NewEmisData!F:F, NewEmisData!$A:$A, "LDV", NewEmisData!$B:$B, $A63, NewEmisData!$C:$C, $H63, NewEmisData!$D:$D, DR$2))</f>
        <v>9.2701502330196205E-3</v>
      </c>
      <c r="DS63" s="324">
        <f>$I63*IF($G63="Pickup", SUMIFS(NewEmisData!G:G, NewEmisData!$A:$A, "Pickup", NewEmisData!$B:$B, $A63, NewEmisData!$C:$C, $H63, NewEmisData!$D:$D, DS$2), SUMIFS(NewEmisData!G:G, NewEmisData!$A:$A, "LDV", NewEmisData!$B:$B, $A63, NewEmisData!$C:$C, $H63, NewEmisData!$D:$D, DS$2))</f>
        <v>7.3800443468092902E-3</v>
      </c>
      <c r="DT63" s="324">
        <f>$I63*IF($G63="Pickup", SUMIFS(NewEmisData!H:H, NewEmisData!$A:$A, "Pickup", NewEmisData!$B:$B, $A63, NewEmisData!$C:$C, $H63, NewEmisData!$D:$D, DT$2), SUMIFS(NewEmisData!H:H, NewEmisData!$A:$A, "LDV", NewEmisData!$B:$B, $A63, NewEmisData!$C:$C, $H63, NewEmisData!$D:$D, DT$2))</f>
        <v>5.7500359883598503E-3</v>
      </c>
      <c r="DU63" s="324">
        <f>$I63*IF($G63="Pickup", SUMIFS(NewEmisData!I:I, NewEmisData!$A:$A, "Pickup", NewEmisData!$B:$B, $A63, NewEmisData!$C:$C, $H63, NewEmisData!$D:$D, DU$2), SUMIFS(NewEmisData!I:I, NewEmisData!$A:$A, "LDV", NewEmisData!$B:$B, $A63, NewEmisData!$C:$C, $H63, NewEmisData!$D:$D, DU$2))</f>
        <v>4.5486358185720301E-3</v>
      </c>
      <c r="DV63" s="324">
        <f>$I63*IF($G63="Pickup", SUMIFS(NewEmisData!J:J, NewEmisData!$A:$A, "Pickup", NewEmisData!$B:$B, $A63, NewEmisData!$C:$C, $H63, NewEmisData!$D:$D, DV$2), SUMIFS(NewEmisData!J:J, NewEmisData!$A:$A, "LDV", NewEmisData!$B:$B, $A63, NewEmisData!$C:$C, $H63, NewEmisData!$D:$D, DV$2))</f>
        <v>3.9745008012961004E-3</v>
      </c>
      <c r="DW63" s="324">
        <f>$I63*IF($G63="Pickup", SUMIFS(NewEmisData!K:K, NewEmisData!$A:$A, "Pickup", NewEmisData!$B:$B, $A63, NewEmisData!$C:$C, $H63, NewEmisData!$D:$D, DW$2), SUMIFS(NewEmisData!K:K, NewEmisData!$A:$A, "LDV", NewEmisData!$B:$B, $A63, NewEmisData!$C:$C, $H63, NewEmisData!$D:$D, DW$2))</f>
        <v>3.6505775807205302E-3</v>
      </c>
      <c r="DX63" s="324">
        <f>$I63*IF($G63="Pickup", SUMIFS(NewEmisData!L:L, NewEmisData!$A:$A, "Pickup", NewEmisData!$B:$B, $A63, NewEmisData!$C:$C, $H63, NewEmisData!$D:$D, DX$2), SUMIFS(NewEmisData!L:L, NewEmisData!$A:$A, "LDV", NewEmisData!$B:$B, $A63, NewEmisData!$C:$C, $H63, NewEmisData!$D:$D, DX$2))</f>
        <v>3.5463484367939599E-3</v>
      </c>
      <c r="DY63" s="324">
        <f>$I63*IF($G63="Pickup", SUMIFS(NewEmisData!M:M, NewEmisData!$A:$A, "Pickup", NewEmisData!$B:$B, $A63, NewEmisData!$C:$C, $H63, NewEmisData!$D:$D, DY$2), SUMIFS(NewEmisData!M:M, NewEmisData!$A:$A, "LDV", NewEmisData!$B:$B, $A63, NewEmisData!$C:$C, $H63, NewEmisData!$D:$D, DY$2))</f>
        <v>3.4918759359810199E-3</v>
      </c>
      <c r="DZ63" s="324">
        <f t="shared" si="15"/>
        <v>3.4918759359810199E-3</v>
      </c>
      <c r="EA63" s="324">
        <f t="shared" si="16"/>
        <v>474.817101058422</v>
      </c>
      <c r="EB63" s="324">
        <f t="shared" si="17"/>
        <v>451.24703471572099</v>
      </c>
      <c r="EC63" s="324">
        <f t="shared" si="18"/>
        <v>359.55406391675598</v>
      </c>
      <c r="ED63" s="324">
        <f t="shared" si="19"/>
        <v>306.68867751853497</v>
      </c>
      <c r="EE63" s="324">
        <f t="shared" si="20"/>
        <v>266.05693149041099</v>
      </c>
      <c r="EF63" s="324">
        <f t="shared" si="21"/>
        <v>243.087176828883</v>
      </c>
      <c r="EG63" s="324">
        <f t="shared" si="22"/>
        <v>232.82718030870799</v>
      </c>
      <c r="EH63" s="324">
        <f t="shared" si="23"/>
        <v>229.167353178653</v>
      </c>
      <c r="EI63" s="324">
        <f t="shared" si="24"/>
        <v>227.80956840287899</v>
      </c>
      <c r="EJ63" s="324">
        <f t="shared" si="25"/>
        <v>227.80956840287899</v>
      </c>
      <c r="EK63" s="324">
        <f t="shared" si="26"/>
        <v>0.70973077210402302</v>
      </c>
      <c r="EL63" s="324">
        <f t="shared" si="27"/>
        <v>0.32036907792622199</v>
      </c>
      <c r="EM63" s="324">
        <f t="shared" si="28"/>
        <v>0.23974719966536701</v>
      </c>
      <c r="EN63" s="324">
        <f t="shared" si="29"/>
        <v>0.160612501035788</v>
      </c>
      <c r="EO63" s="324">
        <f t="shared" si="30"/>
        <v>0.10365613117262901</v>
      </c>
      <c r="EP63" s="324">
        <f t="shared" si="31"/>
        <v>7.8799994555065797E-2</v>
      </c>
      <c r="EQ63" s="324">
        <f t="shared" si="32"/>
        <v>6.8646939612850705E-2</v>
      </c>
      <c r="ER63" s="324">
        <f t="shared" si="33"/>
        <v>6.5824398729591893E-2</v>
      </c>
      <c r="ES63" s="324">
        <f t="shared" si="34"/>
        <v>6.4340803704991095E-2</v>
      </c>
      <c r="ET63" s="324">
        <f t="shared" si="35"/>
        <v>6.4340803704991095E-2</v>
      </c>
      <c r="EU63" s="324">
        <f t="shared" si="36"/>
        <v>8.2160020457903906E-3</v>
      </c>
      <c r="EV63" s="324">
        <f t="shared" si="37"/>
        <v>7.80815598787189E-3</v>
      </c>
      <c r="EW63" s="324">
        <f t="shared" si="38"/>
        <v>5.1579884513251097E-3</v>
      </c>
      <c r="EX63" s="324">
        <f t="shared" si="39"/>
        <v>4.3996084263759998E-3</v>
      </c>
      <c r="EY63" s="324">
        <f t="shared" si="40"/>
        <v>3.81672539575274E-3</v>
      </c>
      <c r="EZ63" s="324">
        <f t="shared" si="41"/>
        <v>3.4872096414849999E-3</v>
      </c>
      <c r="FA63" s="324">
        <f t="shared" si="42"/>
        <v>3.3400286224750798E-3</v>
      </c>
      <c r="FB63" s="324">
        <f t="shared" si="43"/>
        <v>3.2875233288682799E-3</v>
      </c>
      <c r="FC63" s="324">
        <f t="shared" si="44"/>
        <v>3.2680461258744399E-3</v>
      </c>
      <c r="FD63" s="324">
        <f t="shared" si="45"/>
        <v>3.2680461258744399E-3</v>
      </c>
      <c r="FE63" s="324">
        <f t="shared" si="46"/>
        <v>7.6637268565666605E-2</v>
      </c>
      <c r="FF63" s="324">
        <f t="shared" si="47"/>
        <v>7.17220347655846E-2</v>
      </c>
      <c r="FG63" s="324">
        <f t="shared" si="48"/>
        <v>5.3063354209187903E-2</v>
      </c>
      <c r="FH63" s="324">
        <f t="shared" si="49"/>
        <v>5.1413159178765599E-2</v>
      </c>
      <c r="FI63" s="324">
        <f t="shared" si="50"/>
        <v>4.9937748877796798E-2</v>
      </c>
      <c r="FJ63" s="324">
        <f t="shared" si="51"/>
        <v>4.8737436898882699E-2</v>
      </c>
      <c r="FK63" s="324">
        <f t="shared" si="52"/>
        <v>4.7984590527250397E-2</v>
      </c>
      <c r="FL63" s="324">
        <f t="shared" si="53"/>
        <v>4.76005320802948E-2</v>
      </c>
      <c r="FM63" s="324">
        <f t="shared" si="54"/>
        <v>4.7377866603412998E-2</v>
      </c>
      <c r="FN63" s="324">
        <f t="shared" si="55"/>
        <v>4.7377866603412998E-2</v>
      </c>
      <c r="FO63" s="324">
        <f t="shared" si="56"/>
        <v>1.9839679684136899E-2</v>
      </c>
      <c r="FP63" s="324">
        <f t="shared" si="57"/>
        <v>1.54915322396613E-2</v>
      </c>
      <c r="FQ63" s="324">
        <f t="shared" si="58"/>
        <v>1.24856485125612E-2</v>
      </c>
      <c r="FR63" s="324">
        <f t="shared" si="59"/>
        <v>1.10258430769824E-2</v>
      </c>
      <c r="FS63" s="324">
        <f t="shared" si="60"/>
        <v>9.7206839249302599E-3</v>
      </c>
      <c r="FT63" s="324">
        <f t="shared" si="61"/>
        <v>8.6588886279032502E-3</v>
      </c>
      <c r="FU63" s="324">
        <f t="shared" si="62"/>
        <v>7.9928948991222996E-3</v>
      </c>
      <c r="FV63" s="324">
        <f t="shared" si="63"/>
        <v>7.65317007618625E-3</v>
      </c>
      <c r="FW63" s="324">
        <f t="shared" si="64"/>
        <v>7.4561632981935697E-3</v>
      </c>
      <c r="FX63" s="324">
        <f t="shared" si="65"/>
        <v>7.4561632981935697E-3</v>
      </c>
    </row>
    <row r="64" spans="1:180" x14ac:dyDescent="0.2">
      <c r="A64" s="298" t="str">
        <f>_xlfn.CONCAT(IF(LEFT(TRIM(A63),1)="*", "*R", "R"), 1+RIGHT(TRIM(A63),1))</f>
        <v>*R6</v>
      </c>
      <c r="B64" s="298" t="str">
        <f t="shared" si="117"/>
        <v>TLECNGX</v>
      </c>
      <c r="C64" s="298" t="str">
        <f t="shared" si="118"/>
        <v>TL.CNGX.F.Existing fleet</v>
      </c>
      <c r="D64" s="294" t="str">
        <f t="shared" si="119"/>
        <v>bn-vmt, bn-vmt/a</v>
      </c>
      <c r="E64" s="294" t="str">
        <f t="shared" si="120"/>
        <v>TRNCNG</v>
      </c>
      <c r="F64" s="294" t="str">
        <f t="shared" si="121"/>
        <v>TL</v>
      </c>
      <c r="G64" s="294" t="s">
        <v>476</v>
      </c>
      <c r="H64" s="294" t="s">
        <v>474</v>
      </c>
      <c r="I64" s="294">
        <v>1</v>
      </c>
      <c r="J64" s="308" t="str">
        <f t="shared" si="101"/>
        <v>Full size car-GSL</v>
      </c>
      <c r="K64" s="324">
        <f>$I64*IF($G64="Pickup", SUMIFS(NewEmisData!E:E, NewEmisData!$A:$A, "Pickup", NewEmisData!$B:$B, $A64, NewEmisData!$C:$C, $H64, NewEmisData!$D:$D, K$2), SUMIFS(NewEmisData!E:E, NewEmisData!$A:$A, "LDV", NewEmisData!$B:$B, $A64, NewEmisData!$C:$C, $H64, NewEmisData!$D:$D, K$2))</f>
        <v>465.43339574540698</v>
      </c>
      <c r="L64" s="324">
        <f>$I64*IF($G64="Pickup", SUMIFS(NewEmisData!F:F, NewEmisData!$A:$A, "Pickup", NewEmisData!$B:$B, $A64, NewEmisData!$C:$C, $H64, NewEmisData!$D:$D, L$2), SUMIFS(NewEmisData!F:F, NewEmisData!$A:$A, "LDV", NewEmisData!$B:$B, $A64, NewEmisData!$C:$C, $H64, NewEmisData!$D:$D, L$2))</f>
        <v>447.45086858043499</v>
      </c>
      <c r="M64" s="324">
        <f>$I64*IF($G64="Pickup", SUMIFS(NewEmisData!G:G, NewEmisData!$A:$A, "Pickup", NewEmisData!$B:$B, $A64, NewEmisData!$C:$C, $H64, NewEmisData!$D:$D, M$2), SUMIFS(NewEmisData!G:G, NewEmisData!$A:$A, "LDV", NewEmisData!$B:$B, $A64, NewEmisData!$C:$C, $H64, NewEmisData!$D:$D, M$2))</f>
        <v>371.68579631799702</v>
      </c>
      <c r="N64" s="324">
        <f>$I64*IF($G64="Pickup", SUMIFS(NewEmisData!H:H, NewEmisData!$A:$A, "Pickup", NewEmisData!$B:$B, $A64, NewEmisData!$C:$C, $H64, NewEmisData!$D:$D, N$2), SUMIFS(NewEmisData!H:H, NewEmisData!$A:$A, "LDV", NewEmisData!$B:$B, $A64, NewEmisData!$C:$C, $H64, NewEmisData!$D:$D, N$2))</f>
        <v>316.68783468886801</v>
      </c>
      <c r="O64" s="324">
        <f>$I64*IF($G64="Pickup", SUMIFS(NewEmisData!I:I, NewEmisData!$A:$A, "Pickup", NewEmisData!$B:$B, $A64, NewEmisData!$C:$C, $H64, NewEmisData!$D:$D, O$2), SUMIFS(NewEmisData!I:I, NewEmisData!$A:$A, "LDV", NewEmisData!$B:$B, $A64, NewEmisData!$C:$C, $H64, NewEmisData!$D:$D, O$2))</f>
        <v>274.45359564691302</v>
      </c>
      <c r="P64" s="324">
        <f>$I64*IF($G64="Pickup", SUMIFS(NewEmisData!J:J, NewEmisData!$A:$A, "Pickup", NewEmisData!$B:$B, $A64, NewEmisData!$C:$C, $H64, NewEmisData!$D:$D, P$2), SUMIFS(NewEmisData!J:J, NewEmisData!$A:$A, "LDV", NewEmisData!$B:$B, $A64, NewEmisData!$C:$C, $H64, NewEmisData!$D:$D, P$2))</f>
        <v>250.610452801164</v>
      </c>
      <c r="Q64" s="324">
        <f>$I64*IF($G64="Pickup", SUMIFS(NewEmisData!K:K, NewEmisData!$A:$A, "Pickup", NewEmisData!$B:$B, $A64, NewEmisData!$C:$C, $H64, NewEmisData!$D:$D, Q$2), SUMIFS(NewEmisData!K:K, NewEmisData!$A:$A, "LDV", NewEmisData!$B:$B, $A64, NewEmisData!$C:$C, $H64, NewEmisData!$D:$D, Q$2))</f>
        <v>239.96929474207201</v>
      </c>
      <c r="R64" s="324">
        <f>$I64*IF($G64="Pickup", SUMIFS(NewEmisData!L:L, NewEmisData!$A:$A, "Pickup", NewEmisData!$B:$B, $A64, NewEmisData!$C:$C, $H64, NewEmisData!$D:$D, R$2), SUMIFS(NewEmisData!L:L, NewEmisData!$A:$A, "LDV", NewEmisData!$B:$B, $A64, NewEmisData!$C:$C, $H64, NewEmisData!$D:$D, R$2))</f>
        <v>236.17949059358199</v>
      </c>
      <c r="S64" s="324">
        <f>$I64*IF($G64="Pickup", SUMIFS(NewEmisData!M:M, NewEmisData!$A:$A, "Pickup", NewEmisData!$B:$B, $A64, NewEmisData!$C:$C, $H64, NewEmisData!$D:$D, S$2), SUMIFS(NewEmisData!M:M, NewEmisData!$A:$A, "LDV", NewEmisData!$B:$B, $A64, NewEmisData!$C:$C, $H64, NewEmisData!$D:$D, S$2))</f>
        <v>234.77621268414799</v>
      </c>
      <c r="T64" s="324">
        <f t="shared" si="5"/>
        <v>234.77621268414799</v>
      </c>
      <c r="U64" s="324">
        <f>$I64*IF($G64="Pickup", SUMIFS(NewEmisData!E:E, NewEmisData!$A:$A, "Pickup", NewEmisData!$B:$B, $A64, NewEmisData!$C:$C, $H64, NewEmisData!$D:$D, U$2), SUMIFS(NewEmisData!E:E, NewEmisData!$A:$A, "LDV", NewEmisData!$B:$B, $A64, NewEmisData!$C:$C, $H64, NewEmisData!$D:$D, U$2))</f>
        <v>0.76817370125590101</v>
      </c>
      <c r="V64" s="324">
        <f>$I64*IF($G64="Pickup", SUMIFS(NewEmisData!F:F, NewEmisData!$A:$A, "Pickup", NewEmisData!$B:$B, $A64, NewEmisData!$C:$C, $H64, NewEmisData!$D:$D, V$2), SUMIFS(NewEmisData!F:F, NewEmisData!$A:$A, "LDV", NewEmisData!$B:$B, $A64, NewEmisData!$C:$C, $H64, NewEmisData!$D:$D, V$2))</f>
        <v>0.34255400012381199</v>
      </c>
      <c r="W64" s="324">
        <f>$I64*IF($G64="Pickup", SUMIFS(NewEmisData!G:G, NewEmisData!$A:$A, "Pickup", NewEmisData!$B:$B, $A64, NewEmisData!$C:$C, $H64, NewEmisData!$D:$D, W$2), SUMIFS(NewEmisData!G:G, NewEmisData!$A:$A, "LDV", NewEmisData!$B:$B, $A64, NewEmisData!$C:$C, $H64, NewEmisData!$D:$D, W$2))</f>
        <v>0.22026197441968301</v>
      </c>
      <c r="X64" s="324">
        <f>$I64*IF($G64="Pickup", SUMIFS(NewEmisData!H:H, NewEmisData!$A:$A, "Pickup", NewEmisData!$B:$B, $A64, NewEmisData!$C:$C, $H64, NewEmisData!$D:$D, X$2), SUMIFS(NewEmisData!H:H, NewEmisData!$A:$A, "LDV", NewEmisData!$B:$B, $A64, NewEmisData!$C:$C, $H64, NewEmisData!$D:$D, X$2))</f>
        <v>0.146130223505477</v>
      </c>
      <c r="Y64" s="324">
        <f>$I64*IF($G64="Pickup", SUMIFS(NewEmisData!I:I, NewEmisData!$A:$A, "Pickup", NewEmisData!$B:$B, $A64, NewEmisData!$C:$C, $H64, NewEmisData!$D:$D, Y$2), SUMIFS(NewEmisData!I:I, NewEmisData!$A:$A, "LDV", NewEmisData!$B:$B, $A64, NewEmisData!$C:$C, $H64, NewEmisData!$D:$D, Y$2))</f>
        <v>9.25204446820201E-2</v>
      </c>
      <c r="Z64" s="324">
        <f>$I64*IF($G64="Pickup", SUMIFS(NewEmisData!J:J, NewEmisData!$A:$A, "Pickup", NewEmisData!$B:$B, $A64, NewEmisData!$C:$C, $H64, NewEmisData!$D:$D, Z$2), SUMIFS(NewEmisData!J:J, NewEmisData!$A:$A, "LDV", NewEmisData!$B:$B, $A64, NewEmisData!$C:$C, $H64, NewEmisData!$D:$D, Z$2))</f>
        <v>6.9646332093205393E-2</v>
      </c>
      <c r="AA64" s="324">
        <f>$I64*IF($G64="Pickup", SUMIFS(NewEmisData!K:K, NewEmisData!$A:$A, "Pickup", NewEmisData!$B:$B, $A64, NewEmisData!$C:$C, $H64, NewEmisData!$D:$D, AA$2), SUMIFS(NewEmisData!K:K, NewEmisData!$A:$A, "LDV", NewEmisData!$B:$B, $A64, NewEmisData!$C:$C, $H64, NewEmisData!$D:$D, AA$2))</f>
        <v>6.0285539426727999E-2</v>
      </c>
      <c r="AB64" s="324">
        <f>$I64*IF($G64="Pickup", SUMIFS(NewEmisData!L:L, NewEmisData!$A:$A, "Pickup", NewEmisData!$B:$B, $A64, NewEmisData!$C:$C, $H64, NewEmisData!$D:$D, AB$2), SUMIFS(NewEmisData!L:L, NewEmisData!$A:$A, "LDV", NewEmisData!$B:$B, $A64, NewEmisData!$C:$C, $H64, NewEmisData!$D:$D, AB$2))</f>
        <v>5.7685517085836899E-2</v>
      </c>
      <c r="AC64" s="324">
        <f>$I64*IF($G64="Pickup", SUMIFS(NewEmisData!M:M, NewEmisData!$A:$A, "Pickup", NewEmisData!$B:$B, $A64, NewEmisData!$C:$C, $H64, NewEmisData!$D:$D, AC$2), SUMIFS(NewEmisData!M:M, NewEmisData!$A:$A, "LDV", NewEmisData!$B:$B, $A64, NewEmisData!$C:$C, $H64, NewEmisData!$D:$D, AC$2))</f>
        <v>5.6336256806388998E-2</v>
      </c>
      <c r="AD64" s="324">
        <f t="shared" si="6"/>
        <v>5.6336256806388998E-2</v>
      </c>
      <c r="AE64" s="324">
        <f>$I64*IF($G64="Pickup", SUMIFS(NewEmisData!E:E, NewEmisData!$A:$A, "Pickup", NewEmisData!$B:$B, $A64, NewEmisData!$C:$C, $H64, NewEmisData!$D:$D, AE$2), SUMIFS(NewEmisData!E:E, NewEmisData!$A:$A, "LDV", NewEmisData!$B:$B, $A64, NewEmisData!$C:$C, $H64, NewEmisData!$D:$D, AE$2))</f>
        <v>8.0536316527093799E-3</v>
      </c>
      <c r="AF64" s="324">
        <f>$I64*IF($G64="Pickup", SUMIFS(NewEmisData!F:F, NewEmisData!$A:$A, "Pickup", NewEmisData!$B:$B, $A64, NewEmisData!$C:$C, $H64, NewEmisData!$D:$D, AF$2), SUMIFS(NewEmisData!F:F, NewEmisData!$A:$A, "LDV", NewEmisData!$B:$B, $A64, NewEmisData!$C:$C, $H64, NewEmisData!$D:$D, AF$2))</f>
        <v>7.7424694052717798E-3</v>
      </c>
      <c r="AG64" s="324">
        <f>$I64*IF($G64="Pickup", SUMIFS(NewEmisData!G:G, NewEmisData!$A:$A, "Pickup", NewEmisData!$B:$B, $A64, NewEmisData!$C:$C, $H64, NewEmisData!$D:$D, AG$2), SUMIFS(NewEmisData!G:G, NewEmisData!$A:$A, "LDV", NewEmisData!$B:$B, $A64, NewEmisData!$C:$C, $H64, NewEmisData!$D:$D, AG$2))</f>
        <v>5.3320257089092297E-3</v>
      </c>
      <c r="AH64" s="324">
        <f>$I64*IF($G64="Pickup", SUMIFS(NewEmisData!H:H, NewEmisData!$A:$A, "Pickup", NewEmisData!$B:$B, $A64, NewEmisData!$C:$C, $H64, NewEmisData!$D:$D, AH$2), SUMIFS(NewEmisData!H:H, NewEmisData!$A:$A, "LDV", NewEmisData!$B:$B, $A64, NewEmisData!$C:$C, $H64, NewEmisData!$D:$D, AH$2))</f>
        <v>4.5430510168157703E-3</v>
      </c>
      <c r="AI64" s="324">
        <f>$I64*IF($G64="Pickup", SUMIFS(NewEmisData!I:I, NewEmisData!$A:$A, "Pickup", NewEmisData!$B:$B, $A64, NewEmisData!$C:$C, $H64, NewEmisData!$D:$D, AI$2), SUMIFS(NewEmisData!I:I, NewEmisData!$A:$A, "LDV", NewEmisData!$B:$B, $A64, NewEmisData!$C:$C, $H64, NewEmisData!$D:$D, AI$2))</f>
        <v>3.9371785778053803E-3</v>
      </c>
      <c r="AJ64" s="324">
        <f>$I64*IF($G64="Pickup", SUMIFS(NewEmisData!J:J, NewEmisData!$A:$A, "Pickup", NewEmisData!$B:$B, $A64, NewEmisData!$C:$C, $H64, NewEmisData!$D:$D, AJ$2), SUMIFS(NewEmisData!J:J, NewEmisData!$A:$A, "LDV", NewEmisData!$B:$B, $A64, NewEmisData!$C:$C, $H64, NewEmisData!$D:$D, AJ$2))</f>
        <v>3.5951364530025401E-3</v>
      </c>
      <c r="AK64" s="324">
        <f>$I64*IF($G64="Pickup", SUMIFS(NewEmisData!K:K, NewEmisData!$A:$A, "Pickup", NewEmisData!$B:$B, $A64, NewEmisData!$C:$C, $H64, NewEmisData!$D:$D, AK$2), SUMIFS(NewEmisData!K:K, NewEmisData!$A:$A, "LDV", NewEmisData!$B:$B, $A64, NewEmisData!$C:$C, $H64, NewEmisData!$D:$D, AK$2))</f>
        <v>3.4424852382502098E-3</v>
      </c>
      <c r="AL64" s="324">
        <f>$I64*IF($G64="Pickup", SUMIFS(NewEmisData!L:L, NewEmisData!$A:$A, "Pickup", NewEmisData!$B:$B, $A64, NewEmisData!$C:$C, $H64, NewEmisData!$D:$D, AL$2), SUMIFS(NewEmisData!L:L, NewEmisData!$A:$A, "LDV", NewEmisData!$B:$B, $A64, NewEmisData!$C:$C, $H64, NewEmisData!$D:$D, AL$2))</f>
        <v>3.38811619026995E-3</v>
      </c>
      <c r="AM64" s="324">
        <f>$I64*IF($G64="Pickup", SUMIFS(NewEmisData!M:M, NewEmisData!$A:$A, "Pickup", NewEmisData!$B:$B, $A64, NewEmisData!$C:$C, $H64, NewEmisData!$D:$D, AM$2), SUMIFS(NewEmisData!M:M, NewEmisData!$A:$A, "LDV", NewEmisData!$B:$B, $A64, NewEmisData!$C:$C, $H64, NewEmisData!$D:$D, AM$2))</f>
        <v>3.36798790618778E-3</v>
      </c>
      <c r="AN64" s="324">
        <f t="shared" si="7"/>
        <v>3.36798790618778E-3</v>
      </c>
      <c r="AO64" s="324">
        <f>$I64*IF($G64="Pickup", SUMIFS(NewEmisData!E:E, NewEmisData!$A:$A, "Pickup", NewEmisData!$B:$B, $A64, NewEmisData!$C:$C, $H64, NewEmisData!$D:$D, AO$2), SUMIFS(NewEmisData!E:E, NewEmisData!$A:$A, "LDV", NewEmisData!$B:$B, $A64, NewEmisData!$C:$C, $H64, NewEmisData!$D:$D, AO$2))</f>
        <v>7.6317156939691294E-2</v>
      </c>
      <c r="AP64" s="324">
        <f>$I64*IF($G64="Pickup", SUMIFS(NewEmisData!F:F, NewEmisData!$A:$A, "Pickup", NewEmisData!$B:$B, $A64, NewEmisData!$C:$C, $H64, NewEmisData!$D:$D, AP$2), SUMIFS(NewEmisData!F:F, NewEmisData!$A:$A, "LDV", NewEmisData!$B:$B, $A64, NewEmisData!$C:$C, $H64, NewEmisData!$D:$D, AP$2))</f>
        <v>7.1544642944165196E-2</v>
      </c>
      <c r="AQ64" s="324">
        <f>$I64*IF($G64="Pickup", SUMIFS(NewEmisData!G:G, NewEmisData!$A:$A, "Pickup", NewEmisData!$B:$B, $A64, NewEmisData!$C:$C, $H64, NewEmisData!$D:$D, AQ$2), SUMIFS(NewEmisData!G:G, NewEmisData!$A:$A, "LDV", NewEmisData!$B:$B, $A64, NewEmisData!$C:$C, $H64, NewEmisData!$D:$D, AQ$2))</f>
        <v>5.8249743312617203E-2</v>
      </c>
      <c r="AR64" s="324">
        <f>$I64*IF($G64="Pickup", SUMIFS(NewEmisData!H:H, NewEmisData!$A:$A, "Pickup", NewEmisData!$B:$B, $A64, NewEmisData!$C:$C, $H64, NewEmisData!$D:$D, AR$2), SUMIFS(NewEmisData!H:H, NewEmisData!$A:$A, "LDV", NewEmisData!$B:$B, $A64, NewEmisData!$C:$C, $H64, NewEmisData!$D:$D, AR$2))</f>
        <v>5.6730049378736901E-2</v>
      </c>
      <c r="AS64" s="324">
        <f>$I64*IF($G64="Pickup", SUMIFS(NewEmisData!I:I, NewEmisData!$A:$A, "Pickup", NewEmisData!$B:$B, $A64, NewEmisData!$C:$C, $H64, NewEmisData!$D:$D, AS$2), SUMIFS(NewEmisData!I:I, NewEmisData!$A:$A, "LDV", NewEmisData!$B:$B, $A64, NewEmisData!$C:$C, $H64, NewEmisData!$D:$D, AS$2))</f>
        <v>5.5297861804990203E-2</v>
      </c>
      <c r="AT64" s="324">
        <f>$I64*IF($G64="Pickup", SUMIFS(NewEmisData!J:J, NewEmisData!$A:$A, "Pickup", NewEmisData!$B:$B, $A64, NewEmisData!$C:$C, $H64, NewEmisData!$D:$D, AT$2), SUMIFS(NewEmisData!J:J, NewEmisData!$A:$A, "LDV", NewEmisData!$B:$B, $A64, NewEmisData!$C:$C, $H64, NewEmisData!$D:$D, AT$2))</f>
        <v>5.4156352090813403E-2</v>
      </c>
      <c r="AU64" s="324">
        <f>$I64*IF($G64="Pickup", SUMIFS(NewEmisData!K:K, NewEmisData!$A:$A, "Pickup", NewEmisData!$B:$B, $A64, NewEmisData!$C:$C, $H64, NewEmisData!$D:$D, AU$2), SUMIFS(NewEmisData!K:K, NewEmisData!$A:$A, "LDV", NewEmisData!$B:$B, $A64, NewEmisData!$C:$C, $H64, NewEmisData!$D:$D, AU$2))</f>
        <v>5.3430662266944498E-2</v>
      </c>
      <c r="AV64" s="324">
        <f>$I64*IF($G64="Pickup", SUMIFS(NewEmisData!L:L, NewEmisData!$A:$A, "Pickup", NewEmisData!$B:$B, $A64, NewEmisData!$C:$C, $H64, NewEmisData!$D:$D, AV$2), SUMIFS(NewEmisData!L:L, NewEmisData!$A:$A, "LDV", NewEmisData!$B:$B, $A64, NewEmisData!$C:$C, $H64, NewEmisData!$D:$D, AV$2))</f>
        <v>5.3062743786751999E-2</v>
      </c>
      <c r="AW64" s="324">
        <f>$I64*IF($G64="Pickup", SUMIFS(NewEmisData!M:M, NewEmisData!$A:$A, "Pickup", NewEmisData!$B:$B, $A64, NewEmisData!$C:$C, $H64, NewEmisData!$D:$D, AW$2), SUMIFS(NewEmisData!M:M, NewEmisData!$A:$A, "LDV", NewEmisData!$B:$B, $A64, NewEmisData!$C:$C, $H64, NewEmisData!$D:$D, AW$2))</f>
        <v>5.2850768620488903E-2</v>
      </c>
      <c r="AX64" s="324">
        <f t="shared" si="8"/>
        <v>5.2850768620488903E-2</v>
      </c>
      <c r="AY64" s="324">
        <f>$I64*IF($G64="Pickup", SUMIFS(NewEmisData!E:E, NewEmisData!$A:$A, "Pickup", NewEmisData!$B:$B, $A64, NewEmisData!$C:$C, $H64, NewEmisData!$D:$D, AY$2), SUMIFS(NewEmisData!E:E, NewEmisData!$A:$A, "LDV", NewEmisData!$B:$B, $A64, NewEmisData!$C:$C, $H64, NewEmisData!$D:$D, AY$2))</f>
        <v>2.00368746679381E-2</v>
      </c>
      <c r="AZ64" s="324">
        <f>$I64*IF($G64="Pickup", SUMIFS(NewEmisData!F:F, NewEmisData!$A:$A, "Pickup", NewEmisData!$B:$B, $A64, NewEmisData!$C:$C, $H64, NewEmisData!$D:$D, AZ$2), SUMIFS(NewEmisData!F:F, NewEmisData!$A:$A, "LDV", NewEmisData!$B:$B, $A64, NewEmisData!$C:$C, $H64, NewEmisData!$D:$D, AZ$2))</f>
        <v>1.58149288879222E-2</v>
      </c>
      <c r="BA64" s="324">
        <f>$I64*IF($G64="Pickup", SUMIFS(NewEmisData!G:G, NewEmisData!$A:$A, "Pickup", NewEmisData!$B:$B, $A64, NewEmisData!$C:$C, $H64, NewEmisData!$D:$D, BA$2), SUMIFS(NewEmisData!G:G, NewEmisData!$A:$A, "LDV", NewEmisData!$B:$B, $A64, NewEmisData!$C:$C, $H64, NewEmisData!$D:$D, BA$2))</f>
        <v>1.2889012730210401E-2</v>
      </c>
      <c r="BB64" s="324">
        <f>$I64*IF($G64="Pickup", SUMIFS(NewEmisData!H:H, NewEmisData!$A:$A, "Pickup", NewEmisData!$B:$B, $A64, NewEmisData!$C:$C, $H64, NewEmisData!$D:$D, BB$2), SUMIFS(NewEmisData!H:H, NewEmisData!$A:$A, "LDV", NewEmisData!$B:$B, $A64, NewEmisData!$C:$C, $H64, NewEmisData!$D:$D, BB$2))</f>
        <v>1.1544674905883E-2</v>
      </c>
      <c r="BC64" s="324">
        <f>$I64*IF($G64="Pickup", SUMIFS(NewEmisData!I:I, NewEmisData!$A:$A, "Pickup", NewEmisData!$B:$B, $A64, NewEmisData!$C:$C, $H64, NewEmisData!$D:$D, BC$2), SUMIFS(NewEmisData!I:I, NewEmisData!$A:$A, "LDV", NewEmisData!$B:$B, $A64, NewEmisData!$C:$C, $H64, NewEmisData!$D:$D, BC$2))</f>
        <v>1.0277724336371899E-2</v>
      </c>
      <c r="BD64" s="324">
        <f>$I64*IF($G64="Pickup", SUMIFS(NewEmisData!J:J, NewEmisData!$A:$A, "Pickup", NewEmisData!$B:$B, $A64, NewEmisData!$C:$C, $H64, NewEmisData!$D:$D, BD$2), SUMIFS(NewEmisData!J:J, NewEmisData!$A:$A, "LDV", NewEmisData!$B:$B, $A64, NewEmisData!$C:$C, $H64, NewEmisData!$D:$D, BD$2))</f>
        <v>9.2679749278735592E-3</v>
      </c>
      <c r="BE64" s="324">
        <f>$I64*IF($G64="Pickup", SUMIFS(NewEmisData!K:K, NewEmisData!$A:$A, "Pickup", NewEmisData!$B:$B, $A64, NewEmisData!$C:$C, $H64, NewEmisData!$D:$D, BE$2), SUMIFS(NewEmisData!K:K, NewEmisData!$A:$A, "LDV", NewEmisData!$B:$B, $A64, NewEmisData!$C:$C, $H64, NewEmisData!$D:$D, BE$2))</f>
        <v>8.6259896432645099E-3</v>
      </c>
      <c r="BF64" s="324">
        <f>$I64*IF($G64="Pickup", SUMIFS(NewEmisData!L:L, NewEmisData!$A:$A, "Pickup", NewEmisData!$B:$B, $A64, NewEmisData!$C:$C, $H64, NewEmisData!$D:$D, BF$2), SUMIFS(NewEmisData!L:L, NewEmisData!$A:$A, "LDV", NewEmisData!$B:$B, $A64, NewEmisData!$C:$C, $H64, NewEmisData!$D:$D, BF$2))</f>
        <v>8.3004876330209296E-3</v>
      </c>
      <c r="BG64" s="324">
        <f>$I64*IF($G64="Pickup", SUMIFS(NewEmisData!M:M, NewEmisData!$A:$A, "Pickup", NewEmisData!$B:$B, $A64, NewEmisData!$C:$C, $H64, NewEmisData!$D:$D, BG$2), SUMIFS(NewEmisData!M:M, NewEmisData!$A:$A, "LDV", NewEmisData!$B:$B, $A64, NewEmisData!$C:$C, $H64, NewEmisData!$D:$D, BG$2))</f>
        <v>8.1129702157430005E-3</v>
      </c>
      <c r="BH64" s="324">
        <f t="shared" si="9"/>
        <v>8.1129702157430005E-3</v>
      </c>
      <c r="BI64" s="324">
        <f>$I64*IF($G64="Pickup", SUMIFS(NewEmisData!E:E, NewEmisData!$A:$A, "Pickup", NewEmisData!$B:$B, $A64, NewEmisData!$C:$C, $H64, NewEmisData!$D:$D, BI$2), SUMIFS(NewEmisData!E:E, NewEmisData!$A:$A, "LDV", NewEmisData!$B:$B, $A64, NewEmisData!$C:$C, $H64, NewEmisData!$D:$D, BI$2))</f>
        <v>6.1599528865440298</v>
      </c>
      <c r="BJ64" s="324">
        <f>$I64*IF($G64="Pickup", SUMIFS(NewEmisData!F:F, NewEmisData!$A:$A, "Pickup", NewEmisData!$B:$B, $A64, NewEmisData!$C:$C, $H64, NewEmisData!$D:$D, BJ$2), SUMIFS(NewEmisData!F:F, NewEmisData!$A:$A, "LDV", NewEmisData!$B:$B, $A64, NewEmisData!$C:$C, $H64, NewEmisData!$D:$D, BJ$2))</f>
        <v>3.7475170679561298</v>
      </c>
      <c r="BK64" s="324">
        <f>$I64*IF($G64="Pickup", SUMIFS(NewEmisData!G:G, NewEmisData!$A:$A, "Pickup", NewEmisData!$B:$B, $A64, NewEmisData!$C:$C, $H64, NewEmisData!$D:$D, BK$2), SUMIFS(NewEmisData!G:G, NewEmisData!$A:$A, "LDV", NewEmisData!$B:$B, $A64, NewEmisData!$C:$C, $H64, NewEmisData!$D:$D, BK$2))</f>
        <v>2.80366463620466</v>
      </c>
      <c r="BL64" s="324">
        <f>$I64*IF($G64="Pickup", SUMIFS(NewEmisData!H:H, NewEmisData!$A:$A, "Pickup", NewEmisData!$B:$B, $A64, NewEmisData!$C:$C, $H64, NewEmisData!$D:$D, BL$2), SUMIFS(NewEmisData!H:H, NewEmisData!$A:$A, "LDV", NewEmisData!$B:$B, $A64, NewEmisData!$C:$C, $H64, NewEmisData!$D:$D, BL$2))</f>
        <v>2.2038088113149099</v>
      </c>
      <c r="BM64" s="324">
        <f>$I64*IF($G64="Pickup", SUMIFS(NewEmisData!I:I, NewEmisData!$A:$A, "Pickup", NewEmisData!$B:$B, $A64, NewEmisData!$C:$C, $H64, NewEmisData!$D:$D, BM$2), SUMIFS(NewEmisData!I:I, NewEmisData!$A:$A, "LDV", NewEmisData!$B:$B, $A64, NewEmisData!$C:$C, $H64, NewEmisData!$D:$D, BM$2))</f>
        <v>1.6110244723417799</v>
      </c>
      <c r="BN64" s="324">
        <f>$I64*IF($G64="Pickup", SUMIFS(NewEmisData!J:J, NewEmisData!$A:$A, "Pickup", NewEmisData!$B:$B, $A64, NewEmisData!$C:$C, $H64, NewEmisData!$D:$D, BN$2), SUMIFS(NewEmisData!J:J, NewEmisData!$A:$A, "LDV", NewEmisData!$B:$B, $A64, NewEmisData!$C:$C, $H64, NewEmisData!$D:$D, BN$2))</f>
        <v>1.2813570878169001</v>
      </c>
      <c r="BO64" s="324">
        <f>$I64*IF($G64="Pickup", SUMIFS(NewEmisData!K:K, NewEmisData!$A:$A, "Pickup", NewEmisData!$B:$B, $A64, NewEmisData!$C:$C, $H64, NewEmisData!$D:$D, BO$2), SUMIFS(NewEmisData!K:K, NewEmisData!$A:$A, "LDV", NewEmisData!$B:$B, $A64, NewEmisData!$C:$C, $H64, NewEmisData!$D:$D, BO$2))</f>
        <v>1.1316455644238499</v>
      </c>
      <c r="BP64" s="324">
        <f>$I64*IF($G64="Pickup", SUMIFS(NewEmisData!L:L, NewEmisData!$A:$A, "Pickup", NewEmisData!$B:$B, $A64, NewEmisData!$C:$C, $H64, NewEmisData!$D:$D, BP$2), SUMIFS(NewEmisData!L:L, NewEmisData!$A:$A, "LDV", NewEmisData!$B:$B, $A64, NewEmisData!$C:$C, $H64, NewEmisData!$D:$D, BP$2))</f>
        <v>1.0822537615630099</v>
      </c>
      <c r="BQ64" s="324">
        <f>$I64*IF($G64="Pickup", SUMIFS(NewEmisData!M:M, NewEmisData!$A:$A, "Pickup", NewEmisData!$B:$B, $A64, NewEmisData!$C:$C, $H64, NewEmisData!$D:$D, BQ$2), SUMIFS(NewEmisData!M:M, NewEmisData!$A:$A, "LDV", NewEmisData!$B:$B, $A64, NewEmisData!$C:$C, $H64, NewEmisData!$D:$D, BQ$2))</f>
        <v>1.05143374218492</v>
      </c>
      <c r="BR64" s="324">
        <f t="shared" si="10"/>
        <v>1.05143374218492</v>
      </c>
      <c r="BS64" s="324">
        <f>$I64*IF($G64="Pickup", SUMIFS(NewEmisData!E:E, NewEmisData!$A:$A, "Pickup", NewEmisData!$B:$B, $A64, NewEmisData!$C:$C, $H64, NewEmisData!$D:$D, BS$2), SUMIFS(NewEmisData!E:E, NewEmisData!$A:$A, "LDV", NewEmisData!$B:$B, $A64, NewEmisData!$C:$C, $H64, NewEmisData!$D:$D, BS$2))</f>
        <v>0.72787250280402604</v>
      </c>
      <c r="BT64" s="324">
        <f>$I64*IF($G64="Pickup", SUMIFS(NewEmisData!F:F, NewEmisData!$A:$A, "Pickup", NewEmisData!$B:$B, $A64, NewEmisData!$C:$C, $H64, NewEmisData!$D:$D, BT$2), SUMIFS(NewEmisData!F:F, NewEmisData!$A:$A, "LDV", NewEmisData!$B:$B, $A64, NewEmisData!$C:$C, $H64, NewEmisData!$D:$D, BT$2))</f>
        <v>0.40987916241045302</v>
      </c>
      <c r="BU64" s="324">
        <f>$I64*IF($G64="Pickup", SUMIFS(NewEmisData!G:G, NewEmisData!$A:$A, "Pickup", NewEmisData!$B:$B, $A64, NewEmisData!$C:$C, $H64, NewEmisData!$D:$D, BU$2), SUMIFS(NewEmisData!G:G, NewEmisData!$A:$A, "LDV", NewEmisData!$B:$B, $A64, NewEmisData!$C:$C, $H64, NewEmisData!$D:$D, BU$2))</f>
        <v>0.30765788839279401</v>
      </c>
      <c r="BV64" s="324">
        <f>$I64*IF($G64="Pickup", SUMIFS(NewEmisData!H:H, NewEmisData!$A:$A, "Pickup", NewEmisData!$B:$B, $A64, NewEmisData!$C:$C, $H64, NewEmisData!$D:$D, BV$2), SUMIFS(NewEmisData!H:H, NewEmisData!$A:$A, "LDV", NewEmisData!$B:$B, $A64, NewEmisData!$C:$C, $H64, NewEmisData!$D:$D, BV$2))</f>
        <v>0.248891607461663</v>
      </c>
      <c r="BW64" s="324">
        <f>$I64*IF($G64="Pickup", SUMIFS(NewEmisData!I:I, NewEmisData!$A:$A, "Pickup", NewEmisData!$B:$B, $A64, NewEmisData!$C:$C, $H64, NewEmisData!$D:$D, BW$2), SUMIFS(NewEmisData!I:I, NewEmisData!$A:$A, "LDV", NewEmisData!$B:$B, $A64, NewEmisData!$C:$C, $H64, NewEmisData!$D:$D, BW$2))</f>
        <v>0.184861723618618</v>
      </c>
      <c r="BX64" s="324">
        <f>$I64*IF($G64="Pickup", SUMIFS(NewEmisData!J:J, NewEmisData!$A:$A, "Pickup", NewEmisData!$B:$B, $A64, NewEmisData!$C:$C, $H64, NewEmisData!$D:$D, BX$2), SUMIFS(NewEmisData!J:J, NewEmisData!$A:$A, "LDV", NewEmisData!$B:$B, $A64, NewEmisData!$C:$C, $H64, NewEmisData!$D:$D, BX$2))</f>
        <v>0.15433193284657201</v>
      </c>
      <c r="BY64" s="324">
        <f>$I64*IF($G64="Pickup", SUMIFS(NewEmisData!K:K, NewEmisData!$A:$A, "Pickup", NewEmisData!$B:$B, $A64, NewEmisData!$C:$C, $H64, NewEmisData!$D:$D, BY$2), SUMIFS(NewEmisData!K:K, NewEmisData!$A:$A, "LDV", NewEmisData!$B:$B, $A64, NewEmisData!$C:$C, $H64, NewEmisData!$D:$D, BY$2))</f>
        <v>0.138091436876464</v>
      </c>
      <c r="BZ64" s="324">
        <f>$I64*IF($G64="Pickup", SUMIFS(NewEmisData!L:L, NewEmisData!$A:$A, "Pickup", NewEmisData!$B:$B, $A64, NewEmisData!$C:$C, $H64, NewEmisData!$D:$D, BZ$2), SUMIFS(NewEmisData!L:L, NewEmisData!$A:$A, "LDV", NewEmisData!$B:$B, $A64, NewEmisData!$C:$C, $H64, NewEmisData!$D:$D, BZ$2))</f>
        <v>0.131790780313154</v>
      </c>
      <c r="CA64" s="324">
        <f>$I64*IF($G64="Pickup", SUMIFS(NewEmisData!M:M, NewEmisData!$A:$A, "Pickup", NewEmisData!$B:$B, $A64, NewEmisData!$C:$C, $H64, NewEmisData!$D:$D, CA$2), SUMIFS(NewEmisData!M:M, NewEmisData!$A:$A, "LDV", NewEmisData!$B:$B, $A64, NewEmisData!$C:$C, $H64, NewEmisData!$D:$D, CA$2))</f>
        <v>0.126731765091218</v>
      </c>
      <c r="CB64" s="324">
        <f t="shared" si="11"/>
        <v>0.126731765091218</v>
      </c>
      <c r="CC64" s="324">
        <f>$I64*IF($G64="Pickup", SUMIFS(NewEmisData!E:E, NewEmisData!$A:$A, "Pickup", NewEmisData!$B:$B, $A64, NewEmisData!$C:$C, $H64, NewEmisData!$D:$D, CC$2), SUMIFS(NewEmisData!E:E, NewEmisData!$A:$A, "LDV", NewEmisData!$B:$B, $A64, NewEmisData!$C:$C, $H64, NewEmisData!$D:$D, CC$2))</f>
        <v>4.3011353420759103E-2</v>
      </c>
      <c r="CD64" s="324">
        <f>$I64*IF($G64="Pickup", SUMIFS(NewEmisData!F:F, NewEmisData!$A:$A, "Pickup", NewEmisData!$B:$B, $A64, NewEmisData!$C:$C, $H64, NewEmisData!$D:$D, CD$2), SUMIFS(NewEmisData!F:F, NewEmisData!$A:$A, "LDV", NewEmisData!$B:$B, $A64, NewEmisData!$C:$C, $H64, NewEmisData!$D:$D, CD$2))</f>
        <v>2.94035814612091E-2</v>
      </c>
      <c r="CE64" s="324">
        <f>$I64*IF($G64="Pickup", SUMIFS(NewEmisData!G:G, NewEmisData!$A:$A, "Pickup", NewEmisData!$B:$B, $A64, NewEmisData!$C:$C, $H64, NewEmisData!$D:$D, CE$2), SUMIFS(NewEmisData!G:G, NewEmisData!$A:$A, "LDV", NewEmisData!$B:$B, $A64, NewEmisData!$C:$C, $H64, NewEmisData!$D:$D, CE$2))</f>
        <v>2.4328512322630801E-2</v>
      </c>
      <c r="CF64" s="324">
        <f>$I64*IF($G64="Pickup", SUMIFS(NewEmisData!H:H, NewEmisData!$A:$A, "Pickup", NewEmisData!$B:$B, $A64, NewEmisData!$C:$C, $H64, NewEmisData!$D:$D, CF$2), SUMIFS(NewEmisData!H:H, NewEmisData!$A:$A, "LDV", NewEmisData!$B:$B, $A64, NewEmisData!$C:$C, $H64, NewEmisData!$D:$D, CF$2))</f>
        <v>2.3221814353353801E-2</v>
      </c>
      <c r="CG64" s="324">
        <f>$I64*IF($G64="Pickup", SUMIFS(NewEmisData!I:I, NewEmisData!$A:$A, "Pickup", NewEmisData!$B:$B, $A64, NewEmisData!$C:$C, $H64, NewEmisData!$D:$D, CG$2), SUMIFS(NewEmisData!I:I, NewEmisData!$A:$A, "LDV", NewEmisData!$B:$B, $A64, NewEmisData!$C:$C, $H64, NewEmisData!$D:$D, CG$2))</f>
        <v>2.24852392313552E-2</v>
      </c>
      <c r="CH64" s="324">
        <f>$I64*IF($G64="Pickup", SUMIFS(NewEmisData!J:J, NewEmisData!$A:$A, "Pickup", NewEmisData!$B:$B, $A64, NewEmisData!$C:$C, $H64, NewEmisData!$D:$D, CH$2), SUMIFS(NewEmisData!J:J, NewEmisData!$A:$A, "LDV", NewEmisData!$B:$B, $A64, NewEmisData!$C:$C, $H64, NewEmisData!$D:$D, CH$2))</f>
        <v>2.1906542608859401E-2</v>
      </c>
      <c r="CI64" s="324">
        <f>$I64*IF($G64="Pickup", SUMIFS(NewEmisData!K:K, NewEmisData!$A:$A, "Pickup", NewEmisData!$B:$B, $A64, NewEmisData!$C:$C, $H64, NewEmisData!$D:$D, CI$2), SUMIFS(NewEmisData!K:K, NewEmisData!$A:$A, "LDV", NewEmisData!$B:$B, $A64, NewEmisData!$C:$C, $H64, NewEmisData!$D:$D, CI$2))</f>
        <v>2.1904736458690802E-2</v>
      </c>
      <c r="CJ64" s="324">
        <f>$I64*IF($G64="Pickup", SUMIFS(NewEmisData!L:L, NewEmisData!$A:$A, "Pickup", NewEmisData!$B:$B, $A64, NewEmisData!$C:$C, $H64, NewEmisData!$D:$D, CJ$2), SUMIFS(NewEmisData!L:L, NewEmisData!$A:$A, "LDV", NewEmisData!$B:$B, $A64, NewEmisData!$C:$C, $H64, NewEmisData!$D:$D, CJ$2))</f>
        <v>2.19042402298237E-2</v>
      </c>
      <c r="CK64" s="324">
        <f>$I64*IF($G64="Pickup", SUMIFS(NewEmisData!M:M, NewEmisData!$A:$A, "Pickup", NewEmisData!$B:$B, $A64, NewEmisData!$C:$C, $H64, NewEmisData!$D:$D, CK$2), SUMIFS(NewEmisData!M:M, NewEmisData!$A:$A, "LDV", NewEmisData!$B:$B, $A64, NewEmisData!$C:$C, $H64, NewEmisData!$D:$D, CK$2))</f>
        <v>2.1903771981857799E-2</v>
      </c>
      <c r="CL64" s="324">
        <f t="shared" si="12"/>
        <v>2.1903771981857799E-2</v>
      </c>
      <c r="CM64" s="324">
        <f>$I64*IF($G64="Pickup", SUMIFS(NewEmisData!E:E, NewEmisData!$A:$A, "Pickup", NewEmisData!$B:$B, $A64, NewEmisData!$C:$C, $H64, NewEmisData!$D:$D, CM$2), SUMIFS(NewEmisData!E:E, NewEmisData!$A:$A, "LDV", NewEmisData!$B:$B, $A64, NewEmisData!$C:$C, $H64, NewEmisData!$D:$D, CM$2))</f>
        <v>2.1906211645892699E-2</v>
      </c>
      <c r="CN64" s="324">
        <f>$I64*IF($G64="Pickup", SUMIFS(NewEmisData!F:F, NewEmisData!$A:$A, "Pickup", NewEmisData!$B:$B, $A64, NewEmisData!$C:$C, $H64, NewEmisData!$D:$D, CN$2), SUMIFS(NewEmisData!F:F, NewEmisData!$A:$A, "LDV", NewEmisData!$B:$B, $A64, NewEmisData!$C:$C, $H64, NewEmisData!$D:$D, CN$2))</f>
        <v>1.38171562279483E-2</v>
      </c>
      <c r="CO64" s="324">
        <f>$I64*IF($G64="Pickup", SUMIFS(NewEmisData!G:G, NewEmisData!$A:$A, "Pickup", NewEmisData!$B:$B, $A64, NewEmisData!$C:$C, $H64, NewEmisData!$D:$D, CO$2), SUMIFS(NewEmisData!G:G, NewEmisData!$A:$A, "LDV", NewEmisData!$B:$B, $A64, NewEmisData!$C:$C, $H64, NewEmisData!$D:$D, CO$2))</f>
        <v>1.08300618523644E-2</v>
      </c>
      <c r="CP64" s="324">
        <f>$I64*IF($G64="Pickup", SUMIFS(NewEmisData!H:H, NewEmisData!$A:$A, "Pickup", NewEmisData!$B:$B, $A64, NewEmisData!$C:$C, $H64, NewEmisData!$D:$D, CP$2), SUMIFS(NewEmisData!H:H, NewEmisData!$A:$A, "LDV", NewEmisData!$B:$B, $A64, NewEmisData!$C:$C, $H64, NewEmisData!$D:$D, CP$2))</f>
        <v>8.8590497727664592E-3</v>
      </c>
      <c r="CQ64" s="324">
        <f>$I64*IF($G64="Pickup", SUMIFS(NewEmisData!I:I, NewEmisData!$A:$A, "Pickup", NewEmisData!$B:$B, $A64, NewEmisData!$C:$C, $H64, NewEmisData!$D:$D, CQ$2), SUMIFS(NewEmisData!I:I, NewEmisData!$A:$A, "LDV", NewEmisData!$B:$B, $A64, NewEmisData!$C:$C, $H64, NewEmisData!$D:$D, CQ$2))</f>
        <v>7.8772882665567503E-3</v>
      </c>
      <c r="CR64" s="324">
        <f>$I64*IF($G64="Pickup", SUMIFS(NewEmisData!J:J, NewEmisData!$A:$A, "Pickup", NewEmisData!$B:$B, $A64, NewEmisData!$C:$C, $H64, NewEmisData!$D:$D, CR$2), SUMIFS(NewEmisData!J:J, NewEmisData!$A:$A, "LDV", NewEmisData!$B:$B, $A64, NewEmisData!$C:$C, $H64, NewEmisData!$D:$D, CR$2))</f>
        <v>7.4435823260364103E-3</v>
      </c>
      <c r="CS64" s="324">
        <f>$I64*IF($G64="Pickup", SUMIFS(NewEmisData!K:K, NewEmisData!$A:$A, "Pickup", NewEmisData!$B:$B, $A64, NewEmisData!$C:$C, $H64, NewEmisData!$D:$D, CS$2), SUMIFS(NewEmisData!K:K, NewEmisData!$A:$A, "LDV", NewEmisData!$B:$B, $A64, NewEmisData!$C:$C, $H64, NewEmisData!$D:$D, CS$2))</f>
        <v>7.3936885133113802E-3</v>
      </c>
      <c r="CT64" s="324">
        <f>$I64*IF($G64="Pickup", SUMIFS(NewEmisData!L:L, NewEmisData!$A:$A, "Pickup", NewEmisData!$B:$B, $A64, NewEmisData!$C:$C, $H64, NewEmisData!$D:$D, CT$2), SUMIFS(NewEmisData!L:L, NewEmisData!$A:$A, "LDV", NewEmisData!$B:$B, $A64, NewEmisData!$C:$C, $H64, NewEmisData!$D:$D, CT$2))</f>
        <v>7.3123849031120399E-3</v>
      </c>
      <c r="CU64" s="324">
        <f>$I64*IF($G64="Pickup", SUMIFS(NewEmisData!M:M, NewEmisData!$A:$A, "Pickup", NewEmisData!$B:$B, $A64, NewEmisData!$C:$C, $H64, NewEmisData!$D:$D, CU$2), SUMIFS(NewEmisData!M:M, NewEmisData!$A:$A, "LDV", NewEmisData!$B:$B, $A64, NewEmisData!$C:$C, $H64, NewEmisData!$D:$D, CU$2))</f>
        <v>7.31189121492953E-3</v>
      </c>
      <c r="CV64" s="324">
        <f t="shared" si="13"/>
        <v>7.31189121492953E-3</v>
      </c>
      <c r="CW64" s="324">
        <v>3.0448046675121709E-3</v>
      </c>
      <c r="CX64" s="324">
        <v>1.8865908720768221E-3</v>
      </c>
      <c r="CY64" s="324">
        <v>1.5570268485524494E-3</v>
      </c>
      <c r="CZ64" s="324">
        <v>1.2432183416122382E-3</v>
      </c>
      <c r="DA64" s="324">
        <v>9.252251866281976E-4</v>
      </c>
      <c r="DB64" s="324">
        <v>7.2309456596024934E-4</v>
      </c>
      <c r="DC64" s="324">
        <v>6.8940706870607876E-4</v>
      </c>
      <c r="DD64" s="324">
        <v>6.844148428615973E-4</v>
      </c>
      <c r="DE64" s="324">
        <v>6.8634617396886091E-4</v>
      </c>
      <c r="DF64" s="324">
        <v>6.8634617396886091E-4</v>
      </c>
      <c r="DG64" s="324">
        <f>$I64*IF($G64="Pickup", SUMIFS(NewEmisData!E:E, NewEmisData!$A:$A, "Pickup", NewEmisData!$B:$B, $A64, NewEmisData!$C:$C, $H64, NewEmisData!$D:$D, DG$2), SUMIFS(NewEmisData!E:E, NewEmisData!$A:$A, "LDV", NewEmisData!$B:$B, $A64, NewEmisData!$C:$C, $H64, NewEmisData!$D:$D, DG$2))</f>
        <v>0</v>
      </c>
      <c r="DH64" s="324">
        <f>$I64*IF($G64="Pickup", SUMIFS(NewEmisData!F:F, NewEmisData!$A:$A, "Pickup", NewEmisData!$B:$B, $A64, NewEmisData!$C:$C, $H64, NewEmisData!$D:$D, DH$2), SUMIFS(NewEmisData!F:F, NewEmisData!$A:$A, "LDV", NewEmisData!$B:$B, $A64, NewEmisData!$C:$C, $H64, NewEmisData!$D:$D, DH$2))</f>
        <v>0</v>
      </c>
      <c r="DI64" s="324">
        <f>$I64*IF($G64="Pickup", SUMIFS(NewEmisData!G:G, NewEmisData!$A:$A, "Pickup", NewEmisData!$B:$B, $A64, NewEmisData!$C:$C, $H64, NewEmisData!$D:$D, DI$2), SUMIFS(NewEmisData!G:G, NewEmisData!$A:$A, "LDV", NewEmisData!$B:$B, $A64, NewEmisData!$C:$C, $H64, NewEmisData!$D:$D, DI$2))</f>
        <v>0</v>
      </c>
      <c r="DJ64" s="324">
        <f>$I64*IF($G64="Pickup", SUMIFS(NewEmisData!H:H, NewEmisData!$A:$A, "Pickup", NewEmisData!$B:$B, $A64, NewEmisData!$C:$C, $H64, NewEmisData!$D:$D, DJ$2), SUMIFS(NewEmisData!H:H, NewEmisData!$A:$A, "LDV", NewEmisData!$B:$B, $A64, NewEmisData!$C:$C, $H64, NewEmisData!$D:$D, DJ$2))</f>
        <v>0</v>
      </c>
      <c r="DK64" s="324">
        <f>$I64*IF($G64="Pickup", SUMIFS(NewEmisData!I:I, NewEmisData!$A:$A, "Pickup", NewEmisData!$B:$B, $A64, NewEmisData!$C:$C, $H64, NewEmisData!$D:$D, DK$2), SUMIFS(NewEmisData!I:I, NewEmisData!$A:$A, "LDV", NewEmisData!$B:$B, $A64, NewEmisData!$C:$C, $H64, NewEmisData!$D:$D, DK$2))</f>
        <v>0</v>
      </c>
      <c r="DL64" s="324">
        <f>$I64*IF($G64="Pickup", SUMIFS(NewEmisData!J:J, NewEmisData!$A:$A, "Pickup", NewEmisData!$B:$B, $A64, NewEmisData!$C:$C, $H64, NewEmisData!$D:$D, DL$2), SUMIFS(NewEmisData!J:J, NewEmisData!$A:$A, "LDV", NewEmisData!$B:$B, $A64, NewEmisData!$C:$C, $H64, NewEmisData!$D:$D, DL$2))</f>
        <v>0</v>
      </c>
      <c r="DM64" s="324">
        <f>$I64*IF($G64="Pickup", SUMIFS(NewEmisData!K:K, NewEmisData!$A:$A, "Pickup", NewEmisData!$B:$B, $A64, NewEmisData!$C:$C, $H64, NewEmisData!$D:$D, DM$2), SUMIFS(NewEmisData!K:K, NewEmisData!$A:$A, "LDV", NewEmisData!$B:$B, $A64, NewEmisData!$C:$C, $H64, NewEmisData!$D:$D, DM$2))</f>
        <v>0</v>
      </c>
      <c r="DN64" s="324">
        <f>$I64*IF($G64="Pickup", SUMIFS(NewEmisData!L:L, NewEmisData!$A:$A, "Pickup", NewEmisData!$B:$B, $A64, NewEmisData!$C:$C, $H64, NewEmisData!$D:$D, DN$2), SUMIFS(NewEmisData!L:L, NewEmisData!$A:$A, "LDV", NewEmisData!$B:$B, $A64, NewEmisData!$C:$C, $H64, NewEmisData!$D:$D, DN$2))</f>
        <v>0</v>
      </c>
      <c r="DO64" s="324">
        <f>$I64*IF($G64="Pickup", SUMIFS(NewEmisData!M:M, NewEmisData!$A:$A, "Pickup", NewEmisData!$B:$B, $A64, NewEmisData!$C:$C, $H64, NewEmisData!$D:$D, DO$2), SUMIFS(NewEmisData!M:M, NewEmisData!$A:$A, "LDV", NewEmisData!$B:$B, $A64, NewEmisData!$C:$C, $H64, NewEmisData!$D:$D, DO$2))</f>
        <v>0</v>
      </c>
      <c r="DP64" s="324">
        <f t="shared" si="14"/>
        <v>0</v>
      </c>
      <c r="DQ64" s="324">
        <f>$I64*IF($G64="Pickup", SUMIFS(NewEmisData!E:E, NewEmisData!$A:$A, "Pickup", NewEmisData!$B:$B, $A64, NewEmisData!$C:$C, $H64, NewEmisData!$D:$D, DQ$2), SUMIFS(NewEmisData!E:E, NewEmisData!$A:$A, "LDV", NewEmisData!$B:$B, $A64, NewEmisData!$C:$C, $H64, NewEmisData!$D:$D, DQ$2))</f>
        <v>1.45246052556386E-2</v>
      </c>
      <c r="DR64" s="324">
        <f>$I64*IF($G64="Pickup", SUMIFS(NewEmisData!F:F, NewEmisData!$A:$A, "Pickup", NewEmisData!$B:$B, $A64, NewEmisData!$C:$C, $H64, NewEmisData!$D:$D, DR$2), SUMIFS(NewEmisData!F:F, NewEmisData!$A:$A, "LDV", NewEmisData!$B:$B, $A64, NewEmisData!$C:$C, $H64, NewEmisData!$D:$D, DR$2))</f>
        <v>8.5576317868897907E-3</v>
      </c>
      <c r="DS64" s="324">
        <f>$I64*IF($G64="Pickup", SUMIFS(NewEmisData!G:G, NewEmisData!$A:$A, "Pickup", NewEmisData!$B:$B, $A64, NewEmisData!$C:$C, $H64, NewEmisData!$D:$D, DS$2), SUMIFS(NewEmisData!G:G, NewEmisData!$A:$A, "LDV", NewEmisData!$B:$B, $A64, NewEmisData!$C:$C, $H64, NewEmisData!$D:$D, DS$2))</f>
        <v>6.6798910124453298E-3</v>
      </c>
      <c r="DT64" s="324">
        <f>$I64*IF($G64="Pickup", SUMIFS(NewEmisData!H:H, NewEmisData!$A:$A, "Pickup", NewEmisData!$B:$B, $A64, NewEmisData!$C:$C, $H64, NewEmisData!$D:$D, DT$2), SUMIFS(NewEmisData!H:H, NewEmisData!$A:$A, "LDV", NewEmisData!$B:$B, $A64, NewEmisData!$C:$C, $H64, NewEmisData!$D:$D, DT$2))</f>
        <v>5.1684543516808098E-3</v>
      </c>
      <c r="DU64" s="324">
        <f>$I64*IF($G64="Pickup", SUMIFS(NewEmisData!I:I, NewEmisData!$A:$A, "Pickup", NewEmisData!$B:$B, $A64, NewEmisData!$C:$C, $H64, NewEmisData!$D:$D, DU$2), SUMIFS(NewEmisData!I:I, NewEmisData!$A:$A, "LDV", NewEmisData!$B:$B, $A64, NewEmisData!$C:$C, $H64, NewEmisData!$D:$D, DU$2))</f>
        <v>4.0637666627415803E-3</v>
      </c>
      <c r="DV64" s="324">
        <f>$I64*IF($G64="Pickup", SUMIFS(NewEmisData!J:J, NewEmisData!$A:$A, "Pickup", NewEmisData!$B:$B, $A64, NewEmisData!$C:$C, $H64, NewEmisData!$D:$D, DV$2), SUMIFS(NewEmisData!J:J, NewEmisData!$A:$A, "LDV", NewEmisData!$B:$B, $A64, NewEmisData!$C:$C, $H64, NewEmisData!$D:$D, DV$2))</f>
        <v>3.5439556352963399E-3</v>
      </c>
      <c r="DW64" s="324">
        <f>$I64*IF($G64="Pickup", SUMIFS(NewEmisData!K:K, NewEmisData!$A:$A, "Pickup", NewEmisData!$B:$B, $A64, NewEmisData!$C:$C, $H64, NewEmisData!$D:$D, DW$2), SUMIFS(NewEmisData!K:K, NewEmisData!$A:$A, "LDV", NewEmisData!$B:$B, $A64, NewEmisData!$C:$C, $H64, NewEmisData!$D:$D, DW$2))</f>
        <v>3.25169320270512E-3</v>
      </c>
      <c r="DX64" s="324">
        <f>$I64*IF($G64="Pickup", SUMIFS(NewEmisData!L:L, NewEmisData!$A:$A, "Pickup", NewEmisData!$B:$B, $A64, NewEmisData!$C:$C, $H64, NewEmisData!$D:$D, DX$2), SUMIFS(NewEmisData!L:L, NewEmisData!$A:$A, "LDV", NewEmisData!$B:$B, $A64, NewEmisData!$C:$C, $H64, NewEmisData!$D:$D, DX$2))</f>
        <v>3.1576560516429699E-3</v>
      </c>
      <c r="DY64" s="324">
        <f>$I64*IF($G64="Pickup", SUMIFS(NewEmisData!M:M, NewEmisData!$A:$A, "Pickup", NewEmisData!$B:$B, $A64, NewEmisData!$C:$C, $H64, NewEmisData!$D:$D, DY$2), SUMIFS(NewEmisData!M:M, NewEmisData!$A:$A, "LDV", NewEmisData!$B:$B, $A64, NewEmisData!$C:$C, $H64, NewEmisData!$D:$D, DY$2))</f>
        <v>3.1088285848124E-3</v>
      </c>
      <c r="DZ64" s="324">
        <f t="shared" si="15"/>
        <v>3.1088285848124E-3</v>
      </c>
      <c r="EA64" s="324">
        <f t="shared" si="16"/>
        <v>465.43339574540698</v>
      </c>
      <c r="EB64" s="324">
        <f t="shared" si="17"/>
        <v>447.45086858043499</v>
      </c>
      <c r="EC64" s="324">
        <f t="shared" si="18"/>
        <v>371.68579631799702</v>
      </c>
      <c r="ED64" s="324">
        <f t="shared" si="19"/>
        <v>316.68783468886801</v>
      </c>
      <c r="EE64" s="324">
        <f t="shared" si="20"/>
        <v>274.45359564691302</v>
      </c>
      <c r="EF64" s="324">
        <f t="shared" si="21"/>
        <v>250.610452801164</v>
      </c>
      <c r="EG64" s="324">
        <f t="shared" si="22"/>
        <v>239.96929474207201</v>
      </c>
      <c r="EH64" s="324">
        <f t="shared" si="23"/>
        <v>236.17949059358199</v>
      </c>
      <c r="EI64" s="324">
        <f t="shared" si="24"/>
        <v>234.77621268414799</v>
      </c>
      <c r="EJ64" s="324">
        <f t="shared" si="25"/>
        <v>234.77621268414799</v>
      </c>
      <c r="EK64" s="324">
        <f t="shared" si="26"/>
        <v>0.76817370125590101</v>
      </c>
      <c r="EL64" s="324">
        <f t="shared" si="27"/>
        <v>0.34255400012381199</v>
      </c>
      <c r="EM64" s="324">
        <f t="shared" si="28"/>
        <v>0.22026197441968301</v>
      </c>
      <c r="EN64" s="324">
        <f t="shared" si="29"/>
        <v>0.146130223505477</v>
      </c>
      <c r="EO64" s="324">
        <f t="shared" si="30"/>
        <v>9.25204446820201E-2</v>
      </c>
      <c r="EP64" s="324">
        <f t="shared" si="31"/>
        <v>6.9646332093205393E-2</v>
      </c>
      <c r="EQ64" s="324">
        <f t="shared" si="32"/>
        <v>6.0285539426727999E-2</v>
      </c>
      <c r="ER64" s="324">
        <f t="shared" si="33"/>
        <v>5.7685517085836899E-2</v>
      </c>
      <c r="ES64" s="324">
        <f t="shared" si="34"/>
        <v>5.6336256806388998E-2</v>
      </c>
      <c r="ET64" s="324">
        <f t="shared" si="35"/>
        <v>5.6336256806388998E-2</v>
      </c>
      <c r="EU64" s="324">
        <f t="shared" si="36"/>
        <v>8.0536316527093799E-3</v>
      </c>
      <c r="EV64" s="324">
        <f t="shared" si="37"/>
        <v>7.7424694052717798E-3</v>
      </c>
      <c r="EW64" s="324">
        <f t="shared" si="38"/>
        <v>5.3320257089092297E-3</v>
      </c>
      <c r="EX64" s="324">
        <f t="shared" si="39"/>
        <v>4.5430510168157703E-3</v>
      </c>
      <c r="EY64" s="324">
        <f t="shared" si="40"/>
        <v>3.9371785778053803E-3</v>
      </c>
      <c r="EZ64" s="324">
        <f t="shared" si="41"/>
        <v>3.5951364530025401E-3</v>
      </c>
      <c r="FA64" s="324">
        <f t="shared" si="42"/>
        <v>3.4424852382502098E-3</v>
      </c>
      <c r="FB64" s="324">
        <f t="shared" si="43"/>
        <v>3.38811619026995E-3</v>
      </c>
      <c r="FC64" s="324">
        <f t="shared" si="44"/>
        <v>3.36798790618778E-3</v>
      </c>
      <c r="FD64" s="324">
        <f t="shared" si="45"/>
        <v>3.36798790618778E-3</v>
      </c>
      <c r="FE64" s="324">
        <f t="shared" si="46"/>
        <v>7.6317156939691294E-2</v>
      </c>
      <c r="FF64" s="324">
        <f t="shared" si="47"/>
        <v>7.1544642944165196E-2</v>
      </c>
      <c r="FG64" s="324">
        <f t="shared" si="48"/>
        <v>5.8249743312617203E-2</v>
      </c>
      <c r="FH64" s="324">
        <f t="shared" si="49"/>
        <v>5.6730049378736901E-2</v>
      </c>
      <c r="FI64" s="324">
        <f t="shared" si="50"/>
        <v>5.5297861804990203E-2</v>
      </c>
      <c r="FJ64" s="324">
        <f t="shared" si="51"/>
        <v>5.4156352090813403E-2</v>
      </c>
      <c r="FK64" s="324">
        <f t="shared" si="52"/>
        <v>5.3430662266944498E-2</v>
      </c>
      <c r="FL64" s="324">
        <f t="shared" si="53"/>
        <v>5.3062743786751999E-2</v>
      </c>
      <c r="FM64" s="324">
        <f t="shared" si="54"/>
        <v>5.2850768620488903E-2</v>
      </c>
      <c r="FN64" s="324">
        <f t="shared" si="55"/>
        <v>5.2850768620488903E-2</v>
      </c>
      <c r="FO64" s="324">
        <f t="shared" si="56"/>
        <v>2.00368746679381E-2</v>
      </c>
      <c r="FP64" s="324">
        <f t="shared" si="57"/>
        <v>1.58149288879222E-2</v>
      </c>
      <c r="FQ64" s="324">
        <f t="shared" si="58"/>
        <v>1.2889012730210401E-2</v>
      </c>
      <c r="FR64" s="324">
        <f t="shared" si="59"/>
        <v>1.1544674905883E-2</v>
      </c>
      <c r="FS64" s="324">
        <f t="shared" si="60"/>
        <v>1.0277724336371899E-2</v>
      </c>
      <c r="FT64" s="324">
        <f t="shared" si="61"/>
        <v>9.2679749278735592E-3</v>
      </c>
      <c r="FU64" s="324">
        <f t="shared" si="62"/>
        <v>8.6259896432645099E-3</v>
      </c>
      <c r="FV64" s="324">
        <f t="shared" si="63"/>
        <v>8.3004876330209296E-3</v>
      </c>
      <c r="FW64" s="324">
        <f t="shared" si="64"/>
        <v>8.1129702157430005E-3</v>
      </c>
      <c r="FX64" s="324">
        <f t="shared" si="65"/>
        <v>8.1129702157430005E-3</v>
      </c>
    </row>
    <row r="65" spans="1:180" x14ac:dyDescent="0.2">
      <c r="A65" s="298" t="str">
        <f>IF(LEFT(TRIM(Technologies!B75),1)="*", _xlfn.CONCAT("*","R2"), "R2")</f>
        <v>*R2</v>
      </c>
      <c r="B65" s="298" t="str">
        <f>TechData_existing!B18</f>
        <v>TLELPGX</v>
      </c>
      <c r="C65" s="298" t="str">
        <f>TechData_existing!C18</f>
        <v>TL.LPGX.F.Existing fleet</v>
      </c>
      <c r="D65" s="294" t="str">
        <f>TechData_existing!D18</f>
        <v>bn-vmt, bn-vmt/a</v>
      </c>
      <c r="E65" s="294" t="str">
        <f>TechData_existing!E18</f>
        <v>TRNLPGX</v>
      </c>
      <c r="F65" s="294" t="str">
        <f>TechData_existing!F18</f>
        <v>TL</v>
      </c>
      <c r="G65" s="294" t="s">
        <v>476</v>
      </c>
      <c r="H65" s="294" t="s">
        <v>474</v>
      </c>
      <c r="I65" s="294">
        <v>1</v>
      </c>
      <c r="J65" s="308" t="str">
        <f t="shared" si="101"/>
        <v>Full size car-GSL</v>
      </c>
      <c r="K65" s="324">
        <f>$I65*IF($G65="Pickup", SUMIFS(NewEmisData!E:E, NewEmisData!$A:$A, "Pickup", NewEmisData!$B:$B, $A65, NewEmisData!$C:$C, $H65, NewEmisData!$D:$D, K$2), SUMIFS(NewEmisData!E:E, NewEmisData!$A:$A, "LDV", NewEmisData!$B:$B, $A65, NewEmisData!$C:$C, $H65, NewEmisData!$D:$D, K$2))</f>
        <v>477.08587282575797</v>
      </c>
      <c r="L65" s="324">
        <f>$I65*IF($G65="Pickup", SUMIFS(NewEmisData!F:F, NewEmisData!$A:$A, "Pickup", NewEmisData!$B:$B, $A65, NewEmisData!$C:$C, $H65, NewEmisData!$D:$D, L$2), SUMIFS(NewEmisData!F:F, NewEmisData!$A:$A, "LDV", NewEmisData!$B:$B, $A65, NewEmisData!$C:$C, $H65, NewEmisData!$D:$D, L$2))</f>
        <v>459.34104292251902</v>
      </c>
      <c r="M65" s="324">
        <f>$I65*IF($G65="Pickup", SUMIFS(NewEmisData!G:G, NewEmisData!$A:$A, "Pickup", NewEmisData!$B:$B, $A65, NewEmisData!$C:$C, $H65, NewEmisData!$D:$D, M$2), SUMIFS(NewEmisData!G:G, NewEmisData!$A:$A, "LDV", NewEmisData!$B:$B, $A65, NewEmisData!$C:$C, $H65, NewEmisData!$D:$D, M$2))</f>
        <v>447.45896927637102</v>
      </c>
      <c r="N65" s="324">
        <f>$I65*IF($G65="Pickup", SUMIFS(NewEmisData!H:H, NewEmisData!$A:$A, "Pickup", NewEmisData!$B:$B, $A65, NewEmisData!$C:$C, $H65, NewEmisData!$D:$D, N$2), SUMIFS(NewEmisData!H:H, NewEmisData!$A:$A, "LDV", NewEmisData!$B:$B, $A65, NewEmisData!$C:$C, $H65, NewEmisData!$D:$D, N$2))</f>
        <v>380.72392677964001</v>
      </c>
      <c r="O65" s="324">
        <f>$I65*IF($G65="Pickup", SUMIFS(NewEmisData!I:I, NewEmisData!$A:$A, "Pickup", NewEmisData!$B:$B, $A65, NewEmisData!$C:$C, $H65, NewEmisData!$D:$D, O$2), SUMIFS(NewEmisData!I:I, NewEmisData!$A:$A, "LDV", NewEmisData!$B:$B, $A65, NewEmisData!$C:$C, $H65, NewEmisData!$D:$D, O$2))</f>
        <v>329.54737069801098</v>
      </c>
      <c r="P65" s="324">
        <f>$I65*IF($G65="Pickup", SUMIFS(NewEmisData!J:J, NewEmisData!$A:$A, "Pickup", NewEmisData!$B:$B, $A65, NewEmisData!$C:$C, $H65, NewEmisData!$D:$D, P$2), SUMIFS(NewEmisData!J:J, NewEmisData!$A:$A, "LDV", NewEmisData!$B:$B, $A65, NewEmisData!$C:$C, $H65, NewEmisData!$D:$D, P$2))</f>
        <v>300.69829568412598</v>
      </c>
      <c r="Q65" s="324">
        <f>$I65*IF($G65="Pickup", SUMIFS(NewEmisData!K:K, NewEmisData!$A:$A, "Pickup", NewEmisData!$B:$B, $A65, NewEmisData!$C:$C, $H65, NewEmisData!$D:$D, Q$2), SUMIFS(NewEmisData!K:K, NewEmisData!$A:$A, "LDV", NewEmisData!$B:$B, $A65, NewEmisData!$C:$C, $H65, NewEmisData!$D:$D, Q$2))</f>
        <v>287.83799703632701</v>
      </c>
      <c r="R65" s="324">
        <f>$I65*IF($G65="Pickup", SUMIFS(NewEmisData!L:L, NewEmisData!$A:$A, "Pickup", NewEmisData!$B:$B, $A65, NewEmisData!$C:$C, $H65, NewEmisData!$D:$D, R$2), SUMIFS(NewEmisData!L:L, NewEmisData!$A:$A, "LDV", NewEmisData!$B:$B, $A65, NewEmisData!$C:$C, $H65, NewEmisData!$D:$D, R$2))</f>
        <v>283.26610797837998</v>
      </c>
      <c r="S65" s="324">
        <f>$I65*IF($G65="Pickup", SUMIFS(NewEmisData!M:M, NewEmisData!$A:$A, "Pickup", NewEmisData!$B:$B, $A65, NewEmisData!$C:$C, $H65, NewEmisData!$D:$D, S$2), SUMIFS(NewEmisData!M:M, NewEmisData!$A:$A, "LDV", NewEmisData!$B:$B, $A65, NewEmisData!$C:$C, $H65, NewEmisData!$D:$D, S$2))</f>
        <v>281.57834098528099</v>
      </c>
      <c r="T65" s="324">
        <f t="shared" si="5"/>
        <v>281.57834098528099</v>
      </c>
      <c r="U65" s="324">
        <f>$I65*IF($G65="Pickup", SUMIFS(NewEmisData!E:E, NewEmisData!$A:$A, "Pickup", NewEmisData!$B:$B, $A65, NewEmisData!$C:$C, $H65, NewEmisData!$D:$D, U$2), SUMIFS(NewEmisData!E:E, NewEmisData!$A:$A, "LDV", NewEmisData!$B:$B, $A65, NewEmisData!$C:$C, $H65, NewEmisData!$D:$D, U$2))</f>
        <v>0.82339103642645395</v>
      </c>
      <c r="V65" s="324">
        <f>$I65*IF($G65="Pickup", SUMIFS(NewEmisData!F:F, NewEmisData!$A:$A, "Pickup", NewEmisData!$B:$B, $A65, NewEmisData!$C:$C, $H65, NewEmisData!$D:$D, V$2), SUMIFS(NewEmisData!F:F, NewEmisData!$A:$A, "LDV", NewEmisData!$B:$B, $A65, NewEmisData!$C:$C, $H65, NewEmisData!$D:$D, V$2))</f>
        <v>0.360872733315452</v>
      </c>
      <c r="W65" s="324">
        <f>$I65*IF($G65="Pickup", SUMIFS(NewEmisData!G:G, NewEmisData!$A:$A, "Pickup", NewEmisData!$B:$B, $A65, NewEmisData!$C:$C, $H65, NewEmisData!$D:$D, W$2), SUMIFS(NewEmisData!G:G, NewEmisData!$A:$A, "LDV", NewEmisData!$B:$B, $A65, NewEmisData!$C:$C, $H65, NewEmisData!$D:$D, W$2))</f>
        <v>0.21658171178065999</v>
      </c>
      <c r="X65" s="324">
        <f>$I65*IF($G65="Pickup", SUMIFS(NewEmisData!H:H, NewEmisData!$A:$A, "Pickup", NewEmisData!$B:$B, $A65, NewEmisData!$C:$C, $H65, NewEmisData!$D:$D, X$2), SUMIFS(NewEmisData!H:H, NewEmisData!$A:$A, "LDV", NewEmisData!$B:$B, $A65, NewEmisData!$C:$C, $H65, NewEmisData!$D:$D, X$2))</f>
        <v>0.14200533002195401</v>
      </c>
      <c r="Y65" s="324">
        <f>$I65*IF($G65="Pickup", SUMIFS(NewEmisData!I:I, NewEmisData!$A:$A, "Pickup", NewEmisData!$B:$B, $A65, NewEmisData!$C:$C, $H65, NewEmisData!$D:$D, Y$2), SUMIFS(NewEmisData!I:I, NewEmisData!$A:$A, "LDV", NewEmisData!$B:$B, $A65, NewEmisData!$C:$C, $H65, NewEmisData!$D:$D, Y$2))</f>
        <v>8.8016804659711706E-2</v>
      </c>
      <c r="Z65" s="324">
        <f>$I65*IF($G65="Pickup", SUMIFS(NewEmisData!J:J, NewEmisData!$A:$A, "Pickup", NewEmisData!$B:$B, $A65, NewEmisData!$C:$C, $H65, NewEmisData!$D:$D, Z$2), SUMIFS(NewEmisData!J:J, NewEmisData!$A:$A, "LDV", NewEmisData!$B:$B, $A65, NewEmisData!$C:$C, $H65, NewEmisData!$D:$D, Z$2))</f>
        <v>6.5736379947852003E-2</v>
      </c>
      <c r="AA65" s="324">
        <f>$I65*IF($G65="Pickup", SUMIFS(NewEmisData!K:K, NewEmisData!$A:$A, "Pickup", NewEmisData!$B:$B, $A65, NewEmisData!$C:$C, $H65, NewEmisData!$D:$D, AA$2), SUMIFS(NewEmisData!K:K, NewEmisData!$A:$A, "LDV", NewEmisData!$B:$B, $A65, NewEmisData!$C:$C, $H65, NewEmisData!$D:$D, AA$2))</f>
        <v>5.6635638117250503E-2</v>
      </c>
      <c r="AB65" s="324">
        <f>$I65*IF($G65="Pickup", SUMIFS(NewEmisData!L:L, NewEmisData!$A:$A, "Pickup", NewEmisData!$B:$B, $A65, NewEmisData!$C:$C, $H65, NewEmisData!$D:$D, AB$2), SUMIFS(NewEmisData!L:L, NewEmisData!$A:$A, "LDV", NewEmisData!$B:$B, $A65, NewEmisData!$C:$C, $H65, NewEmisData!$D:$D, AB$2))</f>
        <v>5.4115247223223299E-2</v>
      </c>
      <c r="AC65" s="324">
        <f>$I65*IF($G65="Pickup", SUMIFS(NewEmisData!M:M, NewEmisData!$A:$A, "Pickup", NewEmisData!$B:$B, $A65, NewEmisData!$C:$C, $H65, NewEmisData!$D:$D, AC$2), SUMIFS(NewEmisData!M:M, NewEmisData!$A:$A, "LDV", NewEmisData!$B:$B, $A65, NewEmisData!$C:$C, $H65, NewEmisData!$D:$D, AC$2))</f>
        <v>5.2826207223764E-2</v>
      </c>
      <c r="AD65" s="324">
        <f t="shared" si="6"/>
        <v>5.2826207223764E-2</v>
      </c>
      <c r="AE65" s="324">
        <f>$I65*IF($G65="Pickup", SUMIFS(NewEmisData!E:E, NewEmisData!$A:$A, "Pickup", NewEmisData!$B:$B, $A65, NewEmisData!$C:$C, $H65, NewEmisData!$D:$D, AE$2), SUMIFS(NewEmisData!E:E, NewEmisData!$A:$A, "LDV", NewEmisData!$B:$B, $A65, NewEmisData!$C:$C, $H65, NewEmisData!$D:$D, AE$2))</f>
        <v>8.2552586035919695E-3</v>
      </c>
      <c r="AF65" s="324">
        <f>$I65*IF($G65="Pickup", SUMIFS(NewEmisData!F:F, NewEmisData!$A:$A, "Pickup", NewEmisData!$B:$B, $A65, NewEmisData!$C:$C, $H65, NewEmisData!$D:$D, AF$2), SUMIFS(NewEmisData!F:F, NewEmisData!$A:$A, "LDV", NewEmisData!$B:$B, $A65, NewEmisData!$C:$C, $H65, NewEmisData!$D:$D, AF$2))</f>
        <v>7.9482131517538395E-3</v>
      </c>
      <c r="AG65" s="324">
        <f>$I65*IF($G65="Pickup", SUMIFS(NewEmisData!G:G, NewEmisData!$A:$A, "Pickup", NewEmisData!$B:$B, $A65, NewEmisData!$C:$C, $H65, NewEmisData!$D:$D, AG$2), SUMIFS(NewEmisData!G:G, NewEmisData!$A:$A, "LDV", NewEmisData!$B:$B, $A65, NewEmisData!$C:$C, $H65, NewEmisData!$D:$D, AG$2))</f>
        <v>6.4190305556059996E-3</v>
      </c>
      <c r="AH65" s="324">
        <f>$I65*IF($G65="Pickup", SUMIFS(NewEmisData!H:H, NewEmisData!$A:$A, "Pickup", NewEmisData!$B:$B, $A65, NewEmisData!$C:$C, $H65, NewEmisData!$D:$D, AH$2), SUMIFS(NewEmisData!H:H, NewEmisData!$A:$A, "LDV", NewEmisData!$B:$B, $A65, NewEmisData!$C:$C, $H65, NewEmisData!$D:$D, AH$2))</f>
        <v>5.4616828003907899E-3</v>
      </c>
      <c r="AI65" s="324">
        <f>$I65*IF($G65="Pickup", SUMIFS(NewEmisData!I:I, NewEmisData!$A:$A, "Pickup", NewEmisData!$B:$B, $A65, NewEmisData!$C:$C, $H65, NewEmisData!$D:$D, AI$2), SUMIFS(NewEmisData!I:I, NewEmisData!$A:$A, "LDV", NewEmisData!$B:$B, $A65, NewEmisData!$C:$C, $H65, NewEmisData!$D:$D, AI$2))</f>
        <v>4.7275285851957304E-3</v>
      </c>
      <c r="AJ65" s="324">
        <f>$I65*IF($G65="Pickup", SUMIFS(NewEmisData!J:J, NewEmisData!$A:$A, "Pickup", NewEmisData!$B:$B, $A65, NewEmisData!$C:$C, $H65, NewEmisData!$D:$D, AJ$2), SUMIFS(NewEmisData!J:J, NewEmisData!$A:$A, "LDV", NewEmisData!$B:$B, $A65, NewEmisData!$C:$C, $H65, NewEmisData!$D:$D, AJ$2))</f>
        <v>4.3136734611450098E-3</v>
      </c>
      <c r="AK65" s="324">
        <f>$I65*IF($G65="Pickup", SUMIFS(NewEmisData!K:K, NewEmisData!$A:$A, "Pickup", NewEmisData!$B:$B, $A65, NewEmisData!$C:$C, $H65, NewEmisData!$D:$D, AK$2), SUMIFS(NewEmisData!K:K, NewEmisData!$A:$A, "LDV", NewEmisData!$B:$B, $A65, NewEmisData!$C:$C, $H65, NewEmisData!$D:$D, AK$2))</f>
        <v>4.1291858052272803E-3</v>
      </c>
      <c r="AL65" s="324">
        <f>$I65*IF($G65="Pickup", SUMIFS(NewEmisData!L:L, NewEmisData!$A:$A, "Pickup", NewEmisData!$B:$B, $A65, NewEmisData!$C:$C, $H65, NewEmisData!$D:$D, AL$2), SUMIFS(NewEmisData!L:L, NewEmisData!$A:$A, "LDV", NewEmisData!$B:$B, $A65, NewEmisData!$C:$C, $H65, NewEmisData!$D:$D, AL$2))</f>
        <v>4.0635983922117898E-3</v>
      </c>
      <c r="AM65" s="324">
        <f>$I65*IF($G65="Pickup", SUMIFS(NewEmisData!M:M, NewEmisData!$A:$A, "Pickup", NewEmisData!$B:$B, $A65, NewEmisData!$C:$C, $H65, NewEmisData!$D:$D, AM$2), SUMIFS(NewEmisData!M:M, NewEmisData!$A:$A, "LDV", NewEmisData!$B:$B, $A65, NewEmisData!$C:$C, $H65, NewEmisData!$D:$D, AM$2))</f>
        <v>4.0393864318059199E-3</v>
      </c>
      <c r="AN65" s="324">
        <f t="shared" si="7"/>
        <v>4.0393864318059199E-3</v>
      </c>
      <c r="AO65" s="324">
        <f>$I65*IF($G65="Pickup", SUMIFS(NewEmisData!E:E, NewEmisData!$A:$A, "Pickup", NewEmisData!$B:$B, $A65, NewEmisData!$C:$C, $H65, NewEmisData!$D:$D, AO$2), SUMIFS(NewEmisData!E:E, NewEmisData!$A:$A, "LDV", NewEmisData!$B:$B, $A65, NewEmisData!$C:$C, $H65, NewEmisData!$D:$D, AO$2))</f>
        <v>8.1828643727713493E-2</v>
      </c>
      <c r="AP65" s="324">
        <f>$I65*IF($G65="Pickup", SUMIFS(NewEmisData!F:F, NewEmisData!$A:$A, "Pickup", NewEmisData!$B:$B, $A65, NewEmisData!$C:$C, $H65, NewEmisData!$D:$D, AP$2), SUMIFS(NewEmisData!F:F, NewEmisData!$A:$A, "LDV", NewEmisData!$B:$B, $A65, NewEmisData!$C:$C, $H65, NewEmisData!$D:$D, AP$2))</f>
        <v>7.6175839057221195E-2</v>
      </c>
      <c r="AQ65" s="324">
        <f>$I65*IF($G65="Pickup", SUMIFS(NewEmisData!G:G, NewEmisData!$A:$A, "Pickup", NewEmisData!$B:$B, $A65, NewEmisData!$C:$C, $H65, NewEmisData!$D:$D, AQ$2), SUMIFS(NewEmisData!G:G, NewEmisData!$A:$A, "LDV", NewEmisData!$B:$B, $A65, NewEmisData!$C:$C, $H65, NewEmisData!$D:$D, AQ$2))</f>
        <v>8.1302809072104507E-2</v>
      </c>
      <c r="AR65" s="324">
        <f>$I65*IF($G65="Pickup", SUMIFS(NewEmisData!H:H, NewEmisData!$A:$A, "Pickup", NewEmisData!$B:$B, $A65, NewEmisData!$C:$C, $H65, NewEmisData!$D:$D, AR$2), SUMIFS(NewEmisData!H:H, NewEmisData!$A:$A, "LDV", NewEmisData!$B:$B, $A65, NewEmisData!$C:$C, $H65, NewEmisData!$D:$D, AR$2))</f>
        <v>7.9561688690416299E-2</v>
      </c>
      <c r="AS65" s="324">
        <f>$I65*IF($G65="Pickup", SUMIFS(NewEmisData!I:I, NewEmisData!$A:$A, "Pickup", NewEmisData!$B:$B, $A65, NewEmisData!$C:$C, $H65, NewEmisData!$D:$D, AS$2), SUMIFS(NewEmisData!I:I, NewEmisData!$A:$A, "LDV", NewEmisData!$B:$B, $A65, NewEmisData!$C:$C, $H65, NewEmisData!$D:$D, AS$2))</f>
        <v>7.7910530261031605E-2</v>
      </c>
      <c r="AT65" s="324">
        <f>$I65*IF($G65="Pickup", SUMIFS(NewEmisData!J:J, NewEmisData!$A:$A, "Pickup", NewEmisData!$B:$B, $A65, NewEmisData!$C:$C, $H65, NewEmisData!$D:$D, AT$2), SUMIFS(NewEmisData!J:J, NewEmisData!$A:$A, "LDV", NewEmisData!$B:$B, $A65, NewEmisData!$C:$C, $H65, NewEmisData!$D:$D, AT$2))</f>
        <v>7.6590334474495605E-2</v>
      </c>
      <c r="AU65" s="324">
        <f>$I65*IF($G65="Pickup", SUMIFS(NewEmisData!K:K, NewEmisData!$A:$A, "Pickup", NewEmisData!$B:$B, $A65, NewEmisData!$C:$C, $H65, NewEmisData!$D:$D, AU$2), SUMIFS(NewEmisData!K:K, NewEmisData!$A:$A, "LDV", NewEmisData!$B:$B, $A65, NewEmisData!$C:$C, $H65, NewEmisData!$D:$D, AU$2))</f>
        <v>7.5767938917924701E-2</v>
      </c>
      <c r="AV65" s="324">
        <f>$I65*IF($G65="Pickup", SUMIFS(NewEmisData!L:L, NewEmisData!$A:$A, "Pickup", NewEmisData!$B:$B, $A65, NewEmisData!$C:$C, $H65, NewEmisData!$D:$D, AV$2), SUMIFS(NewEmisData!L:L, NewEmisData!$A:$A, "LDV", NewEmisData!$B:$B, $A65, NewEmisData!$C:$C, $H65, NewEmisData!$D:$D, AV$2))</f>
        <v>7.5353710070808794E-2</v>
      </c>
      <c r="AW65" s="324">
        <f>$I65*IF($G65="Pickup", SUMIFS(NewEmisData!M:M, NewEmisData!$A:$A, "Pickup", NewEmisData!$B:$B, $A65, NewEmisData!$C:$C, $H65, NewEmisData!$D:$D, AW$2), SUMIFS(NewEmisData!M:M, NewEmisData!$A:$A, "LDV", NewEmisData!$B:$B, $A65, NewEmisData!$C:$C, $H65, NewEmisData!$D:$D, AW$2))</f>
        <v>7.5117977052891499E-2</v>
      </c>
      <c r="AX65" s="324">
        <f t="shared" si="8"/>
        <v>7.5117977052891499E-2</v>
      </c>
      <c r="AY65" s="324">
        <f>$I65*IF($G65="Pickup", SUMIFS(NewEmisData!E:E, NewEmisData!$A:$A, "Pickup", NewEmisData!$B:$B, $A65, NewEmisData!$C:$C, $H65, NewEmisData!$D:$D, AY$2), SUMIFS(NewEmisData!E:E, NewEmisData!$A:$A, "LDV", NewEmisData!$B:$B, $A65, NewEmisData!$C:$C, $H65, NewEmisData!$D:$D, AY$2))</f>
        <v>2.1998193760633E-2</v>
      </c>
      <c r="AZ65" s="324">
        <f>$I65*IF($G65="Pickup", SUMIFS(NewEmisData!F:F, NewEmisData!$A:$A, "Pickup", NewEmisData!$B:$B, $A65, NewEmisData!$C:$C, $H65, NewEmisData!$D:$D, AZ$2), SUMIFS(NewEmisData!F:F, NewEmisData!$A:$A, "LDV", NewEmisData!$B:$B, $A65, NewEmisData!$C:$C, $H65, NewEmisData!$D:$D, AZ$2))</f>
        <v>1.6997575378008601E-2</v>
      </c>
      <c r="BA65" s="324">
        <f>$I65*IF($G65="Pickup", SUMIFS(NewEmisData!G:G, NewEmisData!$A:$A, "Pickup", NewEmisData!$B:$B, $A65, NewEmisData!$C:$C, $H65, NewEmisData!$D:$D, BA$2), SUMIFS(NewEmisData!G:G, NewEmisData!$A:$A, "LDV", NewEmisData!$B:$B, $A65, NewEmisData!$C:$C, $H65, NewEmisData!$D:$D, BA$2))</f>
        <v>1.6580879412419602E-2</v>
      </c>
      <c r="BB65" s="324">
        <f>$I65*IF($G65="Pickup", SUMIFS(NewEmisData!H:H, NewEmisData!$A:$A, "Pickup", NewEmisData!$B:$B, $A65, NewEmisData!$C:$C, $H65, NewEmisData!$D:$D, BB$2), SUMIFS(NewEmisData!H:H, NewEmisData!$A:$A, "LDV", NewEmisData!$B:$B, $A65, NewEmisData!$C:$C, $H65, NewEmisData!$D:$D, BB$2))</f>
        <v>1.5040645169031801E-2</v>
      </c>
      <c r="BC65" s="324">
        <f>$I65*IF($G65="Pickup", SUMIFS(NewEmisData!I:I, NewEmisData!$A:$A, "Pickup", NewEmisData!$B:$B, $A65, NewEmisData!$C:$C, $H65, NewEmisData!$D:$D, BC$2), SUMIFS(NewEmisData!I:I, NewEmisData!$A:$A, "LDV", NewEmisData!$B:$B, $A65, NewEmisData!$C:$C, $H65, NewEmisData!$D:$D, BC$2))</f>
        <v>1.35799610150696E-2</v>
      </c>
      <c r="BD65" s="324">
        <f>$I65*IF($G65="Pickup", SUMIFS(NewEmisData!J:J, NewEmisData!$A:$A, "Pickup", NewEmisData!$B:$B, $A65, NewEmisData!$C:$C, $H65, NewEmisData!$D:$D, BD$2), SUMIFS(NewEmisData!J:J, NewEmisData!$A:$A, "LDV", NewEmisData!$B:$B, $A65, NewEmisData!$C:$C, $H65, NewEmisData!$D:$D, BD$2))</f>
        <v>1.24120667817219E-2</v>
      </c>
      <c r="BE65" s="324">
        <f>$I65*IF($G65="Pickup", SUMIFS(NewEmisData!K:K, NewEmisData!$A:$A, "Pickup", NewEmisData!$B:$B, $A65, NewEmisData!$C:$C, $H65, NewEmisData!$D:$D, BE$2), SUMIFS(NewEmisData!K:K, NewEmisData!$A:$A, "LDV", NewEmisData!$B:$B, $A65, NewEmisData!$C:$C, $H65, NewEmisData!$D:$D, BE$2))</f>
        <v>1.16845073314224E-2</v>
      </c>
      <c r="BF65" s="324">
        <f>$I65*IF($G65="Pickup", SUMIFS(NewEmisData!L:L, NewEmisData!$A:$A, "Pickup", NewEmisData!$B:$B, $A65, NewEmisData!$C:$C, $H65, NewEmisData!$D:$D, BF$2), SUMIFS(NewEmisData!L:L, NewEmisData!$A:$A, "LDV", NewEmisData!$B:$B, $A65, NewEmisData!$C:$C, $H65, NewEmisData!$D:$D, BF$2))</f>
        <v>1.1318096390010799E-2</v>
      </c>
      <c r="BG65" s="324">
        <f>$I65*IF($G65="Pickup", SUMIFS(NewEmisData!M:M, NewEmisData!$A:$A, "Pickup", NewEmisData!$B:$B, $A65, NewEmisData!$C:$C, $H65, NewEmisData!$D:$D, BG$2), SUMIFS(NewEmisData!M:M, NewEmisData!$A:$A, "LDV", NewEmisData!$B:$B, $A65, NewEmisData!$C:$C, $H65, NewEmisData!$D:$D, BG$2))</f>
        <v>1.1109456757731499E-2</v>
      </c>
      <c r="BH65" s="324">
        <f t="shared" si="9"/>
        <v>1.1109456757731499E-2</v>
      </c>
      <c r="BI65" s="324">
        <f>$I65*IF($G65="Pickup", SUMIFS(NewEmisData!E:E, NewEmisData!$A:$A, "Pickup", NewEmisData!$B:$B, $A65, NewEmisData!$C:$C, $H65, NewEmisData!$D:$D, BI$2), SUMIFS(NewEmisData!E:E, NewEmisData!$A:$A, "LDV", NewEmisData!$B:$B, $A65, NewEmisData!$C:$C, $H65, NewEmisData!$D:$D, BI$2))</f>
        <v>6.6339830086865597</v>
      </c>
      <c r="BJ65" s="324">
        <f>$I65*IF($G65="Pickup", SUMIFS(NewEmisData!F:F, NewEmisData!$A:$A, "Pickup", NewEmisData!$B:$B, $A65, NewEmisData!$C:$C, $H65, NewEmisData!$D:$D, BJ$2), SUMIFS(NewEmisData!F:F, NewEmisData!$A:$A, "LDV", NewEmisData!$B:$B, $A65, NewEmisData!$C:$C, $H65, NewEmisData!$D:$D, BJ$2))</f>
        <v>3.9206205551931301</v>
      </c>
      <c r="BK65" s="324">
        <f>$I65*IF($G65="Pickup", SUMIFS(NewEmisData!G:G, NewEmisData!$A:$A, "Pickup", NewEmisData!$B:$B, $A65, NewEmisData!$C:$C, $H65, NewEmisData!$D:$D, BK$2), SUMIFS(NewEmisData!G:G, NewEmisData!$A:$A, "LDV", NewEmisData!$B:$B, $A65, NewEmisData!$C:$C, $H65, NewEmisData!$D:$D, BK$2))</f>
        <v>3.0174466275096199</v>
      </c>
      <c r="BL65" s="324">
        <f>$I65*IF($G65="Pickup", SUMIFS(NewEmisData!H:H, NewEmisData!$A:$A, "Pickup", NewEmisData!$B:$B, $A65, NewEmisData!$C:$C, $H65, NewEmisData!$D:$D, BL$2), SUMIFS(NewEmisData!H:H, NewEmisData!$A:$A, "LDV", NewEmisData!$B:$B, $A65, NewEmisData!$C:$C, $H65, NewEmisData!$D:$D, BL$2))</f>
        <v>2.3529221673804699</v>
      </c>
      <c r="BM65" s="324">
        <f>$I65*IF($G65="Pickup", SUMIFS(NewEmisData!I:I, NewEmisData!$A:$A, "Pickup", NewEmisData!$B:$B, $A65, NewEmisData!$C:$C, $H65, NewEmisData!$D:$D, BM$2), SUMIFS(NewEmisData!I:I, NewEmisData!$A:$A, "LDV", NewEmisData!$B:$B, $A65, NewEmisData!$C:$C, $H65, NewEmisData!$D:$D, BM$2))</f>
        <v>1.70384058027793</v>
      </c>
      <c r="BN65" s="324">
        <f>$I65*IF($G65="Pickup", SUMIFS(NewEmisData!J:J, NewEmisData!$A:$A, "Pickup", NewEmisData!$B:$B, $A65, NewEmisData!$C:$C, $H65, NewEmisData!$D:$D, BN$2), SUMIFS(NewEmisData!J:J, NewEmisData!$A:$A, "LDV", NewEmisData!$B:$B, $A65, NewEmisData!$C:$C, $H65, NewEmisData!$D:$D, BN$2))</f>
        <v>1.3463730618004399</v>
      </c>
      <c r="BO65" s="324">
        <f>$I65*IF($G65="Pickup", SUMIFS(NewEmisData!K:K, NewEmisData!$A:$A, "Pickup", NewEmisData!$B:$B, $A65, NewEmisData!$C:$C, $H65, NewEmisData!$D:$D, BO$2), SUMIFS(NewEmisData!K:K, NewEmisData!$A:$A, "LDV", NewEmisData!$B:$B, $A65, NewEmisData!$C:$C, $H65, NewEmisData!$D:$D, BO$2))</f>
        <v>1.1858346520835299</v>
      </c>
      <c r="BP65" s="324">
        <f>$I65*IF($G65="Pickup", SUMIFS(NewEmisData!L:L, NewEmisData!$A:$A, "Pickup", NewEmisData!$B:$B, $A65, NewEmisData!$C:$C, $H65, NewEmisData!$D:$D, BP$2), SUMIFS(NewEmisData!L:L, NewEmisData!$A:$A, "LDV", NewEmisData!$B:$B, $A65, NewEmisData!$C:$C, $H65, NewEmisData!$D:$D, BP$2))</f>
        <v>1.1335061554616499</v>
      </c>
      <c r="BQ65" s="324">
        <f>$I65*IF($G65="Pickup", SUMIFS(NewEmisData!M:M, NewEmisData!$A:$A, "Pickup", NewEmisData!$B:$B, $A65, NewEmisData!$C:$C, $H65, NewEmisData!$D:$D, BQ$2), SUMIFS(NewEmisData!M:M, NewEmisData!$A:$A, "LDV", NewEmisData!$B:$B, $A65, NewEmisData!$C:$C, $H65, NewEmisData!$D:$D, BQ$2))</f>
        <v>1.1009029054349999</v>
      </c>
      <c r="BR65" s="324">
        <f t="shared" si="10"/>
        <v>1.1009029054349999</v>
      </c>
      <c r="BS65" s="324">
        <f>$I65*IF($G65="Pickup", SUMIFS(NewEmisData!E:E, NewEmisData!$A:$A, "Pickup", NewEmisData!$B:$B, $A65, NewEmisData!$C:$C, $H65, NewEmisData!$D:$D, BS$2), SUMIFS(NewEmisData!E:E, NewEmisData!$A:$A, "LDV", NewEmisData!$B:$B, $A65, NewEmisData!$C:$C, $H65, NewEmisData!$D:$D, BS$2))</f>
        <v>0.77473150733664098</v>
      </c>
      <c r="BT65" s="324">
        <f>$I65*IF($G65="Pickup", SUMIFS(NewEmisData!F:F, NewEmisData!$A:$A, "Pickup", NewEmisData!$B:$B, $A65, NewEmisData!$C:$C, $H65, NewEmisData!$D:$D, BT$2), SUMIFS(NewEmisData!F:F, NewEmisData!$A:$A, "LDV", NewEmisData!$B:$B, $A65, NewEmisData!$C:$C, $H65, NewEmisData!$D:$D, BT$2))</f>
        <v>0.41904908416840297</v>
      </c>
      <c r="BU65" s="324">
        <f>$I65*IF($G65="Pickup", SUMIFS(NewEmisData!G:G, NewEmisData!$A:$A, "Pickup", NewEmisData!$B:$B, $A65, NewEmisData!$C:$C, $H65, NewEmisData!$D:$D, BU$2), SUMIFS(NewEmisData!G:G, NewEmisData!$A:$A, "LDV", NewEmisData!$B:$B, $A65, NewEmisData!$C:$C, $H65, NewEmisData!$D:$D, BU$2))</f>
        <v>0.30982899515166501</v>
      </c>
      <c r="BV65" s="324">
        <f>$I65*IF($G65="Pickup", SUMIFS(NewEmisData!H:H, NewEmisData!$A:$A, "Pickup", NewEmisData!$B:$B, $A65, NewEmisData!$C:$C, $H65, NewEmisData!$D:$D, BV$2), SUMIFS(NewEmisData!H:H, NewEmisData!$A:$A, "LDV", NewEmisData!$B:$B, $A65, NewEmisData!$C:$C, $H65, NewEmisData!$D:$D, BV$2))</f>
        <v>0.25046259079934602</v>
      </c>
      <c r="BW65" s="324">
        <f>$I65*IF($G65="Pickup", SUMIFS(NewEmisData!I:I, NewEmisData!$A:$A, "Pickup", NewEmisData!$B:$B, $A65, NewEmisData!$C:$C, $H65, NewEmisData!$D:$D, BW$2), SUMIFS(NewEmisData!I:I, NewEmisData!$A:$A, "LDV", NewEmisData!$B:$B, $A65, NewEmisData!$C:$C, $H65, NewEmisData!$D:$D, BW$2))</f>
        <v>0.18616224227516101</v>
      </c>
      <c r="BX65" s="324">
        <f>$I65*IF($G65="Pickup", SUMIFS(NewEmisData!J:J, NewEmisData!$A:$A, "Pickup", NewEmisData!$B:$B, $A65, NewEmisData!$C:$C, $H65, NewEmisData!$D:$D, BX$2), SUMIFS(NewEmisData!J:J, NewEmisData!$A:$A, "LDV", NewEmisData!$B:$B, $A65, NewEmisData!$C:$C, $H65, NewEmisData!$D:$D, BX$2))</f>
        <v>0.15683046751729501</v>
      </c>
      <c r="BY65" s="324">
        <f>$I65*IF($G65="Pickup", SUMIFS(NewEmisData!K:K, NewEmisData!$A:$A, "Pickup", NewEmisData!$B:$B, $A65, NewEmisData!$C:$C, $H65, NewEmisData!$D:$D, BY$2), SUMIFS(NewEmisData!K:K, NewEmisData!$A:$A, "LDV", NewEmisData!$B:$B, $A65, NewEmisData!$C:$C, $H65, NewEmisData!$D:$D, BY$2))</f>
        <v>0.14094000257929501</v>
      </c>
      <c r="BZ65" s="324">
        <f>$I65*IF($G65="Pickup", SUMIFS(NewEmisData!L:L, NewEmisData!$A:$A, "Pickup", NewEmisData!$B:$B, $A65, NewEmisData!$C:$C, $H65, NewEmisData!$D:$D, BZ$2), SUMIFS(NewEmisData!L:L, NewEmisData!$A:$A, "LDV", NewEmisData!$B:$B, $A65, NewEmisData!$C:$C, $H65, NewEmisData!$D:$D, BZ$2))</f>
        <v>0.134774071356623</v>
      </c>
      <c r="CA65" s="324">
        <f>$I65*IF($G65="Pickup", SUMIFS(NewEmisData!M:M, NewEmisData!$A:$A, "Pickup", NewEmisData!$B:$B, $A65, NewEmisData!$C:$C, $H65, NewEmisData!$D:$D, CA$2), SUMIFS(NewEmisData!M:M, NewEmisData!$A:$A, "LDV", NewEmisData!$B:$B, $A65, NewEmisData!$C:$C, $H65, NewEmisData!$D:$D, CA$2))</f>
        <v>0.12984032725640701</v>
      </c>
      <c r="CB65" s="324">
        <f t="shared" si="11"/>
        <v>0.12984032725640701</v>
      </c>
      <c r="CC65" s="324">
        <f>$I65*IF($G65="Pickup", SUMIFS(NewEmisData!E:E, NewEmisData!$A:$A, "Pickup", NewEmisData!$B:$B, $A65, NewEmisData!$C:$C, $H65, NewEmisData!$D:$D, CC$2), SUMIFS(NewEmisData!E:E, NewEmisData!$A:$A, "LDV", NewEmisData!$B:$B, $A65, NewEmisData!$C:$C, $H65, NewEmisData!$D:$D, CC$2))</f>
        <v>4.52789246362666E-2</v>
      </c>
      <c r="CD65" s="324">
        <f>$I65*IF($G65="Pickup", SUMIFS(NewEmisData!F:F, NewEmisData!$A:$A, "Pickup", NewEmisData!$B:$B, $A65, NewEmisData!$C:$C, $H65, NewEmisData!$D:$D, CD$2), SUMIFS(NewEmisData!F:F, NewEmisData!$A:$A, "LDV", NewEmisData!$B:$B, $A65, NewEmisData!$C:$C, $H65, NewEmisData!$D:$D, CD$2))</f>
        <v>3.0659932051567799E-2</v>
      </c>
      <c r="CE65" s="324">
        <f>$I65*IF($G65="Pickup", SUMIFS(NewEmisData!G:G, NewEmisData!$A:$A, "Pickup", NewEmisData!$B:$B, $A65, NewEmisData!$C:$C, $H65, NewEmisData!$D:$D, CE$2), SUMIFS(NewEmisData!G:G, NewEmisData!$A:$A, "LDV", NewEmisData!$B:$B, $A65, NewEmisData!$C:$C, $H65, NewEmisData!$D:$D, CE$2))</f>
        <v>2.8386595157116199E-2</v>
      </c>
      <c r="CF65" s="324">
        <f>$I65*IF($G65="Pickup", SUMIFS(NewEmisData!H:H, NewEmisData!$A:$A, "Pickup", NewEmisData!$B:$B, $A65, NewEmisData!$C:$C, $H65, NewEmisData!$D:$D, CF$2), SUMIFS(NewEmisData!H:H, NewEmisData!$A:$A, "LDV", NewEmisData!$B:$B, $A65, NewEmisData!$C:$C, $H65, NewEmisData!$D:$D, CF$2))</f>
        <v>2.7093413499500101E-2</v>
      </c>
      <c r="CG65" s="324">
        <f>$I65*IF($G65="Pickup", SUMIFS(NewEmisData!I:I, NewEmisData!$A:$A, "Pickup", NewEmisData!$B:$B, $A65, NewEmisData!$C:$C, $H65, NewEmisData!$D:$D, CG$2), SUMIFS(NewEmisData!I:I, NewEmisData!$A:$A, "LDV", NewEmisData!$B:$B, $A65, NewEmisData!$C:$C, $H65, NewEmisData!$D:$D, CG$2))</f>
        <v>2.6239574855980601E-2</v>
      </c>
      <c r="CH65" s="324">
        <f>$I65*IF($G65="Pickup", SUMIFS(NewEmisData!J:J, NewEmisData!$A:$A, "Pickup", NewEmisData!$B:$B, $A65, NewEmisData!$C:$C, $H65, NewEmisData!$D:$D, CH$2), SUMIFS(NewEmisData!J:J, NewEmisData!$A:$A, "LDV", NewEmisData!$B:$B, $A65, NewEmisData!$C:$C, $H65, NewEmisData!$D:$D, CH$2))</f>
        <v>2.5564245202349602E-2</v>
      </c>
      <c r="CI65" s="324">
        <f>$I65*IF($G65="Pickup", SUMIFS(NewEmisData!K:K, NewEmisData!$A:$A, "Pickup", NewEmisData!$B:$B, $A65, NewEmisData!$C:$C, $H65, NewEmisData!$D:$D, CI$2), SUMIFS(NewEmisData!K:K, NewEmisData!$A:$A, "LDV", NewEmisData!$B:$B, $A65, NewEmisData!$C:$C, $H65, NewEmisData!$D:$D, CI$2))</f>
        <v>2.5562136009582501E-2</v>
      </c>
      <c r="CJ65" s="324">
        <f>$I65*IF($G65="Pickup", SUMIFS(NewEmisData!L:L, NewEmisData!$A:$A, "Pickup", NewEmisData!$B:$B, $A65, NewEmisData!$C:$C, $H65, NewEmisData!$D:$D, CJ$2), SUMIFS(NewEmisData!L:L, NewEmisData!$A:$A, "LDV", NewEmisData!$B:$B, $A65, NewEmisData!$C:$C, $H65, NewEmisData!$D:$D, CJ$2))</f>
        <v>2.5561539762266602E-2</v>
      </c>
      <c r="CK65" s="324">
        <f>$I65*IF($G65="Pickup", SUMIFS(NewEmisData!M:M, NewEmisData!$A:$A, "Pickup", NewEmisData!$B:$B, $A65, NewEmisData!$C:$C, $H65, NewEmisData!$D:$D, CK$2), SUMIFS(NewEmisData!M:M, NewEmisData!$A:$A, "LDV", NewEmisData!$B:$B, $A65, NewEmisData!$C:$C, $H65, NewEmisData!$D:$D, CK$2))</f>
        <v>2.5560994254839702E-2</v>
      </c>
      <c r="CL65" s="324">
        <f t="shared" si="12"/>
        <v>2.5560994254839702E-2</v>
      </c>
      <c r="CM65" s="324">
        <f>$I65*IF($G65="Pickup", SUMIFS(NewEmisData!E:E, NewEmisData!$A:$A, "Pickup", NewEmisData!$B:$B, $A65, NewEmisData!$C:$C, $H65, NewEmisData!$D:$D, CM$2), SUMIFS(NewEmisData!E:E, NewEmisData!$A:$A, "LDV", NewEmisData!$B:$B, $A65, NewEmisData!$C:$C, $H65, NewEmisData!$D:$D, CM$2))</f>
        <v>2.2616228111616499E-2</v>
      </c>
      <c r="CN65" s="324">
        <f>$I65*IF($G65="Pickup", SUMIFS(NewEmisData!F:F, NewEmisData!$A:$A, "Pickup", NewEmisData!$B:$B, $A65, NewEmisData!$C:$C, $H65, NewEmisData!$D:$D, CN$2), SUMIFS(NewEmisData!F:F, NewEmisData!$A:$A, "LDV", NewEmisData!$B:$B, $A65, NewEmisData!$C:$C, $H65, NewEmisData!$D:$D, CN$2))</f>
        <v>1.37039938381133E-2</v>
      </c>
      <c r="CO65" s="324">
        <f>$I65*IF($G65="Pickup", SUMIFS(NewEmisData!G:G, NewEmisData!$A:$A, "Pickup", NewEmisData!$B:$B, $A65, NewEmisData!$C:$C, $H65, NewEmisData!$D:$D, CO$2), SUMIFS(NewEmisData!G:G, NewEmisData!$A:$A, "LDV", NewEmisData!$B:$B, $A65, NewEmisData!$C:$C, $H65, NewEmisData!$D:$D, CO$2))</f>
        <v>1.11279535576189E-2</v>
      </c>
      <c r="CP65" s="324">
        <f>$I65*IF($G65="Pickup", SUMIFS(NewEmisData!H:H, NewEmisData!$A:$A, "Pickup", NewEmisData!$B:$B, $A65, NewEmisData!$C:$C, $H65, NewEmisData!$D:$D, CP$2), SUMIFS(NewEmisData!H:H, NewEmisData!$A:$A, "LDV", NewEmisData!$B:$B, $A65, NewEmisData!$C:$C, $H65, NewEmisData!$D:$D, CP$2))</f>
        <v>9.1642249406405796E-3</v>
      </c>
      <c r="CQ65" s="324">
        <f>$I65*IF($G65="Pickup", SUMIFS(NewEmisData!I:I, NewEmisData!$A:$A, "Pickup", NewEmisData!$B:$B, $A65, NewEmisData!$C:$C, $H65, NewEmisData!$D:$D, CQ$2), SUMIFS(NewEmisData!I:I, NewEmisData!$A:$A, "LDV", NewEmisData!$B:$B, $A65, NewEmisData!$C:$C, $H65, NewEmisData!$D:$D, CQ$2))</f>
        <v>8.2157407295701708E-3</v>
      </c>
      <c r="CR65" s="324">
        <f>$I65*IF($G65="Pickup", SUMIFS(NewEmisData!J:J, NewEmisData!$A:$A, "Pickup", NewEmisData!$B:$B, $A65, NewEmisData!$C:$C, $H65, NewEmisData!$D:$D, CR$2), SUMIFS(NewEmisData!J:J, NewEmisData!$A:$A, "LDV", NewEmisData!$B:$B, $A65, NewEmisData!$C:$C, $H65, NewEmisData!$D:$D, CR$2))</f>
        <v>7.8051702943740097E-3</v>
      </c>
      <c r="CS65" s="324">
        <f>$I65*IF($G65="Pickup", SUMIFS(NewEmisData!K:K, NewEmisData!$A:$A, "Pickup", NewEmisData!$B:$B, $A65, NewEmisData!$C:$C, $H65, NewEmisData!$D:$D, CS$2), SUMIFS(NewEmisData!K:K, NewEmisData!$A:$A, "LDV", NewEmisData!$B:$B, $A65, NewEmisData!$C:$C, $H65, NewEmisData!$D:$D, CS$2))</f>
        <v>7.7607552788062101E-3</v>
      </c>
      <c r="CT65" s="324">
        <f>$I65*IF($G65="Pickup", SUMIFS(NewEmisData!L:L, NewEmisData!$A:$A, "Pickup", NewEmisData!$B:$B, $A65, NewEmisData!$C:$C, $H65, NewEmisData!$D:$D, CT$2), SUMIFS(NewEmisData!L:L, NewEmisData!$A:$A, "LDV", NewEmisData!$B:$B, $A65, NewEmisData!$C:$C, $H65, NewEmisData!$D:$D, CT$2))</f>
        <v>7.6883348823828098E-3</v>
      </c>
      <c r="CU65" s="324">
        <f>$I65*IF($G65="Pickup", SUMIFS(NewEmisData!M:M, NewEmisData!$A:$A, "Pickup", NewEmisData!$B:$B, $A65, NewEmisData!$C:$C, $H65, NewEmisData!$D:$D, CU$2), SUMIFS(NewEmisData!M:M, NewEmisData!$A:$A, "LDV", NewEmisData!$B:$B, $A65, NewEmisData!$C:$C, $H65, NewEmisData!$D:$D, CU$2))</f>
        <v>7.6878848286885603E-3</v>
      </c>
      <c r="CV65" s="324">
        <f t="shared" si="13"/>
        <v>7.6878848286885603E-3</v>
      </c>
      <c r="CW65" s="324">
        <v>3.0448046675121709E-3</v>
      </c>
      <c r="CX65" s="324">
        <v>1.8865908720768221E-3</v>
      </c>
      <c r="CY65" s="324">
        <v>1.5570268485524494E-3</v>
      </c>
      <c r="CZ65" s="324">
        <v>1.2432183416122382E-3</v>
      </c>
      <c r="DA65" s="324">
        <v>9.252251866281976E-4</v>
      </c>
      <c r="DB65" s="324">
        <v>7.2309456596024934E-4</v>
      </c>
      <c r="DC65" s="324">
        <v>6.8940706870607876E-4</v>
      </c>
      <c r="DD65" s="324">
        <v>6.844148428615973E-4</v>
      </c>
      <c r="DE65" s="324">
        <v>6.8634617396886091E-4</v>
      </c>
      <c r="DF65" s="324">
        <v>6.8634617396886091E-4</v>
      </c>
      <c r="DG65" s="324">
        <f>$I65*IF($G65="Pickup", SUMIFS(NewEmisData!E:E, NewEmisData!$A:$A, "Pickup", NewEmisData!$B:$B, $A65, NewEmisData!$C:$C, $H65, NewEmisData!$D:$D, DG$2), SUMIFS(NewEmisData!E:E, NewEmisData!$A:$A, "LDV", NewEmisData!$B:$B, $A65, NewEmisData!$C:$C, $H65, NewEmisData!$D:$D, DG$2))</f>
        <v>0</v>
      </c>
      <c r="DH65" s="324">
        <f>$I65*IF($G65="Pickup", SUMIFS(NewEmisData!F:F, NewEmisData!$A:$A, "Pickup", NewEmisData!$B:$B, $A65, NewEmisData!$C:$C, $H65, NewEmisData!$D:$D, DH$2), SUMIFS(NewEmisData!F:F, NewEmisData!$A:$A, "LDV", NewEmisData!$B:$B, $A65, NewEmisData!$C:$C, $H65, NewEmisData!$D:$D, DH$2))</f>
        <v>0</v>
      </c>
      <c r="DI65" s="324">
        <f>$I65*IF($G65="Pickup", SUMIFS(NewEmisData!G:G, NewEmisData!$A:$A, "Pickup", NewEmisData!$B:$B, $A65, NewEmisData!$C:$C, $H65, NewEmisData!$D:$D, DI$2), SUMIFS(NewEmisData!G:G, NewEmisData!$A:$A, "LDV", NewEmisData!$B:$B, $A65, NewEmisData!$C:$C, $H65, NewEmisData!$D:$D, DI$2))</f>
        <v>0</v>
      </c>
      <c r="DJ65" s="324">
        <f>$I65*IF($G65="Pickup", SUMIFS(NewEmisData!H:H, NewEmisData!$A:$A, "Pickup", NewEmisData!$B:$B, $A65, NewEmisData!$C:$C, $H65, NewEmisData!$D:$D, DJ$2), SUMIFS(NewEmisData!H:H, NewEmisData!$A:$A, "LDV", NewEmisData!$B:$B, $A65, NewEmisData!$C:$C, $H65, NewEmisData!$D:$D, DJ$2))</f>
        <v>0</v>
      </c>
      <c r="DK65" s="324">
        <f>$I65*IF($G65="Pickup", SUMIFS(NewEmisData!I:I, NewEmisData!$A:$A, "Pickup", NewEmisData!$B:$B, $A65, NewEmisData!$C:$C, $H65, NewEmisData!$D:$D, DK$2), SUMIFS(NewEmisData!I:I, NewEmisData!$A:$A, "LDV", NewEmisData!$B:$B, $A65, NewEmisData!$C:$C, $H65, NewEmisData!$D:$D, DK$2))</f>
        <v>0</v>
      </c>
      <c r="DL65" s="324">
        <f>$I65*IF($G65="Pickup", SUMIFS(NewEmisData!J:J, NewEmisData!$A:$A, "Pickup", NewEmisData!$B:$B, $A65, NewEmisData!$C:$C, $H65, NewEmisData!$D:$D, DL$2), SUMIFS(NewEmisData!J:J, NewEmisData!$A:$A, "LDV", NewEmisData!$B:$B, $A65, NewEmisData!$C:$C, $H65, NewEmisData!$D:$D, DL$2))</f>
        <v>0</v>
      </c>
      <c r="DM65" s="324">
        <f>$I65*IF($G65="Pickup", SUMIFS(NewEmisData!K:K, NewEmisData!$A:$A, "Pickup", NewEmisData!$B:$B, $A65, NewEmisData!$C:$C, $H65, NewEmisData!$D:$D, DM$2), SUMIFS(NewEmisData!K:K, NewEmisData!$A:$A, "LDV", NewEmisData!$B:$B, $A65, NewEmisData!$C:$C, $H65, NewEmisData!$D:$D, DM$2))</f>
        <v>0</v>
      </c>
      <c r="DN65" s="324">
        <f>$I65*IF($G65="Pickup", SUMIFS(NewEmisData!L:L, NewEmisData!$A:$A, "Pickup", NewEmisData!$B:$B, $A65, NewEmisData!$C:$C, $H65, NewEmisData!$D:$D, DN$2), SUMIFS(NewEmisData!L:L, NewEmisData!$A:$A, "LDV", NewEmisData!$B:$B, $A65, NewEmisData!$C:$C, $H65, NewEmisData!$D:$D, DN$2))</f>
        <v>0</v>
      </c>
      <c r="DO65" s="324">
        <f>$I65*IF($G65="Pickup", SUMIFS(NewEmisData!M:M, NewEmisData!$A:$A, "Pickup", NewEmisData!$B:$B, $A65, NewEmisData!$C:$C, $H65, NewEmisData!$D:$D, DO$2), SUMIFS(NewEmisData!M:M, NewEmisData!$A:$A, "LDV", NewEmisData!$B:$B, $A65, NewEmisData!$C:$C, $H65, NewEmisData!$D:$D, DO$2))</f>
        <v>0</v>
      </c>
      <c r="DP65" s="324">
        <f t="shared" si="14"/>
        <v>0</v>
      </c>
      <c r="DQ65" s="324">
        <f>$I65*IF($G65="Pickup", SUMIFS(NewEmisData!E:E, NewEmisData!$A:$A, "Pickup", NewEmisData!$B:$B, $A65, NewEmisData!$C:$C, $H65, NewEmisData!$D:$D, DQ$2), SUMIFS(NewEmisData!E:E, NewEmisData!$A:$A, "LDV", NewEmisData!$B:$B, $A65, NewEmisData!$C:$C, $H65, NewEmisData!$D:$D, DQ$2))</f>
        <v>1.53337301393982E-2</v>
      </c>
      <c r="DR65" s="324">
        <f>$I65*IF($G65="Pickup", SUMIFS(NewEmisData!F:F, NewEmisData!$A:$A, "Pickup", NewEmisData!$B:$B, $A65, NewEmisData!$C:$C, $H65, NewEmisData!$D:$D, DR$2), SUMIFS(NewEmisData!F:F, NewEmisData!$A:$A, "LDV", NewEmisData!$B:$B, $A65, NewEmisData!$C:$C, $H65, NewEmisData!$D:$D, DR$2))</f>
        <v>8.5791399504283501E-3</v>
      </c>
      <c r="DS65" s="324">
        <f>$I65*IF($G65="Pickup", SUMIFS(NewEmisData!G:G, NewEmisData!$A:$A, "Pickup", NewEmisData!$B:$B, $A65, NewEmisData!$C:$C, $H65, NewEmisData!$D:$D, DS$2), SUMIFS(NewEmisData!G:G, NewEmisData!$A:$A, "LDV", NewEmisData!$B:$B, $A65, NewEmisData!$C:$C, $H65, NewEmisData!$D:$D, DS$2))</f>
        <v>6.82614050243104E-3</v>
      </c>
      <c r="DT65" s="324">
        <f>$I65*IF($G65="Pickup", SUMIFS(NewEmisData!H:H, NewEmisData!$A:$A, "Pickup", NewEmisData!$B:$B, $A65, NewEmisData!$C:$C, $H65, NewEmisData!$D:$D, DT$2), SUMIFS(NewEmisData!H:H, NewEmisData!$A:$A, "LDV", NewEmisData!$B:$B, $A65, NewEmisData!$C:$C, $H65, NewEmisData!$D:$D, DT$2))</f>
        <v>5.2306090144423403E-3</v>
      </c>
      <c r="DU65" s="324">
        <f>$I65*IF($G65="Pickup", SUMIFS(NewEmisData!I:I, NewEmisData!$A:$A, "Pickup", NewEmisData!$B:$B, $A65, NewEmisData!$C:$C, $H65, NewEmisData!$D:$D, DU$2), SUMIFS(NewEmisData!I:I, NewEmisData!$A:$A, "LDV", NewEmisData!$B:$B, $A65, NewEmisData!$C:$C, $H65, NewEmisData!$D:$D, DU$2))</f>
        <v>4.0991034424651901E-3</v>
      </c>
      <c r="DV65" s="324">
        <f>$I65*IF($G65="Pickup", SUMIFS(NewEmisData!J:J, NewEmisData!$A:$A, "Pickup", NewEmisData!$B:$B, $A65, NewEmisData!$C:$C, $H65, NewEmisData!$D:$D, DV$2), SUMIFS(NewEmisData!J:J, NewEmisData!$A:$A, "LDV", NewEmisData!$B:$B, $A65, NewEmisData!$C:$C, $H65, NewEmisData!$D:$D, DV$2))</f>
        <v>3.5909983676119801E-3</v>
      </c>
      <c r="DW65" s="324">
        <f>$I65*IF($G65="Pickup", SUMIFS(NewEmisData!K:K, NewEmisData!$A:$A, "Pickup", NewEmisData!$B:$B, $A65, NewEmisData!$C:$C, $H65, NewEmisData!$D:$D, DW$2), SUMIFS(NewEmisData!K:K, NewEmisData!$A:$A, "LDV", NewEmisData!$B:$B, $A65, NewEmisData!$C:$C, $H65, NewEmisData!$D:$D, DW$2))</f>
        <v>3.3016556899443999E-3</v>
      </c>
      <c r="DX65" s="324">
        <f>$I65*IF($G65="Pickup", SUMIFS(NewEmisData!L:L, NewEmisData!$A:$A, "Pickup", NewEmisData!$B:$B, $A65, NewEmisData!$C:$C, $H65, NewEmisData!$D:$D, DX$2), SUMIFS(NewEmisData!L:L, NewEmisData!$A:$A, "LDV", NewEmisData!$B:$B, $A65, NewEmisData!$C:$C, $H65, NewEmisData!$D:$D, DX$2))</f>
        <v>3.2097040973390598E-3</v>
      </c>
      <c r="DY65" s="324">
        <f>$I65*IF($G65="Pickup", SUMIFS(NewEmisData!M:M, NewEmisData!$A:$A, "Pickup", NewEmisData!$B:$B, $A65, NewEmisData!$C:$C, $H65, NewEmisData!$D:$D, DY$2), SUMIFS(NewEmisData!M:M, NewEmisData!$A:$A, "LDV", NewEmisData!$B:$B, $A65, NewEmisData!$C:$C, $H65, NewEmisData!$D:$D, DY$2))</f>
        <v>3.1631494921928599E-3</v>
      </c>
      <c r="DZ65" s="324">
        <f t="shared" si="15"/>
        <v>3.1631494921928599E-3</v>
      </c>
      <c r="EA65" s="324">
        <f t="shared" si="16"/>
        <v>477.08587282575797</v>
      </c>
      <c r="EB65" s="324">
        <f t="shared" si="17"/>
        <v>459.34104292251902</v>
      </c>
      <c r="EC65" s="324">
        <f t="shared" si="18"/>
        <v>447.45896927637102</v>
      </c>
      <c r="ED65" s="324">
        <f t="shared" si="19"/>
        <v>380.72392677964001</v>
      </c>
      <c r="EE65" s="324">
        <f t="shared" si="20"/>
        <v>329.54737069801098</v>
      </c>
      <c r="EF65" s="324">
        <f t="shared" si="21"/>
        <v>300.69829568412598</v>
      </c>
      <c r="EG65" s="324">
        <f t="shared" si="22"/>
        <v>287.83799703632701</v>
      </c>
      <c r="EH65" s="324">
        <f t="shared" si="23"/>
        <v>283.26610797837998</v>
      </c>
      <c r="EI65" s="324">
        <f t="shared" si="24"/>
        <v>281.57834098528099</v>
      </c>
      <c r="EJ65" s="324">
        <f t="shared" si="25"/>
        <v>281.57834098528099</v>
      </c>
      <c r="EK65" s="324">
        <f t="shared" si="26"/>
        <v>0.82339103642645395</v>
      </c>
      <c r="EL65" s="324">
        <f t="shared" si="27"/>
        <v>0.360872733315452</v>
      </c>
      <c r="EM65" s="324">
        <f t="shared" si="28"/>
        <v>0.21658171178065999</v>
      </c>
      <c r="EN65" s="324">
        <f t="shared" si="29"/>
        <v>0.14200533002195401</v>
      </c>
      <c r="EO65" s="324">
        <f t="shared" si="30"/>
        <v>8.8016804659711706E-2</v>
      </c>
      <c r="EP65" s="324">
        <f t="shared" si="31"/>
        <v>6.5736379947852003E-2</v>
      </c>
      <c r="EQ65" s="324">
        <f t="shared" si="32"/>
        <v>5.6635638117250503E-2</v>
      </c>
      <c r="ER65" s="324">
        <f t="shared" si="33"/>
        <v>5.4115247223223299E-2</v>
      </c>
      <c r="ES65" s="324">
        <f t="shared" si="34"/>
        <v>5.2826207223764E-2</v>
      </c>
      <c r="ET65" s="324">
        <f t="shared" si="35"/>
        <v>5.2826207223764E-2</v>
      </c>
      <c r="EU65" s="324">
        <f t="shared" si="36"/>
        <v>8.2552586035919695E-3</v>
      </c>
      <c r="EV65" s="324">
        <f t="shared" si="37"/>
        <v>7.9482131517538395E-3</v>
      </c>
      <c r="EW65" s="324">
        <f t="shared" si="38"/>
        <v>6.4190305556059996E-3</v>
      </c>
      <c r="EX65" s="324">
        <f t="shared" si="39"/>
        <v>5.4616828003907899E-3</v>
      </c>
      <c r="EY65" s="324">
        <f t="shared" si="40"/>
        <v>4.7275285851957304E-3</v>
      </c>
      <c r="EZ65" s="324">
        <f t="shared" si="41"/>
        <v>4.3136734611450098E-3</v>
      </c>
      <c r="FA65" s="324">
        <f t="shared" si="42"/>
        <v>4.1291858052272803E-3</v>
      </c>
      <c r="FB65" s="324">
        <f t="shared" si="43"/>
        <v>4.0635983922117898E-3</v>
      </c>
      <c r="FC65" s="324">
        <f t="shared" si="44"/>
        <v>4.0393864318059199E-3</v>
      </c>
      <c r="FD65" s="324">
        <f t="shared" si="45"/>
        <v>4.0393864318059199E-3</v>
      </c>
      <c r="FE65" s="324">
        <f t="shared" si="46"/>
        <v>8.1828643727713493E-2</v>
      </c>
      <c r="FF65" s="324">
        <f t="shared" si="47"/>
        <v>7.6175839057221195E-2</v>
      </c>
      <c r="FG65" s="324">
        <f t="shared" si="48"/>
        <v>8.1302809072104507E-2</v>
      </c>
      <c r="FH65" s="324">
        <f t="shared" si="49"/>
        <v>7.9561688690416299E-2</v>
      </c>
      <c r="FI65" s="324">
        <f t="shared" si="50"/>
        <v>7.7910530261031605E-2</v>
      </c>
      <c r="FJ65" s="324">
        <f t="shared" si="51"/>
        <v>7.6590334474495605E-2</v>
      </c>
      <c r="FK65" s="324">
        <f t="shared" si="52"/>
        <v>7.5767938917924701E-2</v>
      </c>
      <c r="FL65" s="324">
        <f t="shared" si="53"/>
        <v>7.5353710070808794E-2</v>
      </c>
      <c r="FM65" s="324">
        <f t="shared" si="54"/>
        <v>7.5117977052891499E-2</v>
      </c>
      <c r="FN65" s="324">
        <f t="shared" si="55"/>
        <v>7.5117977052891499E-2</v>
      </c>
      <c r="FO65" s="324">
        <f t="shared" si="56"/>
        <v>2.1998193760633E-2</v>
      </c>
      <c r="FP65" s="324">
        <f t="shared" si="57"/>
        <v>1.6997575378008601E-2</v>
      </c>
      <c r="FQ65" s="324">
        <f t="shared" si="58"/>
        <v>1.6580879412419602E-2</v>
      </c>
      <c r="FR65" s="324">
        <f t="shared" si="59"/>
        <v>1.5040645169031801E-2</v>
      </c>
      <c r="FS65" s="324">
        <f t="shared" si="60"/>
        <v>1.35799610150696E-2</v>
      </c>
      <c r="FT65" s="324">
        <f t="shared" si="61"/>
        <v>1.24120667817219E-2</v>
      </c>
      <c r="FU65" s="324">
        <f t="shared" si="62"/>
        <v>1.16845073314224E-2</v>
      </c>
      <c r="FV65" s="324">
        <f t="shared" si="63"/>
        <v>1.1318096390010799E-2</v>
      </c>
      <c r="FW65" s="324">
        <f t="shared" si="64"/>
        <v>1.1109456757731499E-2</v>
      </c>
      <c r="FX65" s="324">
        <f t="shared" si="65"/>
        <v>1.1109456757731499E-2</v>
      </c>
    </row>
    <row r="66" spans="1:180" x14ac:dyDescent="0.2">
      <c r="A66" s="298" t="str">
        <f>_xlfn.CONCAT(IF(LEFT(TRIM(A65),1)="*", "*R", "R"), 1+RIGHT(TRIM(A65),1))</f>
        <v>*R3</v>
      </c>
      <c r="B66" s="298" t="str">
        <f t="shared" ref="B66:B69" si="122">B65</f>
        <v>TLELPGX</v>
      </c>
      <c r="C66" s="298" t="str">
        <f t="shared" ref="C66:C69" si="123">C65</f>
        <v>TL.LPGX.F.Existing fleet</v>
      </c>
      <c r="D66" s="294" t="str">
        <f t="shared" ref="D66:D69" si="124">D65</f>
        <v>bn-vmt, bn-vmt/a</v>
      </c>
      <c r="E66" s="294" t="str">
        <f t="shared" ref="E66:E69" si="125">E65</f>
        <v>TRNLPGX</v>
      </c>
      <c r="F66" s="294" t="str">
        <f t="shared" ref="F66:F69" si="126">F65</f>
        <v>TL</v>
      </c>
      <c r="G66" s="294" t="s">
        <v>476</v>
      </c>
      <c r="H66" s="294" t="s">
        <v>474</v>
      </c>
      <c r="I66" s="294">
        <v>1</v>
      </c>
      <c r="J66" s="308" t="str">
        <f t="shared" si="101"/>
        <v>Full size car-GSL</v>
      </c>
      <c r="K66" s="324">
        <f>$I66*IF($G66="Pickup", SUMIFS(NewEmisData!E:E, NewEmisData!$A:$A, "Pickup", NewEmisData!$B:$B, $A66, NewEmisData!$C:$C, $H66, NewEmisData!$D:$D, K$2), SUMIFS(NewEmisData!E:E, NewEmisData!$A:$A, "LDV", NewEmisData!$B:$B, $A66, NewEmisData!$C:$C, $H66, NewEmisData!$D:$D, K$2))</f>
        <v>437.85746964693402</v>
      </c>
      <c r="L66" s="324">
        <f>$I66*IF($G66="Pickup", SUMIFS(NewEmisData!F:F, NewEmisData!$A:$A, "Pickup", NewEmisData!$B:$B, $A66, NewEmisData!$C:$C, $H66, NewEmisData!$D:$D, L$2), SUMIFS(NewEmisData!F:F, NewEmisData!$A:$A, "LDV", NewEmisData!$B:$B, $A66, NewEmisData!$C:$C, $H66, NewEmisData!$D:$D, L$2))</f>
        <v>424.609883045034</v>
      </c>
      <c r="M66" s="324">
        <f>$I66*IF($G66="Pickup", SUMIFS(NewEmisData!G:G, NewEmisData!$A:$A, "Pickup", NewEmisData!$B:$B, $A66, NewEmisData!$C:$C, $H66, NewEmisData!$D:$D, M$2), SUMIFS(NewEmisData!G:G, NewEmisData!$A:$A, "LDV", NewEmisData!$B:$B, $A66, NewEmisData!$C:$C, $H66, NewEmisData!$D:$D, M$2))</f>
        <v>389.26792072260798</v>
      </c>
      <c r="N66" s="324">
        <f>$I66*IF($G66="Pickup", SUMIFS(NewEmisData!H:H, NewEmisData!$A:$A, "Pickup", NewEmisData!$B:$B, $A66, NewEmisData!$C:$C, $H66, NewEmisData!$D:$D, N$2), SUMIFS(NewEmisData!H:H, NewEmisData!$A:$A, "LDV", NewEmisData!$B:$B, $A66, NewEmisData!$C:$C, $H66, NewEmisData!$D:$D, N$2))</f>
        <v>331.09003080375697</v>
      </c>
      <c r="O66" s="324">
        <f>$I66*IF($G66="Pickup", SUMIFS(NewEmisData!I:I, NewEmisData!$A:$A, "Pickup", NewEmisData!$B:$B, $A66, NewEmisData!$C:$C, $H66, NewEmisData!$D:$D, O$2), SUMIFS(NewEmisData!I:I, NewEmisData!$A:$A, "LDV", NewEmisData!$B:$B, $A66, NewEmisData!$C:$C, $H66, NewEmisData!$D:$D, O$2))</f>
        <v>286.46929869872997</v>
      </c>
      <c r="P66" s="324">
        <f>$I66*IF($G66="Pickup", SUMIFS(NewEmisData!J:J, NewEmisData!$A:$A, "Pickup", NewEmisData!$B:$B, $A66, NewEmisData!$C:$C, $H66, NewEmisData!$D:$D, P$2), SUMIFS(NewEmisData!J:J, NewEmisData!$A:$A, "LDV", NewEmisData!$B:$B, $A66, NewEmisData!$C:$C, $H66, NewEmisData!$D:$D, P$2))</f>
        <v>261.33080310252802</v>
      </c>
      <c r="Q66" s="324">
        <f>$I66*IF($G66="Pickup", SUMIFS(NewEmisData!K:K, NewEmisData!$A:$A, "Pickup", NewEmisData!$B:$B, $A66, NewEmisData!$C:$C, $H66, NewEmisData!$D:$D, Q$2), SUMIFS(NewEmisData!K:K, NewEmisData!$A:$A, "LDV", NewEmisData!$B:$B, $A66, NewEmisData!$C:$C, $H66, NewEmisData!$D:$D, Q$2))</f>
        <v>250.12665030232699</v>
      </c>
      <c r="R66" s="324">
        <f>$I66*IF($G66="Pickup", SUMIFS(NewEmisData!L:L, NewEmisData!$A:$A, "Pickup", NewEmisData!$B:$B, $A66, NewEmisData!$C:$C, $H66, NewEmisData!$D:$D, R$2), SUMIFS(NewEmisData!L:L, NewEmisData!$A:$A, "LDV", NewEmisData!$B:$B, $A66, NewEmisData!$C:$C, $H66, NewEmisData!$D:$D, R$2))</f>
        <v>246.146486551527</v>
      </c>
      <c r="S66" s="324">
        <f>$I66*IF($G66="Pickup", SUMIFS(NewEmisData!M:M, NewEmisData!$A:$A, "Pickup", NewEmisData!$B:$B, $A66, NewEmisData!$C:$C, $H66, NewEmisData!$D:$D, S$2), SUMIFS(NewEmisData!M:M, NewEmisData!$A:$A, "LDV", NewEmisData!$B:$B, $A66, NewEmisData!$C:$C, $H66, NewEmisData!$D:$D, S$2))</f>
        <v>244.677818234341</v>
      </c>
      <c r="T66" s="324">
        <f t="shared" si="5"/>
        <v>244.677818234341</v>
      </c>
      <c r="U66" s="324">
        <f>$I66*IF($G66="Pickup", SUMIFS(NewEmisData!E:E, NewEmisData!$A:$A, "Pickup", NewEmisData!$B:$B, $A66, NewEmisData!$C:$C, $H66, NewEmisData!$D:$D, U$2), SUMIFS(NewEmisData!E:E, NewEmisData!$A:$A, "LDV", NewEmisData!$B:$B, $A66, NewEmisData!$C:$C, $H66, NewEmisData!$D:$D, U$2))</f>
        <v>0.78000130642291299</v>
      </c>
      <c r="V66" s="324">
        <f>$I66*IF($G66="Pickup", SUMIFS(NewEmisData!F:F, NewEmisData!$A:$A, "Pickup", NewEmisData!$B:$B, $A66, NewEmisData!$C:$C, $H66, NewEmisData!$D:$D, V$2), SUMIFS(NewEmisData!F:F, NewEmisData!$A:$A, "LDV", NewEmisData!$B:$B, $A66, NewEmisData!$C:$C, $H66, NewEmisData!$D:$D, V$2))</f>
        <v>0.323605278282381</v>
      </c>
      <c r="W66" s="324">
        <f>$I66*IF($G66="Pickup", SUMIFS(NewEmisData!G:G, NewEmisData!$A:$A, "Pickup", NewEmisData!$B:$B, $A66, NewEmisData!$C:$C, $H66, NewEmisData!$D:$D, W$2), SUMIFS(NewEmisData!G:G, NewEmisData!$A:$A, "LDV", NewEmisData!$B:$B, $A66, NewEmisData!$C:$C, $H66, NewEmisData!$D:$D, W$2))</f>
        <v>0.19152446532377701</v>
      </c>
      <c r="X66" s="324">
        <f>$I66*IF($G66="Pickup", SUMIFS(NewEmisData!H:H, NewEmisData!$A:$A, "Pickup", NewEmisData!$B:$B, $A66, NewEmisData!$C:$C, $H66, NewEmisData!$D:$D, X$2), SUMIFS(NewEmisData!H:H, NewEmisData!$A:$A, "LDV", NewEmisData!$B:$B, $A66, NewEmisData!$C:$C, $H66, NewEmisData!$D:$D, X$2))</f>
        <v>0.12537127832280801</v>
      </c>
      <c r="Y66" s="324">
        <f>$I66*IF($G66="Pickup", SUMIFS(NewEmisData!I:I, NewEmisData!$A:$A, "Pickup", NewEmisData!$B:$B, $A66, NewEmisData!$C:$C, $H66, NewEmisData!$D:$D, Y$2), SUMIFS(NewEmisData!I:I, NewEmisData!$A:$A, "LDV", NewEmisData!$B:$B, $A66, NewEmisData!$C:$C, $H66, NewEmisData!$D:$D, Y$2))</f>
        <v>7.6671766649271E-2</v>
      </c>
      <c r="Z66" s="324">
        <f>$I66*IF($G66="Pickup", SUMIFS(NewEmisData!J:J, NewEmisData!$A:$A, "Pickup", NewEmisData!$B:$B, $A66, NewEmisData!$C:$C, $H66, NewEmisData!$D:$D, Z$2), SUMIFS(NewEmisData!J:J, NewEmisData!$A:$A, "LDV", NewEmisData!$B:$B, $A66, NewEmisData!$C:$C, $H66, NewEmisData!$D:$D, Z$2))</f>
        <v>5.7019026656941203E-2</v>
      </c>
      <c r="AA66" s="324">
        <f>$I66*IF($G66="Pickup", SUMIFS(NewEmisData!K:K, NewEmisData!$A:$A, "Pickup", NewEmisData!$B:$B, $A66, NewEmisData!$C:$C, $H66, NewEmisData!$D:$D, AA$2), SUMIFS(NewEmisData!K:K, NewEmisData!$A:$A, "LDV", NewEmisData!$B:$B, $A66, NewEmisData!$C:$C, $H66, NewEmisData!$D:$D, AA$2))</f>
        <v>4.8823281713844202E-2</v>
      </c>
      <c r="AB66" s="324">
        <f>$I66*IF($G66="Pickup", SUMIFS(NewEmisData!L:L, NewEmisData!$A:$A, "Pickup", NewEmisData!$B:$B, $A66, NewEmisData!$C:$C, $H66, NewEmisData!$D:$D, AB$2), SUMIFS(NewEmisData!L:L, NewEmisData!$A:$A, "LDV", NewEmisData!$B:$B, $A66, NewEmisData!$C:$C, $H66, NewEmisData!$D:$D, AB$2))</f>
        <v>4.6542407484685501E-2</v>
      </c>
      <c r="AC66" s="324">
        <f>$I66*IF($G66="Pickup", SUMIFS(NewEmisData!M:M, NewEmisData!$A:$A, "Pickup", NewEmisData!$B:$B, $A66, NewEmisData!$C:$C, $H66, NewEmisData!$D:$D, AC$2), SUMIFS(NewEmisData!M:M, NewEmisData!$A:$A, "LDV", NewEmisData!$B:$B, $A66, NewEmisData!$C:$C, $H66, NewEmisData!$D:$D, AC$2))</f>
        <v>4.5415311435121702E-2</v>
      </c>
      <c r="AD66" s="324">
        <f t="shared" si="6"/>
        <v>4.5415311435121702E-2</v>
      </c>
      <c r="AE66" s="324">
        <f>$I66*IF($G66="Pickup", SUMIFS(NewEmisData!E:E, NewEmisData!$A:$A, "Pickup", NewEmisData!$B:$B, $A66, NewEmisData!$C:$C, $H66, NewEmisData!$D:$D, AE$2), SUMIFS(NewEmisData!E:E, NewEmisData!$A:$A, "LDV", NewEmisData!$B:$B, $A66, NewEmisData!$C:$C, $H66, NewEmisData!$D:$D, AE$2))</f>
        <v>7.5764719154140002E-3</v>
      </c>
      <c r="AF66" s="324">
        <f>$I66*IF($G66="Pickup", SUMIFS(NewEmisData!F:F, NewEmisData!$A:$A, "Pickup", NewEmisData!$B:$B, $A66, NewEmisData!$C:$C, $H66, NewEmisData!$D:$D, AF$2), SUMIFS(NewEmisData!F:F, NewEmisData!$A:$A, "LDV", NewEmisData!$B:$B, $A66, NewEmisData!$C:$C, $H66, NewEmisData!$D:$D, AF$2))</f>
        <v>7.3472400077695399E-3</v>
      </c>
      <c r="AG66" s="324">
        <f>$I66*IF($G66="Pickup", SUMIFS(NewEmisData!G:G, NewEmisData!$A:$A, "Pickup", NewEmisData!$B:$B, $A66, NewEmisData!$C:$C, $H66, NewEmisData!$D:$D, AG$2), SUMIFS(NewEmisData!G:G, NewEmisData!$A:$A, "LDV", NewEmisData!$B:$B, $A66, NewEmisData!$C:$C, $H66, NewEmisData!$D:$D, AG$2))</f>
        <v>5.5842494055705696E-3</v>
      </c>
      <c r="AH66" s="324">
        <f>$I66*IF($G66="Pickup", SUMIFS(NewEmisData!H:H, NewEmisData!$A:$A, "Pickup", NewEmisData!$B:$B, $A66, NewEmisData!$C:$C, $H66, NewEmisData!$D:$D, AH$2), SUMIFS(NewEmisData!H:H, NewEmisData!$A:$A, "LDV", NewEmisData!$B:$B, $A66, NewEmisData!$C:$C, $H66, NewEmisData!$D:$D, AH$2))</f>
        <v>4.7496587466809804E-3</v>
      </c>
      <c r="AI66" s="324">
        <f>$I66*IF($G66="Pickup", SUMIFS(NewEmisData!I:I, NewEmisData!$A:$A, "Pickup", NewEmisData!$B:$B, $A66, NewEmisData!$C:$C, $H66, NewEmisData!$D:$D, AI$2), SUMIFS(NewEmisData!I:I, NewEmisData!$A:$A, "LDV", NewEmisData!$B:$B, $A66, NewEmisData!$C:$C, $H66, NewEmisData!$D:$D, AI$2))</f>
        <v>4.1095518958717504E-3</v>
      </c>
      <c r="AJ66" s="324">
        <f>$I66*IF($G66="Pickup", SUMIFS(NewEmisData!J:J, NewEmisData!$A:$A, "Pickup", NewEmisData!$B:$B, $A66, NewEmisData!$C:$C, $H66, NewEmisData!$D:$D, AJ$2), SUMIFS(NewEmisData!J:J, NewEmisData!$A:$A, "LDV", NewEmisData!$B:$B, $A66, NewEmisData!$C:$C, $H66, NewEmisData!$D:$D, AJ$2))</f>
        <v>3.7489264773323799E-3</v>
      </c>
      <c r="AK66" s="324">
        <f>$I66*IF($G66="Pickup", SUMIFS(NewEmisData!K:K, NewEmisData!$A:$A, "Pickup", NewEmisData!$B:$B, $A66, NewEmisData!$C:$C, $H66, NewEmisData!$D:$D, AK$2), SUMIFS(NewEmisData!K:K, NewEmisData!$A:$A, "LDV", NewEmisData!$B:$B, $A66, NewEmisData!$C:$C, $H66, NewEmisData!$D:$D, AK$2))</f>
        <v>3.5881959766524201E-3</v>
      </c>
      <c r="AL66" s="324">
        <f>$I66*IF($G66="Pickup", SUMIFS(NewEmisData!L:L, NewEmisData!$A:$A, "Pickup", NewEmisData!$B:$B, $A66, NewEmisData!$C:$C, $H66, NewEmisData!$D:$D, AL$2), SUMIFS(NewEmisData!L:L, NewEmisData!$A:$A, "LDV", NewEmisData!$B:$B, $A66, NewEmisData!$C:$C, $H66, NewEmisData!$D:$D, AL$2))</f>
        <v>3.5311006464952199E-3</v>
      </c>
      <c r="AM66" s="324">
        <f>$I66*IF($G66="Pickup", SUMIFS(NewEmisData!M:M, NewEmisData!$A:$A, "Pickup", NewEmisData!$B:$B, $A66, NewEmisData!$C:$C, $H66, NewEmisData!$D:$D, AM$2), SUMIFS(NewEmisData!M:M, NewEmisData!$A:$A, "LDV", NewEmisData!$B:$B, $A66, NewEmisData!$C:$C, $H66, NewEmisData!$D:$D, AM$2))</f>
        <v>3.5100309709840301E-3</v>
      </c>
      <c r="AN66" s="324">
        <f t="shared" si="7"/>
        <v>3.5100309709840301E-3</v>
      </c>
      <c r="AO66" s="324">
        <f>$I66*IF($G66="Pickup", SUMIFS(NewEmisData!E:E, NewEmisData!$A:$A, "Pickup", NewEmisData!$B:$B, $A66, NewEmisData!$C:$C, $H66, NewEmisData!$D:$D, AO$2), SUMIFS(NewEmisData!E:E, NewEmisData!$A:$A, "LDV", NewEmisData!$B:$B, $A66, NewEmisData!$C:$C, $H66, NewEmisData!$D:$D, AO$2))</f>
        <v>6.7831755328566196E-2</v>
      </c>
      <c r="AP66" s="324">
        <f>$I66*IF($G66="Pickup", SUMIFS(NewEmisData!F:F, NewEmisData!$A:$A, "Pickup", NewEmisData!$B:$B, $A66, NewEmisData!$C:$C, $H66, NewEmisData!$D:$D, AP$2), SUMIFS(NewEmisData!F:F, NewEmisData!$A:$A, "LDV", NewEmisData!$B:$B, $A66, NewEmisData!$C:$C, $H66, NewEmisData!$D:$D, AP$2))</f>
        <v>6.3250667156757298E-2</v>
      </c>
      <c r="AQ66" s="324">
        <f>$I66*IF($G66="Pickup", SUMIFS(NewEmisData!G:G, NewEmisData!$A:$A, "Pickup", NewEmisData!$B:$B, $A66, NewEmisData!$C:$C, $H66, NewEmisData!$D:$D, AQ$2), SUMIFS(NewEmisData!G:G, NewEmisData!$A:$A, "LDV", NewEmisData!$B:$B, $A66, NewEmisData!$C:$C, $H66, NewEmisData!$D:$D, AQ$2))</f>
        <v>6.2628417187727006E-2</v>
      </c>
      <c r="AR66" s="324">
        <f>$I66*IF($G66="Pickup", SUMIFS(NewEmisData!H:H, NewEmisData!$A:$A, "Pickup", NewEmisData!$B:$B, $A66, NewEmisData!$C:$C, $H66, NewEmisData!$D:$D, AR$2), SUMIFS(NewEmisData!H:H, NewEmisData!$A:$A, "LDV", NewEmisData!$B:$B, $A66, NewEmisData!$C:$C, $H66, NewEmisData!$D:$D, AR$2))</f>
        <v>6.1216981125607202E-2</v>
      </c>
      <c r="AS66" s="324">
        <f>$I66*IF($G66="Pickup", SUMIFS(NewEmisData!I:I, NewEmisData!$A:$A, "Pickup", NewEmisData!$B:$B, $A66, NewEmisData!$C:$C, $H66, NewEmisData!$D:$D, AS$2), SUMIFS(NewEmisData!I:I, NewEmisData!$A:$A, "LDV", NewEmisData!$B:$B, $A66, NewEmisData!$C:$C, $H66, NewEmisData!$D:$D, AS$2))</f>
        <v>5.9842025439809501E-2</v>
      </c>
      <c r="AT66" s="324">
        <f>$I66*IF($G66="Pickup", SUMIFS(NewEmisData!J:J, NewEmisData!$A:$A, "Pickup", NewEmisData!$B:$B, $A66, NewEmisData!$C:$C, $H66, NewEmisData!$D:$D, AT$2), SUMIFS(NewEmisData!J:J, NewEmisData!$A:$A, "LDV", NewEmisData!$B:$B, $A66, NewEmisData!$C:$C, $H66, NewEmisData!$D:$D, AT$2))</f>
        <v>5.8761885691048198E-2</v>
      </c>
      <c r="AU66" s="324">
        <f>$I66*IF($G66="Pickup", SUMIFS(NewEmisData!K:K, NewEmisData!$A:$A, "Pickup", NewEmisData!$B:$B, $A66, NewEmisData!$C:$C, $H66, NewEmisData!$D:$D, AU$2), SUMIFS(NewEmisData!K:K, NewEmisData!$A:$A, "LDV", NewEmisData!$B:$B, $A66, NewEmisData!$C:$C, $H66, NewEmisData!$D:$D, AU$2))</f>
        <v>5.8072078083983E-2</v>
      </c>
      <c r="AV66" s="324">
        <f>$I66*IF($G66="Pickup", SUMIFS(NewEmisData!L:L, NewEmisData!$A:$A, "Pickup", NewEmisData!$B:$B, $A66, NewEmisData!$C:$C, $H66, NewEmisData!$D:$D, AV$2), SUMIFS(NewEmisData!L:L, NewEmisData!$A:$A, "LDV", NewEmisData!$B:$B, $A66, NewEmisData!$C:$C, $H66, NewEmisData!$D:$D, AV$2))</f>
        <v>5.7726484266030297E-2</v>
      </c>
      <c r="AW66" s="324">
        <f>$I66*IF($G66="Pickup", SUMIFS(NewEmisData!M:M, NewEmisData!$A:$A, "Pickup", NewEmisData!$B:$B, $A66, NewEmisData!$C:$C, $H66, NewEmisData!$D:$D, AW$2), SUMIFS(NewEmisData!M:M, NewEmisData!$A:$A, "LDV", NewEmisData!$B:$B, $A66, NewEmisData!$C:$C, $H66, NewEmisData!$D:$D, AW$2))</f>
        <v>5.7530226905323702E-2</v>
      </c>
      <c r="AX66" s="324">
        <f t="shared" si="8"/>
        <v>5.7530226905323702E-2</v>
      </c>
      <c r="AY66" s="324">
        <f>$I66*IF($G66="Pickup", SUMIFS(NewEmisData!E:E, NewEmisData!$A:$A, "Pickup", NewEmisData!$B:$B, $A66, NewEmisData!$C:$C, $H66, NewEmisData!$D:$D, AY$2), SUMIFS(NewEmisData!E:E, NewEmisData!$A:$A, "LDV", NewEmisData!$B:$B, $A66, NewEmisData!$C:$C, $H66, NewEmisData!$D:$D, AY$2))</f>
        <v>1.8324822567621701E-2</v>
      </c>
      <c r="AZ66" s="324">
        <f>$I66*IF($G66="Pickup", SUMIFS(NewEmisData!F:F, NewEmisData!$A:$A, "Pickup", NewEmisData!$B:$B, $A66, NewEmisData!$C:$C, $H66, NewEmisData!$D:$D, AZ$2), SUMIFS(NewEmisData!F:F, NewEmisData!$A:$A, "LDV", NewEmisData!$B:$B, $A66, NewEmisData!$C:$C, $H66, NewEmisData!$D:$D, AZ$2))</f>
        <v>1.4272294035055699E-2</v>
      </c>
      <c r="BA66" s="324">
        <f>$I66*IF($G66="Pickup", SUMIFS(NewEmisData!G:G, NewEmisData!$A:$A, "Pickup", NewEmisData!$B:$B, $A66, NewEmisData!$C:$C, $H66, NewEmisData!$D:$D, BA$2), SUMIFS(NewEmisData!G:G, NewEmisData!$A:$A, "LDV", NewEmisData!$B:$B, $A66, NewEmisData!$C:$C, $H66, NewEmisData!$D:$D, BA$2))</f>
        <v>1.3165752481838801E-2</v>
      </c>
      <c r="BB66" s="324">
        <f>$I66*IF($G66="Pickup", SUMIFS(NewEmisData!H:H, NewEmisData!$A:$A, "Pickup", NewEmisData!$B:$B, $A66, NewEmisData!$C:$C, $H66, NewEmisData!$D:$D, BB$2), SUMIFS(NewEmisData!H:H, NewEmisData!$A:$A, "LDV", NewEmisData!$B:$B, $A66, NewEmisData!$C:$C, $H66, NewEmisData!$D:$D, BB$2))</f>
        <v>1.1917194849656599E-2</v>
      </c>
      <c r="BC66" s="324">
        <f>$I66*IF($G66="Pickup", SUMIFS(NewEmisData!I:I, NewEmisData!$A:$A, "Pickup", NewEmisData!$B:$B, $A66, NewEmisData!$C:$C, $H66, NewEmisData!$D:$D, BC$2), SUMIFS(NewEmisData!I:I, NewEmisData!$A:$A, "LDV", NewEmisData!$B:$B, $A66, NewEmisData!$C:$C, $H66, NewEmisData!$D:$D, BC$2))</f>
        <v>1.0700861948252101E-2</v>
      </c>
      <c r="BD66" s="324">
        <f>$I66*IF($G66="Pickup", SUMIFS(NewEmisData!J:J, NewEmisData!$A:$A, "Pickup", NewEmisData!$B:$B, $A66, NewEmisData!$C:$C, $H66, NewEmisData!$D:$D, BD$2), SUMIFS(NewEmisData!J:J, NewEmisData!$A:$A, "LDV", NewEmisData!$B:$B, $A66, NewEmisData!$C:$C, $H66, NewEmisData!$D:$D, BD$2))</f>
        <v>9.7453521893521699E-3</v>
      </c>
      <c r="BE66" s="324">
        <f>$I66*IF($G66="Pickup", SUMIFS(NewEmisData!K:K, NewEmisData!$A:$A, "Pickup", NewEmisData!$B:$B, $A66, NewEmisData!$C:$C, $H66, NewEmisData!$D:$D, BE$2), SUMIFS(NewEmisData!K:K, NewEmisData!$A:$A, "LDV", NewEmisData!$B:$B, $A66, NewEmisData!$C:$C, $H66, NewEmisData!$D:$D, BE$2))</f>
        <v>9.1351470976244707E-3</v>
      </c>
      <c r="BF66" s="324">
        <f>$I66*IF($G66="Pickup", SUMIFS(NewEmisData!L:L, NewEmisData!$A:$A, "Pickup", NewEmisData!$B:$B, $A66, NewEmisData!$C:$C, $H66, NewEmisData!$D:$D, BF$2), SUMIFS(NewEmisData!L:L, NewEmisData!$A:$A, "LDV", NewEmisData!$B:$B, $A66, NewEmisData!$C:$C, $H66, NewEmisData!$D:$D, BF$2))</f>
        <v>8.8293874131557606E-3</v>
      </c>
      <c r="BG66" s="324">
        <f>$I66*IF($G66="Pickup", SUMIFS(NewEmisData!M:M, NewEmisData!$A:$A, "Pickup", NewEmisData!$B:$B, $A66, NewEmisData!$C:$C, $H66, NewEmisData!$D:$D, BG$2), SUMIFS(NewEmisData!M:M, NewEmisData!$A:$A, "LDV", NewEmisData!$B:$B, $A66, NewEmisData!$C:$C, $H66, NewEmisData!$D:$D, BG$2))</f>
        <v>8.6558174466142106E-3</v>
      </c>
      <c r="BH66" s="324">
        <f t="shared" si="9"/>
        <v>8.6558174466142106E-3</v>
      </c>
      <c r="BI66" s="324">
        <f>$I66*IF($G66="Pickup", SUMIFS(NewEmisData!E:E, NewEmisData!$A:$A, "Pickup", NewEmisData!$B:$B, $A66, NewEmisData!$C:$C, $H66, NewEmisData!$D:$D, BI$2), SUMIFS(NewEmisData!E:E, NewEmisData!$A:$A, "LDV", NewEmisData!$B:$B, $A66, NewEmisData!$C:$C, $H66, NewEmisData!$D:$D, BI$2))</f>
        <v>5.6341971782511804</v>
      </c>
      <c r="BJ66" s="324">
        <f>$I66*IF($G66="Pickup", SUMIFS(NewEmisData!F:F, NewEmisData!$A:$A, "Pickup", NewEmisData!$B:$B, $A66, NewEmisData!$C:$C, $H66, NewEmisData!$D:$D, BJ$2), SUMIFS(NewEmisData!F:F, NewEmisData!$A:$A, "LDV", NewEmisData!$B:$B, $A66, NewEmisData!$C:$C, $H66, NewEmisData!$D:$D, BJ$2))</f>
        <v>3.2912080717511998</v>
      </c>
      <c r="BK66" s="324">
        <f>$I66*IF($G66="Pickup", SUMIFS(NewEmisData!G:G, NewEmisData!$A:$A, "Pickup", NewEmisData!$B:$B, $A66, NewEmisData!$C:$C, $H66, NewEmisData!$D:$D, BK$2), SUMIFS(NewEmisData!G:G, NewEmisData!$A:$A, "LDV", NewEmisData!$B:$B, $A66, NewEmisData!$C:$C, $H66, NewEmisData!$D:$D, BK$2))</f>
        <v>2.5038449092773698</v>
      </c>
      <c r="BL66" s="324">
        <f>$I66*IF($G66="Pickup", SUMIFS(NewEmisData!H:H, NewEmisData!$A:$A, "Pickup", NewEmisData!$B:$B, $A66, NewEmisData!$C:$C, $H66, NewEmisData!$D:$D, BL$2), SUMIFS(NewEmisData!H:H, NewEmisData!$A:$A, "LDV", NewEmisData!$B:$B, $A66, NewEmisData!$C:$C, $H66, NewEmisData!$D:$D, BL$2))</f>
        <v>1.9586302072503601</v>
      </c>
      <c r="BM66" s="324">
        <f>$I66*IF($G66="Pickup", SUMIFS(NewEmisData!I:I, NewEmisData!$A:$A, "Pickup", NewEmisData!$B:$B, $A66, NewEmisData!$C:$C, $H66, NewEmisData!$D:$D, BM$2), SUMIFS(NewEmisData!I:I, NewEmisData!$A:$A, "LDV", NewEmisData!$B:$B, $A66, NewEmisData!$C:$C, $H66, NewEmisData!$D:$D, BM$2))</f>
        <v>1.4188080704430199</v>
      </c>
      <c r="BN66" s="324">
        <f>$I66*IF($G66="Pickup", SUMIFS(NewEmisData!J:J, NewEmisData!$A:$A, "Pickup", NewEmisData!$B:$B, $A66, NewEmisData!$C:$C, $H66, NewEmisData!$D:$D, BN$2), SUMIFS(NewEmisData!J:J, NewEmisData!$A:$A, "LDV", NewEmisData!$B:$B, $A66, NewEmisData!$C:$C, $H66, NewEmisData!$D:$D, BN$2))</f>
        <v>1.12295829909247</v>
      </c>
      <c r="BO66" s="324">
        <f>$I66*IF($G66="Pickup", SUMIFS(NewEmisData!K:K, NewEmisData!$A:$A, "Pickup", NewEmisData!$B:$B, $A66, NewEmisData!$C:$C, $H66, NewEmisData!$D:$D, BO$2), SUMIFS(NewEmisData!K:K, NewEmisData!$A:$A, "LDV", NewEmisData!$B:$B, $A66, NewEmisData!$C:$C, $H66, NewEmisData!$D:$D, BO$2))</f>
        <v>0.98917470890575399</v>
      </c>
      <c r="BP66" s="324">
        <f>$I66*IF($G66="Pickup", SUMIFS(NewEmisData!L:L, NewEmisData!$A:$A, "Pickup", NewEmisData!$B:$B, $A66, NewEmisData!$C:$C, $H66, NewEmisData!$D:$D, BP$2), SUMIFS(NewEmisData!L:L, NewEmisData!$A:$A, "LDV", NewEmisData!$B:$B, $A66, NewEmisData!$C:$C, $H66, NewEmisData!$D:$D, BP$2))</f>
        <v>0.94587291374607996</v>
      </c>
      <c r="BQ66" s="324">
        <f>$I66*IF($G66="Pickup", SUMIFS(NewEmisData!M:M, NewEmisData!$A:$A, "Pickup", NewEmisData!$B:$B, $A66, NewEmisData!$C:$C, $H66, NewEmisData!$D:$D, BQ$2), SUMIFS(NewEmisData!M:M, NewEmisData!$A:$A, "LDV", NewEmisData!$B:$B, $A66, NewEmisData!$C:$C, $H66, NewEmisData!$D:$D, BQ$2))</f>
        <v>0.91886504762322097</v>
      </c>
      <c r="BR66" s="324">
        <f t="shared" si="10"/>
        <v>0.91886504762322097</v>
      </c>
      <c r="BS66" s="324">
        <f>$I66*IF($G66="Pickup", SUMIFS(NewEmisData!E:E, NewEmisData!$A:$A, "Pickup", NewEmisData!$B:$B, $A66, NewEmisData!$C:$C, $H66, NewEmisData!$D:$D, BS$2), SUMIFS(NewEmisData!E:E, NewEmisData!$A:$A, "LDV", NewEmisData!$B:$B, $A66, NewEmisData!$C:$C, $H66, NewEmisData!$D:$D, BS$2))</f>
        <v>0.64604041020523395</v>
      </c>
      <c r="BT66" s="324">
        <f>$I66*IF($G66="Pickup", SUMIFS(NewEmisData!F:F, NewEmisData!$A:$A, "Pickup", NewEmisData!$B:$B, $A66, NewEmisData!$C:$C, $H66, NewEmisData!$D:$D, BT$2), SUMIFS(NewEmisData!F:F, NewEmisData!$A:$A, "LDV", NewEmisData!$B:$B, $A66, NewEmisData!$C:$C, $H66, NewEmisData!$D:$D, BT$2))</f>
        <v>0.33711601886070303</v>
      </c>
      <c r="BU66" s="324">
        <f>$I66*IF($G66="Pickup", SUMIFS(NewEmisData!G:G, NewEmisData!$A:$A, "Pickup", NewEmisData!$B:$B, $A66, NewEmisData!$C:$C, $H66, NewEmisData!$D:$D, BU$2), SUMIFS(NewEmisData!G:G, NewEmisData!$A:$A, "LDV", NewEmisData!$B:$B, $A66, NewEmisData!$C:$C, $H66, NewEmisData!$D:$D, BU$2))</f>
        <v>0.24835485029207899</v>
      </c>
      <c r="BV66" s="324">
        <f>$I66*IF($G66="Pickup", SUMIFS(NewEmisData!H:H, NewEmisData!$A:$A, "Pickup", NewEmisData!$B:$B, $A66, NewEmisData!$C:$C, $H66, NewEmisData!$D:$D, BV$2), SUMIFS(NewEmisData!H:H, NewEmisData!$A:$A, "LDV", NewEmisData!$B:$B, $A66, NewEmisData!$C:$C, $H66, NewEmisData!$D:$D, BV$2))</f>
        <v>0.20063726173746699</v>
      </c>
      <c r="BW66" s="324">
        <f>$I66*IF($G66="Pickup", SUMIFS(NewEmisData!I:I, NewEmisData!$A:$A, "Pickup", NewEmisData!$B:$B, $A66, NewEmisData!$C:$C, $H66, NewEmisData!$D:$D, BW$2), SUMIFS(NewEmisData!I:I, NewEmisData!$A:$A, "LDV", NewEmisData!$B:$B, $A66, NewEmisData!$C:$C, $H66, NewEmisData!$D:$D, BW$2))</f>
        <v>0.148388069930526</v>
      </c>
      <c r="BX66" s="324">
        <f>$I66*IF($G66="Pickup", SUMIFS(NewEmisData!J:J, NewEmisData!$A:$A, "Pickup", NewEmisData!$B:$B, $A66, NewEmisData!$C:$C, $H66, NewEmisData!$D:$D, BX$2), SUMIFS(NewEmisData!J:J, NewEmisData!$A:$A, "LDV", NewEmisData!$B:$B, $A66, NewEmisData!$C:$C, $H66, NewEmisData!$D:$D, BX$2))</f>
        <v>0.12460657527841699</v>
      </c>
      <c r="BY66" s="324">
        <f>$I66*IF($G66="Pickup", SUMIFS(NewEmisData!K:K, NewEmisData!$A:$A, "Pickup", NewEmisData!$B:$B, $A66, NewEmisData!$C:$C, $H66, NewEmisData!$D:$D, BY$2), SUMIFS(NewEmisData!K:K, NewEmisData!$A:$A, "LDV", NewEmisData!$B:$B, $A66, NewEmisData!$C:$C, $H66, NewEmisData!$D:$D, BY$2))</f>
        <v>0.11177610097077099</v>
      </c>
      <c r="BZ66" s="324">
        <f>$I66*IF($G66="Pickup", SUMIFS(NewEmisData!L:L, NewEmisData!$A:$A, "Pickup", NewEmisData!$B:$B, $A66, NewEmisData!$C:$C, $H66, NewEmisData!$D:$D, BZ$2), SUMIFS(NewEmisData!L:L, NewEmisData!$A:$A, "LDV", NewEmisData!$B:$B, $A66, NewEmisData!$C:$C, $H66, NewEmisData!$D:$D, BZ$2))</f>
        <v>0.10678198489299399</v>
      </c>
      <c r="CA66" s="324">
        <f>$I66*IF($G66="Pickup", SUMIFS(NewEmisData!M:M, NewEmisData!$A:$A, "Pickup", NewEmisData!$B:$B, $A66, NewEmisData!$C:$C, $H66, NewEmisData!$D:$D, CA$2), SUMIFS(NewEmisData!M:M, NewEmisData!$A:$A, "LDV", NewEmisData!$B:$B, $A66, NewEmisData!$C:$C, $H66, NewEmisData!$D:$D, CA$2))</f>
        <v>0.102788686456563</v>
      </c>
      <c r="CB66" s="324">
        <f t="shared" si="11"/>
        <v>0.102788686456563</v>
      </c>
      <c r="CC66" s="324">
        <f>$I66*IF($G66="Pickup", SUMIFS(NewEmisData!E:E, NewEmisData!$A:$A, "Pickup", NewEmisData!$B:$B, $A66, NewEmisData!$C:$C, $H66, NewEmisData!$D:$D, CC$2), SUMIFS(NewEmisData!E:E, NewEmisData!$A:$A, "LDV", NewEmisData!$B:$B, $A66, NewEmisData!$C:$C, $H66, NewEmisData!$D:$D, CC$2))</f>
        <v>4.5186599160421101E-2</v>
      </c>
      <c r="CD66" s="324">
        <f>$I66*IF($G66="Pickup", SUMIFS(NewEmisData!F:F, NewEmisData!$A:$A, "Pickup", NewEmisData!$B:$B, $A66, NewEmisData!$C:$C, $H66, NewEmisData!$D:$D, CD$2), SUMIFS(NewEmisData!F:F, NewEmisData!$A:$A, "LDV", NewEmisData!$B:$B, $A66, NewEmisData!$C:$C, $H66, NewEmisData!$D:$D, CD$2))</f>
        <v>3.0321042660064499E-2</v>
      </c>
      <c r="CE66" s="324">
        <f>$I66*IF($G66="Pickup", SUMIFS(NewEmisData!G:G, NewEmisData!$A:$A, "Pickup", NewEmisData!$B:$B, $A66, NewEmisData!$C:$C, $H66, NewEmisData!$D:$D, CE$2), SUMIFS(NewEmisData!G:G, NewEmisData!$A:$A, "LDV", NewEmisData!$B:$B, $A66, NewEmisData!$C:$C, $H66, NewEmisData!$D:$D, CE$2))</f>
        <v>2.5916716030162101E-2</v>
      </c>
      <c r="CF66" s="324">
        <f>$I66*IF($G66="Pickup", SUMIFS(NewEmisData!H:H, NewEmisData!$A:$A, "Pickup", NewEmisData!$B:$B, $A66, NewEmisData!$C:$C, $H66, NewEmisData!$D:$D, CF$2), SUMIFS(NewEmisData!H:H, NewEmisData!$A:$A, "LDV", NewEmisData!$B:$B, $A66, NewEmisData!$C:$C, $H66, NewEmisData!$D:$D, CF$2))</f>
        <v>2.4735955589537201E-2</v>
      </c>
      <c r="CG66" s="324">
        <f>$I66*IF($G66="Pickup", SUMIFS(NewEmisData!I:I, NewEmisData!$A:$A, "Pickup", NewEmisData!$B:$B, $A66, NewEmisData!$C:$C, $H66, NewEmisData!$D:$D, CG$2), SUMIFS(NewEmisData!I:I, NewEmisData!$A:$A, "LDV", NewEmisData!$B:$B, $A66, NewEmisData!$C:$C, $H66, NewEmisData!$D:$D, CG$2))</f>
        <v>2.39507418397766E-2</v>
      </c>
      <c r="CH66" s="324">
        <f>$I66*IF($G66="Pickup", SUMIFS(NewEmisData!J:J, NewEmisData!$A:$A, "Pickup", NewEmisData!$B:$B, $A66, NewEmisData!$C:$C, $H66, NewEmisData!$D:$D, CH$2), SUMIFS(NewEmisData!J:J, NewEmisData!$A:$A, "LDV", NewEmisData!$B:$B, $A66, NewEmisData!$C:$C, $H66, NewEmisData!$D:$D, CH$2))</f>
        <v>2.33343295652753E-2</v>
      </c>
      <c r="CI66" s="324">
        <f>$I66*IF($G66="Pickup", SUMIFS(NewEmisData!K:K, NewEmisData!$A:$A, "Pickup", NewEmisData!$B:$B, $A66, NewEmisData!$C:$C, $H66, NewEmisData!$D:$D, CI$2), SUMIFS(NewEmisData!K:K, NewEmisData!$A:$A, "LDV", NewEmisData!$B:$B, $A66, NewEmisData!$C:$C, $H66, NewEmisData!$D:$D, CI$2))</f>
        <v>2.33323778682475E-2</v>
      </c>
      <c r="CJ66" s="324">
        <f>$I66*IF($G66="Pickup", SUMIFS(NewEmisData!L:L, NewEmisData!$A:$A, "Pickup", NewEmisData!$B:$B, $A66, NewEmisData!$C:$C, $H66, NewEmisData!$D:$D, CJ$2), SUMIFS(NewEmisData!L:L, NewEmisData!$A:$A, "LDV", NewEmisData!$B:$B, $A66, NewEmisData!$C:$C, $H66, NewEmisData!$D:$D, CJ$2))</f>
        <v>2.3331868508858E-2</v>
      </c>
      <c r="CK66" s="324">
        <f>$I66*IF($G66="Pickup", SUMIFS(NewEmisData!M:M, NewEmisData!$A:$A, "Pickup", NewEmisData!$B:$B, $A66, NewEmisData!$C:$C, $H66, NewEmisData!$D:$D, CK$2), SUMIFS(NewEmisData!M:M, NewEmisData!$A:$A, "LDV", NewEmisData!$B:$B, $A66, NewEmisData!$C:$C, $H66, NewEmisData!$D:$D, CK$2))</f>
        <v>2.3331333840255802E-2</v>
      </c>
      <c r="CL66" s="324">
        <f t="shared" si="12"/>
        <v>2.3331333840255802E-2</v>
      </c>
      <c r="CM66" s="324">
        <f>$I66*IF($G66="Pickup", SUMIFS(NewEmisData!E:E, NewEmisData!$A:$A, "Pickup", NewEmisData!$B:$B, $A66, NewEmisData!$C:$C, $H66, NewEmisData!$D:$D, CM$2), SUMIFS(NewEmisData!E:E, NewEmisData!$A:$A, "LDV", NewEmisData!$B:$B, $A66, NewEmisData!$C:$C, $H66, NewEmisData!$D:$D, CM$2))</f>
        <v>1.8999640989844298E-2</v>
      </c>
      <c r="CN66" s="324">
        <f>$I66*IF($G66="Pickup", SUMIFS(NewEmisData!F:F, NewEmisData!$A:$A, "Pickup", NewEmisData!$B:$B, $A66, NewEmisData!$C:$C, $H66, NewEmisData!$D:$D, CN$2), SUMIFS(NewEmisData!F:F, NewEmisData!$A:$A, "LDV", NewEmisData!$B:$B, $A66, NewEmisData!$C:$C, $H66, NewEmisData!$D:$D, CN$2))</f>
        <v>1.12934038283153E-2</v>
      </c>
      <c r="CO66" s="324">
        <f>$I66*IF($G66="Pickup", SUMIFS(NewEmisData!G:G, NewEmisData!$A:$A, "Pickup", NewEmisData!$B:$B, $A66, NewEmisData!$C:$C, $H66, NewEmisData!$D:$D, CO$2), SUMIFS(NewEmisData!G:G, NewEmisData!$A:$A, "LDV", NewEmisData!$B:$B, $A66, NewEmisData!$C:$C, $H66, NewEmisData!$D:$D, CO$2))</f>
        <v>8.9155864809614994E-3</v>
      </c>
      <c r="CP66" s="324">
        <f>$I66*IF($G66="Pickup", SUMIFS(NewEmisData!H:H, NewEmisData!$A:$A, "Pickup", NewEmisData!$B:$B, $A66, NewEmisData!$C:$C, $H66, NewEmisData!$D:$D, CP$2), SUMIFS(NewEmisData!H:H, NewEmisData!$A:$A, "LDV", NewEmisData!$B:$B, $A66, NewEmisData!$C:$C, $H66, NewEmisData!$D:$D, CP$2))</f>
        <v>7.3372921922104104E-3</v>
      </c>
      <c r="CQ66" s="324">
        <f>$I66*IF($G66="Pickup", SUMIFS(NewEmisData!I:I, NewEmisData!$A:$A, "Pickup", NewEmisData!$B:$B, $A66, NewEmisData!$C:$C, $H66, NewEmisData!$D:$D, CQ$2), SUMIFS(NewEmisData!I:I, NewEmisData!$A:$A, "LDV", NewEmisData!$B:$B, $A66, NewEmisData!$C:$C, $H66, NewEmisData!$D:$D, CQ$2))</f>
        <v>6.5724995115123896E-3</v>
      </c>
      <c r="CR66" s="324">
        <f>$I66*IF($G66="Pickup", SUMIFS(NewEmisData!J:J, NewEmisData!$A:$A, "Pickup", NewEmisData!$B:$B, $A66, NewEmisData!$C:$C, $H66, NewEmisData!$D:$D, CR$2), SUMIFS(NewEmisData!J:J, NewEmisData!$A:$A, "LDV", NewEmisData!$B:$B, $A66, NewEmisData!$C:$C, $H66, NewEmisData!$D:$D, CR$2))</f>
        <v>6.2407197852133098E-3</v>
      </c>
      <c r="CS66" s="324">
        <f>$I66*IF($G66="Pickup", SUMIFS(NewEmisData!K:K, NewEmisData!$A:$A, "Pickup", NewEmisData!$B:$B, $A66, NewEmisData!$C:$C, $H66, NewEmisData!$D:$D, CS$2), SUMIFS(NewEmisData!K:K, NewEmisData!$A:$A, "LDV", NewEmisData!$B:$B, $A66, NewEmisData!$C:$C, $H66, NewEmisData!$D:$D, CS$2))</f>
        <v>6.20457620974787E-3</v>
      </c>
      <c r="CT66" s="324">
        <f>$I66*IF($G66="Pickup", SUMIFS(NewEmisData!L:L, NewEmisData!$A:$A, "Pickup", NewEmisData!$B:$B, $A66, NewEmisData!$C:$C, $H66, NewEmisData!$D:$D, CT$2), SUMIFS(NewEmisData!L:L, NewEmisData!$A:$A, "LDV", NewEmisData!$B:$B, $A66, NewEmisData!$C:$C, $H66, NewEmisData!$D:$D, CT$2))</f>
        <v>6.1456645266433898E-3</v>
      </c>
      <c r="CU66" s="324">
        <f>$I66*IF($G66="Pickup", SUMIFS(NewEmisData!M:M, NewEmisData!$A:$A, "Pickup", NewEmisData!$B:$B, $A66, NewEmisData!$C:$C, $H66, NewEmisData!$D:$D, CU$2), SUMIFS(NewEmisData!M:M, NewEmisData!$A:$A, "LDV", NewEmisData!$B:$B, $A66, NewEmisData!$C:$C, $H66, NewEmisData!$D:$D, CU$2))</f>
        <v>6.1452936234844303E-3</v>
      </c>
      <c r="CV66" s="324">
        <f t="shared" si="13"/>
        <v>6.1452936234844303E-3</v>
      </c>
      <c r="CW66" s="324">
        <v>3.0448046675121709E-3</v>
      </c>
      <c r="CX66" s="324">
        <v>1.8865908720768221E-3</v>
      </c>
      <c r="CY66" s="324">
        <v>1.5570268485524494E-3</v>
      </c>
      <c r="CZ66" s="324">
        <v>1.2432183416122382E-3</v>
      </c>
      <c r="DA66" s="324">
        <v>9.252251866281976E-4</v>
      </c>
      <c r="DB66" s="324">
        <v>7.2309456596024934E-4</v>
      </c>
      <c r="DC66" s="324">
        <v>6.8940706870607876E-4</v>
      </c>
      <c r="DD66" s="324">
        <v>6.844148428615973E-4</v>
      </c>
      <c r="DE66" s="324">
        <v>6.8634617396886091E-4</v>
      </c>
      <c r="DF66" s="324">
        <v>6.8634617396886091E-4</v>
      </c>
      <c r="DG66" s="324">
        <f>$I66*IF($G66="Pickup", SUMIFS(NewEmisData!E:E, NewEmisData!$A:$A, "Pickup", NewEmisData!$B:$B, $A66, NewEmisData!$C:$C, $H66, NewEmisData!$D:$D, DG$2), SUMIFS(NewEmisData!E:E, NewEmisData!$A:$A, "LDV", NewEmisData!$B:$B, $A66, NewEmisData!$C:$C, $H66, NewEmisData!$D:$D, DG$2))</f>
        <v>0</v>
      </c>
      <c r="DH66" s="324">
        <f>$I66*IF($G66="Pickup", SUMIFS(NewEmisData!F:F, NewEmisData!$A:$A, "Pickup", NewEmisData!$B:$B, $A66, NewEmisData!$C:$C, $H66, NewEmisData!$D:$D, DH$2), SUMIFS(NewEmisData!F:F, NewEmisData!$A:$A, "LDV", NewEmisData!$B:$B, $A66, NewEmisData!$C:$C, $H66, NewEmisData!$D:$D, DH$2))</f>
        <v>0</v>
      </c>
      <c r="DI66" s="324">
        <f>$I66*IF($G66="Pickup", SUMIFS(NewEmisData!G:G, NewEmisData!$A:$A, "Pickup", NewEmisData!$B:$B, $A66, NewEmisData!$C:$C, $H66, NewEmisData!$D:$D, DI$2), SUMIFS(NewEmisData!G:G, NewEmisData!$A:$A, "LDV", NewEmisData!$B:$B, $A66, NewEmisData!$C:$C, $H66, NewEmisData!$D:$D, DI$2))</f>
        <v>0</v>
      </c>
      <c r="DJ66" s="324">
        <f>$I66*IF($G66="Pickup", SUMIFS(NewEmisData!H:H, NewEmisData!$A:$A, "Pickup", NewEmisData!$B:$B, $A66, NewEmisData!$C:$C, $H66, NewEmisData!$D:$D, DJ$2), SUMIFS(NewEmisData!H:H, NewEmisData!$A:$A, "LDV", NewEmisData!$B:$B, $A66, NewEmisData!$C:$C, $H66, NewEmisData!$D:$D, DJ$2))</f>
        <v>0</v>
      </c>
      <c r="DK66" s="324">
        <f>$I66*IF($G66="Pickup", SUMIFS(NewEmisData!I:I, NewEmisData!$A:$A, "Pickup", NewEmisData!$B:$B, $A66, NewEmisData!$C:$C, $H66, NewEmisData!$D:$D, DK$2), SUMIFS(NewEmisData!I:I, NewEmisData!$A:$A, "LDV", NewEmisData!$B:$B, $A66, NewEmisData!$C:$C, $H66, NewEmisData!$D:$D, DK$2))</f>
        <v>0</v>
      </c>
      <c r="DL66" s="324">
        <f>$I66*IF($G66="Pickup", SUMIFS(NewEmisData!J:J, NewEmisData!$A:$A, "Pickup", NewEmisData!$B:$B, $A66, NewEmisData!$C:$C, $H66, NewEmisData!$D:$D, DL$2), SUMIFS(NewEmisData!J:J, NewEmisData!$A:$A, "LDV", NewEmisData!$B:$B, $A66, NewEmisData!$C:$C, $H66, NewEmisData!$D:$D, DL$2))</f>
        <v>0</v>
      </c>
      <c r="DM66" s="324">
        <f>$I66*IF($G66="Pickup", SUMIFS(NewEmisData!K:K, NewEmisData!$A:$A, "Pickup", NewEmisData!$B:$B, $A66, NewEmisData!$C:$C, $H66, NewEmisData!$D:$D, DM$2), SUMIFS(NewEmisData!K:K, NewEmisData!$A:$A, "LDV", NewEmisData!$B:$B, $A66, NewEmisData!$C:$C, $H66, NewEmisData!$D:$D, DM$2))</f>
        <v>0</v>
      </c>
      <c r="DN66" s="324">
        <f>$I66*IF($G66="Pickup", SUMIFS(NewEmisData!L:L, NewEmisData!$A:$A, "Pickup", NewEmisData!$B:$B, $A66, NewEmisData!$C:$C, $H66, NewEmisData!$D:$D, DN$2), SUMIFS(NewEmisData!L:L, NewEmisData!$A:$A, "LDV", NewEmisData!$B:$B, $A66, NewEmisData!$C:$C, $H66, NewEmisData!$D:$D, DN$2))</f>
        <v>0</v>
      </c>
      <c r="DO66" s="324">
        <f>$I66*IF($G66="Pickup", SUMIFS(NewEmisData!M:M, NewEmisData!$A:$A, "Pickup", NewEmisData!$B:$B, $A66, NewEmisData!$C:$C, $H66, NewEmisData!$D:$D, DO$2), SUMIFS(NewEmisData!M:M, NewEmisData!$A:$A, "LDV", NewEmisData!$B:$B, $A66, NewEmisData!$C:$C, $H66, NewEmisData!$D:$D, DO$2))</f>
        <v>0</v>
      </c>
      <c r="DP66" s="324">
        <f t="shared" si="14"/>
        <v>0</v>
      </c>
      <c r="DQ66" s="324">
        <f>$I66*IF($G66="Pickup", SUMIFS(NewEmisData!E:E, NewEmisData!$A:$A, "Pickup", NewEmisData!$B:$B, $A66, NewEmisData!$C:$C, $H66, NewEmisData!$D:$D, DQ$2), SUMIFS(NewEmisData!E:E, NewEmisData!$A:$A, "LDV", NewEmisData!$B:$B, $A66, NewEmisData!$C:$C, $H66, NewEmisData!$D:$D, DQ$2))</f>
        <v>1.28100272800791E-2</v>
      </c>
      <c r="DR66" s="324">
        <f>$I66*IF($G66="Pickup", SUMIFS(NewEmisData!F:F, NewEmisData!$A:$A, "Pickup", NewEmisData!$B:$B, $A66, NewEmisData!$C:$C, $H66, NewEmisData!$D:$D, DR$2), SUMIFS(NewEmisData!F:F, NewEmisData!$A:$A, "LDV", NewEmisData!$B:$B, $A66, NewEmisData!$C:$C, $H66, NewEmisData!$D:$D, DR$2))</f>
        <v>6.9424260700293398E-3</v>
      </c>
      <c r="DS66" s="324">
        <f>$I66*IF($G66="Pickup", SUMIFS(NewEmisData!G:G, NewEmisData!$A:$A, "Pickup", NewEmisData!$B:$B, $A66, NewEmisData!$C:$C, $H66, NewEmisData!$D:$D, DS$2), SUMIFS(NewEmisData!G:G, NewEmisData!$A:$A, "LDV", NewEmisData!$B:$B, $A66, NewEmisData!$C:$C, $H66, NewEmisData!$D:$D, DS$2))</f>
        <v>5.5718062948972597E-3</v>
      </c>
      <c r="DT66" s="324">
        <f>$I66*IF($G66="Pickup", SUMIFS(NewEmisData!H:H, NewEmisData!$A:$A, "Pickup", NewEmisData!$B:$B, $A66, NewEmisData!$C:$C, $H66, NewEmisData!$D:$D, DT$2), SUMIFS(NewEmisData!H:H, NewEmisData!$A:$A, "LDV", NewEmisData!$B:$B, $A66, NewEmisData!$C:$C, $H66, NewEmisData!$D:$D, DT$2))</f>
        <v>4.2603417623007303E-3</v>
      </c>
      <c r="DU66" s="324">
        <f>$I66*IF($G66="Pickup", SUMIFS(NewEmisData!I:I, NewEmisData!$A:$A, "Pickup", NewEmisData!$B:$B, $A66, NewEmisData!$C:$C, $H66, NewEmisData!$D:$D, DU$2), SUMIFS(NewEmisData!I:I, NewEmisData!$A:$A, "LDV", NewEmisData!$B:$B, $A66, NewEmisData!$C:$C, $H66, NewEmisData!$D:$D, DU$2))</f>
        <v>3.31959498333436E-3</v>
      </c>
      <c r="DV66" s="324">
        <f>$I66*IF($G66="Pickup", SUMIFS(NewEmisData!J:J, NewEmisData!$A:$A, "Pickup", NewEmisData!$B:$B, $A66, NewEmisData!$C:$C, $H66, NewEmisData!$D:$D, DV$2), SUMIFS(NewEmisData!J:J, NewEmisData!$A:$A, "LDV", NewEmisData!$B:$B, $A66, NewEmisData!$C:$C, $H66, NewEmisData!$D:$D, DV$2))</f>
        <v>2.8901416801040899E-3</v>
      </c>
      <c r="DW66" s="324">
        <f>$I66*IF($G66="Pickup", SUMIFS(NewEmisData!K:K, NewEmisData!$A:$A, "Pickup", NewEmisData!$B:$B, $A66, NewEmisData!$C:$C, $H66, NewEmisData!$D:$D, DW$2), SUMIFS(NewEmisData!K:K, NewEmisData!$A:$A, "LDV", NewEmisData!$B:$B, $A66, NewEmisData!$C:$C, $H66, NewEmisData!$D:$D, DW$2))</f>
        <v>2.6480526244027302E-3</v>
      </c>
      <c r="DX66" s="324">
        <f>$I66*IF($G66="Pickup", SUMIFS(NewEmisData!L:L, NewEmisData!$A:$A, "Pickup", NewEmisData!$B:$B, $A66, NewEmisData!$C:$C, $H66, NewEmisData!$D:$D, DX$2), SUMIFS(NewEmisData!L:L, NewEmisData!$A:$A, "LDV", NewEmisData!$B:$B, $A66, NewEmisData!$C:$C, $H66, NewEmisData!$D:$D, DX$2))</f>
        <v>2.5707167297103401E-3</v>
      </c>
      <c r="DY66" s="324">
        <f>$I66*IF($G66="Pickup", SUMIFS(NewEmisData!M:M, NewEmisData!$A:$A, "Pickup", NewEmisData!$B:$B, $A66, NewEmisData!$C:$C, $H66, NewEmisData!$D:$D, DY$2), SUMIFS(NewEmisData!M:M, NewEmisData!$A:$A, "LDV", NewEmisData!$B:$B, $A66, NewEmisData!$C:$C, $H66, NewEmisData!$D:$D, DY$2))</f>
        <v>2.5319062605993902E-3</v>
      </c>
      <c r="DZ66" s="324">
        <f t="shared" si="15"/>
        <v>2.5319062605993902E-3</v>
      </c>
      <c r="EA66" s="324">
        <f t="shared" si="16"/>
        <v>437.85746964693402</v>
      </c>
      <c r="EB66" s="324">
        <f t="shared" si="17"/>
        <v>424.609883045034</v>
      </c>
      <c r="EC66" s="324">
        <f t="shared" si="18"/>
        <v>389.26792072260798</v>
      </c>
      <c r="ED66" s="324">
        <f t="shared" si="19"/>
        <v>331.09003080375697</v>
      </c>
      <c r="EE66" s="324">
        <f t="shared" si="20"/>
        <v>286.46929869872997</v>
      </c>
      <c r="EF66" s="324">
        <f t="shared" si="21"/>
        <v>261.33080310252802</v>
      </c>
      <c r="EG66" s="324">
        <f t="shared" si="22"/>
        <v>250.12665030232699</v>
      </c>
      <c r="EH66" s="324">
        <f t="shared" si="23"/>
        <v>246.146486551527</v>
      </c>
      <c r="EI66" s="324">
        <f t="shared" si="24"/>
        <v>244.677818234341</v>
      </c>
      <c r="EJ66" s="324">
        <f t="shared" si="25"/>
        <v>244.677818234341</v>
      </c>
      <c r="EK66" s="324">
        <f t="shared" si="26"/>
        <v>0.78000130642291299</v>
      </c>
      <c r="EL66" s="324">
        <f t="shared" si="27"/>
        <v>0.323605278282381</v>
      </c>
      <c r="EM66" s="324">
        <f t="shared" si="28"/>
        <v>0.19152446532377701</v>
      </c>
      <c r="EN66" s="324">
        <f t="shared" si="29"/>
        <v>0.12537127832280801</v>
      </c>
      <c r="EO66" s="324">
        <f t="shared" si="30"/>
        <v>7.6671766649271E-2</v>
      </c>
      <c r="EP66" s="324">
        <f t="shared" si="31"/>
        <v>5.7019026656941203E-2</v>
      </c>
      <c r="EQ66" s="324">
        <f t="shared" si="32"/>
        <v>4.8823281713844202E-2</v>
      </c>
      <c r="ER66" s="324">
        <f t="shared" si="33"/>
        <v>4.6542407484685501E-2</v>
      </c>
      <c r="ES66" s="324">
        <f t="shared" si="34"/>
        <v>4.5415311435121702E-2</v>
      </c>
      <c r="ET66" s="324">
        <f t="shared" si="35"/>
        <v>4.5415311435121702E-2</v>
      </c>
      <c r="EU66" s="324">
        <f t="shared" si="36"/>
        <v>7.5764719154140002E-3</v>
      </c>
      <c r="EV66" s="324">
        <f t="shared" si="37"/>
        <v>7.3472400077695399E-3</v>
      </c>
      <c r="EW66" s="324">
        <f t="shared" si="38"/>
        <v>5.5842494055705696E-3</v>
      </c>
      <c r="EX66" s="324">
        <f t="shared" si="39"/>
        <v>4.7496587466809804E-3</v>
      </c>
      <c r="EY66" s="324">
        <f t="shared" si="40"/>
        <v>4.1095518958717504E-3</v>
      </c>
      <c r="EZ66" s="324">
        <f t="shared" si="41"/>
        <v>3.7489264773323799E-3</v>
      </c>
      <c r="FA66" s="324">
        <f t="shared" si="42"/>
        <v>3.5881959766524201E-3</v>
      </c>
      <c r="FB66" s="324">
        <f t="shared" si="43"/>
        <v>3.5311006464952199E-3</v>
      </c>
      <c r="FC66" s="324">
        <f t="shared" si="44"/>
        <v>3.5100309709840301E-3</v>
      </c>
      <c r="FD66" s="324">
        <f t="shared" si="45"/>
        <v>3.5100309709840301E-3</v>
      </c>
      <c r="FE66" s="324">
        <f t="shared" si="46"/>
        <v>6.7831755328566196E-2</v>
      </c>
      <c r="FF66" s="324">
        <f t="shared" si="47"/>
        <v>6.3250667156757298E-2</v>
      </c>
      <c r="FG66" s="324">
        <f t="shared" si="48"/>
        <v>6.2628417187727006E-2</v>
      </c>
      <c r="FH66" s="324">
        <f t="shared" si="49"/>
        <v>6.1216981125607202E-2</v>
      </c>
      <c r="FI66" s="324">
        <f t="shared" si="50"/>
        <v>5.9842025439809501E-2</v>
      </c>
      <c r="FJ66" s="324">
        <f t="shared" si="51"/>
        <v>5.8761885691048198E-2</v>
      </c>
      <c r="FK66" s="324">
        <f t="shared" si="52"/>
        <v>5.8072078083983E-2</v>
      </c>
      <c r="FL66" s="324">
        <f t="shared" si="53"/>
        <v>5.7726484266030297E-2</v>
      </c>
      <c r="FM66" s="324">
        <f t="shared" si="54"/>
        <v>5.7530226905323702E-2</v>
      </c>
      <c r="FN66" s="324">
        <f t="shared" si="55"/>
        <v>5.7530226905323702E-2</v>
      </c>
      <c r="FO66" s="324">
        <f t="shared" si="56"/>
        <v>1.8324822567621701E-2</v>
      </c>
      <c r="FP66" s="324">
        <f t="shared" si="57"/>
        <v>1.4272294035055699E-2</v>
      </c>
      <c r="FQ66" s="324">
        <f t="shared" si="58"/>
        <v>1.3165752481838801E-2</v>
      </c>
      <c r="FR66" s="324">
        <f t="shared" si="59"/>
        <v>1.1917194849656599E-2</v>
      </c>
      <c r="FS66" s="324">
        <f t="shared" si="60"/>
        <v>1.0700861948252101E-2</v>
      </c>
      <c r="FT66" s="324">
        <f t="shared" si="61"/>
        <v>9.7453521893521699E-3</v>
      </c>
      <c r="FU66" s="324">
        <f t="shared" si="62"/>
        <v>9.1351470976244707E-3</v>
      </c>
      <c r="FV66" s="324">
        <f t="shared" si="63"/>
        <v>8.8293874131557606E-3</v>
      </c>
      <c r="FW66" s="324">
        <f t="shared" si="64"/>
        <v>8.6558174466142106E-3</v>
      </c>
      <c r="FX66" s="324">
        <f t="shared" si="65"/>
        <v>8.6558174466142106E-3</v>
      </c>
    </row>
    <row r="67" spans="1:180" x14ac:dyDescent="0.2">
      <c r="A67" s="298" t="str">
        <f>_xlfn.CONCAT(IF(LEFT(TRIM(A66),1)="*", "*R", "R"), 1+RIGHT(TRIM(A66),1))</f>
        <v>*R4</v>
      </c>
      <c r="B67" s="298" t="str">
        <f t="shared" si="122"/>
        <v>TLELPGX</v>
      </c>
      <c r="C67" s="298" t="str">
        <f t="shared" si="123"/>
        <v>TL.LPGX.F.Existing fleet</v>
      </c>
      <c r="D67" s="294" t="str">
        <f t="shared" si="124"/>
        <v>bn-vmt, bn-vmt/a</v>
      </c>
      <c r="E67" s="294" t="str">
        <f t="shared" si="125"/>
        <v>TRNLPGX</v>
      </c>
      <c r="F67" s="294" t="str">
        <f t="shared" si="126"/>
        <v>TL</v>
      </c>
      <c r="G67" s="294" t="s">
        <v>476</v>
      </c>
      <c r="H67" s="294" t="s">
        <v>474</v>
      </c>
      <c r="I67" s="294">
        <v>1</v>
      </c>
      <c r="J67" s="308" t="str">
        <f t="shared" si="101"/>
        <v>Full size car-GSL</v>
      </c>
      <c r="K67" s="324">
        <f>$I67*IF($G67="Pickup", SUMIFS(NewEmisData!E:E, NewEmisData!$A:$A, "Pickup", NewEmisData!$B:$B, $A67, NewEmisData!$C:$C, $H67, NewEmisData!$D:$D, K$2), SUMIFS(NewEmisData!E:E, NewEmisData!$A:$A, "LDV", NewEmisData!$B:$B, $A67, NewEmisData!$C:$C, $H67, NewEmisData!$D:$D, K$2))</f>
        <v>605.35194063093002</v>
      </c>
      <c r="L67" s="324">
        <f>$I67*IF($G67="Pickup", SUMIFS(NewEmisData!F:F, NewEmisData!$A:$A, "Pickup", NewEmisData!$B:$B, $A67, NewEmisData!$C:$C, $H67, NewEmisData!$D:$D, L$2), SUMIFS(NewEmisData!F:F, NewEmisData!$A:$A, "LDV", NewEmisData!$B:$B, $A67, NewEmisData!$C:$C, $H67, NewEmisData!$D:$D, L$2))</f>
        <v>575.43677827742204</v>
      </c>
      <c r="M67" s="324">
        <f>$I67*IF($G67="Pickup", SUMIFS(NewEmisData!G:G, NewEmisData!$A:$A, "Pickup", NewEmisData!$B:$B, $A67, NewEmisData!$C:$C, $H67, NewEmisData!$D:$D, M$2), SUMIFS(NewEmisData!G:G, NewEmisData!$A:$A, "LDV", NewEmisData!$B:$B, $A67, NewEmisData!$C:$C, $H67, NewEmisData!$D:$D, M$2))</f>
        <v>447.50306541281799</v>
      </c>
      <c r="N67" s="324">
        <f>$I67*IF($G67="Pickup", SUMIFS(NewEmisData!H:H, NewEmisData!$A:$A, "Pickup", NewEmisData!$B:$B, $A67, NewEmisData!$C:$C, $H67, NewEmisData!$D:$D, N$2), SUMIFS(NewEmisData!H:H, NewEmisData!$A:$A, "LDV", NewEmisData!$B:$B, $A67, NewEmisData!$C:$C, $H67, NewEmisData!$D:$D, N$2))</f>
        <v>380.32748601406797</v>
      </c>
      <c r="O67" s="324">
        <f>$I67*IF($G67="Pickup", SUMIFS(NewEmisData!I:I, NewEmisData!$A:$A, "Pickup", NewEmisData!$B:$B, $A67, NewEmisData!$C:$C, $H67, NewEmisData!$D:$D, O$2), SUMIFS(NewEmisData!I:I, NewEmisData!$A:$A, "LDV", NewEmisData!$B:$B, $A67, NewEmisData!$C:$C, $H67, NewEmisData!$D:$D, O$2))</f>
        <v>328.8508655947</v>
      </c>
      <c r="P67" s="324">
        <f>$I67*IF($G67="Pickup", SUMIFS(NewEmisData!J:J, NewEmisData!$A:$A, "Pickup", NewEmisData!$B:$B, $A67, NewEmisData!$C:$C, $H67, NewEmisData!$D:$D, P$2), SUMIFS(NewEmisData!J:J, NewEmisData!$A:$A, "LDV", NewEmisData!$B:$B, $A67, NewEmisData!$C:$C, $H67, NewEmisData!$D:$D, P$2))</f>
        <v>299.87343037562698</v>
      </c>
      <c r="Q67" s="324">
        <f>$I67*IF($G67="Pickup", SUMIFS(NewEmisData!K:K, NewEmisData!$A:$A, "Pickup", NewEmisData!$B:$B, $A67, NewEmisData!$C:$C, $H67, NewEmisData!$D:$D, Q$2), SUMIFS(NewEmisData!K:K, NewEmisData!$A:$A, "LDV", NewEmisData!$B:$B, $A67, NewEmisData!$C:$C, $H67, NewEmisData!$D:$D, Q$2))</f>
        <v>286.96645721008798</v>
      </c>
      <c r="R67" s="324">
        <f>$I67*IF($G67="Pickup", SUMIFS(NewEmisData!L:L, NewEmisData!$A:$A, "Pickup", NewEmisData!$B:$B, $A67, NewEmisData!$C:$C, $H67, NewEmisData!$D:$D, R$2), SUMIFS(NewEmisData!L:L, NewEmisData!$A:$A, "LDV", NewEmisData!$B:$B, $A67, NewEmisData!$C:$C, $H67, NewEmisData!$D:$D, R$2))</f>
        <v>282.38592098475101</v>
      </c>
      <c r="S67" s="324">
        <f>$I67*IF($G67="Pickup", SUMIFS(NewEmisData!M:M, NewEmisData!$A:$A, "Pickup", NewEmisData!$B:$B, $A67, NewEmisData!$C:$C, $H67, NewEmisData!$D:$D, S$2), SUMIFS(NewEmisData!M:M, NewEmisData!$A:$A, "LDV", NewEmisData!$B:$B, $A67, NewEmisData!$C:$C, $H67, NewEmisData!$D:$D, S$2))</f>
        <v>280.69816184937503</v>
      </c>
      <c r="T67" s="324">
        <f t="shared" si="5"/>
        <v>280.69816184937503</v>
      </c>
      <c r="U67" s="324">
        <f>$I67*IF($G67="Pickup", SUMIFS(NewEmisData!E:E, NewEmisData!$A:$A, "Pickup", NewEmisData!$B:$B, $A67, NewEmisData!$C:$C, $H67, NewEmisData!$D:$D, U$2), SUMIFS(NewEmisData!E:E, NewEmisData!$A:$A, "LDV", NewEmisData!$B:$B, $A67, NewEmisData!$C:$C, $H67, NewEmisData!$D:$D, U$2))</f>
        <v>0.73999493628111201</v>
      </c>
      <c r="V67" s="324">
        <f>$I67*IF($G67="Pickup", SUMIFS(NewEmisData!F:F, NewEmisData!$A:$A, "Pickup", NewEmisData!$B:$B, $A67, NewEmisData!$C:$C, $H67, NewEmisData!$D:$D, V$2), SUMIFS(NewEmisData!F:F, NewEmisData!$A:$A, "LDV", NewEmisData!$B:$B, $A67, NewEmisData!$C:$C, $H67, NewEmisData!$D:$D, V$2))</f>
        <v>0.35335240075773999</v>
      </c>
      <c r="W67" s="324">
        <f>$I67*IF($G67="Pickup", SUMIFS(NewEmisData!G:G, NewEmisData!$A:$A, "Pickup", NewEmisData!$B:$B, $A67, NewEmisData!$C:$C, $H67, NewEmisData!$D:$D, W$2), SUMIFS(NewEmisData!G:G, NewEmisData!$A:$A, "LDV", NewEmisData!$B:$B, $A67, NewEmisData!$C:$C, $H67, NewEmisData!$D:$D, W$2))</f>
        <v>0.18897755292818599</v>
      </c>
      <c r="X67" s="324">
        <f>$I67*IF($G67="Pickup", SUMIFS(NewEmisData!H:H, NewEmisData!$A:$A, "Pickup", NewEmisData!$B:$B, $A67, NewEmisData!$C:$C, $H67, NewEmisData!$D:$D, X$2), SUMIFS(NewEmisData!H:H, NewEmisData!$A:$A, "LDV", NewEmisData!$B:$B, $A67, NewEmisData!$C:$C, $H67, NewEmisData!$D:$D, X$2))</f>
        <v>0.12218817840455801</v>
      </c>
      <c r="Y67" s="324">
        <f>$I67*IF($G67="Pickup", SUMIFS(NewEmisData!I:I, NewEmisData!$A:$A, "Pickup", NewEmisData!$B:$B, $A67, NewEmisData!$C:$C, $H67, NewEmisData!$D:$D, Y$2), SUMIFS(NewEmisData!I:I, NewEmisData!$A:$A, "LDV", NewEmisData!$B:$B, $A67, NewEmisData!$C:$C, $H67, NewEmisData!$D:$D, Y$2))</f>
        <v>7.3060825114572805E-2</v>
      </c>
      <c r="Z67" s="324">
        <f>$I67*IF($G67="Pickup", SUMIFS(NewEmisData!J:J, NewEmisData!$A:$A, "Pickup", NewEmisData!$B:$B, $A67, NewEmisData!$C:$C, $H67, NewEmisData!$D:$D, Z$2), SUMIFS(NewEmisData!J:J, NewEmisData!$A:$A, "LDV", NewEmisData!$B:$B, $A67, NewEmisData!$C:$C, $H67, NewEmisData!$D:$D, Z$2))</f>
        <v>5.3764321341730301E-2</v>
      </c>
      <c r="AA67" s="324">
        <f>$I67*IF($G67="Pickup", SUMIFS(NewEmisData!K:K, NewEmisData!$A:$A, "Pickup", NewEmisData!$B:$B, $A67, NewEmisData!$C:$C, $H67, NewEmisData!$D:$D, AA$2), SUMIFS(NewEmisData!K:K, NewEmisData!$A:$A, "LDV", NewEmisData!$B:$B, $A67, NewEmisData!$C:$C, $H67, NewEmisData!$D:$D, AA$2))</f>
        <v>4.5765873698397498E-2</v>
      </c>
      <c r="AB67" s="324">
        <f>$I67*IF($G67="Pickup", SUMIFS(NewEmisData!L:L, NewEmisData!$A:$A, "Pickup", NewEmisData!$B:$B, $A67, NewEmisData!$C:$C, $H67, NewEmisData!$D:$D, AB$2), SUMIFS(NewEmisData!L:L, NewEmisData!$A:$A, "LDV", NewEmisData!$B:$B, $A67, NewEmisData!$C:$C, $H67, NewEmisData!$D:$D, AB$2))</f>
        <v>4.3548109073897001E-2</v>
      </c>
      <c r="AC67" s="324">
        <f>$I67*IF($G67="Pickup", SUMIFS(NewEmisData!M:M, NewEmisData!$A:$A, "Pickup", NewEmisData!$B:$B, $A67, NewEmisData!$C:$C, $H67, NewEmisData!$D:$D, AC$2), SUMIFS(NewEmisData!M:M, NewEmisData!$A:$A, "LDV", NewEmisData!$B:$B, $A67, NewEmisData!$C:$C, $H67, NewEmisData!$D:$D, AC$2))</f>
        <v>4.24609775043936E-2</v>
      </c>
      <c r="AD67" s="324">
        <f t="shared" si="6"/>
        <v>4.24609775043936E-2</v>
      </c>
      <c r="AE67" s="324">
        <f>$I67*IF($G67="Pickup", SUMIFS(NewEmisData!E:E, NewEmisData!$A:$A, "Pickup", NewEmisData!$B:$B, $A67, NewEmisData!$C:$C, $H67, NewEmisData!$D:$D, AE$2), SUMIFS(NewEmisData!E:E, NewEmisData!$A:$A, "LDV", NewEmisData!$B:$B, $A67, NewEmisData!$C:$C, $H67, NewEmisData!$D:$D, AE$2))</f>
        <v>1.04747160569124E-2</v>
      </c>
      <c r="AF67" s="324">
        <f>$I67*IF($G67="Pickup", SUMIFS(NewEmisData!F:F, NewEmisData!$A:$A, "Pickup", NewEmisData!$B:$B, $A67, NewEmisData!$C:$C, $H67, NewEmisData!$D:$D, AF$2), SUMIFS(NewEmisData!F:F, NewEmisData!$A:$A, "LDV", NewEmisData!$B:$B, $A67, NewEmisData!$C:$C, $H67, NewEmisData!$D:$D, AF$2))</f>
        <v>9.9570764799691708E-3</v>
      </c>
      <c r="AG67" s="324">
        <f>$I67*IF($G67="Pickup", SUMIFS(NewEmisData!G:G, NewEmisData!$A:$A, "Pickup", NewEmisData!$B:$B, $A67, NewEmisData!$C:$C, $H67, NewEmisData!$D:$D, AG$2), SUMIFS(NewEmisData!G:G, NewEmisData!$A:$A, "LDV", NewEmisData!$B:$B, $A67, NewEmisData!$C:$C, $H67, NewEmisData!$D:$D, AG$2))</f>
        <v>6.4196648888919499E-3</v>
      </c>
      <c r="AH67" s="324">
        <f>$I67*IF($G67="Pickup", SUMIFS(NewEmisData!H:H, NewEmisData!$A:$A, "Pickup", NewEmisData!$B:$B, $A67, NewEmisData!$C:$C, $H67, NewEmisData!$D:$D, AH$2), SUMIFS(NewEmisData!H:H, NewEmisData!$A:$A, "LDV", NewEmisData!$B:$B, $A67, NewEmisData!$C:$C, $H67, NewEmisData!$D:$D, AH$2))</f>
        <v>5.45599526494426E-3</v>
      </c>
      <c r="AI67" s="324">
        <f>$I67*IF($G67="Pickup", SUMIFS(NewEmisData!I:I, NewEmisData!$A:$A, "Pickup", NewEmisData!$B:$B, $A67, NewEmisData!$C:$C, $H67, NewEmisData!$D:$D, AI$2), SUMIFS(NewEmisData!I:I, NewEmisData!$A:$A, "LDV", NewEmisData!$B:$B, $A67, NewEmisData!$C:$C, $H67, NewEmisData!$D:$D, AI$2))</f>
        <v>4.7175365225731996E-3</v>
      </c>
      <c r="AJ67" s="324">
        <f>$I67*IF($G67="Pickup", SUMIFS(NewEmisData!J:J, NewEmisData!$A:$A, "Pickup", NewEmisData!$B:$B, $A67, NewEmisData!$C:$C, $H67, NewEmisData!$D:$D, AJ$2), SUMIFS(NewEmisData!J:J, NewEmisData!$A:$A, "LDV", NewEmisData!$B:$B, $A67, NewEmisData!$C:$C, $H67, NewEmisData!$D:$D, AJ$2))</f>
        <v>4.3018391726363297E-3</v>
      </c>
      <c r="AK67" s="324">
        <f>$I67*IF($G67="Pickup", SUMIFS(NewEmisData!K:K, NewEmisData!$A:$A, "Pickup", NewEmisData!$B:$B, $A67, NewEmisData!$C:$C, $H67, NewEmisData!$D:$D, AK$2), SUMIFS(NewEmisData!K:K, NewEmisData!$A:$A, "LDV", NewEmisData!$B:$B, $A67, NewEmisData!$C:$C, $H67, NewEmisData!$D:$D, AK$2))</f>
        <v>4.1166816404986702E-3</v>
      </c>
      <c r="AL67" s="324">
        <f>$I67*IF($G67="Pickup", SUMIFS(NewEmisData!L:L, NewEmisData!$A:$A, "Pickup", NewEmisData!$B:$B, $A67, NewEmisData!$C:$C, $H67, NewEmisData!$D:$D, AL$2), SUMIFS(NewEmisData!L:L, NewEmisData!$A:$A, "LDV", NewEmisData!$B:$B, $A67, NewEmisData!$C:$C, $H67, NewEmisData!$D:$D, AL$2))</f>
        <v>4.0509726462172697E-3</v>
      </c>
      <c r="AM67" s="324">
        <f>$I67*IF($G67="Pickup", SUMIFS(NewEmisData!M:M, NewEmisData!$A:$A, "Pickup", NewEmisData!$B:$B, $A67, NewEmisData!$C:$C, $H67, NewEmisData!$D:$D, AM$2), SUMIFS(NewEmisData!M:M, NewEmisData!$A:$A, "LDV", NewEmisData!$B:$B, $A67, NewEmisData!$C:$C, $H67, NewEmisData!$D:$D, AM$2))</f>
        <v>4.0267596573162799E-3</v>
      </c>
      <c r="AN67" s="324">
        <f t="shared" si="7"/>
        <v>4.0267596573162799E-3</v>
      </c>
      <c r="AO67" s="324">
        <f>$I67*IF($G67="Pickup", SUMIFS(NewEmisData!E:E, NewEmisData!$A:$A, "Pickup", NewEmisData!$B:$B, $A67, NewEmisData!$C:$C, $H67, NewEmisData!$D:$D, AO$2), SUMIFS(NewEmisData!E:E, NewEmisData!$A:$A, "LDV", NewEmisData!$B:$B, $A67, NewEmisData!$C:$C, $H67, NewEmisData!$D:$D, AO$2))</f>
        <v>0.112529836649977</v>
      </c>
      <c r="AP67" s="324">
        <f>$I67*IF($G67="Pickup", SUMIFS(NewEmisData!F:F, NewEmisData!$A:$A, "Pickup", NewEmisData!$B:$B, $A67, NewEmisData!$C:$C, $H67, NewEmisData!$D:$D, AP$2), SUMIFS(NewEmisData!F:F, NewEmisData!$A:$A, "LDV", NewEmisData!$B:$B, $A67, NewEmisData!$C:$C, $H67, NewEmisData!$D:$D, AP$2))</f>
        <v>0.103764807432247</v>
      </c>
      <c r="AQ67" s="324">
        <f>$I67*IF($G67="Pickup", SUMIFS(NewEmisData!G:G, NewEmisData!$A:$A, "Pickup", NewEmisData!$B:$B, $A67, NewEmisData!$C:$C, $H67, NewEmisData!$D:$D, AQ$2), SUMIFS(NewEmisData!G:G, NewEmisData!$A:$A, "LDV", NewEmisData!$B:$B, $A67, NewEmisData!$C:$C, $H67, NewEmisData!$D:$D, AQ$2))</f>
        <v>8.1904009889209095E-2</v>
      </c>
      <c r="AR67" s="324">
        <f>$I67*IF($G67="Pickup", SUMIFS(NewEmisData!H:H, NewEmisData!$A:$A, "Pickup", NewEmisData!$B:$B, $A67, NewEmisData!$C:$C, $H67, NewEmisData!$D:$D, AR$2), SUMIFS(NewEmisData!H:H, NewEmisData!$A:$A, "LDV", NewEmisData!$B:$B, $A67, NewEmisData!$C:$C, $H67, NewEmisData!$D:$D, AR$2))</f>
        <v>8.0372811122020202E-2</v>
      </c>
      <c r="AS67" s="324">
        <f>$I67*IF($G67="Pickup", SUMIFS(NewEmisData!I:I, NewEmisData!$A:$A, "Pickup", NewEmisData!$B:$B, $A67, NewEmisData!$C:$C, $H67, NewEmisData!$D:$D, AS$2), SUMIFS(NewEmisData!I:I, NewEmisData!$A:$A, "LDV", NewEmisData!$B:$B, $A67, NewEmisData!$C:$C, $H67, NewEmisData!$D:$D, AS$2))</f>
        <v>7.8826850839141593E-2</v>
      </c>
      <c r="AT67" s="324">
        <f>$I67*IF($G67="Pickup", SUMIFS(NewEmisData!J:J, NewEmisData!$A:$A, "Pickup", NewEmisData!$B:$B, $A67, NewEmisData!$C:$C, $H67, NewEmisData!$D:$D, AT$2), SUMIFS(NewEmisData!J:J, NewEmisData!$A:$A, "LDV", NewEmisData!$B:$B, $A67, NewEmisData!$C:$C, $H67, NewEmisData!$D:$D, AT$2))</f>
        <v>7.7629471627150906E-2</v>
      </c>
      <c r="AU67" s="324">
        <f>$I67*IF($G67="Pickup", SUMIFS(NewEmisData!K:K, NewEmisData!$A:$A, "Pickup", NewEmisData!$B:$B, $A67, NewEmisData!$C:$C, $H67, NewEmisData!$D:$D, AU$2), SUMIFS(NewEmisData!K:K, NewEmisData!$A:$A, "LDV", NewEmisData!$B:$B, $A67, NewEmisData!$C:$C, $H67, NewEmisData!$D:$D, AU$2))</f>
        <v>7.6869255276324197E-2</v>
      </c>
      <c r="AV67" s="324">
        <f>$I67*IF($G67="Pickup", SUMIFS(NewEmisData!L:L, NewEmisData!$A:$A, "Pickup", NewEmisData!$B:$B, $A67, NewEmisData!$C:$C, $H67, NewEmisData!$D:$D, AV$2), SUMIFS(NewEmisData!L:L, NewEmisData!$A:$A, "LDV", NewEmisData!$B:$B, $A67, NewEmisData!$C:$C, $H67, NewEmisData!$D:$D, AV$2))</f>
        <v>7.6489801218608905E-2</v>
      </c>
      <c r="AW67" s="324">
        <f>$I67*IF($G67="Pickup", SUMIFS(NewEmisData!M:M, NewEmisData!$A:$A, "Pickup", NewEmisData!$B:$B, $A67, NewEmisData!$C:$C, $H67, NewEmisData!$D:$D, AW$2), SUMIFS(NewEmisData!M:M, NewEmisData!$A:$A, "LDV", NewEmisData!$B:$B, $A67, NewEmisData!$C:$C, $H67, NewEmisData!$D:$D, AW$2))</f>
        <v>7.6275890012832595E-2</v>
      </c>
      <c r="AX67" s="324">
        <f t="shared" si="8"/>
        <v>7.6275890012832595E-2</v>
      </c>
      <c r="AY67" s="324">
        <f>$I67*IF($G67="Pickup", SUMIFS(NewEmisData!E:E, NewEmisData!$A:$A, "Pickup", NewEmisData!$B:$B, $A67, NewEmisData!$C:$C, $H67, NewEmisData!$D:$D, AY$2), SUMIFS(NewEmisData!E:E, NewEmisData!$A:$A, "LDV", NewEmisData!$B:$B, $A67, NewEmisData!$C:$C, $H67, NewEmisData!$D:$D, AY$2))</f>
        <v>2.93140110896879E-2</v>
      </c>
      <c r="AZ67" s="324">
        <f>$I67*IF($G67="Pickup", SUMIFS(NewEmisData!F:F, NewEmisData!$A:$A, "Pickup", NewEmisData!$B:$B, $A67, NewEmisData!$C:$C, $H67, NewEmisData!$D:$D, AZ$2), SUMIFS(NewEmisData!F:F, NewEmisData!$A:$A, "LDV", NewEmisData!$B:$B, $A67, NewEmisData!$C:$C, $H67, NewEmisData!$D:$D, AZ$2))</f>
        <v>2.15603319614842E-2</v>
      </c>
      <c r="BA67" s="324">
        <f>$I67*IF($G67="Pickup", SUMIFS(NewEmisData!G:G, NewEmisData!$A:$A, "Pickup", NewEmisData!$B:$B, $A67, NewEmisData!$C:$C, $H67, NewEmisData!$D:$D, BA$2), SUMIFS(NewEmisData!G:G, NewEmisData!$A:$A, "LDV", NewEmisData!$B:$B, $A67, NewEmisData!$C:$C, $H67, NewEmisData!$D:$D, BA$2))</f>
        <v>1.61359542510712E-2</v>
      </c>
      <c r="BB67" s="324">
        <f>$I67*IF($G67="Pickup", SUMIFS(NewEmisData!H:H, NewEmisData!$A:$A, "Pickup", NewEmisData!$B:$B, $A67, NewEmisData!$C:$C, $H67, NewEmisData!$D:$D, BB$2), SUMIFS(NewEmisData!H:H, NewEmisData!$A:$A, "LDV", NewEmisData!$B:$B, $A67, NewEmisData!$C:$C, $H67, NewEmisData!$D:$D, BB$2))</f>
        <v>1.4781439172223E-2</v>
      </c>
      <c r="BC67" s="324">
        <f>$I67*IF($G67="Pickup", SUMIFS(NewEmisData!I:I, NewEmisData!$A:$A, "Pickup", NewEmisData!$B:$B, $A67, NewEmisData!$C:$C, $H67, NewEmisData!$D:$D, BC$2), SUMIFS(NewEmisData!I:I, NewEmisData!$A:$A, "LDV", NewEmisData!$B:$B, $A67, NewEmisData!$C:$C, $H67, NewEmisData!$D:$D, BC$2))</f>
        <v>1.3413837806436801E-2</v>
      </c>
      <c r="BD67" s="324">
        <f>$I67*IF($G67="Pickup", SUMIFS(NewEmisData!J:J, NewEmisData!$A:$A, "Pickup", NewEmisData!$B:$B, $A67, NewEmisData!$C:$C, $H67, NewEmisData!$D:$D, BD$2), SUMIFS(NewEmisData!J:J, NewEmisData!$A:$A, "LDV", NewEmisData!$B:$B, $A67, NewEmisData!$C:$C, $H67, NewEmisData!$D:$D, BD$2))</f>
        <v>1.2354573478352299E-2</v>
      </c>
      <c r="BE67" s="324">
        <f>$I67*IF($G67="Pickup", SUMIFS(NewEmisData!K:K, NewEmisData!$A:$A, "Pickup", NewEmisData!$B:$B, $A67, NewEmisData!$C:$C, $H67, NewEmisData!$D:$D, BE$2), SUMIFS(NewEmisData!K:K, NewEmisData!$A:$A, "LDV", NewEmisData!$B:$B, $A67, NewEmisData!$C:$C, $H67, NewEmisData!$D:$D, BE$2))</f>
        <v>1.16820653404197E-2</v>
      </c>
      <c r="BF67" s="324">
        <f>$I67*IF($G67="Pickup", SUMIFS(NewEmisData!L:L, NewEmisData!$A:$A, "Pickup", NewEmisData!$B:$B, $A67, NewEmisData!$C:$C, $H67, NewEmisData!$D:$D, BF$2), SUMIFS(NewEmisData!L:L, NewEmisData!$A:$A, "LDV", NewEmisData!$B:$B, $A67, NewEmisData!$C:$C, $H67, NewEmisData!$D:$D, BF$2))</f>
        <v>1.13463459698093E-2</v>
      </c>
      <c r="BG67" s="324">
        <f>$I67*IF($G67="Pickup", SUMIFS(NewEmisData!M:M, NewEmisData!$A:$A, "Pickup", NewEmisData!$B:$B, $A67, NewEmisData!$C:$C, $H67, NewEmisData!$D:$D, BG$2), SUMIFS(NewEmisData!M:M, NewEmisData!$A:$A, "LDV", NewEmisData!$B:$B, $A67, NewEmisData!$C:$C, $H67, NewEmisData!$D:$D, BG$2))</f>
        <v>1.1157149268450401E-2</v>
      </c>
      <c r="BH67" s="324">
        <f t="shared" si="9"/>
        <v>1.1157149268450401E-2</v>
      </c>
      <c r="BI67" s="324">
        <f>$I67*IF($G67="Pickup", SUMIFS(NewEmisData!E:E, NewEmisData!$A:$A, "Pickup", NewEmisData!$B:$B, $A67, NewEmisData!$C:$C, $H67, NewEmisData!$D:$D, BI$2), SUMIFS(NewEmisData!E:E, NewEmisData!$A:$A, "LDV", NewEmisData!$B:$B, $A67, NewEmisData!$C:$C, $H67, NewEmisData!$D:$D, BI$2))</f>
        <v>7.7707306410078001</v>
      </c>
      <c r="BJ67" s="324">
        <f>$I67*IF($G67="Pickup", SUMIFS(NewEmisData!F:F, NewEmisData!$A:$A, "Pickup", NewEmisData!$B:$B, $A67, NewEmisData!$C:$C, $H67, NewEmisData!$D:$D, BJ$2), SUMIFS(NewEmisData!F:F, NewEmisData!$A:$A, "LDV", NewEmisData!$B:$B, $A67, NewEmisData!$C:$C, $H67, NewEmisData!$D:$D, BJ$2))</f>
        <v>4.4247869376442202</v>
      </c>
      <c r="BK67" s="324">
        <f>$I67*IF($G67="Pickup", SUMIFS(NewEmisData!G:G, NewEmisData!$A:$A, "Pickup", NewEmisData!$B:$B, $A67, NewEmisData!$C:$C, $H67, NewEmisData!$D:$D, BK$2), SUMIFS(NewEmisData!G:G, NewEmisData!$A:$A, "LDV", NewEmisData!$B:$B, $A67, NewEmisData!$C:$C, $H67, NewEmisData!$D:$D, BK$2))</f>
        <v>2.6540717659073501</v>
      </c>
      <c r="BL67" s="324">
        <f>$I67*IF($G67="Pickup", SUMIFS(NewEmisData!H:H, NewEmisData!$A:$A, "Pickup", NewEmisData!$B:$B, $A67, NewEmisData!$C:$C, $H67, NewEmisData!$D:$D, BL$2), SUMIFS(NewEmisData!H:H, NewEmisData!$A:$A, "LDV", NewEmisData!$B:$B, $A67, NewEmisData!$C:$C, $H67, NewEmisData!$D:$D, BL$2))</f>
        <v>2.0604732381170998</v>
      </c>
      <c r="BM67" s="324">
        <f>$I67*IF($G67="Pickup", SUMIFS(NewEmisData!I:I, NewEmisData!$A:$A, "Pickup", NewEmisData!$B:$B, $A67, NewEmisData!$C:$C, $H67, NewEmisData!$D:$D, BM$2), SUMIFS(NewEmisData!I:I, NewEmisData!$A:$A, "LDV", NewEmisData!$B:$B, $A67, NewEmisData!$C:$C, $H67, NewEmisData!$D:$D, BM$2))</f>
        <v>1.4768702583128299</v>
      </c>
      <c r="BN67" s="324">
        <f>$I67*IF($G67="Pickup", SUMIFS(NewEmisData!J:J, NewEmisData!$A:$A, "Pickup", NewEmisData!$B:$B, $A67, NewEmisData!$C:$C, $H67, NewEmisData!$D:$D, BN$2), SUMIFS(NewEmisData!J:J, NewEmisData!$A:$A, "LDV", NewEmisData!$B:$B, $A67, NewEmisData!$C:$C, $H67, NewEmisData!$D:$D, BN$2))</f>
        <v>1.1597745551704699</v>
      </c>
      <c r="BO67" s="324">
        <f>$I67*IF($G67="Pickup", SUMIFS(NewEmisData!K:K, NewEmisData!$A:$A, "Pickup", NewEmisData!$B:$B, $A67, NewEmisData!$C:$C, $H67, NewEmisData!$D:$D, BO$2), SUMIFS(NewEmisData!K:K, NewEmisData!$A:$A, "LDV", NewEmisData!$B:$B, $A67, NewEmisData!$C:$C, $H67, NewEmisData!$D:$D, BO$2))</f>
        <v>1.01795642585422</v>
      </c>
      <c r="BP67" s="324">
        <f>$I67*IF($G67="Pickup", SUMIFS(NewEmisData!L:L, NewEmisData!$A:$A, "Pickup", NewEmisData!$B:$B, $A67, NewEmisData!$C:$C, $H67, NewEmisData!$D:$D, BP$2), SUMIFS(NewEmisData!L:L, NewEmisData!$A:$A, "LDV", NewEmisData!$B:$B, $A67, NewEmisData!$C:$C, $H67, NewEmisData!$D:$D, BP$2))</f>
        <v>0.97243111781319103</v>
      </c>
      <c r="BQ67" s="324">
        <f>$I67*IF($G67="Pickup", SUMIFS(NewEmisData!M:M, NewEmisData!$A:$A, "Pickup", NewEmisData!$B:$B, $A67, NewEmisData!$C:$C, $H67, NewEmisData!$D:$D, BQ$2), SUMIFS(NewEmisData!M:M, NewEmisData!$A:$A, "LDV", NewEmisData!$B:$B, $A67, NewEmisData!$C:$C, $H67, NewEmisData!$D:$D, BQ$2))</f>
        <v>0.94396289100680397</v>
      </c>
      <c r="BR67" s="324">
        <f t="shared" si="10"/>
        <v>0.94396289100680397</v>
      </c>
      <c r="BS67" s="324">
        <f>$I67*IF($G67="Pickup", SUMIFS(NewEmisData!E:E, NewEmisData!$A:$A, "Pickup", NewEmisData!$B:$B, $A67, NewEmisData!$C:$C, $H67, NewEmisData!$D:$D, BS$2), SUMIFS(NewEmisData!E:E, NewEmisData!$A:$A, "LDV", NewEmisData!$B:$B, $A67, NewEmisData!$C:$C, $H67, NewEmisData!$D:$D, BS$2))</f>
        <v>0.868939523792984</v>
      </c>
      <c r="BT67" s="324">
        <f>$I67*IF($G67="Pickup", SUMIFS(NewEmisData!F:F, NewEmisData!$A:$A, "Pickup", NewEmisData!$B:$B, $A67, NewEmisData!$C:$C, $H67, NewEmisData!$D:$D, BT$2), SUMIFS(NewEmisData!F:F, NewEmisData!$A:$A, "LDV", NewEmisData!$B:$B, $A67, NewEmisData!$C:$C, $H67, NewEmisData!$D:$D, BT$2))</f>
        <v>0.46984846516954898</v>
      </c>
      <c r="BU67" s="324">
        <f>$I67*IF($G67="Pickup", SUMIFS(NewEmisData!G:G, NewEmisData!$A:$A, "Pickup", NewEmisData!$B:$B, $A67, NewEmisData!$C:$C, $H67, NewEmisData!$D:$D, BU$2), SUMIFS(NewEmisData!G:G, NewEmisData!$A:$A, "LDV", NewEmisData!$B:$B, $A67, NewEmisData!$C:$C, $H67, NewEmisData!$D:$D, BU$2))</f>
        <v>0.25380786816335299</v>
      </c>
      <c r="BV67" s="324">
        <f>$I67*IF($G67="Pickup", SUMIFS(NewEmisData!H:H, NewEmisData!$A:$A, "Pickup", NewEmisData!$B:$B, $A67, NewEmisData!$C:$C, $H67, NewEmisData!$D:$D, BV$2), SUMIFS(NewEmisData!H:H, NewEmisData!$A:$A, "LDV", NewEmisData!$B:$B, $A67, NewEmisData!$C:$C, $H67, NewEmisData!$D:$D, BV$2))</f>
        <v>0.20500079484657399</v>
      </c>
      <c r="BW67" s="324">
        <f>$I67*IF($G67="Pickup", SUMIFS(NewEmisData!I:I, NewEmisData!$A:$A, "Pickup", NewEmisData!$B:$B, $A67, NewEmisData!$C:$C, $H67, NewEmisData!$D:$D, BW$2), SUMIFS(NewEmisData!I:I, NewEmisData!$A:$A, "LDV", NewEmisData!$B:$B, $A67, NewEmisData!$C:$C, $H67, NewEmisData!$D:$D, BW$2))</f>
        <v>0.15182918417959501</v>
      </c>
      <c r="BX67" s="324">
        <f>$I67*IF($G67="Pickup", SUMIFS(NewEmisData!J:J, NewEmisData!$A:$A, "Pickup", NewEmisData!$B:$B, $A67, NewEmisData!$C:$C, $H67, NewEmisData!$D:$D, BX$2), SUMIFS(NewEmisData!J:J, NewEmisData!$A:$A, "LDV", NewEmisData!$B:$B, $A67, NewEmisData!$C:$C, $H67, NewEmisData!$D:$D, BX$2))</f>
        <v>0.12865137268893501</v>
      </c>
      <c r="BY67" s="324">
        <f>$I67*IF($G67="Pickup", SUMIFS(NewEmisData!K:K, NewEmisData!$A:$A, "Pickup", NewEmisData!$B:$B, $A67, NewEmisData!$C:$C, $H67, NewEmisData!$D:$D, BY$2), SUMIFS(NewEmisData!K:K, NewEmisData!$A:$A, "LDV", NewEmisData!$B:$B, $A67, NewEmisData!$C:$C, $H67, NewEmisData!$D:$D, BY$2))</f>
        <v>0.11591502454704899</v>
      </c>
      <c r="BZ67" s="324">
        <f>$I67*IF($G67="Pickup", SUMIFS(NewEmisData!L:L, NewEmisData!$A:$A, "Pickup", NewEmisData!$B:$B, $A67, NewEmisData!$C:$C, $H67, NewEmisData!$D:$D, BZ$2), SUMIFS(NewEmisData!L:L, NewEmisData!$A:$A, "LDV", NewEmisData!$B:$B, $A67, NewEmisData!$C:$C, $H67, NewEmisData!$D:$D, BZ$2))</f>
        <v>0.110951334785302</v>
      </c>
      <c r="CA67" s="324">
        <f>$I67*IF($G67="Pickup", SUMIFS(NewEmisData!M:M, NewEmisData!$A:$A, "Pickup", NewEmisData!$B:$B, $A67, NewEmisData!$C:$C, $H67, NewEmisData!$D:$D, CA$2), SUMIFS(NewEmisData!M:M, NewEmisData!$A:$A, "LDV", NewEmisData!$B:$B, $A67, NewEmisData!$C:$C, $H67, NewEmisData!$D:$D, CA$2))</f>
        <v>0.10699337260583799</v>
      </c>
      <c r="CB67" s="324">
        <f t="shared" si="11"/>
        <v>0.10699337260583799</v>
      </c>
      <c r="CC67" s="324">
        <f>$I67*IF($G67="Pickup", SUMIFS(NewEmisData!E:E, NewEmisData!$A:$A, "Pickup", NewEmisData!$B:$B, $A67, NewEmisData!$C:$C, $H67, NewEmisData!$D:$D, CC$2), SUMIFS(NewEmisData!E:E, NewEmisData!$A:$A, "LDV", NewEmisData!$B:$B, $A67, NewEmisData!$C:$C, $H67, NewEmisData!$D:$D, CC$2))</f>
        <v>5.1125583760404797E-2</v>
      </c>
      <c r="CD67" s="324">
        <f>$I67*IF($G67="Pickup", SUMIFS(NewEmisData!F:F, NewEmisData!$A:$A, "Pickup", NewEmisData!$B:$B, $A67, NewEmisData!$C:$C, $H67, NewEmisData!$D:$D, CD$2), SUMIFS(NewEmisData!F:F, NewEmisData!$A:$A, "LDV", NewEmisData!$B:$B, $A67, NewEmisData!$C:$C, $H67, NewEmisData!$D:$D, CD$2))</f>
        <v>3.7154393856404101E-2</v>
      </c>
      <c r="CE67" s="324">
        <f>$I67*IF($G67="Pickup", SUMIFS(NewEmisData!G:G, NewEmisData!$A:$A, "Pickup", NewEmisData!$B:$B, $A67, NewEmisData!$C:$C, $H67, NewEmisData!$D:$D, CE$2), SUMIFS(NewEmisData!G:G, NewEmisData!$A:$A, "LDV", NewEmisData!$B:$B, $A67, NewEmisData!$C:$C, $H67, NewEmisData!$D:$D, CE$2))</f>
        <v>2.8853651309577E-2</v>
      </c>
      <c r="CF67" s="324">
        <f>$I67*IF($G67="Pickup", SUMIFS(NewEmisData!H:H, NewEmisData!$A:$A, "Pickup", NewEmisData!$B:$B, $A67, NewEmisData!$C:$C, $H67, NewEmisData!$D:$D, CF$2), SUMIFS(NewEmisData!H:H, NewEmisData!$A:$A, "LDV", NewEmisData!$B:$B, $A67, NewEmisData!$C:$C, $H67, NewEmisData!$D:$D, CF$2))</f>
        <v>2.7537520644524499E-2</v>
      </c>
      <c r="CG67" s="324">
        <f>$I67*IF($G67="Pickup", SUMIFS(NewEmisData!I:I, NewEmisData!$A:$A, "Pickup", NewEmisData!$B:$B, $A67, NewEmisData!$C:$C, $H67, NewEmisData!$D:$D, CG$2), SUMIFS(NewEmisData!I:I, NewEmisData!$A:$A, "LDV", NewEmisData!$B:$B, $A67, NewEmisData!$C:$C, $H67, NewEmisData!$D:$D, CG$2))</f>
        <v>2.6666633761740999E-2</v>
      </c>
      <c r="CH67" s="324">
        <f>$I67*IF($G67="Pickup", SUMIFS(NewEmisData!J:J, NewEmisData!$A:$A, "Pickup", NewEmisData!$B:$B, $A67, NewEmisData!$C:$C, $H67, NewEmisData!$D:$D, CH$2), SUMIFS(NewEmisData!J:J, NewEmisData!$A:$A, "LDV", NewEmisData!$B:$B, $A67, NewEmisData!$C:$C, $H67, NewEmisData!$D:$D, CH$2))</f>
        <v>2.5980348711507999E-2</v>
      </c>
      <c r="CI67" s="324">
        <f>$I67*IF($G67="Pickup", SUMIFS(NewEmisData!K:K, NewEmisData!$A:$A, "Pickup", NewEmisData!$B:$B, $A67, NewEmisData!$C:$C, $H67, NewEmisData!$D:$D, CI$2), SUMIFS(NewEmisData!K:K, NewEmisData!$A:$A, "LDV", NewEmisData!$B:$B, $A67, NewEmisData!$C:$C, $H67, NewEmisData!$D:$D, CI$2))</f>
        <v>2.5978185303944301E-2</v>
      </c>
      <c r="CJ67" s="324">
        <f>$I67*IF($G67="Pickup", SUMIFS(NewEmisData!L:L, NewEmisData!$A:$A, "Pickup", NewEmisData!$B:$B, $A67, NewEmisData!$C:$C, $H67, NewEmisData!$D:$D, CJ$2), SUMIFS(NewEmisData!L:L, NewEmisData!$A:$A, "LDV", NewEmisData!$B:$B, $A67, NewEmisData!$C:$C, $H67, NewEmisData!$D:$D, CJ$2))</f>
        <v>2.5977588735828699E-2</v>
      </c>
      <c r="CK67" s="324">
        <f>$I67*IF($G67="Pickup", SUMIFS(NewEmisData!M:M, NewEmisData!$A:$A, "Pickup", NewEmisData!$B:$B, $A67, NewEmisData!$C:$C, $H67, NewEmisData!$D:$D, CK$2), SUMIFS(NewEmisData!M:M, NewEmisData!$A:$A, "LDV", NewEmisData!$B:$B, $A67, NewEmisData!$C:$C, $H67, NewEmisData!$D:$D, CK$2))</f>
        <v>2.5976994364069798E-2</v>
      </c>
      <c r="CL67" s="324">
        <f t="shared" si="12"/>
        <v>2.5976994364069798E-2</v>
      </c>
      <c r="CM67" s="324">
        <f>$I67*IF($G67="Pickup", SUMIFS(NewEmisData!E:E, NewEmisData!$A:$A, "Pickup", NewEmisData!$B:$B, $A67, NewEmisData!$C:$C, $H67, NewEmisData!$D:$D, CM$2), SUMIFS(NewEmisData!E:E, NewEmisData!$A:$A, "LDV", NewEmisData!$B:$B, $A67, NewEmisData!$C:$C, $H67, NewEmisData!$D:$D, CM$2))</f>
        <v>2.2752592498671498E-2</v>
      </c>
      <c r="CN67" s="324">
        <f>$I67*IF($G67="Pickup", SUMIFS(NewEmisData!F:F, NewEmisData!$A:$A, "Pickup", NewEmisData!$B:$B, $A67, NewEmisData!$C:$C, $H67, NewEmisData!$D:$D, CN$2), SUMIFS(NewEmisData!F:F, NewEmisData!$A:$A, "LDV", NewEmisData!$B:$B, $A67, NewEmisData!$C:$C, $H67, NewEmisData!$D:$D, CN$2))</f>
        <v>1.4156662086893E-2</v>
      </c>
      <c r="CO67" s="324">
        <f>$I67*IF($G67="Pickup", SUMIFS(NewEmisData!G:G, NewEmisData!$A:$A, "Pickup", NewEmisData!$B:$B, $A67, NewEmisData!$C:$C, $H67, NewEmisData!$D:$D, CO$2), SUMIFS(NewEmisData!G:G, NewEmisData!$A:$A, "LDV", NewEmisData!$B:$B, $A67, NewEmisData!$C:$C, $H67, NewEmisData!$D:$D, CO$2))</f>
        <v>9.29628541682684E-3</v>
      </c>
      <c r="CP67" s="324">
        <f>$I67*IF($G67="Pickup", SUMIFS(NewEmisData!H:H, NewEmisData!$A:$A, "Pickup", NewEmisData!$B:$B, $A67, NewEmisData!$C:$C, $H67, NewEmisData!$D:$D, CP$2), SUMIFS(NewEmisData!H:H, NewEmisData!$A:$A, "LDV", NewEmisData!$B:$B, $A67, NewEmisData!$C:$C, $H67, NewEmisData!$D:$D, CP$2))</f>
        <v>7.6962231490179996E-3</v>
      </c>
      <c r="CQ67" s="324">
        <f>$I67*IF($G67="Pickup", SUMIFS(NewEmisData!I:I, NewEmisData!$A:$A, "Pickup", NewEmisData!$B:$B, $A67, NewEmisData!$C:$C, $H67, NewEmisData!$D:$D, CQ$2), SUMIFS(NewEmisData!I:I, NewEmisData!$A:$A, "LDV", NewEmisData!$B:$B, $A67, NewEmisData!$C:$C, $H67, NewEmisData!$D:$D, CQ$2))</f>
        <v>6.9434858281499498E-3</v>
      </c>
      <c r="CR67" s="324">
        <f>$I67*IF($G67="Pickup", SUMIFS(NewEmisData!J:J, NewEmisData!$A:$A, "Pickup", NewEmisData!$B:$B, $A67, NewEmisData!$C:$C, $H67, NewEmisData!$D:$D, CR$2), SUMIFS(NewEmisData!J:J, NewEmisData!$A:$A, "LDV", NewEmisData!$B:$B, $A67, NewEmisData!$C:$C, $H67, NewEmisData!$D:$D, CR$2))</f>
        <v>6.6235501686008101E-3</v>
      </c>
      <c r="CS67" s="324">
        <f>$I67*IF($G67="Pickup", SUMIFS(NewEmisData!K:K, NewEmisData!$A:$A, "Pickup", NewEmisData!$B:$B, $A67, NewEmisData!$C:$C, $H67, NewEmisData!$D:$D, CS$2), SUMIFS(NewEmisData!K:K, NewEmisData!$A:$A, "LDV", NewEmisData!$B:$B, $A67, NewEmisData!$C:$C, $H67, NewEmisData!$D:$D, CS$2))</f>
        <v>6.5909545130035602E-3</v>
      </c>
      <c r="CT67" s="324">
        <f>$I67*IF($G67="Pickup", SUMIFS(NewEmisData!L:L, NewEmisData!$A:$A, "Pickup", NewEmisData!$B:$B, $A67, NewEmisData!$C:$C, $H67, NewEmisData!$D:$D, CT$2), SUMIFS(NewEmisData!L:L, NewEmisData!$A:$A, "LDV", NewEmisData!$B:$B, $A67, NewEmisData!$C:$C, $H67, NewEmisData!$D:$D, CT$2))</f>
        <v>6.5377802107072303E-3</v>
      </c>
      <c r="CU67" s="324">
        <f>$I67*IF($G67="Pickup", SUMIFS(NewEmisData!M:M, NewEmisData!$A:$A, "Pickup", NewEmisData!$B:$B, $A67, NewEmisData!$C:$C, $H67, NewEmisData!$D:$D, CU$2), SUMIFS(NewEmisData!M:M, NewEmisData!$A:$A, "LDV", NewEmisData!$B:$B, $A67, NewEmisData!$C:$C, $H67, NewEmisData!$D:$D, CU$2))</f>
        <v>6.5374275690386098E-3</v>
      </c>
      <c r="CV67" s="324">
        <f t="shared" si="13"/>
        <v>6.5374275690386098E-3</v>
      </c>
      <c r="CW67" s="324">
        <v>3.0448046675121709E-3</v>
      </c>
      <c r="CX67" s="324">
        <v>1.8865908720768221E-3</v>
      </c>
      <c r="CY67" s="324">
        <v>1.5570268485524494E-3</v>
      </c>
      <c r="CZ67" s="324">
        <v>1.2432183416122382E-3</v>
      </c>
      <c r="DA67" s="324">
        <v>9.252251866281976E-4</v>
      </c>
      <c r="DB67" s="324">
        <v>7.2309456596024934E-4</v>
      </c>
      <c r="DC67" s="324">
        <v>6.8940706870607876E-4</v>
      </c>
      <c r="DD67" s="324">
        <v>6.844148428615973E-4</v>
      </c>
      <c r="DE67" s="324">
        <v>6.8634617396886091E-4</v>
      </c>
      <c r="DF67" s="324">
        <v>6.8634617396886091E-4</v>
      </c>
      <c r="DG67" s="324">
        <f>$I67*IF($G67="Pickup", SUMIFS(NewEmisData!E:E, NewEmisData!$A:$A, "Pickup", NewEmisData!$B:$B, $A67, NewEmisData!$C:$C, $H67, NewEmisData!$D:$D, DG$2), SUMIFS(NewEmisData!E:E, NewEmisData!$A:$A, "LDV", NewEmisData!$B:$B, $A67, NewEmisData!$C:$C, $H67, NewEmisData!$D:$D, DG$2))</f>
        <v>0</v>
      </c>
      <c r="DH67" s="324">
        <f>$I67*IF($G67="Pickup", SUMIFS(NewEmisData!F:F, NewEmisData!$A:$A, "Pickup", NewEmisData!$B:$B, $A67, NewEmisData!$C:$C, $H67, NewEmisData!$D:$D, DH$2), SUMIFS(NewEmisData!F:F, NewEmisData!$A:$A, "LDV", NewEmisData!$B:$B, $A67, NewEmisData!$C:$C, $H67, NewEmisData!$D:$D, DH$2))</f>
        <v>0</v>
      </c>
      <c r="DI67" s="324">
        <f>$I67*IF($G67="Pickup", SUMIFS(NewEmisData!G:G, NewEmisData!$A:$A, "Pickup", NewEmisData!$B:$B, $A67, NewEmisData!$C:$C, $H67, NewEmisData!$D:$D, DI$2), SUMIFS(NewEmisData!G:G, NewEmisData!$A:$A, "LDV", NewEmisData!$B:$B, $A67, NewEmisData!$C:$C, $H67, NewEmisData!$D:$D, DI$2))</f>
        <v>0</v>
      </c>
      <c r="DJ67" s="324">
        <f>$I67*IF($G67="Pickup", SUMIFS(NewEmisData!H:H, NewEmisData!$A:$A, "Pickup", NewEmisData!$B:$B, $A67, NewEmisData!$C:$C, $H67, NewEmisData!$D:$D, DJ$2), SUMIFS(NewEmisData!H:H, NewEmisData!$A:$A, "LDV", NewEmisData!$B:$B, $A67, NewEmisData!$C:$C, $H67, NewEmisData!$D:$D, DJ$2))</f>
        <v>0</v>
      </c>
      <c r="DK67" s="324">
        <f>$I67*IF($G67="Pickup", SUMIFS(NewEmisData!I:I, NewEmisData!$A:$A, "Pickup", NewEmisData!$B:$B, $A67, NewEmisData!$C:$C, $H67, NewEmisData!$D:$D, DK$2), SUMIFS(NewEmisData!I:I, NewEmisData!$A:$A, "LDV", NewEmisData!$B:$B, $A67, NewEmisData!$C:$C, $H67, NewEmisData!$D:$D, DK$2))</f>
        <v>0</v>
      </c>
      <c r="DL67" s="324">
        <f>$I67*IF($G67="Pickup", SUMIFS(NewEmisData!J:J, NewEmisData!$A:$A, "Pickup", NewEmisData!$B:$B, $A67, NewEmisData!$C:$C, $H67, NewEmisData!$D:$D, DL$2), SUMIFS(NewEmisData!J:J, NewEmisData!$A:$A, "LDV", NewEmisData!$B:$B, $A67, NewEmisData!$C:$C, $H67, NewEmisData!$D:$D, DL$2))</f>
        <v>0</v>
      </c>
      <c r="DM67" s="324">
        <f>$I67*IF($G67="Pickup", SUMIFS(NewEmisData!K:K, NewEmisData!$A:$A, "Pickup", NewEmisData!$B:$B, $A67, NewEmisData!$C:$C, $H67, NewEmisData!$D:$D, DM$2), SUMIFS(NewEmisData!K:K, NewEmisData!$A:$A, "LDV", NewEmisData!$B:$B, $A67, NewEmisData!$C:$C, $H67, NewEmisData!$D:$D, DM$2))</f>
        <v>0</v>
      </c>
      <c r="DN67" s="324">
        <f>$I67*IF($G67="Pickup", SUMIFS(NewEmisData!L:L, NewEmisData!$A:$A, "Pickup", NewEmisData!$B:$B, $A67, NewEmisData!$C:$C, $H67, NewEmisData!$D:$D, DN$2), SUMIFS(NewEmisData!L:L, NewEmisData!$A:$A, "LDV", NewEmisData!$B:$B, $A67, NewEmisData!$C:$C, $H67, NewEmisData!$D:$D, DN$2))</f>
        <v>0</v>
      </c>
      <c r="DO67" s="324">
        <f>$I67*IF($G67="Pickup", SUMIFS(NewEmisData!M:M, NewEmisData!$A:$A, "Pickup", NewEmisData!$B:$B, $A67, NewEmisData!$C:$C, $H67, NewEmisData!$D:$D, DO$2), SUMIFS(NewEmisData!M:M, NewEmisData!$A:$A, "LDV", NewEmisData!$B:$B, $A67, NewEmisData!$C:$C, $H67, NewEmisData!$D:$D, DO$2))</f>
        <v>0</v>
      </c>
      <c r="DP67" s="324">
        <f t="shared" si="14"/>
        <v>0</v>
      </c>
      <c r="DQ67" s="324">
        <f>$I67*IF($G67="Pickup", SUMIFS(NewEmisData!E:E, NewEmisData!$A:$A, "Pickup", NewEmisData!$B:$B, $A67, NewEmisData!$C:$C, $H67, NewEmisData!$D:$D, DQ$2), SUMIFS(NewEmisData!E:E, NewEmisData!$A:$A, "LDV", NewEmisData!$B:$B, $A67, NewEmisData!$C:$C, $H67, NewEmisData!$D:$D, DQ$2))</f>
        <v>1.7231430999334701E-2</v>
      </c>
      <c r="DR67" s="324">
        <f>$I67*IF($G67="Pickup", SUMIFS(NewEmisData!F:F, NewEmisData!$A:$A, "Pickup", NewEmisData!$B:$B, $A67, NewEmisData!$C:$C, $H67, NewEmisData!$D:$D, DR$2), SUMIFS(NewEmisData!F:F, NewEmisData!$A:$A, "LDV", NewEmisData!$B:$B, $A67, NewEmisData!$C:$C, $H67, NewEmisData!$D:$D, DR$2))</f>
        <v>8.9963646277585099E-3</v>
      </c>
      <c r="DS67" s="324">
        <f>$I67*IF($G67="Pickup", SUMIFS(NewEmisData!G:G, NewEmisData!$A:$A, "Pickup", NewEmisData!$B:$B, $A67, NewEmisData!$C:$C, $H67, NewEmisData!$D:$D, DS$2), SUMIFS(NewEmisData!G:G, NewEmisData!$A:$A, "LDV", NewEmisData!$B:$B, $A67, NewEmisData!$C:$C, $H67, NewEmisData!$D:$D, DS$2))</f>
        <v>5.6961522615022698E-3</v>
      </c>
      <c r="DT67" s="324">
        <f>$I67*IF($G67="Pickup", SUMIFS(NewEmisData!H:H, NewEmisData!$A:$A, "Pickup", NewEmisData!$B:$B, $A67, NewEmisData!$C:$C, $H67, NewEmisData!$D:$D, DT$2), SUMIFS(NewEmisData!H:H, NewEmisData!$A:$A, "LDV", NewEmisData!$B:$B, $A67, NewEmisData!$C:$C, $H67, NewEmisData!$D:$D, DT$2))</f>
        <v>4.3151143502781096E-3</v>
      </c>
      <c r="DU67" s="324">
        <f>$I67*IF($G67="Pickup", SUMIFS(NewEmisData!I:I, NewEmisData!$A:$A, "Pickup", NewEmisData!$B:$B, $A67, NewEmisData!$C:$C, $H67, NewEmisData!$D:$D, DU$2), SUMIFS(NewEmisData!I:I, NewEmisData!$A:$A, "LDV", NewEmisData!$B:$B, $A67, NewEmisData!$C:$C, $H67, NewEmisData!$D:$D, DU$2))</f>
        <v>3.35028978849721E-3</v>
      </c>
      <c r="DV67" s="324">
        <f>$I67*IF($G67="Pickup", SUMIFS(NewEmisData!J:J, NewEmisData!$A:$A, "Pickup", NewEmisData!$B:$B, $A67, NewEmisData!$C:$C, $H67, NewEmisData!$D:$D, DV$2), SUMIFS(NewEmisData!J:J, NewEmisData!$A:$A, "LDV", NewEmisData!$B:$B, $A67, NewEmisData!$C:$C, $H67, NewEmisData!$D:$D, DV$2))</f>
        <v>2.9288858721300301E-3</v>
      </c>
      <c r="DW67" s="324">
        <f>$I67*IF($G67="Pickup", SUMIFS(NewEmisData!K:K, NewEmisData!$A:$A, "Pickup", NewEmisData!$B:$B, $A67, NewEmisData!$C:$C, $H67, NewEmisData!$D:$D, DW$2), SUMIFS(NewEmisData!K:K, NewEmisData!$A:$A, "LDV", NewEmisData!$B:$B, $A67, NewEmisData!$C:$C, $H67, NewEmisData!$D:$D, DW$2))</f>
        <v>2.6889748661232601E-3</v>
      </c>
      <c r="DX67" s="324">
        <f>$I67*IF($G67="Pickup", SUMIFS(NewEmisData!L:L, NewEmisData!$A:$A, "Pickup", NewEmisData!$B:$B, $A67, NewEmisData!$C:$C, $H67, NewEmisData!$D:$D, DX$2), SUMIFS(NewEmisData!L:L, NewEmisData!$A:$A, "LDV", NewEmisData!$B:$B, $A67, NewEmisData!$C:$C, $H67, NewEmisData!$D:$D, DX$2))</f>
        <v>2.6131014849391301E-3</v>
      </c>
      <c r="DY67" s="324">
        <f>$I67*IF($G67="Pickup", SUMIFS(NewEmisData!M:M, NewEmisData!$A:$A, "Pickup", NewEmisData!$B:$B, $A67, NewEmisData!$C:$C, $H67, NewEmisData!$D:$D, DY$2), SUMIFS(NewEmisData!M:M, NewEmisData!$A:$A, "LDV", NewEmisData!$B:$B, $A67, NewEmisData!$C:$C, $H67, NewEmisData!$D:$D, DY$2))</f>
        <v>2.5757099053792102E-3</v>
      </c>
      <c r="DZ67" s="324">
        <f t="shared" si="15"/>
        <v>2.5757099053792102E-3</v>
      </c>
      <c r="EA67" s="324">
        <f t="shared" si="16"/>
        <v>605.35194063093002</v>
      </c>
      <c r="EB67" s="324">
        <f t="shared" si="17"/>
        <v>575.43677827742204</v>
      </c>
      <c r="EC67" s="324">
        <f t="shared" si="18"/>
        <v>447.50306541281799</v>
      </c>
      <c r="ED67" s="324">
        <f t="shared" si="19"/>
        <v>380.32748601406797</v>
      </c>
      <c r="EE67" s="324">
        <f t="shared" si="20"/>
        <v>328.8508655947</v>
      </c>
      <c r="EF67" s="324">
        <f t="shared" si="21"/>
        <v>299.87343037562698</v>
      </c>
      <c r="EG67" s="324">
        <f t="shared" si="22"/>
        <v>286.96645721008798</v>
      </c>
      <c r="EH67" s="324">
        <f t="shared" si="23"/>
        <v>282.38592098475101</v>
      </c>
      <c r="EI67" s="324">
        <f t="shared" si="24"/>
        <v>280.69816184937503</v>
      </c>
      <c r="EJ67" s="324">
        <f t="shared" si="25"/>
        <v>280.69816184937503</v>
      </c>
      <c r="EK67" s="324">
        <f t="shared" si="26"/>
        <v>0.73999493628111201</v>
      </c>
      <c r="EL67" s="324">
        <f t="shared" si="27"/>
        <v>0.35335240075773999</v>
      </c>
      <c r="EM67" s="324">
        <f t="shared" si="28"/>
        <v>0.18897755292818599</v>
      </c>
      <c r="EN67" s="324">
        <f t="shared" si="29"/>
        <v>0.12218817840455801</v>
      </c>
      <c r="EO67" s="324">
        <f t="shared" si="30"/>
        <v>7.3060825114572805E-2</v>
      </c>
      <c r="EP67" s="324">
        <f t="shared" si="31"/>
        <v>5.3764321341730301E-2</v>
      </c>
      <c r="EQ67" s="324">
        <f t="shared" si="32"/>
        <v>4.5765873698397498E-2</v>
      </c>
      <c r="ER67" s="324">
        <f t="shared" si="33"/>
        <v>4.3548109073897001E-2</v>
      </c>
      <c r="ES67" s="324">
        <f t="shared" si="34"/>
        <v>4.24609775043936E-2</v>
      </c>
      <c r="ET67" s="324">
        <f t="shared" si="35"/>
        <v>4.24609775043936E-2</v>
      </c>
      <c r="EU67" s="324">
        <f t="shared" si="36"/>
        <v>1.04747160569124E-2</v>
      </c>
      <c r="EV67" s="324">
        <f t="shared" si="37"/>
        <v>9.9570764799691708E-3</v>
      </c>
      <c r="EW67" s="324">
        <f t="shared" si="38"/>
        <v>6.4196648888919499E-3</v>
      </c>
      <c r="EX67" s="324">
        <f t="shared" si="39"/>
        <v>5.45599526494426E-3</v>
      </c>
      <c r="EY67" s="324">
        <f t="shared" si="40"/>
        <v>4.7175365225731996E-3</v>
      </c>
      <c r="EZ67" s="324">
        <f t="shared" si="41"/>
        <v>4.3018391726363297E-3</v>
      </c>
      <c r="FA67" s="324">
        <f t="shared" si="42"/>
        <v>4.1166816404986702E-3</v>
      </c>
      <c r="FB67" s="324">
        <f t="shared" si="43"/>
        <v>4.0509726462172697E-3</v>
      </c>
      <c r="FC67" s="324">
        <f t="shared" si="44"/>
        <v>4.0267596573162799E-3</v>
      </c>
      <c r="FD67" s="324">
        <f t="shared" si="45"/>
        <v>4.0267596573162799E-3</v>
      </c>
      <c r="FE67" s="324">
        <f t="shared" si="46"/>
        <v>0.112529836649977</v>
      </c>
      <c r="FF67" s="324">
        <f t="shared" si="47"/>
        <v>0.103764807432247</v>
      </c>
      <c r="FG67" s="324">
        <f t="shared" si="48"/>
        <v>8.1904009889209095E-2</v>
      </c>
      <c r="FH67" s="324">
        <f t="shared" si="49"/>
        <v>8.0372811122020202E-2</v>
      </c>
      <c r="FI67" s="324">
        <f t="shared" si="50"/>
        <v>7.8826850839141593E-2</v>
      </c>
      <c r="FJ67" s="324">
        <f t="shared" si="51"/>
        <v>7.7629471627150906E-2</v>
      </c>
      <c r="FK67" s="324">
        <f t="shared" si="52"/>
        <v>7.6869255276324197E-2</v>
      </c>
      <c r="FL67" s="324">
        <f t="shared" si="53"/>
        <v>7.6489801218608905E-2</v>
      </c>
      <c r="FM67" s="324">
        <f t="shared" si="54"/>
        <v>7.6275890012832595E-2</v>
      </c>
      <c r="FN67" s="324">
        <f t="shared" si="55"/>
        <v>7.6275890012832595E-2</v>
      </c>
      <c r="FO67" s="324">
        <f t="shared" si="56"/>
        <v>2.93140110896879E-2</v>
      </c>
      <c r="FP67" s="324">
        <f t="shared" si="57"/>
        <v>2.15603319614842E-2</v>
      </c>
      <c r="FQ67" s="324">
        <f t="shared" si="58"/>
        <v>1.61359542510712E-2</v>
      </c>
      <c r="FR67" s="324">
        <f t="shared" si="59"/>
        <v>1.4781439172223E-2</v>
      </c>
      <c r="FS67" s="324">
        <f t="shared" si="60"/>
        <v>1.3413837806436801E-2</v>
      </c>
      <c r="FT67" s="324">
        <f t="shared" si="61"/>
        <v>1.2354573478352299E-2</v>
      </c>
      <c r="FU67" s="324">
        <f t="shared" si="62"/>
        <v>1.16820653404197E-2</v>
      </c>
      <c r="FV67" s="324">
        <f t="shared" si="63"/>
        <v>1.13463459698093E-2</v>
      </c>
      <c r="FW67" s="324">
        <f t="shared" si="64"/>
        <v>1.1157149268450401E-2</v>
      </c>
      <c r="FX67" s="324">
        <f t="shared" si="65"/>
        <v>1.1157149268450401E-2</v>
      </c>
    </row>
    <row r="68" spans="1:180" x14ac:dyDescent="0.2">
      <c r="A68" s="298" t="str">
        <f>_xlfn.CONCAT(IF(LEFT(TRIM(A67),1)="*", "*R", "R"), 1+RIGHT(TRIM(A67),1))</f>
        <v>*R5</v>
      </c>
      <c r="B68" s="298" t="str">
        <f t="shared" si="122"/>
        <v>TLELPGX</v>
      </c>
      <c r="C68" s="298" t="str">
        <f t="shared" si="123"/>
        <v>TL.LPGX.F.Existing fleet</v>
      </c>
      <c r="D68" s="294" t="str">
        <f t="shared" si="124"/>
        <v>bn-vmt, bn-vmt/a</v>
      </c>
      <c r="E68" s="294" t="str">
        <f t="shared" si="125"/>
        <v>TRNLPGX</v>
      </c>
      <c r="F68" s="294" t="str">
        <f t="shared" si="126"/>
        <v>TL</v>
      </c>
      <c r="G68" s="294" t="s">
        <v>476</v>
      </c>
      <c r="H68" s="294" t="s">
        <v>474</v>
      </c>
      <c r="I68" s="294">
        <v>1</v>
      </c>
      <c r="J68" s="308" t="str">
        <f t="shared" si="101"/>
        <v>Full size car-GSL</v>
      </c>
      <c r="K68" s="324">
        <f>$I68*IF($G68="Pickup", SUMIFS(NewEmisData!E:E, NewEmisData!$A:$A, "Pickup", NewEmisData!$B:$B, $A68, NewEmisData!$C:$C, $H68, NewEmisData!$D:$D, K$2), SUMIFS(NewEmisData!E:E, NewEmisData!$A:$A, "LDV", NewEmisData!$B:$B, $A68, NewEmisData!$C:$C, $H68, NewEmisData!$D:$D, K$2))</f>
        <v>474.817101058422</v>
      </c>
      <c r="L68" s="324">
        <f>$I68*IF($G68="Pickup", SUMIFS(NewEmisData!F:F, NewEmisData!$A:$A, "Pickup", NewEmisData!$B:$B, $A68, NewEmisData!$C:$C, $H68, NewEmisData!$D:$D, L$2), SUMIFS(NewEmisData!F:F, NewEmisData!$A:$A, "LDV", NewEmisData!$B:$B, $A68, NewEmisData!$C:$C, $H68, NewEmisData!$D:$D, L$2))</f>
        <v>451.24703471572099</v>
      </c>
      <c r="M68" s="324">
        <f>$I68*IF($G68="Pickup", SUMIFS(NewEmisData!G:G, NewEmisData!$A:$A, "Pickup", NewEmisData!$B:$B, $A68, NewEmisData!$C:$C, $H68, NewEmisData!$D:$D, M$2), SUMIFS(NewEmisData!G:G, NewEmisData!$A:$A, "LDV", NewEmisData!$B:$B, $A68, NewEmisData!$C:$C, $H68, NewEmisData!$D:$D, M$2))</f>
        <v>359.55406391675598</v>
      </c>
      <c r="N68" s="324">
        <f>$I68*IF($G68="Pickup", SUMIFS(NewEmisData!H:H, NewEmisData!$A:$A, "Pickup", NewEmisData!$B:$B, $A68, NewEmisData!$C:$C, $H68, NewEmisData!$D:$D, N$2), SUMIFS(NewEmisData!H:H, NewEmisData!$A:$A, "LDV", NewEmisData!$B:$B, $A68, NewEmisData!$C:$C, $H68, NewEmisData!$D:$D, N$2))</f>
        <v>306.68867751853497</v>
      </c>
      <c r="O68" s="324">
        <f>$I68*IF($G68="Pickup", SUMIFS(NewEmisData!I:I, NewEmisData!$A:$A, "Pickup", NewEmisData!$B:$B, $A68, NewEmisData!$C:$C, $H68, NewEmisData!$D:$D, O$2), SUMIFS(NewEmisData!I:I, NewEmisData!$A:$A, "LDV", NewEmisData!$B:$B, $A68, NewEmisData!$C:$C, $H68, NewEmisData!$D:$D, O$2))</f>
        <v>266.05693149041099</v>
      </c>
      <c r="P68" s="324">
        <f>$I68*IF($G68="Pickup", SUMIFS(NewEmisData!J:J, NewEmisData!$A:$A, "Pickup", NewEmisData!$B:$B, $A68, NewEmisData!$C:$C, $H68, NewEmisData!$D:$D, P$2), SUMIFS(NewEmisData!J:J, NewEmisData!$A:$A, "LDV", NewEmisData!$B:$B, $A68, NewEmisData!$C:$C, $H68, NewEmisData!$D:$D, P$2))</f>
        <v>243.087176828883</v>
      </c>
      <c r="Q68" s="324">
        <f>$I68*IF($G68="Pickup", SUMIFS(NewEmisData!K:K, NewEmisData!$A:$A, "Pickup", NewEmisData!$B:$B, $A68, NewEmisData!$C:$C, $H68, NewEmisData!$D:$D, Q$2), SUMIFS(NewEmisData!K:K, NewEmisData!$A:$A, "LDV", NewEmisData!$B:$B, $A68, NewEmisData!$C:$C, $H68, NewEmisData!$D:$D, Q$2))</f>
        <v>232.82718030870799</v>
      </c>
      <c r="R68" s="324">
        <f>$I68*IF($G68="Pickup", SUMIFS(NewEmisData!L:L, NewEmisData!$A:$A, "Pickup", NewEmisData!$B:$B, $A68, NewEmisData!$C:$C, $H68, NewEmisData!$D:$D, R$2), SUMIFS(NewEmisData!L:L, NewEmisData!$A:$A, "LDV", NewEmisData!$B:$B, $A68, NewEmisData!$C:$C, $H68, NewEmisData!$D:$D, R$2))</f>
        <v>229.167353178653</v>
      </c>
      <c r="S68" s="324">
        <f>$I68*IF($G68="Pickup", SUMIFS(NewEmisData!M:M, NewEmisData!$A:$A, "Pickup", NewEmisData!$B:$B, $A68, NewEmisData!$C:$C, $H68, NewEmisData!$D:$D, S$2), SUMIFS(NewEmisData!M:M, NewEmisData!$A:$A, "LDV", NewEmisData!$B:$B, $A68, NewEmisData!$C:$C, $H68, NewEmisData!$D:$D, S$2))</f>
        <v>227.80956840287899</v>
      </c>
      <c r="T68" s="324">
        <f t="shared" si="5"/>
        <v>227.80956840287899</v>
      </c>
      <c r="U68" s="324">
        <f>$I68*IF($G68="Pickup", SUMIFS(NewEmisData!E:E, NewEmisData!$A:$A, "Pickup", NewEmisData!$B:$B, $A68, NewEmisData!$C:$C, $H68, NewEmisData!$D:$D, U$2), SUMIFS(NewEmisData!E:E, NewEmisData!$A:$A, "LDV", NewEmisData!$B:$B, $A68, NewEmisData!$C:$C, $H68, NewEmisData!$D:$D, U$2))</f>
        <v>0.70973077210402302</v>
      </c>
      <c r="V68" s="324">
        <f>$I68*IF($G68="Pickup", SUMIFS(NewEmisData!F:F, NewEmisData!$A:$A, "Pickup", NewEmisData!$B:$B, $A68, NewEmisData!$C:$C, $H68, NewEmisData!$D:$D, V$2), SUMIFS(NewEmisData!F:F, NewEmisData!$A:$A, "LDV", NewEmisData!$B:$B, $A68, NewEmisData!$C:$C, $H68, NewEmisData!$D:$D, V$2))</f>
        <v>0.32036907792622199</v>
      </c>
      <c r="W68" s="324">
        <f>$I68*IF($G68="Pickup", SUMIFS(NewEmisData!G:G, NewEmisData!$A:$A, "Pickup", NewEmisData!$B:$B, $A68, NewEmisData!$C:$C, $H68, NewEmisData!$D:$D, W$2), SUMIFS(NewEmisData!G:G, NewEmisData!$A:$A, "LDV", NewEmisData!$B:$B, $A68, NewEmisData!$C:$C, $H68, NewEmisData!$D:$D, W$2))</f>
        <v>0.23974719966536701</v>
      </c>
      <c r="X68" s="324">
        <f>$I68*IF($G68="Pickup", SUMIFS(NewEmisData!H:H, NewEmisData!$A:$A, "Pickup", NewEmisData!$B:$B, $A68, NewEmisData!$C:$C, $H68, NewEmisData!$D:$D, X$2), SUMIFS(NewEmisData!H:H, NewEmisData!$A:$A, "LDV", NewEmisData!$B:$B, $A68, NewEmisData!$C:$C, $H68, NewEmisData!$D:$D, X$2))</f>
        <v>0.160612501035788</v>
      </c>
      <c r="Y68" s="324">
        <f>$I68*IF($G68="Pickup", SUMIFS(NewEmisData!I:I, NewEmisData!$A:$A, "Pickup", NewEmisData!$B:$B, $A68, NewEmisData!$C:$C, $H68, NewEmisData!$D:$D, Y$2), SUMIFS(NewEmisData!I:I, NewEmisData!$A:$A, "LDV", NewEmisData!$B:$B, $A68, NewEmisData!$C:$C, $H68, NewEmisData!$D:$D, Y$2))</f>
        <v>0.10365613117262901</v>
      </c>
      <c r="Z68" s="324">
        <f>$I68*IF($G68="Pickup", SUMIFS(NewEmisData!J:J, NewEmisData!$A:$A, "Pickup", NewEmisData!$B:$B, $A68, NewEmisData!$C:$C, $H68, NewEmisData!$D:$D, Z$2), SUMIFS(NewEmisData!J:J, NewEmisData!$A:$A, "LDV", NewEmisData!$B:$B, $A68, NewEmisData!$C:$C, $H68, NewEmisData!$D:$D, Z$2))</f>
        <v>7.8799994555065797E-2</v>
      </c>
      <c r="AA68" s="324">
        <f>$I68*IF($G68="Pickup", SUMIFS(NewEmisData!K:K, NewEmisData!$A:$A, "Pickup", NewEmisData!$B:$B, $A68, NewEmisData!$C:$C, $H68, NewEmisData!$D:$D, AA$2), SUMIFS(NewEmisData!K:K, NewEmisData!$A:$A, "LDV", NewEmisData!$B:$B, $A68, NewEmisData!$C:$C, $H68, NewEmisData!$D:$D, AA$2))</f>
        <v>6.8646939612850705E-2</v>
      </c>
      <c r="AB68" s="324">
        <f>$I68*IF($G68="Pickup", SUMIFS(NewEmisData!L:L, NewEmisData!$A:$A, "Pickup", NewEmisData!$B:$B, $A68, NewEmisData!$C:$C, $H68, NewEmisData!$D:$D, AB$2), SUMIFS(NewEmisData!L:L, NewEmisData!$A:$A, "LDV", NewEmisData!$B:$B, $A68, NewEmisData!$C:$C, $H68, NewEmisData!$D:$D, AB$2))</f>
        <v>6.5824398729591893E-2</v>
      </c>
      <c r="AC68" s="324">
        <f>$I68*IF($G68="Pickup", SUMIFS(NewEmisData!M:M, NewEmisData!$A:$A, "Pickup", NewEmisData!$B:$B, $A68, NewEmisData!$C:$C, $H68, NewEmisData!$D:$D, AC$2), SUMIFS(NewEmisData!M:M, NewEmisData!$A:$A, "LDV", NewEmisData!$B:$B, $A68, NewEmisData!$C:$C, $H68, NewEmisData!$D:$D, AC$2))</f>
        <v>6.4340803704991095E-2</v>
      </c>
      <c r="AD68" s="324">
        <f t="shared" si="6"/>
        <v>6.4340803704991095E-2</v>
      </c>
      <c r="AE68" s="324">
        <f>$I68*IF($G68="Pickup", SUMIFS(NewEmisData!E:E, NewEmisData!$A:$A, "Pickup", NewEmisData!$B:$B, $A68, NewEmisData!$C:$C, $H68, NewEmisData!$D:$D, AE$2), SUMIFS(NewEmisData!E:E, NewEmisData!$A:$A, "LDV", NewEmisData!$B:$B, $A68, NewEmisData!$C:$C, $H68, NewEmisData!$D:$D, AE$2))</f>
        <v>8.2160020457903906E-3</v>
      </c>
      <c r="AF68" s="324">
        <f>$I68*IF($G68="Pickup", SUMIFS(NewEmisData!F:F, NewEmisData!$A:$A, "Pickup", NewEmisData!$B:$B, $A68, NewEmisData!$C:$C, $H68, NewEmisData!$D:$D, AF$2), SUMIFS(NewEmisData!F:F, NewEmisData!$A:$A, "LDV", NewEmisData!$B:$B, $A68, NewEmisData!$C:$C, $H68, NewEmisData!$D:$D, AF$2))</f>
        <v>7.80815598787189E-3</v>
      </c>
      <c r="AG68" s="324">
        <f>$I68*IF($G68="Pickup", SUMIFS(NewEmisData!G:G, NewEmisData!$A:$A, "Pickup", NewEmisData!$B:$B, $A68, NewEmisData!$C:$C, $H68, NewEmisData!$D:$D, AG$2), SUMIFS(NewEmisData!G:G, NewEmisData!$A:$A, "LDV", NewEmisData!$B:$B, $A68, NewEmisData!$C:$C, $H68, NewEmisData!$D:$D, AG$2))</f>
        <v>5.1579884513251097E-3</v>
      </c>
      <c r="AH68" s="324">
        <f>$I68*IF($G68="Pickup", SUMIFS(NewEmisData!H:H, NewEmisData!$A:$A, "Pickup", NewEmisData!$B:$B, $A68, NewEmisData!$C:$C, $H68, NewEmisData!$D:$D, AH$2), SUMIFS(NewEmisData!H:H, NewEmisData!$A:$A, "LDV", NewEmisData!$B:$B, $A68, NewEmisData!$C:$C, $H68, NewEmisData!$D:$D, AH$2))</f>
        <v>4.3996084263759998E-3</v>
      </c>
      <c r="AI68" s="324">
        <f>$I68*IF($G68="Pickup", SUMIFS(NewEmisData!I:I, NewEmisData!$A:$A, "Pickup", NewEmisData!$B:$B, $A68, NewEmisData!$C:$C, $H68, NewEmisData!$D:$D, AI$2), SUMIFS(NewEmisData!I:I, NewEmisData!$A:$A, "LDV", NewEmisData!$B:$B, $A68, NewEmisData!$C:$C, $H68, NewEmisData!$D:$D, AI$2))</f>
        <v>3.81672539575274E-3</v>
      </c>
      <c r="AJ68" s="324">
        <f>$I68*IF($G68="Pickup", SUMIFS(NewEmisData!J:J, NewEmisData!$A:$A, "Pickup", NewEmisData!$B:$B, $A68, NewEmisData!$C:$C, $H68, NewEmisData!$D:$D, AJ$2), SUMIFS(NewEmisData!J:J, NewEmisData!$A:$A, "LDV", NewEmisData!$B:$B, $A68, NewEmisData!$C:$C, $H68, NewEmisData!$D:$D, AJ$2))</f>
        <v>3.4872096414849999E-3</v>
      </c>
      <c r="AK68" s="324">
        <f>$I68*IF($G68="Pickup", SUMIFS(NewEmisData!K:K, NewEmisData!$A:$A, "Pickup", NewEmisData!$B:$B, $A68, NewEmisData!$C:$C, $H68, NewEmisData!$D:$D, AK$2), SUMIFS(NewEmisData!K:K, NewEmisData!$A:$A, "LDV", NewEmisData!$B:$B, $A68, NewEmisData!$C:$C, $H68, NewEmisData!$D:$D, AK$2))</f>
        <v>3.3400286224750798E-3</v>
      </c>
      <c r="AL68" s="324">
        <f>$I68*IF($G68="Pickup", SUMIFS(NewEmisData!L:L, NewEmisData!$A:$A, "Pickup", NewEmisData!$B:$B, $A68, NewEmisData!$C:$C, $H68, NewEmisData!$D:$D, AL$2), SUMIFS(NewEmisData!L:L, NewEmisData!$A:$A, "LDV", NewEmisData!$B:$B, $A68, NewEmisData!$C:$C, $H68, NewEmisData!$D:$D, AL$2))</f>
        <v>3.2875233288682799E-3</v>
      </c>
      <c r="AM68" s="324">
        <f>$I68*IF($G68="Pickup", SUMIFS(NewEmisData!M:M, NewEmisData!$A:$A, "Pickup", NewEmisData!$B:$B, $A68, NewEmisData!$C:$C, $H68, NewEmisData!$D:$D, AM$2), SUMIFS(NewEmisData!M:M, NewEmisData!$A:$A, "LDV", NewEmisData!$B:$B, $A68, NewEmisData!$C:$C, $H68, NewEmisData!$D:$D, AM$2))</f>
        <v>3.2680461258744399E-3</v>
      </c>
      <c r="AN68" s="324">
        <f t="shared" si="7"/>
        <v>3.2680461258744399E-3</v>
      </c>
      <c r="AO68" s="324">
        <f>$I68*IF($G68="Pickup", SUMIFS(NewEmisData!E:E, NewEmisData!$A:$A, "Pickup", NewEmisData!$B:$B, $A68, NewEmisData!$C:$C, $H68, NewEmisData!$D:$D, AO$2), SUMIFS(NewEmisData!E:E, NewEmisData!$A:$A, "LDV", NewEmisData!$B:$B, $A68, NewEmisData!$C:$C, $H68, NewEmisData!$D:$D, AO$2))</f>
        <v>7.6637268565666605E-2</v>
      </c>
      <c r="AP68" s="324">
        <f>$I68*IF($G68="Pickup", SUMIFS(NewEmisData!F:F, NewEmisData!$A:$A, "Pickup", NewEmisData!$B:$B, $A68, NewEmisData!$C:$C, $H68, NewEmisData!$D:$D, AP$2), SUMIFS(NewEmisData!F:F, NewEmisData!$A:$A, "LDV", NewEmisData!$B:$B, $A68, NewEmisData!$C:$C, $H68, NewEmisData!$D:$D, AP$2))</f>
        <v>7.17220347655846E-2</v>
      </c>
      <c r="AQ68" s="324">
        <f>$I68*IF($G68="Pickup", SUMIFS(NewEmisData!G:G, NewEmisData!$A:$A, "Pickup", NewEmisData!$B:$B, $A68, NewEmisData!$C:$C, $H68, NewEmisData!$D:$D, AQ$2), SUMIFS(NewEmisData!G:G, NewEmisData!$A:$A, "LDV", NewEmisData!$B:$B, $A68, NewEmisData!$C:$C, $H68, NewEmisData!$D:$D, AQ$2))</f>
        <v>5.3063354209187903E-2</v>
      </c>
      <c r="AR68" s="324">
        <f>$I68*IF($G68="Pickup", SUMIFS(NewEmisData!H:H, NewEmisData!$A:$A, "Pickup", NewEmisData!$B:$B, $A68, NewEmisData!$C:$C, $H68, NewEmisData!$D:$D, AR$2), SUMIFS(NewEmisData!H:H, NewEmisData!$A:$A, "LDV", NewEmisData!$B:$B, $A68, NewEmisData!$C:$C, $H68, NewEmisData!$D:$D, AR$2))</f>
        <v>5.1413159178765599E-2</v>
      </c>
      <c r="AS68" s="324">
        <f>$I68*IF($G68="Pickup", SUMIFS(NewEmisData!I:I, NewEmisData!$A:$A, "Pickup", NewEmisData!$B:$B, $A68, NewEmisData!$C:$C, $H68, NewEmisData!$D:$D, AS$2), SUMIFS(NewEmisData!I:I, NewEmisData!$A:$A, "LDV", NewEmisData!$B:$B, $A68, NewEmisData!$C:$C, $H68, NewEmisData!$D:$D, AS$2))</f>
        <v>4.9937748877796798E-2</v>
      </c>
      <c r="AT68" s="324">
        <f>$I68*IF($G68="Pickup", SUMIFS(NewEmisData!J:J, NewEmisData!$A:$A, "Pickup", NewEmisData!$B:$B, $A68, NewEmisData!$C:$C, $H68, NewEmisData!$D:$D, AT$2), SUMIFS(NewEmisData!J:J, NewEmisData!$A:$A, "LDV", NewEmisData!$B:$B, $A68, NewEmisData!$C:$C, $H68, NewEmisData!$D:$D, AT$2))</f>
        <v>4.8737436898882699E-2</v>
      </c>
      <c r="AU68" s="324">
        <f>$I68*IF($G68="Pickup", SUMIFS(NewEmisData!K:K, NewEmisData!$A:$A, "Pickup", NewEmisData!$B:$B, $A68, NewEmisData!$C:$C, $H68, NewEmisData!$D:$D, AU$2), SUMIFS(NewEmisData!K:K, NewEmisData!$A:$A, "LDV", NewEmisData!$B:$B, $A68, NewEmisData!$C:$C, $H68, NewEmisData!$D:$D, AU$2))</f>
        <v>4.7984590527250397E-2</v>
      </c>
      <c r="AV68" s="324">
        <f>$I68*IF($G68="Pickup", SUMIFS(NewEmisData!L:L, NewEmisData!$A:$A, "Pickup", NewEmisData!$B:$B, $A68, NewEmisData!$C:$C, $H68, NewEmisData!$D:$D, AV$2), SUMIFS(NewEmisData!L:L, NewEmisData!$A:$A, "LDV", NewEmisData!$B:$B, $A68, NewEmisData!$C:$C, $H68, NewEmisData!$D:$D, AV$2))</f>
        <v>4.76005320802948E-2</v>
      </c>
      <c r="AW68" s="324">
        <f>$I68*IF($G68="Pickup", SUMIFS(NewEmisData!M:M, NewEmisData!$A:$A, "Pickup", NewEmisData!$B:$B, $A68, NewEmisData!$C:$C, $H68, NewEmisData!$D:$D, AW$2), SUMIFS(NewEmisData!M:M, NewEmisData!$A:$A, "LDV", NewEmisData!$B:$B, $A68, NewEmisData!$C:$C, $H68, NewEmisData!$D:$D, AW$2))</f>
        <v>4.7377866603412998E-2</v>
      </c>
      <c r="AX68" s="324">
        <f t="shared" si="8"/>
        <v>4.7377866603412998E-2</v>
      </c>
      <c r="AY68" s="324">
        <f>$I68*IF($G68="Pickup", SUMIFS(NewEmisData!E:E, NewEmisData!$A:$A, "Pickup", NewEmisData!$B:$B, $A68, NewEmisData!$C:$C, $H68, NewEmisData!$D:$D, AY$2), SUMIFS(NewEmisData!E:E, NewEmisData!$A:$A, "LDV", NewEmisData!$B:$B, $A68, NewEmisData!$C:$C, $H68, NewEmisData!$D:$D, AY$2))</f>
        <v>1.9839679684136899E-2</v>
      </c>
      <c r="AZ68" s="324">
        <f>$I68*IF($G68="Pickup", SUMIFS(NewEmisData!F:F, NewEmisData!$A:$A, "Pickup", NewEmisData!$B:$B, $A68, NewEmisData!$C:$C, $H68, NewEmisData!$D:$D, AZ$2), SUMIFS(NewEmisData!F:F, NewEmisData!$A:$A, "LDV", NewEmisData!$B:$B, $A68, NewEmisData!$C:$C, $H68, NewEmisData!$D:$D, AZ$2))</f>
        <v>1.54915322396613E-2</v>
      </c>
      <c r="BA68" s="324">
        <f>$I68*IF($G68="Pickup", SUMIFS(NewEmisData!G:G, NewEmisData!$A:$A, "Pickup", NewEmisData!$B:$B, $A68, NewEmisData!$C:$C, $H68, NewEmisData!$D:$D, BA$2), SUMIFS(NewEmisData!G:G, NewEmisData!$A:$A, "LDV", NewEmisData!$B:$B, $A68, NewEmisData!$C:$C, $H68, NewEmisData!$D:$D, BA$2))</f>
        <v>1.24856485125612E-2</v>
      </c>
      <c r="BB68" s="324">
        <f>$I68*IF($G68="Pickup", SUMIFS(NewEmisData!H:H, NewEmisData!$A:$A, "Pickup", NewEmisData!$B:$B, $A68, NewEmisData!$C:$C, $H68, NewEmisData!$D:$D, BB$2), SUMIFS(NewEmisData!H:H, NewEmisData!$A:$A, "LDV", NewEmisData!$B:$B, $A68, NewEmisData!$C:$C, $H68, NewEmisData!$D:$D, BB$2))</f>
        <v>1.10258430769824E-2</v>
      </c>
      <c r="BC68" s="324">
        <f>$I68*IF($G68="Pickup", SUMIFS(NewEmisData!I:I, NewEmisData!$A:$A, "Pickup", NewEmisData!$B:$B, $A68, NewEmisData!$C:$C, $H68, NewEmisData!$D:$D, BC$2), SUMIFS(NewEmisData!I:I, NewEmisData!$A:$A, "LDV", NewEmisData!$B:$B, $A68, NewEmisData!$C:$C, $H68, NewEmisData!$D:$D, BC$2))</f>
        <v>9.7206839249302599E-3</v>
      </c>
      <c r="BD68" s="324">
        <f>$I68*IF($G68="Pickup", SUMIFS(NewEmisData!J:J, NewEmisData!$A:$A, "Pickup", NewEmisData!$B:$B, $A68, NewEmisData!$C:$C, $H68, NewEmisData!$D:$D, BD$2), SUMIFS(NewEmisData!J:J, NewEmisData!$A:$A, "LDV", NewEmisData!$B:$B, $A68, NewEmisData!$C:$C, $H68, NewEmisData!$D:$D, BD$2))</f>
        <v>8.6588886279032502E-3</v>
      </c>
      <c r="BE68" s="324">
        <f>$I68*IF($G68="Pickup", SUMIFS(NewEmisData!K:K, NewEmisData!$A:$A, "Pickup", NewEmisData!$B:$B, $A68, NewEmisData!$C:$C, $H68, NewEmisData!$D:$D, BE$2), SUMIFS(NewEmisData!K:K, NewEmisData!$A:$A, "LDV", NewEmisData!$B:$B, $A68, NewEmisData!$C:$C, $H68, NewEmisData!$D:$D, BE$2))</f>
        <v>7.9928948991222996E-3</v>
      </c>
      <c r="BF68" s="324">
        <f>$I68*IF($G68="Pickup", SUMIFS(NewEmisData!L:L, NewEmisData!$A:$A, "Pickup", NewEmisData!$B:$B, $A68, NewEmisData!$C:$C, $H68, NewEmisData!$D:$D, BF$2), SUMIFS(NewEmisData!L:L, NewEmisData!$A:$A, "LDV", NewEmisData!$B:$B, $A68, NewEmisData!$C:$C, $H68, NewEmisData!$D:$D, BF$2))</f>
        <v>7.65317007618625E-3</v>
      </c>
      <c r="BG68" s="324">
        <f>$I68*IF($G68="Pickup", SUMIFS(NewEmisData!M:M, NewEmisData!$A:$A, "Pickup", NewEmisData!$B:$B, $A68, NewEmisData!$C:$C, $H68, NewEmisData!$D:$D, BG$2), SUMIFS(NewEmisData!M:M, NewEmisData!$A:$A, "LDV", NewEmisData!$B:$B, $A68, NewEmisData!$C:$C, $H68, NewEmisData!$D:$D, BG$2))</f>
        <v>7.4561632981935697E-3</v>
      </c>
      <c r="BH68" s="324">
        <f t="shared" si="9"/>
        <v>7.4561632981935697E-3</v>
      </c>
      <c r="BI68" s="324">
        <f>$I68*IF($G68="Pickup", SUMIFS(NewEmisData!E:E, NewEmisData!$A:$A, "Pickup", NewEmisData!$B:$B, $A68, NewEmisData!$C:$C, $H68, NewEmisData!$D:$D, BI$2), SUMIFS(NewEmisData!E:E, NewEmisData!$A:$A, "LDV", NewEmisData!$B:$B, $A68, NewEmisData!$C:$C, $H68, NewEmisData!$D:$D, BI$2))</f>
        <v>6.4220034872518204</v>
      </c>
      <c r="BJ68" s="324">
        <f>$I68*IF($G68="Pickup", SUMIFS(NewEmisData!F:F, NewEmisData!$A:$A, "Pickup", NewEmisData!$B:$B, $A68, NewEmisData!$C:$C, $H68, NewEmisData!$D:$D, BJ$2), SUMIFS(NewEmisData!F:F, NewEmisData!$A:$A, "LDV", NewEmisData!$B:$B, $A68, NewEmisData!$C:$C, $H68, NewEmisData!$D:$D, BJ$2))</f>
        <v>3.8479800836345999</v>
      </c>
      <c r="BK68" s="324">
        <f>$I68*IF($G68="Pickup", SUMIFS(NewEmisData!G:G, NewEmisData!$A:$A, "Pickup", NewEmisData!$B:$B, $A68, NewEmisData!$C:$C, $H68, NewEmisData!$D:$D, BK$2), SUMIFS(NewEmisData!G:G, NewEmisData!$A:$A, "LDV", NewEmisData!$B:$B, $A68, NewEmisData!$C:$C, $H68, NewEmisData!$D:$D, BK$2))</f>
        <v>2.9970734916117499</v>
      </c>
      <c r="BL68" s="324">
        <f>$I68*IF($G68="Pickup", SUMIFS(NewEmisData!H:H, NewEmisData!$A:$A, "Pickup", NewEmisData!$B:$B, $A68, NewEmisData!$C:$C, $H68, NewEmisData!$D:$D, BL$2), SUMIFS(NewEmisData!H:H, NewEmisData!$A:$A, "LDV", NewEmisData!$B:$B, $A68, NewEmisData!$C:$C, $H68, NewEmisData!$D:$D, BL$2))</f>
        <v>2.36472323758924</v>
      </c>
      <c r="BM68" s="324">
        <f>$I68*IF($G68="Pickup", SUMIFS(NewEmisData!I:I, NewEmisData!$A:$A, "Pickup", NewEmisData!$B:$B, $A68, NewEmisData!$C:$C, $H68, NewEmisData!$D:$D, BM$2), SUMIFS(NewEmisData!I:I, NewEmisData!$A:$A, "LDV", NewEmisData!$B:$B, $A68, NewEmisData!$C:$C, $H68, NewEmisData!$D:$D, BM$2))</f>
        <v>1.7421472431707099</v>
      </c>
      <c r="BN68" s="324">
        <f>$I68*IF($G68="Pickup", SUMIFS(NewEmisData!J:J, NewEmisData!$A:$A, "Pickup", NewEmisData!$B:$B, $A68, NewEmisData!$C:$C, $H68, NewEmisData!$D:$D, BN$2), SUMIFS(NewEmisData!J:J, NewEmisData!$A:$A, "LDV", NewEmisData!$B:$B, $A68, NewEmisData!$C:$C, $H68, NewEmisData!$D:$D, BN$2))</f>
        <v>1.3931539503279999</v>
      </c>
      <c r="BO68" s="324">
        <f>$I68*IF($G68="Pickup", SUMIFS(NewEmisData!K:K, NewEmisData!$A:$A, "Pickup", NewEmisData!$B:$B, $A68, NewEmisData!$C:$C, $H68, NewEmisData!$D:$D, BO$2), SUMIFS(NewEmisData!K:K, NewEmisData!$A:$A, "LDV", NewEmisData!$B:$B, $A68, NewEmisData!$C:$C, $H68, NewEmisData!$D:$D, BO$2))</f>
        <v>1.2342051269933401</v>
      </c>
      <c r="BP68" s="324">
        <f>$I68*IF($G68="Pickup", SUMIFS(NewEmisData!L:L, NewEmisData!$A:$A, "Pickup", NewEmisData!$B:$B, $A68, NewEmisData!$C:$C, $H68, NewEmisData!$D:$D, BP$2), SUMIFS(NewEmisData!L:L, NewEmisData!$A:$A, "LDV", NewEmisData!$B:$B, $A68, NewEmisData!$C:$C, $H68, NewEmisData!$D:$D, BP$2))</f>
        <v>1.18127069132138</v>
      </c>
      <c r="BQ68" s="324">
        <f>$I68*IF($G68="Pickup", SUMIFS(NewEmisData!M:M, NewEmisData!$A:$A, "Pickup", NewEmisData!$B:$B, $A68, NewEmisData!$C:$C, $H68, NewEmisData!$D:$D, BQ$2), SUMIFS(NewEmisData!M:M, NewEmisData!$A:$A, "LDV", NewEmisData!$B:$B, $A68, NewEmisData!$C:$C, $H68, NewEmisData!$D:$D, BQ$2))</f>
        <v>1.1484293714755001</v>
      </c>
      <c r="BR68" s="324">
        <f t="shared" si="10"/>
        <v>1.1484293714755001</v>
      </c>
      <c r="BS68" s="324">
        <f>$I68*IF($G68="Pickup", SUMIFS(NewEmisData!E:E, NewEmisData!$A:$A, "Pickup", NewEmisData!$B:$B, $A68, NewEmisData!$C:$C, $H68, NewEmisData!$D:$D, BS$2), SUMIFS(NewEmisData!E:E, NewEmisData!$A:$A, "LDV", NewEmisData!$B:$B, $A68, NewEmisData!$C:$C, $H68, NewEmisData!$D:$D, BS$2))</f>
        <v>0.76625314114096599</v>
      </c>
      <c r="BT68" s="324">
        <f>$I68*IF($G68="Pickup", SUMIFS(NewEmisData!F:F, NewEmisData!$A:$A, "Pickup", NewEmisData!$B:$B, $A68, NewEmisData!$C:$C, $H68, NewEmisData!$D:$D, BT$2), SUMIFS(NewEmisData!F:F, NewEmisData!$A:$A, "LDV", NewEmisData!$B:$B, $A68, NewEmisData!$C:$C, $H68, NewEmisData!$D:$D, BT$2))</f>
        <v>0.42849019580384201</v>
      </c>
      <c r="BU68" s="324">
        <f>$I68*IF($G68="Pickup", SUMIFS(NewEmisData!G:G, NewEmisData!$A:$A, "Pickup", NewEmisData!$B:$B, $A68, NewEmisData!$C:$C, $H68, NewEmisData!$D:$D, BU$2), SUMIFS(NewEmisData!G:G, NewEmisData!$A:$A, "LDV", NewEmisData!$B:$B, $A68, NewEmisData!$C:$C, $H68, NewEmisData!$D:$D, BU$2))</f>
        <v>0.33923869580754101</v>
      </c>
      <c r="BV68" s="324">
        <f>$I68*IF($G68="Pickup", SUMIFS(NewEmisData!H:H, NewEmisData!$A:$A, "Pickup", NewEmisData!$B:$B, $A68, NewEmisData!$C:$C, $H68, NewEmisData!$D:$D, BV$2), SUMIFS(NewEmisData!H:H, NewEmisData!$A:$A, "LDV", NewEmisData!$B:$B, $A68, NewEmisData!$C:$C, $H68, NewEmisData!$D:$D, BV$2))</f>
        <v>0.274572609184357</v>
      </c>
      <c r="BW68" s="324">
        <f>$I68*IF($G68="Pickup", SUMIFS(NewEmisData!I:I, NewEmisData!$A:$A, "Pickup", NewEmisData!$B:$B, $A68, NewEmisData!$C:$C, $H68, NewEmisData!$D:$D, BW$2), SUMIFS(NewEmisData!I:I, NewEmisData!$A:$A, "LDV", NewEmisData!$B:$B, $A68, NewEmisData!$C:$C, $H68, NewEmisData!$D:$D, BW$2))</f>
        <v>0.20444446873760599</v>
      </c>
      <c r="BX68" s="324">
        <f>$I68*IF($G68="Pickup", SUMIFS(NewEmisData!J:J, NewEmisData!$A:$A, "Pickup", NewEmisData!$B:$B, $A68, NewEmisData!$C:$C, $H68, NewEmisData!$D:$D, BX$2), SUMIFS(NewEmisData!J:J, NewEmisData!$A:$A, "LDV", NewEmisData!$B:$B, $A68, NewEmisData!$C:$C, $H68, NewEmisData!$D:$D, BX$2))</f>
        <v>0.170176908378738</v>
      </c>
      <c r="BY68" s="324">
        <f>$I68*IF($G68="Pickup", SUMIFS(NewEmisData!K:K, NewEmisData!$A:$A, "Pickup", NewEmisData!$B:$B, $A68, NewEmisData!$C:$C, $H68, NewEmisData!$D:$D, BY$2), SUMIFS(NewEmisData!K:K, NewEmisData!$A:$A, "LDV", NewEmisData!$B:$B, $A68, NewEmisData!$C:$C, $H68, NewEmisData!$D:$D, BY$2))</f>
        <v>0.152045525981331</v>
      </c>
      <c r="BZ68" s="324">
        <f>$I68*IF($G68="Pickup", SUMIFS(NewEmisData!L:L, NewEmisData!$A:$A, "Pickup", NewEmisData!$B:$B, $A68, NewEmisData!$C:$C, $H68, NewEmisData!$D:$D, BZ$2), SUMIFS(NewEmisData!L:L, NewEmisData!$A:$A, "LDV", NewEmisData!$B:$B, $A68, NewEmisData!$C:$C, $H68, NewEmisData!$D:$D, BZ$2))</f>
        <v>0.14503696159912</v>
      </c>
      <c r="CA68" s="324">
        <f>$I68*IF($G68="Pickup", SUMIFS(NewEmisData!M:M, NewEmisData!$A:$A, "Pickup", NewEmisData!$B:$B, $A68, NewEmisData!$C:$C, $H68, NewEmisData!$D:$D, CA$2), SUMIFS(NewEmisData!M:M, NewEmisData!$A:$A, "LDV", NewEmisData!$B:$B, $A68, NewEmisData!$C:$C, $H68, NewEmisData!$D:$D, CA$2))</f>
        <v>0.139402683427791</v>
      </c>
      <c r="CB68" s="324">
        <f t="shared" si="11"/>
        <v>0.139402683427791</v>
      </c>
      <c r="CC68" s="324">
        <f>$I68*IF($G68="Pickup", SUMIFS(NewEmisData!E:E, NewEmisData!$A:$A, "Pickup", NewEmisData!$B:$B, $A68, NewEmisData!$C:$C, $H68, NewEmisData!$D:$D, CC$2), SUMIFS(NewEmisData!E:E, NewEmisData!$A:$A, "LDV", NewEmisData!$B:$B, $A68, NewEmisData!$C:$C, $H68, NewEmisData!$D:$D, CC$2))</f>
        <v>3.9065075142891502E-2</v>
      </c>
      <c r="CD68" s="324">
        <f>$I68*IF($G68="Pickup", SUMIFS(NewEmisData!F:F, NewEmisData!$A:$A, "Pickup", NewEmisData!$B:$B, $A68, NewEmisData!$C:$C, $H68, NewEmisData!$D:$D, CD$2), SUMIFS(NewEmisData!F:F, NewEmisData!$A:$A, "LDV", NewEmisData!$B:$B, $A68, NewEmisData!$C:$C, $H68, NewEmisData!$D:$D, CD$2))</f>
        <v>2.71884075109541E-2</v>
      </c>
      <c r="CE68" s="324">
        <f>$I68*IF($G68="Pickup", SUMIFS(NewEmisData!G:G, NewEmisData!$A:$A, "Pickup", NewEmisData!$B:$B, $A68, NewEmisData!$C:$C, $H68, NewEmisData!$D:$D, CE$2), SUMIFS(NewEmisData!G:G, NewEmisData!$A:$A, "LDV", NewEmisData!$B:$B, $A68, NewEmisData!$C:$C, $H68, NewEmisData!$D:$D, CE$2))</f>
        <v>2.35915905182916E-2</v>
      </c>
      <c r="CF68" s="324">
        <f>$I68*IF($G68="Pickup", SUMIFS(NewEmisData!H:H, NewEmisData!$A:$A, "Pickup", NewEmisData!$B:$B, $A68, NewEmisData!$C:$C, $H68, NewEmisData!$D:$D, CF$2), SUMIFS(NewEmisData!H:H, NewEmisData!$A:$A, "LDV", NewEmisData!$B:$B, $A68, NewEmisData!$C:$C, $H68, NewEmisData!$D:$D, CF$2))</f>
        <v>2.2519914122574401E-2</v>
      </c>
      <c r="CG68" s="324">
        <f>$I68*IF($G68="Pickup", SUMIFS(NewEmisData!I:I, NewEmisData!$A:$A, "Pickup", NewEmisData!$B:$B, $A68, NewEmisData!$C:$C, $H68, NewEmisData!$D:$D, CG$2), SUMIFS(NewEmisData!I:I, NewEmisData!$A:$A, "LDV", NewEmisData!$B:$B, $A68, NewEmisData!$C:$C, $H68, NewEmisData!$D:$D, CG$2))</f>
        <v>2.1807779866682201E-2</v>
      </c>
      <c r="CH68" s="324">
        <f>$I68*IF($G68="Pickup", SUMIFS(NewEmisData!J:J, NewEmisData!$A:$A, "Pickup", NewEmisData!$B:$B, $A68, NewEmisData!$C:$C, $H68, NewEmisData!$D:$D, CH$2), SUMIFS(NewEmisData!J:J, NewEmisData!$A:$A, "LDV", NewEmisData!$B:$B, $A68, NewEmisData!$C:$C, $H68, NewEmisData!$D:$D, CH$2))</f>
        <v>2.1246517083751901E-2</v>
      </c>
      <c r="CI68" s="324">
        <f>$I68*IF($G68="Pickup", SUMIFS(NewEmisData!K:K, NewEmisData!$A:$A, "Pickup", NewEmisData!$B:$B, $A68, NewEmisData!$C:$C, $H68, NewEmisData!$D:$D, CI$2), SUMIFS(NewEmisData!K:K, NewEmisData!$A:$A, "LDV", NewEmisData!$B:$B, $A68, NewEmisData!$C:$C, $H68, NewEmisData!$D:$D, CI$2))</f>
        <v>2.1244746441372499E-2</v>
      </c>
      <c r="CJ68" s="324">
        <f>$I68*IF($G68="Pickup", SUMIFS(NewEmisData!L:L, NewEmisData!$A:$A, "Pickup", NewEmisData!$B:$B, $A68, NewEmisData!$C:$C, $H68, NewEmisData!$D:$D, CJ$2), SUMIFS(NewEmisData!L:L, NewEmisData!$A:$A, "LDV", NewEmisData!$B:$B, $A68, NewEmisData!$C:$C, $H68, NewEmisData!$D:$D, CJ$2))</f>
        <v>2.1244238664552498E-2</v>
      </c>
      <c r="CK68" s="324">
        <f>$I68*IF($G68="Pickup", SUMIFS(NewEmisData!M:M, NewEmisData!$A:$A, "Pickup", NewEmisData!$B:$B, $A68, NewEmisData!$C:$C, $H68, NewEmisData!$D:$D, CK$2), SUMIFS(NewEmisData!M:M, NewEmisData!$A:$A, "LDV", NewEmisData!$B:$B, $A68, NewEmisData!$C:$C, $H68, NewEmisData!$D:$D, CK$2))</f>
        <v>2.1243800212783201E-2</v>
      </c>
      <c r="CL68" s="324">
        <f t="shared" si="12"/>
        <v>2.1243800212783201E-2</v>
      </c>
      <c r="CM68" s="324">
        <f>$I68*IF($G68="Pickup", SUMIFS(NewEmisData!E:E, NewEmisData!$A:$A, "Pickup", NewEmisData!$B:$B, $A68, NewEmisData!$C:$C, $H68, NewEmisData!$D:$D, CM$2), SUMIFS(NewEmisData!E:E, NewEmisData!$A:$A, "LDV", NewEmisData!$B:$B, $A68, NewEmisData!$C:$C, $H68, NewEmisData!$D:$D, CM$2))</f>
        <v>2.3400482606005499E-2</v>
      </c>
      <c r="CN68" s="324">
        <f>$I68*IF($G68="Pickup", SUMIFS(NewEmisData!F:F, NewEmisData!$A:$A, "Pickup", NewEmisData!$B:$B, $A68, NewEmisData!$C:$C, $H68, NewEmisData!$D:$D, CN$2), SUMIFS(NewEmisData!F:F, NewEmisData!$A:$A, "LDV", NewEmisData!$B:$B, $A68, NewEmisData!$C:$C, $H68, NewEmisData!$D:$D, CN$2))</f>
        <v>1.46264020139097E-2</v>
      </c>
      <c r="CO68" s="324">
        <f>$I68*IF($G68="Pickup", SUMIFS(NewEmisData!G:G, NewEmisData!$A:$A, "Pickup", NewEmisData!$B:$B, $A68, NewEmisData!$C:$C, $H68, NewEmisData!$D:$D, CO$2), SUMIFS(NewEmisData!G:G, NewEmisData!$A:$A, "LDV", NewEmisData!$B:$B, $A68, NewEmisData!$C:$C, $H68, NewEmisData!$D:$D, CO$2))</f>
        <v>1.17594755724597E-2</v>
      </c>
      <c r="CP68" s="324">
        <f>$I68*IF($G68="Pickup", SUMIFS(NewEmisData!H:H, NewEmisData!$A:$A, "Pickup", NewEmisData!$B:$B, $A68, NewEmisData!$C:$C, $H68, NewEmisData!$D:$D, CP$2), SUMIFS(NewEmisData!H:H, NewEmisData!$A:$A, "LDV", NewEmisData!$B:$B, $A68, NewEmisData!$C:$C, $H68, NewEmisData!$D:$D, CP$2))</f>
        <v>9.5913131178771704E-3</v>
      </c>
      <c r="CQ68" s="324">
        <f>$I68*IF($G68="Pickup", SUMIFS(NewEmisData!I:I, NewEmisData!$A:$A, "Pickup", NewEmisData!$B:$B, $A68, NewEmisData!$C:$C, $H68, NewEmisData!$D:$D, CQ$2), SUMIFS(NewEmisData!I:I, NewEmisData!$A:$A, "LDV", NewEmisData!$B:$B, $A68, NewEmisData!$C:$C, $H68, NewEmisData!$D:$D, CQ$2))</f>
        <v>8.49787062067325E-3</v>
      </c>
      <c r="CR68" s="324">
        <f>$I68*IF($G68="Pickup", SUMIFS(NewEmisData!J:J, NewEmisData!$A:$A, "Pickup", NewEmisData!$B:$B, $A68, NewEmisData!$C:$C, $H68, NewEmisData!$D:$D, CR$2), SUMIFS(NewEmisData!J:J, NewEmisData!$A:$A, "LDV", NewEmisData!$B:$B, $A68, NewEmisData!$C:$C, $H68, NewEmisData!$D:$D, CR$2))</f>
        <v>8.0109865110152001E-3</v>
      </c>
      <c r="CS68" s="324">
        <f>$I68*IF($G68="Pickup", SUMIFS(NewEmisData!K:K, NewEmisData!$A:$A, "Pickup", NewEmisData!$B:$B, $A68, NewEmisData!$C:$C, $H68, NewEmisData!$D:$D, CS$2), SUMIFS(NewEmisData!K:K, NewEmisData!$A:$A, "LDV", NewEmisData!$B:$B, $A68, NewEmisData!$C:$C, $H68, NewEmisData!$D:$D, CS$2))</f>
        <v>7.9536784391849198E-3</v>
      </c>
      <c r="CT68" s="324">
        <f>$I68*IF($G68="Pickup", SUMIFS(NewEmisData!L:L, NewEmisData!$A:$A, "Pickup", NewEmisData!$B:$B, $A68, NewEmisData!$C:$C, $H68, NewEmisData!$D:$D, CT$2), SUMIFS(NewEmisData!L:L, NewEmisData!$A:$A, "LDV", NewEmisData!$B:$B, $A68, NewEmisData!$C:$C, $H68, NewEmisData!$D:$D, CT$2))</f>
        <v>7.8603296078806496E-3</v>
      </c>
      <c r="CU68" s="324">
        <f>$I68*IF($G68="Pickup", SUMIFS(NewEmisData!M:M, NewEmisData!$A:$A, "Pickup", NewEmisData!$B:$B, $A68, NewEmisData!$C:$C, $H68, NewEmisData!$D:$D, CU$2), SUMIFS(NewEmisData!M:M, NewEmisData!$A:$A, "LDV", NewEmisData!$B:$B, $A68, NewEmisData!$C:$C, $H68, NewEmisData!$D:$D, CU$2))</f>
        <v>7.8597717488691193E-3</v>
      </c>
      <c r="CV68" s="324">
        <f t="shared" si="13"/>
        <v>7.8597717488691193E-3</v>
      </c>
      <c r="CW68" s="324">
        <v>3.0448046675121709E-3</v>
      </c>
      <c r="CX68" s="324">
        <v>1.8865908720768221E-3</v>
      </c>
      <c r="CY68" s="324">
        <v>1.5570268485524494E-3</v>
      </c>
      <c r="CZ68" s="324">
        <v>1.2432183416122382E-3</v>
      </c>
      <c r="DA68" s="324">
        <v>9.252251866281976E-4</v>
      </c>
      <c r="DB68" s="324">
        <v>7.2309456596024934E-4</v>
      </c>
      <c r="DC68" s="324">
        <v>6.8940706870607876E-4</v>
      </c>
      <c r="DD68" s="324">
        <v>6.844148428615973E-4</v>
      </c>
      <c r="DE68" s="324">
        <v>6.8634617396886091E-4</v>
      </c>
      <c r="DF68" s="324">
        <v>6.8634617396886091E-4</v>
      </c>
      <c r="DG68" s="324">
        <f>$I68*IF($G68="Pickup", SUMIFS(NewEmisData!E:E, NewEmisData!$A:$A, "Pickup", NewEmisData!$B:$B, $A68, NewEmisData!$C:$C, $H68, NewEmisData!$D:$D, DG$2), SUMIFS(NewEmisData!E:E, NewEmisData!$A:$A, "LDV", NewEmisData!$B:$B, $A68, NewEmisData!$C:$C, $H68, NewEmisData!$D:$D, DG$2))</f>
        <v>0</v>
      </c>
      <c r="DH68" s="324">
        <f>$I68*IF($G68="Pickup", SUMIFS(NewEmisData!F:F, NewEmisData!$A:$A, "Pickup", NewEmisData!$B:$B, $A68, NewEmisData!$C:$C, $H68, NewEmisData!$D:$D, DH$2), SUMIFS(NewEmisData!F:F, NewEmisData!$A:$A, "LDV", NewEmisData!$B:$B, $A68, NewEmisData!$C:$C, $H68, NewEmisData!$D:$D, DH$2))</f>
        <v>0</v>
      </c>
      <c r="DI68" s="324">
        <f>$I68*IF($G68="Pickup", SUMIFS(NewEmisData!G:G, NewEmisData!$A:$A, "Pickup", NewEmisData!$B:$B, $A68, NewEmisData!$C:$C, $H68, NewEmisData!$D:$D, DI$2), SUMIFS(NewEmisData!G:G, NewEmisData!$A:$A, "LDV", NewEmisData!$B:$B, $A68, NewEmisData!$C:$C, $H68, NewEmisData!$D:$D, DI$2))</f>
        <v>0</v>
      </c>
      <c r="DJ68" s="324">
        <f>$I68*IF($G68="Pickup", SUMIFS(NewEmisData!H:H, NewEmisData!$A:$A, "Pickup", NewEmisData!$B:$B, $A68, NewEmisData!$C:$C, $H68, NewEmisData!$D:$D, DJ$2), SUMIFS(NewEmisData!H:H, NewEmisData!$A:$A, "LDV", NewEmisData!$B:$B, $A68, NewEmisData!$C:$C, $H68, NewEmisData!$D:$D, DJ$2))</f>
        <v>0</v>
      </c>
      <c r="DK68" s="324">
        <f>$I68*IF($G68="Pickup", SUMIFS(NewEmisData!I:I, NewEmisData!$A:$A, "Pickup", NewEmisData!$B:$B, $A68, NewEmisData!$C:$C, $H68, NewEmisData!$D:$D, DK$2), SUMIFS(NewEmisData!I:I, NewEmisData!$A:$A, "LDV", NewEmisData!$B:$B, $A68, NewEmisData!$C:$C, $H68, NewEmisData!$D:$D, DK$2))</f>
        <v>0</v>
      </c>
      <c r="DL68" s="324">
        <f>$I68*IF($G68="Pickup", SUMIFS(NewEmisData!J:J, NewEmisData!$A:$A, "Pickup", NewEmisData!$B:$B, $A68, NewEmisData!$C:$C, $H68, NewEmisData!$D:$D, DL$2), SUMIFS(NewEmisData!J:J, NewEmisData!$A:$A, "LDV", NewEmisData!$B:$B, $A68, NewEmisData!$C:$C, $H68, NewEmisData!$D:$D, DL$2))</f>
        <v>0</v>
      </c>
      <c r="DM68" s="324">
        <f>$I68*IF($G68="Pickup", SUMIFS(NewEmisData!K:K, NewEmisData!$A:$A, "Pickup", NewEmisData!$B:$B, $A68, NewEmisData!$C:$C, $H68, NewEmisData!$D:$D, DM$2), SUMIFS(NewEmisData!K:K, NewEmisData!$A:$A, "LDV", NewEmisData!$B:$B, $A68, NewEmisData!$C:$C, $H68, NewEmisData!$D:$D, DM$2))</f>
        <v>0</v>
      </c>
      <c r="DN68" s="324">
        <f>$I68*IF($G68="Pickup", SUMIFS(NewEmisData!L:L, NewEmisData!$A:$A, "Pickup", NewEmisData!$B:$B, $A68, NewEmisData!$C:$C, $H68, NewEmisData!$D:$D, DN$2), SUMIFS(NewEmisData!L:L, NewEmisData!$A:$A, "LDV", NewEmisData!$B:$B, $A68, NewEmisData!$C:$C, $H68, NewEmisData!$D:$D, DN$2))</f>
        <v>0</v>
      </c>
      <c r="DO68" s="324">
        <f>$I68*IF($G68="Pickup", SUMIFS(NewEmisData!M:M, NewEmisData!$A:$A, "Pickup", NewEmisData!$B:$B, $A68, NewEmisData!$C:$C, $H68, NewEmisData!$D:$D, DO$2), SUMIFS(NewEmisData!M:M, NewEmisData!$A:$A, "LDV", NewEmisData!$B:$B, $A68, NewEmisData!$C:$C, $H68, NewEmisData!$D:$D, DO$2))</f>
        <v>0</v>
      </c>
      <c r="DP68" s="324">
        <f t="shared" si="14"/>
        <v>0</v>
      </c>
      <c r="DQ68" s="324">
        <f>$I68*IF($G68="Pickup", SUMIFS(NewEmisData!E:E, NewEmisData!$A:$A, "Pickup", NewEmisData!$B:$B, $A68, NewEmisData!$C:$C, $H68, NewEmisData!$D:$D, DQ$2), SUMIFS(NewEmisData!E:E, NewEmisData!$A:$A, "LDV", NewEmisData!$B:$B, $A68, NewEmisData!$C:$C, $H68, NewEmisData!$D:$D, DQ$2))</f>
        <v>1.5358627671248499E-2</v>
      </c>
      <c r="DR68" s="324">
        <f>$I68*IF($G68="Pickup", SUMIFS(NewEmisData!F:F, NewEmisData!$A:$A, "Pickup", NewEmisData!$B:$B, $A68, NewEmisData!$C:$C, $H68, NewEmisData!$D:$D, DR$2), SUMIFS(NewEmisData!F:F, NewEmisData!$A:$A, "LDV", NewEmisData!$B:$B, $A68, NewEmisData!$C:$C, $H68, NewEmisData!$D:$D, DR$2))</f>
        <v>9.2701502330196205E-3</v>
      </c>
      <c r="DS68" s="324">
        <f>$I68*IF($G68="Pickup", SUMIFS(NewEmisData!G:G, NewEmisData!$A:$A, "Pickup", NewEmisData!$B:$B, $A68, NewEmisData!$C:$C, $H68, NewEmisData!$D:$D, DS$2), SUMIFS(NewEmisData!G:G, NewEmisData!$A:$A, "LDV", NewEmisData!$B:$B, $A68, NewEmisData!$C:$C, $H68, NewEmisData!$D:$D, DS$2))</f>
        <v>7.3800443468092902E-3</v>
      </c>
      <c r="DT68" s="324">
        <f>$I68*IF($G68="Pickup", SUMIFS(NewEmisData!H:H, NewEmisData!$A:$A, "Pickup", NewEmisData!$B:$B, $A68, NewEmisData!$C:$C, $H68, NewEmisData!$D:$D, DT$2), SUMIFS(NewEmisData!H:H, NewEmisData!$A:$A, "LDV", NewEmisData!$B:$B, $A68, NewEmisData!$C:$C, $H68, NewEmisData!$D:$D, DT$2))</f>
        <v>5.7500359883598503E-3</v>
      </c>
      <c r="DU68" s="324">
        <f>$I68*IF($G68="Pickup", SUMIFS(NewEmisData!I:I, NewEmisData!$A:$A, "Pickup", NewEmisData!$B:$B, $A68, NewEmisData!$C:$C, $H68, NewEmisData!$D:$D, DU$2), SUMIFS(NewEmisData!I:I, NewEmisData!$A:$A, "LDV", NewEmisData!$B:$B, $A68, NewEmisData!$C:$C, $H68, NewEmisData!$D:$D, DU$2))</f>
        <v>4.5486358185720301E-3</v>
      </c>
      <c r="DV68" s="324">
        <f>$I68*IF($G68="Pickup", SUMIFS(NewEmisData!J:J, NewEmisData!$A:$A, "Pickup", NewEmisData!$B:$B, $A68, NewEmisData!$C:$C, $H68, NewEmisData!$D:$D, DV$2), SUMIFS(NewEmisData!J:J, NewEmisData!$A:$A, "LDV", NewEmisData!$B:$B, $A68, NewEmisData!$C:$C, $H68, NewEmisData!$D:$D, DV$2))</f>
        <v>3.9745008012961004E-3</v>
      </c>
      <c r="DW68" s="324">
        <f>$I68*IF($G68="Pickup", SUMIFS(NewEmisData!K:K, NewEmisData!$A:$A, "Pickup", NewEmisData!$B:$B, $A68, NewEmisData!$C:$C, $H68, NewEmisData!$D:$D, DW$2), SUMIFS(NewEmisData!K:K, NewEmisData!$A:$A, "LDV", NewEmisData!$B:$B, $A68, NewEmisData!$C:$C, $H68, NewEmisData!$D:$D, DW$2))</f>
        <v>3.6505775807205302E-3</v>
      </c>
      <c r="DX68" s="324">
        <f>$I68*IF($G68="Pickup", SUMIFS(NewEmisData!L:L, NewEmisData!$A:$A, "Pickup", NewEmisData!$B:$B, $A68, NewEmisData!$C:$C, $H68, NewEmisData!$D:$D, DX$2), SUMIFS(NewEmisData!L:L, NewEmisData!$A:$A, "LDV", NewEmisData!$B:$B, $A68, NewEmisData!$C:$C, $H68, NewEmisData!$D:$D, DX$2))</f>
        <v>3.5463484367939599E-3</v>
      </c>
      <c r="DY68" s="324">
        <f>$I68*IF($G68="Pickup", SUMIFS(NewEmisData!M:M, NewEmisData!$A:$A, "Pickup", NewEmisData!$B:$B, $A68, NewEmisData!$C:$C, $H68, NewEmisData!$D:$D, DY$2), SUMIFS(NewEmisData!M:M, NewEmisData!$A:$A, "LDV", NewEmisData!$B:$B, $A68, NewEmisData!$C:$C, $H68, NewEmisData!$D:$D, DY$2))</f>
        <v>3.4918759359810199E-3</v>
      </c>
      <c r="DZ68" s="324">
        <f t="shared" si="15"/>
        <v>3.4918759359810199E-3</v>
      </c>
      <c r="EA68" s="324">
        <f t="shared" si="16"/>
        <v>474.817101058422</v>
      </c>
      <c r="EB68" s="324">
        <f t="shared" si="17"/>
        <v>451.24703471572099</v>
      </c>
      <c r="EC68" s="324">
        <f t="shared" si="18"/>
        <v>359.55406391675598</v>
      </c>
      <c r="ED68" s="324">
        <f t="shared" si="19"/>
        <v>306.68867751853497</v>
      </c>
      <c r="EE68" s="324">
        <f t="shared" si="20"/>
        <v>266.05693149041099</v>
      </c>
      <c r="EF68" s="324">
        <f t="shared" si="21"/>
        <v>243.087176828883</v>
      </c>
      <c r="EG68" s="324">
        <f t="shared" si="22"/>
        <v>232.82718030870799</v>
      </c>
      <c r="EH68" s="324">
        <f t="shared" si="23"/>
        <v>229.167353178653</v>
      </c>
      <c r="EI68" s="324">
        <f t="shared" si="24"/>
        <v>227.80956840287899</v>
      </c>
      <c r="EJ68" s="324">
        <f t="shared" si="25"/>
        <v>227.80956840287899</v>
      </c>
      <c r="EK68" s="324">
        <f t="shared" si="26"/>
        <v>0.70973077210402302</v>
      </c>
      <c r="EL68" s="324">
        <f t="shared" si="27"/>
        <v>0.32036907792622199</v>
      </c>
      <c r="EM68" s="324">
        <f t="shared" si="28"/>
        <v>0.23974719966536701</v>
      </c>
      <c r="EN68" s="324">
        <f t="shared" si="29"/>
        <v>0.160612501035788</v>
      </c>
      <c r="EO68" s="324">
        <f t="shared" si="30"/>
        <v>0.10365613117262901</v>
      </c>
      <c r="EP68" s="324">
        <f t="shared" si="31"/>
        <v>7.8799994555065797E-2</v>
      </c>
      <c r="EQ68" s="324">
        <f t="shared" si="32"/>
        <v>6.8646939612850705E-2</v>
      </c>
      <c r="ER68" s="324">
        <f t="shared" si="33"/>
        <v>6.5824398729591893E-2</v>
      </c>
      <c r="ES68" s="324">
        <f t="shared" si="34"/>
        <v>6.4340803704991095E-2</v>
      </c>
      <c r="ET68" s="324">
        <f t="shared" si="35"/>
        <v>6.4340803704991095E-2</v>
      </c>
      <c r="EU68" s="324">
        <f t="shared" si="36"/>
        <v>8.2160020457903906E-3</v>
      </c>
      <c r="EV68" s="324">
        <f t="shared" si="37"/>
        <v>7.80815598787189E-3</v>
      </c>
      <c r="EW68" s="324">
        <f t="shared" si="38"/>
        <v>5.1579884513251097E-3</v>
      </c>
      <c r="EX68" s="324">
        <f t="shared" si="39"/>
        <v>4.3996084263759998E-3</v>
      </c>
      <c r="EY68" s="324">
        <f t="shared" si="40"/>
        <v>3.81672539575274E-3</v>
      </c>
      <c r="EZ68" s="324">
        <f t="shared" si="41"/>
        <v>3.4872096414849999E-3</v>
      </c>
      <c r="FA68" s="324">
        <f t="shared" si="42"/>
        <v>3.3400286224750798E-3</v>
      </c>
      <c r="FB68" s="324">
        <f t="shared" si="43"/>
        <v>3.2875233288682799E-3</v>
      </c>
      <c r="FC68" s="324">
        <f t="shared" si="44"/>
        <v>3.2680461258744399E-3</v>
      </c>
      <c r="FD68" s="324">
        <f t="shared" si="45"/>
        <v>3.2680461258744399E-3</v>
      </c>
      <c r="FE68" s="324">
        <f t="shared" si="46"/>
        <v>7.6637268565666605E-2</v>
      </c>
      <c r="FF68" s="324">
        <f t="shared" si="47"/>
        <v>7.17220347655846E-2</v>
      </c>
      <c r="FG68" s="324">
        <f t="shared" si="48"/>
        <v>5.3063354209187903E-2</v>
      </c>
      <c r="FH68" s="324">
        <f t="shared" si="49"/>
        <v>5.1413159178765599E-2</v>
      </c>
      <c r="FI68" s="324">
        <f t="shared" si="50"/>
        <v>4.9937748877796798E-2</v>
      </c>
      <c r="FJ68" s="324">
        <f t="shared" si="51"/>
        <v>4.8737436898882699E-2</v>
      </c>
      <c r="FK68" s="324">
        <f t="shared" si="52"/>
        <v>4.7984590527250397E-2</v>
      </c>
      <c r="FL68" s="324">
        <f t="shared" si="53"/>
        <v>4.76005320802948E-2</v>
      </c>
      <c r="FM68" s="324">
        <f t="shared" si="54"/>
        <v>4.7377866603412998E-2</v>
      </c>
      <c r="FN68" s="324">
        <f t="shared" si="55"/>
        <v>4.7377866603412998E-2</v>
      </c>
      <c r="FO68" s="324">
        <f t="shared" si="56"/>
        <v>1.9839679684136899E-2</v>
      </c>
      <c r="FP68" s="324">
        <f t="shared" si="57"/>
        <v>1.54915322396613E-2</v>
      </c>
      <c r="FQ68" s="324">
        <f t="shared" si="58"/>
        <v>1.24856485125612E-2</v>
      </c>
      <c r="FR68" s="324">
        <f t="shared" si="59"/>
        <v>1.10258430769824E-2</v>
      </c>
      <c r="FS68" s="324">
        <f t="shared" si="60"/>
        <v>9.7206839249302599E-3</v>
      </c>
      <c r="FT68" s="324">
        <f t="shared" si="61"/>
        <v>8.6588886279032502E-3</v>
      </c>
      <c r="FU68" s="324">
        <f t="shared" si="62"/>
        <v>7.9928948991222996E-3</v>
      </c>
      <c r="FV68" s="324">
        <f t="shared" si="63"/>
        <v>7.65317007618625E-3</v>
      </c>
      <c r="FW68" s="324">
        <f t="shared" si="64"/>
        <v>7.4561632981935697E-3</v>
      </c>
      <c r="FX68" s="324">
        <f t="shared" si="65"/>
        <v>7.4561632981935697E-3</v>
      </c>
    </row>
    <row r="69" spans="1:180" x14ac:dyDescent="0.2">
      <c r="A69" s="298" t="str">
        <f>_xlfn.CONCAT(IF(LEFT(TRIM(A68),1)="*", "*R", "R"), 1+RIGHT(TRIM(A68),1))</f>
        <v>*R6</v>
      </c>
      <c r="B69" s="298" t="str">
        <f t="shared" si="122"/>
        <v>TLELPGX</v>
      </c>
      <c r="C69" s="298" t="str">
        <f t="shared" si="123"/>
        <v>TL.LPGX.F.Existing fleet</v>
      </c>
      <c r="D69" s="294" t="str">
        <f t="shared" si="124"/>
        <v>bn-vmt, bn-vmt/a</v>
      </c>
      <c r="E69" s="294" t="str">
        <f t="shared" si="125"/>
        <v>TRNLPGX</v>
      </c>
      <c r="F69" s="294" t="str">
        <f t="shared" si="126"/>
        <v>TL</v>
      </c>
      <c r="G69" s="294" t="s">
        <v>476</v>
      </c>
      <c r="H69" s="294" t="s">
        <v>474</v>
      </c>
      <c r="I69" s="294">
        <v>1</v>
      </c>
      <c r="J69" s="308" t="str">
        <f t="shared" si="101"/>
        <v>Full size car-GSL</v>
      </c>
      <c r="K69" s="324">
        <f>$I69*IF($G69="Pickup", SUMIFS(NewEmisData!E:E, NewEmisData!$A:$A, "Pickup", NewEmisData!$B:$B, $A69, NewEmisData!$C:$C, $H69, NewEmisData!$D:$D, K$2), SUMIFS(NewEmisData!E:E, NewEmisData!$A:$A, "LDV", NewEmisData!$B:$B, $A69, NewEmisData!$C:$C, $H69, NewEmisData!$D:$D, K$2))</f>
        <v>465.43339574540698</v>
      </c>
      <c r="L69" s="324">
        <f>$I69*IF($G69="Pickup", SUMIFS(NewEmisData!F:F, NewEmisData!$A:$A, "Pickup", NewEmisData!$B:$B, $A69, NewEmisData!$C:$C, $H69, NewEmisData!$D:$D, L$2), SUMIFS(NewEmisData!F:F, NewEmisData!$A:$A, "LDV", NewEmisData!$B:$B, $A69, NewEmisData!$C:$C, $H69, NewEmisData!$D:$D, L$2))</f>
        <v>447.45086858043499</v>
      </c>
      <c r="M69" s="324">
        <f>$I69*IF($G69="Pickup", SUMIFS(NewEmisData!G:G, NewEmisData!$A:$A, "Pickup", NewEmisData!$B:$B, $A69, NewEmisData!$C:$C, $H69, NewEmisData!$D:$D, M$2), SUMIFS(NewEmisData!G:G, NewEmisData!$A:$A, "LDV", NewEmisData!$B:$B, $A69, NewEmisData!$C:$C, $H69, NewEmisData!$D:$D, M$2))</f>
        <v>371.68579631799702</v>
      </c>
      <c r="N69" s="324">
        <f>$I69*IF($G69="Pickup", SUMIFS(NewEmisData!H:H, NewEmisData!$A:$A, "Pickup", NewEmisData!$B:$B, $A69, NewEmisData!$C:$C, $H69, NewEmisData!$D:$D, N$2), SUMIFS(NewEmisData!H:H, NewEmisData!$A:$A, "LDV", NewEmisData!$B:$B, $A69, NewEmisData!$C:$C, $H69, NewEmisData!$D:$D, N$2))</f>
        <v>316.68783468886801</v>
      </c>
      <c r="O69" s="324">
        <f>$I69*IF($G69="Pickup", SUMIFS(NewEmisData!I:I, NewEmisData!$A:$A, "Pickup", NewEmisData!$B:$B, $A69, NewEmisData!$C:$C, $H69, NewEmisData!$D:$D, O$2), SUMIFS(NewEmisData!I:I, NewEmisData!$A:$A, "LDV", NewEmisData!$B:$B, $A69, NewEmisData!$C:$C, $H69, NewEmisData!$D:$D, O$2))</f>
        <v>274.45359564691302</v>
      </c>
      <c r="P69" s="324">
        <f>$I69*IF($G69="Pickup", SUMIFS(NewEmisData!J:J, NewEmisData!$A:$A, "Pickup", NewEmisData!$B:$B, $A69, NewEmisData!$C:$C, $H69, NewEmisData!$D:$D, P$2), SUMIFS(NewEmisData!J:J, NewEmisData!$A:$A, "LDV", NewEmisData!$B:$B, $A69, NewEmisData!$C:$C, $H69, NewEmisData!$D:$D, P$2))</f>
        <v>250.610452801164</v>
      </c>
      <c r="Q69" s="324">
        <f>$I69*IF($G69="Pickup", SUMIFS(NewEmisData!K:K, NewEmisData!$A:$A, "Pickup", NewEmisData!$B:$B, $A69, NewEmisData!$C:$C, $H69, NewEmisData!$D:$D, Q$2), SUMIFS(NewEmisData!K:K, NewEmisData!$A:$A, "LDV", NewEmisData!$B:$B, $A69, NewEmisData!$C:$C, $H69, NewEmisData!$D:$D, Q$2))</f>
        <v>239.96929474207201</v>
      </c>
      <c r="R69" s="324">
        <f>$I69*IF($G69="Pickup", SUMIFS(NewEmisData!L:L, NewEmisData!$A:$A, "Pickup", NewEmisData!$B:$B, $A69, NewEmisData!$C:$C, $H69, NewEmisData!$D:$D, R$2), SUMIFS(NewEmisData!L:L, NewEmisData!$A:$A, "LDV", NewEmisData!$B:$B, $A69, NewEmisData!$C:$C, $H69, NewEmisData!$D:$D, R$2))</f>
        <v>236.17949059358199</v>
      </c>
      <c r="S69" s="324">
        <f>$I69*IF($G69="Pickup", SUMIFS(NewEmisData!M:M, NewEmisData!$A:$A, "Pickup", NewEmisData!$B:$B, $A69, NewEmisData!$C:$C, $H69, NewEmisData!$D:$D, S$2), SUMIFS(NewEmisData!M:M, NewEmisData!$A:$A, "LDV", NewEmisData!$B:$B, $A69, NewEmisData!$C:$C, $H69, NewEmisData!$D:$D, S$2))</f>
        <v>234.77621268414799</v>
      </c>
      <c r="T69" s="324">
        <f t="shared" si="5"/>
        <v>234.77621268414799</v>
      </c>
      <c r="U69" s="324">
        <f>$I69*IF($G69="Pickup", SUMIFS(NewEmisData!E:E, NewEmisData!$A:$A, "Pickup", NewEmisData!$B:$B, $A69, NewEmisData!$C:$C, $H69, NewEmisData!$D:$D, U$2), SUMIFS(NewEmisData!E:E, NewEmisData!$A:$A, "LDV", NewEmisData!$B:$B, $A69, NewEmisData!$C:$C, $H69, NewEmisData!$D:$D, U$2))</f>
        <v>0.76817370125590101</v>
      </c>
      <c r="V69" s="324">
        <f>$I69*IF($G69="Pickup", SUMIFS(NewEmisData!F:F, NewEmisData!$A:$A, "Pickup", NewEmisData!$B:$B, $A69, NewEmisData!$C:$C, $H69, NewEmisData!$D:$D, V$2), SUMIFS(NewEmisData!F:F, NewEmisData!$A:$A, "LDV", NewEmisData!$B:$B, $A69, NewEmisData!$C:$C, $H69, NewEmisData!$D:$D, V$2))</f>
        <v>0.34255400012381199</v>
      </c>
      <c r="W69" s="324">
        <f>$I69*IF($G69="Pickup", SUMIFS(NewEmisData!G:G, NewEmisData!$A:$A, "Pickup", NewEmisData!$B:$B, $A69, NewEmisData!$C:$C, $H69, NewEmisData!$D:$D, W$2), SUMIFS(NewEmisData!G:G, NewEmisData!$A:$A, "LDV", NewEmisData!$B:$B, $A69, NewEmisData!$C:$C, $H69, NewEmisData!$D:$D, W$2))</f>
        <v>0.22026197441968301</v>
      </c>
      <c r="X69" s="324">
        <f>$I69*IF($G69="Pickup", SUMIFS(NewEmisData!H:H, NewEmisData!$A:$A, "Pickup", NewEmisData!$B:$B, $A69, NewEmisData!$C:$C, $H69, NewEmisData!$D:$D, X$2), SUMIFS(NewEmisData!H:H, NewEmisData!$A:$A, "LDV", NewEmisData!$B:$B, $A69, NewEmisData!$C:$C, $H69, NewEmisData!$D:$D, X$2))</f>
        <v>0.146130223505477</v>
      </c>
      <c r="Y69" s="324">
        <f>$I69*IF($G69="Pickup", SUMIFS(NewEmisData!I:I, NewEmisData!$A:$A, "Pickup", NewEmisData!$B:$B, $A69, NewEmisData!$C:$C, $H69, NewEmisData!$D:$D, Y$2), SUMIFS(NewEmisData!I:I, NewEmisData!$A:$A, "LDV", NewEmisData!$B:$B, $A69, NewEmisData!$C:$C, $H69, NewEmisData!$D:$D, Y$2))</f>
        <v>9.25204446820201E-2</v>
      </c>
      <c r="Z69" s="324">
        <f>$I69*IF($G69="Pickup", SUMIFS(NewEmisData!J:J, NewEmisData!$A:$A, "Pickup", NewEmisData!$B:$B, $A69, NewEmisData!$C:$C, $H69, NewEmisData!$D:$D, Z$2), SUMIFS(NewEmisData!J:J, NewEmisData!$A:$A, "LDV", NewEmisData!$B:$B, $A69, NewEmisData!$C:$C, $H69, NewEmisData!$D:$D, Z$2))</f>
        <v>6.9646332093205393E-2</v>
      </c>
      <c r="AA69" s="324">
        <f>$I69*IF($G69="Pickup", SUMIFS(NewEmisData!K:K, NewEmisData!$A:$A, "Pickup", NewEmisData!$B:$B, $A69, NewEmisData!$C:$C, $H69, NewEmisData!$D:$D, AA$2), SUMIFS(NewEmisData!K:K, NewEmisData!$A:$A, "LDV", NewEmisData!$B:$B, $A69, NewEmisData!$C:$C, $H69, NewEmisData!$D:$D, AA$2))</f>
        <v>6.0285539426727999E-2</v>
      </c>
      <c r="AB69" s="324">
        <f>$I69*IF($G69="Pickup", SUMIFS(NewEmisData!L:L, NewEmisData!$A:$A, "Pickup", NewEmisData!$B:$B, $A69, NewEmisData!$C:$C, $H69, NewEmisData!$D:$D, AB$2), SUMIFS(NewEmisData!L:L, NewEmisData!$A:$A, "LDV", NewEmisData!$B:$B, $A69, NewEmisData!$C:$C, $H69, NewEmisData!$D:$D, AB$2))</f>
        <v>5.7685517085836899E-2</v>
      </c>
      <c r="AC69" s="324">
        <f>$I69*IF($G69="Pickup", SUMIFS(NewEmisData!M:M, NewEmisData!$A:$A, "Pickup", NewEmisData!$B:$B, $A69, NewEmisData!$C:$C, $H69, NewEmisData!$D:$D, AC$2), SUMIFS(NewEmisData!M:M, NewEmisData!$A:$A, "LDV", NewEmisData!$B:$B, $A69, NewEmisData!$C:$C, $H69, NewEmisData!$D:$D, AC$2))</f>
        <v>5.6336256806388998E-2</v>
      </c>
      <c r="AD69" s="324">
        <f t="shared" si="6"/>
        <v>5.6336256806388998E-2</v>
      </c>
      <c r="AE69" s="324">
        <f>$I69*IF($G69="Pickup", SUMIFS(NewEmisData!E:E, NewEmisData!$A:$A, "Pickup", NewEmisData!$B:$B, $A69, NewEmisData!$C:$C, $H69, NewEmisData!$D:$D, AE$2), SUMIFS(NewEmisData!E:E, NewEmisData!$A:$A, "LDV", NewEmisData!$B:$B, $A69, NewEmisData!$C:$C, $H69, NewEmisData!$D:$D, AE$2))</f>
        <v>8.0536316527093799E-3</v>
      </c>
      <c r="AF69" s="324">
        <f>$I69*IF($G69="Pickup", SUMIFS(NewEmisData!F:F, NewEmisData!$A:$A, "Pickup", NewEmisData!$B:$B, $A69, NewEmisData!$C:$C, $H69, NewEmisData!$D:$D, AF$2), SUMIFS(NewEmisData!F:F, NewEmisData!$A:$A, "LDV", NewEmisData!$B:$B, $A69, NewEmisData!$C:$C, $H69, NewEmisData!$D:$D, AF$2))</f>
        <v>7.7424694052717798E-3</v>
      </c>
      <c r="AG69" s="324">
        <f>$I69*IF($G69="Pickup", SUMIFS(NewEmisData!G:G, NewEmisData!$A:$A, "Pickup", NewEmisData!$B:$B, $A69, NewEmisData!$C:$C, $H69, NewEmisData!$D:$D, AG$2), SUMIFS(NewEmisData!G:G, NewEmisData!$A:$A, "LDV", NewEmisData!$B:$B, $A69, NewEmisData!$C:$C, $H69, NewEmisData!$D:$D, AG$2))</f>
        <v>5.3320257089092297E-3</v>
      </c>
      <c r="AH69" s="324">
        <f>$I69*IF($G69="Pickup", SUMIFS(NewEmisData!H:H, NewEmisData!$A:$A, "Pickup", NewEmisData!$B:$B, $A69, NewEmisData!$C:$C, $H69, NewEmisData!$D:$D, AH$2), SUMIFS(NewEmisData!H:H, NewEmisData!$A:$A, "LDV", NewEmisData!$B:$B, $A69, NewEmisData!$C:$C, $H69, NewEmisData!$D:$D, AH$2))</f>
        <v>4.5430510168157703E-3</v>
      </c>
      <c r="AI69" s="324">
        <f>$I69*IF($G69="Pickup", SUMIFS(NewEmisData!I:I, NewEmisData!$A:$A, "Pickup", NewEmisData!$B:$B, $A69, NewEmisData!$C:$C, $H69, NewEmisData!$D:$D, AI$2), SUMIFS(NewEmisData!I:I, NewEmisData!$A:$A, "LDV", NewEmisData!$B:$B, $A69, NewEmisData!$C:$C, $H69, NewEmisData!$D:$D, AI$2))</f>
        <v>3.9371785778053803E-3</v>
      </c>
      <c r="AJ69" s="324">
        <f>$I69*IF($G69="Pickup", SUMIFS(NewEmisData!J:J, NewEmisData!$A:$A, "Pickup", NewEmisData!$B:$B, $A69, NewEmisData!$C:$C, $H69, NewEmisData!$D:$D, AJ$2), SUMIFS(NewEmisData!J:J, NewEmisData!$A:$A, "LDV", NewEmisData!$B:$B, $A69, NewEmisData!$C:$C, $H69, NewEmisData!$D:$D, AJ$2))</f>
        <v>3.5951364530025401E-3</v>
      </c>
      <c r="AK69" s="324">
        <f>$I69*IF($G69="Pickup", SUMIFS(NewEmisData!K:K, NewEmisData!$A:$A, "Pickup", NewEmisData!$B:$B, $A69, NewEmisData!$C:$C, $H69, NewEmisData!$D:$D, AK$2), SUMIFS(NewEmisData!K:K, NewEmisData!$A:$A, "LDV", NewEmisData!$B:$B, $A69, NewEmisData!$C:$C, $H69, NewEmisData!$D:$D, AK$2))</f>
        <v>3.4424852382502098E-3</v>
      </c>
      <c r="AL69" s="324">
        <f>$I69*IF($G69="Pickup", SUMIFS(NewEmisData!L:L, NewEmisData!$A:$A, "Pickup", NewEmisData!$B:$B, $A69, NewEmisData!$C:$C, $H69, NewEmisData!$D:$D, AL$2), SUMIFS(NewEmisData!L:L, NewEmisData!$A:$A, "LDV", NewEmisData!$B:$B, $A69, NewEmisData!$C:$C, $H69, NewEmisData!$D:$D, AL$2))</f>
        <v>3.38811619026995E-3</v>
      </c>
      <c r="AM69" s="324">
        <f>$I69*IF($G69="Pickup", SUMIFS(NewEmisData!M:M, NewEmisData!$A:$A, "Pickup", NewEmisData!$B:$B, $A69, NewEmisData!$C:$C, $H69, NewEmisData!$D:$D, AM$2), SUMIFS(NewEmisData!M:M, NewEmisData!$A:$A, "LDV", NewEmisData!$B:$B, $A69, NewEmisData!$C:$C, $H69, NewEmisData!$D:$D, AM$2))</f>
        <v>3.36798790618778E-3</v>
      </c>
      <c r="AN69" s="324">
        <f t="shared" si="7"/>
        <v>3.36798790618778E-3</v>
      </c>
      <c r="AO69" s="324">
        <f>$I69*IF($G69="Pickup", SUMIFS(NewEmisData!E:E, NewEmisData!$A:$A, "Pickup", NewEmisData!$B:$B, $A69, NewEmisData!$C:$C, $H69, NewEmisData!$D:$D, AO$2), SUMIFS(NewEmisData!E:E, NewEmisData!$A:$A, "LDV", NewEmisData!$B:$B, $A69, NewEmisData!$C:$C, $H69, NewEmisData!$D:$D, AO$2))</f>
        <v>7.6317156939691294E-2</v>
      </c>
      <c r="AP69" s="324">
        <f>$I69*IF($G69="Pickup", SUMIFS(NewEmisData!F:F, NewEmisData!$A:$A, "Pickup", NewEmisData!$B:$B, $A69, NewEmisData!$C:$C, $H69, NewEmisData!$D:$D, AP$2), SUMIFS(NewEmisData!F:F, NewEmisData!$A:$A, "LDV", NewEmisData!$B:$B, $A69, NewEmisData!$C:$C, $H69, NewEmisData!$D:$D, AP$2))</f>
        <v>7.1544642944165196E-2</v>
      </c>
      <c r="AQ69" s="324">
        <f>$I69*IF($G69="Pickup", SUMIFS(NewEmisData!G:G, NewEmisData!$A:$A, "Pickup", NewEmisData!$B:$B, $A69, NewEmisData!$C:$C, $H69, NewEmisData!$D:$D, AQ$2), SUMIFS(NewEmisData!G:G, NewEmisData!$A:$A, "LDV", NewEmisData!$B:$B, $A69, NewEmisData!$C:$C, $H69, NewEmisData!$D:$D, AQ$2))</f>
        <v>5.8249743312617203E-2</v>
      </c>
      <c r="AR69" s="324">
        <f>$I69*IF($G69="Pickup", SUMIFS(NewEmisData!H:H, NewEmisData!$A:$A, "Pickup", NewEmisData!$B:$B, $A69, NewEmisData!$C:$C, $H69, NewEmisData!$D:$D, AR$2), SUMIFS(NewEmisData!H:H, NewEmisData!$A:$A, "LDV", NewEmisData!$B:$B, $A69, NewEmisData!$C:$C, $H69, NewEmisData!$D:$D, AR$2))</f>
        <v>5.6730049378736901E-2</v>
      </c>
      <c r="AS69" s="324">
        <f>$I69*IF($G69="Pickup", SUMIFS(NewEmisData!I:I, NewEmisData!$A:$A, "Pickup", NewEmisData!$B:$B, $A69, NewEmisData!$C:$C, $H69, NewEmisData!$D:$D, AS$2), SUMIFS(NewEmisData!I:I, NewEmisData!$A:$A, "LDV", NewEmisData!$B:$B, $A69, NewEmisData!$C:$C, $H69, NewEmisData!$D:$D, AS$2))</f>
        <v>5.5297861804990203E-2</v>
      </c>
      <c r="AT69" s="324">
        <f>$I69*IF($G69="Pickup", SUMIFS(NewEmisData!J:J, NewEmisData!$A:$A, "Pickup", NewEmisData!$B:$B, $A69, NewEmisData!$C:$C, $H69, NewEmisData!$D:$D, AT$2), SUMIFS(NewEmisData!J:J, NewEmisData!$A:$A, "LDV", NewEmisData!$B:$B, $A69, NewEmisData!$C:$C, $H69, NewEmisData!$D:$D, AT$2))</f>
        <v>5.4156352090813403E-2</v>
      </c>
      <c r="AU69" s="324">
        <f>$I69*IF($G69="Pickup", SUMIFS(NewEmisData!K:K, NewEmisData!$A:$A, "Pickup", NewEmisData!$B:$B, $A69, NewEmisData!$C:$C, $H69, NewEmisData!$D:$D, AU$2), SUMIFS(NewEmisData!K:K, NewEmisData!$A:$A, "LDV", NewEmisData!$B:$B, $A69, NewEmisData!$C:$C, $H69, NewEmisData!$D:$D, AU$2))</f>
        <v>5.3430662266944498E-2</v>
      </c>
      <c r="AV69" s="324">
        <f>$I69*IF($G69="Pickup", SUMIFS(NewEmisData!L:L, NewEmisData!$A:$A, "Pickup", NewEmisData!$B:$B, $A69, NewEmisData!$C:$C, $H69, NewEmisData!$D:$D, AV$2), SUMIFS(NewEmisData!L:L, NewEmisData!$A:$A, "LDV", NewEmisData!$B:$B, $A69, NewEmisData!$C:$C, $H69, NewEmisData!$D:$D, AV$2))</f>
        <v>5.3062743786751999E-2</v>
      </c>
      <c r="AW69" s="324">
        <f>$I69*IF($G69="Pickup", SUMIFS(NewEmisData!M:M, NewEmisData!$A:$A, "Pickup", NewEmisData!$B:$B, $A69, NewEmisData!$C:$C, $H69, NewEmisData!$D:$D, AW$2), SUMIFS(NewEmisData!M:M, NewEmisData!$A:$A, "LDV", NewEmisData!$B:$B, $A69, NewEmisData!$C:$C, $H69, NewEmisData!$D:$D, AW$2))</f>
        <v>5.2850768620488903E-2</v>
      </c>
      <c r="AX69" s="324">
        <f t="shared" si="8"/>
        <v>5.2850768620488903E-2</v>
      </c>
      <c r="AY69" s="324">
        <f>$I69*IF($G69="Pickup", SUMIFS(NewEmisData!E:E, NewEmisData!$A:$A, "Pickup", NewEmisData!$B:$B, $A69, NewEmisData!$C:$C, $H69, NewEmisData!$D:$D, AY$2), SUMIFS(NewEmisData!E:E, NewEmisData!$A:$A, "LDV", NewEmisData!$B:$B, $A69, NewEmisData!$C:$C, $H69, NewEmisData!$D:$D, AY$2))</f>
        <v>2.00368746679381E-2</v>
      </c>
      <c r="AZ69" s="324">
        <f>$I69*IF($G69="Pickup", SUMIFS(NewEmisData!F:F, NewEmisData!$A:$A, "Pickup", NewEmisData!$B:$B, $A69, NewEmisData!$C:$C, $H69, NewEmisData!$D:$D, AZ$2), SUMIFS(NewEmisData!F:F, NewEmisData!$A:$A, "LDV", NewEmisData!$B:$B, $A69, NewEmisData!$C:$C, $H69, NewEmisData!$D:$D, AZ$2))</f>
        <v>1.58149288879222E-2</v>
      </c>
      <c r="BA69" s="324">
        <f>$I69*IF($G69="Pickup", SUMIFS(NewEmisData!G:G, NewEmisData!$A:$A, "Pickup", NewEmisData!$B:$B, $A69, NewEmisData!$C:$C, $H69, NewEmisData!$D:$D, BA$2), SUMIFS(NewEmisData!G:G, NewEmisData!$A:$A, "LDV", NewEmisData!$B:$B, $A69, NewEmisData!$C:$C, $H69, NewEmisData!$D:$D, BA$2))</f>
        <v>1.2889012730210401E-2</v>
      </c>
      <c r="BB69" s="324">
        <f>$I69*IF($G69="Pickup", SUMIFS(NewEmisData!H:H, NewEmisData!$A:$A, "Pickup", NewEmisData!$B:$B, $A69, NewEmisData!$C:$C, $H69, NewEmisData!$D:$D, BB$2), SUMIFS(NewEmisData!H:H, NewEmisData!$A:$A, "LDV", NewEmisData!$B:$B, $A69, NewEmisData!$C:$C, $H69, NewEmisData!$D:$D, BB$2))</f>
        <v>1.1544674905883E-2</v>
      </c>
      <c r="BC69" s="324">
        <f>$I69*IF($G69="Pickup", SUMIFS(NewEmisData!I:I, NewEmisData!$A:$A, "Pickup", NewEmisData!$B:$B, $A69, NewEmisData!$C:$C, $H69, NewEmisData!$D:$D, BC$2), SUMIFS(NewEmisData!I:I, NewEmisData!$A:$A, "LDV", NewEmisData!$B:$B, $A69, NewEmisData!$C:$C, $H69, NewEmisData!$D:$D, BC$2))</f>
        <v>1.0277724336371899E-2</v>
      </c>
      <c r="BD69" s="324">
        <f>$I69*IF($G69="Pickup", SUMIFS(NewEmisData!J:J, NewEmisData!$A:$A, "Pickup", NewEmisData!$B:$B, $A69, NewEmisData!$C:$C, $H69, NewEmisData!$D:$D, BD$2), SUMIFS(NewEmisData!J:J, NewEmisData!$A:$A, "LDV", NewEmisData!$B:$B, $A69, NewEmisData!$C:$C, $H69, NewEmisData!$D:$D, BD$2))</f>
        <v>9.2679749278735592E-3</v>
      </c>
      <c r="BE69" s="324">
        <f>$I69*IF($G69="Pickup", SUMIFS(NewEmisData!K:K, NewEmisData!$A:$A, "Pickup", NewEmisData!$B:$B, $A69, NewEmisData!$C:$C, $H69, NewEmisData!$D:$D, BE$2), SUMIFS(NewEmisData!K:K, NewEmisData!$A:$A, "LDV", NewEmisData!$B:$B, $A69, NewEmisData!$C:$C, $H69, NewEmisData!$D:$D, BE$2))</f>
        <v>8.6259896432645099E-3</v>
      </c>
      <c r="BF69" s="324">
        <f>$I69*IF($G69="Pickup", SUMIFS(NewEmisData!L:L, NewEmisData!$A:$A, "Pickup", NewEmisData!$B:$B, $A69, NewEmisData!$C:$C, $H69, NewEmisData!$D:$D, BF$2), SUMIFS(NewEmisData!L:L, NewEmisData!$A:$A, "LDV", NewEmisData!$B:$B, $A69, NewEmisData!$C:$C, $H69, NewEmisData!$D:$D, BF$2))</f>
        <v>8.3004876330209296E-3</v>
      </c>
      <c r="BG69" s="324">
        <f>$I69*IF($G69="Pickup", SUMIFS(NewEmisData!M:M, NewEmisData!$A:$A, "Pickup", NewEmisData!$B:$B, $A69, NewEmisData!$C:$C, $H69, NewEmisData!$D:$D, BG$2), SUMIFS(NewEmisData!M:M, NewEmisData!$A:$A, "LDV", NewEmisData!$B:$B, $A69, NewEmisData!$C:$C, $H69, NewEmisData!$D:$D, BG$2))</f>
        <v>8.1129702157430005E-3</v>
      </c>
      <c r="BH69" s="324">
        <f t="shared" si="9"/>
        <v>8.1129702157430005E-3</v>
      </c>
      <c r="BI69" s="324">
        <f>$I69*IF($G69="Pickup", SUMIFS(NewEmisData!E:E, NewEmisData!$A:$A, "Pickup", NewEmisData!$B:$B, $A69, NewEmisData!$C:$C, $H69, NewEmisData!$D:$D, BI$2), SUMIFS(NewEmisData!E:E, NewEmisData!$A:$A, "LDV", NewEmisData!$B:$B, $A69, NewEmisData!$C:$C, $H69, NewEmisData!$D:$D, BI$2))</f>
        <v>6.1599528865440298</v>
      </c>
      <c r="BJ69" s="324">
        <f>$I69*IF($G69="Pickup", SUMIFS(NewEmisData!F:F, NewEmisData!$A:$A, "Pickup", NewEmisData!$B:$B, $A69, NewEmisData!$C:$C, $H69, NewEmisData!$D:$D, BJ$2), SUMIFS(NewEmisData!F:F, NewEmisData!$A:$A, "LDV", NewEmisData!$B:$B, $A69, NewEmisData!$C:$C, $H69, NewEmisData!$D:$D, BJ$2))</f>
        <v>3.7475170679561298</v>
      </c>
      <c r="BK69" s="324">
        <f>$I69*IF($G69="Pickup", SUMIFS(NewEmisData!G:G, NewEmisData!$A:$A, "Pickup", NewEmisData!$B:$B, $A69, NewEmisData!$C:$C, $H69, NewEmisData!$D:$D, BK$2), SUMIFS(NewEmisData!G:G, NewEmisData!$A:$A, "LDV", NewEmisData!$B:$B, $A69, NewEmisData!$C:$C, $H69, NewEmisData!$D:$D, BK$2))</f>
        <v>2.80366463620466</v>
      </c>
      <c r="BL69" s="324">
        <f>$I69*IF($G69="Pickup", SUMIFS(NewEmisData!H:H, NewEmisData!$A:$A, "Pickup", NewEmisData!$B:$B, $A69, NewEmisData!$C:$C, $H69, NewEmisData!$D:$D, BL$2), SUMIFS(NewEmisData!H:H, NewEmisData!$A:$A, "LDV", NewEmisData!$B:$B, $A69, NewEmisData!$C:$C, $H69, NewEmisData!$D:$D, BL$2))</f>
        <v>2.2038088113149099</v>
      </c>
      <c r="BM69" s="324">
        <f>$I69*IF($G69="Pickup", SUMIFS(NewEmisData!I:I, NewEmisData!$A:$A, "Pickup", NewEmisData!$B:$B, $A69, NewEmisData!$C:$C, $H69, NewEmisData!$D:$D, BM$2), SUMIFS(NewEmisData!I:I, NewEmisData!$A:$A, "LDV", NewEmisData!$B:$B, $A69, NewEmisData!$C:$C, $H69, NewEmisData!$D:$D, BM$2))</f>
        <v>1.6110244723417799</v>
      </c>
      <c r="BN69" s="324">
        <f>$I69*IF($G69="Pickup", SUMIFS(NewEmisData!J:J, NewEmisData!$A:$A, "Pickup", NewEmisData!$B:$B, $A69, NewEmisData!$C:$C, $H69, NewEmisData!$D:$D, BN$2), SUMIFS(NewEmisData!J:J, NewEmisData!$A:$A, "LDV", NewEmisData!$B:$B, $A69, NewEmisData!$C:$C, $H69, NewEmisData!$D:$D, BN$2))</f>
        <v>1.2813570878169001</v>
      </c>
      <c r="BO69" s="324">
        <f>$I69*IF($G69="Pickup", SUMIFS(NewEmisData!K:K, NewEmisData!$A:$A, "Pickup", NewEmisData!$B:$B, $A69, NewEmisData!$C:$C, $H69, NewEmisData!$D:$D, BO$2), SUMIFS(NewEmisData!K:K, NewEmisData!$A:$A, "LDV", NewEmisData!$B:$B, $A69, NewEmisData!$C:$C, $H69, NewEmisData!$D:$D, BO$2))</f>
        <v>1.1316455644238499</v>
      </c>
      <c r="BP69" s="324">
        <f>$I69*IF($G69="Pickup", SUMIFS(NewEmisData!L:L, NewEmisData!$A:$A, "Pickup", NewEmisData!$B:$B, $A69, NewEmisData!$C:$C, $H69, NewEmisData!$D:$D, BP$2), SUMIFS(NewEmisData!L:L, NewEmisData!$A:$A, "LDV", NewEmisData!$B:$B, $A69, NewEmisData!$C:$C, $H69, NewEmisData!$D:$D, BP$2))</f>
        <v>1.0822537615630099</v>
      </c>
      <c r="BQ69" s="324">
        <f>$I69*IF($G69="Pickup", SUMIFS(NewEmisData!M:M, NewEmisData!$A:$A, "Pickup", NewEmisData!$B:$B, $A69, NewEmisData!$C:$C, $H69, NewEmisData!$D:$D, BQ$2), SUMIFS(NewEmisData!M:M, NewEmisData!$A:$A, "LDV", NewEmisData!$B:$B, $A69, NewEmisData!$C:$C, $H69, NewEmisData!$D:$D, BQ$2))</f>
        <v>1.05143374218492</v>
      </c>
      <c r="BR69" s="324">
        <f t="shared" si="10"/>
        <v>1.05143374218492</v>
      </c>
      <c r="BS69" s="324">
        <f>$I69*IF($G69="Pickup", SUMIFS(NewEmisData!E:E, NewEmisData!$A:$A, "Pickup", NewEmisData!$B:$B, $A69, NewEmisData!$C:$C, $H69, NewEmisData!$D:$D, BS$2), SUMIFS(NewEmisData!E:E, NewEmisData!$A:$A, "LDV", NewEmisData!$B:$B, $A69, NewEmisData!$C:$C, $H69, NewEmisData!$D:$D, BS$2))</f>
        <v>0.72787250280402604</v>
      </c>
      <c r="BT69" s="324">
        <f>$I69*IF($G69="Pickup", SUMIFS(NewEmisData!F:F, NewEmisData!$A:$A, "Pickup", NewEmisData!$B:$B, $A69, NewEmisData!$C:$C, $H69, NewEmisData!$D:$D, BT$2), SUMIFS(NewEmisData!F:F, NewEmisData!$A:$A, "LDV", NewEmisData!$B:$B, $A69, NewEmisData!$C:$C, $H69, NewEmisData!$D:$D, BT$2))</f>
        <v>0.40987916241045302</v>
      </c>
      <c r="BU69" s="324">
        <f>$I69*IF($G69="Pickup", SUMIFS(NewEmisData!G:G, NewEmisData!$A:$A, "Pickup", NewEmisData!$B:$B, $A69, NewEmisData!$C:$C, $H69, NewEmisData!$D:$D, BU$2), SUMIFS(NewEmisData!G:G, NewEmisData!$A:$A, "LDV", NewEmisData!$B:$B, $A69, NewEmisData!$C:$C, $H69, NewEmisData!$D:$D, BU$2))</f>
        <v>0.30765788839279401</v>
      </c>
      <c r="BV69" s="324">
        <f>$I69*IF($G69="Pickup", SUMIFS(NewEmisData!H:H, NewEmisData!$A:$A, "Pickup", NewEmisData!$B:$B, $A69, NewEmisData!$C:$C, $H69, NewEmisData!$D:$D, BV$2), SUMIFS(NewEmisData!H:H, NewEmisData!$A:$A, "LDV", NewEmisData!$B:$B, $A69, NewEmisData!$C:$C, $H69, NewEmisData!$D:$D, BV$2))</f>
        <v>0.248891607461663</v>
      </c>
      <c r="BW69" s="324">
        <f>$I69*IF($G69="Pickup", SUMIFS(NewEmisData!I:I, NewEmisData!$A:$A, "Pickup", NewEmisData!$B:$B, $A69, NewEmisData!$C:$C, $H69, NewEmisData!$D:$D, BW$2), SUMIFS(NewEmisData!I:I, NewEmisData!$A:$A, "LDV", NewEmisData!$B:$B, $A69, NewEmisData!$C:$C, $H69, NewEmisData!$D:$D, BW$2))</f>
        <v>0.184861723618618</v>
      </c>
      <c r="BX69" s="324">
        <f>$I69*IF($G69="Pickup", SUMIFS(NewEmisData!J:J, NewEmisData!$A:$A, "Pickup", NewEmisData!$B:$B, $A69, NewEmisData!$C:$C, $H69, NewEmisData!$D:$D, BX$2), SUMIFS(NewEmisData!J:J, NewEmisData!$A:$A, "LDV", NewEmisData!$B:$B, $A69, NewEmisData!$C:$C, $H69, NewEmisData!$D:$D, BX$2))</f>
        <v>0.15433193284657201</v>
      </c>
      <c r="BY69" s="324">
        <f>$I69*IF($G69="Pickup", SUMIFS(NewEmisData!K:K, NewEmisData!$A:$A, "Pickup", NewEmisData!$B:$B, $A69, NewEmisData!$C:$C, $H69, NewEmisData!$D:$D, BY$2), SUMIFS(NewEmisData!K:K, NewEmisData!$A:$A, "LDV", NewEmisData!$B:$B, $A69, NewEmisData!$C:$C, $H69, NewEmisData!$D:$D, BY$2))</f>
        <v>0.138091436876464</v>
      </c>
      <c r="BZ69" s="324">
        <f>$I69*IF($G69="Pickup", SUMIFS(NewEmisData!L:L, NewEmisData!$A:$A, "Pickup", NewEmisData!$B:$B, $A69, NewEmisData!$C:$C, $H69, NewEmisData!$D:$D, BZ$2), SUMIFS(NewEmisData!L:L, NewEmisData!$A:$A, "LDV", NewEmisData!$B:$B, $A69, NewEmisData!$C:$C, $H69, NewEmisData!$D:$D, BZ$2))</f>
        <v>0.131790780313154</v>
      </c>
      <c r="CA69" s="324">
        <f>$I69*IF($G69="Pickup", SUMIFS(NewEmisData!M:M, NewEmisData!$A:$A, "Pickup", NewEmisData!$B:$B, $A69, NewEmisData!$C:$C, $H69, NewEmisData!$D:$D, CA$2), SUMIFS(NewEmisData!M:M, NewEmisData!$A:$A, "LDV", NewEmisData!$B:$B, $A69, NewEmisData!$C:$C, $H69, NewEmisData!$D:$D, CA$2))</f>
        <v>0.126731765091218</v>
      </c>
      <c r="CB69" s="324">
        <f t="shared" si="11"/>
        <v>0.126731765091218</v>
      </c>
      <c r="CC69" s="324">
        <f>$I69*IF($G69="Pickup", SUMIFS(NewEmisData!E:E, NewEmisData!$A:$A, "Pickup", NewEmisData!$B:$B, $A69, NewEmisData!$C:$C, $H69, NewEmisData!$D:$D, CC$2), SUMIFS(NewEmisData!E:E, NewEmisData!$A:$A, "LDV", NewEmisData!$B:$B, $A69, NewEmisData!$C:$C, $H69, NewEmisData!$D:$D, CC$2))</f>
        <v>4.3011353420759103E-2</v>
      </c>
      <c r="CD69" s="324">
        <f>$I69*IF($G69="Pickup", SUMIFS(NewEmisData!F:F, NewEmisData!$A:$A, "Pickup", NewEmisData!$B:$B, $A69, NewEmisData!$C:$C, $H69, NewEmisData!$D:$D, CD$2), SUMIFS(NewEmisData!F:F, NewEmisData!$A:$A, "LDV", NewEmisData!$B:$B, $A69, NewEmisData!$C:$C, $H69, NewEmisData!$D:$D, CD$2))</f>
        <v>2.94035814612091E-2</v>
      </c>
      <c r="CE69" s="324">
        <f>$I69*IF($G69="Pickup", SUMIFS(NewEmisData!G:G, NewEmisData!$A:$A, "Pickup", NewEmisData!$B:$B, $A69, NewEmisData!$C:$C, $H69, NewEmisData!$D:$D, CE$2), SUMIFS(NewEmisData!G:G, NewEmisData!$A:$A, "LDV", NewEmisData!$B:$B, $A69, NewEmisData!$C:$C, $H69, NewEmisData!$D:$D, CE$2))</f>
        <v>2.4328512322630801E-2</v>
      </c>
      <c r="CF69" s="324">
        <f>$I69*IF($G69="Pickup", SUMIFS(NewEmisData!H:H, NewEmisData!$A:$A, "Pickup", NewEmisData!$B:$B, $A69, NewEmisData!$C:$C, $H69, NewEmisData!$D:$D, CF$2), SUMIFS(NewEmisData!H:H, NewEmisData!$A:$A, "LDV", NewEmisData!$B:$B, $A69, NewEmisData!$C:$C, $H69, NewEmisData!$D:$D, CF$2))</f>
        <v>2.3221814353353801E-2</v>
      </c>
      <c r="CG69" s="324">
        <f>$I69*IF($G69="Pickup", SUMIFS(NewEmisData!I:I, NewEmisData!$A:$A, "Pickup", NewEmisData!$B:$B, $A69, NewEmisData!$C:$C, $H69, NewEmisData!$D:$D, CG$2), SUMIFS(NewEmisData!I:I, NewEmisData!$A:$A, "LDV", NewEmisData!$B:$B, $A69, NewEmisData!$C:$C, $H69, NewEmisData!$D:$D, CG$2))</f>
        <v>2.24852392313552E-2</v>
      </c>
      <c r="CH69" s="324">
        <f>$I69*IF($G69="Pickup", SUMIFS(NewEmisData!J:J, NewEmisData!$A:$A, "Pickup", NewEmisData!$B:$B, $A69, NewEmisData!$C:$C, $H69, NewEmisData!$D:$D, CH$2), SUMIFS(NewEmisData!J:J, NewEmisData!$A:$A, "LDV", NewEmisData!$B:$B, $A69, NewEmisData!$C:$C, $H69, NewEmisData!$D:$D, CH$2))</f>
        <v>2.1906542608859401E-2</v>
      </c>
      <c r="CI69" s="324">
        <f>$I69*IF($G69="Pickup", SUMIFS(NewEmisData!K:K, NewEmisData!$A:$A, "Pickup", NewEmisData!$B:$B, $A69, NewEmisData!$C:$C, $H69, NewEmisData!$D:$D, CI$2), SUMIFS(NewEmisData!K:K, NewEmisData!$A:$A, "LDV", NewEmisData!$B:$B, $A69, NewEmisData!$C:$C, $H69, NewEmisData!$D:$D, CI$2))</f>
        <v>2.1904736458690802E-2</v>
      </c>
      <c r="CJ69" s="324">
        <f>$I69*IF($G69="Pickup", SUMIFS(NewEmisData!L:L, NewEmisData!$A:$A, "Pickup", NewEmisData!$B:$B, $A69, NewEmisData!$C:$C, $H69, NewEmisData!$D:$D, CJ$2), SUMIFS(NewEmisData!L:L, NewEmisData!$A:$A, "LDV", NewEmisData!$B:$B, $A69, NewEmisData!$C:$C, $H69, NewEmisData!$D:$D, CJ$2))</f>
        <v>2.19042402298237E-2</v>
      </c>
      <c r="CK69" s="324">
        <f>$I69*IF($G69="Pickup", SUMIFS(NewEmisData!M:M, NewEmisData!$A:$A, "Pickup", NewEmisData!$B:$B, $A69, NewEmisData!$C:$C, $H69, NewEmisData!$D:$D, CK$2), SUMIFS(NewEmisData!M:M, NewEmisData!$A:$A, "LDV", NewEmisData!$B:$B, $A69, NewEmisData!$C:$C, $H69, NewEmisData!$D:$D, CK$2))</f>
        <v>2.1903771981857799E-2</v>
      </c>
      <c r="CL69" s="324">
        <f t="shared" si="12"/>
        <v>2.1903771981857799E-2</v>
      </c>
      <c r="CM69" s="324">
        <f>$I69*IF($G69="Pickup", SUMIFS(NewEmisData!E:E, NewEmisData!$A:$A, "Pickup", NewEmisData!$B:$B, $A69, NewEmisData!$C:$C, $H69, NewEmisData!$D:$D, CM$2), SUMIFS(NewEmisData!E:E, NewEmisData!$A:$A, "LDV", NewEmisData!$B:$B, $A69, NewEmisData!$C:$C, $H69, NewEmisData!$D:$D, CM$2))</f>
        <v>2.1906211645892699E-2</v>
      </c>
      <c r="CN69" s="324">
        <f>$I69*IF($G69="Pickup", SUMIFS(NewEmisData!F:F, NewEmisData!$A:$A, "Pickup", NewEmisData!$B:$B, $A69, NewEmisData!$C:$C, $H69, NewEmisData!$D:$D, CN$2), SUMIFS(NewEmisData!F:F, NewEmisData!$A:$A, "LDV", NewEmisData!$B:$B, $A69, NewEmisData!$C:$C, $H69, NewEmisData!$D:$D, CN$2))</f>
        <v>1.38171562279483E-2</v>
      </c>
      <c r="CO69" s="324">
        <f>$I69*IF($G69="Pickup", SUMIFS(NewEmisData!G:G, NewEmisData!$A:$A, "Pickup", NewEmisData!$B:$B, $A69, NewEmisData!$C:$C, $H69, NewEmisData!$D:$D, CO$2), SUMIFS(NewEmisData!G:G, NewEmisData!$A:$A, "LDV", NewEmisData!$B:$B, $A69, NewEmisData!$C:$C, $H69, NewEmisData!$D:$D, CO$2))</f>
        <v>1.08300618523644E-2</v>
      </c>
      <c r="CP69" s="324">
        <f>$I69*IF($G69="Pickup", SUMIFS(NewEmisData!H:H, NewEmisData!$A:$A, "Pickup", NewEmisData!$B:$B, $A69, NewEmisData!$C:$C, $H69, NewEmisData!$D:$D, CP$2), SUMIFS(NewEmisData!H:H, NewEmisData!$A:$A, "LDV", NewEmisData!$B:$B, $A69, NewEmisData!$C:$C, $H69, NewEmisData!$D:$D, CP$2))</f>
        <v>8.8590497727664592E-3</v>
      </c>
      <c r="CQ69" s="324">
        <f>$I69*IF($G69="Pickup", SUMIFS(NewEmisData!I:I, NewEmisData!$A:$A, "Pickup", NewEmisData!$B:$B, $A69, NewEmisData!$C:$C, $H69, NewEmisData!$D:$D, CQ$2), SUMIFS(NewEmisData!I:I, NewEmisData!$A:$A, "LDV", NewEmisData!$B:$B, $A69, NewEmisData!$C:$C, $H69, NewEmisData!$D:$D, CQ$2))</f>
        <v>7.8772882665567503E-3</v>
      </c>
      <c r="CR69" s="324">
        <f>$I69*IF($G69="Pickup", SUMIFS(NewEmisData!J:J, NewEmisData!$A:$A, "Pickup", NewEmisData!$B:$B, $A69, NewEmisData!$C:$C, $H69, NewEmisData!$D:$D, CR$2), SUMIFS(NewEmisData!J:J, NewEmisData!$A:$A, "LDV", NewEmisData!$B:$B, $A69, NewEmisData!$C:$C, $H69, NewEmisData!$D:$D, CR$2))</f>
        <v>7.4435823260364103E-3</v>
      </c>
      <c r="CS69" s="324">
        <f>$I69*IF($G69="Pickup", SUMIFS(NewEmisData!K:K, NewEmisData!$A:$A, "Pickup", NewEmisData!$B:$B, $A69, NewEmisData!$C:$C, $H69, NewEmisData!$D:$D, CS$2), SUMIFS(NewEmisData!K:K, NewEmisData!$A:$A, "LDV", NewEmisData!$B:$B, $A69, NewEmisData!$C:$C, $H69, NewEmisData!$D:$D, CS$2))</f>
        <v>7.3936885133113802E-3</v>
      </c>
      <c r="CT69" s="324">
        <f>$I69*IF($G69="Pickup", SUMIFS(NewEmisData!L:L, NewEmisData!$A:$A, "Pickup", NewEmisData!$B:$B, $A69, NewEmisData!$C:$C, $H69, NewEmisData!$D:$D, CT$2), SUMIFS(NewEmisData!L:L, NewEmisData!$A:$A, "LDV", NewEmisData!$B:$B, $A69, NewEmisData!$C:$C, $H69, NewEmisData!$D:$D, CT$2))</f>
        <v>7.3123849031120399E-3</v>
      </c>
      <c r="CU69" s="324">
        <f>$I69*IF($G69="Pickup", SUMIFS(NewEmisData!M:M, NewEmisData!$A:$A, "Pickup", NewEmisData!$B:$B, $A69, NewEmisData!$C:$C, $H69, NewEmisData!$D:$D, CU$2), SUMIFS(NewEmisData!M:M, NewEmisData!$A:$A, "LDV", NewEmisData!$B:$B, $A69, NewEmisData!$C:$C, $H69, NewEmisData!$D:$D, CU$2))</f>
        <v>7.31189121492953E-3</v>
      </c>
      <c r="CV69" s="324">
        <f t="shared" si="13"/>
        <v>7.31189121492953E-3</v>
      </c>
      <c r="CW69" s="324">
        <v>3.0448046675121709E-3</v>
      </c>
      <c r="CX69" s="324">
        <v>1.8865908720768221E-3</v>
      </c>
      <c r="CY69" s="324">
        <v>1.5570268485524494E-3</v>
      </c>
      <c r="CZ69" s="324">
        <v>1.2432183416122382E-3</v>
      </c>
      <c r="DA69" s="324">
        <v>9.252251866281976E-4</v>
      </c>
      <c r="DB69" s="324">
        <v>7.2309456596024934E-4</v>
      </c>
      <c r="DC69" s="324">
        <v>6.8940706870607876E-4</v>
      </c>
      <c r="DD69" s="324">
        <v>6.844148428615973E-4</v>
      </c>
      <c r="DE69" s="324">
        <v>6.8634617396886091E-4</v>
      </c>
      <c r="DF69" s="324">
        <v>6.8634617396886091E-4</v>
      </c>
      <c r="DG69" s="324">
        <f>$I69*IF($G69="Pickup", SUMIFS(NewEmisData!E:E, NewEmisData!$A:$A, "Pickup", NewEmisData!$B:$B, $A69, NewEmisData!$C:$C, $H69, NewEmisData!$D:$D, DG$2), SUMIFS(NewEmisData!E:E, NewEmisData!$A:$A, "LDV", NewEmisData!$B:$B, $A69, NewEmisData!$C:$C, $H69, NewEmisData!$D:$D, DG$2))</f>
        <v>0</v>
      </c>
      <c r="DH69" s="324">
        <f>$I69*IF($G69="Pickup", SUMIFS(NewEmisData!F:F, NewEmisData!$A:$A, "Pickup", NewEmisData!$B:$B, $A69, NewEmisData!$C:$C, $H69, NewEmisData!$D:$D, DH$2), SUMIFS(NewEmisData!F:F, NewEmisData!$A:$A, "LDV", NewEmisData!$B:$B, $A69, NewEmisData!$C:$C, $H69, NewEmisData!$D:$D, DH$2))</f>
        <v>0</v>
      </c>
      <c r="DI69" s="324">
        <f>$I69*IF($G69="Pickup", SUMIFS(NewEmisData!G:G, NewEmisData!$A:$A, "Pickup", NewEmisData!$B:$B, $A69, NewEmisData!$C:$C, $H69, NewEmisData!$D:$D, DI$2), SUMIFS(NewEmisData!G:G, NewEmisData!$A:$A, "LDV", NewEmisData!$B:$B, $A69, NewEmisData!$C:$C, $H69, NewEmisData!$D:$D, DI$2))</f>
        <v>0</v>
      </c>
      <c r="DJ69" s="324">
        <f>$I69*IF($G69="Pickup", SUMIFS(NewEmisData!H:H, NewEmisData!$A:$A, "Pickup", NewEmisData!$B:$B, $A69, NewEmisData!$C:$C, $H69, NewEmisData!$D:$D, DJ$2), SUMIFS(NewEmisData!H:H, NewEmisData!$A:$A, "LDV", NewEmisData!$B:$B, $A69, NewEmisData!$C:$C, $H69, NewEmisData!$D:$D, DJ$2))</f>
        <v>0</v>
      </c>
      <c r="DK69" s="324">
        <f>$I69*IF($G69="Pickup", SUMIFS(NewEmisData!I:I, NewEmisData!$A:$A, "Pickup", NewEmisData!$B:$B, $A69, NewEmisData!$C:$C, $H69, NewEmisData!$D:$D, DK$2), SUMIFS(NewEmisData!I:I, NewEmisData!$A:$A, "LDV", NewEmisData!$B:$B, $A69, NewEmisData!$C:$C, $H69, NewEmisData!$D:$D, DK$2))</f>
        <v>0</v>
      </c>
      <c r="DL69" s="324">
        <f>$I69*IF($G69="Pickup", SUMIFS(NewEmisData!J:J, NewEmisData!$A:$A, "Pickup", NewEmisData!$B:$B, $A69, NewEmisData!$C:$C, $H69, NewEmisData!$D:$D, DL$2), SUMIFS(NewEmisData!J:J, NewEmisData!$A:$A, "LDV", NewEmisData!$B:$B, $A69, NewEmisData!$C:$C, $H69, NewEmisData!$D:$D, DL$2))</f>
        <v>0</v>
      </c>
      <c r="DM69" s="324">
        <f>$I69*IF($G69="Pickup", SUMIFS(NewEmisData!K:K, NewEmisData!$A:$A, "Pickup", NewEmisData!$B:$B, $A69, NewEmisData!$C:$C, $H69, NewEmisData!$D:$D, DM$2), SUMIFS(NewEmisData!K:K, NewEmisData!$A:$A, "LDV", NewEmisData!$B:$B, $A69, NewEmisData!$C:$C, $H69, NewEmisData!$D:$D, DM$2))</f>
        <v>0</v>
      </c>
      <c r="DN69" s="324">
        <f>$I69*IF($G69="Pickup", SUMIFS(NewEmisData!L:L, NewEmisData!$A:$A, "Pickup", NewEmisData!$B:$B, $A69, NewEmisData!$C:$C, $H69, NewEmisData!$D:$D, DN$2), SUMIFS(NewEmisData!L:L, NewEmisData!$A:$A, "LDV", NewEmisData!$B:$B, $A69, NewEmisData!$C:$C, $H69, NewEmisData!$D:$D, DN$2))</f>
        <v>0</v>
      </c>
      <c r="DO69" s="324">
        <f>$I69*IF($G69="Pickup", SUMIFS(NewEmisData!M:M, NewEmisData!$A:$A, "Pickup", NewEmisData!$B:$B, $A69, NewEmisData!$C:$C, $H69, NewEmisData!$D:$D, DO$2), SUMIFS(NewEmisData!M:M, NewEmisData!$A:$A, "LDV", NewEmisData!$B:$B, $A69, NewEmisData!$C:$C, $H69, NewEmisData!$D:$D, DO$2))</f>
        <v>0</v>
      </c>
      <c r="DP69" s="324">
        <f t="shared" si="14"/>
        <v>0</v>
      </c>
      <c r="DQ69" s="324">
        <f>$I69*IF($G69="Pickup", SUMIFS(NewEmisData!E:E, NewEmisData!$A:$A, "Pickup", NewEmisData!$B:$B, $A69, NewEmisData!$C:$C, $H69, NewEmisData!$D:$D, DQ$2), SUMIFS(NewEmisData!E:E, NewEmisData!$A:$A, "LDV", NewEmisData!$B:$B, $A69, NewEmisData!$C:$C, $H69, NewEmisData!$D:$D, DQ$2))</f>
        <v>1.45246052556386E-2</v>
      </c>
      <c r="DR69" s="324">
        <f>$I69*IF($G69="Pickup", SUMIFS(NewEmisData!F:F, NewEmisData!$A:$A, "Pickup", NewEmisData!$B:$B, $A69, NewEmisData!$C:$C, $H69, NewEmisData!$D:$D, DR$2), SUMIFS(NewEmisData!F:F, NewEmisData!$A:$A, "LDV", NewEmisData!$B:$B, $A69, NewEmisData!$C:$C, $H69, NewEmisData!$D:$D, DR$2))</f>
        <v>8.5576317868897907E-3</v>
      </c>
      <c r="DS69" s="324">
        <f>$I69*IF($G69="Pickup", SUMIFS(NewEmisData!G:G, NewEmisData!$A:$A, "Pickup", NewEmisData!$B:$B, $A69, NewEmisData!$C:$C, $H69, NewEmisData!$D:$D, DS$2), SUMIFS(NewEmisData!G:G, NewEmisData!$A:$A, "LDV", NewEmisData!$B:$B, $A69, NewEmisData!$C:$C, $H69, NewEmisData!$D:$D, DS$2))</f>
        <v>6.6798910124453298E-3</v>
      </c>
      <c r="DT69" s="324">
        <f>$I69*IF($G69="Pickup", SUMIFS(NewEmisData!H:H, NewEmisData!$A:$A, "Pickup", NewEmisData!$B:$B, $A69, NewEmisData!$C:$C, $H69, NewEmisData!$D:$D, DT$2), SUMIFS(NewEmisData!H:H, NewEmisData!$A:$A, "LDV", NewEmisData!$B:$B, $A69, NewEmisData!$C:$C, $H69, NewEmisData!$D:$D, DT$2))</f>
        <v>5.1684543516808098E-3</v>
      </c>
      <c r="DU69" s="324">
        <f>$I69*IF($G69="Pickup", SUMIFS(NewEmisData!I:I, NewEmisData!$A:$A, "Pickup", NewEmisData!$B:$B, $A69, NewEmisData!$C:$C, $H69, NewEmisData!$D:$D, DU$2), SUMIFS(NewEmisData!I:I, NewEmisData!$A:$A, "LDV", NewEmisData!$B:$B, $A69, NewEmisData!$C:$C, $H69, NewEmisData!$D:$D, DU$2))</f>
        <v>4.0637666627415803E-3</v>
      </c>
      <c r="DV69" s="324">
        <f>$I69*IF($G69="Pickup", SUMIFS(NewEmisData!J:J, NewEmisData!$A:$A, "Pickup", NewEmisData!$B:$B, $A69, NewEmisData!$C:$C, $H69, NewEmisData!$D:$D, DV$2), SUMIFS(NewEmisData!J:J, NewEmisData!$A:$A, "LDV", NewEmisData!$B:$B, $A69, NewEmisData!$C:$C, $H69, NewEmisData!$D:$D, DV$2))</f>
        <v>3.5439556352963399E-3</v>
      </c>
      <c r="DW69" s="324">
        <f>$I69*IF($G69="Pickup", SUMIFS(NewEmisData!K:K, NewEmisData!$A:$A, "Pickup", NewEmisData!$B:$B, $A69, NewEmisData!$C:$C, $H69, NewEmisData!$D:$D, DW$2), SUMIFS(NewEmisData!K:K, NewEmisData!$A:$A, "LDV", NewEmisData!$B:$B, $A69, NewEmisData!$C:$C, $H69, NewEmisData!$D:$D, DW$2))</f>
        <v>3.25169320270512E-3</v>
      </c>
      <c r="DX69" s="324">
        <f>$I69*IF($G69="Pickup", SUMIFS(NewEmisData!L:L, NewEmisData!$A:$A, "Pickup", NewEmisData!$B:$B, $A69, NewEmisData!$C:$C, $H69, NewEmisData!$D:$D, DX$2), SUMIFS(NewEmisData!L:L, NewEmisData!$A:$A, "LDV", NewEmisData!$B:$B, $A69, NewEmisData!$C:$C, $H69, NewEmisData!$D:$D, DX$2))</f>
        <v>3.1576560516429699E-3</v>
      </c>
      <c r="DY69" s="324">
        <f>$I69*IF($G69="Pickup", SUMIFS(NewEmisData!M:M, NewEmisData!$A:$A, "Pickup", NewEmisData!$B:$B, $A69, NewEmisData!$C:$C, $H69, NewEmisData!$D:$D, DY$2), SUMIFS(NewEmisData!M:M, NewEmisData!$A:$A, "LDV", NewEmisData!$B:$B, $A69, NewEmisData!$C:$C, $H69, NewEmisData!$D:$D, DY$2))</f>
        <v>3.1088285848124E-3</v>
      </c>
      <c r="DZ69" s="324">
        <f t="shared" si="15"/>
        <v>3.1088285848124E-3</v>
      </c>
      <c r="EA69" s="324">
        <f t="shared" si="16"/>
        <v>465.43339574540698</v>
      </c>
      <c r="EB69" s="324">
        <f t="shared" si="17"/>
        <v>447.45086858043499</v>
      </c>
      <c r="EC69" s="324">
        <f t="shared" si="18"/>
        <v>371.68579631799702</v>
      </c>
      <c r="ED69" s="324">
        <f t="shared" si="19"/>
        <v>316.68783468886801</v>
      </c>
      <c r="EE69" s="324">
        <f t="shared" si="20"/>
        <v>274.45359564691302</v>
      </c>
      <c r="EF69" s="324">
        <f t="shared" si="21"/>
        <v>250.610452801164</v>
      </c>
      <c r="EG69" s="324">
        <f t="shared" si="22"/>
        <v>239.96929474207201</v>
      </c>
      <c r="EH69" s="324">
        <f t="shared" si="23"/>
        <v>236.17949059358199</v>
      </c>
      <c r="EI69" s="324">
        <f t="shared" si="24"/>
        <v>234.77621268414799</v>
      </c>
      <c r="EJ69" s="324">
        <f t="shared" si="25"/>
        <v>234.77621268414799</v>
      </c>
      <c r="EK69" s="324">
        <f t="shared" si="26"/>
        <v>0.76817370125590101</v>
      </c>
      <c r="EL69" s="324">
        <f t="shared" si="27"/>
        <v>0.34255400012381199</v>
      </c>
      <c r="EM69" s="324">
        <f t="shared" si="28"/>
        <v>0.22026197441968301</v>
      </c>
      <c r="EN69" s="324">
        <f t="shared" si="29"/>
        <v>0.146130223505477</v>
      </c>
      <c r="EO69" s="324">
        <f t="shared" si="30"/>
        <v>9.25204446820201E-2</v>
      </c>
      <c r="EP69" s="324">
        <f t="shared" si="31"/>
        <v>6.9646332093205393E-2</v>
      </c>
      <c r="EQ69" s="324">
        <f t="shared" si="32"/>
        <v>6.0285539426727999E-2</v>
      </c>
      <c r="ER69" s="324">
        <f t="shared" si="33"/>
        <v>5.7685517085836899E-2</v>
      </c>
      <c r="ES69" s="324">
        <f t="shared" si="34"/>
        <v>5.6336256806388998E-2</v>
      </c>
      <c r="ET69" s="324">
        <f t="shared" si="35"/>
        <v>5.6336256806388998E-2</v>
      </c>
      <c r="EU69" s="324">
        <f t="shared" si="36"/>
        <v>8.0536316527093799E-3</v>
      </c>
      <c r="EV69" s="324">
        <f t="shared" si="37"/>
        <v>7.7424694052717798E-3</v>
      </c>
      <c r="EW69" s="324">
        <f t="shared" si="38"/>
        <v>5.3320257089092297E-3</v>
      </c>
      <c r="EX69" s="324">
        <f t="shared" si="39"/>
        <v>4.5430510168157703E-3</v>
      </c>
      <c r="EY69" s="324">
        <f t="shared" si="40"/>
        <v>3.9371785778053803E-3</v>
      </c>
      <c r="EZ69" s="324">
        <f t="shared" si="41"/>
        <v>3.5951364530025401E-3</v>
      </c>
      <c r="FA69" s="324">
        <f t="shared" si="42"/>
        <v>3.4424852382502098E-3</v>
      </c>
      <c r="FB69" s="324">
        <f t="shared" si="43"/>
        <v>3.38811619026995E-3</v>
      </c>
      <c r="FC69" s="324">
        <f t="shared" si="44"/>
        <v>3.36798790618778E-3</v>
      </c>
      <c r="FD69" s="324">
        <f t="shared" si="45"/>
        <v>3.36798790618778E-3</v>
      </c>
      <c r="FE69" s="324">
        <f t="shared" si="46"/>
        <v>7.6317156939691294E-2</v>
      </c>
      <c r="FF69" s="324">
        <f t="shared" si="47"/>
        <v>7.1544642944165196E-2</v>
      </c>
      <c r="FG69" s="324">
        <f t="shared" si="48"/>
        <v>5.8249743312617203E-2</v>
      </c>
      <c r="FH69" s="324">
        <f t="shared" si="49"/>
        <v>5.6730049378736901E-2</v>
      </c>
      <c r="FI69" s="324">
        <f t="shared" si="50"/>
        <v>5.5297861804990203E-2</v>
      </c>
      <c r="FJ69" s="324">
        <f t="shared" si="51"/>
        <v>5.4156352090813403E-2</v>
      </c>
      <c r="FK69" s="324">
        <f t="shared" si="52"/>
        <v>5.3430662266944498E-2</v>
      </c>
      <c r="FL69" s="324">
        <f t="shared" si="53"/>
        <v>5.3062743786751999E-2</v>
      </c>
      <c r="FM69" s="324">
        <f t="shared" si="54"/>
        <v>5.2850768620488903E-2</v>
      </c>
      <c r="FN69" s="324">
        <f t="shared" si="55"/>
        <v>5.2850768620488903E-2</v>
      </c>
      <c r="FO69" s="324">
        <f t="shared" si="56"/>
        <v>2.00368746679381E-2</v>
      </c>
      <c r="FP69" s="324">
        <f t="shared" si="57"/>
        <v>1.58149288879222E-2</v>
      </c>
      <c r="FQ69" s="324">
        <f t="shared" si="58"/>
        <v>1.2889012730210401E-2</v>
      </c>
      <c r="FR69" s="324">
        <f t="shared" si="59"/>
        <v>1.1544674905883E-2</v>
      </c>
      <c r="FS69" s="324">
        <f t="shared" si="60"/>
        <v>1.0277724336371899E-2</v>
      </c>
      <c r="FT69" s="324">
        <f t="shared" si="61"/>
        <v>9.2679749278735592E-3</v>
      </c>
      <c r="FU69" s="324">
        <f t="shared" si="62"/>
        <v>8.6259896432645099E-3</v>
      </c>
      <c r="FV69" s="324">
        <f t="shared" si="63"/>
        <v>8.3004876330209296E-3</v>
      </c>
      <c r="FW69" s="324">
        <f t="shared" si="64"/>
        <v>8.1129702157430005E-3</v>
      </c>
      <c r="FX69" s="324">
        <f t="shared" si="65"/>
        <v>8.1129702157430005E-3</v>
      </c>
    </row>
    <row r="70" spans="1:180" x14ac:dyDescent="0.2">
      <c r="A70" s="298" t="str">
        <f>IF(LEFT(TRIM(Technologies!B76),1)="*", _xlfn.CONCAT("*","R2"), "R2")</f>
        <v>R2</v>
      </c>
      <c r="B70" s="298" t="str">
        <f>TechData_existing!B19</f>
        <v>TLEELC</v>
      </c>
      <c r="C70" s="298" t="str">
        <f>TechData_existing!C19</f>
        <v>TL.ELC.F.Existing fleet</v>
      </c>
      <c r="D70" s="294" t="str">
        <f>TechData_existing!D19</f>
        <v>bn-vmt, bn-vmt/a</v>
      </c>
      <c r="E70" s="294" t="str">
        <f>TechData_existing!E19</f>
        <v>TRNELC</v>
      </c>
      <c r="F70" s="294" t="str">
        <f>TechData_existing!F19</f>
        <v>TL</v>
      </c>
      <c r="G70" s="294" t="s">
        <v>475</v>
      </c>
      <c r="H70" s="294" t="s">
        <v>69</v>
      </c>
      <c r="I70" s="294">
        <v>0</v>
      </c>
      <c r="J70" s="308" t="str">
        <f t="shared" si="101"/>
        <v>Compact car-ELC</v>
      </c>
      <c r="K70" s="324">
        <f>$I70*IF($G70="Pickup", SUMIFS(NewEmisData!E:E, NewEmisData!$A:$A, "Pickup", NewEmisData!$B:$B, $A70, NewEmisData!$C:$C, $H70, NewEmisData!$D:$D, K$2), SUMIFS(NewEmisData!E:E, NewEmisData!$A:$A, "LDV", NewEmisData!$B:$B, $A70, NewEmisData!$C:$C, $H70, NewEmisData!$D:$D, K$2))</f>
        <v>0</v>
      </c>
      <c r="L70" s="324">
        <f>$I70*IF($G70="Pickup", SUMIFS(NewEmisData!F:F, NewEmisData!$A:$A, "Pickup", NewEmisData!$B:$B, $A70, NewEmisData!$C:$C, $H70, NewEmisData!$D:$D, L$2), SUMIFS(NewEmisData!F:F, NewEmisData!$A:$A, "LDV", NewEmisData!$B:$B, $A70, NewEmisData!$C:$C, $H70, NewEmisData!$D:$D, L$2))</f>
        <v>0</v>
      </c>
      <c r="M70" s="324">
        <f>$I70*IF($G70="Pickup", SUMIFS(NewEmisData!G:G, NewEmisData!$A:$A, "Pickup", NewEmisData!$B:$B, $A70, NewEmisData!$C:$C, $H70, NewEmisData!$D:$D, M$2), SUMIFS(NewEmisData!G:G, NewEmisData!$A:$A, "LDV", NewEmisData!$B:$B, $A70, NewEmisData!$C:$C, $H70, NewEmisData!$D:$D, M$2))</f>
        <v>0</v>
      </c>
      <c r="N70" s="324">
        <f>$I70*IF($G70="Pickup", SUMIFS(NewEmisData!H:H, NewEmisData!$A:$A, "Pickup", NewEmisData!$B:$B, $A70, NewEmisData!$C:$C, $H70, NewEmisData!$D:$D, N$2), SUMIFS(NewEmisData!H:H, NewEmisData!$A:$A, "LDV", NewEmisData!$B:$B, $A70, NewEmisData!$C:$C, $H70, NewEmisData!$D:$D, N$2))</f>
        <v>0</v>
      </c>
      <c r="O70" s="324">
        <f>$I70*IF($G70="Pickup", SUMIFS(NewEmisData!I:I, NewEmisData!$A:$A, "Pickup", NewEmisData!$B:$B, $A70, NewEmisData!$C:$C, $H70, NewEmisData!$D:$D, O$2), SUMIFS(NewEmisData!I:I, NewEmisData!$A:$A, "LDV", NewEmisData!$B:$B, $A70, NewEmisData!$C:$C, $H70, NewEmisData!$D:$D, O$2))</f>
        <v>0</v>
      </c>
      <c r="P70" s="324">
        <f>$I70*IF($G70="Pickup", SUMIFS(NewEmisData!J:J, NewEmisData!$A:$A, "Pickup", NewEmisData!$B:$B, $A70, NewEmisData!$C:$C, $H70, NewEmisData!$D:$D, P$2), SUMIFS(NewEmisData!J:J, NewEmisData!$A:$A, "LDV", NewEmisData!$B:$B, $A70, NewEmisData!$C:$C, $H70, NewEmisData!$D:$D, P$2))</f>
        <v>0</v>
      </c>
      <c r="Q70" s="324">
        <f>$I70*IF($G70="Pickup", SUMIFS(NewEmisData!K:K, NewEmisData!$A:$A, "Pickup", NewEmisData!$B:$B, $A70, NewEmisData!$C:$C, $H70, NewEmisData!$D:$D, Q$2), SUMIFS(NewEmisData!K:K, NewEmisData!$A:$A, "LDV", NewEmisData!$B:$B, $A70, NewEmisData!$C:$C, $H70, NewEmisData!$D:$D, Q$2))</f>
        <v>0</v>
      </c>
      <c r="R70" s="324">
        <f>$I70*IF($G70="Pickup", SUMIFS(NewEmisData!L:L, NewEmisData!$A:$A, "Pickup", NewEmisData!$B:$B, $A70, NewEmisData!$C:$C, $H70, NewEmisData!$D:$D, R$2), SUMIFS(NewEmisData!L:L, NewEmisData!$A:$A, "LDV", NewEmisData!$B:$B, $A70, NewEmisData!$C:$C, $H70, NewEmisData!$D:$D, R$2))</f>
        <v>0</v>
      </c>
      <c r="S70" s="324">
        <f>$I70*IF($G70="Pickup", SUMIFS(NewEmisData!M:M, NewEmisData!$A:$A, "Pickup", NewEmisData!$B:$B, $A70, NewEmisData!$C:$C, $H70, NewEmisData!$D:$D, S$2), SUMIFS(NewEmisData!M:M, NewEmisData!$A:$A, "LDV", NewEmisData!$B:$B, $A70, NewEmisData!$C:$C, $H70, NewEmisData!$D:$D, S$2))</f>
        <v>0</v>
      </c>
      <c r="T70" s="324">
        <f t="shared" si="5"/>
        <v>0</v>
      </c>
      <c r="U70" s="324">
        <f>$I70*IF($G70="Pickup", SUMIFS(NewEmisData!E:E, NewEmisData!$A:$A, "Pickup", NewEmisData!$B:$B, $A70, NewEmisData!$C:$C, $H70, NewEmisData!$D:$D, U$2), SUMIFS(NewEmisData!E:E, NewEmisData!$A:$A, "LDV", NewEmisData!$B:$B, $A70, NewEmisData!$C:$C, $H70, NewEmisData!$D:$D, U$2))</f>
        <v>0</v>
      </c>
      <c r="V70" s="324">
        <f>$I70*IF($G70="Pickup", SUMIFS(NewEmisData!F:F, NewEmisData!$A:$A, "Pickup", NewEmisData!$B:$B, $A70, NewEmisData!$C:$C, $H70, NewEmisData!$D:$D, V$2), SUMIFS(NewEmisData!F:F, NewEmisData!$A:$A, "LDV", NewEmisData!$B:$B, $A70, NewEmisData!$C:$C, $H70, NewEmisData!$D:$D, V$2))</f>
        <v>0</v>
      </c>
      <c r="W70" s="324">
        <f>$I70*IF($G70="Pickup", SUMIFS(NewEmisData!G:G, NewEmisData!$A:$A, "Pickup", NewEmisData!$B:$B, $A70, NewEmisData!$C:$C, $H70, NewEmisData!$D:$D, W$2), SUMIFS(NewEmisData!G:G, NewEmisData!$A:$A, "LDV", NewEmisData!$B:$B, $A70, NewEmisData!$C:$C, $H70, NewEmisData!$D:$D, W$2))</f>
        <v>0</v>
      </c>
      <c r="X70" s="324">
        <f>$I70*IF($G70="Pickup", SUMIFS(NewEmisData!H:H, NewEmisData!$A:$A, "Pickup", NewEmisData!$B:$B, $A70, NewEmisData!$C:$C, $H70, NewEmisData!$D:$D, X$2), SUMIFS(NewEmisData!H:H, NewEmisData!$A:$A, "LDV", NewEmisData!$B:$B, $A70, NewEmisData!$C:$C, $H70, NewEmisData!$D:$D, X$2))</f>
        <v>0</v>
      </c>
      <c r="Y70" s="324">
        <f>$I70*IF($G70="Pickup", SUMIFS(NewEmisData!I:I, NewEmisData!$A:$A, "Pickup", NewEmisData!$B:$B, $A70, NewEmisData!$C:$C, $H70, NewEmisData!$D:$D, Y$2), SUMIFS(NewEmisData!I:I, NewEmisData!$A:$A, "LDV", NewEmisData!$B:$B, $A70, NewEmisData!$C:$C, $H70, NewEmisData!$D:$D, Y$2))</f>
        <v>0</v>
      </c>
      <c r="Z70" s="324">
        <f>$I70*IF($G70="Pickup", SUMIFS(NewEmisData!J:J, NewEmisData!$A:$A, "Pickup", NewEmisData!$B:$B, $A70, NewEmisData!$C:$C, $H70, NewEmisData!$D:$D, Z$2), SUMIFS(NewEmisData!J:J, NewEmisData!$A:$A, "LDV", NewEmisData!$B:$B, $A70, NewEmisData!$C:$C, $H70, NewEmisData!$D:$D, Z$2))</f>
        <v>0</v>
      </c>
      <c r="AA70" s="324">
        <f>$I70*IF($G70="Pickup", SUMIFS(NewEmisData!K:K, NewEmisData!$A:$A, "Pickup", NewEmisData!$B:$B, $A70, NewEmisData!$C:$C, $H70, NewEmisData!$D:$D, AA$2), SUMIFS(NewEmisData!K:K, NewEmisData!$A:$A, "LDV", NewEmisData!$B:$B, $A70, NewEmisData!$C:$C, $H70, NewEmisData!$D:$D, AA$2))</f>
        <v>0</v>
      </c>
      <c r="AB70" s="324">
        <f>$I70*IF($G70="Pickup", SUMIFS(NewEmisData!L:L, NewEmisData!$A:$A, "Pickup", NewEmisData!$B:$B, $A70, NewEmisData!$C:$C, $H70, NewEmisData!$D:$D, AB$2), SUMIFS(NewEmisData!L:L, NewEmisData!$A:$A, "LDV", NewEmisData!$B:$B, $A70, NewEmisData!$C:$C, $H70, NewEmisData!$D:$D, AB$2))</f>
        <v>0</v>
      </c>
      <c r="AC70" s="324">
        <f>$I70*IF($G70="Pickup", SUMIFS(NewEmisData!M:M, NewEmisData!$A:$A, "Pickup", NewEmisData!$B:$B, $A70, NewEmisData!$C:$C, $H70, NewEmisData!$D:$D, AC$2), SUMIFS(NewEmisData!M:M, NewEmisData!$A:$A, "LDV", NewEmisData!$B:$B, $A70, NewEmisData!$C:$C, $H70, NewEmisData!$D:$D, AC$2))</f>
        <v>0</v>
      </c>
      <c r="AD70" s="324">
        <f t="shared" si="6"/>
        <v>0</v>
      </c>
      <c r="AE70" s="324">
        <f>$I70*IF($G70="Pickup", SUMIFS(NewEmisData!E:E, NewEmisData!$A:$A, "Pickup", NewEmisData!$B:$B, $A70, NewEmisData!$C:$C, $H70, NewEmisData!$D:$D, AE$2), SUMIFS(NewEmisData!E:E, NewEmisData!$A:$A, "LDV", NewEmisData!$B:$B, $A70, NewEmisData!$C:$C, $H70, NewEmisData!$D:$D, AE$2))</f>
        <v>0</v>
      </c>
      <c r="AF70" s="324">
        <f>$I70*IF($G70="Pickup", SUMIFS(NewEmisData!F:F, NewEmisData!$A:$A, "Pickup", NewEmisData!$B:$B, $A70, NewEmisData!$C:$C, $H70, NewEmisData!$D:$D, AF$2), SUMIFS(NewEmisData!F:F, NewEmisData!$A:$A, "LDV", NewEmisData!$B:$B, $A70, NewEmisData!$C:$C, $H70, NewEmisData!$D:$D, AF$2))</f>
        <v>0</v>
      </c>
      <c r="AG70" s="324">
        <f>$I70*IF($G70="Pickup", SUMIFS(NewEmisData!G:G, NewEmisData!$A:$A, "Pickup", NewEmisData!$B:$B, $A70, NewEmisData!$C:$C, $H70, NewEmisData!$D:$D, AG$2), SUMIFS(NewEmisData!G:G, NewEmisData!$A:$A, "LDV", NewEmisData!$B:$B, $A70, NewEmisData!$C:$C, $H70, NewEmisData!$D:$D, AG$2))</f>
        <v>0</v>
      </c>
      <c r="AH70" s="324">
        <f>$I70*IF($G70="Pickup", SUMIFS(NewEmisData!H:H, NewEmisData!$A:$A, "Pickup", NewEmisData!$B:$B, $A70, NewEmisData!$C:$C, $H70, NewEmisData!$D:$D, AH$2), SUMIFS(NewEmisData!H:H, NewEmisData!$A:$A, "LDV", NewEmisData!$B:$B, $A70, NewEmisData!$C:$C, $H70, NewEmisData!$D:$D, AH$2))</f>
        <v>0</v>
      </c>
      <c r="AI70" s="324">
        <f>$I70*IF($G70="Pickup", SUMIFS(NewEmisData!I:I, NewEmisData!$A:$A, "Pickup", NewEmisData!$B:$B, $A70, NewEmisData!$C:$C, $H70, NewEmisData!$D:$D, AI$2), SUMIFS(NewEmisData!I:I, NewEmisData!$A:$A, "LDV", NewEmisData!$B:$B, $A70, NewEmisData!$C:$C, $H70, NewEmisData!$D:$D, AI$2))</f>
        <v>0</v>
      </c>
      <c r="AJ70" s="324">
        <f>$I70*IF($G70="Pickup", SUMIFS(NewEmisData!J:J, NewEmisData!$A:$A, "Pickup", NewEmisData!$B:$B, $A70, NewEmisData!$C:$C, $H70, NewEmisData!$D:$D, AJ$2), SUMIFS(NewEmisData!J:J, NewEmisData!$A:$A, "LDV", NewEmisData!$B:$B, $A70, NewEmisData!$C:$C, $H70, NewEmisData!$D:$D, AJ$2))</f>
        <v>0</v>
      </c>
      <c r="AK70" s="324">
        <f>$I70*IF($G70="Pickup", SUMIFS(NewEmisData!K:K, NewEmisData!$A:$A, "Pickup", NewEmisData!$B:$B, $A70, NewEmisData!$C:$C, $H70, NewEmisData!$D:$D, AK$2), SUMIFS(NewEmisData!K:K, NewEmisData!$A:$A, "LDV", NewEmisData!$B:$B, $A70, NewEmisData!$C:$C, $H70, NewEmisData!$D:$D, AK$2))</f>
        <v>0</v>
      </c>
      <c r="AL70" s="324">
        <f>$I70*IF($G70="Pickup", SUMIFS(NewEmisData!L:L, NewEmisData!$A:$A, "Pickup", NewEmisData!$B:$B, $A70, NewEmisData!$C:$C, $H70, NewEmisData!$D:$D, AL$2), SUMIFS(NewEmisData!L:L, NewEmisData!$A:$A, "LDV", NewEmisData!$B:$B, $A70, NewEmisData!$C:$C, $H70, NewEmisData!$D:$D, AL$2))</f>
        <v>0</v>
      </c>
      <c r="AM70" s="324">
        <f>$I70*IF($G70="Pickup", SUMIFS(NewEmisData!M:M, NewEmisData!$A:$A, "Pickup", NewEmisData!$B:$B, $A70, NewEmisData!$C:$C, $H70, NewEmisData!$D:$D, AM$2), SUMIFS(NewEmisData!M:M, NewEmisData!$A:$A, "LDV", NewEmisData!$B:$B, $A70, NewEmisData!$C:$C, $H70, NewEmisData!$D:$D, AM$2))</f>
        <v>0</v>
      </c>
      <c r="AN70" s="324">
        <f t="shared" si="7"/>
        <v>0</v>
      </c>
      <c r="AO70" s="324">
        <f>$I70*IF($G70="Pickup", SUMIFS(NewEmisData!E:E, NewEmisData!$A:$A, "Pickup", NewEmisData!$B:$B, $A70, NewEmisData!$C:$C, $H70, NewEmisData!$D:$D, AO$2), SUMIFS(NewEmisData!E:E, NewEmisData!$A:$A, "LDV", NewEmisData!$B:$B, $A70, NewEmisData!$C:$C, $H70, NewEmisData!$D:$D, AO$2))</f>
        <v>0</v>
      </c>
      <c r="AP70" s="324">
        <f>$I70*IF($G70="Pickup", SUMIFS(NewEmisData!F:F, NewEmisData!$A:$A, "Pickup", NewEmisData!$B:$B, $A70, NewEmisData!$C:$C, $H70, NewEmisData!$D:$D, AP$2), SUMIFS(NewEmisData!F:F, NewEmisData!$A:$A, "LDV", NewEmisData!$B:$B, $A70, NewEmisData!$C:$C, $H70, NewEmisData!$D:$D, AP$2))</f>
        <v>0</v>
      </c>
      <c r="AQ70" s="324">
        <f>$I70*IF($G70="Pickup", SUMIFS(NewEmisData!G:G, NewEmisData!$A:$A, "Pickup", NewEmisData!$B:$B, $A70, NewEmisData!$C:$C, $H70, NewEmisData!$D:$D, AQ$2), SUMIFS(NewEmisData!G:G, NewEmisData!$A:$A, "LDV", NewEmisData!$B:$B, $A70, NewEmisData!$C:$C, $H70, NewEmisData!$D:$D, AQ$2))</f>
        <v>0</v>
      </c>
      <c r="AR70" s="324">
        <f>$I70*IF($G70="Pickup", SUMIFS(NewEmisData!H:H, NewEmisData!$A:$A, "Pickup", NewEmisData!$B:$B, $A70, NewEmisData!$C:$C, $H70, NewEmisData!$D:$D, AR$2), SUMIFS(NewEmisData!H:H, NewEmisData!$A:$A, "LDV", NewEmisData!$B:$B, $A70, NewEmisData!$C:$C, $H70, NewEmisData!$D:$D, AR$2))</f>
        <v>0</v>
      </c>
      <c r="AS70" s="324">
        <f>$I70*IF($G70="Pickup", SUMIFS(NewEmisData!I:I, NewEmisData!$A:$A, "Pickup", NewEmisData!$B:$B, $A70, NewEmisData!$C:$C, $H70, NewEmisData!$D:$D, AS$2), SUMIFS(NewEmisData!I:I, NewEmisData!$A:$A, "LDV", NewEmisData!$B:$B, $A70, NewEmisData!$C:$C, $H70, NewEmisData!$D:$D, AS$2))</f>
        <v>0</v>
      </c>
      <c r="AT70" s="324">
        <f>$I70*IF($G70="Pickup", SUMIFS(NewEmisData!J:J, NewEmisData!$A:$A, "Pickup", NewEmisData!$B:$B, $A70, NewEmisData!$C:$C, $H70, NewEmisData!$D:$D, AT$2), SUMIFS(NewEmisData!J:J, NewEmisData!$A:$A, "LDV", NewEmisData!$B:$B, $A70, NewEmisData!$C:$C, $H70, NewEmisData!$D:$D, AT$2))</f>
        <v>0</v>
      </c>
      <c r="AU70" s="324">
        <f>$I70*IF($G70="Pickup", SUMIFS(NewEmisData!K:K, NewEmisData!$A:$A, "Pickup", NewEmisData!$B:$B, $A70, NewEmisData!$C:$C, $H70, NewEmisData!$D:$D, AU$2), SUMIFS(NewEmisData!K:K, NewEmisData!$A:$A, "LDV", NewEmisData!$B:$B, $A70, NewEmisData!$C:$C, $H70, NewEmisData!$D:$D, AU$2))</f>
        <v>0</v>
      </c>
      <c r="AV70" s="324">
        <f>$I70*IF($G70="Pickup", SUMIFS(NewEmisData!L:L, NewEmisData!$A:$A, "Pickup", NewEmisData!$B:$B, $A70, NewEmisData!$C:$C, $H70, NewEmisData!$D:$D, AV$2), SUMIFS(NewEmisData!L:L, NewEmisData!$A:$A, "LDV", NewEmisData!$B:$B, $A70, NewEmisData!$C:$C, $H70, NewEmisData!$D:$D, AV$2))</f>
        <v>0</v>
      </c>
      <c r="AW70" s="324">
        <f>$I70*IF($G70="Pickup", SUMIFS(NewEmisData!M:M, NewEmisData!$A:$A, "Pickup", NewEmisData!$B:$B, $A70, NewEmisData!$C:$C, $H70, NewEmisData!$D:$D, AW$2), SUMIFS(NewEmisData!M:M, NewEmisData!$A:$A, "LDV", NewEmisData!$B:$B, $A70, NewEmisData!$C:$C, $H70, NewEmisData!$D:$D, AW$2))</f>
        <v>0</v>
      </c>
      <c r="AX70" s="324">
        <f t="shared" si="8"/>
        <v>0</v>
      </c>
      <c r="AY70" s="324">
        <f>$I70*IF($G70="Pickup", SUMIFS(NewEmisData!E:E, NewEmisData!$A:$A, "Pickup", NewEmisData!$B:$B, $A70, NewEmisData!$C:$C, $H70, NewEmisData!$D:$D, AY$2), SUMIFS(NewEmisData!E:E, NewEmisData!$A:$A, "LDV", NewEmisData!$B:$B, $A70, NewEmisData!$C:$C, $H70, NewEmisData!$D:$D, AY$2))</f>
        <v>0</v>
      </c>
      <c r="AZ70" s="324">
        <f>$I70*IF($G70="Pickup", SUMIFS(NewEmisData!F:F, NewEmisData!$A:$A, "Pickup", NewEmisData!$B:$B, $A70, NewEmisData!$C:$C, $H70, NewEmisData!$D:$D, AZ$2), SUMIFS(NewEmisData!F:F, NewEmisData!$A:$A, "LDV", NewEmisData!$B:$B, $A70, NewEmisData!$C:$C, $H70, NewEmisData!$D:$D, AZ$2))</f>
        <v>0</v>
      </c>
      <c r="BA70" s="324">
        <f>$I70*IF($G70="Pickup", SUMIFS(NewEmisData!G:G, NewEmisData!$A:$A, "Pickup", NewEmisData!$B:$B, $A70, NewEmisData!$C:$C, $H70, NewEmisData!$D:$D, BA$2), SUMIFS(NewEmisData!G:G, NewEmisData!$A:$A, "LDV", NewEmisData!$B:$B, $A70, NewEmisData!$C:$C, $H70, NewEmisData!$D:$D, BA$2))</f>
        <v>0</v>
      </c>
      <c r="BB70" s="324">
        <f>$I70*IF($G70="Pickup", SUMIFS(NewEmisData!H:H, NewEmisData!$A:$A, "Pickup", NewEmisData!$B:$B, $A70, NewEmisData!$C:$C, $H70, NewEmisData!$D:$D, BB$2), SUMIFS(NewEmisData!H:H, NewEmisData!$A:$A, "LDV", NewEmisData!$B:$B, $A70, NewEmisData!$C:$C, $H70, NewEmisData!$D:$D, BB$2))</f>
        <v>0</v>
      </c>
      <c r="BC70" s="324">
        <f>$I70*IF($G70="Pickup", SUMIFS(NewEmisData!I:I, NewEmisData!$A:$A, "Pickup", NewEmisData!$B:$B, $A70, NewEmisData!$C:$C, $H70, NewEmisData!$D:$D, BC$2), SUMIFS(NewEmisData!I:I, NewEmisData!$A:$A, "LDV", NewEmisData!$B:$B, $A70, NewEmisData!$C:$C, $H70, NewEmisData!$D:$D, BC$2))</f>
        <v>0</v>
      </c>
      <c r="BD70" s="324">
        <f>$I70*IF($G70="Pickup", SUMIFS(NewEmisData!J:J, NewEmisData!$A:$A, "Pickup", NewEmisData!$B:$B, $A70, NewEmisData!$C:$C, $H70, NewEmisData!$D:$D, BD$2), SUMIFS(NewEmisData!J:J, NewEmisData!$A:$A, "LDV", NewEmisData!$B:$B, $A70, NewEmisData!$C:$C, $H70, NewEmisData!$D:$D, BD$2))</f>
        <v>0</v>
      </c>
      <c r="BE70" s="324">
        <f>$I70*IF($G70="Pickup", SUMIFS(NewEmisData!K:K, NewEmisData!$A:$A, "Pickup", NewEmisData!$B:$B, $A70, NewEmisData!$C:$C, $H70, NewEmisData!$D:$D, BE$2), SUMIFS(NewEmisData!K:K, NewEmisData!$A:$A, "LDV", NewEmisData!$B:$B, $A70, NewEmisData!$C:$C, $H70, NewEmisData!$D:$D, BE$2))</f>
        <v>0</v>
      </c>
      <c r="BF70" s="324">
        <f>$I70*IF($G70="Pickup", SUMIFS(NewEmisData!L:L, NewEmisData!$A:$A, "Pickup", NewEmisData!$B:$B, $A70, NewEmisData!$C:$C, $H70, NewEmisData!$D:$D, BF$2), SUMIFS(NewEmisData!L:L, NewEmisData!$A:$A, "LDV", NewEmisData!$B:$B, $A70, NewEmisData!$C:$C, $H70, NewEmisData!$D:$D, BF$2))</f>
        <v>0</v>
      </c>
      <c r="BG70" s="324">
        <f>$I70*IF($G70="Pickup", SUMIFS(NewEmisData!M:M, NewEmisData!$A:$A, "Pickup", NewEmisData!$B:$B, $A70, NewEmisData!$C:$C, $H70, NewEmisData!$D:$D, BG$2), SUMIFS(NewEmisData!M:M, NewEmisData!$A:$A, "LDV", NewEmisData!$B:$B, $A70, NewEmisData!$C:$C, $H70, NewEmisData!$D:$D, BG$2))</f>
        <v>0</v>
      </c>
      <c r="BH70" s="324">
        <f t="shared" si="9"/>
        <v>0</v>
      </c>
      <c r="BI70" s="324">
        <f>$I70*IF($G70="Pickup", SUMIFS(NewEmisData!E:E, NewEmisData!$A:$A, "Pickup", NewEmisData!$B:$B, $A70, NewEmisData!$C:$C, $H70, NewEmisData!$D:$D, BI$2), SUMIFS(NewEmisData!E:E, NewEmisData!$A:$A, "LDV", NewEmisData!$B:$B, $A70, NewEmisData!$C:$C, $H70, NewEmisData!$D:$D, BI$2))</f>
        <v>0</v>
      </c>
      <c r="BJ70" s="324">
        <f>$I70*IF($G70="Pickup", SUMIFS(NewEmisData!F:F, NewEmisData!$A:$A, "Pickup", NewEmisData!$B:$B, $A70, NewEmisData!$C:$C, $H70, NewEmisData!$D:$D, BJ$2), SUMIFS(NewEmisData!F:F, NewEmisData!$A:$A, "LDV", NewEmisData!$B:$B, $A70, NewEmisData!$C:$C, $H70, NewEmisData!$D:$D, BJ$2))</f>
        <v>0</v>
      </c>
      <c r="BK70" s="324">
        <f>$I70*IF($G70="Pickup", SUMIFS(NewEmisData!G:G, NewEmisData!$A:$A, "Pickup", NewEmisData!$B:$B, $A70, NewEmisData!$C:$C, $H70, NewEmisData!$D:$D, BK$2), SUMIFS(NewEmisData!G:G, NewEmisData!$A:$A, "LDV", NewEmisData!$B:$B, $A70, NewEmisData!$C:$C, $H70, NewEmisData!$D:$D, BK$2))</f>
        <v>0</v>
      </c>
      <c r="BL70" s="324">
        <f>$I70*IF($G70="Pickup", SUMIFS(NewEmisData!H:H, NewEmisData!$A:$A, "Pickup", NewEmisData!$B:$B, $A70, NewEmisData!$C:$C, $H70, NewEmisData!$D:$D, BL$2), SUMIFS(NewEmisData!H:H, NewEmisData!$A:$A, "LDV", NewEmisData!$B:$B, $A70, NewEmisData!$C:$C, $H70, NewEmisData!$D:$D, BL$2))</f>
        <v>0</v>
      </c>
      <c r="BM70" s="324">
        <f>$I70*IF($G70="Pickup", SUMIFS(NewEmisData!I:I, NewEmisData!$A:$A, "Pickup", NewEmisData!$B:$B, $A70, NewEmisData!$C:$C, $H70, NewEmisData!$D:$D, BM$2), SUMIFS(NewEmisData!I:I, NewEmisData!$A:$A, "LDV", NewEmisData!$B:$B, $A70, NewEmisData!$C:$C, $H70, NewEmisData!$D:$D, BM$2))</f>
        <v>0</v>
      </c>
      <c r="BN70" s="324">
        <f>$I70*IF($G70="Pickup", SUMIFS(NewEmisData!J:J, NewEmisData!$A:$A, "Pickup", NewEmisData!$B:$B, $A70, NewEmisData!$C:$C, $H70, NewEmisData!$D:$D, BN$2), SUMIFS(NewEmisData!J:J, NewEmisData!$A:$A, "LDV", NewEmisData!$B:$B, $A70, NewEmisData!$C:$C, $H70, NewEmisData!$D:$D, BN$2))</f>
        <v>0</v>
      </c>
      <c r="BO70" s="324">
        <f>$I70*IF($G70="Pickup", SUMIFS(NewEmisData!K:K, NewEmisData!$A:$A, "Pickup", NewEmisData!$B:$B, $A70, NewEmisData!$C:$C, $H70, NewEmisData!$D:$D, BO$2), SUMIFS(NewEmisData!K:K, NewEmisData!$A:$A, "LDV", NewEmisData!$B:$B, $A70, NewEmisData!$C:$C, $H70, NewEmisData!$D:$D, BO$2))</f>
        <v>0</v>
      </c>
      <c r="BP70" s="324">
        <f>$I70*IF($G70="Pickup", SUMIFS(NewEmisData!L:L, NewEmisData!$A:$A, "Pickup", NewEmisData!$B:$B, $A70, NewEmisData!$C:$C, $H70, NewEmisData!$D:$D, BP$2), SUMIFS(NewEmisData!L:L, NewEmisData!$A:$A, "LDV", NewEmisData!$B:$B, $A70, NewEmisData!$C:$C, $H70, NewEmisData!$D:$D, BP$2))</f>
        <v>0</v>
      </c>
      <c r="BQ70" s="324">
        <f>$I70*IF($G70="Pickup", SUMIFS(NewEmisData!M:M, NewEmisData!$A:$A, "Pickup", NewEmisData!$B:$B, $A70, NewEmisData!$C:$C, $H70, NewEmisData!$D:$D, BQ$2), SUMIFS(NewEmisData!M:M, NewEmisData!$A:$A, "LDV", NewEmisData!$B:$B, $A70, NewEmisData!$C:$C, $H70, NewEmisData!$D:$D, BQ$2))</f>
        <v>0</v>
      </c>
      <c r="BR70" s="324">
        <f t="shared" si="10"/>
        <v>0</v>
      </c>
      <c r="BS70" s="324">
        <f>$I70*IF($G70="Pickup", SUMIFS(NewEmisData!E:E, NewEmisData!$A:$A, "Pickup", NewEmisData!$B:$B, $A70, NewEmisData!$C:$C, $H70, NewEmisData!$D:$D, BS$2), SUMIFS(NewEmisData!E:E, NewEmisData!$A:$A, "LDV", NewEmisData!$B:$B, $A70, NewEmisData!$C:$C, $H70, NewEmisData!$D:$D, BS$2))</f>
        <v>0</v>
      </c>
      <c r="BT70" s="324">
        <f>$I70*IF($G70="Pickup", SUMIFS(NewEmisData!F:F, NewEmisData!$A:$A, "Pickup", NewEmisData!$B:$B, $A70, NewEmisData!$C:$C, $H70, NewEmisData!$D:$D, BT$2), SUMIFS(NewEmisData!F:F, NewEmisData!$A:$A, "LDV", NewEmisData!$B:$B, $A70, NewEmisData!$C:$C, $H70, NewEmisData!$D:$D, BT$2))</f>
        <v>0</v>
      </c>
      <c r="BU70" s="324">
        <f>$I70*IF($G70="Pickup", SUMIFS(NewEmisData!G:G, NewEmisData!$A:$A, "Pickup", NewEmisData!$B:$B, $A70, NewEmisData!$C:$C, $H70, NewEmisData!$D:$D, BU$2), SUMIFS(NewEmisData!G:G, NewEmisData!$A:$A, "LDV", NewEmisData!$B:$B, $A70, NewEmisData!$C:$C, $H70, NewEmisData!$D:$D, BU$2))</f>
        <v>0</v>
      </c>
      <c r="BV70" s="324">
        <f>$I70*IF($G70="Pickup", SUMIFS(NewEmisData!H:H, NewEmisData!$A:$A, "Pickup", NewEmisData!$B:$B, $A70, NewEmisData!$C:$C, $H70, NewEmisData!$D:$D, BV$2), SUMIFS(NewEmisData!H:H, NewEmisData!$A:$A, "LDV", NewEmisData!$B:$B, $A70, NewEmisData!$C:$C, $H70, NewEmisData!$D:$D, BV$2))</f>
        <v>0</v>
      </c>
      <c r="BW70" s="324">
        <f>$I70*IF($G70="Pickup", SUMIFS(NewEmisData!I:I, NewEmisData!$A:$A, "Pickup", NewEmisData!$B:$B, $A70, NewEmisData!$C:$C, $H70, NewEmisData!$D:$D, BW$2), SUMIFS(NewEmisData!I:I, NewEmisData!$A:$A, "LDV", NewEmisData!$B:$B, $A70, NewEmisData!$C:$C, $H70, NewEmisData!$D:$D, BW$2))</f>
        <v>0</v>
      </c>
      <c r="BX70" s="324">
        <f>$I70*IF($G70="Pickup", SUMIFS(NewEmisData!J:J, NewEmisData!$A:$A, "Pickup", NewEmisData!$B:$B, $A70, NewEmisData!$C:$C, $H70, NewEmisData!$D:$D, BX$2), SUMIFS(NewEmisData!J:J, NewEmisData!$A:$A, "LDV", NewEmisData!$B:$B, $A70, NewEmisData!$C:$C, $H70, NewEmisData!$D:$D, BX$2))</f>
        <v>0</v>
      </c>
      <c r="BY70" s="324">
        <f>$I70*IF($G70="Pickup", SUMIFS(NewEmisData!K:K, NewEmisData!$A:$A, "Pickup", NewEmisData!$B:$B, $A70, NewEmisData!$C:$C, $H70, NewEmisData!$D:$D, BY$2), SUMIFS(NewEmisData!K:K, NewEmisData!$A:$A, "LDV", NewEmisData!$B:$B, $A70, NewEmisData!$C:$C, $H70, NewEmisData!$D:$D, BY$2))</f>
        <v>0</v>
      </c>
      <c r="BZ70" s="324">
        <f>$I70*IF($G70="Pickup", SUMIFS(NewEmisData!L:L, NewEmisData!$A:$A, "Pickup", NewEmisData!$B:$B, $A70, NewEmisData!$C:$C, $H70, NewEmisData!$D:$D, BZ$2), SUMIFS(NewEmisData!L:L, NewEmisData!$A:$A, "LDV", NewEmisData!$B:$B, $A70, NewEmisData!$C:$C, $H70, NewEmisData!$D:$D, BZ$2))</f>
        <v>0</v>
      </c>
      <c r="CA70" s="324">
        <f>$I70*IF($G70="Pickup", SUMIFS(NewEmisData!M:M, NewEmisData!$A:$A, "Pickup", NewEmisData!$B:$B, $A70, NewEmisData!$C:$C, $H70, NewEmisData!$D:$D, CA$2), SUMIFS(NewEmisData!M:M, NewEmisData!$A:$A, "LDV", NewEmisData!$B:$B, $A70, NewEmisData!$C:$C, $H70, NewEmisData!$D:$D, CA$2))</f>
        <v>0</v>
      </c>
      <c r="CB70" s="324">
        <f t="shared" si="11"/>
        <v>0</v>
      </c>
      <c r="CC70" s="324">
        <f>$I70*IF($G70="Pickup", SUMIFS(NewEmisData!E:E, NewEmisData!$A:$A, "Pickup", NewEmisData!$B:$B, $A70, NewEmisData!$C:$C, $H70, NewEmisData!$D:$D, CC$2), SUMIFS(NewEmisData!E:E, NewEmisData!$A:$A, "LDV", NewEmisData!$B:$B, $A70, NewEmisData!$C:$C, $H70, NewEmisData!$D:$D, CC$2))</f>
        <v>0</v>
      </c>
      <c r="CD70" s="324">
        <f>$I70*IF($G70="Pickup", SUMIFS(NewEmisData!F:F, NewEmisData!$A:$A, "Pickup", NewEmisData!$B:$B, $A70, NewEmisData!$C:$C, $H70, NewEmisData!$D:$D, CD$2), SUMIFS(NewEmisData!F:F, NewEmisData!$A:$A, "LDV", NewEmisData!$B:$B, $A70, NewEmisData!$C:$C, $H70, NewEmisData!$D:$D, CD$2))</f>
        <v>0</v>
      </c>
      <c r="CE70" s="324">
        <f>$I70*IF($G70="Pickup", SUMIFS(NewEmisData!G:G, NewEmisData!$A:$A, "Pickup", NewEmisData!$B:$B, $A70, NewEmisData!$C:$C, $H70, NewEmisData!$D:$D, CE$2), SUMIFS(NewEmisData!G:G, NewEmisData!$A:$A, "LDV", NewEmisData!$B:$B, $A70, NewEmisData!$C:$C, $H70, NewEmisData!$D:$D, CE$2))</f>
        <v>0</v>
      </c>
      <c r="CF70" s="324">
        <f>$I70*IF($G70="Pickup", SUMIFS(NewEmisData!H:H, NewEmisData!$A:$A, "Pickup", NewEmisData!$B:$B, $A70, NewEmisData!$C:$C, $H70, NewEmisData!$D:$D, CF$2), SUMIFS(NewEmisData!H:H, NewEmisData!$A:$A, "LDV", NewEmisData!$B:$B, $A70, NewEmisData!$C:$C, $H70, NewEmisData!$D:$D, CF$2))</f>
        <v>0</v>
      </c>
      <c r="CG70" s="324">
        <f>$I70*IF($G70="Pickup", SUMIFS(NewEmisData!I:I, NewEmisData!$A:$A, "Pickup", NewEmisData!$B:$B, $A70, NewEmisData!$C:$C, $H70, NewEmisData!$D:$D, CG$2), SUMIFS(NewEmisData!I:I, NewEmisData!$A:$A, "LDV", NewEmisData!$B:$B, $A70, NewEmisData!$C:$C, $H70, NewEmisData!$D:$D, CG$2))</f>
        <v>0</v>
      </c>
      <c r="CH70" s="324">
        <f>$I70*IF($G70="Pickup", SUMIFS(NewEmisData!J:J, NewEmisData!$A:$A, "Pickup", NewEmisData!$B:$B, $A70, NewEmisData!$C:$C, $H70, NewEmisData!$D:$D, CH$2), SUMIFS(NewEmisData!J:J, NewEmisData!$A:$A, "LDV", NewEmisData!$B:$B, $A70, NewEmisData!$C:$C, $H70, NewEmisData!$D:$D, CH$2))</f>
        <v>0</v>
      </c>
      <c r="CI70" s="324">
        <f>$I70*IF($G70="Pickup", SUMIFS(NewEmisData!K:K, NewEmisData!$A:$A, "Pickup", NewEmisData!$B:$B, $A70, NewEmisData!$C:$C, $H70, NewEmisData!$D:$D, CI$2), SUMIFS(NewEmisData!K:K, NewEmisData!$A:$A, "LDV", NewEmisData!$B:$B, $A70, NewEmisData!$C:$C, $H70, NewEmisData!$D:$D, CI$2))</f>
        <v>0</v>
      </c>
      <c r="CJ70" s="324">
        <f>$I70*IF($G70="Pickup", SUMIFS(NewEmisData!L:L, NewEmisData!$A:$A, "Pickup", NewEmisData!$B:$B, $A70, NewEmisData!$C:$C, $H70, NewEmisData!$D:$D, CJ$2), SUMIFS(NewEmisData!L:L, NewEmisData!$A:$A, "LDV", NewEmisData!$B:$B, $A70, NewEmisData!$C:$C, $H70, NewEmisData!$D:$D, CJ$2))</f>
        <v>0</v>
      </c>
      <c r="CK70" s="324">
        <f>$I70*IF($G70="Pickup", SUMIFS(NewEmisData!M:M, NewEmisData!$A:$A, "Pickup", NewEmisData!$B:$B, $A70, NewEmisData!$C:$C, $H70, NewEmisData!$D:$D, CK$2), SUMIFS(NewEmisData!M:M, NewEmisData!$A:$A, "LDV", NewEmisData!$B:$B, $A70, NewEmisData!$C:$C, $H70, NewEmisData!$D:$D, CK$2))</f>
        <v>0</v>
      </c>
      <c r="CL70" s="324">
        <f t="shared" si="12"/>
        <v>0</v>
      </c>
      <c r="CM70" s="324">
        <f>$I70*IF($G70="Pickup", SUMIFS(NewEmisData!E:E, NewEmisData!$A:$A, "Pickup", NewEmisData!$B:$B, $A70, NewEmisData!$C:$C, $H70, NewEmisData!$D:$D, CM$2), SUMIFS(NewEmisData!E:E, NewEmisData!$A:$A, "LDV", NewEmisData!$B:$B, $A70, NewEmisData!$C:$C, $H70, NewEmisData!$D:$D, CM$2))</f>
        <v>0</v>
      </c>
      <c r="CN70" s="324">
        <f>$I70*IF($G70="Pickup", SUMIFS(NewEmisData!F:F, NewEmisData!$A:$A, "Pickup", NewEmisData!$B:$B, $A70, NewEmisData!$C:$C, $H70, NewEmisData!$D:$D, CN$2), SUMIFS(NewEmisData!F:F, NewEmisData!$A:$A, "LDV", NewEmisData!$B:$B, $A70, NewEmisData!$C:$C, $H70, NewEmisData!$D:$D, CN$2))</f>
        <v>0</v>
      </c>
      <c r="CO70" s="324">
        <f>$I70*IF($G70="Pickup", SUMIFS(NewEmisData!G:G, NewEmisData!$A:$A, "Pickup", NewEmisData!$B:$B, $A70, NewEmisData!$C:$C, $H70, NewEmisData!$D:$D, CO$2), SUMIFS(NewEmisData!G:G, NewEmisData!$A:$A, "LDV", NewEmisData!$B:$B, $A70, NewEmisData!$C:$C, $H70, NewEmisData!$D:$D, CO$2))</f>
        <v>0</v>
      </c>
      <c r="CP70" s="324">
        <f>$I70*IF($G70="Pickup", SUMIFS(NewEmisData!H:H, NewEmisData!$A:$A, "Pickup", NewEmisData!$B:$B, $A70, NewEmisData!$C:$C, $H70, NewEmisData!$D:$D, CP$2), SUMIFS(NewEmisData!H:H, NewEmisData!$A:$A, "LDV", NewEmisData!$B:$B, $A70, NewEmisData!$C:$C, $H70, NewEmisData!$D:$D, CP$2))</f>
        <v>0</v>
      </c>
      <c r="CQ70" s="324">
        <f>$I70*IF($G70="Pickup", SUMIFS(NewEmisData!I:I, NewEmisData!$A:$A, "Pickup", NewEmisData!$B:$B, $A70, NewEmisData!$C:$C, $H70, NewEmisData!$D:$D, CQ$2), SUMIFS(NewEmisData!I:I, NewEmisData!$A:$A, "LDV", NewEmisData!$B:$B, $A70, NewEmisData!$C:$C, $H70, NewEmisData!$D:$D, CQ$2))</f>
        <v>0</v>
      </c>
      <c r="CR70" s="324">
        <f>$I70*IF($G70="Pickup", SUMIFS(NewEmisData!J:J, NewEmisData!$A:$A, "Pickup", NewEmisData!$B:$B, $A70, NewEmisData!$C:$C, $H70, NewEmisData!$D:$D, CR$2), SUMIFS(NewEmisData!J:J, NewEmisData!$A:$A, "LDV", NewEmisData!$B:$B, $A70, NewEmisData!$C:$C, $H70, NewEmisData!$D:$D, CR$2))</f>
        <v>0</v>
      </c>
      <c r="CS70" s="324">
        <f>$I70*IF($G70="Pickup", SUMIFS(NewEmisData!K:K, NewEmisData!$A:$A, "Pickup", NewEmisData!$B:$B, $A70, NewEmisData!$C:$C, $H70, NewEmisData!$D:$D, CS$2), SUMIFS(NewEmisData!K:K, NewEmisData!$A:$A, "LDV", NewEmisData!$B:$B, $A70, NewEmisData!$C:$C, $H70, NewEmisData!$D:$D, CS$2))</f>
        <v>0</v>
      </c>
      <c r="CT70" s="324">
        <f>$I70*IF($G70="Pickup", SUMIFS(NewEmisData!L:L, NewEmisData!$A:$A, "Pickup", NewEmisData!$B:$B, $A70, NewEmisData!$C:$C, $H70, NewEmisData!$D:$D, CT$2), SUMIFS(NewEmisData!L:L, NewEmisData!$A:$A, "LDV", NewEmisData!$B:$B, $A70, NewEmisData!$C:$C, $H70, NewEmisData!$D:$D, CT$2))</f>
        <v>0</v>
      </c>
      <c r="CU70" s="324">
        <f>$I70*IF($G70="Pickup", SUMIFS(NewEmisData!M:M, NewEmisData!$A:$A, "Pickup", NewEmisData!$B:$B, $A70, NewEmisData!$C:$C, $H70, NewEmisData!$D:$D, CU$2), SUMIFS(NewEmisData!M:M, NewEmisData!$A:$A, "LDV", NewEmisData!$B:$B, $A70, NewEmisData!$C:$C, $H70, NewEmisData!$D:$D, CU$2))</f>
        <v>0</v>
      </c>
      <c r="CV70" s="324">
        <f t="shared" si="13"/>
        <v>0</v>
      </c>
      <c r="CW70" s="324">
        <v>0</v>
      </c>
      <c r="CX70" s="324">
        <v>0</v>
      </c>
      <c r="CY70" s="324">
        <v>0</v>
      </c>
      <c r="CZ70" s="324">
        <v>0</v>
      </c>
      <c r="DA70" s="324">
        <v>0</v>
      </c>
      <c r="DB70" s="324">
        <v>0</v>
      </c>
      <c r="DC70" s="324">
        <v>0</v>
      </c>
      <c r="DD70" s="324">
        <v>0</v>
      </c>
      <c r="DE70" s="324">
        <v>0</v>
      </c>
      <c r="DF70" s="324">
        <v>0</v>
      </c>
      <c r="DG70" s="324">
        <f>$I70*IF($G70="Pickup", SUMIFS(NewEmisData!E:E, NewEmisData!$A:$A, "Pickup", NewEmisData!$B:$B, $A70, NewEmisData!$C:$C, $H70, NewEmisData!$D:$D, DG$2), SUMIFS(NewEmisData!E:E, NewEmisData!$A:$A, "LDV", NewEmisData!$B:$B, $A70, NewEmisData!$C:$C, $H70, NewEmisData!$D:$D, DG$2))</f>
        <v>0</v>
      </c>
      <c r="DH70" s="324">
        <f>$I70*IF($G70="Pickup", SUMIFS(NewEmisData!F:F, NewEmisData!$A:$A, "Pickup", NewEmisData!$B:$B, $A70, NewEmisData!$C:$C, $H70, NewEmisData!$D:$D, DH$2), SUMIFS(NewEmisData!F:F, NewEmisData!$A:$A, "LDV", NewEmisData!$B:$B, $A70, NewEmisData!$C:$C, $H70, NewEmisData!$D:$D, DH$2))</f>
        <v>0</v>
      </c>
      <c r="DI70" s="324">
        <f>$I70*IF($G70="Pickup", SUMIFS(NewEmisData!G:G, NewEmisData!$A:$A, "Pickup", NewEmisData!$B:$B, $A70, NewEmisData!$C:$C, $H70, NewEmisData!$D:$D, DI$2), SUMIFS(NewEmisData!G:G, NewEmisData!$A:$A, "LDV", NewEmisData!$B:$B, $A70, NewEmisData!$C:$C, $H70, NewEmisData!$D:$D, DI$2))</f>
        <v>0</v>
      </c>
      <c r="DJ70" s="324">
        <f>$I70*IF($G70="Pickup", SUMIFS(NewEmisData!H:H, NewEmisData!$A:$A, "Pickup", NewEmisData!$B:$B, $A70, NewEmisData!$C:$C, $H70, NewEmisData!$D:$D, DJ$2), SUMIFS(NewEmisData!H:H, NewEmisData!$A:$A, "LDV", NewEmisData!$B:$B, $A70, NewEmisData!$C:$C, $H70, NewEmisData!$D:$D, DJ$2))</f>
        <v>0</v>
      </c>
      <c r="DK70" s="324">
        <f>$I70*IF($G70="Pickup", SUMIFS(NewEmisData!I:I, NewEmisData!$A:$A, "Pickup", NewEmisData!$B:$B, $A70, NewEmisData!$C:$C, $H70, NewEmisData!$D:$D, DK$2), SUMIFS(NewEmisData!I:I, NewEmisData!$A:$A, "LDV", NewEmisData!$B:$B, $A70, NewEmisData!$C:$C, $H70, NewEmisData!$D:$D, DK$2))</f>
        <v>0</v>
      </c>
      <c r="DL70" s="324">
        <f>$I70*IF($G70="Pickup", SUMIFS(NewEmisData!J:J, NewEmisData!$A:$A, "Pickup", NewEmisData!$B:$B, $A70, NewEmisData!$C:$C, $H70, NewEmisData!$D:$D, DL$2), SUMIFS(NewEmisData!J:J, NewEmisData!$A:$A, "LDV", NewEmisData!$B:$B, $A70, NewEmisData!$C:$C, $H70, NewEmisData!$D:$D, DL$2))</f>
        <v>0</v>
      </c>
      <c r="DM70" s="324">
        <f>$I70*IF($G70="Pickup", SUMIFS(NewEmisData!K:K, NewEmisData!$A:$A, "Pickup", NewEmisData!$B:$B, $A70, NewEmisData!$C:$C, $H70, NewEmisData!$D:$D, DM$2), SUMIFS(NewEmisData!K:K, NewEmisData!$A:$A, "LDV", NewEmisData!$B:$B, $A70, NewEmisData!$C:$C, $H70, NewEmisData!$D:$D, DM$2))</f>
        <v>0</v>
      </c>
      <c r="DN70" s="324">
        <f>$I70*IF($G70="Pickup", SUMIFS(NewEmisData!L:L, NewEmisData!$A:$A, "Pickup", NewEmisData!$B:$B, $A70, NewEmisData!$C:$C, $H70, NewEmisData!$D:$D, DN$2), SUMIFS(NewEmisData!L:L, NewEmisData!$A:$A, "LDV", NewEmisData!$B:$B, $A70, NewEmisData!$C:$C, $H70, NewEmisData!$D:$D, DN$2))</f>
        <v>0</v>
      </c>
      <c r="DO70" s="324">
        <f>$I70*IF($G70="Pickup", SUMIFS(NewEmisData!M:M, NewEmisData!$A:$A, "Pickup", NewEmisData!$B:$B, $A70, NewEmisData!$C:$C, $H70, NewEmisData!$D:$D, DO$2), SUMIFS(NewEmisData!M:M, NewEmisData!$A:$A, "LDV", NewEmisData!$B:$B, $A70, NewEmisData!$C:$C, $H70, NewEmisData!$D:$D, DO$2))</f>
        <v>0</v>
      </c>
      <c r="DP70" s="324">
        <f t="shared" si="14"/>
        <v>0</v>
      </c>
      <c r="DQ70" s="324">
        <f>$I70*IF($G70="Pickup", SUMIFS(NewEmisData!E:E, NewEmisData!$A:$A, "Pickup", NewEmisData!$B:$B, $A70, NewEmisData!$C:$C, $H70, NewEmisData!$D:$D, DQ$2), SUMIFS(NewEmisData!E:E, NewEmisData!$A:$A, "LDV", NewEmisData!$B:$B, $A70, NewEmisData!$C:$C, $H70, NewEmisData!$D:$D, DQ$2))</f>
        <v>0</v>
      </c>
      <c r="DR70" s="324">
        <f>$I70*IF($G70="Pickup", SUMIFS(NewEmisData!F:F, NewEmisData!$A:$A, "Pickup", NewEmisData!$B:$B, $A70, NewEmisData!$C:$C, $H70, NewEmisData!$D:$D, DR$2), SUMIFS(NewEmisData!F:F, NewEmisData!$A:$A, "LDV", NewEmisData!$B:$B, $A70, NewEmisData!$C:$C, $H70, NewEmisData!$D:$D, DR$2))</f>
        <v>0</v>
      </c>
      <c r="DS70" s="324">
        <f>$I70*IF($G70="Pickup", SUMIFS(NewEmisData!G:G, NewEmisData!$A:$A, "Pickup", NewEmisData!$B:$B, $A70, NewEmisData!$C:$C, $H70, NewEmisData!$D:$D, DS$2), SUMIFS(NewEmisData!G:G, NewEmisData!$A:$A, "LDV", NewEmisData!$B:$B, $A70, NewEmisData!$C:$C, $H70, NewEmisData!$D:$D, DS$2))</f>
        <v>0</v>
      </c>
      <c r="DT70" s="324">
        <f>$I70*IF($G70="Pickup", SUMIFS(NewEmisData!H:H, NewEmisData!$A:$A, "Pickup", NewEmisData!$B:$B, $A70, NewEmisData!$C:$C, $H70, NewEmisData!$D:$D, DT$2), SUMIFS(NewEmisData!H:H, NewEmisData!$A:$A, "LDV", NewEmisData!$B:$B, $A70, NewEmisData!$C:$C, $H70, NewEmisData!$D:$D, DT$2))</f>
        <v>0</v>
      </c>
      <c r="DU70" s="324">
        <f>$I70*IF($G70="Pickup", SUMIFS(NewEmisData!I:I, NewEmisData!$A:$A, "Pickup", NewEmisData!$B:$B, $A70, NewEmisData!$C:$C, $H70, NewEmisData!$D:$D, DU$2), SUMIFS(NewEmisData!I:I, NewEmisData!$A:$A, "LDV", NewEmisData!$B:$B, $A70, NewEmisData!$C:$C, $H70, NewEmisData!$D:$D, DU$2))</f>
        <v>0</v>
      </c>
      <c r="DV70" s="324">
        <f>$I70*IF($G70="Pickup", SUMIFS(NewEmisData!J:J, NewEmisData!$A:$A, "Pickup", NewEmisData!$B:$B, $A70, NewEmisData!$C:$C, $H70, NewEmisData!$D:$D, DV$2), SUMIFS(NewEmisData!J:J, NewEmisData!$A:$A, "LDV", NewEmisData!$B:$B, $A70, NewEmisData!$C:$C, $H70, NewEmisData!$D:$D, DV$2))</f>
        <v>0</v>
      </c>
      <c r="DW70" s="324">
        <f>$I70*IF($G70="Pickup", SUMIFS(NewEmisData!K:K, NewEmisData!$A:$A, "Pickup", NewEmisData!$B:$B, $A70, NewEmisData!$C:$C, $H70, NewEmisData!$D:$D, DW$2), SUMIFS(NewEmisData!K:K, NewEmisData!$A:$A, "LDV", NewEmisData!$B:$B, $A70, NewEmisData!$C:$C, $H70, NewEmisData!$D:$D, DW$2))</f>
        <v>0</v>
      </c>
      <c r="DX70" s="324">
        <f>$I70*IF($G70="Pickup", SUMIFS(NewEmisData!L:L, NewEmisData!$A:$A, "Pickup", NewEmisData!$B:$B, $A70, NewEmisData!$C:$C, $H70, NewEmisData!$D:$D, DX$2), SUMIFS(NewEmisData!L:L, NewEmisData!$A:$A, "LDV", NewEmisData!$B:$B, $A70, NewEmisData!$C:$C, $H70, NewEmisData!$D:$D, DX$2))</f>
        <v>0</v>
      </c>
      <c r="DY70" s="324">
        <f>$I70*IF($G70="Pickup", SUMIFS(NewEmisData!M:M, NewEmisData!$A:$A, "Pickup", NewEmisData!$B:$B, $A70, NewEmisData!$C:$C, $H70, NewEmisData!$D:$D, DY$2), SUMIFS(NewEmisData!M:M, NewEmisData!$A:$A, "LDV", NewEmisData!$B:$B, $A70, NewEmisData!$C:$C, $H70, NewEmisData!$D:$D, DY$2))</f>
        <v>0</v>
      </c>
      <c r="DZ70" s="324">
        <f t="shared" si="15"/>
        <v>0</v>
      </c>
      <c r="EA70" s="324">
        <f t="shared" si="16"/>
        <v>0</v>
      </c>
      <c r="EB70" s="324">
        <f t="shared" si="17"/>
        <v>0</v>
      </c>
      <c r="EC70" s="324">
        <f t="shared" si="18"/>
        <v>0</v>
      </c>
      <c r="ED70" s="324">
        <f t="shared" si="19"/>
        <v>0</v>
      </c>
      <c r="EE70" s="324">
        <f t="shared" si="20"/>
        <v>0</v>
      </c>
      <c r="EF70" s="324">
        <f t="shared" si="21"/>
        <v>0</v>
      </c>
      <c r="EG70" s="324">
        <f t="shared" si="22"/>
        <v>0</v>
      </c>
      <c r="EH70" s="324">
        <f t="shared" si="23"/>
        <v>0</v>
      </c>
      <c r="EI70" s="324">
        <f t="shared" si="24"/>
        <v>0</v>
      </c>
      <c r="EJ70" s="324">
        <f t="shared" si="25"/>
        <v>0</v>
      </c>
      <c r="EK70" s="324">
        <f t="shared" si="26"/>
        <v>0</v>
      </c>
      <c r="EL70" s="324">
        <f t="shared" si="27"/>
        <v>0</v>
      </c>
      <c r="EM70" s="324">
        <f t="shared" si="28"/>
        <v>0</v>
      </c>
      <c r="EN70" s="324">
        <f t="shared" si="29"/>
        <v>0</v>
      </c>
      <c r="EO70" s="324">
        <f t="shared" si="30"/>
        <v>0</v>
      </c>
      <c r="EP70" s="324">
        <f t="shared" si="31"/>
        <v>0</v>
      </c>
      <c r="EQ70" s="324">
        <f t="shared" si="32"/>
        <v>0</v>
      </c>
      <c r="ER70" s="324">
        <f t="shared" si="33"/>
        <v>0</v>
      </c>
      <c r="ES70" s="324">
        <f t="shared" si="34"/>
        <v>0</v>
      </c>
      <c r="ET70" s="324">
        <f t="shared" si="35"/>
        <v>0</v>
      </c>
      <c r="EU70" s="324">
        <f t="shared" si="36"/>
        <v>0</v>
      </c>
      <c r="EV70" s="324">
        <f t="shared" si="37"/>
        <v>0</v>
      </c>
      <c r="EW70" s="324">
        <f t="shared" si="38"/>
        <v>0</v>
      </c>
      <c r="EX70" s="324">
        <f t="shared" si="39"/>
        <v>0</v>
      </c>
      <c r="EY70" s="324">
        <f t="shared" si="40"/>
        <v>0</v>
      </c>
      <c r="EZ70" s="324">
        <f t="shared" si="41"/>
        <v>0</v>
      </c>
      <c r="FA70" s="324">
        <f t="shared" si="42"/>
        <v>0</v>
      </c>
      <c r="FB70" s="324">
        <f t="shared" si="43"/>
        <v>0</v>
      </c>
      <c r="FC70" s="324">
        <f t="shared" si="44"/>
        <v>0</v>
      </c>
      <c r="FD70" s="324">
        <f t="shared" si="45"/>
        <v>0</v>
      </c>
      <c r="FE70" s="324">
        <f t="shared" si="46"/>
        <v>0</v>
      </c>
      <c r="FF70" s="324">
        <f t="shared" si="47"/>
        <v>0</v>
      </c>
      <c r="FG70" s="324">
        <f t="shared" si="48"/>
        <v>0</v>
      </c>
      <c r="FH70" s="324">
        <f t="shared" si="49"/>
        <v>0</v>
      </c>
      <c r="FI70" s="324">
        <f t="shared" si="50"/>
        <v>0</v>
      </c>
      <c r="FJ70" s="324">
        <f t="shared" si="51"/>
        <v>0</v>
      </c>
      <c r="FK70" s="324">
        <f t="shared" si="52"/>
        <v>0</v>
      </c>
      <c r="FL70" s="324">
        <f t="shared" si="53"/>
        <v>0</v>
      </c>
      <c r="FM70" s="324">
        <f t="shared" si="54"/>
        <v>0</v>
      </c>
      <c r="FN70" s="324">
        <f t="shared" si="55"/>
        <v>0</v>
      </c>
      <c r="FO70" s="324">
        <f t="shared" si="56"/>
        <v>0</v>
      </c>
      <c r="FP70" s="324">
        <f t="shared" si="57"/>
        <v>0</v>
      </c>
      <c r="FQ70" s="324">
        <f t="shared" si="58"/>
        <v>0</v>
      </c>
      <c r="FR70" s="324">
        <f t="shared" si="59"/>
        <v>0</v>
      </c>
      <c r="FS70" s="324">
        <f t="shared" si="60"/>
        <v>0</v>
      </c>
      <c r="FT70" s="324">
        <f t="shared" si="61"/>
        <v>0</v>
      </c>
      <c r="FU70" s="324">
        <f t="shared" si="62"/>
        <v>0</v>
      </c>
      <c r="FV70" s="324">
        <f t="shared" si="63"/>
        <v>0</v>
      </c>
      <c r="FW70" s="324">
        <f t="shared" si="64"/>
        <v>0</v>
      </c>
      <c r="FX70" s="324">
        <f t="shared" si="65"/>
        <v>0</v>
      </c>
    </row>
    <row r="71" spans="1:180" x14ac:dyDescent="0.2">
      <c r="A71" s="298" t="str">
        <f>_xlfn.CONCAT(IF(LEFT(TRIM(A70),1)="*", "*R", "R"), 1+RIGHT(TRIM(A70),1))</f>
        <v>R3</v>
      </c>
      <c r="B71" s="298" t="str">
        <f t="shared" ref="B71:B74" si="127">B70</f>
        <v>TLEELC</v>
      </c>
      <c r="C71" s="298" t="str">
        <f t="shared" ref="C71:C74" si="128">C70</f>
        <v>TL.ELC.F.Existing fleet</v>
      </c>
      <c r="D71" s="294" t="str">
        <f t="shared" ref="D71:D74" si="129">D70</f>
        <v>bn-vmt, bn-vmt/a</v>
      </c>
      <c r="E71" s="294" t="str">
        <f t="shared" ref="E71:E74" si="130">E70</f>
        <v>TRNELC</v>
      </c>
      <c r="F71" s="294" t="str">
        <f t="shared" ref="F71:F74" si="131">F70</f>
        <v>TL</v>
      </c>
      <c r="G71" s="294" t="s">
        <v>475</v>
      </c>
      <c r="H71" s="294" t="s">
        <v>69</v>
      </c>
      <c r="I71" s="294">
        <v>0</v>
      </c>
      <c r="J71" s="308" t="str">
        <f t="shared" si="101"/>
        <v>Compact car-ELC</v>
      </c>
      <c r="K71" s="324">
        <f>$I71*IF($G71="Pickup", SUMIFS(NewEmisData!E:E, NewEmisData!$A:$A, "Pickup", NewEmisData!$B:$B, $A71, NewEmisData!$C:$C, $H71, NewEmisData!$D:$D, K$2), SUMIFS(NewEmisData!E:E, NewEmisData!$A:$A, "LDV", NewEmisData!$B:$B, $A71, NewEmisData!$C:$C, $H71, NewEmisData!$D:$D, K$2))</f>
        <v>0</v>
      </c>
      <c r="L71" s="324">
        <f>$I71*IF($G71="Pickup", SUMIFS(NewEmisData!F:F, NewEmisData!$A:$A, "Pickup", NewEmisData!$B:$B, $A71, NewEmisData!$C:$C, $H71, NewEmisData!$D:$D, L$2), SUMIFS(NewEmisData!F:F, NewEmisData!$A:$A, "LDV", NewEmisData!$B:$B, $A71, NewEmisData!$C:$C, $H71, NewEmisData!$D:$D, L$2))</f>
        <v>0</v>
      </c>
      <c r="M71" s="324">
        <f>$I71*IF($G71="Pickup", SUMIFS(NewEmisData!G:G, NewEmisData!$A:$A, "Pickup", NewEmisData!$B:$B, $A71, NewEmisData!$C:$C, $H71, NewEmisData!$D:$D, M$2), SUMIFS(NewEmisData!G:G, NewEmisData!$A:$A, "LDV", NewEmisData!$B:$B, $A71, NewEmisData!$C:$C, $H71, NewEmisData!$D:$D, M$2))</f>
        <v>0</v>
      </c>
      <c r="N71" s="324">
        <f>$I71*IF($G71="Pickup", SUMIFS(NewEmisData!H:H, NewEmisData!$A:$A, "Pickup", NewEmisData!$B:$B, $A71, NewEmisData!$C:$C, $H71, NewEmisData!$D:$D, N$2), SUMIFS(NewEmisData!H:H, NewEmisData!$A:$A, "LDV", NewEmisData!$B:$B, $A71, NewEmisData!$C:$C, $H71, NewEmisData!$D:$D, N$2))</f>
        <v>0</v>
      </c>
      <c r="O71" s="324">
        <f>$I71*IF($G71="Pickup", SUMIFS(NewEmisData!I:I, NewEmisData!$A:$A, "Pickup", NewEmisData!$B:$B, $A71, NewEmisData!$C:$C, $H71, NewEmisData!$D:$D, O$2), SUMIFS(NewEmisData!I:I, NewEmisData!$A:$A, "LDV", NewEmisData!$B:$B, $A71, NewEmisData!$C:$C, $H71, NewEmisData!$D:$D, O$2))</f>
        <v>0</v>
      </c>
      <c r="P71" s="324">
        <f>$I71*IF($G71="Pickup", SUMIFS(NewEmisData!J:J, NewEmisData!$A:$A, "Pickup", NewEmisData!$B:$B, $A71, NewEmisData!$C:$C, $H71, NewEmisData!$D:$D, P$2), SUMIFS(NewEmisData!J:J, NewEmisData!$A:$A, "LDV", NewEmisData!$B:$B, $A71, NewEmisData!$C:$C, $H71, NewEmisData!$D:$D, P$2))</f>
        <v>0</v>
      </c>
      <c r="Q71" s="324">
        <f>$I71*IF($G71="Pickup", SUMIFS(NewEmisData!K:K, NewEmisData!$A:$A, "Pickup", NewEmisData!$B:$B, $A71, NewEmisData!$C:$C, $H71, NewEmisData!$D:$D, Q$2), SUMIFS(NewEmisData!K:K, NewEmisData!$A:$A, "LDV", NewEmisData!$B:$B, $A71, NewEmisData!$C:$C, $H71, NewEmisData!$D:$D, Q$2))</f>
        <v>0</v>
      </c>
      <c r="R71" s="324">
        <f>$I71*IF($G71="Pickup", SUMIFS(NewEmisData!L:L, NewEmisData!$A:$A, "Pickup", NewEmisData!$B:$B, $A71, NewEmisData!$C:$C, $H71, NewEmisData!$D:$D, R$2), SUMIFS(NewEmisData!L:L, NewEmisData!$A:$A, "LDV", NewEmisData!$B:$B, $A71, NewEmisData!$C:$C, $H71, NewEmisData!$D:$D, R$2))</f>
        <v>0</v>
      </c>
      <c r="S71" s="324">
        <f>$I71*IF($G71="Pickup", SUMIFS(NewEmisData!M:M, NewEmisData!$A:$A, "Pickup", NewEmisData!$B:$B, $A71, NewEmisData!$C:$C, $H71, NewEmisData!$D:$D, S$2), SUMIFS(NewEmisData!M:M, NewEmisData!$A:$A, "LDV", NewEmisData!$B:$B, $A71, NewEmisData!$C:$C, $H71, NewEmisData!$D:$D, S$2))</f>
        <v>0</v>
      </c>
      <c r="T71" s="324">
        <f t="shared" si="5"/>
        <v>0</v>
      </c>
      <c r="U71" s="324">
        <f>$I71*IF($G71="Pickup", SUMIFS(NewEmisData!E:E, NewEmisData!$A:$A, "Pickup", NewEmisData!$B:$B, $A71, NewEmisData!$C:$C, $H71, NewEmisData!$D:$D, U$2), SUMIFS(NewEmisData!E:E, NewEmisData!$A:$A, "LDV", NewEmisData!$B:$B, $A71, NewEmisData!$C:$C, $H71, NewEmisData!$D:$D, U$2))</f>
        <v>0</v>
      </c>
      <c r="V71" s="324">
        <f>$I71*IF($G71="Pickup", SUMIFS(NewEmisData!F:F, NewEmisData!$A:$A, "Pickup", NewEmisData!$B:$B, $A71, NewEmisData!$C:$C, $H71, NewEmisData!$D:$D, V$2), SUMIFS(NewEmisData!F:F, NewEmisData!$A:$A, "LDV", NewEmisData!$B:$B, $A71, NewEmisData!$C:$C, $H71, NewEmisData!$D:$D, V$2))</f>
        <v>0</v>
      </c>
      <c r="W71" s="324">
        <f>$I71*IF($G71="Pickup", SUMIFS(NewEmisData!G:G, NewEmisData!$A:$A, "Pickup", NewEmisData!$B:$B, $A71, NewEmisData!$C:$C, $H71, NewEmisData!$D:$D, W$2), SUMIFS(NewEmisData!G:G, NewEmisData!$A:$A, "LDV", NewEmisData!$B:$B, $A71, NewEmisData!$C:$C, $H71, NewEmisData!$D:$D, W$2))</f>
        <v>0</v>
      </c>
      <c r="X71" s="324">
        <f>$I71*IF($G71="Pickup", SUMIFS(NewEmisData!H:H, NewEmisData!$A:$A, "Pickup", NewEmisData!$B:$B, $A71, NewEmisData!$C:$C, $H71, NewEmisData!$D:$D, X$2), SUMIFS(NewEmisData!H:H, NewEmisData!$A:$A, "LDV", NewEmisData!$B:$B, $A71, NewEmisData!$C:$C, $H71, NewEmisData!$D:$D, X$2))</f>
        <v>0</v>
      </c>
      <c r="Y71" s="324">
        <f>$I71*IF($G71="Pickup", SUMIFS(NewEmisData!I:I, NewEmisData!$A:$A, "Pickup", NewEmisData!$B:$B, $A71, NewEmisData!$C:$C, $H71, NewEmisData!$D:$D, Y$2), SUMIFS(NewEmisData!I:I, NewEmisData!$A:$A, "LDV", NewEmisData!$B:$B, $A71, NewEmisData!$C:$C, $H71, NewEmisData!$D:$D, Y$2))</f>
        <v>0</v>
      </c>
      <c r="Z71" s="324">
        <f>$I71*IF($G71="Pickup", SUMIFS(NewEmisData!J:J, NewEmisData!$A:$A, "Pickup", NewEmisData!$B:$B, $A71, NewEmisData!$C:$C, $H71, NewEmisData!$D:$D, Z$2), SUMIFS(NewEmisData!J:J, NewEmisData!$A:$A, "LDV", NewEmisData!$B:$B, $A71, NewEmisData!$C:$C, $H71, NewEmisData!$D:$D, Z$2))</f>
        <v>0</v>
      </c>
      <c r="AA71" s="324">
        <f>$I71*IF($G71="Pickup", SUMIFS(NewEmisData!K:K, NewEmisData!$A:$A, "Pickup", NewEmisData!$B:$B, $A71, NewEmisData!$C:$C, $H71, NewEmisData!$D:$D, AA$2), SUMIFS(NewEmisData!K:K, NewEmisData!$A:$A, "LDV", NewEmisData!$B:$B, $A71, NewEmisData!$C:$C, $H71, NewEmisData!$D:$D, AA$2))</f>
        <v>0</v>
      </c>
      <c r="AB71" s="324">
        <f>$I71*IF($G71="Pickup", SUMIFS(NewEmisData!L:L, NewEmisData!$A:$A, "Pickup", NewEmisData!$B:$B, $A71, NewEmisData!$C:$C, $H71, NewEmisData!$D:$D, AB$2), SUMIFS(NewEmisData!L:L, NewEmisData!$A:$A, "LDV", NewEmisData!$B:$B, $A71, NewEmisData!$C:$C, $H71, NewEmisData!$D:$D, AB$2))</f>
        <v>0</v>
      </c>
      <c r="AC71" s="324">
        <f>$I71*IF($G71="Pickup", SUMIFS(NewEmisData!M:M, NewEmisData!$A:$A, "Pickup", NewEmisData!$B:$B, $A71, NewEmisData!$C:$C, $H71, NewEmisData!$D:$D, AC$2), SUMIFS(NewEmisData!M:M, NewEmisData!$A:$A, "LDV", NewEmisData!$B:$B, $A71, NewEmisData!$C:$C, $H71, NewEmisData!$D:$D, AC$2))</f>
        <v>0</v>
      </c>
      <c r="AD71" s="324">
        <f t="shared" si="6"/>
        <v>0</v>
      </c>
      <c r="AE71" s="324">
        <f>$I71*IF($G71="Pickup", SUMIFS(NewEmisData!E:E, NewEmisData!$A:$A, "Pickup", NewEmisData!$B:$B, $A71, NewEmisData!$C:$C, $H71, NewEmisData!$D:$D, AE$2), SUMIFS(NewEmisData!E:E, NewEmisData!$A:$A, "LDV", NewEmisData!$B:$B, $A71, NewEmisData!$C:$C, $H71, NewEmisData!$D:$D, AE$2))</f>
        <v>0</v>
      </c>
      <c r="AF71" s="324">
        <f>$I71*IF($G71="Pickup", SUMIFS(NewEmisData!F:F, NewEmisData!$A:$A, "Pickup", NewEmisData!$B:$B, $A71, NewEmisData!$C:$C, $H71, NewEmisData!$D:$D, AF$2), SUMIFS(NewEmisData!F:F, NewEmisData!$A:$A, "LDV", NewEmisData!$B:$B, $A71, NewEmisData!$C:$C, $H71, NewEmisData!$D:$D, AF$2))</f>
        <v>0</v>
      </c>
      <c r="AG71" s="324">
        <f>$I71*IF($G71="Pickup", SUMIFS(NewEmisData!G:G, NewEmisData!$A:$A, "Pickup", NewEmisData!$B:$B, $A71, NewEmisData!$C:$C, $H71, NewEmisData!$D:$D, AG$2), SUMIFS(NewEmisData!G:G, NewEmisData!$A:$A, "LDV", NewEmisData!$B:$B, $A71, NewEmisData!$C:$C, $H71, NewEmisData!$D:$D, AG$2))</f>
        <v>0</v>
      </c>
      <c r="AH71" s="324">
        <f>$I71*IF($G71="Pickup", SUMIFS(NewEmisData!H:H, NewEmisData!$A:$A, "Pickup", NewEmisData!$B:$B, $A71, NewEmisData!$C:$C, $H71, NewEmisData!$D:$D, AH$2), SUMIFS(NewEmisData!H:H, NewEmisData!$A:$A, "LDV", NewEmisData!$B:$B, $A71, NewEmisData!$C:$C, $H71, NewEmisData!$D:$D, AH$2))</f>
        <v>0</v>
      </c>
      <c r="AI71" s="324">
        <f>$I71*IF($G71="Pickup", SUMIFS(NewEmisData!I:I, NewEmisData!$A:$A, "Pickup", NewEmisData!$B:$B, $A71, NewEmisData!$C:$C, $H71, NewEmisData!$D:$D, AI$2), SUMIFS(NewEmisData!I:I, NewEmisData!$A:$A, "LDV", NewEmisData!$B:$B, $A71, NewEmisData!$C:$C, $H71, NewEmisData!$D:$D, AI$2))</f>
        <v>0</v>
      </c>
      <c r="AJ71" s="324">
        <f>$I71*IF($G71="Pickup", SUMIFS(NewEmisData!J:J, NewEmisData!$A:$A, "Pickup", NewEmisData!$B:$B, $A71, NewEmisData!$C:$C, $H71, NewEmisData!$D:$D, AJ$2), SUMIFS(NewEmisData!J:J, NewEmisData!$A:$A, "LDV", NewEmisData!$B:$B, $A71, NewEmisData!$C:$C, $H71, NewEmisData!$D:$D, AJ$2))</f>
        <v>0</v>
      </c>
      <c r="AK71" s="324">
        <f>$I71*IF($G71="Pickup", SUMIFS(NewEmisData!K:K, NewEmisData!$A:$A, "Pickup", NewEmisData!$B:$B, $A71, NewEmisData!$C:$C, $H71, NewEmisData!$D:$D, AK$2), SUMIFS(NewEmisData!K:K, NewEmisData!$A:$A, "LDV", NewEmisData!$B:$B, $A71, NewEmisData!$C:$C, $H71, NewEmisData!$D:$D, AK$2))</f>
        <v>0</v>
      </c>
      <c r="AL71" s="324">
        <f>$I71*IF($G71="Pickup", SUMIFS(NewEmisData!L:L, NewEmisData!$A:$A, "Pickup", NewEmisData!$B:$B, $A71, NewEmisData!$C:$C, $H71, NewEmisData!$D:$D, AL$2), SUMIFS(NewEmisData!L:L, NewEmisData!$A:$A, "LDV", NewEmisData!$B:$B, $A71, NewEmisData!$C:$C, $H71, NewEmisData!$D:$D, AL$2))</f>
        <v>0</v>
      </c>
      <c r="AM71" s="324">
        <f>$I71*IF($G71="Pickup", SUMIFS(NewEmisData!M:M, NewEmisData!$A:$A, "Pickup", NewEmisData!$B:$B, $A71, NewEmisData!$C:$C, $H71, NewEmisData!$D:$D, AM$2), SUMIFS(NewEmisData!M:M, NewEmisData!$A:$A, "LDV", NewEmisData!$B:$B, $A71, NewEmisData!$C:$C, $H71, NewEmisData!$D:$D, AM$2))</f>
        <v>0</v>
      </c>
      <c r="AN71" s="324">
        <f t="shared" si="7"/>
        <v>0</v>
      </c>
      <c r="AO71" s="324">
        <f>$I71*IF($G71="Pickup", SUMIFS(NewEmisData!E:E, NewEmisData!$A:$A, "Pickup", NewEmisData!$B:$B, $A71, NewEmisData!$C:$C, $H71, NewEmisData!$D:$D, AO$2), SUMIFS(NewEmisData!E:E, NewEmisData!$A:$A, "LDV", NewEmisData!$B:$B, $A71, NewEmisData!$C:$C, $H71, NewEmisData!$D:$D, AO$2))</f>
        <v>0</v>
      </c>
      <c r="AP71" s="324">
        <f>$I71*IF($G71="Pickup", SUMIFS(NewEmisData!F:F, NewEmisData!$A:$A, "Pickup", NewEmisData!$B:$B, $A71, NewEmisData!$C:$C, $H71, NewEmisData!$D:$D, AP$2), SUMIFS(NewEmisData!F:F, NewEmisData!$A:$A, "LDV", NewEmisData!$B:$B, $A71, NewEmisData!$C:$C, $H71, NewEmisData!$D:$D, AP$2))</f>
        <v>0</v>
      </c>
      <c r="AQ71" s="324">
        <f>$I71*IF($G71="Pickup", SUMIFS(NewEmisData!G:G, NewEmisData!$A:$A, "Pickup", NewEmisData!$B:$B, $A71, NewEmisData!$C:$C, $H71, NewEmisData!$D:$D, AQ$2), SUMIFS(NewEmisData!G:G, NewEmisData!$A:$A, "LDV", NewEmisData!$B:$B, $A71, NewEmisData!$C:$C, $H71, NewEmisData!$D:$D, AQ$2))</f>
        <v>0</v>
      </c>
      <c r="AR71" s="324">
        <f>$I71*IF($G71="Pickup", SUMIFS(NewEmisData!H:H, NewEmisData!$A:$A, "Pickup", NewEmisData!$B:$B, $A71, NewEmisData!$C:$C, $H71, NewEmisData!$D:$D, AR$2), SUMIFS(NewEmisData!H:H, NewEmisData!$A:$A, "LDV", NewEmisData!$B:$B, $A71, NewEmisData!$C:$C, $H71, NewEmisData!$D:$D, AR$2))</f>
        <v>0</v>
      </c>
      <c r="AS71" s="324">
        <f>$I71*IF($G71="Pickup", SUMIFS(NewEmisData!I:I, NewEmisData!$A:$A, "Pickup", NewEmisData!$B:$B, $A71, NewEmisData!$C:$C, $H71, NewEmisData!$D:$D, AS$2), SUMIFS(NewEmisData!I:I, NewEmisData!$A:$A, "LDV", NewEmisData!$B:$B, $A71, NewEmisData!$C:$C, $H71, NewEmisData!$D:$D, AS$2))</f>
        <v>0</v>
      </c>
      <c r="AT71" s="324">
        <f>$I71*IF($G71="Pickup", SUMIFS(NewEmisData!J:J, NewEmisData!$A:$A, "Pickup", NewEmisData!$B:$B, $A71, NewEmisData!$C:$C, $H71, NewEmisData!$D:$D, AT$2), SUMIFS(NewEmisData!J:J, NewEmisData!$A:$A, "LDV", NewEmisData!$B:$B, $A71, NewEmisData!$C:$C, $H71, NewEmisData!$D:$D, AT$2))</f>
        <v>0</v>
      </c>
      <c r="AU71" s="324">
        <f>$I71*IF($G71="Pickup", SUMIFS(NewEmisData!K:K, NewEmisData!$A:$A, "Pickup", NewEmisData!$B:$B, $A71, NewEmisData!$C:$C, $H71, NewEmisData!$D:$D, AU$2), SUMIFS(NewEmisData!K:K, NewEmisData!$A:$A, "LDV", NewEmisData!$B:$B, $A71, NewEmisData!$C:$C, $H71, NewEmisData!$D:$D, AU$2))</f>
        <v>0</v>
      </c>
      <c r="AV71" s="324">
        <f>$I71*IF($G71="Pickup", SUMIFS(NewEmisData!L:L, NewEmisData!$A:$A, "Pickup", NewEmisData!$B:$B, $A71, NewEmisData!$C:$C, $H71, NewEmisData!$D:$D, AV$2), SUMIFS(NewEmisData!L:L, NewEmisData!$A:$A, "LDV", NewEmisData!$B:$B, $A71, NewEmisData!$C:$C, $H71, NewEmisData!$D:$D, AV$2))</f>
        <v>0</v>
      </c>
      <c r="AW71" s="324">
        <f>$I71*IF($G71="Pickup", SUMIFS(NewEmisData!M:M, NewEmisData!$A:$A, "Pickup", NewEmisData!$B:$B, $A71, NewEmisData!$C:$C, $H71, NewEmisData!$D:$D, AW$2), SUMIFS(NewEmisData!M:M, NewEmisData!$A:$A, "LDV", NewEmisData!$B:$B, $A71, NewEmisData!$C:$C, $H71, NewEmisData!$D:$D, AW$2))</f>
        <v>0</v>
      </c>
      <c r="AX71" s="324">
        <f t="shared" si="8"/>
        <v>0</v>
      </c>
      <c r="AY71" s="324">
        <f>$I71*IF($G71="Pickup", SUMIFS(NewEmisData!E:E, NewEmisData!$A:$A, "Pickup", NewEmisData!$B:$B, $A71, NewEmisData!$C:$C, $H71, NewEmisData!$D:$D, AY$2), SUMIFS(NewEmisData!E:E, NewEmisData!$A:$A, "LDV", NewEmisData!$B:$B, $A71, NewEmisData!$C:$C, $H71, NewEmisData!$D:$D, AY$2))</f>
        <v>0</v>
      </c>
      <c r="AZ71" s="324">
        <f>$I71*IF($G71="Pickup", SUMIFS(NewEmisData!F:F, NewEmisData!$A:$A, "Pickup", NewEmisData!$B:$B, $A71, NewEmisData!$C:$C, $H71, NewEmisData!$D:$D, AZ$2), SUMIFS(NewEmisData!F:F, NewEmisData!$A:$A, "LDV", NewEmisData!$B:$B, $A71, NewEmisData!$C:$C, $H71, NewEmisData!$D:$D, AZ$2))</f>
        <v>0</v>
      </c>
      <c r="BA71" s="324">
        <f>$I71*IF($G71="Pickup", SUMIFS(NewEmisData!G:G, NewEmisData!$A:$A, "Pickup", NewEmisData!$B:$B, $A71, NewEmisData!$C:$C, $H71, NewEmisData!$D:$D, BA$2), SUMIFS(NewEmisData!G:G, NewEmisData!$A:$A, "LDV", NewEmisData!$B:$B, $A71, NewEmisData!$C:$C, $H71, NewEmisData!$D:$D, BA$2))</f>
        <v>0</v>
      </c>
      <c r="BB71" s="324">
        <f>$I71*IF($G71="Pickup", SUMIFS(NewEmisData!H:H, NewEmisData!$A:$A, "Pickup", NewEmisData!$B:$B, $A71, NewEmisData!$C:$C, $H71, NewEmisData!$D:$D, BB$2), SUMIFS(NewEmisData!H:H, NewEmisData!$A:$A, "LDV", NewEmisData!$B:$B, $A71, NewEmisData!$C:$C, $H71, NewEmisData!$D:$D, BB$2))</f>
        <v>0</v>
      </c>
      <c r="BC71" s="324">
        <f>$I71*IF($G71="Pickup", SUMIFS(NewEmisData!I:I, NewEmisData!$A:$A, "Pickup", NewEmisData!$B:$B, $A71, NewEmisData!$C:$C, $H71, NewEmisData!$D:$D, BC$2), SUMIFS(NewEmisData!I:I, NewEmisData!$A:$A, "LDV", NewEmisData!$B:$B, $A71, NewEmisData!$C:$C, $H71, NewEmisData!$D:$D, BC$2))</f>
        <v>0</v>
      </c>
      <c r="BD71" s="324">
        <f>$I71*IF($G71="Pickup", SUMIFS(NewEmisData!J:J, NewEmisData!$A:$A, "Pickup", NewEmisData!$B:$B, $A71, NewEmisData!$C:$C, $H71, NewEmisData!$D:$D, BD$2), SUMIFS(NewEmisData!J:J, NewEmisData!$A:$A, "LDV", NewEmisData!$B:$B, $A71, NewEmisData!$C:$C, $H71, NewEmisData!$D:$D, BD$2))</f>
        <v>0</v>
      </c>
      <c r="BE71" s="324">
        <f>$I71*IF($G71="Pickup", SUMIFS(NewEmisData!K:K, NewEmisData!$A:$A, "Pickup", NewEmisData!$B:$B, $A71, NewEmisData!$C:$C, $H71, NewEmisData!$D:$D, BE$2), SUMIFS(NewEmisData!K:K, NewEmisData!$A:$A, "LDV", NewEmisData!$B:$B, $A71, NewEmisData!$C:$C, $H71, NewEmisData!$D:$D, BE$2))</f>
        <v>0</v>
      </c>
      <c r="BF71" s="324">
        <f>$I71*IF($G71="Pickup", SUMIFS(NewEmisData!L:L, NewEmisData!$A:$A, "Pickup", NewEmisData!$B:$B, $A71, NewEmisData!$C:$C, $H71, NewEmisData!$D:$D, BF$2), SUMIFS(NewEmisData!L:L, NewEmisData!$A:$A, "LDV", NewEmisData!$B:$B, $A71, NewEmisData!$C:$C, $H71, NewEmisData!$D:$D, BF$2))</f>
        <v>0</v>
      </c>
      <c r="BG71" s="324">
        <f>$I71*IF($G71="Pickup", SUMIFS(NewEmisData!M:M, NewEmisData!$A:$A, "Pickup", NewEmisData!$B:$B, $A71, NewEmisData!$C:$C, $H71, NewEmisData!$D:$D, BG$2), SUMIFS(NewEmisData!M:M, NewEmisData!$A:$A, "LDV", NewEmisData!$B:$B, $A71, NewEmisData!$C:$C, $H71, NewEmisData!$D:$D, BG$2))</f>
        <v>0</v>
      </c>
      <c r="BH71" s="324">
        <f t="shared" si="9"/>
        <v>0</v>
      </c>
      <c r="BI71" s="324">
        <f>$I71*IF($G71="Pickup", SUMIFS(NewEmisData!E:E, NewEmisData!$A:$A, "Pickup", NewEmisData!$B:$B, $A71, NewEmisData!$C:$C, $H71, NewEmisData!$D:$D, BI$2), SUMIFS(NewEmisData!E:E, NewEmisData!$A:$A, "LDV", NewEmisData!$B:$B, $A71, NewEmisData!$C:$C, $H71, NewEmisData!$D:$D, BI$2))</f>
        <v>0</v>
      </c>
      <c r="BJ71" s="324">
        <f>$I71*IF($G71="Pickup", SUMIFS(NewEmisData!F:F, NewEmisData!$A:$A, "Pickup", NewEmisData!$B:$B, $A71, NewEmisData!$C:$C, $H71, NewEmisData!$D:$D, BJ$2), SUMIFS(NewEmisData!F:F, NewEmisData!$A:$A, "LDV", NewEmisData!$B:$B, $A71, NewEmisData!$C:$C, $H71, NewEmisData!$D:$D, BJ$2))</f>
        <v>0</v>
      </c>
      <c r="BK71" s="324">
        <f>$I71*IF($G71="Pickup", SUMIFS(NewEmisData!G:G, NewEmisData!$A:$A, "Pickup", NewEmisData!$B:$B, $A71, NewEmisData!$C:$C, $H71, NewEmisData!$D:$D, BK$2), SUMIFS(NewEmisData!G:G, NewEmisData!$A:$A, "LDV", NewEmisData!$B:$B, $A71, NewEmisData!$C:$C, $H71, NewEmisData!$D:$D, BK$2))</f>
        <v>0</v>
      </c>
      <c r="BL71" s="324">
        <f>$I71*IF($G71="Pickup", SUMIFS(NewEmisData!H:H, NewEmisData!$A:$A, "Pickup", NewEmisData!$B:$B, $A71, NewEmisData!$C:$C, $H71, NewEmisData!$D:$D, BL$2), SUMIFS(NewEmisData!H:H, NewEmisData!$A:$A, "LDV", NewEmisData!$B:$B, $A71, NewEmisData!$C:$C, $H71, NewEmisData!$D:$D, BL$2))</f>
        <v>0</v>
      </c>
      <c r="BM71" s="324">
        <f>$I71*IF($G71="Pickup", SUMIFS(NewEmisData!I:I, NewEmisData!$A:$A, "Pickup", NewEmisData!$B:$B, $A71, NewEmisData!$C:$C, $H71, NewEmisData!$D:$D, BM$2), SUMIFS(NewEmisData!I:I, NewEmisData!$A:$A, "LDV", NewEmisData!$B:$B, $A71, NewEmisData!$C:$C, $H71, NewEmisData!$D:$D, BM$2))</f>
        <v>0</v>
      </c>
      <c r="BN71" s="324">
        <f>$I71*IF($G71="Pickup", SUMIFS(NewEmisData!J:J, NewEmisData!$A:$A, "Pickup", NewEmisData!$B:$B, $A71, NewEmisData!$C:$C, $H71, NewEmisData!$D:$D, BN$2), SUMIFS(NewEmisData!J:J, NewEmisData!$A:$A, "LDV", NewEmisData!$B:$B, $A71, NewEmisData!$C:$C, $H71, NewEmisData!$D:$D, BN$2))</f>
        <v>0</v>
      </c>
      <c r="BO71" s="324">
        <f>$I71*IF($G71="Pickup", SUMIFS(NewEmisData!K:K, NewEmisData!$A:$A, "Pickup", NewEmisData!$B:$B, $A71, NewEmisData!$C:$C, $H71, NewEmisData!$D:$D, BO$2), SUMIFS(NewEmisData!K:K, NewEmisData!$A:$A, "LDV", NewEmisData!$B:$B, $A71, NewEmisData!$C:$C, $H71, NewEmisData!$D:$D, BO$2))</f>
        <v>0</v>
      </c>
      <c r="BP71" s="324">
        <f>$I71*IF($G71="Pickup", SUMIFS(NewEmisData!L:L, NewEmisData!$A:$A, "Pickup", NewEmisData!$B:$B, $A71, NewEmisData!$C:$C, $H71, NewEmisData!$D:$D, BP$2), SUMIFS(NewEmisData!L:L, NewEmisData!$A:$A, "LDV", NewEmisData!$B:$B, $A71, NewEmisData!$C:$C, $H71, NewEmisData!$D:$D, BP$2))</f>
        <v>0</v>
      </c>
      <c r="BQ71" s="324">
        <f>$I71*IF($G71="Pickup", SUMIFS(NewEmisData!M:M, NewEmisData!$A:$A, "Pickup", NewEmisData!$B:$B, $A71, NewEmisData!$C:$C, $H71, NewEmisData!$D:$D, BQ$2), SUMIFS(NewEmisData!M:M, NewEmisData!$A:$A, "LDV", NewEmisData!$B:$B, $A71, NewEmisData!$C:$C, $H71, NewEmisData!$D:$D, BQ$2))</f>
        <v>0</v>
      </c>
      <c r="BR71" s="324">
        <f t="shared" si="10"/>
        <v>0</v>
      </c>
      <c r="BS71" s="324">
        <f>$I71*IF($G71="Pickup", SUMIFS(NewEmisData!E:E, NewEmisData!$A:$A, "Pickup", NewEmisData!$B:$B, $A71, NewEmisData!$C:$C, $H71, NewEmisData!$D:$D, BS$2), SUMIFS(NewEmisData!E:E, NewEmisData!$A:$A, "LDV", NewEmisData!$B:$B, $A71, NewEmisData!$C:$C, $H71, NewEmisData!$D:$D, BS$2))</f>
        <v>0</v>
      </c>
      <c r="BT71" s="324">
        <f>$I71*IF($G71="Pickup", SUMIFS(NewEmisData!F:F, NewEmisData!$A:$A, "Pickup", NewEmisData!$B:$B, $A71, NewEmisData!$C:$C, $H71, NewEmisData!$D:$D, BT$2), SUMIFS(NewEmisData!F:F, NewEmisData!$A:$A, "LDV", NewEmisData!$B:$B, $A71, NewEmisData!$C:$C, $H71, NewEmisData!$D:$D, BT$2))</f>
        <v>0</v>
      </c>
      <c r="BU71" s="324">
        <f>$I71*IF($G71="Pickup", SUMIFS(NewEmisData!G:G, NewEmisData!$A:$A, "Pickup", NewEmisData!$B:$B, $A71, NewEmisData!$C:$C, $H71, NewEmisData!$D:$D, BU$2), SUMIFS(NewEmisData!G:G, NewEmisData!$A:$A, "LDV", NewEmisData!$B:$B, $A71, NewEmisData!$C:$C, $H71, NewEmisData!$D:$D, BU$2))</f>
        <v>0</v>
      </c>
      <c r="BV71" s="324">
        <f>$I71*IF($G71="Pickup", SUMIFS(NewEmisData!H:H, NewEmisData!$A:$A, "Pickup", NewEmisData!$B:$B, $A71, NewEmisData!$C:$C, $H71, NewEmisData!$D:$D, BV$2), SUMIFS(NewEmisData!H:H, NewEmisData!$A:$A, "LDV", NewEmisData!$B:$B, $A71, NewEmisData!$C:$C, $H71, NewEmisData!$D:$D, BV$2))</f>
        <v>0</v>
      </c>
      <c r="BW71" s="324">
        <f>$I71*IF($G71="Pickup", SUMIFS(NewEmisData!I:I, NewEmisData!$A:$A, "Pickup", NewEmisData!$B:$B, $A71, NewEmisData!$C:$C, $H71, NewEmisData!$D:$D, BW$2), SUMIFS(NewEmisData!I:I, NewEmisData!$A:$A, "LDV", NewEmisData!$B:$B, $A71, NewEmisData!$C:$C, $H71, NewEmisData!$D:$D, BW$2))</f>
        <v>0</v>
      </c>
      <c r="BX71" s="324">
        <f>$I71*IF($G71="Pickup", SUMIFS(NewEmisData!J:J, NewEmisData!$A:$A, "Pickup", NewEmisData!$B:$B, $A71, NewEmisData!$C:$C, $H71, NewEmisData!$D:$D, BX$2), SUMIFS(NewEmisData!J:J, NewEmisData!$A:$A, "LDV", NewEmisData!$B:$B, $A71, NewEmisData!$C:$C, $H71, NewEmisData!$D:$D, BX$2))</f>
        <v>0</v>
      </c>
      <c r="BY71" s="324">
        <f>$I71*IF($G71="Pickup", SUMIFS(NewEmisData!K:K, NewEmisData!$A:$A, "Pickup", NewEmisData!$B:$B, $A71, NewEmisData!$C:$C, $H71, NewEmisData!$D:$D, BY$2), SUMIFS(NewEmisData!K:K, NewEmisData!$A:$A, "LDV", NewEmisData!$B:$B, $A71, NewEmisData!$C:$C, $H71, NewEmisData!$D:$D, BY$2))</f>
        <v>0</v>
      </c>
      <c r="BZ71" s="324">
        <f>$I71*IF($G71="Pickup", SUMIFS(NewEmisData!L:L, NewEmisData!$A:$A, "Pickup", NewEmisData!$B:$B, $A71, NewEmisData!$C:$C, $H71, NewEmisData!$D:$D, BZ$2), SUMIFS(NewEmisData!L:L, NewEmisData!$A:$A, "LDV", NewEmisData!$B:$B, $A71, NewEmisData!$C:$C, $H71, NewEmisData!$D:$D, BZ$2))</f>
        <v>0</v>
      </c>
      <c r="CA71" s="324">
        <f>$I71*IF($G71="Pickup", SUMIFS(NewEmisData!M:M, NewEmisData!$A:$A, "Pickup", NewEmisData!$B:$B, $A71, NewEmisData!$C:$C, $H71, NewEmisData!$D:$D, CA$2), SUMIFS(NewEmisData!M:M, NewEmisData!$A:$A, "LDV", NewEmisData!$B:$B, $A71, NewEmisData!$C:$C, $H71, NewEmisData!$D:$D, CA$2))</f>
        <v>0</v>
      </c>
      <c r="CB71" s="324">
        <f t="shared" si="11"/>
        <v>0</v>
      </c>
      <c r="CC71" s="324">
        <f>$I71*IF($G71="Pickup", SUMIFS(NewEmisData!E:E, NewEmisData!$A:$A, "Pickup", NewEmisData!$B:$B, $A71, NewEmisData!$C:$C, $H71, NewEmisData!$D:$D, CC$2), SUMIFS(NewEmisData!E:E, NewEmisData!$A:$A, "LDV", NewEmisData!$B:$B, $A71, NewEmisData!$C:$C, $H71, NewEmisData!$D:$D, CC$2))</f>
        <v>0</v>
      </c>
      <c r="CD71" s="324">
        <f>$I71*IF($G71="Pickup", SUMIFS(NewEmisData!F:F, NewEmisData!$A:$A, "Pickup", NewEmisData!$B:$B, $A71, NewEmisData!$C:$C, $H71, NewEmisData!$D:$D, CD$2), SUMIFS(NewEmisData!F:F, NewEmisData!$A:$A, "LDV", NewEmisData!$B:$B, $A71, NewEmisData!$C:$C, $H71, NewEmisData!$D:$D, CD$2))</f>
        <v>0</v>
      </c>
      <c r="CE71" s="324">
        <f>$I71*IF($G71="Pickup", SUMIFS(NewEmisData!G:G, NewEmisData!$A:$A, "Pickup", NewEmisData!$B:$B, $A71, NewEmisData!$C:$C, $H71, NewEmisData!$D:$D, CE$2), SUMIFS(NewEmisData!G:G, NewEmisData!$A:$A, "LDV", NewEmisData!$B:$B, $A71, NewEmisData!$C:$C, $H71, NewEmisData!$D:$D, CE$2))</f>
        <v>0</v>
      </c>
      <c r="CF71" s="324">
        <f>$I71*IF($G71="Pickup", SUMIFS(NewEmisData!H:H, NewEmisData!$A:$A, "Pickup", NewEmisData!$B:$B, $A71, NewEmisData!$C:$C, $H71, NewEmisData!$D:$D, CF$2), SUMIFS(NewEmisData!H:H, NewEmisData!$A:$A, "LDV", NewEmisData!$B:$B, $A71, NewEmisData!$C:$C, $H71, NewEmisData!$D:$D, CF$2))</f>
        <v>0</v>
      </c>
      <c r="CG71" s="324">
        <f>$I71*IF($G71="Pickup", SUMIFS(NewEmisData!I:I, NewEmisData!$A:$A, "Pickup", NewEmisData!$B:$B, $A71, NewEmisData!$C:$C, $H71, NewEmisData!$D:$D, CG$2), SUMIFS(NewEmisData!I:I, NewEmisData!$A:$A, "LDV", NewEmisData!$B:$B, $A71, NewEmisData!$C:$C, $H71, NewEmisData!$D:$D, CG$2))</f>
        <v>0</v>
      </c>
      <c r="CH71" s="324">
        <f>$I71*IF($G71="Pickup", SUMIFS(NewEmisData!J:J, NewEmisData!$A:$A, "Pickup", NewEmisData!$B:$B, $A71, NewEmisData!$C:$C, $H71, NewEmisData!$D:$D, CH$2), SUMIFS(NewEmisData!J:J, NewEmisData!$A:$A, "LDV", NewEmisData!$B:$B, $A71, NewEmisData!$C:$C, $H71, NewEmisData!$D:$D, CH$2))</f>
        <v>0</v>
      </c>
      <c r="CI71" s="324">
        <f>$I71*IF($G71="Pickup", SUMIFS(NewEmisData!K:K, NewEmisData!$A:$A, "Pickup", NewEmisData!$B:$B, $A71, NewEmisData!$C:$C, $H71, NewEmisData!$D:$D, CI$2), SUMIFS(NewEmisData!K:K, NewEmisData!$A:$A, "LDV", NewEmisData!$B:$B, $A71, NewEmisData!$C:$C, $H71, NewEmisData!$D:$D, CI$2))</f>
        <v>0</v>
      </c>
      <c r="CJ71" s="324">
        <f>$I71*IF($G71="Pickup", SUMIFS(NewEmisData!L:L, NewEmisData!$A:$A, "Pickup", NewEmisData!$B:$B, $A71, NewEmisData!$C:$C, $H71, NewEmisData!$D:$D, CJ$2), SUMIFS(NewEmisData!L:L, NewEmisData!$A:$A, "LDV", NewEmisData!$B:$B, $A71, NewEmisData!$C:$C, $H71, NewEmisData!$D:$D, CJ$2))</f>
        <v>0</v>
      </c>
      <c r="CK71" s="324">
        <f>$I71*IF($G71="Pickup", SUMIFS(NewEmisData!M:M, NewEmisData!$A:$A, "Pickup", NewEmisData!$B:$B, $A71, NewEmisData!$C:$C, $H71, NewEmisData!$D:$D, CK$2), SUMIFS(NewEmisData!M:M, NewEmisData!$A:$A, "LDV", NewEmisData!$B:$B, $A71, NewEmisData!$C:$C, $H71, NewEmisData!$D:$D, CK$2))</f>
        <v>0</v>
      </c>
      <c r="CL71" s="324">
        <f t="shared" si="12"/>
        <v>0</v>
      </c>
      <c r="CM71" s="324">
        <f>$I71*IF($G71="Pickup", SUMIFS(NewEmisData!E:E, NewEmisData!$A:$A, "Pickup", NewEmisData!$B:$B, $A71, NewEmisData!$C:$C, $H71, NewEmisData!$D:$D, CM$2), SUMIFS(NewEmisData!E:E, NewEmisData!$A:$A, "LDV", NewEmisData!$B:$B, $A71, NewEmisData!$C:$C, $H71, NewEmisData!$D:$D, CM$2))</f>
        <v>0</v>
      </c>
      <c r="CN71" s="324">
        <f>$I71*IF($G71="Pickup", SUMIFS(NewEmisData!F:F, NewEmisData!$A:$A, "Pickup", NewEmisData!$B:$B, $A71, NewEmisData!$C:$C, $H71, NewEmisData!$D:$D, CN$2), SUMIFS(NewEmisData!F:F, NewEmisData!$A:$A, "LDV", NewEmisData!$B:$B, $A71, NewEmisData!$C:$C, $H71, NewEmisData!$D:$D, CN$2))</f>
        <v>0</v>
      </c>
      <c r="CO71" s="324">
        <f>$I71*IF($G71="Pickup", SUMIFS(NewEmisData!G:G, NewEmisData!$A:$A, "Pickup", NewEmisData!$B:$B, $A71, NewEmisData!$C:$C, $H71, NewEmisData!$D:$D, CO$2), SUMIFS(NewEmisData!G:G, NewEmisData!$A:$A, "LDV", NewEmisData!$B:$B, $A71, NewEmisData!$C:$C, $H71, NewEmisData!$D:$D, CO$2))</f>
        <v>0</v>
      </c>
      <c r="CP71" s="324">
        <f>$I71*IF($G71="Pickup", SUMIFS(NewEmisData!H:H, NewEmisData!$A:$A, "Pickup", NewEmisData!$B:$B, $A71, NewEmisData!$C:$C, $H71, NewEmisData!$D:$D, CP$2), SUMIFS(NewEmisData!H:H, NewEmisData!$A:$A, "LDV", NewEmisData!$B:$B, $A71, NewEmisData!$C:$C, $H71, NewEmisData!$D:$D, CP$2))</f>
        <v>0</v>
      </c>
      <c r="CQ71" s="324">
        <f>$I71*IF($G71="Pickup", SUMIFS(NewEmisData!I:I, NewEmisData!$A:$A, "Pickup", NewEmisData!$B:$B, $A71, NewEmisData!$C:$C, $H71, NewEmisData!$D:$D, CQ$2), SUMIFS(NewEmisData!I:I, NewEmisData!$A:$A, "LDV", NewEmisData!$B:$B, $A71, NewEmisData!$C:$C, $H71, NewEmisData!$D:$D, CQ$2))</f>
        <v>0</v>
      </c>
      <c r="CR71" s="324">
        <f>$I71*IF($G71="Pickup", SUMIFS(NewEmisData!J:J, NewEmisData!$A:$A, "Pickup", NewEmisData!$B:$B, $A71, NewEmisData!$C:$C, $H71, NewEmisData!$D:$D, CR$2), SUMIFS(NewEmisData!J:J, NewEmisData!$A:$A, "LDV", NewEmisData!$B:$B, $A71, NewEmisData!$C:$C, $H71, NewEmisData!$D:$D, CR$2))</f>
        <v>0</v>
      </c>
      <c r="CS71" s="324">
        <f>$I71*IF($G71="Pickup", SUMIFS(NewEmisData!K:K, NewEmisData!$A:$A, "Pickup", NewEmisData!$B:$B, $A71, NewEmisData!$C:$C, $H71, NewEmisData!$D:$D, CS$2), SUMIFS(NewEmisData!K:K, NewEmisData!$A:$A, "LDV", NewEmisData!$B:$B, $A71, NewEmisData!$C:$C, $H71, NewEmisData!$D:$D, CS$2))</f>
        <v>0</v>
      </c>
      <c r="CT71" s="324">
        <f>$I71*IF($G71="Pickup", SUMIFS(NewEmisData!L:L, NewEmisData!$A:$A, "Pickup", NewEmisData!$B:$B, $A71, NewEmisData!$C:$C, $H71, NewEmisData!$D:$D, CT$2), SUMIFS(NewEmisData!L:L, NewEmisData!$A:$A, "LDV", NewEmisData!$B:$B, $A71, NewEmisData!$C:$C, $H71, NewEmisData!$D:$D, CT$2))</f>
        <v>0</v>
      </c>
      <c r="CU71" s="324">
        <f>$I71*IF($G71="Pickup", SUMIFS(NewEmisData!M:M, NewEmisData!$A:$A, "Pickup", NewEmisData!$B:$B, $A71, NewEmisData!$C:$C, $H71, NewEmisData!$D:$D, CU$2), SUMIFS(NewEmisData!M:M, NewEmisData!$A:$A, "LDV", NewEmisData!$B:$B, $A71, NewEmisData!$C:$C, $H71, NewEmisData!$D:$D, CU$2))</f>
        <v>0</v>
      </c>
      <c r="CV71" s="324">
        <f t="shared" si="13"/>
        <v>0</v>
      </c>
      <c r="CW71" s="324">
        <v>0</v>
      </c>
      <c r="CX71" s="324">
        <v>0</v>
      </c>
      <c r="CY71" s="324">
        <v>0</v>
      </c>
      <c r="CZ71" s="324">
        <v>0</v>
      </c>
      <c r="DA71" s="324">
        <v>0</v>
      </c>
      <c r="DB71" s="324">
        <v>0</v>
      </c>
      <c r="DC71" s="324">
        <v>0</v>
      </c>
      <c r="DD71" s="324">
        <v>0</v>
      </c>
      <c r="DE71" s="324">
        <v>0</v>
      </c>
      <c r="DF71" s="324">
        <v>0</v>
      </c>
      <c r="DG71" s="324">
        <f>$I71*IF($G71="Pickup", SUMIFS(NewEmisData!E:E, NewEmisData!$A:$A, "Pickup", NewEmisData!$B:$B, $A71, NewEmisData!$C:$C, $H71, NewEmisData!$D:$D, DG$2), SUMIFS(NewEmisData!E:E, NewEmisData!$A:$A, "LDV", NewEmisData!$B:$B, $A71, NewEmisData!$C:$C, $H71, NewEmisData!$D:$D, DG$2))</f>
        <v>0</v>
      </c>
      <c r="DH71" s="324">
        <f>$I71*IF($G71="Pickup", SUMIFS(NewEmisData!F:F, NewEmisData!$A:$A, "Pickup", NewEmisData!$B:$B, $A71, NewEmisData!$C:$C, $H71, NewEmisData!$D:$D, DH$2), SUMIFS(NewEmisData!F:F, NewEmisData!$A:$A, "LDV", NewEmisData!$B:$B, $A71, NewEmisData!$C:$C, $H71, NewEmisData!$D:$D, DH$2))</f>
        <v>0</v>
      </c>
      <c r="DI71" s="324">
        <f>$I71*IF($G71="Pickup", SUMIFS(NewEmisData!G:G, NewEmisData!$A:$A, "Pickup", NewEmisData!$B:$B, $A71, NewEmisData!$C:$C, $H71, NewEmisData!$D:$D, DI$2), SUMIFS(NewEmisData!G:G, NewEmisData!$A:$A, "LDV", NewEmisData!$B:$B, $A71, NewEmisData!$C:$C, $H71, NewEmisData!$D:$D, DI$2))</f>
        <v>0</v>
      </c>
      <c r="DJ71" s="324">
        <f>$I71*IF($G71="Pickup", SUMIFS(NewEmisData!H:H, NewEmisData!$A:$A, "Pickup", NewEmisData!$B:$B, $A71, NewEmisData!$C:$C, $H71, NewEmisData!$D:$D, DJ$2), SUMIFS(NewEmisData!H:H, NewEmisData!$A:$A, "LDV", NewEmisData!$B:$B, $A71, NewEmisData!$C:$C, $H71, NewEmisData!$D:$D, DJ$2))</f>
        <v>0</v>
      </c>
      <c r="DK71" s="324">
        <f>$I71*IF($G71="Pickup", SUMIFS(NewEmisData!I:I, NewEmisData!$A:$A, "Pickup", NewEmisData!$B:$B, $A71, NewEmisData!$C:$C, $H71, NewEmisData!$D:$D, DK$2), SUMIFS(NewEmisData!I:I, NewEmisData!$A:$A, "LDV", NewEmisData!$B:$B, $A71, NewEmisData!$C:$C, $H71, NewEmisData!$D:$D, DK$2))</f>
        <v>0</v>
      </c>
      <c r="DL71" s="324">
        <f>$I71*IF($G71="Pickup", SUMIFS(NewEmisData!J:J, NewEmisData!$A:$A, "Pickup", NewEmisData!$B:$B, $A71, NewEmisData!$C:$C, $H71, NewEmisData!$D:$D, DL$2), SUMIFS(NewEmisData!J:J, NewEmisData!$A:$A, "LDV", NewEmisData!$B:$B, $A71, NewEmisData!$C:$C, $H71, NewEmisData!$D:$D, DL$2))</f>
        <v>0</v>
      </c>
      <c r="DM71" s="324">
        <f>$I71*IF($G71="Pickup", SUMIFS(NewEmisData!K:K, NewEmisData!$A:$A, "Pickup", NewEmisData!$B:$B, $A71, NewEmisData!$C:$C, $H71, NewEmisData!$D:$D, DM$2), SUMIFS(NewEmisData!K:K, NewEmisData!$A:$A, "LDV", NewEmisData!$B:$B, $A71, NewEmisData!$C:$C, $H71, NewEmisData!$D:$D, DM$2))</f>
        <v>0</v>
      </c>
      <c r="DN71" s="324">
        <f>$I71*IF($G71="Pickup", SUMIFS(NewEmisData!L:L, NewEmisData!$A:$A, "Pickup", NewEmisData!$B:$B, $A71, NewEmisData!$C:$C, $H71, NewEmisData!$D:$D, DN$2), SUMIFS(NewEmisData!L:L, NewEmisData!$A:$A, "LDV", NewEmisData!$B:$B, $A71, NewEmisData!$C:$C, $H71, NewEmisData!$D:$D, DN$2))</f>
        <v>0</v>
      </c>
      <c r="DO71" s="324">
        <f>$I71*IF($G71="Pickup", SUMIFS(NewEmisData!M:M, NewEmisData!$A:$A, "Pickup", NewEmisData!$B:$B, $A71, NewEmisData!$C:$C, $H71, NewEmisData!$D:$D, DO$2), SUMIFS(NewEmisData!M:M, NewEmisData!$A:$A, "LDV", NewEmisData!$B:$B, $A71, NewEmisData!$C:$C, $H71, NewEmisData!$D:$D, DO$2))</f>
        <v>0</v>
      </c>
      <c r="DP71" s="324">
        <f t="shared" si="14"/>
        <v>0</v>
      </c>
      <c r="DQ71" s="324">
        <f>$I71*IF($G71="Pickup", SUMIFS(NewEmisData!E:E, NewEmisData!$A:$A, "Pickup", NewEmisData!$B:$B, $A71, NewEmisData!$C:$C, $H71, NewEmisData!$D:$D, DQ$2), SUMIFS(NewEmisData!E:E, NewEmisData!$A:$A, "LDV", NewEmisData!$B:$B, $A71, NewEmisData!$C:$C, $H71, NewEmisData!$D:$D, DQ$2))</f>
        <v>0</v>
      </c>
      <c r="DR71" s="324">
        <f>$I71*IF($G71="Pickup", SUMIFS(NewEmisData!F:F, NewEmisData!$A:$A, "Pickup", NewEmisData!$B:$B, $A71, NewEmisData!$C:$C, $H71, NewEmisData!$D:$D, DR$2), SUMIFS(NewEmisData!F:F, NewEmisData!$A:$A, "LDV", NewEmisData!$B:$B, $A71, NewEmisData!$C:$C, $H71, NewEmisData!$D:$D, DR$2))</f>
        <v>0</v>
      </c>
      <c r="DS71" s="324">
        <f>$I71*IF($G71="Pickup", SUMIFS(NewEmisData!G:G, NewEmisData!$A:$A, "Pickup", NewEmisData!$B:$B, $A71, NewEmisData!$C:$C, $H71, NewEmisData!$D:$D, DS$2), SUMIFS(NewEmisData!G:G, NewEmisData!$A:$A, "LDV", NewEmisData!$B:$B, $A71, NewEmisData!$C:$C, $H71, NewEmisData!$D:$D, DS$2))</f>
        <v>0</v>
      </c>
      <c r="DT71" s="324">
        <f>$I71*IF($G71="Pickup", SUMIFS(NewEmisData!H:H, NewEmisData!$A:$A, "Pickup", NewEmisData!$B:$B, $A71, NewEmisData!$C:$C, $H71, NewEmisData!$D:$D, DT$2), SUMIFS(NewEmisData!H:H, NewEmisData!$A:$A, "LDV", NewEmisData!$B:$B, $A71, NewEmisData!$C:$C, $H71, NewEmisData!$D:$D, DT$2))</f>
        <v>0</v>
      </c>
      <c r="DU71" s="324">
        <f>$I71*IF($G71="Pickup", SUMIFS(NewEmisData!I:I, NewEmisData!$A:$A, "Pickup", NewEmisData!$B:$B, $A71, NewEmisData!$C:$C, $H71, NewEmisData!$D:$D, DU$2), SUMIFS(NewEmisData!I:I, NewEmisData!$A:$A, "LDV", NewEmisData!$B:$B, $A71, NewEmisData!$C:$C, $H71, NewEmisData!$D:$D, DU$2))</f>
        <v>0</v>
      </c>
      <c r="DV71" s="324">
        <f>$I71*IF($G71="Pickup", SUMIFS(NewEmisData!J:J, NewEmisData!$A:$A, "Pickup", NewEmisData!$B:$B, $A71, NewEmisData!$C:$C, $H71, NewEmisData!$D:$D, DV$2), SUMIFS(NewEmisData!J:J, NewEmisData!$A:$A, "LDV", NewEmisData!$B:$B, $A71, NewEmisData!$C:$C, $H71, NewEmisData!$D:$D, DV$2))</f>
        <v>0</v>
      </c>
      <c r="DW71" s="324">
        <f>$I71*IF($G71="Pickup", SUMIFS(NewEmisData!K:K, NewEmisData!$A:$A, "Pickup", NewEmisData!$B:$B, $A71, NewEmisData!$C:$C, $H71, NewEmisData!$D:$D, DW$2), SUMIFS(NewEmisData!K:K, NewEmisData!$A:$A, "LDV", NewEmisData!$B:$B, $A71, NewEmisData!$C:$C, $H71, NewEmisData!$D:$D, DW$2))</f>
        <v>0</v>
      </c>
      <c r="DX71" s="324">
        <f>$I71*IF($G71="Pickup", SUMIFS(NewEmisData!L:L, NewEmisData!$A:$A, "Pickup", NewEmisData!$B:$B, $A71, NewEmisData!$C:$C, $H71, NewEmisData!$D:$D, DX$2), SUMIFS(NewEmisData!L:L, NewEmisData!$A:$A, "LDV", NewEmisData!$B:$B, $A71, NewEmisData!$C:$C, $H71, NewEmisData!$D:$D, DX$2))</f>
        <v>0</v>
      </c>
      <c r="DY71" s="324">
        <f>$I71*IF($G71="Pickup", SUMIFS(NewEmisData!M:M, NewEmisData!$A:$A, "Pickup", NewEmisData!$B:$B, $A71, NewEmisData!$C:$C, $H71, NewEmisData!$D:$D, DY$2), SUMIFS(NewEmisData!M:M, NewEmisData!$A:$A, "LDV", NewEmisData!$B:$B, $A71, NewEmisData!$C:$C, $H71, NewEmisData!$D:$D, DY$2))</f>
        <v>0</v>
      </c>
      <c r="DZ71" s="324">
        <f t="shared" si="15"/>
        <v>0</v>
      </c>
      <c r="EA71" s="324">
        <f t="shared" si="16"/>
        <v>0</v>
      </c>
      <c r="EB71" s="324">
        <f t="shared" si="17"/>
        <v>0</v>
      </c>
      <c r="EC71" s="324">
        <f t="shared" si="18"/>
        <v>0</v>
      </c>
      <c r="ED71" s="324">
        <f t="shared" si="19"/>
        <v>0</v>
      </c>
      <c r="EE71" s="324">
        <f t="shared" si="20"/>
        <v>0</v>
      </c>
      <c r="EF71" s="324">
        <f t="shared" si="21"/>
        <v>0</v>
      </c>
      <c r="EG71" s="324">
        <f t="shared" si="22"/>
        <v>0</v>
      </c>
      <c r="EH71" s="324">
        <f t="shared" si="23"/>
        <v>0</v>
      </c>
      <c r="EI71" s="324">
        <f t="shared" si="24"/>
        <v>0</v>
      </c>
      <c r="EJ71" s="324">
        <f t="shared" si="25"/>
        <v>0</v>
      </c>
      <c r="EK71" s="324">
        <f t="shared" si="26"/>
        <v>0</v>
      </c>
      <c r="EL71" s="324">
        <f t="shared" si="27"/>
        <v>0</v>
      </c>
      <c r="EM71" s="324">
        <f t="shared" si="28"/>
        <v>0</v>
      </c>
      <c r="EN71" s="324">
        <f t="shared" si="29"/>
        <v>0</v>
      </c>
      <c r="EO71" s="324">
        <f t="shared" si="30"/>
        <v>0</v>
      </c>
      <c r="EP71" s="324">
        <f t="shared" si="31"/>
        <v>0</v>
      </c>
      <c r="EQ71" s="324">
        <f t="shared" si="32"/>
        <v>0</v>
      </c>
      <c r="ER71" s="324">
        <f t="shared" si="33"/>
        <v>0</v>
      </c>
      <c r="ES71" s="324">
        <f t="shared" si="34"/>
        <v>0</v>
      </c>
      <c r="ET71" s="324">
        <f t="shared" si="35"/>
        <v>0</v>
      </c>
      <c r="EU71" s="324">
        <f t="shared" si="36"/>
        <v>0</v>
      </c>
      <c r="EV71" s="324">
        <f t="shared" si="37"/>
        <v>0</v>
      </c>
      <c r="EW71" s="324">
        <f t="shared" si="38"/>
        <v>0</v>
      </c>
      <c r="EX71" s="324">
        <f t="shared" si="39"/>
        <v>0</v>
      </c>
      <c r="EY71" s="324">
        <f t="shared" si="40"/>
        <v>0</v>
      </c>
      <c r="EZ71" s="324">
        <f t="shared" si="41"/>
        <v>0</v>
      </c>
      <c r="FA71" s="324">
        <f t="shared" si="42"/>
        <v>0</v>
      </c>
      <c r="FB71" s="324">
        <f t="shared" si="43"/>
        <v>0</v>
      </c>
      <c r="FC71" s="324">
        <f t="shared" si="44"/>
        <v>0</v>
      </c>
      <c r="FD71" s="324">
        <f t="shared" si="45"/>
        <v>0</v>
      </c>
      <c r="FE71" s="324">
        <f t="shared" si="46"/>
        <v>0</v>
      </c>
      <c r="FF71" s="324">
        <f t="shared" si="47"/>
        <v>0</v>
      </c>
      <c r="FG71" s="324">
        <f t="shared" si="48"/>
        <v>0</v>
      </c>
      <c r="FH71" s="324">
        <f t="shared" si="49"/>
        <v>0</v>
      </c>
      <c r="FI71" s="324">
        <f t="shared" si="50"/>
        <v>0</v>
      </c>
      <c r="FJ71" s="324">
        <f t="shared" si="51"/>
        <v>0</v>
      </c>
      <c r="FK71" s="324">
        <f t="shared" si="52"/>
        <v>0</v>
      </c>
      <c r="FL71" s="324">
        <f t="shared" si="53"/>
        <v>0</v>
      </c>
      <c r="FM71" s="324">
        <f t="shared" si="54"/>
        <v>0</v>
      </c>
      <c r="FN71" s="324">
        <f t="shared" si="55"/>
        <v>0</v>
      </c>
      <c r="FO71" s="324">
        <f t="shared" si="56"/>
        <v>0</v>
      </c>
      <c r="FP71" s="324">
        <f t="shared" si="57"/>
        <v>0</v>
      </c>
      <c r="FQ71" s="324">
        <f t="shared" si="58"/>
        <v>0</v>
      </c>
      <c r="FR71" s="324">
        <f t="shared" si="59"/>
        <v>0</v>
      </c>
      <c r="FS71" s="324">
        <f t="shared" si="60"/>
        <v>0</v>
      </c>
      <c r="FT71" s="324">
        <f t="shared" si="61"/>
        <v>0</v>
      </c>
      <c r="FU71" s="324">
        <f t="shared" si="62"/>
        <v>0</v>
      </c>
      <c r="FV71" s="324">
        <f t="shared" si="63"/>
        <v>0</v>
      </c>
      <c r="FW71" s="324">
        <f t="shared" si="64"/>
        <v>0</v>
      </c>
      <c r="FX71" s="324">
        <f t="shared" si="65"/>
        <v>0</v>
      </c>
    </row>
    <row r="72" spans="1:180" x14ac:dyDescent="0.2">
      <c r="A72" s="298" t="str">
        <f>_xlfn.CONCAT(IF(LEFT(TRIM(A71),1)="*", "*R", "R"), 1+RIGHT(TRIM(A71),1))</f>
        <v>R4</v>
      </c>
      <c r="B72" s="298" t="str">
        <f t="shared" si="127"/>
        <v>TLEELC</v>
      </c>
      <c r="C72" s="298" t="str">
        <f t="shared" si="128"/>
        <v>TL.ELC.F.Existing fleet</v>
      </c>
      <c r="D72" s="294" t="str">
        <f t="shared" si="129"/>
        <v>bn-vmt, bn-vmt/a</v>
      </c>
      <c r="E72" s="294" t="str">
        <f t="shared" si="130"/>
        <v>TRNELC</v>
      </c>
      <c r="F72" s="294" t="str">
        <f t="shared" si="131"/>
        <v>TL</v>
      </c>
      <c r="G72" s="294" t="s">
        <v>475</v>
      </c>
      <c r="H72" s="294" t="s">
        <v>69</v>
      </c>
      <c r="I72" s="294">
        <v>0</v>
      </c>
      <c r="J72" s="308" t="str">
        <f t="shared" si="101"/>
        <v>Compact car-ELC</v>
      </c>
      <c r="K72" s="324">
        <f>$I72*IF($G72="Pickup", SUMIFS(NewEmisData!E:E, NewEmisData!$A:$A, "Pickup", NewEmisData!$B:$B, $A72, NewEmisData!$C:$C, $H72, NewEmisData!$D:$D, K$2), SUMIFS(NewEmisData!E:E, NewEmisData!$A:$A, "LDV", NewEmisData!$B:$B, $A72, NewEmisData!$C:$C, $H72, NewEmisData!$D:$D, K$2))</f>
        <v>0</v>
      </c>
      <c r="L72" s="324">
        <f>$I72*IF($G72="Pickup", SUMIFS(NewEmisData!F:F, NewEmisData!$A:$A, "Pickup", NewEmisData!$B:$B, $A72, NewEmisData!$C:$C, $H72, NewEmisData!$D:$D, L$2), SUMIFS(NewEmisData!F:F, NewEmisData!$A:$A, "LDV", NewEmisData!$B:$B, $A72, NewEmisData!$C:$C, $H72, NewEmisData!$D:$D, L$2))</f>
        <v>0</v>
      </c>
      <c r="M72" s="324">
        <f>$I72*IF($G72="Pickup", SUMIFS(NewEmisData!G:G, NewEmisData!$A:$A, "Pickup", NewEmisData!$B:$B, $A72, NewEmisData!$C:$C, $H72, NewEmisData!$D:$D, M$2), SUMIFS(NewEmisData!G:G, NewEmisData!$A:$A, "LDV", NewEmisData!$B:$B, $A72, NewEmisData!$C:$C, $H72, NewEmisData!$D:$D, M$2))</f>
        <v>0</v>
      </c>
      <c r="N72" s="324">
        <f>$I72*IF($G72="Pickup", SUMIFS(NewEmisData!H:H, NewEmisData!$A:$A, "Pickup", NewEmisData!$B:$B, $A72, NewEmisData!$C:$C, $H72, NewEmisData!$D:$D, N$2), SUMIFS(NewEmisData!H:H, NewEmisData!$A:$A, "LDV", NewEmisData!$B:$B, $A72, NewEmisData!$C:$C, $H72, NewEmisData!$D:$D, N$2))</f>
        <v>0</v>
      </c>
      <c r="O72" s="324">
        <f>$I72*IF($G72="Pickup", SUMIFS(NewEmisData!I:I, NewEmisData!$A:$A, "Pickup", NewEmisData!$B:$B, $A72, NewEmisData!$C:$C, $H72, NewEmisData!$D:$D, O$2), SUMIFS(NewEmisData!I:I, NewEmisData!$A:$A, "LDV", NewEmisData!$B:$B, $A72, NewEmisData!$C:$C, $H72, NewEmisData!$D:$D, O$2))</f>
        <v>0</v>
      </c>
      <c r="P72" s="324">
        <f>$I72*IF($G72="Pickup", SUMIFS(NewEmisData!J:J, NewEmisData!$A:$A, "Pickup", NewEmisData!$B:$B, $A72, NewEmisData!$C:$C, $H72, NewEmisData!$D:$D, P$2), SUMIFS(NewEmisData!J:J, NewEmisData!$A:$A, "LDV", NewEmisData!$B:$B, $A72, NewEmisData!$C:$C, $H72, NewEmisData!$D:$D, P$2))</f>
        <v>0</v>
      </c>
      <c r="Q72" s="324">
        <f>$I72*IF($G72="Pickup", SUMIFS(NewEmisData!K:K, NewEmisData!$A:$A, "Pickup", NewEmisData!$B:$B, $A72, NewEmisData!$C:$C, $H72, NewEmisData!$D:$D, Q$2), SUMIFS(NewEmisData!K:K, NewEmisData!$A:$A, "LDV", NewEmisData!$B:$B, $A72, NewEmisData!$C:$C, $H72, NewEmisData!$D:$D, Q$2))</f>
        <v>0</v>
      </c>
      <c r="R72" s="324">
        <f>$I72*IF($G72="Pickup", SUMIFS(NewEmisData!L:L, NewEmisData!$A:$A, "Pickup", NewEmisData!$B:$B, $A72, NewEmisData!$C:$C, $H72, NewEmisData!$D:$D, R$2), SUMIFS(NewEmisData!L:L, NewEmisData!$A:$A, "LDV", NewEmisData!$B:$B, $A72, NewEmisData!$C:$C, $H72, NewEmisData!$D:$D, R$2))</f>
        <v>0</v>
      </c>
      <c r="S72" s="324">
        <f>$I72*IF($G72="Pickup", SUMIFS(NewEmisData!M:M, NewEmisData!$A:$A, "Pickup", NewEmisData!$B:$B, $A72, NewEmisData!$C:$C, $H72, NewEmisData!$D:$D, S$2), SUMIFS(NewEmisData!M:M, NewEmisData!$A:$A, "LDV", NewEmisData!$B:$B, $A72, NewEmisData!$C:$C, $H72, NewEmisData!$D:$D, S$2))</f>
        <v>0</v>
      </c>
      <c r="T72" s="324">
        <f t="shared" si="5"/>
        <v>0</v>
      </c>
      <c r="U72" s="324">
        <f>$I72*IF($G72="Pickup", SUMIFS(NewEmisData!E:E, NewEmisData!$A:$A, "Pickup", NewEmisData!$B:$B, $A72, NewEmisData!$C:$C, $H72, NewEmisData!$D:$D, U$2), SUMIFS(NewEmisData!E:E, NewEmisData!$A:$A, "LDV", NewEmisData!$B:$B, $A72, NewEmisData!$C:$C, $H72, NewEmisData!$D:$D, U$2))</f>
        <v>0</v>
      </c>
      <c r="V72" s="324">
        <f>$I72*IF($G72="Pickup", SUMIFS(NewEmisData!F:F, NewEmisData!$A:$A, "Pickup", NewEmisData!$B:$B, $A72, NewEmisData!$C:$C, $H72, NewEmisData!$D:$D, V$2), SUMIFS(NewEmisData!F:F, NewEmisData!$A:$A, "LDV", NewEmisData!$B:$B, $A72, NewEmisData!$C:$C, $H72, NewEmisData!$D:$D, V$2))</f>
        <v>0</v>
      </c>
      <c r="W72" s="324">
        <f>$I72*IF($G72="Pickup", SUMIFS(NewEmisData!G:G, NewEmisData!$A:$A, "Pickup", NewEmisData!$B:$B, $A72, NewEmisData!$C:$C, $H72, NewEmisData!$D:$D, W$2), SUMIFS(NewEmisData!G:G, NewEmisData!$A:$A, "LDV", NewEmisData!$B:$B, $A72, NewEmisData!$C:$C, $H72, NewEmisData!$D:$D, W$2))</f>
        <v>0</v>
      </c>
      <c r="X72" s="324">
        <f>$I72*IF($G72="Pickup", SUMIFS(NewEmisData!H:H, NewEmisData!$A:$A, "Pickup", NewEmisData!$B:$B, $A72, NewEmisData!$C:$C, $H72, NewEmisData!$D:$D, X$2), SUMIFS(NewEmisData!H:H, NewEmisData!$A:$A, "LDV", NewEmisData!$B:$B, $A72, NewEmisData!$C:$C, $H72, NewEmisData!$D:$D, X$2))</f>
        <v>0</v>
      </c>
      <c r="Y72" s="324">
        <f>$I72*IF($G72="Pickup", SUMIFS(NewEmisData!I:I, NewEmisData!$A:$A, "Pickup", NewEmisData!$B:$B, $A72, NewEmisData!$C:$C, $H72, NewEmisData!$D:$D, Y$2), SUMIFS(NewEmisData!I:I, NewEmisData!$A:$A, "LDV", NewEmisData!$B:$B, $A72, NewEmisData!$C:$C, $H72, NewEmisData!$D:$D, Y$2))</f>
        <v>0</v>
      </c>
      <c r="Z72" s="324">
        <f>$I72*IF($G72="Pickup", SUMIFS(NewEmisData!J:J, NewEmisData!$A:$A, "Pickup", NewEmisData!$B:$B, $A72, NewEmisData!$C:$C, $H72, NewEmisData!$D:$D, Z$2), SUMIFS(NewEmisData!J:J, NewEmisData!$A:$A, "LDV", NewEmisData!$B:$B, $A72, NewEmisData!$C:$C, $H72, NewEmisData!$D:$D, Z$2))</f>
        <v>0</v>
      </c>
      <c r="AA72" s="324">
        <f>$I72*IF($G72="Pickup", SUMIFS(NewEmisData!K:K, NewEmisData!$A:$A, "Pickup", NewEmisData!$B:$B, $A72, NewEmisData!$C:$C, $H72, NewEmisData!$D:$D, AA$2), SUMIFS(NewEmisData!K:K, NewEmisData!$A:$A, "LDV", NewEmisData!$B:$B, $A72, NewEmisData!$C:$C, $H72, NewEmisData!$D:$D, AA$2))</f>
        <v>0</v>
      </c>
      <c r="AB72" s="324">
        <f>$I72*IF($G72="Pickup", SUMIFS(NewEmisData!L:L, NewEmisData!$A:$A, "Pickup", NewEmisData!$B:$B, $A72, NewEmisData!$C:$C, $H72, NewEmisData!$D:$D, AB$2), SUMIFS(NewEmisData!L:L, NewEmisData!$A:$A, "LDV", NewEmisData!$B:$B, $A72, NewEmisData!$C:$C, $H72, NewEmisData!$D:$D, AB$2))</f>
        <v>0</v>
      </c>
      <c r="AC72" s="324">
        <f>$I72*IF($G72="Pickup", SUMIFS(NewEmisData!M:M, NewEmisData!$A:$A, "Pickup", NewEmisData!$B:$B, $A72, NewEmisData!$C:$C, $H72, NewEmisData!$D:$D, AC$2), SUMIFS(NewEmisData!M:M, NewEmisData!$A:$A, "LDV", NewEmisData!$B:$B, $A72, NewEmisData!$C:$C, $H72, NewEmisData!$D:$D, AC$2))</f>
        <v>0</v>
      </c>
      <c r="AD72" s="324">
        <f t="shared" si="6"/>
        <v>0</v>
      </c>
      <c r="AE72" s="324">
        <f>$I72*IF($G72="Pickup", SUMIFS(NewEmisData!E:E, NewEmisData!$A:$A, "Pickup", NewEmisData!$B:$B, $A72, NewEmisData!$C:$C, $H72, NewEmisData!$D:$D, AE$2), SUMIFS(NewEmisData!E:E, NewEmisData!$A:$A, "LDV", NewEmisData!$B:$B, $A72, NewEmisData!$C:$C, $H72, NewEmisData!$D:$D, AE$2))</f>
        <v>0</v>
      </c>
      <c r="AF72" s="324">
        <f>$I72*IF($G72="Pickup", SUMIFS(NewEmisData!F:F, NewEmisData!$A:$A, "Pickup", NewEmisData!$B:$B, $A72, NewEmisData!$C:$C, $H72, NewEmisData!$D:$D, AF$2), SUMIFS(NewEmisData!F:F, NewEmisData!$A:$A, "LDV", NewEmisData!$B:$B, $A72, NewEmisData!$C:$C, $H72, NewEmisData!$D:$D, AF$2))</f>
        <v>0</v>
      </c>
      <c r="AG72" s="324">
        <f>$I72*IF($G72="Pickup", SUMIFS(NewEmisData!G:G, NewEmisData!$A:$A, "Pickup", NewEmisData!$B:$B, $A72, NewEmisData!$C:$C, $H72, NewEmisData!$D:$D, AG$2), SUMIFS(NewEmisData!G:G, NewEmisData!$A:$A, "LDV", NewEmisData!$B:$B, $A72, NewEmisData!$C:$C, $H72, NewEmisData!$D:$D, AG$2))</f>
        <v>0</v>
      </c>
      <c r="AH72" s="324">
        <f>$I72*IF($G72="Pickup", SUMIFS(NewEmisData!H:H, NewEmisData!$A:$A, "Pickup", NewEmisData!$B:$B, $A72, NewEmisData!$C:$C, $H72, NewEmisData!$D:$D, AH$2), SUMIFS(NewEmisData!H:H, NewEmisData!$A:$A, "LDV", NewEmisData!$B:$B, $A72, NewEmisData!$C:$C, $H72, NewEmisData!$D:$D, AH$2))</f>
        <v>0</v>
      </c>
      <c r="AI72" s="324">
        <f>$I72*IF($G72="Pickup", SUMIFS(NewEmisData!I:I, NewEmisData!$A:$A, "Pickup", NewEmisData!$B:$B, $A72, NewEmisData!$C:$C, $H72, NewEmisData!$D:$D, AI$2), SUMIFS(NewEmisData!I:I, NewEmisData!$A:$A, "LDV", NewEmisData!$B:$B, $A72, NewEmisData!$C:$C, $H72, NewEmisData!$D:$D, AI$2))</f>
        <v>0</v>
      </c>
      <c r="AJ72" s="324">
        <f>$I72*IF($G72="Pickup", SUMIFS(NewEmisData!J:J, NewEmisData!$A:$A, "Pickup", NewEmisData!$B:$B, $A72, NewEmisData!$C:$C, $H72, NewEmisData!$D:$D, AJ$2), SUMIFS(NewEmisData!J:J, NewEmisData!$A:$A, "LDV", NewEmisData!$B:$B, $A72, NewEmisData!$C:$C, $H72, NewEmisData!$D:$D, AJ$2))</f>
        <v>0</v>
      </c>
      <c r="AK72" s="324">
        <f>$I72*IF($G72="Pickup", SUMIFS(NewEmisData!K:K, NewEmisData!$A:$A, "Pickup", NewEmisData!$B:$B, $A72, NewEmisData!$C:$C, $H72, NewEmisData!$D:$D, AK$2), SUMIFS(NewEmisData!K:K, NewEmisData!$A:$A, "LDV", NewEmisData!$B:$B, $A72, NewEmisData!$C:$C, $H72, NewEmisData!$D:$D, AK$2))</f>
        <v>0</v>
      </c>
      <c r="AL72" s="324">
        <f>$I72*IF($G72="Pickup", SUMIFS(NewEmisData!L:L, NewEmisData!$A:$A, "Pickup", NewEmisData!$B:$B, $A72, NewEmisData!$C:$C, $H72, NewEmisData!$D:$D, AL$2), SUMIFS(NewEmisData!L:L, NewEmisData!$A:$A, "LDV", NewEmisData!$B:$B, $A72, NewEmisData!$C:$C, $H72, NewEmisData!$D:$D, AL$2))</f>
        <v>0</v>
      </c>
      <c r="AM72" s="324">
        <f>$I72*IF($G72="Pickup", SUMIFS(NewEmisData!M:M, NewEmisData!$A:$A, "Pickup", NewEmisData!$B:$B, $A72, NewEmisData!$C:$C, $H72, NewEmisData!$D:$D, AM$2), SUMIFS(NewEmisData!M:M, NewEmisData!$A:$A, "LDV", NewEmisData!$B:$B, $A72, NewEmisData!$C:$C, $H72, NewEmisData!$D:$D, AM$2))</f>
        <v>0</v>
      </c>
      <c r="AN72" s="324">
        <f t="shared" si="7"/>
        <v>0</v>
      </c>
      <c r="AO72" s="324">
        <f>$I72*IF($G72="Pickup", SUMIFS(NewEmisData!E:E, NewEmisData!$A:$A, "Pickup", NewEmisData!$B:$B, $A72, NewEmisData!$C:$C, $H72, NewEmisData!$D:$D, AO$2), SUMIFS(NewEmisData!E:E, NewEmisData!$A:$A, "LDV", NewEmisData!$B:$B, $A72, NewEmisData!$C:$C, $H72, NewEmisData!$D:$D, AO$2))</f>
        <v>0</v>
      </c>
      <c r="AP72" s="324">
        <f>$I72*IF($G72="Pickup", SUMIFS(NewEmisData!F:F, NewEmisData!$A:$A, "Pickup", NewEmisData!$B:$B, $A72, NewEmisData!$C:$C, $H72, NewEmisData!$D:$D, AP$2), SUMIFS(NewEmisData!F:F, NewEmisData!$A:$A, "LDV", NewEmisData!$B:$B, $A72, NewEmisData!$C:$C, $H72, NewEmisData!$D:$D, AP$2))</f>
        <v>0</v>
      </c>
      <c r="AQ72" s="324">
        <f>$I72*IF($G72="Pickup", SUMIFS(NewEmisData!G:G, NewEmisData!$A:$A, "Pickup", NewEmisData!$B:$B, $A72, NewEmisData!$C:$C, $H72, NewEmisData!$D:$D, AQ$2), SUMIFS(NewEmisData!G:G, NewEmisData!$A:$A, "LDV", NewEmisData!$B:$B, $A72, NewEmisData!$C:$C, $H72, NewEmisData!$D:$D, AQ$2))</f>
        <v>0</v>
      </c>
      <c r="AR72" s="324">
        <f>$I72*IF($G72="Pickup", SUMIFS(NewEmisData!H:H, NewEmisData!$A:$A, "Pickup", NewEmisData!$B:$B, $A72, NewEmisData!$C:$C, $H72, NewEmisData!$D:$D, AR$2), SUMIFS(NewEmisData!H:H, NewEmisData!$A:$A, "LDV", NewEmisData!$B:$B, $A72, NewEmisData!$C:$C, $H72, NewEmisData!$D:$D, AR$2))</f>
        <v>0</v>
      </c>
      <c r="AS72" s="324">
        <f>$I72*IF($G72="Pickup", SUMIFS(NewEmisData!I:I, NewEmisData!$A:$A, "Pickup", NewEmisData!$B:$B, $A72, NewEmisData!$C:$C, $H72, NewEmisData!$D:$D, AS$2), SUMIFS(NewEmisData!I:I, NewEmisData!$A:$A, "LDV", NewEmisData!$B:$B, $A72, NewEmisData!$C:$C, $H72, NewEmisData!$D:$D, AS$2))</f>
        <v>0</v>
      </c>
      <c r="AT72" s="324">
        <f>$I72*IF($G72="Pickup", SUMIFS(NewEmisData!J:J, NewEmisData!$A:$A, "Pickup", NewEmisData!$B:$B, $A72, NewEmisData!$C:$C, $H72, NewEmisData!$D:$D, AT$2), SUMIFS(NewEmisData!J:J, NewEmisData!$A:$A, "LDV", NewEmisData!$B:$B, $A72, NewEmisData!$C:$C, $H72, NewEmisData!$D:$D, AT$2))</f>
        <v>0</v>
      </c>
      <c r="AU72" s="324">
        <f>$I72*IF($G72="Pickup", SUMIFS(NewEmisData!K:K, NewEmisData!$A:$A, "Pickup", NewEmisData!$B:$B, $A72, NewEmisData!$C:$C, $H72, NewEmisData!$D:$D, AU$2), SUMIFS(NewEmisData!K:K, NewEmisData!$A:$A, "LDV", NewEmisData!$B:$B, $A72, NewEmisData!$C:$C, $H72, NewEmisData!$D:$D, AU$2))</f>
        <v>0</v>
      </c>
      <c r="AV72" s="324">
        <f>$I72*IF($G72="Pickup", SUMIFS(NewEmisData!L:L, NewEmisData!$A:$A, "Pickup", NewEmisData!$B:$B, $A72, NewEmisData!$C:$C, $H72, NewEmisData!$D:$D, AV$2), SUMIFS(NewEmisData!L:L, NewEmisData!$A:$A, "LDV", NewEmisData!$B:$B, $A72, NewEmisData!$C:$C, $H72, NewEmisData!$D:$D, AV$2))</f>
        <v>0</v>
      </c>
      <c r="AW72" s="324">
        <f>$I72*IF($G72="Pickup", SUMIFS(NewEmisData!M:M, NewEmisData!$A:$A, "Pickup", NewEmisData!$B:$B, $A72, NewEmisData!$C:$C, $H72, NewEmisData!$D:$D, AW$2), SUMIFS(NewEmisData!M:M, NewEmisData!$A:$A, "LDV", NewEmisData!$B:$B, $A72, NewEmisData!$C:$C, $H72, NewEmisData!$D:$D, AW$2))</f>
        <v>0</v>
      </c>
      <c r="AX72" s="324">
        <f t="shared" si="8"/>
        <v>0</v>
      </c>
      <c r="AY72" s="324">
        <f>$I72*IF($G72="Pickup", SUMIFS(NewEmisData!E:E, NewEmisData!$A:$A, "Pickup", NewEmisData!$B:$B, $A72, NewEmisData!$C:$C, $H72, NewEmisData!$D:$D, AY$2), SUMIFS(NewEmisData!E:E, NewEmisData!$A:$A, "LDV", NewEmisData!$B:$B, $A72, NewEmisData!$C:$C, $H72, NewEmisData!$D:$D, AY$2))</f>
        <v>0</v>
      </c>
      <c r="AZ72" s="324">
        <f>$I72*IF($G72="Pickup", SUMIFS(NewEmisData!F:F, NewEmisData!$A:$A, "Pickup", NewEmisData!$B:$B, $A72, NewEmisData!$C:$C, $H72, NewEmisData!$D:$D, AZ$2), SUMIFS(NewEmisData!F:F, NewEmisData!$A:$A, "LDV", NewEmisData!$B:$B, $A72, NewEmisData!$C:$C, $H72, NewEmisData!$D:$D, AZ$2))</f>
        <v>0</v>
      </c>
      <c r="BA72" s="324">
        <f>$I72*IF($G72="Pickup", SUMIFS(NewEmisData!G:G, NewEmisData!$A:$A, "Pickup", NewEmisData!$B:$B, $A72, NewEmisData!$C:$C, $H72, NewEmisData!$D:$D, BA$2), SUMIFS(NewEmisData!G:G, NewEmisData!$A:$A, "LDV", NewEmisData!$B:$B, $A72, NewEmisData!$C:$C, $H72, NewEmisData!$D:$D, BA$2))</f>
        <v>0</v>
      </c>
      <c r="BB72" s="324">
        <f>$I72*IF($G72="Pickup", SUMIFS(NewEmisData!H:H, NewEmisData!$A:$A, "Pickup", NewEmisData!$B:$B, $A72, NewEmisData!$C:$C, $H72, NewEmisData!$D:$D, BB$2), SUMIFS(NewEmisData!H:H, NewEmisData!$A:$A, "LDV", NewEmisData!$B:$B, $A72, NewEmisData!$C:$C, $H72, NewEmisData!$D:$D, BB$2))</f>
        <v>0</v>
      </c>
      <c r="BC72" s="324">
        <f>$I72*IF($G72="Pickup", SUMIFS(NewEmisData!I:I, NewEmisData!$A:$A, "Pickup", NewEmisData!$B:$B, $A72, NewEmisData!$C:$C, $H72, NewEmisData!$D:$D, BC$2), SUMIFS(NewEmisData!I:I, NewEmisData!$A:$A, "LDV", NewEmisData!$B:$B, $A72, NewEmisData!$C:$C, $H72, NewEmisData!$D:$D, BC$2))</f>
        <v>0</v>
      </c>
      <c r="BD72" s="324">
        <f>$I72*IF($G72="Pickup", SUMIFS(NewEmisData!J:J, NewEmisData!$A:$A, "Pickup", NewEmisData!$B:$B, $A72, NewEmisData!$C:$C, $H72, NewEmisData!$D:$D, BD$2), SUMIFS(NewEmisData!J:J, NewEmisData!$A:$A, "LDV", NewEmisData!$B:$B, $A72, NewEmisData!$C:$C, $H72, NewEmisData!$D:$D, BD$2))</f>
        <v>0</v>
      </c>
      <c r="BE72" s="324">
        <f>$I72*IF($G72="Pickup", SUMIFS(NewEmisData!K:K, NewEmisData!$A:$A, "Pickup", NewEmisData!$B:$B, $A72, NewEmisData!$C:$C, $H72, NewEmisData!$D:$D, BE$2), SUMIFS(NewEmisData!K:K, NewEmisData!$A:$A, "LDV", NewEmisData!$B:$B, $A72, NewEmisData!$C:$C, $H72, NewEmisData!$D:$D, BE$2))</f>
        <v>0</v>
      </c>
      <c r="BF72" s="324">
        <f>$I72*IF($G72="Pickup", SUMIFS(NewEmisData!L:L, NewEmisData!$A:$A, "Pickup", NewEmisData!$B:$B, $A72, NewEmisData!$C:$C, $H72, NewEmisData!$D:$D, BF$2), SUMIFS(NewEmisData!L:L, NewEmisData!$A:$A, "LDV", NewEmisData!$B:$B, $A72, NewEmisData!$C:$C, $H72, NewEmisData!$D:$D, BF$2))</f>
        <v>0</v>
      </c>
      <c r="BG72" s="324">
        <f>$I72*IF($G72="Pickup", SUMIFS(NewEmisData!M:M, NewEmisData!$A:$A, "Pickup", NewEmisData!$B:$B, $A72, NewEmisData!$C:$C, $H72, NewEmisData!$D:$D, BG$2), SUMIFS(NewEmisData!M:M, NewEmisData!$A:$A, "LDV", NewEmisData!$B:$B, $A72, NewEmisData!$C:$C, $H72, NewEmisData!$D:$D, BG$2))</f>
        <v>0</v>
      </c>
      <c r="BH72" s="324">
        <f t="shared" si="9"/>
        <v>0</v>
      </c>
      <c r="BI72" s="324">
        <f>$I72*IF($G72="Pickup", SUMIFS(NewEmisData!E:E, NewEmisData!$A:$A, "Pickup", NewEmisData!$B:$B, $A72, NewEmisData!$C:$C, $H72, NewEmisData!$D:$D, BI$2), SUMIFS(NewEmisData!E:E, NewEmisData!$A:$A, "LDV", NewEmisData!$B:$B, $A72, NewEmisData!$C:$C, $H72, NewEmisData!$D:$D, BI$2))</f>
        <v>0</v>
      </c>
      <c r="BJ72" s="324">
        <f>$I72*IF($G72="Pickup", SUMIFS(NewEmisData!F:F, NewEmisData!$A:$A, "Pickup", NewEmisData!$B:$B, $A72, NewEmisData!$C:$C, $H72, NewEmisData!$D:$D, BJ$2), SUMIFS(NewEmisData!F:F, NewEmisData!$A:$A, "LDV", NewEmisData!$B:$B, $A72, NewEmisData!$C:$C, $H72, NewEmisData!$D:$D, BJ$2))</f>
        <v>0</v>
      </c>
      <c r="BK72" s="324">
        <f>$I72*IF($G72="Pickup", SUMIFS(NewEmisData!G:G, NewEmisData!$A:$A, "Pickup", NewEmisData!$B:$B, $A72, NewEmisData!$C:$C, $H72, NewEmisData!$D:$D, BK$2), SUMIFS(NewEmisData!G:G, NewEmisData!$A:$A, "LDV", NewEmisData!$B:$B, $A72, NewEmisData!$C:$C, $H72, NewEmisData!$D:$D, BK$2))</f>
        <v>0</v>
      </c>
      <c r="BL72" s="324">
        <f>$I72*IF($G72="Pickup", SUMIFS(NewEmisData!H:H, NewEmisData!$A:$A, "Pickup", NewEmisData!$B:$B, $A72, NewEmisData!$C:$C, $H72, NewEmisData!$D:$D, BL$2), SUMIFS(NewEmisData!H:H, NewEmisData!$A:$A, "LDV", NewEmisData!$B:$B, $A72, NewEmisData!$C:$C, $H72, NewEmisData!$D:$D, BL$2))</f>
        <v>0</v>
      </c>
      <c r="BM72" s="324">
        <f>$I72*IF($G72="Pickup", SUMIFS(NewEmisData!I:I, NewEmisData!$A:$A, "Pickup", NewEmisData!$B:$B, $A72, NewEmisData!$C:$C, $H72, NewEmisData!$D:$D, BM$2), SUMIFS(NewEmisData!I:I, NewEmisData!$A:$A, "LDV", NewEmisData!$B:$B, $A72, NewEmisData!$C:$C, $H72, NewEmisData!$D:$D, BM$2))</f>
        <v>0</v>
      </c>
      <c r="BN72" s="324">
        <f>$I72*IF($G72="Pickup", SUMIFS(NewEmisData!J:J, NewEmisData!$A:$A, "Pickup", NewEmisData!$B:$B, $A72, NewEmisData!$C:$C, $H72, NewEmisData!$D:$D, BN$2), SUMIFS(NewEmisData!J:J, NewEmisData!$A:$A, "LDV", NewEmisData!$B:$B, $A72, NewEmisData!$C:$C, $H72, NewEmisData!$D:$D, BN$2))</f>
        <v>0</v>
      </c>
      <c r="BO72" s="324">
        <f>$I72*IF($G72="Pickup", SUMIFS(NewEmisData!K:K, NewEmisData!$A:$A, "Pickup", NewEmisData!$B:$B, $A72, NewEmisData!$C:$C, $H72, NewEmisData!$D:$D, BO$2), SUMIFS(NewEmisData!K:K, NewEmisData!$A:$A, "LDV", NewEmisData!$B:$B, $A72, NewEmisData!$C:$C, $H72, NewEmisData!$D:$D, BO$2))</f>
        <v>0</v>
      </c>
      <c r="BP72" s="324">
        <f>$I72*IF($G72="Pickup", SUMIFS(NewEmisData!L:L, NewEmisData!$A:$A, "Pickup", NewEmisData!$B:$B, $A72, NewEmisData!$C:$C, $H72, NewEmisData!$D:$D, BP$2), SUMIFS(NewEmisData!L:L, NewEmisData!$A:$A, "LDV", NewEmisData!$B:$B, $A72, NewEmisData!$C:$C, $H72, NewEmisData!$D:$D, BP$2))</f>
        <v>0</v>
      </c>
      <c r="BQ72" s="324">
        <f>$I72*IF($G72="Pickup", SUMIFS(NewEmisData!M:M, NewEmisData!$A:$A, "Pickup", NewEmisData!$B:$B, $A72, NewEmisData!$C:$C, $H72, NewEmisData!$D:$D, BQ$2), SUMIFS(NewEmisData!M:M, NewEmisData!$A:$A, "LDV", NewEmisData!$B:$B, $A72, NewEmisData!$C:$C, $H72, NewEmisData!$D:$D, BQ$2))</f>
        <v>0</v>
      </c>
      <c r="BR72" s="324">
        <f t="shared" si="10"/>
        <v>0</v>
      </c>
      <c r="BS72" s="324">
        <f>$I72*IF($G72="Pickup", SUMIFS(NewEmisData!E:E, NewEmisData!$A:$A, "Pickup", NewEmisData!$B:$B, $A72, NewEmisData!$C:$C, $H72, NewEmisData!$D:$D, BS$2), SUMIFS(NewEmisData!E:E, NewEmisData!$A:$A, "LDV", NewEmisData!$B:$B, $A72, NewEmisData!$C:$C, $H72, NewEmisData!$D:$D, BS$2))</f>
        <v>0</v>
      </c>
      <c r="BT72" s="324">
        <f>$I72*IF($G72="Pickup", SUMIFS(NewEmisData!F:F, NewEmisData!$A:$A, "Pickup", NewEmisData!$B:$B, $A72, NewEmisData!$C:$C, $H72, NewEmisData!$D:$D, BT$2), SUMIFS(NewEmisData!F:F, NewEmisData!$A:$A, "LDV", NewEmisData!$B:$B, $A72, NewEmisData!$C:$C, $H72, NewEmisData!$D:$D, BT$2))</f>
        <v>0</v>
      </c>
      <c r="BU72" s="324">
        <f>$I72*IF($G72="Pickup", SUMIFS(NewEmisData!G:G, NewEmisData!$A:$A, "Pickup", NewEmisData!$B:$B, $A72, NewEmisData!$C:$C, $H72, NewEmisData!$D:$D, BU$2), SUMIFS(NewEmisData!G:G, NewEmisData!$A:$A, "LDV", NewEmisData!$B:$B, $A72, NewEmisData!$C:$C, $H72, NewEmisData!$D:$D, BU$2))</f>
        <v>0</v>
      </c>
      <c r="BV72" s="324">
        <f>$I72*IF($G72="Pickup", SUMIFS(NewEmisData!H:H, NewEmisData!$A:$A, "Pickup", NewEmisData!$B:$B, $A72, NewEmisData!$C:$C, $H72, NewEmisData!$D:$D, BV$2), SUMIFS(NewEmisData!H:H, NewEmisData!$A:$A, "LDV", NewEmisData!$B:$B, $A72, NewEmisData!$C:$C, $H72, NewEmisData!$D:$D, BV$2))</f>
        <v>0</v>
      </c>
      <c r="BW72" s="324">
        <f>$I72*IF($G72="Pickup", SUMIFS(NewEmisData!I:I, NewEmisData!$A:$A, "Pickup", NewEmisData!$B:$B, $A72, NewEmisData!$C:$C, $H72, NewEmisData!$D:$D, BW$2), SUMIFS(NewEmisData!I:I, NewEmisData!$A:$A, "LDV", NewEmisData!$B:$B, $A72, NewEmisData!$C:$C, $H72, NewEmisData!$D:$D, BW$2))</f>
        <v>0</v>
      </c>
      <c r="BX72" s="324">
        <f>$I72*IF($G72="Pickup", SUMIFS(NewEmisData!J:J, NewEmisData!$A:$A, "Pickup", NewEmisData!$B:$B, $A72, NewEmisData!$C:$C, $H72, NewEmisData!$D:$D, BX$2), SUMIFS(NewEmisData!J:J, NewEmisData!$A:$A, "LDV", NewEmisData!$B:$B, $A72, NewEmisData!$C:$C, $H72, NewEmisData!$D:$D, BX$2))</f>
        <v>0</v>
      </c>
      <c r="BY72" s="324">
        <f>$I72*IF($G72="Pickup", SUMIFS(NewEmisData!K:K, NewEmisData!$A:$A, "Pickup", NewEmisData!$B:$B, $A72, NewEmisData!$C:$C, $H72, NewEmisData!$D:$D, BY$2), SUMIFS(NewEmisData!K:K, NewEmisData!$A:$A, "LDV", NewEmisData!$B:$B, $A72, NewEmisData!$C:$C, $H72, NewEmisData!$D:$D, BY$2))</f>
        <v>0</v>
      </c>
      <c r="BZ72" s="324">
        <f>$I72*IF($G72="Pickup", SUMIFS(NewEmisData!L:L, NewEmisData!$A:$A, "Pickup", NewEmisData!$B:$B, $A72, NewEmisData!$C:$C, $H72, NewEmisData!$D:$D, BZ$2), SUMIFS(NewEmisData!L:L, NewEmisData!$A:$A, "LDV", NewEmisData!$B:$B, $A72, NewEmisData!$C:$C, $H72, NewEmisData!$D:$D, BZ$2))</f>
        <v>0</v>
      </c>
      <c r="CA72" s="324">
        <f>$I72*IF($G72="Pickup", SUMIFS(NewEmisData!M:M, NewEmisData!$A:$A, "Pickup", NewEmisData!$B:$B, $A72, NewEmisData!$C:$C, $H72, NewEmisData!$D:$D, CA$2), SUMIFS(NewEmisData!M:M, NewEmisData!$A:$A, "LDV", NewEmisData!$B:$B, $A72, NewEmisData!$C:$C, $H72, NewEmisData!$D:$D, CA$2))</f>
        <v>0</v>
      </c>
      <c r="CB72" s="324">
        <f t="shared" si="11"/>
        <v>0</v>
      </c>
      <c r="CC72" s="324">
        <f>$I72*IF($G72="Pickup", SUMIFS(NewEmisData!E:E, NewEmisData!$A:$A, "Pickup", NewEmisData!$B:$B, $A72, NewEmisData!$C:$C, $H72, NewEmisData!$D:$D, CC$2), SUMIFS(NewEmisData!E:E, NewEmisData!$A:$A, "LDV", NewEmisData!$B:$B, $A72, NewEmisData!$C:$C, $H72, NewEmisData!$D:$D, CC$2))</f>
        <v>0</v>
      </c>
      <c r="CD72" s="324">
        <f>$I72*IF($G72="Pickup", SUMIFS(NewEmisData!F:F, NewEmisData!$A:$A, "Pickup", NewEmisData!$B:$B, $A72, NewEmisData!$C:$C, $H72, NewEmisData!$D:$D, CD$2), SUMIFS(NewEmisData!F:F, NewEmisData!$A:$A, "LDV", NewEmisData!$B:$B, $A72, NewEmisData!$C:$C, $H72, NewEmisData!$D:$D, CD$2))</f>
        <v>0</v>
      </c>
      <c r="CE72" s="324">
        <f>$I72*IF($G72="Pickup", SUMIFS(NewEmisData!G:G, NewEmisData!$A:$A, "Pickup", NewEmisData!$B:$B, $A72, NewEmisData!$C:$C, $H72, NewEmisData!$D:$D, CE$2), SUMIFS(NewEmisData!G:G, NewEmisData!$A:$A, "LDV", NewEmisData!$B:$B, $A72, NewEmisData!$C:$C, $H72, NewEmisData!$D:$D, CE$2))</f>
        <v>0</v>
      </c>
      <c r="CF72" s="324">
        <f>$I72*IF($G72="Pickup", SUMIFS(NewEmisData!H:H, NewEmisData!$A:$A, "Pickup", NewEmisData!$B:$B, $A72, NewEmisData!$C:$C, $H72, NewEmisData!$D:$D, CF$2), SUMIFS(NewEmisData!H:H, NewEmisData!$A:$A, "LDV", NewEmisData!$B:$B, $A72, NewEmisData!$C:$C, $H72, NewEmisData!$D:$D, CF$2))</f>
        <v>0</v>
      </c>
      <c r="CG72" s="324">
        <f>$I72*IF($G72="Pickup", SUMIFS(NewEmisData!I:I, NewEmisData!$A:$A, "Pickup", NewEmisData!$B:$B, $A72, NewEmisData!$C:$C, $H72, NewEmisData!$D:$D, CG$2), SUMIFS(NewEmisData!I:I, NewEmisData!$A:$A, "LDV", NewEmisData!$B:$B, $A72, NewEmisData!$C:$C, $H72, NewEmisData!$D:$D, CG$2))</f>
        <v>0</v>
      </c>
      <c r="CH72" s="324">
        <f>$I72*IF($G72="Pickup", SUMIFS(NewEmisData!J:J, NewEmisData!$A:$A, "Pickup", NewEmisData!$B:$B, $A72, NewEmisData!$C:$C, $H72, NewEmisData!$D:$D, CH$2), SUMIFS(NewEmisData!J:J, NewEmisData!$A:$A, "LDV", NewEmisData!$B:$B, $A72, NewEmisData!$C:$C, $H72, NewEmisData!$D:$D, CH$2))</f>
        <v>0</v>
      </c>
      <c r="CI72" s="324">
        <f>$I72*IF($G72="Pickup", SUMIFS(NewEmisData!K:K, NewEmisData!$A:$A, "Pickup", NewEmisData!$B:$B, $A72, NewEmisData!$C:$C, $H72, NewEmisData!$D:$D, CI$2), SUMIFS(NewEmisData!K:K, NewEmisData!$A:$A, "LDV", NewEmisData!$B:$B, $A72, NewEmisData!$C:$C, $H72, NewEmisData!$D:$D, CI$2))</f>
        <v>0</v>
      </c>
      <c r="CJ72" s="324">
        <f>$I72*IF($G72="Pickup", SUMIFS(NewEmisData!L:L, NewEmisData!$A:$A, "Pickup", NewEmisData!$B:$B, $A72, NewEmisData!$C:$C, $H72, NewEmisData!$D:$D, CJ$2), SUMIFS(NewEmisData!L:L, NewEmisData!$A:$A, "LDV", NewEmisData!$B:$B, $A72, NewEmisData!$C:$C, $H72, NewEmisData!$D:$D, CJ$2))</f>
        <v>0</v>
      </c>
      <c r="CK72" s="324">
        <f>$I72*IF($G72="Pickup", SUMIFS(NewEmisData!M:M, NewEmisData!$A:$A, "Pickup", NewEmisData!$B:$B, $A72, NewEmisData!$C:$C, $H72, NewEmisData!$D:$D, CK$2), SUMIFS(NewEmisData!M:M, NewEmisData!$A:$A, "LDV", NewEmisData!$B:$B, $A72, NewEmisData!$C:$C, $H72, NewEmisData!$D:$D, CK$2))</f>
        <v>0</v>
      </c>
      <c r="CL72" s="324">
        <f t="shared" si="12"/>
        <v>0</v>
      </c>
      <c r="CM72" s="324">
        <f>$I72*IF($G72="Pickup", SUMIFS(NewEmisData!E:E, NewEmisData!$A:$A, "Pickup", NewEmisData!$B:$B, $A72, NewEmisData!$C:$C, $H72, NewEmisData!$D:$D, CM$2), SUMIFS(NewEmisData!E:E, NewEmisData!$A:$A, "LDV", NewEmisData!$B:$B, $A72, NewEmisData!$C:$C, $H72, NewEmisData!$D:$D, CM$2))</f>
        <v>0</v>
      </c>
      <c r="CN72" s="324">
        <f>$I72*IF($G72="Pickup", SUMIFS(NewEmisData!F:F, NewEmisData!$A:$A, "Pickup", NewEmisData!$B:$B, $A72, NewEmisData!$C:$C, $H72, NewEmisData!$D:$D, CN$2), SUMIFS(NewEmisData!F:F, NewEmisData!$A:$A, "LDV", NewEmisData!$B:$B, $A72, NewEmisData!$C:$C, $H72, NewEmisData!$D:$D, CN$2))</f>
        <v>0</v>
      </c>
      <c r="CO72" s="324">
        <f>$I72*IF($G72="Pickup", SUMIFS(NewEmisData!G:G, NewEmisData!$A:$A, "Pickup", NewEmisData!$B:$B, $A72, NewEmisData!$C:$C, $H72, NewEmisData!$D:$D, CO$2), SUMIFS(NewEmisData!G:G, NewEmisData!$A:$A, "LDV", NewEmisData!$B:$B, $A72, NewEmisData!$C:$C, $H72, NewEmisData!$D:$D, CO$2))</f>
        <v>0</v>
      </c>
      <c r="CP72" s="324">
        <f>$I72*IF($G72="Pickup", SUMIFS(NewEmisData!H:H, NewEmisData!$A:$A, "Pickup", NewEmisData!$B:$B, $A72, NewEmisData!$C:$C, $H72, NewEmisData!$D:$D, CP$2), SUMIFS(NewEmisData!H:H, NewEmisData!$A:$A, "LDV", NewEmisData!$B:$B, $A72, NewEmisData!$C:$C, $H72, NewEmisData!$D:$D, CP$2))</f>
        <v>0</v>
      </c>
      <c r="CQ72" s="324">
        <f>$I72*IF($G72="Pickup", SUMIFS(NewEmisData!I:I, NewEmisData!$A:$A, "Pickup", NewEmisData!$B:$B, $A72, NewEmisData!$C:$C, $H72, NewEmisData!$D:$D, CQ$2), SUMIFS(NewEmisData!I:I, NewEmisData!$A:$A, "LDV", NewEmisData!$B:$B, $A72, NewEmisData!$C:$C, $H72, NewEmisData!$D:$D, CQ$2))</f>
        <v>0</v>
      </c>
      <c r="CR72" s="324">
        <f>$I72*IF($G72="Pickup", SUMIFS(NewEmisData!J:J, NewEmisData!$A:$A, "Pickup", NewEmisData!$B:$B, $A72, NewEmisData!$C:$C, $H72, NewEmisData!$D:$D, CR$2), SUMIFS(NewEmisData!J:J, NewEmisData!$A:$A, "LDV", NewEmisData!$B:$B, $A72, NewEmisData!$C:$C, $H72, NewEmisData!$D:$D, CR$2))</f>
        <v>0</v>
      </c>
      <c r="CS72" s="324">
        <f>$I72*IF($G72="Pickup", SUMIFS(NewEmisData!K:K, NewEmisData!$A:$A, "Pickup", NewEmisData!$B:$B, $A72, NewEmisData!$C:$C, $H72, NewEmisData!$D:$D, CS$2), SUMIFS(NewEmisData!K:K, NewEmisData!$A:$A, "LDV", NewEmisData!$B:$B, $A72, NewEmisData!$C:$C, $H72, NewEmisData!$D:$D, CS$2))</f>
        <v>0</v>
      </c>
      <c r="CT72" s="324">
        <f>$I72*IF($G72="Pickup", SUMIFS(NewEmisData!L:L, NewEmisData!$A:$A, "Pickup", NewEmisData!$B:$B, $A72, NewEmisData!$C:$C, $H72, NewEmisData!$D:$D, CT$2), SUMIFS(NewEmisData!L:L, NewEmisData!$A:$A, "LDV", NewEmisData!$B:$B, $A72, NewEmisData!$C:$C, $H72, NewEmisData!$D:$D, CT$2))</f>
        <v>0</v>
      </c>
      <c r="CU72" s="324">
        <f>$I72*IF($G72="Pickup", SUMIFS(NewEmisData!M:M, NewEmisData!$A:$A, "Pickup", NewEmisData!$B:$B, $A72, NewEmisData!$C:$C, $H72, NewEmisData!$D:$D, CU$2), SUMIFS(NewEmisData!M:M, NewEmisData!$A:$A, "LDV", NewEmisData!$B:$B, $A72, NewEmisData!$C:$C, $H72, NewEmisData!$D:$D, CU$2))</f>
        <v>0</v>
      </c>
      <c r="CV72" s="324">
        <f t="shared" si="13"/>
        <v>0</v>
      </c>
      <c r="CW72" s="324">
        <v>0</v>
      </c>
      <c r="CX72" s="324">
        <v>0</v>
      </c>
      <c r="CY72" s="324">
        <v>0</v>
      </c>
      <c r="CZ72" s="324">
        <v>0</v>
      </c>
      <c r="DA72" s="324">
        <v>0</v>
      </c>
      <c r="DB72" s="324">
        <v>0</v>
      </c>
      <c r="DC72" s="324">
        <v>0</v>
      </c>
      <c r="DD72" s="324">
        <v>0</v>
      </c>
      <c r="DE72" s="324">
        <v>0</v>
      </c>
      <c r="DF72" s="324">
        <v>0</v>
      </c>
      <c r="DG72" s="324">
        <f>$I72*IF($G72="Pickup", SUMIFS(NewEmisData!E:E, NewEmisData!$A:$A, "Pickup", NewEmisData!$B:$B, $A72, NewEmisData!$C:$C, $H72, NewEmisData!$D:$D, DG$2), SUMIFS(NewEmisData!E:E, NewEmisData!$A:$A, "LDV", NewEmisData!$B:$B, $A72, NewEmisData!$C:$C, $H72, NewEmisData!$D:$D, DG$2))</f>
        <v>0</v>
      </c>
      <c r="DH72" s="324">
        <f>$I72*IF($G72="Pickup", SUMIFS(NewEmisData!F:F, NewEmisData!$A:$A, "Pickup", NewEmisData!$B:$B, $A72, NewEmisData!$C:$C, $H72, NewEmisData!$D:$D, DH$2), SUMIFS(NewEmisData!F:F, NewEmisData!$A:$A, "LDV", NewEmisData!$B:$B, $A72, NewEmisData!$C:$C, $H72, NewEmisData!$D:$D, DH$2))</f>
        <v>0</v>
      </c>
      <c r="DI72" s="324">
        <f>$I72*IF($G72="Pickup", SUMIFS(NewEmisData!G:G, NewEmisData!$A:$A, "Pickup", NewEmisData!$B:$B, $A72, NewEmisData!$C:$C, $H72, NewEmisData!$D:$D, DI$2), SUMIFS(NewEmisData!G:G, NewEmisData!$A:$A, "LDV", NewEmisData!$B:$B, $A72, NewEmisData!$C:$C, $H72, NewEmisData!$D:$D, DI$2))</f>
        <v>0</v>
      </c>
      <c r="DJ72" s="324">
        <f>$I72*IF($G72="Pickup", SUMIFS(NewEmisData!H:H, NewEmisData!$A:$A, "Pickup", NewEmisData!$B:$B, $A72, NewEmisData!$C:$C, $H72, NewEmisData!$D:$D, DJ$2), SUMIFS(NewEmisData!H:H, NewEmisData!$A:$A, "LDV", NewEmisData!$B:$B, $A72, NewEmisData!$C:$C, $H72, NewEmisData!$D:$D, DJ$2))</f>
        <v>0</v>
      </c>
      <c r="DK72" s="324">
        <f>$I72*IF($G72="Pickup", SUMIFS(NewEmisData!I:I, NewEmisData!$A:$A, "Pickup", NewEmisData!$B:$B, $A72, NewEmisData!$C:$C, $H72, NewEmisData!$D:$D, DK$2), SUMIFS(NewEmisData!I:I, NewEmisData!$A:$A, "LDV", NewEmisData!$B:$B, $A72, NewEmisData!$C:$C, $H72, NewEmisData!$D:$D, DK$2))</f>
        <v>0</v>
      </c>
      <c r="DL72" s="324">
        <f>$I72*IF($G72="Pickup", SUMIFS(NewEmisData!J:J, NewEmisData!$A:$A, "Pickup", NewEmisData!$B:$B, $A72, NewEmisData!$C:$C, $H72, NewEmisData!$D:$D, DL$2), SUMIFS(NewEmisData!J:J, NewEmisData!$A:$A, "LDV", NewEmisData!$B:$B, $A72, NewEmisData!$C:$C, $H72, NewEmisData!$D:$D, DL$2))</f>
        <v>0</v>
      </c>
      <c r="DM72" s="324">
        <f>$I72*IF($G72="Pickup", SUMIFS(NewEmisData!K:K, NewEmisData!$A:$A, "Pickup", NewEmisData!$B:$B, $A72, NewEmisData!$C:$C, $H72, NewEmisData!$D:$D, DM$2), SUMIFS(NewEmisData!K:K, NewEmisData!$A:$A, "LDV", NewEmisData!$B:$B, $A72, NewEmisData!$C:$C, $H72, NewEmisData!$D:$D, DM$2))</f>
        <v>0</v>
      </c>
      <c r="DN72" s="324">
        <f>$I72*IF($G72="Pickup", SUMIFS(NewEmisData!L:L, NewEmisData!$A:$A, "Pickup", NewEmisData!$B:$B, $A72, NewEmisData!$C:$C, $H72, NewEmisData!$D:$D, DN$2), SUMIFS(NewEmisData!L:L, NewEmisData!$A:$A, "LDV", NewEmisData!$B:$B, $A72, NewEmisData!$C:$C, $H72, NewEmisData!$D:$D, DN$2))</f>
        <v>0</v>
      </c>
      <c r="DO72" s="324">
        <f>$I72*IF($G72="Pickup", SUMIFS(NewEmisData!M:M, NewEmisData!$A:$A, "Pickup", NewEmisData!$B:$B, $A72, NewEmisData!$C:$C, $H72, NewEmisData!$D:$D, DO$2), SUMIFS(NewEmisData!M:M, NewEmisData!$A:$A, "LDV", NewEmisData!$B:$B, $A72, NewEmisData!$C:$C, $H72, NewEmisData!$D:$D, DO$2))</f>
        <v>0</v>
      </c>
      <c r="DP72" s="324">
        <f t="shared" si="14"/>
        <v>0</v>
      </c>
      <c r="DQ72" s="324">
        <f>$I72*IF($G72="Pickup", SUMIFS(NewEmisData!E:E, NewEmisData!$A:$A, "Pickup", NewEmisData!$B:$B, $A72, NewEmisData!$C:$C, $H72, NewEmisData!$D:$D, DQ$2), SUMIFS(NewEmisData!E:E, NewEmisData!$A:$A, "LDV", NewEmisData!$B:$B, $A72, NewEmisData!$C:$C, $H72, NewEmisData!$D:$D, DQ$2))</f>
        <v>0</v>
      </c>
      <c r="DR72" s="324">
        <f>$I72*IF($G72="Pickup", SUMIFS(NewEmisData!F:F, NewEmisData!$A:$A, "Pickup", NewEmisData!$B:$B, $A72, NewEmisData!$C:$C, $H72, NewEmisData!$D:$D, DR$2), SUMIFS(NewEmisData!F:F, NewEmisData!$A:$A, "LDV", NewEmisData!$B:$B, $A72, NewEmisData!$C:$C, $H72, NewEmisData!$D:$D, DR$2))</f>
        <v>0</v>
      </c>
      <c r="DS72" s="324">
        <f>$I72*IF($G72="Pickup", SUMIFS(NewEmisData!G:G, NewEmisData!$A:$A, "Pickup", NewEmisData!$B:$B, $A72, NewEmisData!$C:$C, $H72, NewEmisData!$D:$D, DS$2), SUMIFS(NewEmisData!G:G, NewEmisData!$A:$A, "LDV", NewEmisData!$B:$B, $A72, NewEmisData!$C:$C, $H72, NewEmisData!$D:$D, DS$2))</f>
        <v>0</v>
      </c>
      <c r="DT72" s="324">
        <f>$I72*IF($G72="Pickup", SUMIFS(NewEmisData!H:H, NewEmisData!$A:$A, "Pickup", NewEmisData!$B:$B, $A72, NewEmisData!$C:$C, $H72, NewEmisData!$D:$D, DT$2), SUMIFS(NewEmisData!H:H, NewEmisData!$A:$A, "LDV", NewEmisData!$B:$B, $A72, NewEmisData!$C:$C, $H72, NewEmisData!$D:$D, DT$2))</f>
        <v>0</v>
      </c>
      <c r="DU72" s="324">
        <f>$I72*IF($G72="Pickup", SUMIFS(NewEmisData!I:I, NewEmisData!$A:$A, "Pickup", NewEmisData!$B:$B, $A72, NewEmisData!$C:$C, $H72, NewEmisData!$D:$D, DU$2), SUMIFS(NewEmisData!I:I, NewEmisData!$A:$A, "LDV", NewEmisData!$B:$B, $A72, NewEmisData!$C:$C, $H72, NewEmisData!$D:$D, DU$2))</f>
        <v>0</v>
      </c>
      <c r="DV72" s="324">
        <f>$I72*IF($G72="Pickup", SUMIFS(NewEmisData!J:J, NewEmisData!$A:$A, "Pickup", NewEmisData!$B:$B, $A72, NewEmisData!$C:$C, $H72, NewEmisData!$D:$D, DV$2), SUMIFS(NewEmisData!J:J, NewEmisData!$A:$A, "LDV", NewEmisData!$B:$B, $A72, NewEmisData!$C:$C, $H72, NewEmisData!$D:$D, DV$2))</f>
        <v>0</v>
      </c>
      <c r="DW72" s="324">
        <f>$I72*IF($G72="Pickup", SUMIFS(NewEmisData!K:K, NewEmisData!$A:$A, "Pickup", NewEmisData!$B:$B, $A72, NewEmisData!$C:$C, $H72, NewEmisData!$D:$D, DW$2), SUMIFS(NewEmisData!K:K, NewEmisData!$A:$A, "LDV", NewEmisData!$B:$B, $A72, NewEmisData!$C:$C, $H72, NewEmisData!$D:$D, DW$2))</f>
        <v>0</v>
      </c>
      <c r="DX72" s="324">
        <f>$I72*IF($G72="Pickup", SUMIFS(NewEmisData!L:L, NewEmisData!$A:$A, "Pickup", NewEmisData!$B:$B, $A72, NewEmisData!$C:$C, $H72, NewEmisData!$D:$D, DX$2), SUMIFS(NewEmisData!L:L, NewEmisData!$A:$A, "LDV", NewEmisData!$B:$B, $A72, NewEmisData!$C:$C, $H72, NewEmisData!$D:$D, DX$2))</f>
        <v>0</v>
      </c>
      <c r="DY72" s="324">
        <f>$I72*IF($G72="Pickup", SUMIFS(NewEmisData!M:M, NewEmisData!$A:$A, "Pickup", NewEmisData!$B:$B, $A72, NewEmisData!$C:$C, $H72, NewEmisData!$D:$D, DY$2), SUMIFS(NewEmisData!M:M, NewEmisData!$A:$A, "LDV", NewEmisData!$B:$B, $A72, NewEmisData!$C:$C, $H72, NewEmisData!$D:$D, DY$2))</f>
        <v>0</v>
      </c>
      <c r="DZ72" s="324">
        <f t="shared" si="15"/>
        <v>0</v>
      </c>
      <c r="EA72" s="324">
        <f t="shared" si="16"/>
        <v>0</v>
      </c>
      <c r="EB72" s="324">
        <f t="shared" si="17"/>
        <v>0</v>
      </c>
      <c r="EC72" s="324">
        <f t="shared" si="18"/>
        <v>0</v>
      </c>
      <c r="ED72" s="324">
        <f t="shared" si="19"/>
        <v>0</v>
      </c>
      <c r="EE72" s="324">
        <f t="shared" si="20"/>
        <v>0</v>
      </c>
      <c r="EF72" s="324">
        <f t="shared" si="21"/>
        <v>0</v>
      </c>
      <c r="EG72" s="324">
        <f t="shared" si="22"/>
        <v>0</v>
      </c>
      <c r="EH72" s="324">
        <f t="shared" si="23"/>
        <v>0</v>
      </c>
      <c r="EI72" s="324">
        <f t="shared" si="24"/>
        <v>0</v>
      </c>
      <c r="EJ72" s="324">
        <f t="shared" si="25"/>
        <v>0</v>
      </c>
      <c r="EK72" s="324">
        <f t="shared" si="26"/>
        <v>0</v>
      </c>
      <c r="EL72" s="324">
        <f t="shared" si="27"/>
        <v>0</v>
      </c>
      <c r="EM72" s="324">
        <f t="shared" si="28"/>
        <v>0</v>
      </c>
      <c r="EN72" s="324">
        <f t="shared" si="29"/>
        <v>0</v>
      </c>
      <c r="EO72" s="324">
        <f t="shared" si="30"/>
        <v>0</v>
      </c>
      <c r="EP72" s="324">
        <f t="shared" si="31"/>
        <v>0</v>
      </c>
      <c r="EQ72" s="324">
        <f t="shared" si="32"/>
        <v>0</v>
      </c>
      <c r="ER72" s="324">
        <f t="shared" si="33"/>
        <v>0</v>
      </c>
      <c r="ES72" s="324">
        <f t="shared" si="34"/>
        <v>0</v>
      </c>
      <c r="ET72" s="324">
        <f t="shared" si="35"/>
        <v>0</v>
      </c>
      <c r="EU72" s="324">
        <f t="shared" si="36"/>
        <v>0</v>
      </c>
      <c r="EV72" s="324">
        <f t="shared" si="37"/>
        <v>0</v>
      </c>
      <c r="EW72" s="324">
        <f t="shared" si="38"/>
        <v>0</v>
      </c>
      <c r="EX72" s="324">
        <f t="shared" si="39"/>
        <v>0</v>
      </c>
      <c r="EY72" s="324">
        <f t="shared" si="40"/>
        <v>0</v>
      </c>
      <c r="EZ72" s="324">
        <f t="shared" si="41"/>
        <v>0</v>
      </c>
      <c r="FA72" s="324">
        <f t="shared" si="42"/>
        <v>0</v>
      </c>
      <c r="FB72" s="324">
        <f t="shared" si="43"/>
        <v>0</v>
      </c>
      <c r="FC72" s="324">
        <f t="shared" si="44"/>
        <v>0</v>
      </c>
      <c r="FD72" s="324">
        <f t="shared" si="45"/>
        <v>0</v>
      </c>
      <c r="FE72" s="324">
        <f t="shared" si="46"/>
        <v>0</v>
      </c>
      <c r="FF72" s="324">
        <f t="shared" si="47"/>
        <v>0</v>
      </c>
      <c r="FG72" s="324">
        <f t="shared" si="48"/>
        <v>0</v>
      </c>
      <c r="FH72" s="324">
        <f t="shared" si="49"/>
        <v>0</v>
      </c>
      <c r="FI72" s="324">
        <f t="shared" si="50"/>
        <v>0</v>
      </c>
      <c r="FJ72" s="324">
        <f t="shared" si="51"/>
        <v>0</v>
      </c>
      <c r="FK72" s="324">
        <f t="shared" si="52"/>
        <v>0</v>
      </c>
      <c r="FL72" s="324">
        <f t="shared" si="53"/>
        <v>0</v>
      </c>
      <c r="FM72" s="324">
        <f t="shared" si="54"/>
        <v>0</v>
      </c>
      <c r="FN72" s="324">
        <f t="shared" si="55"/>
        <v>0</v>
      </c>
      <c r="FO72" s="324">
        <f t="shared" si="56"/>
        <v>0</v>
      </c>
      <c r="FP72" s="324">
        <f t="shared" si="57"/>
        <v>0</v>
      </c>
      <c r="FQ72" s="324">
        <f t="shared" si="58"/>
        <v>0</v>
      </c>
      <c r="FR72" s="324">
        <f t="shared" si="59"/>
        <v>0</v>
      </c>
      <c r="FS72" s="324">
        <f t="shared" si="60"/>
        <v>0</v>
      </c>
      <c r="FT72" s="324">
        <f t="shared" si="61"/>
        <v>0</v>
      </c>
      <c r="FU72" s="324">
        <f t="shared" si="62"/>
        <v>0</v>
      </c>
      <c r="FV72" s="324">
        <f t="shared" si="63"/>
        <v>0</v>
      </c>
      <c r="FW72" s="324">
        <f t="shared" si="64"/>
        <v>0</v>
      </c>
      <c r="FX72" s="324">
        <f t="shared" si="65"/>
        <v>0</v>
      </c>
    </row>
    <row r="73" spans="1:180" x14ac:dyDescent="0.2">
      <c r="A73" s="298" t="str">
        <f>_xlfn.CONCAT(IF(LEFT(TRIM(A72),1)="*", "*R", "R"), 1+RIGHT(TRIM(A72),1))</f>
        <v>R5</v>
      </c>
      <c r="B73" s="298" t="str">
        <f t="shared" si="127"/>
        <v>TLEELC</v>
      </c>
      <c r="C73" s="298" t="str">
        <f t="shared" si="128"/>
        <v>TL.ELC.F.Existing fleet</v>
      </c>
      <c r="D73" s="294" t="str">
        <f t="shared" si="129"/>
        <v>bn-vmt, bn-vmt/a</v>
      </c>
      <c r="E73" s="294" t="str">
        <f t="shared" si="130"/>
        <v>TRNELC</v>
      </c>
      <c r="F73" s="294" t="str">
        <f t="shared" si="131"/>
        <v>TL</v>
      </c>
      <c r="G73" s="294" t="s">
        <v>475</v>
      </c>
      <c r="H73" s="294" t="s">
        <v>69</v>
      </c>
      <c r="I73" s="294">
        <v>0</v>
      </c>
      <c r="J73" s="308" t="str">
        <f t="shared" si="101"/>
        <v>Compact car-ELC</v>
      </c>
      <c r="K73" s="324">
        <f>$I73*IF($G73="Pickup", SUMIFS(NewEmisData!E:E, NewEmisData!$A:$A, "Pickup", NewEmisData!$B:$B, $A73, NewEmisData!$C:$C, $H73, NewEmisData!$D:$D, K$2), SUMIFS(NewEmisData!E:E, NewEmisData!$A:$A, "LDV", NewEmisData!$B:$B, $A73, NewEmisData!$C:$C, $H73, NewEmisData!$D:$D, K$2))</f>
        <v>0</v>
      </c>
      <c r="L73" s="324">
        <f>$I73*IF($G73="Pickup", SUMIFS(NewEmisData!F:F, NewEmisData!$A:$A, "Pickup", NewEmisData!$B:$B, $A73, NewEmisData!$C:$C, $H73, NewEmisData!$D:$D, L$2), SUMIFS(NewEmisData!F:F, NewEmisData!$A:$A, "LDV", NewEmisData!$B:$B, $A73, NewEmisData!$C:$C, $H73, NewEmisData!$D:$D, L$2))</f>
        <v>0</v>
      </c>
      <c r="M73" s="324">
        <f>$I73*IF($G73="Pickup", SUMIFS(NewEmisData!G:G, NewEmisData!$A:$A, "Pickup", NewEmisData!$B:$B, $A73, NewEmisData!$C:$C, $H73, NewEmisData!$D:$D, M$2), SUMIFS(NewEmisData!G:G, NewEmisData!$A:$A, "LDV", NewEmisData!$B:$B, $A73, NewEmisData!$C:$C, $H73, NewEmisData!$D:$D, M$2))</f>
        <v>0</v>
      </c>
      <c r="N73" s="324">
        <f>$I73*IF($G73="Pickup", SUMIFS(NewEmisData!H:H, NewEmisData!$A:$A, "Pickup", NewEmisData!$B:$B, $A73, NewEmisData!$C:$C, $H73, NewEmisData!$D:$D, N$2), SUMIFS(NewEmisData!H:H, NewEmisData!$A:$A, "LDV", NewEmisData!$B:$B, $A73, NewEmisData!$C:$C, $H73, NewEmisData!$D:$D, N$2))</f>
        <v>0</v>
      </c>
      <c r="O73" s="324">
        <f>$I73*IF($G73="Pickup", SUMIFS(NewEmisData!I:I, NewEmisData!$A:$A, "Pickup", NewEmisData!$B:$B, $A73, NewEmisData!$C:$C, $H73, NewEmisData!$D:$D, O$2), SUMIFS(NewEmisData!I:I, NewEmisData!$A:$A, "LDV", NewEmisData!$B:$B, $A73, NewEmisData!$C:$C, $H73, NewEmisData!$D:$D, O$2))</f>
        <v>0</v>
      </c>
      <c r="P73" s="324">
        <f>$I73*IF($G73="Pickup", SUMIFS(NewEmisData!J:J, NewEmisData!$A:$A, "Pickup", NewEmisData!$B:$B, $A73, NewEmisData!$C:$C, $H73, NewEmisData!$D:$D, P$2), SUMIFS(NewEmisData!J:J, NewEmisData!$A:$A, "LDV", NewEmisData!$B:$B, $A73, NewEmisData!$C:$C, $H73, NewEmisData!$D:$D, P$2))</f>
        <v>0</v>
      </c>
      <c r="Q73" s="324">
        <f>$I73*IF($G73="Pickup", SUMIFS(NewEmisData!K:K, NewEmisData!$A:$A, "Pickup", NewEmisData!$B:$B, $A73, NewEmisData!$C:$C, $H73, NewEmisData!$D:$D, Q$2), SUMIFS(NewEmisData!K:K, NewEmisData!$A:$A, "LDV", NewEmisData!$B:$B, $A73, NewEmisData!$C:$C, $H73, NewEmisData!$D:$D, Q$2))</f>
        <v>0</v>
      </c>
      <c r="R73" s="324">
        <f>$I73*IF($G73="Pickup", SUMIFS(NewEmisData!L:L, NewEmisData!$A:$A, "Pickup", NewEmisData!$B:$B, $A73, NewEmisData!$C:$C, $H73, NewEmisData!$D:$D, R$2), SUMIFS(NewEmisData!L:L, NewEmisData!$A:$A, "LDV", NewEmisData!$B:$B, $A73, NewEmisData!$C:$C, $H73, NewEmisData!$D:$D, R$2))</f>
        <v>0</v>
      </c>
      <c r="S73" s="324">
        <f>$I73*IF($G73="Pickup", SUMIFS(NewEmisData!M:M, NewEmisData!$A:$A, "Pickup", NewEmisData!$B:$B, $A73, NewEmisData!$C:$C, $H73, NewEmisData!$D:$D, S$2), SUMIFS(NewEmisData!M:M, NewEmisData!$A:$A, "LDV", NewEmisData!$B:$B, $A73, NewEmisData!$C:$C, $H73, NewEmisData!$D:$D, S$2))</f>
        <v>0</v>
      </c>
      <c r="T73" s="324">
        <f t="shared" si="5"/>
        <v>0</v>
      </c>
      <c r="U73" s="324">
        <f>$I73*IF($G73="Pickup", SUMIFS(NewEmisData!E:E, NewEmisData!$A:$A, "Pickup", NewEmisData!$B:$B, $A73, NewEmisData!$C:$C, $H73, NewEmisData!$D:$D, U$2), SUMIFS(NewEmisData!E:E, NewEmisData!$A:$A, "LDV", NewEmisData!$B:$B, $A73, NewEmisData!$C:$C, $H73, NewEmisData!$D:$D, U$2))</f>
        <v>0</v>
      </c>
      <c r="V73" s="324">
        <f>$I73*IF($G73="Pickup", SUMIFS(NewEmisData!F:F, NewEmisData!$A:$A, "Pickup", NewEmisData!$B:$B, $A73, NewEmisData!$C:$C, $H73, NewEmisData!$D:$D, V$2), SUMIFS(NewEmisData!F:F, NewEmisData!$A:$A, "LDV", NewEmisData!$B:$B, $A73, NewEmisData!$C:$C, $H73, NewEmisData!$D:$D, V$2))</f>
        <v>0</v>
      </c>
      <c r="W73" s="324">
        <f>$I73*IF($G73="Pickup", SUMIFS(NewEmisData!G:G, NewEmisData!$A:$A, "Pickup", NewEmisData!$B:$B, $A73, NewEmisData!$C:$C, $H73, NewEmisData!$D:$D, W$2), SUMIFS(NewEmisData!G:G, NewEmisData!$A:$A, "LDV", NewEmisData!$B:$B, $A73, NewEmisData!$C:$C, $H73, NewEmisData!$D:$D, W$2))</f>
        <v>0</v>
      </c>
      <c r="X73" s="324">
        <f>$I73*IF($G73="Pickup", SUMIFS(NewEmisData!H:H, NewEmisData!$A:$A, "Pickup", NewEmisData!$B:$B, $A73, NewEmisData!$C:$C, $H73, NewEmisData!$D:$D, X$2), SUMIFS(NewEmisData!H:H, NewEmisData!$A:$A, "LDV", NewEmisData!$B:$B, $A73, NewEmisData!$C:$C, $H73, NewEmisData!$D:$D, X$2))</f>
        <v>0</v>
      </c>
      <c r="Y73" s="324">
        <f>$I73*IF($G73="Pickup", SUMIFS(NewEmisData!I:I, NewEmisData!$A:$A, "Pickup", NewEmisData!$B:$B, $A73, NewEmisData!$C:$C, $H73, NewEmisData!$D:$D, Y$2), SUMIFS(NewEmisData!I:I, NewEmisData!$A:$A, "LDV", NewEmisData!$B:$B, $A73, NewEmisData!$C:$C, $H73, NewEmisData!$D:$D, Y$2))</f>
        <v>0</v>
      </c>
      <c r="Z73" s="324">
        <f>$I73*IF($G73="Pickup", SUMIFS(NewEmisData!J:J, NewEmisData!$A:$A, "Pickup", NewEmisData!$B:$B, $A73, NewEmisData!$C:$C, $H73, NewEmisData!$D:$D, Z$2), SUMIFS(NewEmisData!J:J, NewEmisData!$A:$A, "LDV", NewEmisData!$B:$B, $A73, NewEmisData!$C:$C, $H73, NewEmisData!$D:$D, Z$2))</f>
        <v>0</v>
      </c>
      <c r="AA73" s="324">
        <f>$I73*IF($G73="Pickup", SUMIFS(NewEmisData!K:K, NewEmisData!$A:$A, "Pickup", NewEmisData!$B:$B, $A73, NewEmisData!$C:$C, $H73, NewEmisData!$D:$D, AA$2), SUMIFS(NewEmisData!K:K, NewEmisData!$A:$A, "LDV", NewEmisData!$B:$B, $A73, NewEmisData!$C:$C, $H73, NewEmisData!$D:$D, AA$2))</f>
        <v>0</v>
      </c>
      <c r="AB73" s="324">
        <f>$I73*IF($G73="Pickup", SUMIFS(NewEmisData!L:L, NewEmisData!$A:$A, "Pickup", NewEmisData!$B:$B, $A73, NewEmisData!$C:$C, $H73, NewEmisData!$D:$D, AB$2), SUMIFS(NewEmisData!L:L, NewEmisData!$A:$A, "LDV", NewEmisData!$B:$B, $A73, NewEmisData!$C:$C, $H73, NewEmisData!$D:$D, AB$2))</f>
        <v>0</v>
      </c>
      <c r="AC73" s="324">
        <f>$I73*IF($G73="Pickup", SUMIFS(NewEmisData!M:M, NewEmisData!$A:$A, "Pickup", NewEmisData!$B:$B, $A73, NewEmisData!$C:$C, $H73, NewEmisData!$D:$D, AC$2), SUMIFS(NewEmisData!M:M, NewEmisData!$A:$A, "LDV", NewEmisData!$B:$B, $A73, NewEmisData!$C:$C, $H73, NewEmisData!$D:$D, AC$2))</f>
        <v>0</v>
      </c>
      <c r="AD73" s="324">
        <f t="shared" si="6"/>
        <v>0</v>
      </c>
      <c r="AE73" s="324">
        <f>$I73*IF($G73="Pickup", SUMIFS(NewEmisData!E:E, NewEmisData!$A:$A, "Pickup", NewEmisData!$B:$B, $A73, NewEmisData!$C:$C, $H73, NewEmisData!$D:$D, AE$2), SUMIFS(NewEmisData!E:E, NewEmisData!$A:$A, "LDV", NewEmisData!$B:$B, $A73, NewEmisData!$C:$C, $H73, NewEmisData!$D:$D, AE$2))</f>
        <v>0</v>
      </c>
      <c r="AF73" s="324">
        <f>$I73*IF($G73="Pickup", SUMIFS(NewEmisData!F:F, NewEmisData!$A:$A, "Pickup", NewEmisData!$B:$B, $A73, NewEmisData!$C:$C, $H73, NewEmisData!$D:$D, AF$2), SUMIFS(NewEmisData!F:F, NewEmisData!$A:$A, "LDV", NewEmisData!$B:$B, $A73, NewEmisData!$C:$C, $H73, NewEmisData!$D:$D, AF$2))</f>
        <v>0</v>
      </c>
      <c r="AG73" s="324">
        <f>$I73*IF($G73="Pickup", SUMIFS(NewEmisData!G:G, NewEmisData!$A:$A, "Pickup", NewEmisData!$B:$B, $A73, NewEmisData!$C:$C, $H73, NewEmisData!$D:$D, AG$2), SUMIFS(NewEmisData!G:G, NewEmisData!$A:$A, "LDV", NewEmisData!$B:$B, $A73, NewEmisData!$C:$C, $H73, NewEmisData!$D:$D, AG$2))</f>
        <v>0</v>
      </c>
      <c r="AH73" s="324">
        <f>$I73*IF($G73="Pickup", SUMIFS(NewEmisData!H:H, NewEmisData!$A:$A, "Pickup", NewEmisData!$B:$B, $A73, NewEmisData!$C:$C, $H73, NewEmisData!$D:$D, AH$2), SUMIFS(NewEmisData!H:H, NewEmisData!$A:$A, "LDV", NewEmisData!$B:$B, $A73, NewEmisData!$C:$C, $H73, NewEmisData!$D:$D, AH$2))</f>
        <v>0</v>
      </c>
      <c r="AI73" s="324">
        <f>$I73*IF($G73="Pickup", SUMIFS(NewEmisData!I:I, NewEmisData!$A:$A, "Pickup", NewEmisData!$B:$B, $A73, NewEmisData!$C:$C, $H73, NewEmisData!$D:$D, AI$2), SUMIFS(NewEmisData!I:I, NewEmisData!$A:$A, "LDV", NewEmisData!$B:$B, $A73, NewEmisData!$C:$C, $H73, NewEmisData!$D:$D, AI$2))</f>
        <v>0</v>
      </c>
      <c r="AJ73" s="324">
        <f>$I73*IF($G73="Pickup", SUMIFS(NewEmisData!J:J, NewEmisData!$A:$A, "Pickup", NewEmisData!$B:$B, $A73, NewEmisData!$C:$C, $H73, NewEmisData!$D:$D, AJ$2), SUMIFS(NewEmisData!J:J, NewEmisData!$A:$A, "LDV", NewEmisData!$B:$B, $A73, NewEmisData!$C:$C, $H73, NewEmisData!$D:$D, AJ$2))</f>
        <v>0</v>
      </c>
      <c r="AK73" s="324">
        <f>$I73*IF($G73="Pickup", SUMIFS(NewEmisData!K:K, NewEmisData!$A:$A, "Pickup", NewEmisData!$B:$B, $A73, NewEmisData!$C:$C, $H73, NewEmisData!$D:$D, AK$2), SUMIFS(NewEmisData!K:K, NewEmisData!$A:$A, "LDV", NewEmisData!$B:$B, $A73, NewEmisData!$C:$C, $H73, NewEmisData!$D:$D, AK$2))</f>
        <v>0</v>
      </c>
      <c r="AL73" s="324">
        <f>$I73*IF($G73="Pickup", SUMIFS(NewEmisData!L:L, NewEmisData!$A:$A, "Pickup", NewEmisData!$B:$B, $A73, NewEmisData!$C:$C, $H73, NewEmisData!$D:$D, AL$2), SUMIFS(NewEmisData!L:L, NewEmisData!$A:$A, "LDV", NewEmisData!$B:$B, $A73, NewEmisData!$C:$C, $H73, NewEmisData!$D:$D, AL$2))</f>
        <v>0</v>
      </c>
      <c r="AM73" s="324">
        <f>$I73*IF($G73="Pickup", SUMIFS(NewEmisData!M:M, NewEmisData!$A:$A, "Pickup", NewEmisData!$B:$B, $A73, NewEmisData!$C:$C, $H73, NewEmisData!$D:$D, AM$2), SUMIFS(NewEmisData!M:M, NewEmisData!$A:$A, "LDV", NewEmisData!$B:$B, $A73, NewEmisData!$C:$C, $H73, NewEmisData!$D:$D, AM$2))</f>
        <v>0</v>
      </c>
      <c r="AN73" s="324">
        <f t="shared" si="7"/>
        <v>0</v>
      </c>
      <c r="AO73" s="324">
        <f>$I73*IF($G73="Pickup", SUMIFS(NewEmisData!E:E, NewEmisData!$A:$A, "Pickup", NewEmisData!$B:$B, $A73, NewEmisData!$C:$C, $H73, NewEmisData!$D:$D, AO$2), SUMIFS(NewEmisData!E:E, NewEmisData!$A:$A, "LDV", NewEmisData!$B:$B, $A73, NewEmisData!$C:$C, $H73, NewEmisData!$D:$D, AO$2))</f>
        <v>0</v>
      </c>
      <c r="AP73" s="324">
        <f>$I73*IF($G73="Pickup", SUMIFS(NewEmisData!F:F, NewEmisData!$A:$A, "Pickup", NewEmisData!$B:$B, $A73, NewEmisData!$C:$C, $H73, NewEmisData!$D:$D, AP$2), SUMIFS(NewEmisData!F:F, NewEmisData!$A:$A, "LDV", NewEmisData!$B:$B, $A73, NewEmisData!$C:$C, $H73, NewEmisData!$D:$D, AP$2))</f>
        <v>0</v>
      </c>
      <c r="AQ73" s="324">
        <f>$I73*IF($G73="Pickup", SUMIFS(NewEmisData!G:G, NewEmisData!$A:$A, "Pickup", NewEmisData!$B:$B, $A73, NewEmisData!$C:$C, $H73, NewEmisData!$D:$D, AQ$2), SUMIFS(NewEmisData!G:G, NewEmisData!$A:$A, "LDV", NewEmisData!$B:$B, $A73, NewEmisData!$C:$C, $H73, NewEmisData!$D:$D, AQ$2))</f>
        <v>0</v>
      </c>
      <c r="AR73" s="324">
        <f>$I73*IF($G73="Pickup", SUMIFS(NewEmisData!H:H, NewEmisData!$A:$A, "Pickup", NewEmisData!$B:$B, $A73, NewEmisData!$C:$C, $H73, NewEmisData!$D:$D, AR$2), SUMIFS(NewEmisData!H:H, NewEmisData!$A:$A, "LDV", NewEmisData!$B:$B, $A73, NewEmisData!$C:$C, $H73, NewEmisData!$D:$D, AR$2))</f>
        <v>0</v>
      </c>
      <c r="AS73" s="324">
        <f>$I73*IF($G73="Pickup", SUMIFS(NewEmisData!I:I, NewEmisData!$A:$A, "Pickup", NewEmisData!$B:$B, $A73, NewEmisData!$C:$C, $H73, NewEmisData!$D:$D, AS$2), SUMIFS(NewEmisData!I:I, NewEmisData!$A:$A, "LDV", NewEmisData!$B:$B, $A73, NewEmisData!$C:$C, $H73, NewEmisData!$D:$D, AS$2))</f>
        <v>0</v>
      </c>
      <c r="AT73" s="324">
        <f>$I73*IF($G73="Pickup", SUMIFS(NewEmisData!J:J, NewEmisData!$A:$A, "Pickup", NewEmisData!$B:$B, $A73, NewEmisData!$C:$C, $H73, NewEmisData!$D:$D, AT$2), SUMIFS(NewEmisData!J:J, NewEmisData!$A:$A, "LDV", NewEmisData!$B:$B, $A73, NewEmisData!$C:$C, $H73, NewEmisData!$D:$D, AT$2))</f>
        <v>0</v>
      </c>
      <c r="AU73" s="324">
        <f>$I73*IF($G73="Pickup", SUMIFS(NewEmisData!K:K, NewEmisData!$A:$A, "Pickup", NewEmisData!$B:$B, $A73, NewEmisData!$C:$C, $H73, NewEmisData!$D:$D, AU$2), SUMIFS(NewEmisData!K:K, NewEmisData!$A:$A, "LDV", NewEmisData!$B:$B, $A73, NewEmisData!$C:$C, $H73, NewEmisData!$D:$D, AU$2))</f>
        <v>0</v>
      </c>
      <c r="AV73" s="324">
        <f>$I73*IF($G73="Pickup", SUMIFS(NewEmisData!L:L, NewEmisData!$A:$A, "Pickup", NewEmisData!$B:$B, $A73, NewEmisData!$C:$C, $H73, NewEmisData!$D:$D, AV$2), SUMIFS(NewEmisData!L:L, NewEmisData!$A:$A, "LDV", NewEmisData!$B:$B, $A73, NewEmisData!$C:$C, $H73, NewEmisData!$D:$D, AV$2))</f>
        <v>0</v>
      </c>
      <c r="AW73" s="324">
        <f>$I73*IF($G73="Pickup", SUMIFS(NewEmisData!M:M, NewEmisData!$A:$A, "Pickup", NewEmisData!$B:$B, $A73, NewEmisData!$C:$C, $H73, NewEmisData!$D:$D, AW$2), SUMIFS(NewEmisData!M:M, NewEmisData!$A:$A, "LDV", NewEmisData!$B:$B, $A73, NewEmisData!$C:$C, $H73, NewEmisData!$D:$D, AW$2))</f>
        <v>0</v>
      </c>
      <c r="AX73" s="324">
        <f t="shared" si="8"/>
        <v>0</v>
      </c>
      <c r="AY73" s="324">
        <f>$I73*IF($G73="Pickup", SUMIFS(NewEmisData!E:E, NewEmisData!$A:$A, "Pickup", NewEmisData!$B:$B, $A73, NewEmisData!$C:$C, $H73, NewEmisData!$D:$D, AY$2), SUMIFS(NewEmisData!E:E, NewEmisData!$A:$A, "LDV", NewEmisData!$B:$B, $A73, NewEmisData!$C:$C, $H73, NewEmisData!$D:$D, AY$2))</f>
        <v>0</v>
      </c>
      <c r="AZ73" s="324">
        <f>$I73*IF($G73="Pickup", SUMIFS(NewEmisData!F:F, NewEmisData!$A:$A, "Pickup", NewEmisData!$B:$B, $A73, NewEmisData!$C:$C, $H73, NewEmisData!$D:$D, AZ$2), SUMIFS(NewEmisData!F:F, NewEmisData!$A:$A, "LDV", NewEmisData!$B:$B, $A73, NewEmisData!$C:$C, $H73, NewEmisData!$D:$D, AZ$2))</f>
        <v>0</v>
      </c>
      <c r="BA73" s="324">
        <f>$I73*IF($G73="Pickup", SUMIFS(NewEmisData!G:G, NewEmisData!$A:$A, "Pickup", NewEmisData!$B:$B, $A73, NewEmisData!$C:$C, $H73, NewEmisData!$D:$D, BA$2), SUMIFS(NewEmisData!G:G, NewEmisData!$A:$A, "LDV", NewEmisData!$B:$B, $A73, NewEmisData!$C:$C, $H73, NewEmisData!$D:$D, BA$2))</f>
        <v>0</v>
      </c>
      <c r="BB73" s="324">
        <f>$I73*IF($G73="Pickup", SUMIFS(NewEmisData!H:H, NewEmisData!$A:$A, "Pickup", NewEmisData!$B:$B, $A73, NewEmisData!$C:$C, $H73, NewEmisData!$D:$D, BB$2), SUMIFS(NewEmisData!H:H, NewEmisData!$A:$A, "LDV", NewEmisData!$B:$B, $A73, NewEmisData!$C:$C, $H73, NewEmisData!$D:$D, BB$2))</f>
        <v>0</v>
      </c>
      <c r="BC73" s="324">
        <f>$I73*IF($G73="Pickup", SUMIFS(NewEmisData!I:I, NewEmisData!$A:$A, "Pickup", NewEmisData!$B:$B, $A73, NewEmisData!$C:$C, $H73, NewEmisData!$D:$D, BC$2), SUMIFS(NewEmisData!I:I, NewEmisData!$A:$A, "LDV", NewEmisData!$B:$B, $A73, NewEmisData!$C:$C, $H73, NewEmisData!$D:$D, BC$2))</f>
        <v>0</v>
      </c>
      <c r="BD73" s="324">
        <f>$I73*IF($G73="Pickup", SUMIFS(NewEmisData!J:J, NewEmisData!$A:$A, "Pickup", NewEmisData!$B:$B, $A73, NewEmisData!$C:$C, $H73, NewEmisData!$D:$D, BD$2), SUMIFS(NewEmisData!J:J, NewEmisData!$A:$A, "LDV", NewEmisData!$B:$B, $A73, NewEmisData!$C:$C, $H73, NewEmisData!$D:$D, BD$2))</f>
        <v>0</v>
      </c>
      <c r="BE73" s="324">
        <f>$I73*IF($G73="Pickup", SUMIFS(NewEmisData!K:K, NewEmisData!$A:$A, "Pickup", NewEmisData!$B:$B, $A73, NewEmisData!$C:$C, $H73, NewEmisData!$D:$D, BE$2), SUMIFS(NewEmisData!K:K, NewEmisData!$A:$A, "LDV", NewEmisData!$B:$B, $A73, NewEmisData!$C:$C, $H73, NewEmisData!$D:$D, BE$2))</f>
        <v>0</v>
      </c>
      <c r="BF73" s="324">
        <f>$I73*IF($G73="Pickup", SUMIFS(NewEmisData!L:L, NewEmisData!$A:$A, "Pickup", NewEmisData!$B:$B, $A73, NewEmisData!$C:$C, $H73, NewEmisData!$D:$D, BF$2), SUMIFS(NewEmisData!L:L, NewEmisData!$A:$A, "LDV", NewEmisData!$B:$B, $A73, NewEmisData!$C:$C, $H73, NewEmisData!$D:$D, BF$2))</f>
        <v>0</v>
      </c>
      <c r="BG73" s="324">
        <f>$I73*IF($G73="Pickup", SUMIFS(NewEmisData!M:M, NewEmisData!$A:$A, "Pickup", NewEmisData!$B:$B, $A73, NewEmisData!$C:$C, $H73, NewEmisData!$D:$D, BG$2), SUMIFS(NewEmisData!M:M, NewEmisData!$A:$A, "LDV", NewEmisData!$B:$B, $A73, NewEmisData!$C:$C, $H73, NewEmisData!$D:$D, BG$2))</f>
        <v>0</v>
      </c>
      <c r="BH73" s="324">
        <f t="shared" si="9"/>
        <v>0</v>
      </c>
      <c r="BI73" s="324">
        <f>$I73*IF($G73="Pickup", SUMIFS(NewEmisData!E:E, NewEmisData!$A:$A, "Pickup", NewEmisData!$B:$B, $A73, NewEmisData!$C:$C, $H73, NewEmisData!$D:$D, BI$2), SUMIFS(NewEmisData!E:E, NewEmisData!$A:$A, "LDV", NewEmisData!$B:$B, $A73, NewEmisData!$C:$C, $H73, NewEmisData!$D:$D, BI$2))</f>
        <v>0</v>
      </c>
      <c r="BJ73" s="324">
        <f>$I73*IF($G73="Pickup", SUMIFS(NewEmisData!F:F, NewEmisData!$A:$A, "Pickup", NewEmisData!$B:$B, $A73, NewEmisData!$C:$C, $H73, NewEmisData!$D:$D, BJ$2), SUMIFS(NewEmisData!F:F, NewEmisData!$A:$A, "LDV", NewEmisData!$B:$B, $A73, NewEmisData!$C:$C, $H73, NewEmisData!$D:$D, BJ$2))</f>
        <v>0</v>
      </c>
      <c r="BK73" s="324">
        <f>$I73*IF($G73="Pickup", SUMIFS(NewEmisData!G:G, NewEmisData!$A:$A, "Pickup", NewEmisData!$B:$B, $A73, NewEmisData!$C:$C, $H73, NewEmisData!$D:$D, BK$2), SUMIFS(NewEmisData!G:G, NewEmisData!$A:$A, "LDV", NewEmisData!$B:$B, $A73, NewEmisData!$C:$C, $H73, NewEmisData!$D:$D, BK$2))</f>
        <v>0</v>
      </c>
      <c r="BL73" s="324">
        <f>$I73*IF($G73="Pickup", SUMIFS(NewEmisData!H:H, NewEmisData!$A:$A, "Pickup", NewEmisData!$B:$B, $A73, NewEmisData!$C:$C, $H73, NewEmisData!$D:$D, BL$2), SUMIFS(NewEmisData!H:H, NewEmisData!$A:$A, "LDV", NewEmisData!$B:$B, $A73, NewEmisData!$C:$C, $H73, NewEmisData!$D:$D, BL$2))</f>
        <v>0</v>
      </c>
      <c r="BM73" s="324">
        <f>$I73*IF($G73="Pickup", SUMIFS(NewEmisData!I:I, NewEmisData!$A:$A, "Pickup", NewEmisData!$B:$B, $A73, NewEmisData!$C:$C, $H73, NewEmisData!$D:$D, BM$2), SUMIFS(NewEmisData!I:I, NewEmisData!$A:$A, "LDV", NewEmisData!$B:$B, $A73, NewEmisData!$C:$C, $H73, NewEmisData!$D:$D, BM$2))</f>
        <v>0</v>
      </c>
      <c r="BN73" s="324">
        <f>$I73*IF($G73="Pickup", SUMIFS(NewEmisData!J:J, NewEmisData!$A:$A, "Pickup", NewEmisData!$B:$B, $A73, NewEmisData!$C:$C, $H73, NewEmisData!$D:$D, BN$2), SUMIFS(NewEmisData!J:J, NewEmisData!$A:$A, "LDV", NewEmisData!$B:$B, $A73, NewEmisData!$C:$C, $H73, NewEmisData!$D:$D, BN$2))</f>
        <v>0</v>
      </c>
      <c r="BO73" s="324">
        <f>$I73*IF($G73="Pickup", SUMIFS(NewEmisData!K:K, NewEmisData!$A:$A, "Pickup", NewEmisData!$B:$B, $A73, NewEmisData!$C:$C, $H73, NewEmisData!$D:$D, BO$2), SUMIFS(NewEmisData!K:K, NewEmisData!$A:$A, "LDV", NewEmisData!$B:$B, $A73, NewEmisData!$C:$C, $H73, NewEmisData!$D:$D, BO$2))</f>
        <v>0</v>
      </c>
      <c r="BP73" s="324">
        <f>$I73*IF($G73="Pickup", SUMIFS(NewEmisData!L:L, NewEmisData!$A:$A, "Pickup", NewEmisData!$B:$B, $A73, NewEmisData!$C:$C, $H73, NewEmisData!$D:$D, BP$2), SUMIFS(NewEmisData!L:L, NewEmisData!$A:$A, "LDV", NewEmisData!$B:$B, $A73, NewEmisData!$C:$C, $H73, NewEmisData!$D:$D, BP$2))</f>
        <v>0</v>
      </c>
      <c r="BQ73" s="324">
        <f>$I73*IF($G73="Pickup", SUMIFS(NewEmisData!M:M, NewEmisData!$A:$A, "Pickup", NewEmisData!$B:$B, $A73, NewEmisData!$C:$C, $H73, NewEmisData!$D:$D, BQ$2), SUMIFS(NewEmisData!M:M, NewEmisData!$A:$A, "LDV", NewEmisData!$B:$B, $A73, NewEmisData!$C:$C, $H73, NewEmisData!$D:$D, BQ$2))</f>
        <v>0</v>
      </c>
      <c r="BR73" s="324">
        <f t="shared" si="10"/>
        <v>0</v>
      </c>
      <c r="BS73" s="324">
        <f>$I73*IF($G73="Pickup", SUMIFS(NewEmisData!E:E, NewEmisData!$A:$A, "Pickup", NewEmisData!$B:$B, $A73, NewEmisData!$C:$C, $H73, NewEmisData!$D:$D, BS$2), SUMIFS(NewEmisData!E:E, NewEmisData!$A:$A, "LDV", NewEmisData!$B:$B, $A73, NewEmisData!$C:$C, $H73, NewEmisData!$D:$D, BS$2))</f>
        <v>0</v>
      </c>
      <c r="BT73" s="324">
        <f>$I73*IF($G73="Pickup", SUMIFS(NewEmisData!F:F, NewEmisData!$A:$A, "Pickup", NewEmisData!$B:$B, $A73, NewEmisData!$C:$C, $H73, NewEmisData!$D:$D, BT$2), SUMIFS(NewEmisData!F:F, NewEmisData!$A:$A, "LDV", NewEmisData!$B:$B, $A73, NewEmisData!$C:$C, $H73, NewEmisData!$D:$D, BT$2))</f>
        <v>0</v>
      </c>
      <c r="BU73" s="324">
        <f>$I73*IF($G73="Pickup", SUMIFS(NewEmisData!G:G, NewEmisData!$A:$A, "Pickup", NewEmisData!$B:$B, $A73, NewEmisData!$C:$C, $H73, NewEmisData!$D:$D, BU$2), SUMIFS(NewEmisData!G:G, NewEmisData!$A:$A, "LDV", NewEmisData!$B:$B, $A73, NewEmisData!$C:$C, $H73, NewEmisData!$D:$D, BU$2))</f>
        <v>0</v>
      </c>
      <c r="BV73" s="324">
        <f>$I73*IF($G73="Pickup", SUMIFS(NewEmisData!H:H, NewEmisData!$A:$A, "Pickup", NewEmisData!$B:$B, $A73, NewEmisData!$C:$C, $H73, NewEmisData!$D:$D, BV$2), SUMIFS(NewEmisData!H:H, NewEmisData!$A:$A, "LDV", NewEmisData!$B:$B, $A73, NewEmisData!$C:$C, $H73, NewEmisData!$D:$D, BV$2))</f>
        <v>0</v>
      </c>
      <c r="BW73" s="324">
        <f>$I73*IF($G73="Pickup", SUMIFS(NewEmisData!I:I, NewEmisData!$A:$A, "Pickup", NewEmisData!$B:$B, $A73, NewEmisData!$C:$C, $H73, NewEmisData!$D:$D, BW$2), SUMIFS(NewEmisData!I:I, NewEmisData!$A:$A, "LDV", NewEmisData!$B:$B, $A73, NewEmisData!$C:$C, $H73, NewEmisData!$D:$D, BW$2))</f>
        <v>0</v>
      </c>
      <c r="BX73" s="324">
        <f>$I73*IF($G73="Pickup", SUMIFS(NewEmisData!J:J, NewEmisData!$A:$A, "Pickup", NewEmisData!$B:$B, $A73, NewEmisData!$C:$C, $H73, NewEmisData!$D:$D, BX$2), SUMIFS(NewEmisData!J:J, NewEmisData!$A:$A, "LDV", NewEmisData!$B:$B, $A73, NewEmisData!$C:$C, $H73, NewEmisData!$D:$D, BX$2))</f>
        <v>0</v>
      </c>
      <c r="BY73" s="324">
        <f>$I73*IF($G73="Pickup", SUMIFS(NewEmisData!K:K, NewEmisData!$A:$A, "Pickup", NewEmisData!$B:$B, $A73, NewEmisData!$C:$C, $H73, NewEmisData!$D:$D, BY$2), SUMIFS(NewEmisData!K:K, NewEmisData!$A:$A, "LDV", NewEmisData!$B:$B, $A73, NewEmisData!$C:$C, $H73, NewEmisData!$D:$D, BY$2))</f>
        <v>0</v>
      </c>
      <c r="BZ73" s="324">
        <f>$I73*IF($G73="Pickup", SUMIFS(NewEmisData!L:L, NewEmisData!$A:$A, "Pickup", NewEmisData!$B:$B, $A73, NewEmisData!$C:$C, $H73, NewEmisData!$D:$D, BZ$2), SUMIFS(NewEmisData!L:L, NewEmisData!$A:$A, "LDV", NewEmisData!$B:$B, $A73, NewEmisData!$C:$C, $H73, NewEmisData!$D:$D, BZ$2))</f>
        <v>0</v>
      </c>
      <c r="CA73" s="324">
        <f>$I73*IF($G73="Pickup", SUMIFS(NewEmisData!M:M, NewEmisData!$A:$A, "Pickup", NewEmisData!$B:$B, $A73, NewEmisData!$C:$C, $H73, NewEmisData!$D:$D, CA$2), SUMIFS(NewEmisData!M:M, NewEmisData!$A:$A, "LDV", NewEmisData!$B:$B, $A73, NewEmisData!$C:$C, $H73, NewEmisData!$D:$D, CA$2))</f>
        <v>0</v>
      </c>
      <c r="CB73" s="324">
        <f t="shared" si="11"/>
        <v>0</v>
      </c>
      <c r="CC73" s="324">
        <f>$I73*IF($G73="Pickup", SUMIFS(NewEmisData!E:E, NewEmisData!$A:$A, "Pickup", NewEmisData!$B:$B, $A73, NewEmisData!$C:$C, $H73, NewEmisData!$D:$D, CC$2), SUMIFS(NewEmisData!E:E, NewEmisData!$A:$A, "LDV", NewEmisData!$B:$B, $A73, NewEmisData!$C:$C, $H73, NewEmisData!$D:$D, CC$2))</f>
        <v>0</v>
      </c>
      <c r="CD73" s="324">
        <f>$I73*IF($G73="Pickup", SUMIFS(NewEmisData!F:F, NewEmisData!$A:$A, "Pickup", NewEmisData!$B:$B, $A73, NewEmisData!$C:$C, $H73, NewEmisData!$D:$D, CD$2), SUMIFS(NewEmisData!F:F, NewEmisData!$A:$A, "LDV", NewEmisData!$B:$B, $A73, NewEmisData!$C:$C, $H73, NewEmisData!$D:$D, CD$2))</f>
        <v>0</v>
      </c>
      <c r="CE73" s="324">
        <f>$I73*IF($G73="Pickup", SUMIFS(NewEmisData!G:G, NewEmisData!$A:$A, "Pickup", NewEmisData!$B:$B, $A73, NewEmisData!$C:$C, $H73, NewEmisData!$D:$D, CE$2), SUMIFS(NewEmisData!G:G, NewEmisData!$A:$A, "LDV", NewEmisData!$B:$B, $A73, NewEmisData!$C:$C, $H73, NewEmisData!$D:$D, CE$2))</f>
        <v>0</v>
      </c>
      <c r="CF73" s="324">
        <f>$I73*IF($G73="Pickup", SUMIFS(NewEmisData!H:H, NewEmisData!$A:$A, "Pickup", NewEmisData!$B:$B, $A73, NewEmisData!$C:$C, $H73, NewEmisData!$D:$D, CF$2), SUMIFS(NewEmisData!H:H, NewEmisData!$A:$A, "LDV", NewEmisData!$B:$B, $A73, NewEmisData!$C:$C, $H73, NewEmisData!$D:$D, CF$2))</f>
        <v>0</v>
      </c>
      <c r="CG73" s="324">
        <f>$I73*IF($G73="Pickup", SUMIFS(NewEmisData!I:I, NewEmisData!$A:$A, "Pickup", NewEmisData!$B:$B, $A73, NewEmisData!$C:$C, $H73, NewEmisData!$D:$D, CG$2), SUMIFS(NewEmisData!I:I, NewEmisData!$A:$A, "LDV", NewEmisData!$B:$B, $A73, NewEmisData!$C:$C, $H73, NewEmisData!$D:$D, CG$2))</f>
        <v>0</v>
      </c>
      <c r="CH73" s="324">
        <f>$I73*IF($G73="Pickup", SUMIFS(NewEmisData!J:J, NewEmisData!$A:$A, "Pickup", NewEmisData!$B:$B, $A73, NewEmisData!$C:$C, $H73, NewEmisData!$D:$D, CH$2), SUMIFS(NewEmisData!J:J, NewEmisData!$A:$A, "LDV", NewEmisData!$B:$B, $A73, NewEmisData!$C:$C, $H73, NewEmisData!$D:$D, CH$2))</f>
        <v>0</v>
      </c>
      <c r="CI73" s="324">
        <f>$I73*IF($G73="Pickup", SUMIFS(NewEmisData!K:K, NewEmisData!$A:$A, "Pickup", NewEmisData!$B:$B, $A73, NewEmisData!$C:$C, $H73, NewEmisData!$D:$D, CI$2), SUMIFS(NewEmisData!K:K, NewEmisData!$A:$A, "LDV", NewEmisData!$B:$B, $A73, NewEmisData!$C:$C, $H73, NewEmisData!$D:$D, CI$2))</f>
        <v>0</v>
      </c>
      <c r="CJ73" s="324">
        <f>$I73*IF($G73="Pickup", SUMIFS(NewEmisData!L:L, NewEmisData!$A:$A, "Pickup", NewEmisData!$B:$B, $A73, NewEmisData!$C:$C, $H73, NewEmisData!$D:$D, CJ$2), SUMIFS(NewEmisData!L:L, NewEmisData!$A:$A, "LDV", NewEmisData!$B:$B, $A73, NewEmisData!$C:$C, $H73, NewEmisData!$D:$D, CJ$2))</f>
        <v>0</v>
      </c>
      <c r="CK73" s="324">
        <f>$I73*IF($G73="Pickup", SUMIFS(NewEmisData!M:M, NewEmisData!$A:$A, "Pickup", NewEmisData!$B:$B, $A73, NewEmisData!$C:$C, $H73, NewEmisData!$D:$D, CK$2), SUMIFS(NewEmisData!M:M, NewEmisData!$A:$A, "LDV", NewEmisData!$B:$B, $A73, NewEmisData!$C:$C, $H73, NewEmisData!$D:$D, CK$2))</f>
        <v>0</v>
      </c>
      <c r="CL73" s="324">
        <f t="shared" si="12"/>
        <v>0</v>
      </c>
      <c r="CM73" s="324">
        <f>$I73*IF($G73="Pickup", SUMIFS(NewEmisData!E:E, NewEmisData!$A:$A, "Pickup", NewEmisData!$B:$B, $A73, NewEmisData!$C:$C, $H73, NewEmisData!$D:$D, CM$2), SUMIFS(NewEmisData!E:E, NewEmisData!$A:$A, "LDV", NewEmisData!$B:$B, $A73, NewEmisData!$C:$C, $H73, NewEmisData!$D:$D, CM$2))</f>
        <v>0</v>
      </c>
      <c r="CN73" s="324">
        <f>$I73*IF($G73="Pickup", SUMIFS(NewEmisData!F:F, NewEmisData!$A:$A, "Pickup", NewEmisData!$B:$B, $A73, NewEmisData!$C:$C, $H73, NewEmisData!$D:$D, CN$2), SUMIFS(NewEmisData!F:F, NewEmisData!$A:$A, "LDV", NewEmisData!$B:$B, $A73, NewEmisData!$C:$C, $H73, NewEmisData!$D:$D, CN$2))</f>
        <v>0</v>
      </c>
      <c r="CO73" s="324">
        <f>$I73*IF($G73="Pickup", SUMIFS(NewEmisData!G:G, NewEmisData!$A:$A, "Pickup", NewEmisData!$B:$B, $A73, NewEmisData!$C:$C, $H73, NewEmisData!$D:$D, CO$2), SUMIFS(NewEmisData!G:G, NewEmisData!$A:$A, "LDV", NewEmisData!$B:$B, $A73, NewEmisData!$C:$C, $H73, NewEmisData!$D:$D, CO$2))</f>
        <v>0</v>
      </c>
      <c r="CP73" s="324">
        <f>$I73*IF($G73="Pickup", SUMIFS(NewEmisData!H:H, NewEmisData!$A:$A, "Pickup", NewEmisData!$B:$B, $A73, NewEmisData!$C:$C, $H73, NewEmisData!$D:$D, CP$2), SUMIFS(NewEmisData!H:H, NewEmisData!$A:$A, "LDV", NewEmisData!$B:$B, $A73, NewEmisData!$C:$C, $H73, NewEmisData!$D:$D, CP$2))</f>
        <v>0</v>
      </c>
      <c r="CQ73" s="324">
        <f>$I73*IF($G73="Pickup", SUMIFS(NewEmisData!I:I, NewEmisData!$A:$A, "Pickup", NewEmisData!$B:$B, $A73, NewEmisData!$C:$C, $H73, NewEmisData!$D:$D, CQ$2), SUMIFS(NewEmisData!I:I, NewEmisData!$A:$A, "LDV", NewEmisData!$B:$B, $A73, NewEmisData!$C:$C, $H73, NewEmisData!$D:$D, CQ$2))</f>
        <v>0</v>
      </c>
      <c r="CR73" s="324">
        <f>$I73*IF($G73="Pickup", SUMIFS(NewEmisData!J:J, NewEmisData!$A:$A, "Pickup", NewEmisData!$B:$B, $A73, NewEmisData!$C:$C, $H73, NewEmisData!$D:$D, CR$2), SUMIFS(NewEmisData!J:J, NewEmisData!$A:$A, "LDV", NewEmisData!$B:$B, $A73, NewEmisData!$C:$C, $H73, NewEmisData!$D:$D, CR$2))</f>
        <v>0</v>
      </c>
      <c r="CS73" s="324">
        <f>$I73*IF($G73="Pickup", SUMIFS(NewEmisData!K:K, NewEmisData!$A:$A, "Pickup", NewEmisData!$B:$B, $A73, NewEmisData!$C:$C, $H73, NewEmisData!$D:$D, CS$2), SUMIFS(NewEmisData!K:K, NewEmisData!$A:$A, "LDV", NewEmisData!$B:$B, $A73, NewEmisData!$C:$C, $H73, NewEmisData!$D:$D, CS$2))</f>
        <v>0</v>
      </c>
      <c r="CT73" s="324">
        <f>$I73*IF($G73="Pickup", SUMIFS(NewEmisData!L:L, NewEmisData!$A:$A, "Pickup", NewEmisData!$B:$B, $A73, NewEmisData!$C:$C, $H73, NewEmisData!$D:$D, CT$2), SUMIFS(NewEmisData!L:L, NewEmisData!$A:$A, "LDV", NewEmisData!$B:$B, $A73, NewEmisData!$C:$C, $H73, NewEmisData!$D:$D, CT$2))</f>
        <v>0</v>
      </c>
      <c r="CU73" s="324">
        <f>$I73*IF($G73="Pickup", SUMIFS(NewEmisData!M:M, NewEmisData!$A:$A, "Pickup", NewEmisData!$B:$B, $A73, NewEmisData!$C:$C, $H73, NewEmisData!$D:$D, CU$2), SUMIFS(NewEmisData!M:M, NewEmisData!$A:$A, "LDV", NewEmisData!$B:$B, $A73, NewEmisData!$C:$C, $H73, NewEmisData!$D:$D, CU$2))</f>
        <v>0</v>
      </c>
      <c r="CV73" s="324">
        <f t="shared" si="13"/>
        <v>0</v>
      </c>
      <c r="CW73" s="324">
        <v>0</v>
      </c>
      <c r="CX73" s="324">
        <v>0</v>
      </c>
      <c r="CY73" s="324">
        <v>0</v>
      </c>
      <c r="CZ73" s="324">
        <v>0</v>
      </c>
      <c r="DA73" s="324">
        <v>0</v>
      </c>
      <c r="DB73" s="324">
        <v>0</v>
      </c>
      <c r="DC73" s="324">
        <v>0</v>
      </c>
      <c r="DD73" s="324">
        <v>0</v>
      </c>
      <c r="DE73" s="324">
        <v>0</v>
      </c>
      <c r="DF73" s="324">
        <v>0</v>
      </c>
      <c r="DG73" s="324">
        <f>$I73*IF($G73="Pickup", SUMIFS(NewEmisData!E:E, NewEmisData!$A:$A, "Pickup", NewEmisData!$B:$B, $A73, NewEmisData!$C:$C, $H73, NewEmisData!$D:$D, DG$2), SUMIFS(NewEmisData!E:E, NewEmisData!$A:$A, "LDV", NewEmisData!$B:$B, $A73, NewEmisData!$C:$C, $H73, NewEmisData!$D:$D, DG$2))</f>
        <v>0</v>
      </c>
      <c r="DH73" s="324">
        <f>$I73*IF($G73="Pickup", SUMIFS(NewEmisData!F:F, NewEmisData!$A:$A, "Pickup", NewEmisData!$B:$B, $A73, NewEmisData!$C:$C, $H73, NewEmisData!$D:$D, DH$2), SUMIFS(NewEmisData!F:F, NewEmisData!$A:$A, "LDV", NewEmisData!$B:$B, $A73, NewEmisData!$C:$C, $H73, NewEmisData!$D:$D, DH$2))</f>
        <v>0</v>
      </c>
      <c r="DI73" s="324">
        <f>$I73*IF($G73="Pickup", SUMIFS(NewEmisData!G:G, NewEmisData!$A:$A, "Pickup", NewEmisData!$B:$B, $A73, NewEmisData!$C:$C, $H73, NewEmisData!$D:$D, DI$2), SUMIFS(NewEmisData!G:G, NewEmisData!$A:$A, "LDV", NewEmisData!$B:$B, $A73, NewEmisData!$C:$C, $H73, NewEmisData!$D:$D, DI$2))</f>
        <v>0</v>
      </c>
      <c r="DJ73" s="324">
        <f>$I73*IF($G73="Pickup", SUMIFS(NewEmisData!H:H, NewEmisData!$A:$A, "Pickup", NewEmisData!$B:$B, $A73, NewEmisData!$C:$C, $H73, NewEmisData!$D:$D, DJ$2), SUMIFS(NewEmisData!H:H, NewEmisData!$A:$A, "LDV", NewEmisData!$B:$B, $A73, NewEmisData!$C:$C, $H73, NewEmisData!$D:$D, DJ$2))</f>
        <v>0</v>
      </c>
      <c r="DK73" s="324">
        <f>$I73*IF($G73="Pickup", SUMIFS(NewEmisData!I:I, NewEmisData!$A:$A, "Pickup", NewEmisData!$B:$B, $A73, NewEmisData!$C:$C, $H73, NewEmisData!$D:$D, DK$2), SUMIFS(NewEmisData!I:I, NewEmisData!$A:$A, "LDV", NewEmisData!$B:$B, $A73, NewEmisData!$C:$C, $H73, NewEmisData!$D:$D, DK$2))</f>
        <v>0</v>
      </c>
      <c r="DL73" s="324">
        <f>$I73*IF($G73="Pickup", SUMIFS(NewEmisData!J:J, NewEmisData!$A:$A, "Pickup", NewEmisData!$B:$B, $A73, NewEmisData!$C:$C, $H73, NewEmisData!$D:$D, DL$2), SUMIFS(NewEmisData!J:J, NewEmisData!$A:$A, "LDV", NewEmisData!$B:$B, $A73, NewEmisData!$C:$C, $H73, NewEmisData!$D:$D, DL$2))</f>
        <v>0</v>
      </c>
      <c r="DM73" s="324">
        <f>$I73*IF($G73="Pickup", SUMIFS(NewEmisData!K:K, NewEmisData!$A:$A, "Pickup", NewEmisData!$B:$B, $A73, NewEmisData!$C:$C, $H73, NewEmisData!$D:$D, DM$2), SUMIFS(NewEmisData!K:K, NewEmisData!$A:$A, "LDV", NewEmisData!$B:$B, $A73, NewEmisData!$C:$C, $H73, NewEmisData!$D:$D, DM$2))</f>
        <v>0</v>
      </c>
      <c r="DN73" s="324">
        <f>$I73*IF($G73="Pickup", SUMIFS(NewEmisData!L:L, NewEmisData!$A:$A, "Pickup", NewEmisData!$B:$B, $A73, NewEmisData!$C:$C, $H73, NewEmisData!$D:$D, DN$2), SUMIFS(NewEmisData!L:L, NewEmisData!$A:$A, "LDV", NewEmisData!$B:$B, $A73, NewEmisData!$C:$C, $H73, NewEmisData!$D:$D, DN$2))</f>
        <v>0</v>
      </c>
      <c r="DO73" s="324">
        <f>$I73*IF($G73="Pickup", SUMIFS(NewEmisData!M:M, NewEmisData!$A:$A, "Pickup", NewEmisData!$B:$B, $A73, NewEmisData!$C:$C, $H73, NewEmisData!$D:$D, DO$2), SUMIFS(NewEmisData!M:M, NewEmisData!$A:$A, "LDV", NewEmisData!$B:$B, $A73, NewEmisData!$C:$C, $H73, NewEmisData!$D:$D, DO$2))</f>
        <v>0</v>
      </c>
      <c r="DP73" s="324">
        <f t="shared" si="14"/>
        <v>0</v>
      </c>
      <c r="DQ73" s="324">
        <f>$I73*IF($G73="Pickup", SUMIFS(NewEmisData!E:E, NewEmisData!$A:$A, "Pickup", NewEmisData!$B:$B, $A73, NewEmisData!$C:$C, $H73, NewEmisData!$D:$D, DQ$2), SUMIFS(NewEmisData!E:E, NewEmisData!$A:$A, "LDV", NewEmisData!$B:$B, $A73, NewEmisData!$C:$C, $H73, NewEmisData!$D:$D, DQ$2))</f>
        <v>0</v>
      </c>
      <c r="DR73" s="324">
        <f>$I73*IF($G73="Pickup", SUMIFS(NewEmisData!F:F, NewEmisData!$A:$A, "Pickup", NewEmisData!$B:$B, $A73, NewEmisData!$C:$C, $H73, NewEmisData!$D:$D, DR$2), SUMIFS(NewEmisData!F:F, NewEmisData!$A:$A, "LDV", NewEmisData!$B:$B, $A73, NewEmisData!$C:$C, $H73, NewEmisData!$D:$D, DR$2))</f>
        <v>0</v>
      </c>
      <c r="DS73" s="324">
        <f>$I73*IF($G73="Pickup", SUMIFS(NewEmisData!G:G, NewEmisData!$A:$A, "Pickup", NewEmisData!$B:$B, $A73, NewEmisData!$C:$C, $H73, NewEmisData!$D:$D, DS$2), SUMIFS(NewEmisData!G:G, NewEmisData!$A:$A, "LDV", NewEmisData!$B:$B, $A73, NewEmisData!$C:$C, $H73, NewEmisData!$D:$D, DS$2))</f>
        <v>0</v>
      </c>
      <c r="DT73" s="324">
        <f>$I73*IF($G73="Pickup", SUMIFS(NewEmisData!H:H, NewEmisData!$A:$A, "Pickup", NewEmisData!$B:$B, $A73, NewEmisData!$C:$C, $H73, NewEmisData!$D:$D, DT$2), SUMIFS(NewEmisData!H:H, NewEmisData!$A:$A, "LDV", NewEmisData!$B:$B, $A73, NewEmisData!$C:$C, $H73, NewEmisData!$D:$D, DT$2))</f>
        <v>0</v>
      </c>
      <c r="DU73" s="324">
        <f>$I73*IF($G73="Pickup", SUMIFS(NewEmisData!I:I, NewEmisData!$A:$A, "Pickup", NewEmisData!$B:$B, $A73, NewEmisData!$C:$C, $H73, NewEmisData!$D:$D, DU$2), SUMIFS(NewEmisData!I:I, NewEmisData!$A:$A, "LDV", NewEmisData!$B:$B, $A73, NewEmisData!$C:$C, $H73, NewEmisData!$D:$D, DU$2))</f>
        <v>0</v>
      </c>
      <c r="DV73" s="324">
        <f>$I73*IF($G73="Pickup", SUMIFS(NewEmisData!J:J, NewEmisData!$A:$A, "Pickup", NewEmisData!$B:$B, $A73, NewEmisData!$C:$C, $H73, NewEmisData!$D:$D, DV$2), SUMIFS(NewEmisData!J:J, NewEmisData!$A:$A, "LDV", NewEmisData!$B:$B, $A73, NewEmisData!$C:$C, $H73, NewEmisData!$D:$D, DV$2))</f>
        <v>0</v>
      </c>
      <c r="DW73" s="324">
        <f>$I73*IF($G73="Pickup", SUMIFS(NewEmisData!K:K, NewEmisData!$A:$A, "Pickup", NewEmisData!$B:$B, $A73, NewEmisData!$C:$C, $H73, NewEmisData!$D:$D, DW$2), SUMIFS(NewEmisData!K:K, NewEmisData!$A:$A, "LDV", NewEmisData!$B:$B, $A73, NewEmisData!$C:$C, $H73, NewEmisData!$D:$D, DW$2))</f>
        <v>0</v>
      </c>
      <c r="DX73" s="324">
        <f>$I73*IF($G73="Pickup", SUMIFS(NewEmisData!L:L, NewEmisData!$A:$A, "Pickup", NewEmisData!$B:$B, $A73, NewEmisData!$C:$C, $H73, NewEmisData!$D:$D, DX$2), SUMIFS(NewEmisData!L:L, NewEmisData!$A:$A, "LDV", NewEmisData!$B:$B, $A73, NewEmisData!$C:$C, $H73, NewEmisData!$D:$D, DX$2))</f>
        <v>0</v>
      </c>
      <c r="DY73" s="324">
        <f>$I73*IF($G73="Pickup", SUMIFS(NewEmisData!M:M, NewEmisData!$A:$A, "Pickup", NewEmisData!$B:$B, $A73, NewEmisData!$C:$C, $H73, NewEmisData!$D:$D, DY$2), SUMIFS(NewEmisData!M:M, NewEmisData!$A:$A, "LDV", NewEmisData!$B:$B, $A73, NewEmisData!$C:$C, $H73, NewEmisData!$D:$D, DY$2))</f>
        <v>0</v>
      </c>
      <c r="DZ73" s="324">
        <f t="shared" si="15"/>
        <v>0</v>
      </c>
      <c r="EA73" s="324">
        <f t="shared" si="16"/>
        <v>0</v>
      </c>
      <c r="EB73" s="324">
        <f t="shared" si="17"/>
        <v>0</v>
      </c>
      <c r="EC73" s="324">
        <f t="shared" si="18"/>
        <v>0</v>
      </c>
      <c r="ED73" s="324">
        <f t="shared" si="19"/>
        <v>0</v>
      </c>
      <c r="EE73" s="324">
        <f t="shared" si="20"/>
        <v>0</v>
      </c>
      <c r="EF73" s="324">
        <f t="shared" si="21"/>
        <v>0</v>
      </c>
      <c r="EG73" s="324">
        <f t="shared" si="22"/>
        <v>0</v>
      </c>
      <c r="EH73" s="324">
        <f t="shared" si="23"/>
        <v>0</v>
      </c>
      <c r="EI73" s="324">
        <f t="shared" si="24"/>
        <v>0</v>
      </c>
      <c r="EJ73" s="324">
        <f t="shared" si="25"/>
        <v>0</v>
      </c>
      <c r="EK73" s="324">
        <f t="shared" si="26"/>
        <v>0</v>
      </c>
      <c r="EL73" s="324">
        <f t="shared" si="27"/>
        <v>0</v>
      </c>
      <c r="EM73" s="324">
        <f t="shared" si="28"/>
        <v>0</v>
      </c>
      <c r="EN73" s="324">
        <f t="shared" si="29"/>
        <v>0</v>
      </c>
      <c r="EO73" s="324">
        <f t="shared" si="30"/>
        <v>0</v>
      </c>
      <c r="EP73" s="324">
        <f t="shared" si="31"/>
        <v>0</v>
      </c>
      <c r="EQ73" s="324">
        <f t="shared" si="32"/>
        <v>0</v>
      </c>
      <c r="ER73" s="324">
        <f t="shared" si="33"/>
        <v>0</v>
      </c>
      <c r="ES73" s="324">
        <f t="shared" si="34"/>
        <v>0</v>
      </c>
      <c r="ET73" s="324">
        <f t="shared" si="35"/>
        <v>0</v>
      </c>
      <c r="EU73" s="324">
        <f t="shared" si="36"/>
        <v>0</v>
      </c>
      <c r="EV73" s="324">
        <f t="shared" si="37"/>
        <v>0</v>
      </c>
      <c r="EW73" s="324">
        <f t="shared" si="38"/>
        <v>0</v>
      </c>
      <c r="EX73" s="324">
        <f t="shared" si="39"/>
        <v>0</v>
      </c>
      <c r="EY73" s="324">
        <f t="shared" si="40"/>
        <v>0</v>
      </c>
      <c r="EZ73" s="324">
        <f t="shared" si="41"/>
        <v>0</v>
      </c>
      <c r="FA73" s="324">
        <f t="shared" si="42"/>
        <v>0</v>
      </c>
      <c r="FB73" s="324">
        <f t="shared" si="43"/>
        <v>0</v>
      </c>
      <c r="FC73" s="324">
        <f t="shared" si="44"/>
        <v>0</v>
      </c>
      <c r="FD73" s="324">
        <f t="shared" si="45"/>
        <v>0</v>
      </c>
      <c r="FE73" s="324">
        <f t="shared" si="46"/>
        <v>0</v>
      </c>
      <c r="FF73" s="324">
        <f t="shared" si="47"/>
        <v>0</v>
      </c>
      <c r="FG73" s="324">
        <f t="shared" si="48"/>
        <v>0</v>
      </c>
      <c r="FH73" s="324">
        <f t="shared" si="49"/>
        <v>0</v>
      </c>
      <c r="FI73" s="324">
        <f t="shared" si="50"/>
        <v>0</v>
      </c>
      <c r="FJ73" s="324">
        <f t="shared" si="51"/>
        <v>0</v>
      </c>
      <c r="FK73" s="324">
        <f t="shared" si="52"/>
        <v>0</v>
      </c>
      <c r="FL73" s="324">
        <f t="shared" si="53"/>
        <v>0</v>
      </c>
      <c r="FM73" s="324">
        <f t="shared" si="54"/>
        <v>0</v>
      </c>
      <c r="FN73" s="324">
        <f t="shared" si="55"/>
        <v>0</v>
      </c>
      <c r="FO73" s="324">
        <f t="shared" si="56"/>
        <v>0</v>
      </c>
      <c r="FP73" s="324">
        <f t="shared" si="57"/>
        <v>0</v>
      </c>
      <c r="FQ73" s="324">
        <f t="shared" si="58"/>
        <v>0</v>
      </c>
      <c r="FR73" s="324">
        <f t="shared" si="59"/>
        <v>0</v>
      </c>
      <c r="FS73" s="324">
        <f t="shared" si="60"/>
        <v>0</v>
      </c>
      <c r="FT73" s="324">
        <f t="shared" si="61"/>
        <v>0</v>
      </c>
      <c r="FU73" s="324">
        <f t="shared" si="62"/>
        <v>0</v>
      </c>
      <c r="FV73" s="324">
        <f t="shared" si="63"/>
        <v>0</v>
      </c>
      <c r="FW73" s="324">
        <f t="shared" si="64"/>
        <v>0</v>
      </c>
      <c r="FX73" s="324">
        <f t="shared" si="65"/>
        <v>0</v>
      </c>
    </row>
    <row r="74" spans="1:180" x14ac:dyDescent="0.2">
      <c r="A74" s="298" t="str">
        <f>_xlfn.CONCAT(IF(LEFT(TRIM(A73),1)="*", "*R", "R"), 1+RIGHT(TRIM(A73),1))</f>
        <v>R6</v>
      </c>
      <c r="B74" s="298" t="str">
        <f t="shared" si="127"/>
        <v>TLEELC</v>
      </c>
      <c r="C74" s="298" t="str">
        <f t="shared" si="128"/>
        <v>TL.ELC.F.Existing fleet</v>
      </c>
      <c r="D74" s="294" t="str">
        <f t="shared" si="129"/>
        <v>bn-vmt, bn-vmt/a</v>
      </c>
      <c r="E74" s="294" t="str">
        <f t="shared" si="130"/>
        <v>TRNELC</v>
      </c>
      <c r="F74" s="294" t="str">
        <f t="shared" si="131"/>
        <v>TL</v>
      </c>
      <c r="G74" s="294" t="s">
        <v>475</v>
      </c>
      <c r="H74" s="294" t="s">
        <v>69</v>
      </c>
      <c r="I74" s="294">
        <v>0</v>
      </c>
      <c r="J74" s="308" t="str">
        <f t="shared" si="101"/>
        <v>Compact car-ELC</v>
      </c>
      <c r="K74" s="324">
        <f>$I74*IF($G74="Pickup", SUMIFS(NewEmisData!E:E, NewEmisData!$A:$A, "Pickup", NewEmisData!$B:$B, $A74, NewEmisData!$C:$C, $H74, NewEmisData!$D:$D, K$2), SUMIFS(NewEmisData!E:E, NewEmisData!$A:$A, "LDV", NewEmisData!$B:$B, $A74, NewEmisData!$C:$C, $H74, NewEmisData!$D:$D, K$2))</f>
        <v>0</v>
      </c>
      <c r="L74" s="324">
        <f>$I74*IF($G74="Pickup", SUMIFS(NewEmisData!F:F, NewEmisData!$A:$A, "Pickup", NewEmisData!$B:$B, $A74, NewEmisData!$C:$C, $H74, NewEmisData!$D:$D, L$2), SUMIFS(NewEmisData!F:F, NewEmisData!$A:$A, "LDV", NewEmisData!$B:$B, $A74, NewEmisData!$C:$C, $H74, NewEmisData!$D:$D, L$2))</f>
        <v>0</v>
      </c>
      <c r="M74" s="324">
        <f>$I74*IF($G74="Pickup", SUMIFS(NewEmisData!G:G, NewEmisData!$A:$A, "Pickup", NewEmisData!$B:$B, $A74, NewEmisData!$C:$C, $H74, NewEmisData!$D:$D, M$2), SUMIFS(NewEmisData!G:G, NewEmisData!$A:$A, "LDV", NewEmisData!$B:$B, $A74, NewEmisData!$C:$C, $H74, NewEmisData!$D:$D, M$2))</f>
        <v>0</v>
      </c>
      <c r="N74" s="324">
        <f>$I74*IF($G74="Pickup", SUMIFS(NewEmisData!H:H, NewEmisData!$A:$A, "Pickup", NewEmisData!$B:$B, $A74, NewEmisData!$C:$C, $H74, NewEmisData!$D:$D, N$2), SUMIFS(NewEmisData!H:H, NewEmisData!$A:$A, "LDV", NewEmisData!$B:$B, $A74, NewEmisData!$C:$C, $H74, NewEmisData!$D:$D, N$2))</f>
        <v>0</v>
      </c>
      <c r="O74" s="324">
        <f>$I74*IF($G74="Pickup", SUMIFS(NewEmisData!I:I, NewEmisData!$A:$A, "Pickup", NewEmisData!$B:$B, $A74, NewEmisData!$C:$C, $H74, NewEmisData!$D:$D, O$2), SUMIFS(NewEmisData!I:I, NewEmisData!$A:$A, "LDV", NewEmisData!$B:$B, $A74, NewEmisData!$C:$C, $H74, NewEmisData!$D:$D, O$2))</f>
        <v>0</v>
      </c>
      <c r="P74" s="324">
        <f>$I74*IF($G74="Pickup", SUMIFS(NewEmisData!J:J, NewEmisData!$A:$A, "Pickup", NewEmisData!$B:$B, $A74, NewEmisData!$C:$C, $H74, NewEmisData!$D:$D, P$2), SUMIFS(NewEmisData!J:J, NewEmisData!$A:$A, "LDV", NewEmisData!$B:$B, $A74, NewEmisData!$C:$C, $H74, NewEmisData!$D:$D, P$2))</f>
        <v>0</v>
      </c>
      <c r="Q74" s="324">
        <f>$I74*IF($G74="Pickup", SUMIFS(NewEmisData!K:K, NewEmisData!$A:$A, "Pickup", NewEmisData!$B:$B, $A74, NewEmisData!$C:$C, $H74, NewEmisData!$D:$D, Q$2), SUMIFS(NewEmisData!K:K, NewEmisData!$A:$A, "LDV", NewEmisData!$B:$B, $A74, NewEmisData!$C:$C, $H74, NewEmisData!$D:$D, Q$2))</f>
        <v>0</v>
      </c>
      <c r="R74" s="324">
        <f>$I74*IF($G74="Pickup", SUMIFS(NewEmisData!L:L, NewEmisData!$A:$A, "Pickup", NewEmisData!$B:$B, $A74, NewEmisData!$C:$C, $H74, NewEmisData!$D:$D, R$2), SUMIFS(NewEmisData!L:L, NewEmisData!$A:$A, "LDV", NewEmisData!$B:$B, $A74, NewEmisData!$C:$C, $H74, NewEmisData!$D:$D, R$2))</f>
        <v>0</v>
      </c>
      <c r="S74" s="324">
        <f>$I74*IF($G74="Pickup", SUMIFS(NewEmisData!M:M, NewEmisData!$A:$A, "Pickup", NewEmisData!$B:$B, $A74, NewEmisData!$C:$C, $H74, NewEmisData!$D:$D, S$2), SUMIFS(NewEmisData!M:M, NewEmisData!$A:$A, "LDV", NewEmisData!$B:$B, $A74, NewEmisData!$C:$C, $H74, NewEmisData!$D:$D, S$2))</f>
        <v>0</v>
      </c>
      <c r="T74" s="324">
        <f t="shared" si="5"/>
        <v>0</v>
      </c>
      <c r="U74" s="324">
        <f>$I74*IF($G74="Pickup", SUMIFS(NewEmisData!E:E, NewEmisData!$A:$A, "Pickup", NewEmisData!$B:$B, $A74, NewEmisData!$C:$C, $H74, NewEmisData!$D:$D, U$2), SUMIFS(NewEmisData!E:E, NewEmisData!$A:$A, "LDV", NewEmisData!$B:$B, $A74, NewEmisData!$C:$C, $H74, NewEmisData!$D:$D, U$2))</f>
        <v>0</v>
      </c>
      <c r="V74" s="324">
        <f>$I74*IF($G74="Pickup", SUMIFS(NewEmisData!F:F, NewEmisData!$A:$A, "Pickup", NewEmisData!$B:$B, $A74, NewEmisData!$C:$C, $H74, NewEmisData!$D:$D, V$2), SUMIFS(NewEmisData!F:F, NewEmisData!$A:$A, "LDV", NewEmisData!$B:$B, $A74, NewEmisData!$C:$C, $H74, NewEmisData!$D:$D, V$2))</f>
        <v>0</v>
      </c>
      <c r="W74" s="324">
        <f>$I74*IF($G74="Pickup", SUMIFS(NewEmisData!G:G, NewEmisData!$A:$A, "Pickup", NewEmisData!$B:$B, $A74, NewEmisData!$C:$C, $H74, NewEmisData!$D:$D, W$2), SUMIFS(NewEmisData!G:G, NewEmisData!$A:$A, "LDV", NewEmisData!$B:$B, $A74, NewEmisData!$C:$C, $H74, NewEmisData!$D:$D, W$2))</f>
        <v>0</v>
      </c>
      <c r="X74" s="324">
        <f>$I74*IF($G74="Pickup", SUMIFS(NewEmisData!H:H, NewEmisData!$A:$A, "Pickup", NewEmisData!$B:$B, $A74, NewEmisData!$C:$C, $H74, NewEmisData!$D:$D, X$2), SUMIFS(NewEmisData!H:H, NewEmisData!$A:$A, "LDV", NewEmisData!$B:$B, $A74, NewEmisData!$C:$C, $H74, NewEmisData!$D:$D, X$2))</f>
        <v>0</v>
      </c>
      <c r="Y74" s="324">
        <f>$I74*IF($G74="Pickup", SUMIFS(NewEmisData!I:I, NewEmisData!$A:$A, "Pickup", NewEmisData!$B:$B, $A74, NewEmisData!$C:$C, $H74, NewEmisData!$D:$D, Y$2), SUMIFS(NewEmisData!I:I, NewEmisData!$A:$A, "LDV", NewEmisData!$B:$B, $A74, NewEmisData!$C:$C, $H74, NewEmisData!$D:$D, Y$2))</f>
        <v>0</v>
      </c>
      <c r="Z74" s="324">
        <f>$I74*IF($G74="Pickup", SUMIFS(NewEmisData!J:J, NewEmisData!$A:$A, "Pickup", NewEmisData!$B:$B, $A74, NewEmisData!$C:$C, $H74, NewEmisData!$D:$D, Z$2), SUMIFS(NewEmisData!J:J, NewEmisData!$A:$A, "LDV", NewEmisData!$B:$B, $A74, NewEmisData!$C:$C, $H74, NewEmisData!$D:$D, Z$2))</f>
        <v>0</v>
      </c>
      <c r="AA74" s="324">
        <f>$I74*IF($G74="Pickup", SUMIFS(NewEmisData!K:K, NewEmisData!$A:$A, "Pickup", NewEmisData!$B:$B, $A74, NewEmisData!$C:$C, $H74, NewEmisData!$D:$D, AA$2), SUMIFS(NewEmisData!K:K, NewEmisData!$A:$A, "LDV", NewEmisData!$B:$B, $A74, NewEmisData!$C:$C, $H74, NewEmisData!$D:$D, AA$2))</f>
        <v>0</v>
      </c>
      <c r="AB74" s="324">
        <f>$I74*IF($G74="Pickup", SUMIFS(NewEmisData!L:L, NewEmisData!$A:$A, "Pickup", NewEmisData!$B:$B, $A74, NewEmisData!$C:$C, $H74, NewEmisData!$D:$D, AB$2), SUMIFS(NewEmisData!L:L, NewEmisData!$A:$A, "LDV", NewEmisData!$B:$B, $A74, NewEmisData!$C:$C, $H74, NewEmisData!$D:$D, AB$2))</f>
        <v>0</v>
      </c>
      <c r="AC74" s="324">
        <f>$I74*IF($G74="Pickup", SUMIFS(NewEmisData!M:M, NewEmisData!$A:$A, "Pickup", NewEmisData!$B:$B, $A74, NewEmisData!$C:$C, $H74, NewEmisData!$D:$D, AC$2), SUMIFS(NewEmisData!M:M, NewEmisData!$A:$A, "LDV", NewEmisData!$B:$B, $A74, NewEmisData!$C:$C, $H74, NewEmisData!$D:$D, AC$2))</f>
        <v>0</v>
      </c>
      <c r="AD74" s="324">
        <f t="shared" si="6"/>
        <v>0</v>
      </c>
      <c r="AE74" s="324">
        <f>$I74*IF($G74="Pickup", SUMIFS(NewEmisData!E:E, NewEmisData!$A:$A, "Pickup", NewEmisData!$B:$B, $A74, NewEmisData!$C:$C, $H74, NewEmisData!$D:$D, AE$2), SUMIFS(NewEmisData!E:E, NewEmisData!$A:$A, "LDV", NewEmisData!$B:$B, $A74, NewEmisData!$C:$C, $H74, NewEmisData!$D:$D, AE$2))</f>
        <v>0</v>
      </c>
      <c r="AF74" s="324">
        <f>$I74*IF($G74="Pickup", SUMIFS(NewEmisData!F:F, NewEmisData!$A:$A, "Pickup", NewEmisData!$B:$B, $A74, NewEmisData!$C:$C, $H74, NewEmisData!$D:$D, AF$2), SUMIFS(NewEmisData!F:F, NewEmisData!$A:$A, "LDV", NewEmisData!$B:$B, $A74, NewEmisData!$C:$C, $H74, NewEmisData!$D:$D, AF$2))</f>
        <v>0</v>
      </c>
      <c r="AG74" s="324">
        <f>$I74*IF($G74="Pickup", SUMIFS(NewEmisData!G:G, NewEmisData!$A:$A, "Pickup", NewEmisData!$B:$B, $A74, NewEmisData!$C:$C, $H74, NewEmisData!$D:$D, AG$2), SUMIFS(NewEmisData!G:G, NewEmisData!$A:$A, "LDV", NewEmisData!$B:$B, $A74, NewEmisData!$C:$C, $H74, NewEmisData!$D:$D, AG$2))</f>
        <v>0</v>
      </c>
      <c r="AH74" s="324">
        <f>$I74*IF($G74="Pickup", SUMIFS(NewEmisData!H:H, NewEmisData!$A:$A, "Pickup", NewEmisData!$B:$B, $A74, NewEmisData!$C:$C, $H74, NewEmisData!$D:$D, AH$2), SUMIFS(NewEmisData!H:H, NewEmisData!$A:$A, "LDV", NewEmisData!$B:$B, $A74, NewEmisData!$C:$C, $H74, NewEmisData!$D:$D, AH$2))</f>
        <v>0</v>
      </c>
      <c r="AI74" s="324">
        <f>$I74*IF($G74="Pickup", SUMIFS(NewEmisData!I:I, NewEmisData!$A:$A, "Pickup", NewEmisData!$B:$B, $A74, NewEmisData!$C:$C, $H74, NewEmisData!$D:$D, AI$2), SUMIFS(NewEmisData!I:I, NewEmisData!$A:$A, "LDV", NewEmisData!$B:$B, $A74, NewEmisData!$C:$C, $H74, NewEmisData!$D:$D, AI$2))</f>
        <v>0</v>
      </c>
      <c r="AJ74" s="324">
        <f>$I74*IF($G74="Pickup", SUMIFS(NewEmisData!J:J, NewEmisData!$A:$A, "Pickup", NewEmisData!$B:$B, $A74, NewEmisData!$C:$C, $H74, NewEmisData!$D:$D, AJ$2), SUMIFS(NewEmisData!J:J, NewEmisData!$A:$A, "LDV", NewEmisData!$B:$B, $A74, NewEmisData!$C:$C, $H74, NewEmisData!$D:$D, AJ$2))</f>
        <v>0</v>
      </c>
      <c r="AK74" s="324">
        <f>$I74*IF($G74="Pickup", SUMIFS(NewEmisData!K:K, NewEmisData!$A:$A, "Pickup", NewEmisData!$B:$B, $A74, NewEmisData!$C:$C, $H74, NewEmisData!$D:$D, AK$2), SUMIFS(NewEmisData!K:K, NewEmisData!$A:$A, "LDV", NewEmisData!$B:$B, $A74, NewEmisData!$C:$C, $H74, NewEmisData!$D:$D, AK$2))</f>
        <v>0</v>
      </c>
      <c r="AL74" s="324">
        <f>$I74*IF($G74="Pickup", SUMIFS(NewEmisData!L:L, NewEmisData!$A:$A, "Pickup", NewEmisData!$B:$B, $A74, NewEmisData!$C:$C, $H74, NewEmisData!$D:$D, AL$2), SUMIFS(NewEmisData!L:L, NewEmisData!$A:$A, "LDV", NewEmisData!$B:$B, $A74, NewEmisData!$C:$C, $H74, NewEmisData!$D:$D, AL$2))</f>
        <v>0</v>
      </c>
      <c r="AM74" s="324">
        <f>$I74*IF($G74="Pickup", SUMIFS(NewEmisData!M:M, NewEmisData!$A:$A, "Pickup", NewEmisData!$B:$B, $A74, NewEmisData!$C:$C, $H74, NewEmisData!$D:$D, AM$2), SUMIFS(NewEmisData!M:M, NewEmisData!$A:$A, "LDV", NewEmisData!$B:$B, $A74, NewEmisData!$C:$C, $H74, NewEmisData!$D:$D, AM$2))</f>
        <v>0</v>
      </c>
      <c r="AN74" s="324">
        <f t="shared" si="7"/>
        <v>0</v>
      </c>
      <c r="AO74" s="324">
        <f>$I74*IF($G74="Pickup", SUMIFS(NewEmisData!E:E, NewEmisData!$A:$A, "Pickup", NewEmisData!$B:$B, $A74, NewEmisData!$C:$C, $H74, NewEmisData!$D:$D, AO$2), SUMIFS(NewEmisData!E:E, NewEmisData!$A:$A, "LDV", NewEmisData!$B:$B, $A74, NewEmisData!$C:$C, $H74, NewEmisData!$D:$D, AO$2))</f>
        <v>0</v>
      </c>
      <c r="AP74" s="324">
        <f>$I74*IF($G74="Pickup", SUMIFS(NewEmisData!F:F, NewEmisData!$A:$A, "Pickup", NewEmisData!$B:$B, $A74, NewEmisData!$C:$C, $H74, NewEmisData!$D:$D, AP$2), SUMIFS(NewEmisData!F:F, NewEmisData!$A:$A, "LDV", NewEmisData!$B:$B, $A74, NewEmisData!$C:$C, $H74, NewEmisData!$D:$D, AP$2))</f>
        <v>0</v>
      </c>
      <c r="AQ74" s="324">
        <f>$I74*IF($G74="Pickup", SUMIFS(NewEmisData!G:G, NewEmisData!$A:$A, "Pickup", NewEmisData!$B:$B, $A74, NewEmisData!$C:$C, $H74, NewEmisData!$D:$D, AQ$2), SUMIFS(NewEmisData!G:G, NewEmisData!$A:$A, "LDV", NewEmisData!$B:$B, $A74, NewEmisData!$C:$C, $H74, NewEmisData!$D:$D, AQ$2))</f>
        <v>0</v>
      </c>
      <c r="AR74" s="324">
        <f>$I74*IF($G74="Pickup", SUMIFS(NewEmisData!H:H, NewEmisData!$A:$A, "Pickup", NewEmisData!$B:$B, $A74, NewEmisData!$C:$C, $H74, NewEmisData!$D:$D, AR$2), SUMIFS(NewEmisData!H:H, NewEmisData!$A:$A, "LDV", NewEmisData!$B:$B, $A74, NewEmisData!$C:$C, $H74, NewEmisData!$D:$D, AR$2))</f>
        <v>0</v>
      </c>
      <c r="AS74" s="324">
        <f>$I74*IF($G74="Pickup", SUMIFS(NewEmisData!I:I, NewEmisData!$A:$A, "Pickup", NewEmisData!$B:$B, $A74, NewEmisData!$C:$C, $H74, NewEmisData!$D:$D, AS$2), SUMIFS(NewEmisData!I:I, NewEmisData!$A:$A, "LDV", NewEmisData!$B:$B, $A74, NewEmisData!$C:$C, $H74, NewEmisData!$D:$D, AS$2))</f>
        <v>0</v>
      </c>
      <c r="AT74" s="324">
        <f>$I74*IF($G74="Pickup", SUMIFS(NewEmisData!J:J, NewEmisData!$A:$A, "Pickup", NewEmisData!$B:$B, $A74, NewEmisData!$C:$C, $H74, NewEmisData!$D:$D, AT$2), SUMIFS(NewEmisData!J:J, NewEmisData!$A:$A, "LDV", NewEmisData!$B:$B, $A74, NewEmisData!$C:$C, $H74, NewEmisData!$D:$D, AT$2))</f>
        <v>0</v>
      </c>
      <c r="AU74" s="324">
        <f>$I74*IF($G74="Pickup", SUMIFS(NewEmisData!K:K, NewEmisData!$A:$A, "Pickup", NewEmisData!$B:$B, $A74, NewEmisData!$C:$C, $H74, NewEmisData!$D:$D, AU$2), SUMIFS(NewEmisData!K:K, NewEmisData!$A:$A, "LDV", NewEmisData!$B:$B, $A74, NewEmisData!$C:$C, $H74, NewEmisData!$D:$D, AU$2))</f>
        <v>0</v>
      </c>
      <c r="AV74" s="324">
        <f>$I74*IF($G74="Pickup", SUMIFS(NewEmisData!L:L, NewEmisData!$A:$A, "Pickup", NewEmisData!$B:$B, $A74, NewEmisData!$C:$C, $H74, NewEmisData!$D:$D, AV$2), SUMIFS(NewEmisData!L:L, NewEmisData!$A:$A, "LDV", NewEmisData!$B:$B, $A74, NewEmisData!$C:$C, $H74, NewEmisData!$D:$D, AV$2))</f>
        <v>0</v>
      </c>
      <c r="AW74" s="324">
        <f>$I74*IF($G74="Pickup", SUMIFS(NewEmisData!M:M, NewEmisData!$A:$A, "Pickup", NewEmisData!$B:$B, $A74, NewEmisData!$C:$C, $H74, NewEmisData!$D:$D, AW$2), SUMIFS(NewEmisData!M:M, NewEmisData!$A:$A, "LDV", NewEmisData!$B:$B, $A74, NewEmisData!$C:$C, $H74, NewEmisData!$D:$D, AW$2))</f>
        <v>0</v>
      </c>
      <c r="AX74" s="324">
        <f t="shared" si="8"/>
        <v>0</v>
      </c>
      <c r="AY74" s="324">
        <f>$I74*IF($G74="Pickup", SUMIFS(NewEmisData!E:E, NewEmisData!$A:$A, "Pickup", NewEmisData!$B:$B, $A74, NewEmisData!$C:$C, $H74, NewEmisData!$D:$D, AY$2), SUMIFS(NewEmisData!E:E, NewEmisData!$A:$A, "LDV", NewEmisData!$B:$B, $A74, NewEmisData!$C:$C, $H74, NewEmisData!$D:$D, AY$2))</f>
        <v>0</v>
      </c>
      <c r="AZ74" s="324">
        <f>$I74*IF($G74="Pickup", SUMIFS(NewEmisData!F:F, NewEmisData!$A:$A, "Pickup", NewEmisData!$B:$B, $A74, NewEmisData!$C:$C, $H74, NewEmisData!$D:$D, AZ$2), SUMIFS(NewEmisData!F:F, NewEmisData!$A:$A, "LDV", NewEmisData!$B:$B, $A74, NewEmisData!$C:$C, $H74, NewEmisData!$D:$D, AZ$2))</f>
        <v>0</v>
      </c>
      <c r="BA74" s="324">
        <f>$I74*IF($G74="Pickup", SUMIFS(NewEmisData!G:G, NewEmisData!$A:$A, "Pickup", NewEmisData!$B:$B, $A74, NewEmisData!$C:$C, $H74, NewEmisData!$D:$D, BA$2), SUMIFS(NewEmisData!G:G, NewEmisData!$A:$A, "LDV", NewEmisData!$B:$B, $A74, NewEmisData!$C:$C, $H74, NewEmisData!$D:$D, BA$2))</f>
        <v>0</v>
      </c>
      <c r="BB74" s="324">
        <f>$I74*IF($G74="Pickup", SUMIFS(NewEmisData!H:H, NewEmisData!$A:$A, "Pickup", NewEmisData!$B:$B, $A74, NewEmisData!$C:$C, $H74, NewEmisData!$D:$D, BB$2), SUMIFS(NewEmisData!H:H, NewEmisData!$A:$A, "LDV", NewEmisData!$B:$B, $A74, NewEmisData!$C:$C, $H74, NewEmisData!$D:$D, BB$2))</f>
        <v>0</v>
      </c>
      <c r="BC74" s="324">
        <f>$I74*IF($G74="Pickup", SUMIFS(NewEmisData!I:I, NewEmisData!$A:$A, "Pickup", NewEmisData!$B:$B, $A74, NewEmisData!$C:$C, $H74, NewEmisData!$D:$D, BC$2), SUMIFS(NewEmisData!I:I, NewEmisData!$A:$A, "LDV", NewEmisData!$B:$B, $A74, NewEmisData!$C:$C, $H74, NewEmisData!$D:$D, BC$2))</f>
        <v>0</v>
      </c>
      <c r="BD74" s="324">
        <f>$I74*IF($G74="Pickup", SUMIFS(NewEmisData!J:J, NewEmisData!$A:$A, "Pickup", NewEmisData!$B:$B, $A74, NewEmisData!$C:$C, $H74, NewEmisData!$D:$D, BD$2), SUMIFS(NewEmisData!J:J, NewEmisData!$A:$A, "LDV", NewEmisData!$B:$B, $A74, NewEmisData!$C:$C, $H74, NewEmisData!$D:$D, BD$2))</f>
        <v>0</v>
      </c>
      <c r="BE74" s="324">
        <f>$I74*IF($G74="Pickup", SUMIFS(NewEmisData!K:K, NewEmisData!$A:$A, "Pickup", NewEmisData!$B:$B, $A74, NewEmisData!$C:$C, $H74, NewEmisData!$D:$D, BE$2), SUMIFS(NewEmisData!K:K, NewEmisData!$A:$A, "LDV", NewEmisData!$B:$B, $A74, NewEmisData!$C:$C, $H74, NewEmisData!$D:$D, BE$2))</f>
        <v>0</v>
      </c>
      <c r="BF74" s="324">
        <f>$I74*IF($G74="Pickup", SUMIFS(NewEmisData!L:L, NewEmisData!$A:$A, "Pickup", NewEmisData!$B:$B, $A74, NewEmisData!$C:$C, $H74, NewEmisData!$D:$D, BF$2), SUMIFS(NewEmisData!L:L, NewEmisData!$A:$A, "LDV", NewEmisData!$B:$B, $A74, NewEmisData!$C:$C, $H74, NewEmisData!$D:$D, BF$2))</f>
        <v>0</v>
      </c>
      <c r="BG74" s="324">
        <f>$I74*IF($G74="Pickup", SUMIFS(NewEmisData!M:M, NewEmisData!$A:$A, "Pickup", NewEmisData!$B:$B, $A74, NewEmisData!$C:$C, $H74, NewEmisData!$D:$D, BG$2), SUMIFS(NewEmisData!M:M, NewEmisData!$A:$A, "LDV", NewEmisData!$B:$B, $A74, NewEmisData!$C:$C, $H74, NewEmisData!$D:$D, BG$2))</f>
        <v>0</v>
      </c>
      <c r="BH74" s="324">
        <f t="shared" si="9"/>
        <v>0</v>
      </c>
      <c r="BI74" s="324">
        <f>$I74*IF($G74="Pickup", SUMIFS(NewEmisData!E:E, NewEmisData!$A:$A, "Pickup", NewEmisData!$B:$B, $A74, NewEmisData!$C:$C, $H74, NewEmisData!$D:$D, BI$2), SUMIFS(NewEmisData!E:E, NewEmisData!$A:$A, "LDV", NewEmisData!$B:$B, $A74, NewEmisData!$C:$C, $H74, NewEmisData!$D:$D, BI$2))</f>
        <v>0</v>
      </c>
      <c r="BJ74" s="324">
        <f>$I74*IF($G74="Pickup", SUMIFS(NewEmisData!F:F, NewEmisData!$A:$A, "Pickup", NewEmisData!$B:$B, $A74, NewEmisData!$C:$C, $H74, NewEmisData!$D:$D, BJ$2), SUMIFS(NewEmisData!F:F, NewEmisData!$A:$A, "LDV", NewEmisData!$B:$B, $A74, NewEmisData!$C:$C, $H74, NewEmisData!$D:$D, BJ$2))</f>
        <v>0</v>
      </c>
      <c r="BK74" s="324">
        <f>$I74*IF($G74="Pickup", SUMIFS(NewEmisData!G:G, NewEmisData!$A:$A, "Pickup", NewEmisData!$B:$B, $A74, NewEmisData!$C:$C, $H74, NewEmisData!$D:$D, BK$2), SUMIFS(NewEmisData!G:G, NewEmisData!$A:$A, "LDV", NewEmisData!$B:$B, $A74, NewEmisData!$C:$C, $H74, NewEmisData!$D:$D, BK$2))</f>
        <v>0</v>
      </c>
      <c r="BL74" s="324">
        <f>$I74*IF($G74="Pickup", SUMIFS(NewEmisData!H:H, NewEmisData!$A:$A, "Pickup", NewEmisData!$B:$B, $A74, NewEmisData!$C:$C, $H74, NewEmisData!$D:$D, BL$2), SUMIFS(NewEmisData!H:H, NewEmisData!$A:$A, "LDV", NewEmisData!$B:$B, $A74, NewEmisData!$C:$C, $H74, NewEmisData!$D:$D, BL$2))</f>
        <v>0</v>
      </c>
      <c r="BM74" s="324">
        <f>$I74*IF($G74="Pickup", SUMIFS(NewEmisData!I:I, NewEmisData!$A:$A, "Pickup", NewEmisData!$B:$B, $A74, NewEmisData!$C:$C, $H74, NewEmisData!$D:$D, BM$2), SUMIFS(NewEmisData!I:I, NewEmisData!$A:$A, "LDV", NewEmisData!$B:$B, $A74, NewEmisData!$C:$C, $H74, NewEmisData!$D:$D, BM$2))</f>
        <v>0</v>
      </c>
      <c r="BN74" s="324">
        <f>$I74*IF($G74="Pickup", SUMIFS(NewEmisData!J:J, NewEmisData!$A:$A, "Pickup", NewEmisData!$B:$B, $A74, NewEmisData!$C:$C, $H74, NewEmisData!$D:$D, BN$2), SUMIFS(NewEmisData!J:J, NewEmisData!$A:$A, "LDV", NewEmisData!$B:$B, $A74, NewEmisData!$C:$C, $H74, NewEmisData!$D:$D, BN$2))</f>
        <v>0</v>
      </c>
      <c r="BO74" s="324">
        <f>$I74*IF($G74="Pickup", SUMIFS(NewEmisData!K:K, NewEmisData!$A:$A, "Pickup", NewEmisData!$B:$B, $A74, NewEmisData!$C:$C, $H74, NewEmisData!$D:$D, BO$2), SUMIFS(NewEmisData!K:K, NewEmisData!$A:$A, "LDV", NewEmisData!$B:$B, $A74, NewEmisData!$C:$C, $H74, NewEmisData!$D:$D, BO$2))</f>
        <v>0</v>
      </c>
      <c r="BP74" s="324">
        <f>$I74*IF($G74="Pickup", SUMIFS(NewEmisData!L:L, NewEmisData!$A:$A, "Pickup", NewEmisData!$B:$B, $A74, NewEmisData!$C:$C, $H74, NewEmisData!$D:$D, BP$2), SUMIFS(NewEmisData!L:L, NewEmisData!$A:$A, "LDV", NewEmisData!$B:$B, $A74, NewEmisData!$C:$C, $H74, NewEmisData!$D:$D, BP$2))</f>
        <v>0</v>
      </c>
      <c r="BQ74" s="324">
        <f>$I74*IF($G74="Pickup", SUMIFS(NewEmisData!M:M, NewEmisData!$A:$A, "Pickup", NewEmisData!$B:$B, $A74, NewEmisData!$C:$C, $H74, NewEmisData!$D:$D, BQ$2), SUMIFS(NewEmisData!M:M, NewEmisData!$A:$A, "LDV", NewEmisData!$B:$B, $A74, NewEmisData!$C:$C, $H74, NewEmisData!$D:$D, BQ$2))</f>
        <v>0</v>
      </c>
      <c r="BR74" s="324">
        <f t="shared" si="10"/>
        <v>0</v>
      </c>
      <c r="BS74" s="324">
        <f>$I74*IF($G74="Pickup", SUMIFS(NewEmisData!E:E, NewEmisData!$A:$A, "Pickup", NewEmisData!$B:$B, $A74, NewEmisData!$C:$C, $H74, NewEmisData!$D:$D, BS$2), SUMIFS(NewEmisData!E:E, NewEmisData!$A:$A, "LDV", NewEmisData!$B:$B, $A74, NewEmisData!$C:$C, $H74, NewEmisData!$D:$D, BS$2))</f>
        <v>0</v>
      </c>
      <c r="BT74" s="324">
        <f>$I74*IF($G74="Pickup", SUMIFS(NewEmisData!F:F, NewEmisData!$A:$A, "Pickup", NewEmisData!$B:$B, $A74, NewEmisData!$C:$C, $H74, NewEmisData!$D:$D, BT$2), SUMIFS(NewEmisData!F:F, NewEmisData!$A:$A, "LDV", NewEmisData!$B:$B, $A74, NewEmisData!$C:$C, $H74, NewEmisData!$D:$D, BT$2))</f>
        <v>0</v>
      </c>
      <c r="BU74" s="324">
        <f>$I74*IF($G74="Pickup", SUMIFS(NewEmisData!G:G, NewEmisData!$A:$A, "Pickup", NewEmisData!$B:$B, $A74, NewEmisData!$C:$C, $H74, NewEmisData!$D:$D, BU$2), SUMIFS(NewEmisData!G:G, NewEmisData!$A:$A, "LDV", NewEmisData!$B:$B, $A74, NewEmisData!$C:$C, $H74, NewEmisData!$D:$D, BU$2))</f>
        <v>0</v>
      </c>
      <c r="BV74" s="324">
        <f>$I74*IF($G74="Pickup", SUMIFS(NewEmisData!H:H, NewEmisData!$A:$A, "Pickup", NewEmisData!$B:$B, $A74, NewEmisData!$C:$C, $H74, NewEmisData!$D:$D, BV$2), SUMIFS(NewEmisData!H:H, NewEmisData!$A:$A, "LDV", NewEmisData!$B:$B, $A74, NewEmisData!$C:$C, $H74, NewEmisData!$D:$D, BV$2))</f>
        <v>0</v>
      </c>
      <c r="BW74" s="324">
        <f>$I74*IF($G74="Pickup", SUMIFS(NewEmisData!I:I, NewEmisData!$A:$A, "Pickup", NewEmisData!$B:$B, $A74, NewEmisData!$C:$C, $H74, NewEmisData!$D:$D, BW$2), SUMIFS(NewEmisData!I:I, NewEmisData!$A:$A, "LDV", NewEmisData!$B:$B, $A74, NewEmisData!$C:$C, $H74, NewEmisData!$D:$D, BW$2))</f>
        <v>0</v>
      </c>
      <c r="BX74" s="324">
        <f>$I74*IF($G74="Pickup", SUMIFS(NewEmisData!J:J, NewEmisData!$A:$A, "Pickup", NewEmisData!$B:$B, $A74, NewEmisData!$C:$C, $H74, NewEmisData!$D:$D, BX$2), SUMIFS(NewEmisData!J:J, NewEmisData!$A:$A, "LDV", NewEmisData!$B:$B, $A74, NewEmisData!$C:$C, $H74, NewEmisData!$D:$D, BX$2))</f>
        <v>0</v>
      </c>
      <c r="BY74" s="324">
        <f>$I74*IF($G74="Pickup", SUMIFS(NewEmisData!K:K, NewEmisData!$A:$A, "Pickup", NewEmisData!$B:$B, $A74, NewEmisData!$C:$C, $H74, NewEmisData!$D:$D, BY$2), SUMIFS(NewEmisData!K:K, NewEmisData!$A:$A, "LDV", NewEmisData!$B:$B, $A74, NewEmisData!$C:$C, $H74, NewEmisData!$D:$D, BY$2))</f>
        <v>0</v>
      </c>
      <c r="BZ74" s="324">
        <f>$I74*IF($G74="Pickup", SUMIFS(NewEmisData!L:L, NewEmisData!$A:$A, "Pickup", NewEmisData!$B:$B, $A74, NewEmisData!$C:$C, $H74, NewEmisData!$D:$D, BZ$2), SUMIFS(NewEmisData!L:L, NewEmisData!$A:$A, "LDV", NewEmisData!$B:$B, $A74, NewEmisData!$C:$C, $H74, NewEmisData!$D:$D, BZ$2))</f>
        <v>0</v>
      </c>
      <c r="CA74" s="324">
        <f>$I74*IF($G74="Pickup", SUMIFS(NewEmisData!M:M, NewEmisData!$A:$A, "Pickup", NewEmisData!$B:$B, $A74, NewEmisData!$C:$C, $H74, NewEmisData!$D:$D, CA$2), SUMIFS(NewEmisData!M:M, NewEmisData!$A:$A, "LDV", NewEmisData!$B:$B, $A74, NewEmisData!$C:$C, $H74, NewEmisData!$D:$D, CA$2))</f>
        <v>0</v>
      </c>
      <c r="CB74" s="324">
        <f t="shared" si="11"/>
        <v>0</v>
      </c>
      <c r="CC74" s="324">
        <f>$I74*IF($G74="Pickup", SUMIFS(NewEmisData!E:E, NewEmisData!$A:$A, "Pickup", NewEmisData!$B:$B, $A74, NewEmisData!$C:$C, $H74, NewEmisData!$D:$D, CC$2), SUMIFS(NewEmisData!E:E, NewEmisData!$A:$A, "LDV", NewEmisData!$B:$B, $A74, NewEmisData!$C:$C, $H74, NewEmisData!$D:$D, CC$2))</f>
        <v>0</v>
      </c>
      <c r="CD74" s="324">
        <f>$I74*IF($G74="Pickup", SUMIFS(NewEmisData!F:F, NewEmisData!$A:$A, "Pickup", NewEmisData!$B:$B, $A74, NewEmisData!$C:$C, $H74, NewEmisData!$D:$D, CD$2), SUMIFS(NewEmisData!F:F, NewEmisData!$A:$A, "LDV", NewEmisData!$B:$B, $A74, NewEmisData!$C:$C, $H74, NewEmisData!$D:$D, CD$2))</f>
        <v>0</v>
      </c>
      <c r="CE74" s="324">
        <f>$I74*IF($G74="Pickup", SUMIFS(NewEmisData!G:G, NewEmisData!$A:$A, "Pickup", NewEmisData!$B:$B, $A74, NewEmisData!$C:$C, $H74, NewEmisData!$D:$D, CE$2), SUMIFS(NewEmisData!G:G, NewEmisData!$A:$A, "LDV", NewEmisData!$B:$B, $A74, NewEmisData!$C:$C, $H74, NewEmisData!$D:$D, CE$2))</f>
        <v>0</v>
      </c>
      <c r="CF74" s="324">
        <f>$I74*IF($G74="Pickup", SUMIFS(NewEmisData!H:H, NewEmisData!$A:$A, "Pickup", NewEmisData!$B:$B, $A74, NewEmisData!$C:$C, $H74, NewEmisData!$D:$D, CF$2), SUMIFS(NewEmisData!H:H, NewEmisData!$A:$A, "LDV", NewEmisData!$B:$B, $A74, NewEmisData!$C:$C, $H74, NewEmisData!$D:$D, CF$2))</f>
        <v>0</v>
      </c>
      <c r="CG74" s="324">
        <f>$I74*IF($G74="Pickup", SUMIFS(NewEmisData!I:I, NewEmisData!$A:$A, "Pickup", NewEmisData!$B:$B, $A74, NewEmisData!$C:$C, $H74, NewEmisData!$D:$D, CG$2), SUMIFS(NewEmisData!I:I, NewEmisData!$A:$A, "LDV", NewEmisData!$B:$B, $A74, NewEmisData!$C:$C, $H74, NewEmisData!$D:$D, CG$2))</f>
        <v>0</v>
      </c>
      <c r="CH74" s="324">
        <f>$I74*IF($G74="Pickup", SUMIFS(NewEmisData!J:J, NewEmisData!$A:$A, "Pickup", NewEmisData!$B:$B, $A74, NewEmisData!$C:$C, $H74, NewEmisData!$D:$D, CH$2), SUMIFS(NewEmisData!J:J, NewEmisData!$A:$A, "LDV", NewEmisData!$B:$B, $A74, NewEmisData!$C:$C, $H74, NewEmisData!$D:$D, CH$2))</f>
        <v>0</v>
      </c>
      <c r="CI74" s="324">
        <f>$I74*IF($G74="Pickup", SUMIFS(NewEmisData!K:K, NewEmisData!$A:$A, "Pickup", NewEmisData!$B:$B, $A74, NewEmisData!$C:$C, $H74, NewEmisData!$D:$D, CI$2), SUMIFS(NewEmisData!K:K, NewEmisData!$A:$A, "LDV", NewEmisData!$B:$B, $A74, NewEmisData!$C:$C, $H74, NewEmisData!$D:$D, CI$2))</f>
        <v>0</v>
      </c>
      <c r="CJ74" s="324">
        <f>$I74*IF($G74="Pickup", SUMIFS(NewEmisData!L:L, NewEmisData!$A:$A, "Pickup", NewEmisData!$B:$B, $A74, NewEmisData!$C:$C, $H74, NewEmisData!$D:$D, CJ$2), SUMIFS(NewEmisData!L:L, NewEmisData!$A:$A, "LDV", NewEmisData!$B:$B, $A74, NewEmisData!$C:$C, $H74, NewEmisData!$D:$D, CJ$2))</f>
        <v>0</v>
      </c>
      <c r="CK74" s="324">
        <f>$I74*IF($G74="Pickup", SUMIFS(NewEmisData!M:M, NewEmisData!$A:$A, "Pickup", NewEmisData!$B:$B, $A74, NewEmisData!$C:$C, $H74, NewEmisData!$D:$D, CK$2), SUMIFS(NewEmisData!M:M, NewEmisData!$A:$A, "LDV", NewEmisData!$B:$B, $A74, NewEmisData!$C:$C, $H74, NewEmisData!$D:$D, CK$2))</f>
        <v>0</v>
      </c>
      <c r="CL74" s="324">
        <f t="shared" si="12"/>
        <v>0</v>
      </c>
      <c r="CM74" s="324">
        <f>$I74*IF($G74="Pickup", SUMIFS(NewEmisData!E:E, NewEmisData!$A:$A, "Pickup", NewEmisData!$B:$B, $A74, NewEmisData!$C:$C, $H74, NewEmisData!$D:$D, CM$2), SUMIFS(NewEmisData!E:E, NewEmisData!$A:$A, "LDV", NewEmisData!$B:$B, $A74, NewEmisData!$C:$C, $H74, NewEmisData!$D:$D, CM$2))</f>
        <v>0</v>
      </c>
      <c r="CN74" s="324">
        <f>$I74*IF($G74="Pickup", SUMIFS(NewEmisData!F:F, NewEmisData!$A:$A, "Pickup", NewEmisData!$B:$B, $A74, NewEmisData!$C:$C, $H74, NewEmisData!$D:$D, CN$2), SUMIFS(NewEmisData!F:F, NewEmisData!$A:$A, "LDV", NewEmisData!$B:$B, $A74, NewEmisData!$C:$C, $H74, NewEmisData!$D:$D, CN$2))</f>
        <v>0</v>
      </c>
      <c r="CO74" s="324">
        <f>$I74*IF($G74="Pickup", SUMIFS(NewEmisData!G:G, NewEmisData!$A:$A, "Pickup", NewEmisData!$B:$B, $A74, NewEmisData!$C:$C, $H74, NewEmisData!$D:$D, CO$2), SUMIFS(NewEmisData!G:G, NewEmisData!$A:$A, "LDV", NewEmisData!$B:$B, $A74, NewEmisData!$C:$C, $H74, NewEmisData!$D:$D, CO$2))</f>
        <v>0</v>
      </c>
      <c r="CP74" s="324">
        <f>$I74*IF($G74="Pickup", SUMIFS(NewEmisData!H:H, NewEmisData!$A:$A, "Pickup", NewEmisData!$B:$B, $A74, NewEmisData!$C:$C, $H74, NewEmisData!$D:$D, CP$2), SUMIFS(NewEmisData!H:H, NewEmisData!$A:$A, "LDV", NewEmisData!$B:$B, $A74, NewEmisData!$C:$C, $H74, NewEmisData!$D:$D, CP$2))</f>
        <v>0</v>
      </c>
      <c r="CQ74" s="324">
        <f>$I74*IF($G74="Pickup", SUMIFS(NewEmisData!I:I, NewEmisData!$A:$A, "Pickup", NewEmisData!$B:$B, $A74, NewEmisData!$C:$C, $H74, NewEmisData!$D:$D, CQ$2), SUMIFS(NewEmisData!I:I, NewEmisData!$A:$A, "LDV", NewEmisData!$B:$B, $A74, NewEmisData!$C:$C, $H74, NewEmisData!$D:$D, CQ$2))</f>
        <v>0</v>
      </c>
      <c r="CR74" s="324">
        <f>$I74*IF($G74="Pickup", SUMIFS(NewEmisData!J:J, NewEmisData!$A:$A, "Pickup", NewEmisData!$B:$B, $A74, NewEmisData!$C:$C, $H74, NewEmisData!$D:$D, CR$2), SUMIFS(NewEmisData!J:J, NewEmisData!$A:$A, "LDV", NewEmisData!$B:$B, $A74, NewEmisData!$C:$C, $H74, NewEmisData!$D:$D, CR$2))</f>
        <v>0</v>
      </c>
      <c r="CS74" s="324">
        <f>$I74*IF($G74="Pickup", SUMIFS(NewEmisData!K:K, NewEmisData!$A:$A, "Pickup", NewEmisData!$B:$B, $A74, NewEmisData!$C:$C, $H74, NewEmisData!$D:$D, CS$2), SUMIFS(NewEmisData!K:K, NewEmisData!$A:$A, "LDV", NewEmisData!$B:$B, $A74, NewEmisData!$C:$C, $H74, NewEmisData!$D:$D, CS$2))</f>
        <v>0</v>
      </c>
      <c r="CT74" s="324">
        <f>$I74*IF($G74="Pickup", SUMIFS(NewEmisData!L:L, NewEmisData!$A:$A, "Pickup", NewEmisData!$B:$B, $A74, NewEmisData!$C:$C, $H74, NewEmisData!$D:$D, CT$2), SUMIFS(NewEmisData!L:L, NewEmisData!$A:$A, "LDV", NewEmisData!$B:$B, $A74, NewEmisData!$C:$C, $H74, NewEmisData!$D:$D, CT$2))</f>
        <v>0</v>
      </c>
      <c r="CU74" s="324">
        <f>$I74*IF($G74="Pickup", SUMIFS(NewEmisData!M:M, NewEmisData!$A:$A, "Pickup", NewEmisData!$B:$B, $A74, NewEmisData!$C:$C, $H74, NewEmisData!$D:$D, CU$2), SUMIFS(NewEmisData!M:M, NewEmisData!$A:$A, "LDV", NewEmisData!$B:$B, $A74, NewEmisData!$C:$C, $H74, NewEmisData!$D:$D, CU$2))</f>
        <v>0</v>
      </c>
      <c r="CV74" s="324">
        <f t="shared" si="13"/>
        <v>0</v>
      </c>
      <c r="CW74" s="324">
        <v>0</v>
      </c>
      <c r="CX74" s="324">
        <v>0</v>
      </c>
      <c r="CY74" s="324">
        <v>0</v>
      </c>
      <c r="CZ74" s="324">
        <v>0</v>
      </c>
      <c r="DA74" s="324">
        <v>0</v>
      </c>
      <c r="DB74" s="324">
        <v>0</v>
      </c>
      <c r="DC74" s="324">
        <v>0</v>
      </c>
      <c r="DD74" s="324">
        <v>0</v>
      </c>
      <c r="DE74" s="324">
        <v>0</v>
      </c>
      <c r="DF74" s="324">
        <v>0</v>
      </c>
      <c r="DG74" s="324">
        <f>$I74*IF($G74="Pickup", SUMIFS(NewEmisData!E:E, NewEmisData!$A:$A, "Pickup", NewEmisData!$B:$B, $A74, NewEmisData!$C:$C, $H74, NewEmisData!$D:$D, DG$2), SUMIFS(NewEmisData!E:E, NewEmisData!$A:$A, "LDV", NewEmisData!$B:$B, $A74, NewEmisData!$C:$C, $H74, NewEmisData!$D:$D, DG$2))</f>
        <v>0</v>
      </c>
      <c r="DH74" s="324">
        <f>$I74*IF($G74="Pickup", SUMIFS(NewEmisData!F:F, NewEmisData!$A:$A, "Pickup", NewEmisData!$B:$B, $A74, NewEmisData!$C:$C, $H74, NewEmisData!$D:$D, DH$2), SUMIFS(NewEmisData!F:F, NewEmisData!$A:$A, "LDV", NewEmisData!$B:$B, $A74, NewEmisData!$C:$C, $H74, NewEmisData!$D:$D, DH$2))</f>
        <v>0</v>
      </c>
      <c r="DI74" s="324">
        <f>$I74*IF($G74="Pickup", SUMIFS(NewEmisData!G:G, NewEmisData!$A:$A, "Pickup", NewEmisData!$B:$B, $A74, NewEmisData!$C:$C, $H74, NewEmisData!$D:$D, DI$2), SUMIFS(NewEmisData!G:G, NewEmisData!$A:$A, "LDV", NewEmisData!$B:$B, $A74, NewEmisData!$C:$C, $H74, NewEmisData!$D:$D, DI$2))</f>
        <v>0</v>
      </c>
      <c r="DJ74" s="324">
        <f>$I74*IF($G74="Pickup", SUMIFS(NewEmisData!H:H, NewEmisData!$A:$A, "Pickup", NewEmisData!$B:$B, $A74, NewEmisData!$C:$C, $H74, NewEmisData!$D:$D, DJ$2), SUMIFS(NewEmisData!H:H, NewEmisData!$A:$A, "LDV", NewEmisData!$B:$B, $A74, NewEmisData!$C:$C, $H74, NewEmisData!$D:$D, DJ$2))</f>
        <v>0</v>
      </c>
      <c r="DK74" s="324">
        <f>$I74*IF($G74="Pickup", SUMIFS(NewEmisData!I:I, NewEmisData!$A:$A, "Pickup", NewEmisData!$B:$B, $A74, NewEmisData!$C:$C, $H74, NewEmisData!$D:$D, DK$2), SUMIFS(NewEmisData!I:I, NewEmisData!$A:$A, "LDV", NewEmisData!$B:$B, $A74, NewEmisData!$C:$C, $H74, NewEmisData!$D:$D, DK$2))</f>
        <v>0</v>
      </c>
      <c r="DL74" s="324">
        <f>$I74*IF($G74="Pickup", SUMIFS(NewEmisData!J:J, NewEmisData!$A:$A, "Pickup", NewEmisData!$B:$B, $A74, NewEmisData!$C:$C, $H74, NewEmisData!$D:$D, DL$2), SUMIFS(NewEmisData!J:J, NewEmisData!$A:$A, "LDV", NewEmisData!$B:$B, $A74, NewEmisData!$C:$C, $H74, NewEmisData!$D:$D, DL$2))</f>
        <v>0</v>
      </c>
      <c r="DM74" s="324">
        <f>$I74*IF($G74="Pickup", SUMIFS(NewEmisData!K:K, NewEmisData!$A:$A, "Pickup", NewEmisData!$B:$B, $A74, NewEmisData!$C:$C, $H74, NewEmisData!$D:$D, DM$2), SUMIFS(NewEmisData!K:K, NewEmisData!$A:$A, "LDV", NewEmisData!$B:$B, $A74, NewEmisData!$C:$C, $H74, NewEmisData!$D:$D, DM$2))</f>
        <v>0</v>
      </c>
      <c r="DN74" s="324">
        <f>$I74*IF($G74="Pickup", SUMIFS(NewEmisData!L:L, NewEmisData!$A:$A, "Pickup", NewEmisData!$B:$B, $A74, NewEmisData!$C:$C, $H74, NewEmisData!$D:$D, DN$2), SUMIFS(NewEmisData!L:L, NewEmisData!$A:$A, "LDV", NewEmisData!$B:$B, $A74, NewEmisData!$C:$C, $H74, NewEmisData!$D:$D, DN$2))</f>
        <v>0</v>
      </c>
      <c r="DO74" s="324">
        <f>$I74*IF($G74="Pickup", SUMIFS(NewEmisData!M:M, NewEmisData!$A:$A, "Pickup", NewEmisData!$B:$B, $A74, NewEmisData!$C:$C, $H74, NewEmisData!$D:$D, DO$2), SUMIFS(NewEmisData!M:M, NewEmisData!$A:$A, "LDV", NewEmisData!$B:$B, $A74, NewEmisData!$C:$C, $H74, NewEmisData!$D:$D, DO$2))</f>
        <v>0</v>
      </c>
      <c r="DP74" s="324">
        <f t="shared" si="14"/>
        <v>0</v>
      </c>
      <c r="DQ74" s="324">
        <f>$I74*IF($G74="Pickup", SUMIFS(NewEmisData!E:E, NewEmisData!$A:$A, "Pickup", NewEmisData!$B:$B, $A74, NewEmisData!$C:$C, $H74, NewEmisData!$D:$D, DQ$2), SUMIFS(NewEmisData!E:E, NewEmisData!$A:$A, "LDV", NewEmisData!$B:$B, $A74, NewEmisData!$C:$C, $H74, NewEmisData!$D:$D, DQ$2))</f>
        <v>0</v>
      </c>
      <c r="DR74" s="324">
        <f>$I74*IF($G74="Pickup", SUMIFS(NewEmisData!F:F, NewEmisData!$A:$A, "Pickup", NewEmisData!$B:$B, $A74, NewEmisData!$C:$C, $H74, NewEmisData!$D:$D, DR$2), SUMIFS(NewEmisData!F:F, NewEmisData!$A:$A, "LDV", NewEmisData!$B:$B, $A74, NewEmisData!$C:$C, $H74, NewEmisData!$D:$D, DR$2))</f>
        <v>0</v>
      </c>
      <c r="DS74" s="324">
        <f>$I74*IF($G74="Pickup", SUMIFS(NewEmisData!G:G, NewEmisData!$A:$A, "Pickup", NewEmisData!$B:$B, $A74, NewEmisData!$C:$C, $H74, NewEmisData!$D:$D, DS$2), SUMIFS(NewEmisData!G:G, NewEmisData!$A:$A, "LDV", NewEmisData!$B:$B, $A74, NewEmisData!$C:$C, $H74, NewEmisData!$D:$D, DS$2))</f>
        <v>0</v>
      </c>
      <c r="DT74" s="324">
        <f>$I74*IF($G74="Pickup", SUMIFS(NewEmisData!H:H, NewEmisData!$A:$A, "Pickup", NewEmisData!$B:$B, $A74, NewEmisData!$C:$C, $H74, NewEmisData!$D:$D, DT$2), SUMIFS(NewEmisData!H:H, NewEmisData!$A:$A, "LDV", NewEmisData!$B:$B, $A74, NewEmisData!$C:$C, $H74, NewEmisData!$D:$D, DT$2))</f>
        <v>0</v>
      </c>
      <c r="DU74" s="324">
        <f>$I74*IF($G74="Pickup", SUMIFS(NewEmisData!I:I, NewEmisData!$A:$A, "Pickup", NewEmisData!$B:$B, $A74, NewEmisData!$C:$C, $H74, NewEmisData!$D:$D, DU$2), SUMIFS(NewEmisData!I:I, NewEmisData!$A:$A, "LDV", NewEmisData!$B:$B, $A74, NewEmisData!$C:$C, $H74, NewEmisData!$D:$D, DU$2))</f>
        <v>0</v>
      </c>
      <c r="DV74" s="324">
        <f>$I74*IF($G74="Pickup", SUMIFS(NewEmisData!J:J, NewEmisData!$A:$A, "Pickup", NewEmisData!$B:$B, $A74, NewEmisData!$C:$C, $H74, NewEmisData!$D:$D, DV$2), SUMIFS(NewEmisData!J:J, NewEmisData!$A:$A, "LDV", NewEmisData!$B:$B, $A74, NewEmisData!$C:$C, $H74, NewEmisData!$D:$D, DV$2))</f>
        <v>0</v>
      </c>
      <c r="DW74" s="324">
        <f>$I74*IF($G74="Pickup", SUMIFS(NewEmisData!K:K, NewEmisData!$A:$A, "Pickup", NewEmisData!$B:$B, $A74, NewEmisData!$C:$C, $H74, NewEmisData!$D:$D, DW$2), SUMIFS(NewEmisData!K:K, NewEmisData!$A:$A, "LDV", NewEmisData!$B:$B, $A74, NewEmisData!$C:$C, $H74, NewEmisData!$D:$D, DW$2))</f>
        <v>0</v>
      </c>
      <c r="DX74" s="324">
        <f>$I74*IF($G74="Pickup", SUMIFS(NewEmisData!L:L, NewEmisData!$A:$A, "Pickup", NewEmisData!$B:$B, $A74, NewEmisData!$C:$C, $H74, NewEmisData!$D:$D, DX$2), SUMIFS(NewEmisData!L:L, NewEmisData!$A:$A, "LDV", NewEmisData!$B:$B, $A74, NewEmisData!$C:$C, $H74, NewEmisData!$D:$D, DX$2))</f>
        <v>0</v>
      </c>
      <c r="DY74" s="324">
        <f>$I74*IF($G74="Pickup", SUMIFS(NewEmisData!M:M, NewEmisData!$A:$A, "Pickup", NewEmisData!$B:$B, $A74, NewEmisData!$C:$C, $H74, NewEmisData!$D:$D, DY$2), SUMIFS(NewEmisData!M:M, NewEmisData!$A:$A, "LDV", NewEmisData!$B:$B, $A74, NewEmisData!$C:$C, $H74, NewEmisData!$D:$D, DY$2))</f>
        <v>0</v>
      </c>
      <c r="DZ74" s="324">
        <f t="shared" si="15"/>
        <v>0</v>
      </c>
      <c r="EA74" s="324">
        <f t="shared" si="16"/>
        <v>0</v>
      </c>
      <c r="EB74" s="324">
        <f t="shared" si="17"/>
        <v>0</v>
      </c>
      <c r="EC74" s="324">
        <f t="shared" si="18"/>
        <v>0</v>
      </c>
      <c r="ED74" s="324">
        <f t="shared" si="19"/>
        <v>0</v>
      </c>
      <c r="EE74" s="324">
        <f t="shared" si="20"/>
        <v>0</v>
      </c>
      <c r="EF74" s="324">
        <f t="shared" si="21"/>
        <v>0</v>
      </c>
      <c r="EG74" s="324">
        <f t="shared" si="22"/>
        <v>0</v>
      </c>
      <c r="EH74" s="324">
        <f t="shared" si="23"/>
        <v>0</v>
      </c>
      <c r="EI74" s="324">
        <f t="shared" si="24"/>
        <v>0</v>
      </c>
      <c r="EJ74" s="324">
        <f t="shared" si="25"/>
        <v>0</v>
      </c>
      <c r="EK74" s="324">
        <f t="shared" si="26"/>
        <v>0</v>
      </c>
      <c r="EL74" s="324">
        <f t="shared" si="27"/>
        <v>0</v>
      </c>
      <c r="EM74" s="324">
        <f t="shared" si="28"/>
        <v>0</v>
      </c>
      <c r="EN74" s="324">
        <f t="shared" si="29"/>
        <v>0</v>
      </c>
      <c r="EO74" s="324">
        <f t="shared" si="30"/>
        <v>0</v>
      </c>
      <c r="EP74" s="324">
        <f t="shared" si="31"/>
        <v>0</v>
      </c>
      <c r="EQ74" s="324">
        <f t="shared" si="32"/>
        <v>0</v>
      </c>
      <c r="ER74" s="324">
        <f t="shared" si="33"/>
        <v>0</v>
      </c>
      <c r="ES74" s="324">
        <f t="shared" si="34"/>
        <v>0</v>
      </c>
      <c r="ET74" s="324">
        <f t="shared" si="35"/>
        <v>0</v>
      </c>
      <c r="EU74" s="324">
        <f t="shared" si="36"/>
        <v>0</v>
      </c>
      <c r="EV74" s="324">
        <f t="shared" si="37"/>
        <v>0</v>
      </c>
      <c r="EW74" s="324">
        <f t="shared" si="38"/>
        <v>0</v>
      </c>
      <c r="EX74" s="324">
        <f t="shared" si="39"/>
        <v>0</v>
      </c>
      <c r="EY74" s="324">
        <f t="shared" si="40"/>
        <v>0</v>
      </c>
      <c r="EZ74" s="324">
        <f t="shared" si="41"/>
        <v>0</v>
      </c>
      <c r="FA74" s="324">
        <f t="shared" si="42"/>
        <v>0</v>
      </c>
      <c r="FB74" s="324">
        <f t="shared" si="43"/>
        <v>0</v>
      </c>
      <c r="FC74" s="324">
        <f t="shared" si="44"/>
        <v>0</v>
      </c>
      <c r="FD74" s="324">
        <f t="shared" si="45"/>
        <v>0</v>
      </c>
      <c r="FE74" s="324">
        <f t="shared" si="46"/>
        <v>0</v>
      </c>
      <c r="FF74" s="324">
        <f t="shared" si="47"/>
        <v>0</v>
      </c>
      <c r="FG74" s="324">
        <f t="shared" si="48"/>
        <v>0</v>
      </c>
      <c r="FH74" s="324">
        <f t="shared" si="49"/>
        <v>0</v>
      </c>
      <c r="FI74" s="324">
        <f t="shared" si="50"/>
        <v>0</v>
      </c>
      <c r="FJ74" s="324">
        <f t="shared" si="51"/>
        <v>0</v>
      </c>
      <c r="FK74" s="324">
        <f t="shared" si="52"/>
        <v>0</v>
      </c>
      <c r="FL74" s="324">
        <f t="shared" si="53"/>
        <v>0</v>
      </c>
      <c r="FM74" s="324">
        <f t="shared" si="54"/>
        <v>0</v>
      </c>
      <c r="FN74" s="324">
        <f t="shared" si="55"/>
        <v>0</v>
      </c>
      <c r="FO74" s="324">
        <f t="shared" si="56"/>
        <v>0</v>
      </c>
      <c r="FP74" s="324">
        <f t="shared" si="57"/>
        <v>0</v>
      </c>
      <c r="FQ74" s="324">
        <f t="shared" si="58"/>
        <v>0</v>
      </c>
      <c r="FR74" s="324">
        <f t="shared" si="59"/>
        <v>0</v>
      </c>
      <c r="FS74" s="324">
        <f t="shared" si="60"/>
        <v>0</v>
      </c>
      <c r="FT74" s="324">
        <f t="shared" si="61"/>
        <v>0</v>
      </c>
      <c r="FU74" s="324">
        <f t="shared" si="62"/>
        <v>0</v>
      </c>
      <c r="FV74" s="324">
        <f t="shared" si="63"/>
        <v>0</v>
      </c>
      <c r="FW74" s="324">
        <f t="shared" si="64"/>
        <v>0</v>
      </c>
      <c r="FX74" s="324">
        <f t="shared" si="65"/>
        <v>0</v>
      </c>
    </row>
    <row r="75" spans="1:180" x14ac:dyDescent="0.2">
      <c r="AO75" s="323"/>
      <c r="AP75" s="323"/>
      <c r="AQ75" s="323"/>
      <c r="AR75" s="323"/>
      <c r="AS75" s="323"/>
      <c r="AT75" s="323"/>
      <c r="AU75" s="323"/>
      <c r="AV75" s="323"/>
      <c r="AW75" s="323"/>
    </row>
    <row r="76" spans="1:180" x14ac:dyDescent="0.2">
      <c r="AO76" s="323"/>
      <c r="AP76" s="323"/>
      <c r="AQ76" s="323"/>
      <c r="AR76" s="323"/>
      <c r="AS76" s="323"/>
      <c r="AT76" s="323"/>
      <c r="AU76" s="323"/>
      <c r="AV76" s="323"/>
      <c r="AW76" s="323"/>
    </row>
    <row r="77" spans="1:180" x14ac:dyDescent="0.2">
      <c r="A77" s="291" t="s">
        <v>479</v>
      </c>
      <c r="AO77" s="323"/>
      <c r="AP77" s="323"/>
      <c r="AQ77" s="323"/>
      <c r="AR77" s="323"/>
      <c r="AS77" s="323"/>
      <c r="AT77" s="323"/>
      <c r="AU77" s="323"/>
      <c r="AV77" s="323"/>
      <c r="AW77" s="323"/>
    </row>
    <row r="78" spans="1:180" x14ac:dyDescent="0.2">
      <c r="A78" s="291" t="s">
        <v>480</v>
      </c>
    </row>
  </sheetData>
  <phoneticPr fontId="0" type="noConversion"/>
  <pageMargins left="0.75" right="0.75" top="1" bottom="1" header="0.5" footer="0.5"/>
  <pageSetup paperSize="9" orientation="landscape" horizont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rgb="FFFFC000"/>
  </sheetPr>
  <dimension ref="A1:N349"/>
  <sheetViews>
    <sheetView zoomScale="80" zoomScaleNormal="80" workbookViewId="0">
      <pane xSplit="6" ySplit="7" topLeftCell="G8" activePane="bottomRight" state="frozen"/>
      <selection pane="topRight" activeCell="I43" sqref="I43"/>
      <selection pane="bottomLeft" activeCell="I43" sqref="I43"/>
      <selection pane="bottomRight" activeCell="B9" sqref="B9"/>
    </sheetView>
  </sheetViews>
  <sheetFormatPr defaultColWidth="9.140625" defaultRowHeight="12.75" x14ac:dyDescent="0.2"/>
  <cols>
    <col min="1" max="1" width="18.7109375" style="250" customWidth="1"/>
    <col min="2" max="2" width="15.85546875" style="250" customWidth="1"/>
    <col min="3" max="3" width="39.42578125" style="250" customWidth="1"/>
    <col min="4" max="4" width="7.85546875" style="250" customWidth="1"/>
    <col min="5" max="5" width="9.140625" style="250"/>
    <col min="6" max="6" width="10.5703125" style="250" customWidth="1"/>
    <col min="7" max="7" width="16" style="250" bestFit="1" customWidth="1"/>
    <col min="8" max="8" width="9.140625" style="250"/>
    <col min="9" max="9" width="9.28515625" style="250" customWidth="1"/>
    <col min="10" max="10" width="12.5703125" style="250" customWidth="1"/>
    <col min="11" max="11" width="12.42578125" style="250" customWidth="1"/>
    <col min="12" max="16384" width="9.140625" style="250"/>
  </cols>
  <sheetData>
    <row r="1" spans="1:14" x14ac:dyDescent="0.2">
      <c r="A1" s="249" t="s">
        <v>274</v>
      </c>
      <c r="B1" s="250" t="s">
        <v>66</v>
      </c>
    </row>
    <row r="4" spans="1:14" ht="17.25" customHeight="1" x14ac:dyDescent="0.2"/>
    <row r="5" spans="1:14" ht="18" customHeight="1" x14ac:dyDescent="0.2">
      <c r="G5" s="290"/>
      <c r="H5" s="290"/>
      <c r="I5" s="313"/>
      <c r="J5" s="252"/>
      <c r="K5" s="314"/>
      <c r="L5" s="252"/>
      <c r="M5" s="314"/>
      <c r="N5" s="314"/>
    </row>
    <row r="6" spans="1:14" ht="17.25" customHeight="1" x14ac:dyDescent="0.2">
      <c r="F6" s="289" t="s">
        <v>3252</v>
      </c>
      <c r="I6" s="252"/>
      <c r="J6" s="252"/>
      <c r="K6" s="315"/>
      <c r="L6" s="252"/>
      <c r="M6" s="315"/>
    </row>
    <row r="7" spans="1:14" ht="15.75" customHeight="1" x14ac:dyDescent="0.2">
      <c r="A7" s="254" t="s">
        <v>389</v>
      </c>
      <c r="B7" s="254" t="s">
        <v>185</v>
      </c>
      <c r="C7" s="254" t="s">
        <v>3120</v>
      </c>
      <c r="D7" s="254" t="s">
        <v>3072</v>
      </c>
      <c r="E7" s="254" t="s">
        <v>289</v>
      </c>
      <c r="F7" s="254" t="s">
        <v>290</v>
      </c>
      <c r="G7" s="254" t="s">
        <v>284</v>
      </c>
      <c r="H7" s="254" t="s">
        <v>3117</v>
      </c>
      <c r="I7" s="252"/>
      <c r="J7" s="252"/>
      <c r="K7" s="315"/>
      <c r="L7" s="252"/>
      <c r="N7" s="315"/>
    </row>
    <row r="8" spans="1:14" x14ac:dyDescent="0.2">
      <c r="A8" s="319" t="s">
        <v>471</v>
      </c>
      <c r="B8" s="257"/>
      <c r="C8" s="257"/>
      <c r="D8" s="257"/>
      <c r="E8" s="257"/>
      <c r="F8" s="257"/>
      <c r="G8" s="257"/>
      <c r="H8" s="257"/>
    </row>
    <row r="9" spans="1:14" x14ac:dyDescent="0.2">
      <c r="A9" s="257" t="str">
        <f>Technologies!B173</f>
        <v>R2,R3,R4,R5,R6</v>
      </c>
      <c r="B9" s="257" t="str">
        <f>Technologies!D173</f>
        <v>ZZTLDV</v>
      </c>
      <c r="C9" s="257" t="str">
        <f>Technologies!E173</f>
        <v>Transportation LDV - ZZINFES backstop</v>
      </c>
      <c r="D9" s="257" t="s">
        <v>71</v>
      </c>
      <c r="E9" s="257" t="s">
        <v>140</v>
      </c>
      <c r="F9" s="257" t="s">
        <v>143</v>
      </c>
      <c r="G9" s="320">
        <v>1</v>
      </c>
      <c r="H9" s="321">
        <v>99999</v>
      </c>
    </row>
    <row r="10" spans="1:14" x14ac:dyDescent="0.2">
      <c r="G10" s="316"/>
      <c r="H10" s="317"/>
    </row>
    <row r="11" spans="1:14" x14ac:dyDescent="0.2">
      <c r="G11" s="316"/>
      <c r="H11" s="317"/>
    </row>
    <row r="12" spans="1:14" x14ac:dyDescent="0.2">
      <c r="G12" s="316"/>
      <c r="H12" s="317"/>
    </row>
    <row r="13" spans="1:14" x14ac:dyDescent="0.2">
      <c r="G13" s="316"/>
      <c r="H13" s="317"/>
    </row>
    <row r="14" spans="1:14" x14ac:dyDescent="0.2">
      <c r="G14" s="316"/>
      <c r="H14" s="317"/>
    </row>
    <row r="15" spans="1:14" x14ac:dyDescent="0.2">
      <c r="G15" s="316"/>
      <c r="H15" s="317"/>
    </row>
    <row r="16" spans="1:14" x14ac:dyDescent="0.2">
      <c r="G16" s="316"/>
      <c r="H16" s="317"/>
    </row>
    <row r="17" spans="7:8" x14ac:dyDescent="0.2">
      <c r="G17" s="316"/>
      <c r="H17" s="317"/>
    </row>
    <row r="18" spans="7:8" x14ac:dyDescent="0.2">
      <c r="G18" s="316"/>
      <c r="H18" s="317"/>
    </row>
    <row r="19" spans="7:8" x14ac:dyDescent="0.2">
      <c r="G19" s="316"/>
      <c r="H19" s="317"/>
    </row>
    <row r="20" spans="7:8" x14ac:dyDescent="0.2">
      <c r="G20" s="316"/>
      <c r="H20" s="317"/>
    </row>
    <row r="21" spans="7:8" x14ac:dyDescent="0.2">
      <c r="G21" s="316"/>
      <c r="H21" s="317"/>
    </row>
    <row r="22" spans="7:8" x14ac:dyDescent="0.2">
      <c r="G22" s="316"/>
      <c r="H22" s="317"/>
    </row>
    <row r="23" spans="7:8" x14ac:dyDescent="0.2">
      <c r="G23" s="316"/>
      <c r="H23" s="317"/>
    </row>
    <row r="33" spans="1:7" x14ac:dyDescent="0.2">
      <c r="G33" s="318"/>
    </row>
    <row r="34" spans="1:7" x14ac:dyDescent="0.2">
      <c r="G34" s="318"/>
    </row>
    <row r="35" spans="1:7" x14ac:dyDescent="0.2">
      <c r="G35" s="318"/>
    </row>
    <row r="36" spans="1:7" x14ac:dyDescent="0.2">
      <c r="G36" s="318"/>
    </row>
    <row r="37" spans="1:7" x14ac:dyDescent="0.2">
      <c r="G37" s="318"/>
    </row>
    <row r="38" spans="1:7" x14ac:dyDescent="0.2">
      <c r="G38" s="318"/>
    </row>
    <row r="39" spans="1:7" x14ac:dyDescent="0.2">
      <c r="A39" s="249"/>
    </row>
    <row r="40" spans="1:7" x14ac:dyDescent="0.2">
      <c r="G40" s="318"/>
    </row>
    <row r="41" spans="1:7" x14ac:dyDescent="0.2">
      <c r="G41" s="318"/>
    </row>
    <row r="42" spans="1:7" x14ac:dyDescent="0.2">
      <c r="G42" s="318"/>
    </row>
    <row r="43" spans="1:7" x14ac:dyDescent="0.2">
      <c r="G43" s="318"/>
    </row>
    <row r="44" spans="1:7" x14ac:dyDescent="0.2">
      <c r="G44" s="318"/>
    </row>
    <row r="45" spans="1:7" x14ac:dyDescent="0.2">
      <c r="A45" s="249"/>
    </row>
    <row r="46" spans="1:7" x14ac:dyDescent="0.2">
      <c r="G46" s="318"/>
    </row>
    <row r="47" spans="1:7" x14ac:dyDescent="0.2">
      <c r="G47" s="318"/>
    </row>
    <row r="48" spans="1:7" x14ac:dyDescent="0.2">
      <c r="G48" s="318"/>
    </row>
    <row r="49" spans="1:7" x14ac:dyDescent="0.2">
      <c r="A49" s="249"/>
    </row>
    <row r="50" spans="1:7" x14ac:dyDescent="0.2">
      <c r="G50" s="318"/>
    </row>
    <row r="51" spans="1:7" x14ac:dyDescent="0.2">
      <c r="G51" s="318"/>
    </row>
    <row r="52" spans="1:7" x14ac:dyDescent="0.2">
      <c r="G52" s="318"/>
    </row>
    <row r="53" spans="1:7" x14ac:dyDescent="0.2">
      <c r="G53" s="318"/>
    </row>
    <row r="54" spans="1:7" x14ac:dyDescent="0.2">
      <c r="A54" s="249"/>
    </row>
    <row r="55" spans="1:7" x14ac:dyDescent="0.2">
      <c r="A55" s="249"/>
    </row>
    <row r="56" spans="1:7" x14ac:dyDescent="0.2">
      <c r="G56" s="318"/>
    </row>
    <row r="57" spans="1:7" x14ac:dyDescent="0.2">
      <c r="G57" s="318"/>
    </row>
    <row r="58" spans="1:7" x14ac:dyDescent="0.2">
      <c r="G58" s="318"/>
    </row>
    <row r="59" spans="1:7" x14ac:dyDescent="0.2">
      <c r="G59" s="318"/>
    </row>
    <row r="60" spans="1:7" x14ac:dyDescent="0.2">
      <c r="G60" s="318"/>
    </row>
    <row r="61" spans="1:7" x14ac:dyDescent="0.2">
      <c r="G61" s="318"/>
    </row>
    <row r="62" spans="1:7" x14ac:dyDescent="0.2">
      <c r="A62" s="249"/>
    </row>
    <row r="63" spans="1:7" x14ac:dyDescent="0.2">
      <c r="G63" s="318"/>
    </row>
    <row r="64" spans="1:7" x14ac:dyDescent="0.2">
      <c r="G64" s="318"/>
    </row>
    <row r="65" spans="1:7" x14ac:dyDescent="0.2">
      <c r="G65" s="318"/>
    </row>
    <row r="66" spans="1:7" x14ac:dyDescent="0.2">
      <c r="G66" s="318"/>
    </row>
    <row r="67" spans="1:7" x14ac:dyDescent="0.2">
      <c r="G67" s="318"/>
    </row>
    <row r="68" spans="1:7" x14ac:dyDescent="0.2">
      <c r="A68" s="249"/>
    </row>
    <row r="69" spans="1:7" x14ac:dyDescent="0.2">
      <c r="G69" s="318"/>
    </row>
    <row r="70" spans="1:7" x14ac:dyDescent="0.2">
      <c r="G70" s="318"/>
    </row>
    <row r="71" spans="1:7" x14ac:dyDescent="0.2">
      <c r="G71" s="318"/>
    </row>
    <row r="72" spans="1:7" x14ac:dyDescent="0.2">
      <c r="G72" s="318"/>
    </row>
    <row r="73" spans="1:7" x14ac:dyDescent="0.2">
      <c r="G73" s="318"/>
    </row>
    <row r="74" spans="1:7" x14ac:dyDescent="0.2">
      <c r="G74" s="318"/>
    </row>
    <row r="75" spans="1:7" x14ac:dyDescent="0.2">
      <c r="A75" s="249"/>
    </row>
    <row r="76" spans="1:7" x14ac:dyDescent="0.2">
      <c r="G76" s="318"/>
    </row>
    <row r="77" spans="1:7" x14ac:dyDescent="0.2">
      <c r="G77" s="318"/>
    </row>
    <row r="78" spans="1:7" x14ac:dyDescent="0.2">
      <c r="G78" s="318"/>
    </row>
    <row r="79" spans="1:7" x14ac:dyDescent="0.2">
      <c r="G79" s="318"/>
    </row>
    <row r="80" spans="1:7" x14ac:dyDescent="0.2">
      <c r="G80" s="318"/>
    </row>
    <row r="81" spans="1:7" x14ac:dyDescent="0.2">
      <c r="G81" s="318"/>
    </row>
    <row r="82" spans="1:7" x14ac:dyDescent="0.2">
      <c r="G82" s="318"/>
    </row>
    <row r="83" spans="1:7" x14ac:dyDescent="0.2">
      <c r="A83" s="249"/>
    </row>
    <row r="84" spans="1:7" x14ac:dyDescent="0.2">
      <c r="G84" s="318"/>
    </row>
    <row r="85" spans="1:7" x14ac:dyDescent="0.2">
      <c r="G85" s="318"/>
    </row>
    <row r="86" spans="1:7" x14ac:dyDescent="0.2">
      <c r="G86" s="318"/>
    </row>
    <row r="87" spans="1:7" x14ac:dyDescent="0.2">
      <c r="G87" s="318"/>
    </row>
    <row r="88" spans="1:7" x14ac:dyDescent="0.2">
      <c r="G88" s="318"/>
    </row>
    <row r="89" spans="1:7" x14ac:dyDescent="0.2">
      <c r="G89" s="318"/>
    </row>
    <row r="90" spans="1:7" x14ac:dyDescent="0.2">
      <c r="A90" s="249"/>
    </row>
    <row r="91" spans="1:7" x14ac:dyDescent="0.2">
      <c r="G91" s="318"/>
    </row>
    <row r="92" spans="1:7" x14ac:dyDescent="0.2">
      <c r="G92" s="318"/>
    </row>
    <row r="93" spans="1:7" x14ac:dyDescent="0.2">
      <c r="G93" s="318"/>
    </row>
    <row r="94" spans="1:7" x14ac:dyDescent="0.2">
      <c r="G94" s="318"/>
    </row>
    <row r="95" spans="1:7" x14ac:dyDescent="0.2">
      <c r="G95" s="318"/>
    </row>
    <row r="96" spans="1:7" x14ac:dyDescent="0.2">
      <c r="G96" s="318"/>
    </row>
    <row r="97" spans="1:7" x14ac:dyDescent="0.2">
      <c r="A97" s="249"/>
    </row>
    <row r="98" spans="1:7" x14ac:dyDescent="0.2">
      <c r="G98" s="318"/>
    </row>
    <row r="99" spans="1:7" x14ac:dyDescent="0.2">
      <c r="G99" s="318"/>
    </row>
    <row r="100" spans="1:7" x14ac:dyDescent="0.2">
      <c r="G100" s="318"/>
    </row>
    <row r="101" spans="1:7" x14ac:dyDescent="0.2">
      <c r="G101" s="318"/>
    </row>
    <row r="102" spans="1:7" x14ac:dyDescent="0.2">
      <c r="G102" s="318"/>
    </row>
    <row r="103" spans="1:7" x14ac:dyDescent="0.2">
      <c r="G103" s="318"/>
    </row>
    <row r="104" spans="1:7" x14ac:dyDescent="0.2">
      <c r="G104" s="318"/>
    </row>
    <row r="105" spans="1:7" x14ac:dyDescent="0.2">
      <c r="A105" s="249"/>
    </row>
    <row r="106" spans="1:7" x14ac:dyDescent="0.2">
      <c r="G106" s="318"/>
    </row>
    <row r="107" spans="1:7" x14ac:dyDescent="0.2">
      <c r="G107" s="318"/>
    </row>
    <row r="108" spans="1:7" x14ac:dyDescent="0.2">
      <c r="A108" s="249"/>
    </row>
    <row r="109" spans="1:7" x14ac:dyDescent="0.2">
      <c r="G109" s="318"/>
    </row>
    <row r="110" spans="1:7" x14ac:dyDescent="0.2">
      <c r="G110" s="318"/>
    </row>
    <row r="111" spans="1:7" x14ac:dyDescent="0.2">
      <c r="G111" s="318"/>
    </row>
    <row r="112" spans="1:7" x14ac:dyDescent="0.2">
      <c r="G112" s="318"/>
    </row>
    <row r="113" spans="1:7" x14ac:dyDescent="0.2">
      <c r="G113" s="318"/>
    </row>
    <row r="114" spans="1:7" x14ac:dyDescent="0.2">
      <c r="A114" s="249"/>
    </row>
    <row r="115" spans="1:7" x14ac:dyDescent="0.2">
      <c r="G115" s="318"/>
    </row>
    <row r="116" spans="1:7" x14ac:dyDescent="0.2">
      <c r="G116" s="318"/>
    </row>
    <row r="117" spans="1:7" x14ac:dyDescent="0.2">
      <c r="G117" s="318"/>
    </row>
    <row r="118" spans="1:7" x14ac:dyDescent="0.2">
      <c r="G118" s="318"/>
    </row>
    <row r="119" spans="1:7" x14ac:dyDescent="0.2">
      <c r="G119" s="318"/>
    </row>
    <row r="120" spans="1:7" x14ac:dyDescent="0.2">
      <c r="G120" s="318"/>
    </row>
    <row r="121" spans="1:7" x14ac:dyDescent="0.2">
      <c r="A121" s="249"/>
    </row>
    <row r="122" spans="1:7" x14ac:dyDescent="0.2">
      <c r="A122" s="249"/>
    </row>
    <row r="123" spans="1:7" x14ac:dyDescent="0.2">
      <c r="G123" s="318"/>
    </row>
    <row r="124" spans="1:7" x14ac:dyDescent="0.2">
      <c r="G124" s="318"/>
    </row>
    <row r="125" spans="1:7" x14ac:dyDescent="0.2">
      <c r="G125" s="318"/>
    </row>
    <row r="126" spans="1:7" x14ac:dyDescent="0.2">
      <c r="A126" s="249"/>
    </row>
    <row r="127" spans="1:7" x14ac:dyDescent="0.2">
      <c r="G127" s="318"/>
    </row>
    <row r="128" spans="1:7" x14ac:dyDescent="0.2">
      <c r="G128" s="318"/>
    </row>
    <row r="129" spans="1:7" x14ac:dyDescent="0.2">
      <c r="G129" s="318"/>
    </row>
    <row r="130" spans="1:7" x14ac:dyDescent="0.2">
      <c r="A130" s="249"/>
    </row>
    <row r="131" spans="1:7" x14ac:dyDescent="0.2">
      <c r="G131" s="318"/>
    </row>
    <row r="132" spans="1:7" x14ac:dyDescent="0.2">
      <c r="G132" s="318"/>
    </row>
    <row r="133" spans="1:7" x14ac:dyDescent="0.2">
      <c r="A133" s="249"/>
    </row>
    <row r="134" spans="1:7" x14ac:dyDescent="0.2">
      <c r="G134" s="318"/>
    </row>
    <row r="135" spans="1:7" x14ac:dyDescent="0.2">
      <c r="A135" s="249"/>
    </row>
    <row r="136" spans="1:7" x14ac:dyDescent="0.2">
      <c r="G136" s="318"/>
    </row>
    <row r="137" spans="1:7" x14ac:dyDescent="0.2">
      <c r="G137" s="318"/>
    </row>
    <row r="138" spans="1:7" x14ac:dyDescent="0.2">
      <c r="G138" s="318"/>
    </row>
    <row r="139" spans="1:7" x14ac:dyDescent="0.2">
      <c r="G139" s="318"/>
    </row>
    <row r="140" spans="1:7" x14ac:dyDescent="0.2">
      <c r="A140" s="249"/>
    </row>
    <row r="141" spans="1:7" x14ac:dyDescent="0.2">
      <c r="G141" s="318"/>
    </row>
    <row r="142" spans="1:7" x14ac:dyDescent="0.2">
      <c r="G142" s="318"/>
    </row>
    <row r="143" spans="1:7" x14ac:dyDescent="0.2">
      <c r="A143" s="249"/>
    </row>
    <row r="144" spans="1:7" x14ac:dyDescent="0.2">
      <c r="A144" s="249"/>
    </row>
    <row r="145" spans="1:7" x14ac:dyDescent="0.2">
      <c r="G145" s="318"/>
    </row>
    <row r="146" spans="1:7" x14ac:dyDescent="0.2">
      <c r="G146" s="318"/>
    </row>
    <row r="147" spans="1:7" x14ac:dyDescent="0.2">
      <c r="G147" s="318"/>
    </row>
    <row r="148" spans="1:7" x14ac:dyDescent="0.2">
      <c r="G148" s="318"/>
    </row>
    <row r="149" spans="1:7" x14ac:dyDescent="0.2">
      <c r="G149" s="318"/>
    </row>
    <row r="150" spans="1:7" x14ac:dyDescent="0.2">
      <c r="A150" s="249"/>
    </row>
    <row r="151" spans="1:7" x14ac:dyDescent="0.2">
      <c r="G151" s="318"/>
    </row>
    <row r="152" spans="1:7" x14ac:dyDescent="0.2">
      <c r="G152" s="318"/>
    </row>
    <row r="153" spans="1:7" x14ac:dyDescent="0.2">
      <c r="G153" s="318"/>
    </row>
    <row r="154" spans="1:7" x14ac:dyDescent="0.2">
      <c r="G154" s="318"/>
    </row>
    <row r="155" spans="1:7" x14ac:dyDescent="0.2">
      <c r="G155" s="318"/>
    </row>
    <row r="156" spans="1:7" x14ac:dyDescent="0.2">
      <c r="G156" s="318"/>
    </row>
    <row r="157" spans="1:7" x14ac:dyDescent="0.2">
      <c r="G157" s="318"/>
    </row>
    <row r="158" spans="1:7" x14ac:dyDescent="0.2">
      <c r="G158" s="318"/>
    </row>
    <row r="159" spans="1:7" x14ac:dyDescent="0.2">
      <c r="G159" s="318"/>
    </row>
    <row r="160" spans="1:7" x14ac:dyDescent="0.2">
      <c r="G160" s="318"/>
    </row>
    <row r="161" spans="1:7" x14ac:dyDescent="0.2">
      <c r="G161" s="318"/>
    </row>
    <row r="162" spans="1:7" x14ac:dyDescent="0.2">
      <c r="A162" s="249"/>
    </row>
    <row r="163" spans="1:7" x14ac:dyDescent="0.2">
      <c r="G163" s="318"/>
    </row>
    <row r="164" spans="1:7" x14ac:dyDescent="0.2">
      <c r="G164" s="318"/>
    </row>
    <row r="165" spans="1:7" x14ac:dyDescent="0.2">
      <c r="G165" s="318"/>
    </row>
    <row r="166" spans="1:7" x14ac:dyDescent="0.2">
      <c r="G166" s="318"/>
    </row>
    <row r="167" spans="1:7" x14ac:dyDescent="0.2">
      <c r="G167" s="318"/>
    </row>
    <row r="168" spans="1:7" x14ac:dyDescent="0.2">
      <c r="G168" s="318"/>
    </row>
    <row r="169" spans="1:7" x14ac:dyDescent="0.2">
      <c r="G169" s="318"/>
    </row>
    <row r="170" spans="1:7" x14ac:dyDescent="0.2">
      <c r="G170" s="318"/>
    </row>
    <row r="171" spans="1:7" x14ac:dyDescent="0.2">
      <c r="G171" s="318"/>
    </row>
    <row r="172" spans="1:7" x14ac:dyDescent="0.2">
      <c r="G172" s="318"/>
    </row>
    <row r="173" spans="1:7" x14ac:dyDescent="0.2">
      <c r="G173" s="318"/>
    </row>
    <row r="174" spans="1:7" x14ac:dyDescent="0.2">
      <c r="A174" s="249"/>
    </row>
    <row r="175" spans="1:7" x14ac:dyDescent="0.2">
      <c r="G175" s="318"/>
    </row>
    <row r="176" spans="1:7" x14ac:dyDescent="0.2">
      <c r="G176" s="318"/>
    </row>
    <row r="177" spans="1:7" x14ac:dyDescent="0.2">
      <c r="G177" s="318"/>
    </row>
    <row r="178" spans="1:7" x14ac:dyDescent="0.2">
      <c r="G178" s="318"/>
    </row>
    <row r="179" spans="1:7" x14ac:dyDescent="0.2">
      <c r="G179" s="318"/>
    </row>
    <row r="180" spans="1:7" x14ac:dyDescent="0.2">
      <c r="G180" s="318"/>
    </row>
    <row r="181" spans="1:7" x14ac:dyDescent="0.2">
      <c r="G181" s="318"/>
    </row>
    <row r="182" spans="1:7" x14ac:dyDescent="0.2">
      <c r="G182" s="318"/>
    </row>
    <row r="183" spans="1:7" x14ac:dyDescent="0.2">
      <c r="G183" s="318"/>
    </row>
    <row r="184" spans="1:7" x14ac:dyDescent="0.2">
      <c r="G184" s="318"/>
    </row>
    <row r="185" spans="1:7" x14ac:dyDescent="0.2">
      <c r="G185" s="318"/>
    </row>
    <row r="186" spans="1:7" x14ac:dyDescent="0.2">
      <c r="A186" s="249"/>
    </row>
    <row r="187" spans="1:7" x14ac:dyDescent="0.2">
      <c r="G187" s="318"/>
    </row>
    <row r="188" spans="1:7" x14ac:dyDescent="0.2">
      <c r="G188" s="318"/>
    </row>
    <row r="189" spans="1:7" x14ac:dyDescent="0.2">
      <c r="G189" s="318"/>
    </row>
    <row r="190" spans="1:7" x14ac:dyDescent="0.2">
      <c r="G190" s="318"/>
    </row>
    <row r="191" spans="1:7" x14ac:dyDescent="0.2">
      <c r="G191" s="318"/>
    </row>
    <row r="192" spans="1:7" x14ac:dyDescent="0.2">
      <c r="G192" s="318"/>
    </row>
    <row r="193" spans="1:7" x14ac:dyDescent="0.2">
      <c r="G193" s="318"/>
    </row>
    <row r="194" spans="1:7" x14ac:dyDescent="0.2">
      <c r="G194" s="318"/>
    </row>
    <row r="195" spans="1:7" x14ac:dyDescent="0.2">
      <c r="G195" s="318"/>
    </row>
    <row r="196" spans="1:7" x14ac:dyDescent="0.2">
      <c r="G196" s="318"/>
    </row>
    <row r="197" spans="1:7" x14ac:dyDescent="0.2">
      <c r="A197" s="249"/>
    </row>
    <row r="198" spans="1:7" x14ac:dyDescent="0.2">
      <c r="A198" s="249"/>
    </row>
    <row r="199" spans="1:7" x14ac:dyDescent="0.2">
      <c r="G199" s="318"/>
    </row>
    <row r="200" spans="1:7" x14ac:dyDescent="0.2">
      <c r="G200" s="318"/>
    </row>
    <row r="201" spans="1:7" x14ac:dyDescent="0.2">
      <c r="A201" s="249"/>
    </row>
    <row r="202" spans="1:7" x14ac:dyDescent="0.2">
      <c r="G202" s="318"/>
    </row>
    <row r="203" spans="1:7" x14ac:dyDescent="0.2">
      <c r="G203" s="318"/>
    </row>
    <row r="204" spans="1:7" x14ac:dyDescent="0.2">
      <c r="A204" s="249"/>
    </row>
    <row r="205" spans="1:7" x14ac:dyDescent="0.2">
      <c r="A205" s="249"/>
    </row>
    <row r="206" spans="1:7" x14ac:dyDescent="0.2">
      <c r="G206" s="318"/>
    </row>
    <row r="207" spans="1:7" x14ac:dyDescent="0.2">
      <c r="G207" s="318"/>
    </row>
    <row r="208" spans="1:7" x14ac:dyDescent="0.2">
      <c r="G208" s="318"/>
    </row>
    <row r="209" spans="1:7" x14ac:dyDescent="0.2">
      <c r="G209" s="318"/>
    </row>
    <row r="210" spans="1:7" x14ac:dyDescent="0.2">
      <c r="G210" s="318"/>
    </row>
    <row r="211" spans="1:7" x14ac:dyDescent="0.2">
      <c r="G211" s="318"/>
    </row>
    <row r="212" spans="1:7" x14ac:dyDescent="0.2">
      <c r="A212" s="249"/>
    </row>
    <row r="213" spans="1:7" x14ac:dyDescent="0.2">
      <c r="G213" s="318"/>
    </row>
    <row r="214" spans="1:7" x14ac:dyDescent="0.2">
      <c r="G214" s="318"/>
    </row>
    <row r="215" spans="1:7" x14ac:dyDescent="0.2">
      <c r="G215" s="318"/>
    </row>
    <row r="216" spans="1:7" x14ac:dyDescent="0.2">
      <c r="G216" s="318"/>
    </row>
    <row r="217" spans="1:7" x14ac:dyDescent="0.2">
      <c r="G217" s="318"/>
    </row>
    <row r="218" spans="1:7" x14ac:dyDescent="0.2">
      <c r="G218" s="318"/>
    </row>
    <row r="219" spans="1:7" x14ac:dyDescent="0.2">
      <c r="G219" s="318"/>
    </row>
    <row r="220" spans="1:7" x14ac:dyDescent="0.2">
      <c r="G220" s="318"/>
    </row>
    <row r="221" spans="1:7" x14ac:dyDescent="0.2">
      <c r="G221" s="318"/>
    </row>
    <row r="222" spans="1:7" x14ac:dyDescent="0.2">
      <c r="G222" s="318"/>
    </row>
    <row r="223" spans="1:7" x14ac:dyDescent="0.2">
      <c r="A223" s="249"/>
    </row>
    <row r="224" spans="1:7" x14ac:dyDescent="0.2">
      <c r="G224" s="318"/>
    </row>
    <row r="225" spans="1:7" x14ac:dyDescent="0.2">
      <c r="G225" s="318"/>
    </row>
    <row r="226" spans="1:7" x14ac:dyDescent="0.2">
      <c r="G226" s="318"/>
    </row>
    <row r="227" spans="1:7" x14ac:dyDescent="0.2">
      <c r="G227" s="318"/>
    </row>
    <row r="228" spans="1:7" x14ac:dyDescent="0.2">
      <c r="G228" s="318"/>
    </row>
    <row r="229" spans="1:7" x14ac:dyDescent="0.2">
      <c r="G229" s="318"/>
    </row>
    <row r="230" spans="1:7" x14ac:dyDescent="0.2">
      <c r="G230" s="318"/>
    </row>
    <row r="231" spans="1:7" x14ac:dyDescent="0.2">
      <c r="G231" s="318"/>
    </row>
    <row r="232" spans="1:7" x14ac:dyDescent="0.2">
      <c r="A232" s="249"/>
    </row>
    <row r="233" spans="1:7" x14ac:dyDescent="0.2">
      <c r="G233" s="318"/>
    </row>
    <row r="234" spans="1:7" x14ac:dyDescent="0.2">
      <c r="G234" s="318"/>
    </row>
    <row r="235" spans="1:7" x14ac:dyDescent="0.2">
      <c r="G235" s="318"/>
    </row>
    <row r="236" spans="1:7" x14ac:dyDescent="0.2">
      <c r="G236" s="318"/>
    </row>
    <row r="237" spans="1:7" x14ac:dyDescent="0.2">
      <c r="G237" s="318"/>
    </row>
    <row r="238" spans="1:7" x14ac:dyDescent="0.2">
      <c r="G238" s="318"/>
    </row>
    <row r="239" spans="1:7" x14ac:dyDescent="0.2">
      <c r="A239" s="249"/>
    </row>
    <row r="240" spans="1:7" x14ac:dyDescent="0.2">
      <c r="G240" s="318"/>
    </row>
    <row r="241" spans="1:7" x14ac:dyDescent="0.2">
      <c r="G241" s="318"/>
    </row>
    <row r="242" spans="1:7" x14ac:dyDescent="0.2">
      <c r="G242" s="318"/>
    </row>
    <row r="243" spans="1:7" x14ac:dyDescent="0.2">
      <c r="G243" s="318"/>
    </row>
    <row r="244" spans="1:7" x14ac:dyDescent="0.2">
      <c r="G244" s="318"/>
    </row>
    <row r="245" spans="1:7" x14ac:dyDescent="0.2">
      <c r="G245" s="318"/>
    </row>
    <row r="246" spans="1:7" x14ac:dyDescent="0.2">
      <c r="G246" s="318"/>
    </row>
    <row r="247" spans="1:7" x14ac:dyDescent="0.2">
      <c r="A247" s="249"/>
    </row>
    <row r="248" spans="1:7" x14ac:dyDescent="0.2">
      <c r="A248" s="249"/>
    </row>
    <row r="249" spans="1:7" x14ac:dyDescent="0.2">
      <c r="G249" s="318"/>
    </row>
    <row r="250" spans="1:7" x14ac:dyDescent="0.2">
      <c r="G250" s="318"/>
    </row>
    <row r="251" spans="1:7" x14ac:dyDescent="0.2">
      <c r="G251" s="318"/>
    </row>
    <row r="252" spans="1:7" x14ac:dyDescent="0.2">
      <c r="G252" s="318"/>
    </row>
    <row r="253" spans="1:7" x14ac:dyDescent="0.2">
      <c r="G253" s="318"/>
    </row>
    <row r="254" spans="1:7" x14ac:dyDescent="0.2">
      <c r="G254" s="318"/>
    </row>
    <row r="255" spans="1:7" x14ac:dyDescent="0.2">
      <c r="G255" s="318"/>
    </row>
    <row r="256" spans="1:7" x14ac:dyDescent="0.2">
      <c r="G256" s="318"/>
    </row>
    <row r="257" spans="1:7" x14ac:dyDescent="0.2">
      <c r="G257" s="318"/>
    </row>
    <row r="258" spans="1:7" x14ac:dyDescent="0.2">
      <c r="G258" s="318"/>
    </row>
    <row r="259" spans="1:7" x14ac:dyDescent="0.2">
      <c r="G259" s="318"/>
    </row>
    <row r="260" spans="1:7" x14ac:dyDescent="0.2">
      <c r="A260" s="249"/>
    </row>
    <row r="261" spans="1:7" x14ac:dyDescent="0.2">
      <c r="G261" s="318"/>
    </row>
    <row r="262" spans="1:7" x14ac:dyDescent="0.2">
      <c r="G262" s="318"/>
    </row>
    <row r="263" spans="1:7" x14ac:dyDescent="0.2">
      <c r="G263" s="318"/>
    </row>
    <row r="264" spans="1:7" x14ac:dyDescent="0.2">
      <c r="G264" s="318"/>
    </row>
    <row r="265" spans="1:7" x14ac:dyDescent="0.2">
      <c r="G265" s="318"/>
    </row>
    <row r="266" spans="1:7" x14ac:dyDescent="0.2">
      <c r="G266" s="318"/>
    </row>
    <row r="267" spans="1:7" x14ac:dyDescent="0.2">
      <c r="G267" s="318"/>
    </row>
    <row r="268" spans="1:7" x14ac:dyDescent="0.2">
      <c r="G268" s="318"/>
    </row>
    <row r="269" spans="1:7" x14ac:dyDescent="0.2">
      <c r="G269" s="318"/>
    </row>
    <row r="270" spans="1:7" x14ac:dyDescent="0.2">
      <c r="G270" s="318"/>
    </row>
    <row r="271" spans="1:7" x14ac:dyDescent="0.2">
      <c r="G271" s="318"/>
    </row>
    <row r="272" spans="1:7" x14ac:dyDescent="0.2">
      <c r="A272" s="249"/>
    </row>
    <row r="273" spans="1:7" x14ac:dyDescent="0.2">
      <c r="G273" s="318"/>
    </row>
    <row r="274" spans="1:7" x14ac:dyDescent="0.2">
      <c r="G274" s="318"/>
    </row>
    <row r="275" spans="1:7" x14ac:dyDescent="0.2">
      <c r="G275" s="318"/>
    </row>
    <row r="276" spans="1:7" x14ac:dyDescent="0.2">
      <c r="G276" s="318"/>
    </row>
    <row r="277" spans="1:7" x14ac:dyDescent="0.2">
      <c r="G277" s="318"/>
    </row>
    <row r="278" spans="1:7" x14ac:dyDescent="0.2">
      <c r="G278" s="318"/>
    </row>
    <row r="279" spans="1:7" x14ac:dyDescent="0.2">
      <c r="G279" s="318"/>
    </row>
    <row r="280" spans="1:7" x14ac:dyDescent="0.2">
      <c r="G280" s="318"/>
    </row>
    <row r="281" spans="1:7" x14ac:dyDescent="0.2">
      <c r="G281" s="318"/>
    </row>
    <row r="282" spans="1:7" x14ac:dyDescent="0.2">
      <c r="G282" s="318"/>
    </row>
    <row r="283" spans="1:7" x14ac:dyDescent="0.2">
      <c r="A283" s="249"/>
    </row>
    <row r="284" spans="1:7" x14ac:dyDescent="0.2">
      <c r="G284" s="318"/>
    </row>
    <row r="285" spans="1:7" x14ac:dyDescent="0.2">
      <c r="G285" s="318"/>
    </row>
    <row r="286" spans="1:7" x14ac:dyDescent="0.2">
      <c r="G286" s="318"/>
    </row>
    <row r="287" spans="1:7" x14ac:dyDescent="0.2">
      <c r="G287" s="318"/>
    </row>
    <row r="288" spans="1:7" x14ac:dyDescent="0.2">
      <c r="G288" s="318"/>
    </row>
    <row r="289" spans="1:7" x14ac:dyDescent="0.2">
      <c r="G289" s="318"/>
    </row>
    <row r="290" spans="1:7" x14ac:dyDescent="0.2">
      <c r="G290" s="318"/>
    </row>
    <row r="291" spans="1:7" x14ac:dyDescent="0.2">
      <c r="G291" s="318"/>
    </row>
    <row r="292" spans="1:7" x14ac:dyDescent="0.2">
      <c r="A292" s="249"/>
    </row>
    <row r="293" spans="1:7" x14ac:dyDescent="0.2">
      <c r="G293" s="318"/>
    </row>
    <row r="294" spans="1:7" x14ac:dyDescent="0.2">
      <c r="G294" s="318"/>
    </row>
    <row r="295" spans="1:7" x14ac:dyDescent="0.2">
      <c r="G295" s="318"/>
    </row>
    <row r="296" spans="1:7" x14ac:dyDescent="0.2">
      <c r="G296" s="318"/>
    </row>
    <row r="297" spans="1:7" x14ac:dyDescent="0.2">
      <c r="G297" s="318"/>
    </row>
    <row r="298" spans="1:7" x14ac:dyDescent="0.2">
      <c r="G298" s="318"/>
    </row>
    <row r="299" spans="1:7" x14ac:dyDescent="0.2">
      <c r="G299" s="318"/>
    </row>
    <row r="300" spans="1:7" x14ac:dyDescent="0.2">
      <c r="G300" s="318"/>
    </row>
    <row r="301" spans="1:7" x14ac:dyDescent="0.2">
      <c r="G301" s="318"/>
    </row>
    <row r="302" spans="1:7" x14ac:dyDescent="0.2">
      <c r="G302" s="318"/>
    </row>
    <row r="303" spans="1:7" x14ac:dyDescent="0.2">
      <c r="A303" s="249"/>
    </row>
    <row r="304" spans="1:7" x14ac:dyDescent="0.2">
      <c r="G304" s="318"/>
    </row>
    <row r="305" spans="1:7" x14ac:dyDescent="0.2">
      <c r="G305" s="318"/>
    </row>
    <row r="306" spans="1:7" x14ac:dyDescent="0.2">
      <c r="G306" s="318"/>
    </row>
    <row r="307" spans="1:7" x14ac:dyDescent="0.2">
      <c r="G307" s="318"/>
    </row>
    <row r="308" spans="1:7" x14ac:dyDescent="0.2">
      <c r="G308" s="318"/>
    </row>
    <row r="309" spans="1:7" x14ac:dyDescent="0.2">
      <c r="G309" s="318"/>
    </row>
    <row r="310" spans="1:7" x14ac:dyDescent="0.2">
      <c r="G310" s="318"/>
    </row>
    <row r="311" spans="1:7" x14ac:dyDescent="0.2">
      <c r="G311" s="318"/>
    </row>
    <row r="312" spans="1:7" x14ac:dyDescent="0.2">
      <c r="A312" s="249"/>
    </row>
    <row r="313" spans="1:7" x14ac:dyDescent="0.2">
      <c r="G313" s="318"/>
    </row>
    <row r="314" spans="1:7" x14ac:dyDescent="0.2">
      <c r="G314" s="318"/>
    </row>
    <row r="315" spans="1:7" x14ac:dyDescent="0.2">
      <c r="G315" s="318"/>
    </row>
    <row r="316" spans="1:7" x14ac:dyDescent="0.2">
      <c r="G316" s="318"/>
    </row>
    <row r="317" spans="1:7" x14ac:dyDescent="0.2">
      <c r="G317" s="318"/>
    </row>
    <row r="318" spans="1:7" x14ac:dyDescent="0.2">
      <c r="G318" s="318"/>
    </row>
    <row r="319" spans="1:7" x14ac:dyDescent="0.2">
      <c r="G319" s="318"/>
    </row>
    <row r="320" spans="1:7" x14ac:dyDescent="0.2">
      <c r="G320" s="318"/>
    </row>
    <row r="321" spans="1:7" x14ac:dyDescent="0.2">
      <c r="G321" s="318"/>
    </row>
    <row r="322" spans="1:7" x14ac:dyDescent="0.2">
      <c r="G322" s="318"/>
    </row>
    <row r="323" spans="1:7" x14ac:dyDescent="0.2">
      <c r="A323" s="249"/>
    </row>
    <row r="324" spans="1:7" x14ac:dyDescent="0.2">
      <c r="G324" s="318"/>
    </row>
    <row r="325" spans="1:7" x14ac:dyDescent="0.2">
      <c r="G325" s="318"/>
    </row>
    <row r="326" spans="1:7" x14ac:dyDescent="0.2">
      <c r="G326" s="318"/>
    </row>
    <row r="327" spans="1:7" x14ac:dyDescent="0.2">
      <c r="G327" s="318"/>
    </row>
    <row r="328" spans="1:7" x14ac:dyDescent="0.2">
      <c r="G328" s="318"/>
    </row>
    <row r="329" spans="1:7" x14ac:dyDescent="0.2">
      <c r="G329" s="318"/>
    </row>
    <row r="330" spans="1:7" x14ac:dyDescent="0.2">
      <c r="G330" s="318"/>
    </row>
    <row r="331" spans="1:7" x14ac:dyDescent="0.2">
      <c r="G331" s="318"/>
    </row>
    <row r="332" spans="1:7" x14ac:dyDescent="0.2">
      <c r="G332" s="318"/>
    </row>
    <row r="333" spans="1:7" x14ac:dyDescent="0.2">
      <c r="G333" s="318"/>
    </row>
    <row r="334" spans="1:7" x14ac:dyDescent="0.2">
      <c r="G334" s="318"/>
    </row>
    <row r="335" spans="1:7" x14ac:dyDescent="0.2">
      <c r="A335" s="249"/>
    </row>
    <row r="336" spans="1:7" x14ac:dyDescent="0.2">
      <c r="G336" s="318"/>
    </row>
    <row r="337" spans="7:7" x14ac:dyDescent="0.2">
      <c r="G337" s="318"/>
    </row>
    <row r="338" spans="7:7" x14ac:dyDescent="0.2">
      <c r="G338" s="318"/>
    </row>
    <row r="339" spans="7:7" x14ac:dyDescent="0.2">
      <c r="G339" s="318"/>
    </row>
    <row r="340" spans="7:7" x14ac:dyDescent="0.2">
      <c r="G340" s="318"/>
    </row>
    <row r="341" spans="7:7" x14ac:dyDescent="0.2">
      <c r="G341" s="318"/>
    </row>
    <row r="342" spans="7:7" x14ac:dyDescent="0.2">
      <c r="G342" s="318"/>
    </row>
    <row r="343" spans="7:7" x14ac:dyDescent="0.2">
      <c r="G343" s="318"/>
    </row>
    <row r="344" spans="7:7" x14ac:dyDescent="0.2">
      <c r="G344" s="318"/>
    </row>
    <row r="345" spans="7:7" x14ac:dyDescent="0.2">
      <c r="G345" s="318"/>
    </row>
    <row r="346" spans="7:7" x14ac:dyDescent="0.2">
      <c r="G346" s="318"/>
    </row>
    <row r="347" spans="7:7" x14ac:dyDescent="0.2">
      <c r="G347" s="318"/>
    </row>
    <row r="348" spans="7:7" x14ac:dyDescent="0.2">
      <c r="G348" s="318"/>
    </row>
    <row r="349" spans="7:7" x14ac:dyDescent="0.2">
      <c r="G349" s="318"/>
    </row>
  </sheetData>
  <phoneticPr fontId="0" type="noConversion"/>
  <pageMargins left="0.75" right="0.75" top="1" bottom="1" header="0.5" footer="0.5"/>
  <pageSetup paperSize="9" orientation="landscape" horizont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FFC000"/>
  </sheetPr>
  <dimension ref="A1:BD1250"/>
  <sheetViews>
    <sheetView tabSelected="1" topLeftCell="A136" zoomScale="80" zoomScaleNormal="80" workbookViewId="0">
      <selection activeCell="L10" sqref="L10"/>
    </sheetView>
  </sheetViews>
  <sheetFormatPr defaultColWidth="9.140625" defaultRowHeight="12.75" x14ac:dyDescent="0.2"/>
  <cols>
    <col min="1" max="1" width="39.5703125" style="250" bestFit="1" customWidth="1"/>
    <col min="2" max="2" width="27.5703125" style="250" bestFit="1" customWidth="1"/>
    <col min="3" max="3" width="31.28515625" style="250" bestFit="1" customWidth="1"/>
    <col min="4" max="4" width="25.5703125" style="262" bestFit="1" customWidth="1"/>
    <col min="5" max="5" width="10.5703125" style="262" bestFit="1" customWidth="1"/>
    <col min="6" max="6" width="12" style="262" bestFit="1" customWidth="1"/>
    <col min="7" max="7" width="17" style="250" bestFit="1" customWidth="1"/>
    <col min="8" max="8" width="10.85546875" style="250" bestFit="1" customWidth="1"/>
    <col min="9" max="9" width="13.28515625" style="250" bestFit="1" customWidth="1"/>
    <col min="10" max="10" width="12.140625" style="250" bestFit="1" customWidth="1"/>
    <col min="11" max="11" width="17.5703125" style="250" bestFit="1" customWidth="1"/>
    <col min="12" max="20" width="17.5703125" style="262" bestFit="1" customWidth="1"/>
    <col min="21" max="30" width="9.5703125" style="262" bestFit="1" customWidth="1"/>
    <col min="31" max="31" width="11.140625" style="262" bestFit="1" customWidth="1"/>
    <col min="32" max="33" width="14.28515625" style="262" bestFit="1" customWidth="1"/>
    <col min="34" max="34" width="13.42578125" style="262" bestFit="1" customWidth="1"/>
    <col min="35" max="35" width="14.28515625" style="262" bestFit="1" customWidth="1"/>
    <col min="36" max="37" width="20.140625" style="262" bestFit="1" customWidth="1"/>
    <col min="38" max="38" width="6.7109375" style="262" bestFit="1" customWidth="1"/>
    <col min="39" max="42" width="10.28515625" style="262" bestFit="1" customWidth="1"/>
    <col min="43" max="43" width="10.7109375" style="262" bestFit="1" customWidth="1"/>
    <col min="44" max="44" width="10.7109375" style="262" customWidth="1"/>
    <col min="45" max="52" width="10.7109375" style="262" bestFit="1" customWidth="1"/>
    <col min="53" max="53" width="10" style="262" bestFit="1" customWidth="1"/>
    <col min="54" max="54" width="13.85546875" style="262" bestFit="1" customWidth="1"/>
    <col min="55" max="55" width="11.42578125" style="262" bestFit="1" customWidth="1"/>
    <col min="56" max="56" width="9" style="262" bestFit="1" customWidth="1"/>
    <col min="57" max="16384" width="9.140625" style="250"/>
  </cols>
  <sheetData>
    <row r="1" spans="1:56" x14ac:dyDescent="0.2">
      <c r="A1" s="249" t="s">
        <v>274</v>
      </c>
      <c r="B1" s="250" t="s">
        <v>66</v>
      </c>
      <c r="G1" s="307">
        <v>2010</v>
      </c>
      <c r="K1" s="306">
        <v>2010</v>
      </c>
      <c r="L1" s="306">
        <v>2015</v>
      </c>
      <c r="M1" s="306">
        <v>2020</v>
      </c>
      <c r="N1" s="306">
        <v>2025</v>
      </c>
      <c r="O1" s="306">
        <v>2030</v>
      </c>
      <c r="P1" s="306">
        <v>2035</v>
      </c>
      <c r="Q1" s="306">
        <v>2040</v>
      </c>
      <c r="R1" s="306">
        <v>2045</v>
      </c>
      <c r="S1" s="306">
        <v>2050</v>
      </c>
      <c r="T1" s="306">
        <v>2055</v>
      </c>
      <c r="U1" s="250"/>
      <c r="V1" s="250"/>
      <c r="W1" s="250"/>
      <c r="X1" s="250"/>
      <c r="Y1" s="250"/>
      <c r="Z1" s="250"/>
    </row>
    <row r="5" spans="1:56" x14ac:dyDescent="0.2">
      <c r="B5" s="249"/>
      <c r="C5" s="249"/>
      <c r="D5" s="263"/>
      <c r="E5" s="263"/>
      <c r="F5" s="263"/>
      <c r="G5" s="299"/>
      <c r="H5" s="249"/>
      <c r="I5" s="249"/>
      <c r="O5" s="263"/>
      <c r="P5" s="263"/>
      <c r="AM5" s="263"/>
      <c r="AN5" s="263"/>
      <c r="AO5" s="263"/>
      <c r="AP5" s="263"/>
      <c r="AQ5" s="263"/>
      <c r="AR5" s="263"/>
      <c r="AS5" s="263"/>
      <c r="AT5" s="263"/>
      <c r="AU5" s="263"/>
      <c r="AV5" s="263"/>
      <c r="AW5" s="263"/>
      <c r="AX5" s="263"/>
      <c r="AY5" s="263"/>
      <c r="AZ5" s="263"/>
      <c r="BA5" s="263"/>
      <c r="BB5" s="263"/>
      <c r="BD5" s="263"/>
    </row>
    <row r="6" spans="1:56" x14ac:dyDescent="0.2">
      <c r="B6" s="249"/>
      <c r="C6" s="249"/>
      <c r="D6" s="263"/>
      <c r="E6" s="263"/>
      <c r="F6" s="289" t="s">
        <v>3252</v>
      </c>
      <c r="G6" s="299"/>
      <c r="H6" s="249"/>
      <c r="I6" s="249"/>
      <c r="O6" s="263"/>
      <c r="P6" s="263"/>
      <c r="AM6" s="263"/>
      <c r="AN6" s="263"/>
      <c r="AO6" s="263"/>
      <c r="AP6" s="263"/>
      <c r="AQ6" s="263"/>
      <c r="AR6" s="263"/>
      <c r="AS6" s="263"/>
      <c r="AT6" s="263"/>
      <c r="AU6" s="263"/>
      <c r="AV6" s="263"/>
      <c r="AW6" s="263"/>
      <c r="AX6" s="263"/>
      <c r="AY6" s="263"/>
      <c r="AZ6" s="263"/>
      <c r="BA6" s="263"/>
      <c r="BB6" s="263"/>
      <c r="BD6" s="263"/>
    </row>
    <row r="7" spans="1:56" x14ac:dyDescent="0.2">
      <c r="A7" s="254" t="s">
        <v>389</v>
      </c>
      <c r="B7" s="254" t="s">
        <v>185</v>
      </c>
      <c r="C7" s="254" t="s">
        <v>3120</v>
      </c>
      <c r="D7" s="254" t="s">
        <v>3072</v>
      </c>
      <c r="E7" s="254" t="s">
        <v>289</v>
      </c>
      <c r="F7" s="254" t="s">
        <v>290</v>
      </c>
      <c r="G7" s="254" t="s">
        <v>3122</v>
      </c>
      <c r="H7" s="254" t="s">
        <v>3132</v>
      </c>
      <c r="I7" s="254" t="s">
        <v>3118</v>
      </c>
      <c r="J7" s="254" t="s">
        <v>3133</v>
      </c>
      <c r="K7" s="254" t="s">
        <v>3134</v>
      </c>
      <c r="L7" s="254" t="s">
        <v>3135</v>
      </c>
      <c r="M7" s="254" t="s">
        <v>3136</v>
      </c>
      <c r="N7" s="254" t="s">
        <v>3137</v>
      </c>
      <c r="O7" s="254" t="s">
        <v>3138</v>
      </c>
      <c r="P7" s="254" t="s">
        <v>3139</v>
      </c>
      <c r="Q7" s="254" t="s">
        <v>3140</v>
      </c>
      <c r="R7" s="254" t="s">
        <v>3141</v>
      </c>
      <c r="S7" s="254" t="s">
        <v>3142</v>
      </c>
      <c r="T7" s="254" t="s">
        <v>3143</v>
      </c>
      <c r="U7" s="254" t="s">
        <v>3144</v>
      </c>
      <c r="V7" s="254" t="s">
        <v>3145</v>
      </c>
      <c r="W7" s="254" t="s">
        <v>3146</v>
      </c>
      <c r="X7" s="254" t="s">
        <v>3147</v>
      </c>
      <c r="Y7" s="254" t="s">
        <v>3148</v>
      </c>
      <c r="Z7" s="254" t="s">
        <v>3149</v>
      </c>
      <c r="AA7" s="254" t="s">
        <v>3150</v>
      </c>
      <c r="AB7" s="254" t="s">
        <v>3151</v>
      </c>
      <c r="AC7" s="254" t="s">
        <v>3152</v>
      </c>
      <c r="AD7" s="254" t="s">
        <v>3153</v>
      </c>
      <c r="AE7" s="254" t="s">
        <v>3117</v>
      </c>
      <c r="AF7" s="254" t="s">
        <v>3154</v>
      </c>
      <c r="AG7" s="254" t="s">
        <v>3154</v>
      </c>
      <c r="AH7" s="254" t="s">
        <v>3116</v>
      </c>
      <c r="AI7" s="254" t="s">
        <v>3154</v>
      </c>
      <c r="AJ7" s="254" t="s">
        <v>3155</v>
      </c>
      <c r="AK7" s="263"/>
      <c r="AL7" s="263"/>
      <c r="AM7" s="263"/>
      <c r="AN7" s="263"/>
      <c r="AO7" s="263"/>
      <c r="AP7" s="263"/>
      <c r="AQ7" s="263"/>
      <c r="AR7" s="263"/>
      <c r="AS7" s="263"/>
      <c r="AT7" s="263"/>
      <c r="AU7" s="263"/>
      <c r="AW7" s="263"/>
      <c r="AX7" s="250"/>
      <c r="AY7" s="250"/>
      <c r="AZ7" s="250"/>
      <c r="BA7" s="250"/>
      <c r="BB7" s="250"/>
      <c r="BC7" s="250"/>
      <c r="BD7" s="250"/>
    </row>
    <row r="8" spans="1:56" x14ac:dyDescent="0.2">
      <c r="A8" s="258" t="s">
        <v>239</v>
      </c>
      <c r="B8" s="259"/>
      <c r="C8" s="259"/>
      <c r="D8" s="259"/>
      <c r="E8" s="259"/>
      <c r="F8" s="259"/>
      <c r="G8" s="312"/>
      <c r="H8" s="293"/>
      <c r="I8" s="292"/>
      <c r="J8" s="292"/>
      <c r="K8" s="293"/>
      <c r="L8" s="293"/>
      <c r="M8" s="293"/>
      <c r="N8" s="293"/>
      <c r="O8" s="293"/>
      <c r="P8" s="293"/>
      <c r="Q8" s="293"/>
      <c r="R8" s="293"/>
      <c r="S8" s="293"/>
      <c r="T8" s="293"/>
      <c r="U8" s="293"/>
      <c r="V8" s="293"/>
      <c r="W8" s="293"/>
      <c r="X8" s="293"/>
      <c r="Y8" s="293"/>
      <c r="Z8" s="293"/>
      <c r="AA8" s="293"/>
      <c r="AB8" s="293"/>
      <c r="AC8" s="293"/>
      <c r="AD8" s="293"/>
      <c r="AE8" s="293"/>
      <c r="AF8" s="293"/>
      <c r="AG8" s="293"/>
      <c r="AH8" s="293"/>
      <c r="AI8" s="293"/>
      <c r="AJ8" s="292"/>
      <c r="AK8" s="263"/>
      <c r="AL8" s="263"/>
      <c r="AM8" s="263"/>
      <c r="AN8" s="263"/>
      <c r="AO8" s="263"/>
      <c r="AP8" s="263"/>
      <c r="AQ8" s="263"/>
      <c r="AR8" s="263"/>
      <c r="AS8" s="263"/>
      <c r="AT8" s="263"/>
      <c r="AU8" s="263"/>
      <c r="AX8" s="250"/>
      <c r="AY8" s="250"/>
      <c r="AZ8" s="250"/>
      <c r="BA8" s="250"/>
      <c r="BB8" s="250"/>
      <c r="BC8" s="250"/>
      <c r="BD8" s="250"/>
    </row>
    <row r="9" spans="1:56" x14ac:dyDescent="0.2">
      <c r="A9" s="255" t="str">
        <f>[2]Technologies!B91</f>
        <v>R2,R3,R4,R5,R6</v>
      </c>
      <c r="B9" s="255" t="str">
        <f>[2]Technologies!D91</f>
        <v>TLMCCONV10</v>
      </c>
      <c r="C9" s="255" t="str">
        <f>[2]Technologies!E91</f>
        <v>TL.GSL.MC.CONV.2010</v>
      </c>
      <c r="D9" s="255" t="s">
        <v>292</v>
      </c>
      <c r="E9" s="255" t="s">
        <v>111</v>
      </c>
      <c r="F9" s="255" t="str">
        <f>[2]Commodities!$D$9</f>
        <v>TL</v>
      </c>
      <c r="G9" s="257"/>
      <c r="H9" s="294">
        <v>1</v>
      </c>
      <c r="I9" s="309">
        <f>INDEX([2]ConsolidatedVehData!$D$22:$D$858,MATCH(B9,[2]ConsolidatedVehData!$A$22:$A$858,0))</f>
        <v>2010</v>
      </c>
      <c r="J9" s="294">
        <v>20</v>
      </c>
      <c r="K9" s="309">
        <f>INDEX([2]ConsolidatedVehData!$P$22:$Z$858,MATCH($B9,[2]ConsolidatedVehData!$A$22:$A$858,0),MATCH(K$1,[2]ConsolidatedVehData!$P$7:$Z$7,0))</f>
        <v>3235.013828472976</v>
      </c>
      <c r="L9" s="309">
        <f>INDEX([2]ConsolidatedVehData!$P$22:$Z$858,MATCH($B9,[2]ConsolidatedVehData!$A$22:$A$858,0),MATCH(L$1,[2]ConsolidatedVehData!$P$7:$Z$7,0))</f>
        <v>3298.2275741102394</v>
      </c>
      <c r="M9" s="309">
        <f>INDEX([2]ConsolidatedVehData!$P$22:$Z$858,MATCH($B9,[2]ConsolidatedVehData!$A$22:$A$858,0),MATCH(M$1,[2]ConsolidatedVehData!$P$7:$Z$7,0))</f>
        <v>3346.7555254311587</v>
      </c>
      <c r="N9" s="309">
        <f>INDEX([2]ConsolidatedVehData!$P$22:$Z$858,MATCH($B9,[2]ConsolidatedVehData!$A$22:$A$858,0),MATCH(N$1,[2]ConsolidatedVehData!$P$7:$Z$7,0))</f>
        <v>3453.8076000516553</v>
      </c>
      <c r="O9" s="309">
        <f>INDEX([2]ConsolidatedVehData!$P$22:$Z$858,MATCH($B9,[2]ConsolidatedVehData!$A$22:$A$858,0),MATCH(O$1,[2]ConsolidatedVehData!$P$7:$Z$7,0))</f>
        <v>3455.3578236266408</v>
      </c>
      <c r="P9" s="309">
        <f>INDEX([2]ConsolidatedVehData!$P$22:$Z$858,MATCH($B9,[2]ConsolidatedVehData!$A$22:$A$858,0),MATCH(P$1,[2]ConsolidatedVehData!$P$7:$Z$7,0))</f>
        <v>3456.7459790639782</v>
      </c>
      <c r="Q9" s="309">
        <f>INDEX([2]ConsolidatedVehData!$P$22:$Z$858,MATCH($B9,[2]ConsolidatedVehData!$A$22:$A$858,0),MATCH(Q$1,[2]ConsolidatedVehData!$P$7:$Z$7,0))</f>
        <v>3455.1755638660616</v>
      </c>
      <c r="R9" s="309">
        <f>INDEX([2]ConsolidatedVehData!$P$22:$Z$858,MATCH($B9,[2]ConsolidatedVehData!$A$22:$A$858,0),MATCH(R$1,[2]ConsolidatedVehData!$P$7:$Z$7,0))</f>
        <v>3455.1755638660616</v>
      </c>
      <c r="S9" s="309">
        <f>INDEX([2]ConsolidatedVehData!$P$22:$Z$858,MATCH($B9,[2]ConsolidatedVehData!$A$22:$A$858,0),MATCH(S$1,[2]ConsolidatedVehData!$P$7:$Z$7,0))</f>
        <v>3455.1755638660616</v>
      </c>
      <c r="T9" s="309">
        <f t="shared" ref="T9:T23" si="0">S9</f>
        <v>3455.1755638660616</v>
      </c>
      <c r="U9" s="310">
        <f>INDEX([2]ConsolidatedVehData!$AF$22:$AF$858,MATCH(B9,[2]ConsolidatedVehData!$A$22:$A$858,0))</f>
        <v>0.1701727185145106</v>
      </c>
      <c r="V9" s="310">
        <f>INDEX([2]ConsolidatedVehData!$AF$22:$AF$858,MATCH($B9,[2]ConsolidatedVehData!$A$22:$A$858,0)+1)</f>
        <v>0.17585158271448098</v>
      </c>
      <c r="W9" s="310">
        <f>INDEX([2]ConsolidatedVehData!$AF$22:$AF$858,MATCH($B9,[2]ConsolidatedVehData!$A$22:$A$858,0)+2)</f>
        <v>0.21104254109960052</v>
      </c>
      <c r="X9" s="310">
        <f>INDEX([2]ConsolidatedVehData!$AF$22:$AF$858,MATCH($B9,[2]ConsolidatedVehData!$A$22:$A$858,0)+3)</f>
        <v>0.26243479496145988</v>
      </c>
      <c r="Y9" s="310">
        <f>INDEX([2]ConsolidatedVehData!$AF$22:$AF$858,MATCH($B9,[2]ConsolidatedVehData!$A$22:$A$858,0)+4)</f>
        <v>0.2634132875907535</v>
      </c>
      <c r="Z9" s="310">
        <f>INDEX([2]ConsolidatedVehData!$AF$22:$AF$858,MATCH($B9,[2]ConsolidatedVehData!$A$22:$A$858,0)+5)</f>
        <v>0.26316580858247046</v>
      </c>
      <c r="AA9" s="310">
        <f>INDEX([2]ConsolidatedVehData!$AF$22:$AF$858,MATCH($B9,[2]ConsolidatedVehData!$A$22:$A$858,0)+6)</f>
        <v>0.26299744635193539</v>
      </c>
      <c r="AB9" s="310">
        <f>INDEX([2]ConsolidatedVehData!$AF$22:$AF$858,MATCH($B9,[2]ConsolidatedVehData!$A$22:$A$858,0)+7)</f>
        <v>0.26299744635193539</v>
      </c>
      <c r="AC9" s="310">
        <f>INDEX([2]ConsolidatedVehData!$AF$22:$AF$858,MATCH($B9,[2]ConsolidatedVehData!$A$22:$A$858,0)+8)</f>
        <v>0.26299744635193539</v>
      </c>
      <c r="AD9" s="310">
        <f>AC9</f>
        <v>0.26299744635193539</v>
      </c>
      <c r="AE9" s="286">
        <f>INDEX([2]ConsolidatedVehData!$AB$22:$AB$858,MATCH(B9,[2]ConsolidatedVehData!$A$22:$A$858,0))</f>
        <v>38.459799414932235</v>
      </c>
      <c r="AF9" s="311">
        <v>0.44</v>
      </c>
      <c r="AG9" s="311">
        <v>0.18</v>
      </c>
      <c r="AH9" s="311">
        <v>0.18</v>
      </c>
      <c r="AI9" s="311">
        <v>0.4</v>
      </c>
      <c r="AJ9" s="294">
        <v>0</v>
      </c>
      <c r="AX9" s="250"/>
      <c r="AY9" s="250"/>
      <c r="AZ9" s="250"/>
      <c r="BA9" s="250"/>
      <c r="BB9" s="250"/>
      <c r="BC9" s="250"/>
      <c r="BD9" s="250"/>
    </row>
    <row r="10" spans="1:56" x14ac:dyDescent="0.2">
      <c r="A10" s="255" t="str">
        <f>[2]Technologies!B77</f>
        <v>R2,R3,R4,R5,R6</v>
      </c>
      <c r="B10" s="255" t="str">
        <f>[2]Technologies!D77</f>
        <v>TLMCELC</v>
      </c>
      <c r="C10" s="255" t="str">
        <f>[2]Technologies!E77</f>
        <v>Electric minicar w/100 mi range</v>
      </c>
      <c r="D10" s="255" t="s">
        <v>292</v>
      </c>
      <c r="E10" s="255" t="s">
        <v>99</v>
      </c>
      <c r="F10" s="255" t="str">
        <f>[2]Commodities!$D$9</f>
        <v>TL</v>
      </c>
      <c r="G10" s="257" t="str">
        <f>IF($I10&lt;G$1,0,"")</f>
        <v/>
      </c>
      <c r="H10" s="294">
        <v>1</v>
      </c>
      <c r="I10" s="309">
        <v>2015</v>
      </c>
      <c r="J10" s="294">
        <v>20</v>
      </c>
      <c r="K10" s="309">
        <f>L10</f>
        <v>5520.6076038477568</v>
      </c>
      <c r="L10" s="309">
        <f>L9+[2]GDPdeflator!$C$35*[2]ERG_ElectricVeh!B29</f>
        <v>5520.6076038477568</v>
      </c>
      <c r="M10" s="309">
        <f>M9+[2]GDPdeflator!$C$35*[2]ERG_ElectricVeh!C29</f>
        <v>4765.8558248900717</v>
      </c>
      <c r="N10" s="309">
        <f>N9+[2]GDPdeflator!$C$35*[2]ERG_ElectricVeh!D29</f>
        <v>4069.6281692319635</v>
      </c>
      <c r="O10" s="309">
        <f>O9+[2]GDPdeflator!$C$35*[2]ERG_ElectricVeh!E29</f>
        <v>3910.555240148793</v>
      </c>
      <c r="P10" s="309">
        <f>P9+[2]GDPdeflator!$C$35*[2]ERG_ElectricVeh!F29</f>
        <v>3751.320242927974</v>
      </c>
      <c r="Q10" s="309">
        <f t="shared" ref="Q10:S11" si="1">P10</f>
        <v>3751.320242927974</v>
      </c>
      <c r="R10" s="309">
        <f t="shared" si="1"/>
        <v>3751.320242927974</v>
      </c>
      <c r="S10" s="309">
        <f t="shared" si="1"/>
        <v>3751.320242927974</v>
      </c>
      <c r="T10" s="309">
        <f t="shared" si="0"/>
        <v>3751.320242927974</v>
      </c>
      <c r="U10" s="310">
        <f t="shared" ref="U10:W11" si="2">V10</f>
        <v>1.0886070478634642</v>
      </c>
      <c r="V10" s="310">
        <f>[2]ERG_ElectricVeh!P29*[2]Efficiencies!AE$50</f>
        <v>1.0886070478634642</v>
      </c>
      <c r="W10" s="310">
        <f>[2]ERG_ElectricVeh!Q29*[2]Efficiencies!AF$50</f>
        <v>1.1297413170054631</v>
      </c>
      <c r="X10" s="310">
        <f>[2]ERG_ElectricVeh!R29*[2]Efficiencies!AG$50</f>
        <v>1.1735527019254468</v>
      </c>
      <c r="Y10" s="310">
        <f>[2]ERG_ElectricVeh!S29*[2]Efficiencies!AH$50</f>
        <v>1.1963547158377328</v>
      </c>
      <c r="Z10" s="310">
        <f>[2]ERG_ElectricVeh!T29*[2]Efficiencies!AI$50</f>
        <v>1.2125345838877644</v>
      </c>
      <c r="AA10" s="310">
        <f t="shared" ref="AA10:AD23" si="3">Z10</f>
        <v>1.2125345838877644</v>
      </c>
      <c r="AB10" s="310">
        <f t="shared" si="3"/>
        <v>1.2125345838877644</v>
      </c>
      <c r="AC10" s="310">
        <f t="shared" si="3"/>
        <v>1.2125345838877644</v>
      </c>
      <c r="AD10" s="310">
        <f t="shared" si="3"/>
        <v>1.2125345838877644</v>
      </c>
      <c r="AE10" s="286">
        <f>0.75*AE9</f>
        <v>28.844849561199176</v>
      </c>
      <c r="AF10" s="311">
        <v>0.44</v>
      </c>
      <c r="AG10" s="311">
        <v>0.24</v>
      </c>
      <c r="AH10" s="311">
        <v>0.28000000000000003</v>
      </c>
      <c r="AI10" s="311">
        <v>0.44</v>
      </c>
      <c r="AJ10" s="294">
        <v>0</v>
      </c>
      <c r="AX10" s="250"/>
      <c r="AY10" s="250"/>
      <c r="AZ10" s="250"/>
      <c r="BA10" s="250"/>
      <c r="BB10" s="250"/>
      <c r="BC10" s="250"/>
      <c r="BD10" s="250"/>
    </row>
    <row r="11" spans="1:56" x14ac:dyDescent="0.2">
      <c r="A11" s="255" t="str">
        <f>[2]Technologies!B84</f>
        <v>R2,R3,R4,R5,R6</v>
      </c>
      <c r="B11" s="255" t="str">
        <f>[2]Technologies!D84</f>
        <v>TLMCELCB</v>
      </c>
      <c r="C11" s="255" t="str">
        <f>[2]Technologies!E84</f>
        <v>Electric minicar w/200 mi range</v>
      </c>
      <c r="D11" s="255" t="s">
        <v>292</v>
      </c>
      <c r="E11" s="255" t="s">
        <v>99</v>
      </c>
      <c r="F11" s="255" t="str">
        <f>[2]Commodities!$D$9</f>
        <v>TL</v>
      </c>
      <c r="G11" s="257" t="str">
        <f>IF($I11&lt;G$1,0,"")</f>
        <v/>
      </c>
      <c r="H11" s="294">
        <v>1</v>
      </c>
      <c r="I11" s="309">
        <v>2025</v>
      </c>
      <c r="J11" s="294">
        <v>20</v>
      </c>
      <c r="K11" s="309">
        <f t="shared" ref="K11:M11" si="4">L11</f>
        <v>5249.389400225904</v>
      </c>
      <c r="L11" s="309">
        <f t="shared" si="4"/>
        <v>5249.389400225904</v>
      </c>
      <c r="M11" s="309">
        <f t="shared" si="4"/>
        <v>5249.389400225904</v>
      </c>
      <c r="N11" s="309">
        <f>N9+[2]GDPdeflator!$C$35*[2]ERG_ElectricVeh!D39</f>
        <v>5249.389400225904</v>
      </c>
      <c r="O11" s="309">
        <f>O9+[2]GDPdeflator!$C$35*[2]ERG_ElectricVeh!E39</f>
        <v>4859.4246841734448</v>
      </c>
      <c r="P11" s="309">
        <f>P9+[2]GDPdeflator!$C$35*[2]ERG_ElectricVeh!F39</f>
        <v>4469.2978999833367</v>
      </c>
      <c r="Q11" s="309">
        <f t="shared" si="1"/>
        <v>4469.2978999833367</v>
      </c>
      <c r="R11" s="309">
        <f t="shared" si="1"/>
        <v>4469.2978999833367</v>
      </c>
      <c r="S11" s="309">
        <f t="shared" si="1"/>
        <v>4469.2978999833367</v>
      </c>
      <c r="T11" s="309">
        <f>S11</f>
        <v>4469.2978999833367</v>
      </c>
      <c r="U11" s="310">
        <f t="shared" si="2"/>
        <v>0.97598802218817848</v>
      </c>
      <c r="V11" s="310">
        <f t="shared" si="2"/>
        <v>0.97598802218817848</v>
      </c>
      <c r="W11" s="310">
        <f t="shared" si="2"/>
        <v>0.97598802218817848</v>
      </c>
      <c r="X11" s="310">
        <f>[2]ERG_ElectricVeh!R39*[2]Efficiencies!AG$50</f>
        <v>0.97598802218817848</v>
      </c>
      <c r="Y11" s="310">
        <f>[2]ERG_ElectricVeh!S39*[2]Efficiencies!AH$50</f>
        <v>0.99494596981471461</v>
      </c>
      <c r="Z11" s="310">
        <f>[2]ERG_ElectricVeh!T39*[2]Efficiencies!AI$50</f>
        <v>1.0083962991185507</v>
      </c>
      <c r="AA11" s="310">
        <f t="shared" si="3"/>
        <v>1.0083962991185507</v>
      </c>
      <c r="AB11" s="310">
        <f t="shared" si="3"/>
        <v>1.0083962991185507</v>
      </c>
      <c r="AC11" s="310">
        <f t="shared" si="3"/>
        <v>1.0083962991185507</v>
      </c>
      <c r="AD11" s="310">
        <f t="shared" si="3"/>
        <v>1.0083962991185507</v>
      </c>
      <c r="AE11" s="286">
        <f>0.75*AE9</f>
        <v>28.844849561199176</v>
      </c>
      <c r="AF11" s="311">
        <v>0.44</v>
      </c>
      <c r="AG11" s="311">
        <v>0.24</v>
      </c>
      <c r="AH11" s="311">
        <v>0.28000000000000003</v>
      </c>
      <c r="AI11" s="311">
        <v>0.44</v>
      </c>
      <c r="AJ11" s="294">
        <v>0</v>
      </c>
      <c r="AX11" s="250"/>
      <c r="AY11" s="250"/>
      <c r="AZ11" s="250"/>
      <c r="BA11" s="250"/>
      <c r="BB11" s="250"/>
      <c r="BC11" s="250"/>
      <c r="BD11" s="250"/>
    </row>
    <row r="12" spans="1:56" x14ac:dyDescent="0.2">
      <c r="A12" s="255" t="str">
        <f>[2]Technologies!B92</f>
        <v>R2,R3,R4,R5,R6</v>
      </c>
      <c r="B12" s="255" t="str">
        <f>[2]Technologies!D92</f>
        <v>TLCCONV10</v>
      </c>
      <c r="C12" s="255" t="str">
        <f>[2]Technologies!E92</f>
        <v>TL.GSL.C.CONV.2010</v>
      </c>
      <c r="D12" s="255" t="s">
        <v>292</v>
      </c>
      <c r="E12" s="255" t="s">
        <v>111</v>
      </c>
      <c r="F12" s="255" t="str">
        <f>[2]Commodities!$D$9</f>
        <v>TL</v>
      </c>
      <c r="G12" s="257"/>
      <c r="H12" s="294">
        <v>1</v>
      </c>
      <c r="I12" s="309">
        <f>INDEX([2]ConsolidatedVehData!$D$22:$D$858,MATCH(B12,[2]ConsolidatedVehData!$A$22:$A$858,0))</f>
        <v>2010</v>
      </c>
      <c r="J12" s="294">
        <v>20</v>
      </c>
      <c r="K12" s="309">
        <f>INDEX([2]ConsolidatedVehData!$P$22:$Z$858,MATCH($B12,[2]ConsolidatedVehData!$A$22:$A$858,0),MATCH(K$1,[2]ConsolidatedVehData!$P$7:$Z$7,0))</f>
        <v>1628.3755174073378</v>
      </c>
      <c r="L12" s="309">
        <f>INDEX([2]ConsolidatedVehData!$P$22:$Z$858,MATCH($B12,[2]ConsolidatedVehData!$A$22:$A$858,0),MATCH(L$1,[2]ConsolidatedVehData!$P$7:$Z$7,0))</f>
        <v>1523.4184383851539</v>
      </c>
      <c r="M12" s="309">
        <f>INDEX([2]ConsolidatedVehData!$P$22:$Z$858,MATCH($B12,[2]ConsolidatedVehData!$A$22:$A$858,0),MATCH(M$1,[2]ConsolidatedVehData!$P$7:$Z$7,0))</f>
        <v>1593.4861914365122</v>
      </c>
      <c r="N12" s="309">
        <f>INDEX([2]ConsolidatedVehData!$P$22:$Z$858,MATCH($B12,[2]ConsolidatedVehData!$A$22:$A$858,0),MATCH(N$1,[2]ConsolidatedVehData!$P$7:$Z$7,0))</f>
        <v>1707.7886912530043</v>
      </c>
      <c r="O12" s="309">
        <f>INDEX([2]ConsolidatedVehData!$P$22:$Z$858,MATCH($B12,[2]ConsolidatedVehData!$A$22:$A$858,0),MATCH(O$1,[2]ConsolidatedVehData!$P$7:$Z$7,0))</f>
        <v>1710.1988042749547</v>
      </c>
      <c r="P12" s="309">
        <f>INDEX([2]ConsolidatedVehData!$P$22:$Z$858,MATCH($B12,[2]ConsolidatedVehData!$A$22:$A$858,0),MATCH(P$1,[2]ConsolidatedVehData!$P$7:$Z$7,0))</f>
        <v>1711.4174431346789</v>
      </c>
      <c r="Q12" s="309">
        <f>INDEX([2]ConsolidatedVehData!$P$22:$Z$858,MATCH($B12,[2]ConsolidatedVehData!$A$22:$A$858,0),MATCH(Q$1,[2]ConsolidatedVehData!$P$7:$Z$7,0))</f>
        <v>1712.508536738851</v>
      </c>
      <c r="R12" s="309">
        <f>INDEX([2]ConsolidatedVehData!$P$22:$Z$858,MATCH($B12,[2]ConsolidatedVehData!$A$22:$A$858,0),MATCH(R$1,[2]ConsolidatedVehData!$P$7:$Z$7,0))</f>
        <v>1712.508536738851</v>
      </c>
      <c r="S12" s="309">
        <f>INDEX([2]ConsolidatedVehData!$P$22:$Z$858,MATCH($B12,[2]ConsolidatedVehData!$A$22:$A$858,0),MATCH(S$1,[2]ConsolidatedVehData!$P$7:$Z$7,0))</f>
        <v>1712.508536738851</v>
      </c>
      <c r="T12" s="309">
        <f t="shared" si="0"/>
        <v>1712.508536738851</v>
      </c>
      <c r="U12" s="310">
        <f>INDEX([2]ConsolidatedVehData!$AF$22:$AF$858,MATCH(B12,[2]ConsolidatedVehData!$A$22:$A$858,0))</f>
        <v>0.20245058276676323</v>
      </c>
      <c r="V12" s="310">
        <f>INDEX([2]ConsolidatedVehData!$AF$22:$AF$858,MATCH($B12,[2]ConsolidatedVehData!$A$22:$A$858,0)+1)</f>
        <v>0.22752049679471878</v>
      </c>
      <c r="W12" s="310">
        <f>INDEX([2]ConsolidatedVehData!$AF$22:$AF$858,MATCH($B12,[2]ConsolidatedVehData!$A$22:$A$858,0)+2)</f>
        <v>0.27306099934214251</v>
      </c>
      <c r="X12" s="310">
        <f>INDEX([2]ConsolidatedVehData!$AF$22:$AF$858,MATCH($B12,[2]ConsolidatedVehData!$A$22:$A$858,0)+3)</f>
        <v>0.33749688020217411</v>
      </c>
      <c r="Y12" s="310">
        <f>INDEX([2]ConsolidatedVehData!$AF$22:$AF$858,MATCH($B12,[2]ConsolidatedVehData!$A$22:$A$858,0)+4)</f>
        <v>0.3396215046488435</v>
      </c>
      <c r="Z12" s="310">
        <f>INDEX([2]ConsolidatedVehData!$AF$22:$AF$858,MATCH($B12,[2]ConsolidatedVehData!$A$22:$A$858,0)+5)</f>
        <v>0.33896120705410993</v>
      </c>
      <c r="AA12" s="310">
        <f>INDEX([2]ConsolidatedVehData!$AF$22:$AF$858,MATCH($B12,[2]ConsolidatedVehData!$A$22:$A$858,0)+6)</f>
        <v>0.33830220656203658</v>
      </c>
      <c r="AB12" s="310">
        <f>INDEX([2]ConsolidatedVehData!$AF$22:$AF$858,MATCH($B12,[2]ConsolidatedVehData!$A$22:$A$858,0)+7)</f>
        <v>0.33830220656203658</v>
      </c>
      <c r="AC12" s="310">
        <f>INDEX([2]ConsolidatedVehData!$AF$22:$AF$858,MATCH($B12,[2]ConsolidatedVehData!$A$22:$A$858,0)+8)</f>
        <v>0.33830220656203658</v>
      </c>
      <c r="AD12" s="310">
        <f t="shared" si="3"/>
        <v>0.33830220656203658</v>
      </c>
      <c r="AE12" s="286">
        <f>INDEX([2]ConsolidatedVehData!$AB$22:$AB$858,MATCH(B12,[2]ConsolidatedVehData!$A$22:$A$858,0))</f>
        <v>38.459799414932235</v>
      </c>
      <c r="AF12" s="311">
        <v>0.44</v>
      </c>
      <c r="AG12" s="311">
        <v>0.18</v>
      </c>
      <c r="AH12" s="311">
        <v>0.18</v>
      </c>
      <c r="AI12" s="311">
        <v>0.4</v>
      </c>
      <c r="AJ12" s="294">
        <v>0</v>
      </c>
      <c r="AX12" s="250"/>
      <c r="AY12" s="250"/>
      <c r="AZ12" s="250"/>
      <c r="BA12" s="250"/>
      <c r="BB12" s="250"/>
      <c r="BC12" s="250"/>
      <c r="BD12" s="250"/>
    </row>
    <row r="13" spans="1:56" x14ac:dyDescent="0.2">
      <c r="A13" s="255" t="str">
        <f>[2]Technologies!B78</f>
        <v>R2,R3,R4,R5,R6</v>
      </c>
      <c r="B13" s="255" t="str">
        <f>[2]Technologies!D78</f>
        <v>TLCELC</v>
      </c>
      <c r="C13" s="255" t="str">
        <f>[2]Technologies!E78</f>
        <v>Electric compact car w/100 mi range</v>
      </c>
      <c r="D13" s="255" t="s">
        <v>292</v>
      </c>
      <c r="E13" s="255" t="s">
        <v>99</v>
      </c>
      <c r="F13" s="255" t="str">
        <f>[2]Commodities!$D$9</f>
        <v>TL</v>
      </c>
      <c r="G13" s="257" t="str">
        <f>IF($I13&lt;G$1,0,"")</f>
        <v/>
      </c>
      <c r="H13" s="294">
        <v>1</v>
      </c>
      <c r="I13" s="309">
        <v>2015</v>
      </c>
      <c r="J13" s="294">
        <v>20</v>
      </c>
      <c r="K13" s="309">
        <f t="shared" ref="K13:M14" si="5">L13</f>
        <v>3617.5176981968548</v>
      </c>
      <c r="L13" s="309">
        <f>L12+[2]GDPdeflator!$C$35*[2]ERG_ElectricVeh!B30</f>
        <v>3617.5176981968548</v>
      </c>
      <c r="M13" s="309">
        <f>M12+[2]GDPdeflator!$C$35*[2]ERG_ElectricVeh!C30</f>
        <v>2958.5983205777457</v>
      </c>
      <c r="N13" s="309">
        <f>N12+[2]GDPdeflator!$C$35*[2]ERG_ElectricVeh!D30</f>
        <v>2343.9136897237709</v>
      </c>
      <c r="O13" s="309">
        <f>O12+[2]GDPdeflator!$C$35*[2]ERG_ElectricVeh!E30</f>
        <v>2200.3827388041459</v>
      </c>
      <c r="P13" s="309">
        <f>P12+[2]GDPdeflator!$C$35*[2]ERG_ElectricVeh!F30</f>
        <v>2055.6603137222946</v>
      </c>
      <c r="Q13" s="309">
        <f t="shared" ref="Q13:S14" si="6">P13</f>
        <v>2055.6603137222946</v>
      </c>
      <c r="R13" s="309">
        <f t="shared" si="6"/>
        <v>2055.6603137222946</v>
      </c>
      <c r="S13" s="309">
        <f t="shared" si="6"/>
        <v>2055.6603137222946</v>
      </c>
      <c r="T13" s="309">
        <f t="shared" si="0"/>
        <v>2055.6603137222946</v>
      </c>
      <c r="U13" s="310">
        <f t="shared" ref="U13:W14" si="7">V13</f>
        <v>1.2017958584220467</v>
      </c>
      <c r="V13" s="310">
        <f>[2]ERG_ElectricVeh!P30*[2]Efficiencies!AE$50</f>
        <v>1.2017958584220467</v>
      </c>
      <c r="W13" s="310">
        <f>[2]ERG_ElectricVeh!Q30*[2]Efficiencies!AF$50</f>
        <v>1.2454998254020788</v>
      </c>
      <c r="X13" s="310">
        <f>[2]ERG_ElectricVeh!R30*[2]Efficiencies!AG$50</f>
        <v>1.2919167570358339</v>
      </c>
      <c r="Y13" s="310">
        <f>[2]ERG_ElectricVeh!S30*[2]Efficiencies!AH$50</f>
        <v>1.3175786185084808</v>
      </c>
      <c r="Z13" s="310">
        <f>[2]ERG_ElectricVeh!T30*[2]Efficiencies!AI$50</f>
        <v>1.3359814316554472</v>
      </c>
      <c r="AA13" s="310">
        <f t="shared" ref="AA13:AC14" si="8">Z13</f>
        <v>1.3359814316554472</v>
      </c>
      <c r="AB13" s="310">
        <f t="shared" si="8"/>
        <v>1.3359814316554472</v>
      </c>
      <c r="AC13" s="310">
        <f t="shared" si="8"/>
        <v>1.3359814316554472</v>
      </c>
      <c r="AD13" s="310">
        <f t="shared" si="3"/>
        <v>1.3359814316554472</v>
      </c>
      <c r="AE13" s="286">
        <f>0.75*AE12</f>
        <v>28.844849561199176</v>
      </c>
      <c r="AF13" s="311">
        <v>0.44</v>
      </c>
      <c r="AG13" s="311">
        <v>0.24</v>
      </c>
      <c r="AH13" s="311">
        <v>0.28000000000000003</v>
      </c>
      <c r="AI13" s="311">
        <v>0.44</v>
      </c>
      <c r="AJ13" s="294">
        <v>0</v>
      </c>
      <c r="AX13" s="250"/>
      <c r="AY13" s="250"/>
      <c r="AZ13" s="250"/>
      <c r="BA13" s="250"/>
      <c r="BB13" s="250"/>
      <c r="BC13" s="250"/>
      <c r="BD13" s="250"/>
    </row>
    <row r="14" spans="1:56" x14ac:dyDescent="0.2">
      <c r="A14" s="255" t="str">
        <f>[2]Technologies!B85</f>
        <v>R2,R3,R4,R5,R6</v>
      </c>
      <c r="B14" s="255" t="str">
        <f>[2]Technologies!D85</f>
        <v>TLCELCB</v>
      </c>
      <c r="C14" s="255" t="str">
        <f>[2]Technologies!E85</f>
        <v>Electric compact car w/200 mi range</v>
      </c>
      <c r="D14" s="255" t="s">
        <v>292</v>
      </c>
      <c r="E14" s="255" t="s">
        <v>99</v>
      </c>
      <c r="F14" s="255" t="str">
        <f>[2]Commodities!$D$9</f>
        <v>TL</v>
      </c>
      <c r="G14" s="257" t="str">
        <f>IF($I14&lt;G$1,0,"")</f>
        <v/>
      </c>
      <c r="H14" s="294">
        <v>1</v>
      </c>
      <c r="I14" s="309">
        <v>2025</v>
      </c>
      <c r="J14" s="294">
        <v>20</v>
      </c>
      <c r="K14" s="309">
        <f t="shared" si="5"/>
        <v>3415.3760975868181</v>
      </c>
      <c r="L14" s="309">
        <f t="shared" si="5"/>
        <v>3415.3760975868181</v>
      </c>
      <c r="M14" s="309">
        <f t="shared" si="5"/>
        <v>3415.3760975868181</v>
      </c>
      <c r="N14" s="309">
        <f>N12+[2]GDPdeflator!$C$35*[2]ERG_ElectricVeh!D40</f>
        <v>3415.3760975868181</v>
      </c>
      <c r="O14" s="309">
        <f>O12+[2]GDPdeflator!$C$35*[2]ERG_ElectricVeh!E40</f>
        <v>3061.8516894074119</v>
      </c>
      <c r="P14" s="309">
        <f>P12+[2]GDPdeflator!$C$35*[2]ERG_ElectricVeh!F40</f>
        <v>2707.1358070657798</v>
      </c>
      <c r="Q14" s="309">
        <f t="shared" si="6"/>
        <v>2707.1358070657798</v>
      </c>
      <c r="R14" s="309">
        <f t="shared" si="6"/>
        <v>2707.1358070657798</v>
      </c>
      <c r="S14" s="309">
        <f t="shared" si="6"/>
        <v>2707.1358070657798</v>
      </c>
      <c r="T14" s="309">
        <f>S14</f>
        <v>2707.1358070657798</v>
      </c>
      <c r="U14" s="310">
        <f t="shared" si="7"/>
        <v>1.074492507051632</v>
      </c>
      <c r="V14" s="310">
        <f t="shared" si="7"/>
        <v>1.074492507051632</v>
      </c>
      <c r="W14" s="310">
        <f t="shared" si="7"/>
        <v>1.074492507051632</v>
      </c>
      <c r="X14" s="310">
        <f>[2]ERG_ElectricVeh!R40*[2]Efficiencies!AG$50</f>
        <v>1.074492507051632</v>
      </c>
      <c r="Y14" s="310">
        <f>[2]ERG_ElectricVeh!S40*[2]Efficiencies!AH$50</f>
        <v>1.0958308718962553</v>
      </c>
      <c r="Z14" s="310">
        <f>[2]ERG_ElectricVeh!T40*[2]Efficiencies!AI$50</f>
        <v>1.1111315912270312</v>
      </c>
      <c r="AA14" s="310">
        <f t="shared" si="8"/>
        <v>1.1111315912270312</v>
      </c>
      <c r="AB14" s="310">
        <f t="shared" si="8"/>
        <v>1.1111315912270312</v>
      </c>
      <c r="AC14" s="310">
        <f t="shared" si="8"/>
        <v>1.1111315912270312</v>
      </c>
      <c r="AD14" s="310">
        <f t="shared" si="3"/>
        <v>1.1111315912270312</v>
      </c>
      <c r="AE14" s="286">
        <f>0.75*AE12</f>
        <v>28.844849561199176</v>
      </c>
      <c r="AF14" s="311">
        <v>0.44</v>
      </c>
      <c r="AG14" s="311">
        <v>0.24</v>
      </c>
      <c r="AH14" s="311">
        <v>0.28000000000000003</v>
      </c>
      <c r="AI14" s="311">
        <v>0.44</v>
      </c>
      <c r="AJ14" s="294">
        <v>0</v>
      </c>
      <c r="AX14" s="250"/>
      <c r="AY14" s="250"/>
      <c r="AZ14" s="250"/>
      <c r="BA14" s="250"/>
      <c r="BB14" s="250"/>
      <c r="BC14" s="250"/>
      <c r="BD14" s="250"/>
    </row>
    <row r="15" spans="1:56" x14ac:dyDescent="0.2">
      <c r="A15" s="255" t="str">
        <f>[2]Technologies!B93</f>
        <v>R2,R3,R4,R5,R6</v>
      </c>
      <c r="B15" s="255" t="str">
        <f>[2]Technologies!D93</f>
        <v>TLCDSL10</v>
      </c>
      <c r="C15" s="255" t="str">
        <f>[2]Technologies!E93</f>
        <v>TL.DSL.C.DSL.2010</v>
      </c>
      <c r="D15" s="255" t="s">
        <v>292</v>
      </c>
      <c r="E15" s="255" t="s">
        <v>89</v>
      </c>
      <c r="F15" s="255" t="str">
        <f>[2]Commodities!$D$9</f>
        <v>TL</v>
      </c>
      <c r="G15" s="257"/>
      <c r="H15" s="294">
        <v>1</v>
      </c>
      <c r="I15" s="309">
        <f>INDEX([2]ConsolidatedVehData!$D$22:$D$858,MATCH(B15,[2]ConsolidatedVehData!$A$22:$A$858,0))</f>
        <v>2010</v>
      </c>
      <c r="J15" s="294">
        <v>20</v>
      </c>
      <c r="K15" s="309">
        <f>INDEX([2]ConsolidatedVehData!$P$22:$Z$858,MATCH($B15,[2]ConsolidatedVehData!$A$22:$A$858,0),MATCH(K$1,[2]ConsolidatedVehData!$P$7:$Z$7,0))</f>
        <v>1857.9484389435377</v>
      </c>
      <c r="L15" s="309">
        <f>INDEX([2]ConsolidatedVehData!$P$22:$Z$858,MATCH($B15,[2]ConsolidatedVehData!$A$22:$A$858,0),MATCH(L$1,[2]ConsolidatedVehData!$P$7:$Z$7,0))</f>
        <v>1741.4188439602917</v>
      </c>
      <c r="M15" s="309">
        <f>INDEX([2]ConsolidatedVehData!$P$22:$Z$858,MATCH($B15,[2]ConsolidatedVehData!$A$22:$A$858,0),MATCH(M$1,[2]ConsolidatedVehData!$P$7:$Z$7,0))</f>
        <v>1764.1735088345447</v>
      </c>
      <c r="N15" s="309">
        <f>INDEX([2]ConsolidatedVehData!$P$22:$Z$858,MATCH($B15,[2]ConsolidatedVehData!$A$22:$A$858,0),MATCH(N$1,[2]ConsolidatedVehData!$P$7:$Z$7,0))</f>
        <v>1805.4775260046874</v>
      </c>
      <c r="O15" s="309">
        <f>INDEX([2]ConsolidatedVehData!$P$22:$Z$858,MATCH($B15,[2]ConsolidatedVehData!$A$22:$A$858,0),MATCH(O$1,[2]ConsolidatedVehData!$P$7:$Z$7,0))</f>
        <v>1806.8756661368859</v>
      </c>
      <c r="P15" s="309">
        <f>INDEX([2]ConsolidatedVehData!$P$22:$Z$858,MATCH($B15,[2]ConsolidatedVehData!$A$22:$A$858,0),MATCH(P$1,[2]ConsolidatedVehData!$P$7:$Z$7,0))</f>
        <v>1808.3644212772667</v>
      </c>
      <c r="Q15" s="309">
        <f>INDEX([2]ConsolidatedVehData!$P$22:$Z$858,MATCH($B15,[2]ConsolidatedVehData!$A$22:$A$858,0),MATCH(Q$1,[2]ConsolidatedVehData!$P$7:$Z$7,0))</f>
        <v>1809.9199283169603</v>
      </c>
      <c r="R15" s="309">
        <f>INDEX([2]ConsolidatedVehData!$P$22:$Z$858,MATCH($B15,[2]ConsolidatedVehData!$A$22:$A$858,0),MATCH(R$1,[2]ConsolidatedVehData!$P$7:$Z$7,0))</f>
        <v>1809.9199283169603</v>
      </c>
      <c r="S15" s="309">
        <f>INDEX([2]ConsolidatedVehData!$P$22:$Z$858,MATCH($B15,[2]ConsolidatedVehData!$A$22:$A$858,0),MATCH(S$1,[2]ConsolidatedVehData!$P$7:$Z$7,0))</f>
        <v>1809.9199283169603</v>
      </c>
      <c r="T15" s="309">
        <f t="shared" si="0"/>
        <v>1809.9199283169603</v>
      </c>
      <c r="U15" s="310">
        <f>INDEX([2]ConsolidatedVehData!$AF$22:$AF$858,MATCH(B15,[2]ConsolidatedVehData!$A$22:$A$858,0))</f>
        <v>0.24935288171071668</v>
      </c>
      <c r="V15" s="310">
        <f>INDEX([2]ConsolidatedVehData!$AF$22:$AF$858,MATCH($B15,[2]ConsolidatedVehData!$A$22:$A$858,0)+1)</f>
        <v>0.28180590525773486</v>
      </c>
      <c r="W15" s="310">
        <f>INDEX([2]ConsolidatedVehData!$AF$22:$AF$858,MATCH($B15,[2]ConsolidatedVehData!$A$22:$A$858,0)+2)</f>
        <v>0.31506533661837682</v>
      </c>
      <c r="X15" s="310">
        <f>INDEX([2]ConsolidatedVehData!$AF$22:$AF$858,MATCH($B15,[2]ConsolidatedVehData!$A$22:$A$858,0)+3)</f>
        <v>0.36032477694152965</v>
      </c>
      <c r="Y15" s="310">
        <f>INDEX([2]ConsolidatedVehData!$AF$22:$AF$858,MATCH($B15,[2]ConsolidatedVehData!$A$22:$A$858,0)+4)</f>
        <v>0.36196466019455709</v>
      </c>
      <c r="Z15" s="310">
        <f>INDEX([2]ConsolidatedVehData!$AF$22:$AF$858,MATCH($B15,[2]ConsolidatedVehData!$A$22:$A$858,0)+5)</f>
        <v>0.36118459694690291</v>
      </c>
      <c r="AA15" s="310">
        <f>INDEX([2]ConsolidatedVehData!$AF$22:$AF$858,MATCH($B15,[2]ConsolidatedVehData!$A$22:$A$858,0)+6)</f>
        <v>0.36038400609567439</v>
      </c>
      <c r="AB15" s="310">
        <f>INDEX([2]ConsolidatedVehData!$AF$22:$AF$858,MATCH($B15,[2]ConsolidatedVehData!$A$22:$A$858,0)+7)</f>
        <v>0.36038400609567439</v>
      </c>
      <c r="AC15" s="310">
        <f>INDEX([2]ConsolidatedVehData!$AF$22:$AF$858,MATCH($B15,[2]ConsolidatedVehData!$A$22:$A$858,0)+8)</f>
        <v>0.36038400609567439</v>
      </c>
      <c r="AD15" s="310">
        <f t="shared" si="3"/>
        <v>0.36038400609567439</v>
      </c>
      <c r="AE15" s="286">
        <f>INDEX([2]ConsolidatedVehData!$AB$22:$AB$858,MATCH(B15,[2]ConsolidatedVehData!$A$22:$A$858,0))</f>
        <v>38.459799414932235</v>
      </c>
      <c r="AF15" s="311">
        <v>0.44</v>
      </c>
      <c r="AG15" s="311">
        <v>0.18</v>
      </c>
      <c r="AH15" s="311">
        <v>0.24</v>
      </c>
      <c r="AI15" s="311">
        <v>0.44</v>
      </c>
      <c r="AJ15" s="294">
        <v>0</v>
      </c>
      <c r="AX15" s="250"/>
      <c r="AY15" s="250"/>
      <c r="AZ15" s="250"/>
      <c r="BA15" s="250"/>
      <c r="BB15" s="250"/>
      <c r="BC15" s="250"/>
      <c r="BD15" s="250"/>
    </row>
    <row r="16" spans="1:56" x14ac:dyDescent="0.2">
      <c r="A16" s="255" t="str">
        <f>[2]Technologies!B94</f>
        <v>R2,R3,R4,R5,R6</v>
      </c>
      <c r="B16" s="255" t="str">
        <f>[2]Technologies!D94</f>
        <v>TLCCNG10</v>
      </c>
      <c r="C16" s="255" t="str">
        <f>[2]Technologies!E94</f>
        <v>TL.CNG.C.CNG.2010</v>
      </c>
      <c r="D16" s="255" t="s">
        <v>292</v>
      </c>
      <c r="E16" s="255" t="s">
        <v>79</v>
      </c>
      <c r="F16" s="255" t="str">
        <f>[2]Commodities!$D$9</f>
        <v>TL</v>
      </c>
      <c r="G16" s="257"/>
      <c r="H16" s="294">
        <v>1</v>
      </c>
      <c r="I16" s="309">
        <f>INDEX([2]ConsolidatedVehData!$D$22:$D$858,MATCH(B16,[2]ConsolidatedVehData!$A$22:$A$858,0))</f>
        <v>2010</v>
      </c>
      <c r="J16" s="294">
        <v>20</v>
      </c>
      <c r="K16" s="309">
        <f>INDEX([2]ConsolidatedVehData!$P$22:$Z$858,MATCH($B16,[2]ConsolidatedVehData!$A$22:$A$858,0),MATCH(K$1,[2]ConsolidatedVehData!$P$7:$Z$7,0))</f>
        <v>2241.863948184252</v>
      </c>
      <c r="L16" s="309">
        <f>INDEX([2]ConsolidatedVehData!$P$22:$Z$858,MATCH($B16,[2]ConsolidatedVehData!$A$22:$A$858,0),MATCH(L$1,[2]ConsolidatedVehData!$P$7:$Z$7,0))</f>
        <v>2054.9371777099482</v>
      </c>
      <c r="M16" s="309">
        <f>INDEX([2]ConsolidatedVehData!$P$22:$Z$858,MATCH($B16,[2]ConsolidatedVehData!$A$22:$A$858,0),MATCH(M$1,[2]ConsolidatedVehData!$P$7:$Z$7,0))</f>
        <v>2127.7556297082119</v>
      </c>
      <c r="N16" s="309">
        <f>INDEX([2]ConsolidatedVehData!$P$22:$Z$858,MATCH($B16,[2]ConsolidatedVehData!$A$22:$A$858,0),MATCH(N$1,[2]ConsolidatedVehData!$P$7:$Z$7,0))</f>
        <v>2254.2695738706093</v>
      </c>
      <c r="O16" s="309">
        <f>INDEX([2]ConsolidatedVehData!$P$22:$Z$858,MATCH($B16,[2]ConsolidatedVehData!$A$22:$A$858,0),MATCH(O$1,[2]ConsolidatedVehData!$P$7:$Z$7,0))</f>
        <v>2256.9429038904559</v>
      </c>
      <c r="P16" s="309">
        <f>INDEX([2]ConsolidatedVehData!$P$22:$Z$858,MATCH($B16,[2]ConsolidatedVehData!$A$22:$A$858,0),MATCH(P$1,[2]ConsolidatedVehData!$P$7:$Z$7,0))</f>
        <v>2258.4190326760763</v>
      </c>
      <c r="Q16" s="309">
        <f>INDEX([2]ConsolidatedVehData!$P$22:$Z$858,MATCH($B16,[2]ConsolidatedVehData!$A$22:$A$858,0),MATCH(Q$1,[2]ConsolidatedVehData!$P$7:$Z$7,0))</f>
        <v>2259.739787184445</v>
      </c>
      <c r="R16" s="309">
        <f>INDEX([2]ConsolidatedVehData!$P$22:$Z$858,MATCH($B16,[2]ConsolidatedVehData!$A$22:$A$858,0),MATCH(R$1,[2]ConsolidatedVehData!$P$7:$Z$7,0))</f>
        <v>2259.739787184445</v>
      </c>
      <c r="S16" s="309">
        <f>INDEX([2]ConsolidatedVehData!$P$22:$Z$858,MATCH($B16,[2]ConsolidatedVehData!$A$22:$A$858,0),MATCH(S$1,[2]ConsolidatedVehData!$P$7:$Z$7,0))</f>
        <v>2259.739787184445</v>
      </c>
      <c r="T16" s="309">
        <f t="shared" si="0"/>
        <v>2259.739787184445</v>
      </c>
      <c r="U16" s="310">
        <f>INDEX([2]ConsolidatedVehData!$AF$22:$AF$858,MATCH(B16,[2]ConsolidatedVehData!$A$22:$A$858,0))</f>
        <v>0.21689650505755151</v>
      </c>
      <c r="V16" s="310">
        <f>INDEX([2]ConsolidatedVehData!$AF$22:$AF$858,MATCH($B16,[2]ConsolidatedVehData!$A$22:$A$858,0)+1)</f>
        <v>0.24601142327753603</v>
      </c>
      <c r="W16" s="310">
        <f>INDEX([2]ConsolidatedVehData!$AF$22:$AF$858,MATCH($B16,[2]ConsolidatedVehData!$A$22:$A$858,0)+2)</f>
        <v>0.29680865500844705</v>
      </c>
      <c r="X16" s="310">
        <f>INDEX([2]ConsolidatedVehData!$AF$22:$AF$858,MATCH($B16,[2]ConsolidatedVehData!$A$22:$A$858,0)+3)</f>
        <v>0.373532868123929</v>
      </c>
      <c r="Y16" s="310">
        <f>INDEX([2]ConsolidatedVehData!$AF$22:$AF$858,MATCH($B16,[2]ConsolidatedVehData!$A$22:$A$858,0)+4)</f>
        <v>0.37553334575508418</v>
      </c>
      <c r="Z16" s="310">
        <f>INDEX([2]ConsolidatedVehData!$AF$22:$AF$858,MATCH($B16,[2]ConsolidatedVehData!$A$22:$A$858,0)+5)</f>
        <v>0.37477577975657034</v>
      </c>
      <c r="AA16" s="310">
        <f>INDEX([2]ConsolidatedVehData!$AF$22:$AF$858,MATCH($B16,[2]ConsolidatedVehData!$A$22:$A$858,0)+6)</f>
        <v>0.37391011614607006</v>
      </c>
      <c r="AB16" s="310">
        <f>INDEX([2]ConsolidatedVehData!$AF$22:$AF$858,MATCH($B16,[2]ConsolidatedVehData!$A$22:$A$858,0)+7)</f>
        <v>0.37391011614607006</v>
      </c>
      <c r="AC16" s="310">
        <f>INDEX([2]ConsolidatedVehData!$AF$22:$AF$858,MATCH($B16,[2]ConsolidatedVehData!$A$22:$A$858,0)+8)</f>
        <v>0.37391011614607006</v>
      </c>
      <c r="AD16" s="310">
        <f t="shared" si="3"/>
        <v>0.37391011614607006</v>
      </c>
      <c r="AE16" s="286">
        <f>INDEX([2]ConsolidatedVehData!$AB$22:$AB$858,MATCH(B16,[2]ConsolidatedVehData!$A$22:$A$858,0))</f>
        <v>34.613819473439015</v>
      </c>
      <c r="AF16" s="311">
        <v>0.44</v>
      </c>
      <c r="AG16" s="311">
        <v>0.24</v>
      </c>
      <c r="AH16" s="311">
        <v>0.24</v>
      </c>
      <c r="AI16" s="311">
        <v>0.44</v>
      </c>
      <c r="AJ16" s="294">
        <v>0</v>
      </c>
      <c r="AX16" s="250"/>
      <c r="AY16" s="250"/>
      <c r="AZ16" s="250"/>
      <c r="BA16" s="250"/>
      <c r="BB16" s="250"/>
      <c r="BC16" s="250"/>
      <c r="BD16" s="250"/>
    </row>
    <row r="17" spans="1:56" x14ac:dyDescent="0.2">
      <c r="A17" s="255" t="str">
        <f>[2]Technologies!B95</f>
        <v>*R2,R3,R4,R5,R6</v>
      </c>
      <c r="B17" s="255" t="str">
        <f>[2]Technologies!D95</f>
        <v>TLCCNGX10</v>
      </c>
      <c r="C17" s="255" t="str">
        <f>[2]Technologies!E95</f>
        <v>TL.CNGX.C.CNGX.2010</v>
      </c>
      <c r="D17" s="255" t="s">
        <v>292</v>
      </c>
      <c r="E17" s="255" t="s">
        <v>81</v>
      </c>
      <c r="F17" s="255" t="str">
        <f>[2]Commodities!$D$9</f>
        <v>TL</v>
      </c>
      <c r="G17" s="257">
        <v>0</v>
      </c>
      <c r="H17" s="294">
        <v>1</v>
      </c>
      <c r="I17" s="309">
        <f>INDEX([2]ConsolidatedVehData!$D$22:$D$858,MATCH(B17,[2]ConsolidatedVehData!$A$22:$A$858,0))</f>
        <v>2010</v>
      </c>
      <c r="J17" s="294">
        <v>20</v>
      </c>
      <c r="K17" s="309">
        <f>INDEX([2]ConsolidatedVehData!$P$22:$Z$858,MATCH($B17,[2]ConsolidatedVehData!$A$22:$A$858,0),MATCH(K$1,[2]ConsolidatedVehData!$P$7:$Z$7,0))</f>
        <v>2136.5414808198907</v>
      </c>
      <c r="L17" s="309">
        <f>INDEX([2]ConsolidatedVehData!$P$22:$Z$858,MATCH($B17,[2]ConsolidatedVehData!$A$22:$A$858,0),MATCH(L$1,[2]ConsolidatedVehData!$P$7:$Z$7,0))</f>
        <v>1952.1949859049068</v>
      </c>
      <c r="M17" s="309">
        <f>INDEX([2]ConsolidatedVehData!$P$22:$Z$858,MATCH($B17,[2]ConsolidatedVehData!$A$22:$A$858,0),MATCH(M$1,[2]ConsolidatedVehData!$P$7:$Z$7,0))</f>
        <v>2024.4549975865336</v>
      </c>
      <c r="N17" s="309">
        <f>INDEX([2]ConsolidatedVehData!$P$22:$Z$858,MATCH($B17,[2]ConsolidatedVehData!$A$22:$A$858,0),MATCH(N$1,[2]ConsolidatedVehData!$P$7:$Z$7,0))</f>
        <v>2148.4967058383886</v>
      </c>
      <c r="O17" s="309">
        <f>INDEX([2]ConsolidatedVehData!$P$22:$Z$858,MATCH($B17,[2]ConsolidatedVehData!$A$22:$A$858,0),MATCH(O$1,[2]ConsolidatedVehData!$P$7:$Z$7,0))</f>
        <v>2151.1606724366311</v>
      </c>
      <c r="P17" s="309">
        <f>INDEX([2]ConsolidatedVehData!$P$22:$Z$858,MATCH($B17,[2]ConsolidatedVehData!$A$22:$A$858,0),MATCH(P$1,[2]ConsolidatedVehData!$P$7:$Z$7,0))</f>
        <v>2152.639800443234</v>
      </c>
      <c r="Q17" s="309">
        <f>INDEX([2]ConsolidatedVehData!$P$22:$Z$858,MATCH($B17,[2]ConsolidatedVehData!$A$22:$A$858,0),MATCH(Q$1,[2]ConsolidatedVehData!$P$7:$Z$7,0))</f>
        <v>2153.9909129200864</v>
      </c>
      <c r="R17" s="309">
        <f>INDEX([2]ConsolidatedVehData!$P$22:$Z$858,MATCH($B17,[2]ConsolidatedVehData!$A$22:$A$858,0),MATCH(R$1,[2]ConsolidatedVehData!$P$7:$Z$7,0))</f>
        <v>2153.9909129200864</v>
      </c>
      <c r="S17" s="309">
        <f>INDEX([2]ConsolidatedVehData!$P$22:$Z$858,MATCH($B17,[2]ConsolidatedVehData!$A$22:$A$858,0),MATCH(S$1,[2]ConsolidatedVehData!$P$7:$Z$7,0))</f>
        <v>2153.9909129200864</v>
      </c>
      <c r="T17" s="309">
        <f t="shared" si="0"/>
        <v>2153.9909129200864</v>
      </c>
      <c r="U17" s="310">
        <f>INDEX([2]ConsolidatedVehData!$AF$22:$AF$858,MATCH(B17,[2]ConsolidatedVehData!$A$22:$A$858,0))</f>
        <v>0.20115151726543429</v>
      </c>
      <c r="V17" s="310">
        <f>INDEX([2]ConsolidatedVehData!$AF$22:$AF$858,MATCH($B17,[2]ConsolidatedVehData!$A$22:$A$858,0)+1)</f>
        <v>0.22868572146725108</v>
      </c>
      <c r="W17" s="310">
        <f>INDEX([2]ConsolidatedVehData!$AF$22:$AF$858,MATCH($B17,[2]ConsolidatedVehData!$A$22:$A$858,0)+2)</f>
        <v>0.27517081812389876</v>
      </c>
      <c r="X17" s="310">
        <f>INDEX([2]ConsolidatedVehData!$AF$22:$AF$858,MATCH($B17,[2]ConsolidatedVehData!$A$22:$A$858,0)+3)</f>
        <v>0.34541164145742415</v>
      </c>
      <c r="Y17" s="310">
        <f>INDEX([2]ConsolidatedVehData!$AF$22:$AF$858,MATCH($B17,[2]ConsolidatedVehData!$A$22:$A$858,0)+4)</f>
        <v>0.34727052591504537</v>
      </c>
      <c r="Z17" s="310">
        <f>INDEX([2]ConsolidatedVehData!$AF$22:$AF$858,MATCH($B17,[2]ConsolidatedVehData!$A$22:$A$858,0)+5)</f>
        <v>0.34649134928478498</v>
      </c>
      <c r="AA17" s="310">
        <f>INDEX([2]ConsolidatedVehData!$AF$22:$AF$858,MATCH($B17,[2]ConsolidatedVehData!$A$22:$A$858,0)+6)</f>
        <v>0.345666798583461</v>
      </c>
      <c r="AB17" s="310">
        <f>INDEX([2]ConsolidatedVehData!$AF$22:$AF$858,MATCH($B17,[2]ConsolidatedVehData!$A$22:$A$858,0)+7)</f>
        <v>0.345666798583461</v>
      </c>
      <c r="AC17" s="310">
        <f>INDEX([2]ConsolidatedVehData!$AF$22:$AF$858,MATCH($B17,[2]ConsolidatedVehData!$A$22:$A$858,0)+8)</f>
        <v>0.345666798583461</v>
      </c>
      <c r="AD17" s="310">
        <f t="shared" si="3"/>
        <v>0.345666798583461</v>
      </c>
      <c r="AE17" s="286">
        <f>INDEX([2]ConsolidatedVehData!$AB$22:$AB$858,MATCH(B17,[2]ConsolidatedVehData!$A$22:$A$858,0))</f>
        <v>34.613819473439015</v>
      </c>
      <c r="AF17" s="311">
        <v>0.44</v>
      </c>
      <c r="AG17" s="311">
        <v>0.24</v>
      </c>
      <c r="AH17" s="311">
        <v>0.24</v>
      </c>
      <c r="AI17" s="311">
        <v>0.44</v>
      </c>
      <c r="AJ17" s="294">
        <v>0</v>
      </c>
      <c r="AX17" s="250"/>
      <c r="AY17" s="250"/>
      <c r="AZ17" s="250"/>
      <c r="BA17" s="250"/>
      <c r="BB17" s="250"/>
      <c r="BC17" s="250"/>
      <c r="BD17" s="250"/>
    </row>
    <row r="18" spans="1:56" x14ac:dyDescent="0.2">
      <c r="A18" s="255" t="str">
        <f>[2]Technologies!B96</f>
        <v>R2,R3,R4,R5,R6</v>
      </c>
      <c r="B18" s="255" t="str">
        <f>[2]Technologies!D96</f>
        <v>TLCDHEV15</v>
      </c>
      <c r="C18" s="255" t="str">
        <f>[2]Technologies!E96</f>
        <v>TL.DSL.C.DHEV.2015</v>
      </c>
      <c r="D18" s="255" t="s">
        <v>292</v>
      </c>
      <c r="E18" s="255" t="s">
        <v>89</v>
      </c>
      <c r="F18" s="255" t="str">
        <f>[2]Commodities!$D$9</f>
        <v>TL</v>
      </c>
      <c r="G18" s="257"/>
      <c r="H18" s="294">
        <v>1</v>
      </c>
      <c r="I18" s="309">
        <v>2020</v>
      </c>
      <c r="J18" s="294">
        <v>20</v>
      </c>
      <c r="K18" s="309">
        <f t="shared" ref="K18:L18" si="9">L18</f>
        <v>2109.1092534034101</v>
      </c>
      <c r="L18" s="309">
        <f t="shared" si="9"/>
        <v>2109.1092534034101</v>
      </c>
      <c r="M18" s="309">
        <f>INDEX([2]ConsolidatedVehData!$P$22:$Z$858,MATCH($B18,[2]ConsolidatedVehData!$A$22:$A$858,0),MATCH(M$1,[2]ConsolidatedVehData!$P$7:$Z$7,0))</f>
        <v>2109.1092534034101</v>
      </c>
      <c r="N18" s="309">
        <f>INDEX([2]ConsolidatedVehData!$P$22:$Z$858,MATCH($B18,[2]ConsolidatedVehData!$A$22:$A$858,0),MATCH(N$1,[2]ConsolidatedVehData!$P$7:$Z$7,0))</f>
        <v>2092.8662040782779</v>
      </c>
      <c r="O18" s="309">
        <f>INDEX([2]ConsolidatedVehData!$P$22:$Z$858,MATCH($B18,[2]ConsolidatedVehData!$A$22:$A$858,0),MATCH(O$1,[2]ConsolidatedVehData!$P$7:$Z$7,0))</f>
        <v>2116.088130035047</v>
      </c>
      <c r="P18" s="309">
        <f>INDEX([2]ConsolidatedVehData!$P$22:$Z$858,MATCH($B18,[2]ConsolidatedVehData!$A$22:$A$858,0),MATCH(P$1,[2]ConsolidatedVehData!$P$7:$Z$7,0))</f>
        <v>2106.8767332444409</v>
      </c>
      <c r="Q18" s="309">
        <f>INDEX([2]ConsolidatedVehData!$P$22:$Z$858,MATCH($B18,[2]ConsolidatedVehData!$A$22:$A$858,0),MATCH(Q$1,[2]ConsolidatedVehData!$P$7:$Z$7,0))</f>
        <v>2105.0678530658256</v>
      </c>
      <c r="R18" s="309">
        <f>INDEX([2]ConsolidatedVehData!$P$22:$Z$858,MATCH($B18,[2]ConsolidatedVehData!$A$22:$A$858,0),MATCH(R$1,[2]ConsolidatedVehData!$P$7:$Z$7,0))</f>
        <v>2105.0678530658256</v>
      </c>
      <c r="S18" s="309">
        <f>INDEX([2]ConsolidatedVehData!$P$22:$Z$858,MATCH($B18,[2]ConsolidatedVehData!$A$22:$A$858,0),MATCH(S$1,[2]ConsolidatedVehData!$P$7:$Z$7,0))</f>
        <v>2105.0678530658256</v>
      </c>
      <c r="T18" s="309">
        <f t="shared" si="0"/>
        <v>2105.0678530658256</v>
      </c>
      <c r="U18" s="310">
        <f t="shared" ref="U18:V18" si="10">V18</f>
        <v>0.38713192675658553</v>
      </c>
      <c r="V18" s="310">
        <f t="shared" si="10"/>
        <v>0.38713192675658553</v>
      </c>
      <c r="W18" s="310">
        <f>INDEX([2]ConsolidatedVehData!$AF$22:$AF$858,MATCH($B18,[2]ConsolidatedVehData!$A$22:$A$858,0)+1)</f>
        <v>0.38713192675658553</v>
      </c>
      <c r="X18" s="310">
        <f>INDEX([2]ConsolidatedVehData!$AF$22:$AF$858,MATCH($B18,[2]ConsolidatedVehData!$A$22:$A$858,0)+2)</f>
        <v>0.42518731438103774</v>
      </c>
      <c r="Y18" s="310">
        <f>INDEX([2]ConsolidatedVehData!$AF$22:$AF$858,MATCH($B18,[2]ConsolidatedVehData!$A$22:$A$858,0)+3)</f>
        <v>0.42720093065965042</v>
      </c>
      <c r="Z18" s="310">
        <f>INDEX([2]ConsolidatedVehData!$AF$22:$AF$858,MATCH($B18,[2]ConsolidatedVehData!$A$22:$A$858,0)+4)</f>
        <v>0.42628541590039593</v>
      </c>
      <c r="AA18" s="310">
        <f>INDEX([2]ConsolidatedVehData!$AF$22:$AF$858,MATCH($B18,[2]ConsolidatedVehData!$A$22:$A$858,0)+5)</f>
        <v>0.42570817770061131</v>
      </c>
      <c r="AB18" s="310">
        <f>INDEX([2]ConsolidatedVehData!$AF$22:$AF$858,MATCH($B18,[2]ConsolidatedVehData!$A$22:$A$858,0)+6)</f>
        <v>0.42570817770061131</v>
      </c>
      <c r="AC18" s="310">
        <f>INDEX([2]ConsolidatedVehData!$AF$22:$AF$858,MATCH($B18,[2]ConsolidatedVehData!$A$22:$A$858,0)+7)</f>
        <v>0.42570817770061131</v>
      </c>
      <c r="AD18" s="310">
        <f t="shared" si="3"/>
        <v>0.42570817770061131</v>
      </c>
      <c r="AE18" s="286">
        <f>INDEX([2]ConsolidatedVehData!$AB$22:$AB$858,MATCH(B18,[2]ConsolidatedVehData!$A$22:$A$858,0))</f>
        <v>40.382789385678855</v>
      </c>
      <c r="AF18" s="311">
        <v>0.44</v>
      </c>
      <c r="AG18" s="311">
        <v>0.18</v>
      </c>
      <c r="AH18" s="311">
        <v>0.24</v>
      </c>
      <c r="AI18" s="311">
        <v>0.44</v>
      </c>
      <c r="AJ18" s="294">
        <v>0</v>
      </c>
      <c r="AX18" s="250"/>
      <c r="AY18" s="250"/>
      <c r="AZ18" s="250"/>
      <c r="BA18" s="250"/>
      <c r="BB18" s="250"/>
      <c r="BC18" s="250"/>
      <c r="BD18" s="250"/>
    </row>
    <row r="19" spans="1:56" x14ac:dyDescent="0.2">
      <c r="A19" s="255" t="str">
        <f>[2]Technologies!B97</f>
        <v>*R2,R3,R4,R5,R6</v>
      </c>
      <c r="B19" s="255" t="str">
        <f>[2]Technologies!D97</f>
        <v>TLCETHX10</v>
      </c>
      <c r="C19" s="255" t="str">
        <f>[2]Technologies!E97</f>
        <v>TL.E85X.C.ETHX.2010</v>
      </c>
      <c r="D19" s="255" t="s">
        <v>292</v>
      </c>
      <c r="E19" s="255" t="s">
        <v>95</v>
      </c>
      <c r="F19" s="255" t="str">
        <f>[2]Commodities!$D$9</f>
        <v>TL</v>
      </c>
      <c r="G19" s="257"/>
      <c r="H19" s="294">
        <v>1</v>
      </c>
      <c r="I19" s="309">
        <f>INDEX([2]ConsolidatedVehData!$D$22:$D$858,MATCH(B19,[2]ConsolidatedVehData!$A$22:$A$858,0))</f>
        <v>2010</v>
      </c>
      <c r="J19" s="294">
        <v>20</v>
      </c>
      <c r="K19" s="309">
        <f>INDEX([2]ConsolidatedVehData!$P$22:$Z$858,MATCH($B19,[2]ConsolidatedVehData!$A$22:$A$858,0),MATCH(K$1,[2]ConsolidatedVehData!$P$7:$Z$7,0))</f>
        <v>1692.682511212942</v>
      </c>
      <c r="L19" s="309">
        <f>INDEX([2]ConsolidatedVehData!$P$22:$Z$858,MATCH($B19,[2]ConsolidatedVehData!$A$22:$A$858,0),MATCH(L$1,[2]ConsolidatedVehData!$P$7:$Z$7,0))</f>
        <v>1530.8510049586539</v>
      </c>
      <c r="M19" s="309">
        <f>INDEX([2]ConsolidatedVehData!$P$22:$Z$858,MATCH($B19,[2]ConsolidatedVehData!$A$22:$A$858,0),MATCH(M$1,[2]ConsolidatedVehData!$P$7:$Z$7,0))</f>
        <v>1600.7385737508985</v>
      </c>
      <c r="N19" s="309">
        <f>INDEX([2]ConsolidatedVehData!$P$22:$Z$858,MATCH($B19,[2]ConsolidatedVehData!$A$22:$A$858,0),MATCH(N$1,[2]ConsolidatedVehData!$P$7:$Z$7,0))</f>
        <v>1715.2710330198151</v>
      </c>
      <c r="O19" s="309">
        <f>INDEX([2]ConsolidatedVehData!$P$22:$Z$858,MATCH($B19,[2]ConsolidatedVehData!$A$22:$A$858,0),MATCH(O$1,[2]ConsolidatedVehData!$P$7:$Z$7,0))</f>
        <v>1717.4588452079749</v>
      </c>
      <c r="P19" s="309">
        <f>INDEX([2]ConsolidatedVehData!$P$22:$Z$858,MATCH($B19,[2]ConsolidatedVehData!$A$22:$A$858,0),MATCH(P$1,[2]ConsolidatedVehData!$P$7:$Z$7,0))</f>
        <v>1718.4494405538956</v>
      </c>
      <c r="Q19" s="309">
        <f>INDEX([2]ConsolidatedVehData!$P$22:$Z$858,MATCH($B19,[2]ConsolidatedVehData!$A$22:$A$858,0),MATCH(Q$1,[2]ConsolidatedVehData!$P$7:$Z$7,0))</f>
        <v>1719.2993536846245</v>
      </c>
      <c r="R19" s="309">
        <f>INDEX([2]ConsolidatedVehData!$P$22:$Z$858,MATCH($B19,[2]ConsolidatedVehData!$A$22:$A$858,0),MATCH(R$1,[2]ConsolidatedVehData!$P$7:$Z$7,0))</f>
        <v>1719.2993536846245</v>
      </c>
      <c r="S19" s="309">
        <f>INDEX([2]ConsolidatedVehData!$P$22:$Z$858,MATCH($B19,[2]ConsolidatedVehData!$A$22:$A$858,0),MATCH(S$1,[2]ConsolidatedVehData!$P$7:$Z$7,0))</f>
        <v>1719.2993536846245</v>
      </c>
      <c r="T19" s="309">
        <f t="shared" si="0"/>
        <v>1719.2993536846245</v>
      </c>
      <c r="U19" s="310">
        <f>U12</f>
        <v>0.20245058276676323</v>
      </c>
      <c r="V19" s="310">
        <f t="shared" ref="V19:AC19" si="11">V12</f>
        <v>0.22752049679471878</v>
      </c>
      <c r="W19" s="310">
        <f t="shared" si="11"/>
        <v>0.27306099934214251</v>
      </c>
      <c r="X19" s="310">
        <f t="shared" si="11"/>
        <v>0.33749688020217411</v>
      </c>
      <c r="Y19" s="310">
        <f t="shared" si="11"/>
        <v>0.3396215046488435</v>
      </c>
      <c r="Z19" s="310">
        <f t="shared" si="11"/>
        <v>0.33896120705410993</v>
      </c>
      <c r="AA19" s="310">
        <f t="shared" si="11"/>
        <v>0.33830220656203658</v>
      </c>
      <c r="AB19" s="310">
        <f t="shared" si="11"/>
        <v>0.33830220656203658</v>
      </c>
      <c r="AC19" s="310">
        <f t="shared" si="11"/>
        <v>0.33830220656203658</v>
      </c>
      <c r="AD19" s="310">
        <f t="shared" si="3"/>
        <v>0.33830220656203658</v>
      </c>
      <c r="AE19" s="286">
        <f>INDEX([2]ConsolidatedVehData!$AB$22:$AB$858,MATCH(B19,[2]ConsolidatedVehData!$A$22:$A$858,0))</f>
        <v>38.459799414932235</v>
      </c>
      <c r="AF19" s="311">
        <v>0.44</v>
      </c>
      <c r="AG19" s="311">
        <v>0.18</v>
      </c>
      <c r="AH19" s="311">
        <v>0.18</v>
      </c>
      <c r="AI19" s="311">
        <v>0.4</v>
      </c>
      <c r="AJ19" s="294">
        <v>0</v>
      </c>
      <c r="AX19" s="250"/>
      <c r="AY19" s="250"/>
      <c r="AZ19" s="250"/>
      <c r="BA19" s="250"/>
      <c r="BB19" s="250"/>
      <c r="BC19" s="250"/>
      <c r="BD19" s="250"/>
    </row>
    <row r="20" spans="1:56" x14ac:dyDescent="0.2">
      <c r="A20" s="255" t="str">
        <f>[2]Technologies!B98</f>
        <v>R2,R3,R4,R5,R6</v>
      </c>
      <c r="B20" s="255" t="str">
        <f>[2]Technologies!D98</f>
        <v>TLCFCH10</v>
      </c>
      <c r="C20" s="255" t="str">
        <f>[2]Technologies!E98</f>
        <v>TL.H2.C.FCH.2010</v>
      </c>
      <c r="D20" s="255" t="s">
        <v>292</v>
      </c>
      <c r="E20" s="255" t="s">
        <v>105</v>
      </c>
      <c r="F20" s="255" t="str">
        <f>[2]Commodities!$D$9</f>
        <v>TL</v>
      </c>
      <c r="G20" s="257"/>
      <c r="H20" s="294">
        <v>1</v>
      </c>
      <c r="I20" s="309">
        <f>INDEX([2]ConsolidatedVehData!$D$22:$D$858,MATCH(B20,[2]ConsolidatedVehData!$A$22:$A$858,0))</f>
        <v>2010</v>
      </c>
      <c r="J20" s="294">
        <v>20</v>
      </c>
      <c r="K20" s="309">
        <f>INDEX([2]ConsolidatedVehData!$P$22:$Z$858,MATCH($B20,[2]ConsolidatedVehData!$A$22:$A$858,0),MATCH(K$1,[2]ConsolidatedVehData!$P$7:$Z$7,0))</f>
        <v>5612.1829038437982</v>
      </c>
      <c r="L20" s="309">
        <f>INDEX([2]ConsolidatedVehData!$P$22:$Z$858,MATCH($B20,[2]ConsolidatedVehData!$A$22:$A$858,0),MATCH(L$1,[2]ConsolidatedVehData!$P$7:$Z$7,0))</f>
        <v>4961.3574352162559</v>
      </c>
      <c r="M20" s="309">
        <f>INDEX([2]ConsolidatedVehData!$P$22:$Z$858,MATCH($B20,[2]ConsolidatedVehData!$A$22:$A$858,0),MATCH(M$1,[2]ConsolidatedVehData!$P$7:$Z$7,0))</f>
        <v>4300.7450990232164</v>
      </c>
      <c r="N20" s="309">
        <f>INDEX([2]ConsolidatedVehData!$P$22:$Z$858,MATCH($B20,[2]ConsolidatedVehData!$A$22:$A$858,0),MATCH(N$1,[2]ConsolidatedVehData!$P$7:$Z$7,0))</f>
        <v>3802.1475719471509</v>
      </c>
      <c r="O20" s="309">
        <f>INDEX([2]ConsolidatedVehData!$P$22:$Z$858,MATCH($B20,[2]ConsolidatedVehData!$A$22:$A$858,0),MATCH(O$1,[2]ConsolidatedVehData!$P$7:$Z$7,0))</f>
        <v>3456.1983578165286</v>
      </c>
      <c r="P20" s="309">
        <f>INDEX([2]ConsolidatedVehData!$P$22:$Z$858,MATCH($B20,[2]ConsolidatedVehData!$A$22:$A$858,0),MATCH(P$1,[2]ConsolidatedVehData!$P$7:$Z$7,0))</f>
        <v>3185.2429256292321</v>
      </c>
      <c r="Q20" s="309">
        <f>INDEX([2]ConsolidatedVehData!$P$22:$Z$858,MATCH($B20,[2]ConsolidatedVehData!$A$22:$A$858,0),MATCH(Q$1,[2]ConsolidatedVehData!$P$7:$Z$7,0))</f>
        <v>2971.1164493240376</v>
      </c>
      <c r="R20" s="309">
        <f>INDEX([2]ConsolidatedVehData!$P$22:$Z$858,MATCH($B20,[2]ConsolidatedVehData!$A$22:$A$858,0),MATCH(R$1,[2]ConsolidatedVehData!$P$7:$Z$7,0))</f>
        <v>2971.1164493240376</v>
      </c>
      <c r="S20" s="309">
        <f>INDEX([2]ConsolidatedVehData!$P$22:$Z$858,MATCH($B20,[2]ConsolidatedVehData!$A$22:$A$858,0),MATCH(S$1,[2]ConsolidatedVehData!$P$7:$Z$7,0))</f>
        <v>2971.1164493240376</v>
      </c>
      <c r="T20" s="309">
        <f t="shared" si="0"/>
        <v>2971.1164493240376</v>
      </c>
      <c r="U20" s="310">
        <f>INDEX([2]ConsolidatedVehData!$AF$22:$AF$858,MATCH(B20,[2]ConsolidatedVehData!$A$22:$A$858,0))</f>
        <v>0.36752768747820025</v>
      </c>
      <c r="V20" s="310">
        <f>INDEX([2]ConsolidatedVehData!$AF$22:$AF$858,MATCH($B20,[2]ConsolidatedVehData!$A$22:$A$858,0)+1)</f>
        <v>0.37192871027057528</v>
      </c>
      <c r="W20" s="310">
        <f>INDEX([2]ConsolidatedVehData!$AF$22:$AF$858,MATCH($B20,[2]ConsolidatedVehData!$A$22:$A$858,0)+2)</f>
        <v>0.37430405008802159</v>
      </c>
      <c r="X20" s="310">
        <f>INDEX([2]ConsolidatedVehData!$AF$22:$AF$858,MATCH($B20,[2]ConsolidatedVehData!$A$22:$A$858,0)+3)</f>
        <v>0.38483140589122072</v>
      </c>
      <c r="Y20" s="310">
        <f>INDEX([2]ConsolidatedVehData!$AF$22:$AF$858,MATCH($B20,[2]ConsolidatedVehData!$A$22:$A$858,0)+4)</f>
        <v>0.38717013619446256</v>
      </c>
      <c r="Z20" s="310">
        <f>INDEX([2]ConsolidatedVehData!$AF$22:$AF$858,MATCH($B20,[2]ConsolidatedVehData!$A$22:$A$858,0)+5)</f>
        <v>0.38717428283345179</v>
      </c>
      <c r="AA20" s="310">
        <f>INDEX([2]ConsolidatedVehData!$AF$22:$AF$858,MATCH($B20,[2]ConsolidatedVehData!$A$22:$A$858,0)+6)</f>
        <v>0.38718109650334709</v>
      </c>
      <c r="AB20" s="310">
        <f>INDEX([2]ConsolidatedVehData!$AF$22:$AF$858,MATCH($B20,[2]ConsolidatedVehData!$A$22:$A$858,0)+7)</f>
        <v>0.38718109650334709</v>
      </c>
      <c r="AC20" s="310">
        <f>INDEX([2]ConsolidatedVehData!$AF$22:$AF$858,MATCH($B20,[2]ConsolidatedVehData!$A$22:$A$858,0)+8)</f>
        <v>0.38718109650334709</v>
      </c>
      <c r="AD20" s="310">
        <f t="shared" si="3"/>
        <v>0.38718109650334709</v>
      </c>
      <c r="AE20" s="286">
        <f>INDEX([2]ConsolidatedVehData!$AB$22:$AB$858,MATCH(B20,[2]ConsolidatedVehData!$A$22:$A$858,0))</f>
        <v>40.382789385678855</v>
      </c>
      <c r="AF20" s="311">
        <v>0.44</v>
      </c>
      <c r="AG20" s="311">
        <v>0.24</v>
      </c>
      <c r="AH20" s="311">
        <v>0.28000000000000003</v>
      </c>
      <c r="AI20" s="311">
        <v>0.44</v>
      </c>
      <c r="AJ20" s="294">
        <v>0</v>
      </c>
      <c r="AX20" s="250"/>
      <c r="AY20" s="250"/>
      <c r="AZ20" s="250"/>
      <c r="BA20" s="250"/>
      <c r="BB20" s="250"/>
      <c r="BC20" s="250"/>
      <c r="BD20" s="250"/>
    </row>
    <row r="21" spans="1:56" x14ac:dyDescent="0.2">
      <c r="A21" s="255" t="str">
        <f>[2]Technologies!B99</f>
        <v>R2,R3,R4,R5,R6</v>
      </c>
      <c r="B21" s="255" t="str">
        <f>[2]Technologies!D99</f>
        <v>TLCHEV10</v>
      </c>
      <c r="C21" s="255" t="str">
        <f>[2]Technologies!E99</f>
        <v>TL.GSL.C.HEV.2010</v>
      </c>
      <c r="D21" s="255" t="s">
        <v>292</v>
      </c>
      <c r="E21" s="255" t="s">
        <v>111</v>
      </c>
      <c r="F21" s="255" t="str">
        <f>[2]Commodities!$D$9</f>
        <v>TL</v>
      </c>
      <c r="G21" s="257"/>
      <c r="H21" s="294">
        <v>1</v>
      </c>
      <c r="I21" s="309">
        <f>INDEX([2]ConsolidatedVehData!$D$22:$D$858,MATCH(B21,[2]ConsolidatedVehData!$A$22:$A$858,0))</f>
        <v>2010</v>
      </c>
      <c r="J21" s="294">
        <v>20</v>
      </c>
      <c r="K21" s="309">
        <f>INDEX([2]ConsolidatedVehData!$P$22:$Z$858,MATCH($B21,[2]ConsolidatedVehData!$A$22:$A$858,0),MATCH(K$1,[2]ConsolidatedVehData!$P$7:$Z$7,0))</f>
        <v>2211.7718146515776</v>
      </c>
      <c r="L21" s="309">
        <f>INDEX([2]ConsolidatedVehData!$P$22:$Z$858,MATCH($B21,[2]ConsolidatedVehData!$A$22:$A$858,0),MATCH(L$1,[2]ConsolidatedVehData!$P$7:$Z$7,0))</f>
        <v>1866.8154348919384</v>
      </c>
      <c r="M21" s="309">
        <f>INDEX([2]ConsolidatedVehData!$P$22:$Z$858,MATCH($B21,[2]ConsolidatedVehData!$A$22:$A$858,0),MATCH(M$1,[2]ConsolidatedVehData!$P$7:$Z$7,0))</f>
        <v>1907.4793082322331</v>
      </c>
      <c r="N21" s="309">
        <f>INDEX([2]ConsolidatedVehData!$P$22:$Z$858,MATCH($B21,[2]ConsolidatedVehData!$A$22:$A$858,0),MATCH(N$1,[2]ConsolidatedVehData!$P$7:$Z$7,0))</f>
        <v>1942.4851741376738</v>
      </c>
      <c r="O21" s="309">
        <f>INDEX([2]ConsolidatedVehData!$P$22:$Z$858,MATCH($B21,[2]ConsolidatedVehData!$A$22:$A$858,0),MATCH(O$1,[2]ConsolidatedVehData!$P$7:$Z$7,0))</f>
        <v>1906.9120441831139</v>
      </c>
      <c r="P21" s="309">
        <f>INDEX([2]ConsolidatedVehData!$P$22:$Z$858,MATCH($B21,[2]ConsolidatedVehData!$A$22:$A$858,0),MATCH(P$1,[2]ConsolidatedVehData!$P$7:$Z$7,0))</f>
        <v>1897.3030032324291</v>
      </c>
      <c r="Q21" s="309">
        <f>INDEX([2]ConsolidatedVehData!$P$22:$Z$858,MATCH($B21,[2]ConsolidatedVehData!$A$22:$A$858,0),MATCH(Q$1,[2]ConsolidatedVehData!$P$7:$Z$7,0))</f>
        <v>1895.0877096911609</v>
      </c>
      <c r="R21" s="309">
        <f>INDEX([2]ConsolidatedVehData!$P$22:$Z$858,MATCH($B21,[2]ConsolidatedVehData!$A$22:$A$858,0),MATCH(R$1,[2]ConsolidatedVehData!$P$7:$Z$7,0))</f>
        <v>1895.0877096911609</v>
      </c>
      <c r="S21" s="309">
        <f>INDEX([2]ConsolidatedVehData!$P$22:$Z$858,MATCH($B21,[2]ConsolidatedVehData!$A$22:$A$858,0),MATCH(S$1,[2]ConsolidatedVehData!$P$7:$Z$7,0))</f>
        <v>1895.0877096911609</v>
      </c>
      <c r="T21" s="309">
        <f t="shared" si="0"/>
        <v>1895.0877096911609</v>
      </c>
      <c r="U21" s="310">
        <f>INDEX([2]ConsolidatedVehData!$AF$22:$AF$858,MATCH(B21,[2]ConsolidatedVehData!$A$22:$A$858,0))</f>
        <v>0.34893124520404611</v>
      </c>
      <c r="V21" s="310">
        <f>INDEX([2]ConsolidatedVehData!$AF$22:$AF$858,MATCH($B21,[2]ConsolidatedVehData!$A$22:$A$858,0)+1)</f>
        <v>0.32336281147843998</v>
      </c>
      <c r="W21" s="310">
        <f>INDEX([2]ConsolidatedVehData!$AF$22:$AF$858,MATCH($B21,[2]ConsolidatedVehData!$A$22:$A$858,0)+2)</f>
        <v>0.3804673478777823</v>
      </c>
      <c r="X21" s="310">
        <f>INDEX([2]ConsolidatedVehData!$AF$22:$AF$858,MATCH($B21,[2]ConsolidatedVehData!$A$22:$A$858,0)+3)</f>
        <v>0.45054669040069634</v>
      </c>
      <c r="Y21" s="310">
        <f>INDEX([2]ConsolidatedVehData!$AF$22:$AF$858,MATCH($B21,[2]ConsolidatedVehData!$A$22:$A$858,0)+4)</f>
        <v>0.45305658598133114</v>
      </c>
      <c r="Z21" s="310">
        <f>INDEX([2]ConsolidatedVehData!$AF$22:$AF$858,MATCH($B21,[2]ConsolidatedVehData!$A$22:$A$858,0)+5)</f>
        <v>0.4522770392471312</v>
      </c>
      <c r="AA21" s="310">
        <f>INDEX([2]ConsolidatedVehData!$AF$22:$AF$858,MATCH($B21,[2]ConsolidatedVehData!$A$22:$A$858,0)+6)</f>
        <v>0.45157398384922337</v>
      </c>
      <c r="AB21" s="310">
        <f>INDEX([2]ConsolidatedVehData!$AF$22:$AF$858,MATCH($B21,[2]ConsolidatedVehData!$A$22:$A$858,0)+7)</f>
        <v>0.45157398384922337</v>
      </c>
      <c r="AC21" s="310">
        <f>INDEX([2]ConsolidatedVehData!$AF$22:$AF$858,MATCH($B21,[2]ConsolidatedVehData!$A$22:$A$858,0)+8)</f>
        <v>0.45157398384922337</v>
      </c>
      <c r="AD21" s="310">
        <f t="shared" si="3"/>
        <v>0.45157398384922337</v>
      </c>
      <c r="AE21" s="286">
        <f>INDEX([2]ConsolidatedVehData!$AB$22:$AB$858,MATCH(B21,[2]ConsolidatedVehData!$A$22:$A$858,0))</f>
        <v>40.382789385678855</v>
      </c>
      <c r="AF21" s="311">
        <v>0.44</v>
      </c>
      <c r="AG21" s="311">
        <v>0.18</v>
      </c>
      <c r="AH21" s="311">
        <v>0.24</v>
      </c>
      <c r="AI21" s="311">
        <v>0.44</v>
      </c>
      <c r="AJ21" s="294">
        <v>0</v>
      </c>
      <c r="AX21" s="250"/>
      <c r="AY21" s="250"/>
      <c r="AZ21" s="250"/>
      <c r="BA21" s="250"/>
      <c r="BB21" s="250"/>
      <c r="BC21" s="250"/>
      <c r="BD21" s="250"/>
    </row>
    <row r="22" spans="1:56" x14ac:dyDescent="0.2">
      <c r="A22" s="255" t="str">
        <f>[2]Technologies!B100</f>
        <v>*R2,R3,R4,R5,R6</v>
      </c>
      <c r="B22" s="255" t="str">
        <f>[2]Technologies!D100</f>
        <v>TLCLPGX10</v>
      </c>
      <c r="C22" s="255" t="str">
        <f>[2]Technologies!E100</f>
        <v>TL.LPGX.C.LPGX.2010</v>
      </c>
      <c r="D22" s="255" t="s">
        <v>292</v>
      </c>
      <c r="E22" s="255" t="s">
        <v>109</v>
      </c>
      <c r="F22" s="255" t="str">
        <f>[2]Commodities!$D$9</f>
        <v>TL</v>
      </c>
      <c r="G22" s="257">
        <v>0</v>
      </c>
      <c r="H22" s="294">
        <v>1</v>
      </c>
      <c r="I22" s="309">
        <f>INDEX([2]ConsolidatedVehData!$D$22:$D$858,MATCH(B22,[2]ConsolidatedVehData!$A$22:$A$858,0))</f>
        <v>2010</v>
      </c>
      <c r="J22" s="294">
        <v>20</v>
      </c>
      <c r="K22" s="309">
        <f>INDEX([2]ConsolidatedVehData!$P$22:$Z$858,MATCH($B22,[2]ConsolidatedVehData!$A$22:$A$858,0),MATCH(K$1,[2]ConsolidatedVehData!$P$7:$Z$7,0))</f>
        <v>2091.4032805208794</v>
      </c>
      <c r="L22" s="309">
        <f>INDEX([2]ConsolidatedVehData!$P$22:$Z$858,MATCH($B22,[2]ConsolidatedVehData!$A$22:$A$858,0),MATCH(L$1,[2]ConsolidatedVehData!$P$7:$Z$7,0))</f>
        <v>1905.4913362170896</v>
      </c>
      <c r="M22" s="309">
        <f>INDEX([2]ConsolidatedVehData!$P$22:$Z$858,MATCH($B22,[2]ConsolidatedVehData!$A$22:$A$858,0),MATCH(M$1,[2]ConsolidatedVehData!$P$7:$Z$7,0))</f>
        <v>1977.6379627152226</v>
      </c>
      <c r="N22" s="309">
        <f>INDEX([2]ConsolidatedVehData!$P$22:$Z$858,MATCH($B22,[2]ConsolidatedVehData!$A$22:$A$858,0),MATCH(N$1,[2]ConsolidatedVehData!$P$7:$Z$7,0))</f>
        <v>2101.5194686755622</v>
      </c>
      <c r="O22" s="309">
        <f>INDEX([2]ConsolidatedVehData!$P$22:$Z$858,MATCH($B22,[2]ConsolidatedVehData!$A$22:$A$858,0),MATCH(O$1,[2]ConsolidatedVehData!$P$7:$Z$7,0))</f>
        <v>2104.1121123358002</v>
      </c>
      <c r="P22" s="309">
        <f>INDEX([2]ConsolidatedVehData!$P$22:$Z$858,MATCH($B22,[2]ConsolidatedVehData!$A$22:$A$858,0),MATCH(P$1,[2]ConsolidatedVehData!$P$7:$Z$7,0))</f>
        <v>2105.4856092424266</v>
      </c>
      <c r="Q22" s="309">
        <f>INDEX([2]ConsolidatedVehData!$P$22:$Z$858,MATCH($B22,[2]ConsolidatedVehData!$A$22:$A$858,0),MATCH(Q$1,[2]ConsolidatedVehData!$P$7:$Z$7,0))</f>
        <v>2106.7087061895286</v>
      </c>
      <c r="R22" s="309">
        <f>INDEX([2]ConsolidatedVehData!$P$22:$Z$858,MATCH($B22,[2]ConsolidatedVehData!$A$22:$A$858,0),MATCH(R$1,[2]ConsolidatedVehData!$P$7:$Z$7,0))</f>
        <v>2106.7087061895286</v>
      </c>
      <c r="S22" s="309">
        <f>INDEX([2]ConsolidatedVehData!$P$22:$Z$858,MATCH($B22,[2]ConsolidatedVehData!$A$22:$A$858,0),MATCH(S$1,[2]ConsolidatedVehData!$P$7:$Z$7,0))</f>
        <v>2106.7087061895286</v>
      </c>
      <c r="T22" s="309">
        <f t="shared" si="0"/>
        <v>2106.7087061895286</v>
      </c>
      <c r="U22" s="310">
        <f>INDEX([2]ConsolidatedVehData!$AF$22:$AF$858,MATCH(B22,[2]ConsolidatedVehData!$A$22:$A$858,0))</f>
        <v>0.20121350540634814</v>
      </c>
      <c r="V22" s="310">
        <f>INDEX([2]ConsolidatedVehData!$AF$22:$AF$858,MATCH($B22,[2]ConsolidatedVehData!$A$22:$A$858,0)+1)</f>
        <v>0.22867549323534681</v>
      </c>
      <c r="W22" s="310">
        <f>INDEX([2]ConsolidatedVehData!$AF$22:$AF$858,MATCH($B22,[2]ConsolidatedVehData!$A$22:$A$858,0)+2)</f>
        <v>0.27518067558247528</v>
      </c>
      <c r="X22" s="310">
        <f>INDEX([2]ConsolidatedVehData!$AF$22:$AF$858,MATCH($B22,[2]ConsolidatedVehData!$A$22:$A$858,0)+3)</f>
        <v>0.34545317805043907</v>
      </c>
      <c r="Y22" s="310">
        <f>INDEX([2]ConsolidatedVehData!$AF$22:$AF$858,MATCH($B22,[2]ConsolidatedVehData!$A$22:$A$858,0)+4)</f>
        <v>0.34740967729995004</v>
      </c>
      <c r="Z22" s="310">
        <f>INDEX([2]ConsolidatedVehData!$AF$22:$AF$858,MATCH($B22,[2]ConsolidatedVehData!$A$22:$A$858,0)+5)</f>
        <v>0.34667754491299807</v>
      </c>
      <c r="AA22" s="310">
        <f>INDEX([2]ConsolidatedVehData!$AF$22:$AF$858,MATCH($B22,[2]ConsolidatedVehData!$A$22:$A$858,0)+6)</f>
        <v>0.34590875764316598</v>
      </c>
      <c r="AB22" s="310">
        <f>INDEX([2]ConsolidatedVehData!$AF$22:$AF$858,MATCH($B22,[2]ConsolidatedVehData!$A$22:$A$858,0)+7)</f>
        <v>0.34590875764316598</v>
      </c>
      <c r="AC22" s="310">
        <f>INDEX([2]ConsolidatedVehData!$AF$22:$AF$858,MATCH($B22,[2]ConsolidatedVehData!$A$22:$A$858,0)+8)</f>
        <v>0.34590875764316598</v>
      </c>
      <c r="AD22" s="310">
        <f t="shared" si="3"/>
        <v>0.34590875764316598</v>
      </c>
      <c r="AE22" s="286">
        <f>INDEX([2]ConsolidatedVehData!$AB$22:$AB$858,MATCH(B22,[2]ConsolidatedVehData!$A$22:$A$858,0))</f>
        <v>34.613819473439015</v>
      </c>
      <c r="AF22" s="311">
        <v>0.44</v>
      </c>
      <c r="AG22" s="311">
        <v>0.24</v>
      </c>
      <c r="AH22" s="311">
        <v>0.24</v>
      </c>
      <c r="AI22" s="311">
        <v>0.44</v>
      </c>
      <c r="AJ22" s="294">
        <v>0</v>
      </c>
      <c r="AX22" s="250"/>
      <c r="AY22" s="250"/>
      <c r="AZ22" s="250"/>
      <c r="BA22" s="250"/>
      <c r="BB22" s="250"/>
      <c r="BC22" s="250"/>
      <c r="BD22" s="250"/>
    </row>
    <row r="23" spans="1:56" x14ac:dyDescent="0.2">
      <c r="A23" s="255" t="str">
        <f>[2]Technologies!B101</f>
        <v>R2,R3,R4,R5,R6</v>
      </c>
      <c r="B23" s="255" t="str">
        <f>[2]Technologies!D101</f>
        <v>TLCPHVG10</v>
      </c>
      <c r="C23" s="255" t="str">
        <f>[2]Technologies!E101</f>
        <v>TL.GSL.C.PHVG.2010</v>
      </c>
      <c r="D23" s="255" t="s">
        <v>292</v>
      </c>
      <c r="E23" s="255" t="s">
        <v>111</v>
      </c>
      <c r="F23" s="255"/>
      <c r="G23" s="257"/>
      <c r="H23" s="310">
        <f>1-H24</f>
        <v>0.73478445352379373</v>
      </c>
      <c r="I23" s="309">
        <f>INDEX([2]ConsolidatedVehData!$D$22:$D$858,MATCH(B23,[2]ConsolidatedVehData!$A$22:$A$858,0))</f>
        <v>2010</v>
      </c>
      <c r="J23" s="294">
        <v>20</v>
      </c>
      <c r="K23" s="309">
        <f>INDEX([2]ConsolidatedVehData!$P$22:$Z$858,MATCH($B23,[2]ConsolidatedVehData!$A$22:$A$858,0),MATCH(K$1,[2]ConsolidatedVehData!$P$7:$Z$7,0))</f>
        <v>2033.8670167601272</v>
      </c>
      <c r="L23" s="309">
        <f>INDEX([2]ConsolidatedVehData!$P$22:$Z$858,MATCH($B23,[2]ConsolidatedVehData!$A$22:$A$858,0),MATCH(L$1,[2]ConsolidatedVehData!$P$7:$Z$7,0))</f>
        <v>1917.7062700167091</v>
      </c>
      <c r="M23" s="309">
        <f>INDEX([2]ConsolidatedVehData!$P$22:$Z$858,MATCH($B23,[2]ConsolidatedVehData!$A$22:$A$858,0),MATCH(M$1,[2]ConsolidatedVehData!$P$7:$Z$7,0))</f>
        <v>1987.7740230680672</v>
      </c>
      <c r="N23" s="309">
        <f>INDEX([2]ConsolidatedVehData!$P$22:$Z$858,MATCH($B23,[2]ConsolidatedVehData!$A$22:$A$858,0),MATCH(N$1,[2]ConsolidatedVehData!$P$7:$Z$7,0))</f>
        <v>2102.0765228845598</v>
      </c>
      <c r="O23" s="309">
        <f>INDEX([2]ConsolidatedVehData!$P$22:$Z$858,MATCH($B23,[2]ConsolidatedVehData!$A$22:$A$858,0),MATCH(O$1,[2]ConsolidatedVehData!$P$7:$Z$7,0))</f>
        <v>2104.4866359065104</v>
      </c>
      <c r="P23" s="309">
        <f>INDEX([2]ConsolidatedVehData!$P$22:$Z$858,MATCH($B23,[2]ConsolidatedVehData!$A$22:$A$858,0),MATCH(P$1,[2]ConsolidatedVehData!$P$7:$Z$7,0))</f>
        <v>2105.7052747662347</v>
      </c>
      <c r="Q23" s="309">
        <f>INDEX([2]ConsolidatedVehData!$P$22:$Z$858,MATCH($B23,[2]ConsolidatedVehData!$A$22:$A$858,0),MATCH(Q$1,[2]ConsolidatedVehData!$P$7:$Z$7,0))</f>
        <v>2106.796368370407</v>
      </c>
      <c r="R23" s="309">
        <f>INDEX([2]ConsolidatedVehData!$P$22:$Z$858,MATCH($B23,[2]ConsolidatedVehData!$A$22:$A$858,0),MATCH(R$1,[2]ConsolidatedVehData!$P$7:$Z$7,0))</f>
        <v>2106.796368370407</v>
      </c>
      <c r="S23" s="309">
        <f>INDEX([2]ConsolidatedVehData!$P$22:$Z$858,MATCH($B23,[2]ConsolidatedVehData!$A$22:$A$858,0),MATCH(S$1,[2]ConsolidatedVehData!$P$7:$Z$7,0))</f>
        <v>2106.796368370407</v>
      </c>
      <c r="T23" s="309">
        <f t="shared" si="0"/>
        <v>2106.796368370407</v>
      </c>
      <c r="U23" s="310">
        <f>INDEX([2]ConsolidatedVehData!$AF$22:$AF$858,MATCH(B23,[2]ConsolidatedVehData!$A$22:$A$858,0))</f>
        <v>0.51277850864926389</v>
      </c>
      <c r="V23" s="310">
        <f>INDEX([2]ConsolidatedVehData!$AF$22:$AF$858,MATCH($B23,[2]ConsolidatedVehData!$A$22:$A$858,0)+1)</f>
        <v>0.47520393344420614</v>
      </c>
      <c r="W23" s="310">
        <f>INDEX([2]ConsolidatedVehData!$AF$22:$AF$858,MATCH($B23,[2]ConsolidatedVehData!$A$22:$A$858,0)+2)</f>
        <v>0.55912298458804688</v>
      </c>
      <c r="X23" s="310">
        <f>INDEX([2]ConsolidatedVehData!$AF$22:$AF$858,MATCH($B23,[2]ConsolidatedVehData!$A$22:$A$858,0)+3)</f>
        <v>0.66210940738605906</v>
      </c>
      <c r="Y23" s="310">
        <f>INDEX([2]ConsolidatedVehData!$AF$22:$AF$858,MATCH($B23,[2]ConsolidatedVehData!$A$22:$A$858,0)+4)</f>
        <v>0.66579787189129613</v>
      </c>
      <c r="Z23" s="310">
        <f>INDEX([2]ConsolidatedVehData!$AF$22:$AF$858,MATCH($B23,[2]ConsolidatedVehData!$A$22:$A$858,0)+5)</f>
        <v>0.66465227424912543</v>
      </c>
      <c r="AA23" s="310">
        <f>INDEX([2]ConsolidatedVehData!$AF$22:$AF$858,MATCH($B23,[2]ConsolidatedVehData!$A$22:$A$858,0)+6)</f>
        <v>0.66361908589642815</v>
      </c>
      <c r="AB23" s="310">
        <f>INDEX([2]ConsolidatedVehData!$AF$22:$AF$858,MATCH($B23,[2]ConsolidatedVehData!$A$22:$A$858,0)+7)</f>
        <v>0.66361908589642815</v>
      </c>
      <c r="AC23" s="310">
        <f>INDEX([2]ConsolidatedVehData!$AF$22:$AF$858,MATCH($B23,[2]ConsolidatedVehData!$A$22:$A$858,0)+8)</f>
        <v>0.66361908589642815</v>
      </c>
      <c r="AD23" s="310">
        <f t="shared" si="3"/>
        <v>0.66361908589642815</v>
      </c>
      <c r="AE23" s="286">
        <f>INDEX([2]ConsolidatedVehData!$AB$22:$AB$858,MATCH(B23,[2]ConsolidatedVehData!$A$22:$A$858,0))</f>
        <v>40.382789385678855</v>
      </c>
      <c r="AF23" s="311">
        <v>0.44</v>
      </c>
      <c r="AG23" s="311">
        <v>0.24</v>
      </c>
      <c r="AH23" s="311">
        <v>0.28000000000000003</v>
      </c>
      <c r="AI23" s="311">
        <v>0.44</v>
      </c>
      <c r="AJ23" s="294">
        <v>0</v>
      </c>
      <c r="AX23" s="250"/>
      <c r="AY23" s="250"/>
      <c r="AZ23" s="250"/>
      <c r="BA23" s="250"/>
      <c r="BB23" s="250"/>
      <c r="BC23" s="250"/>
      <c r="BD23" s="250"/>
    </row>
    <row r="24" spans="1:56" x14ac:dyDescent="0.2">
      <c r="A24" s="255"/>
      <c r="B24" s="255"/>
      <c r="C24" s="255"/>
      <c r="D24" s="255"/>
      <c r="E24" s="255" t="s">
        <v>99</v>
      </c>
      <c r="F24" s="255"/>
      <c r="G24" s="257"/>
      <c r="H24" s="310">
        <f>INDEX([2]ConsolidatedVehData!$AG$22:$AG$858,MATCH(B23,[2]ConsolidatedVehData!$A$22:$A$858,0))</f>
        <v>0.26521554647620627</v>
      </c>
      <c r="I24" s="309"/>
      <c r="J24" s="294"/>
      <c r="K24" s="309"/>
      <c r="L24" s="309"/>
      <c r="M24" s="309"/>
      <c r="N24" s="309"/>
      <c r="O24" s="309"/>
      <c r="P24" s="309"/>
      <c r="Q24" s="309"/>
      <c r="R24" s="309"/>
      <c r="S24" s="309"/>
      <c r="T24" s="309"/>
      <c r="U24" s="310"/>
      <c r="V24" s="310"/>
      <c r="W24" s="310"/>
      <c r="X24" s="310"/>
      <c r="Y24" s="310"/>
      <c r="Z24" s="310"/>
      <c r="AA24" s="310"/>
      <c r="AB24" s="310"/>
      <c r="AC24" s="310"/>
      <c r="AD24" s="310"/>
      <c r="AE24" s="286"/>
      <c r="AF24" s="311"/>
      <c r="AG24" s="311"/>
      <c r="AH24" s="311"/>
      <c r="AI24" s="311"/>
      <c r="AJ24" s="294"/>
      <c r="AX24" s="250"/>
      <c r="AY24" s="250"/>
      <c r="AZ24" s="250"/>
      <c r="BA24" s="250"/>
      <c r="BB24" s="250"/>
      <c r="BC24" s="250"/>
      <c r="BD24" s="250"/>
    </row>
    <row r="25" spans="1:56" x14ac:dyDescent="0.2">
      <c r="A25" s="255" t="str">
        <f>IF(LEFT(A24,1)="*","*","")</f>
        <v/>
      </c>
      <c r="B25" s="255"/>
      <c r="C25" s="255"/>
      <c r="D25" s="255"/>
      <c r="E25" s="255"/>
      <c r="F25" s="255" t="str">
        <f>[2]Commodities!$D$9</f>
        <v>TL</v>
      </c>
      <c r="G25" s="257"/>
      <c r="H25" s="257"/>
      <c r="I25" s="294"/>
      <c r="J25" s="294"/>
      <c r="K25" s="294"/>
      <c r="L25" s="294"/>
      <c r="M25" s="294"/>
      <c r="N25" s="294"/>
      <c r="O25" s="294"/>
      <c r="P25" s="294"/>
      <c r="Q25" s="294"/>
      <c r="R25" s="294"/>
      <c r="S25" s="294"/>
      <c r="T25" s="294"/>
      <c r="U25" s="310"/>
      <c r="V25" s="310"/>
      <c r="W25" s="310"/>
      <c r="X25" s="310"/>
      <c r="Y25" s="310"/>
      <c r="Z25" s="310"/>
      <c r="AA25" s="310"/>
      <c r="AB25" s="310"/>
      <c r="AC25" s="310"/>
      <c r="AD25" s="310"/>
      <c r="AE25" s="294"/>
      <c r="AF25" s="311"/>
      <c r="AG25" s="311"/>
      <c r="AH25" s="311"/>
      <c r="AI25" s="311"/>
      <c r="AJ25" s="294"/>
      <c r="AX25" s="250"/>
      <c r="AY25" s="250"/>
      <c r="AZ25" s="250"/>
      <c r="BA25" s="250"/>
      <c r="BB25" s="250"/>
      <c r="BC25" s="250"/>
      <c r="BD25" s="250"/>
    </row>
    <row r="26" spans="1:56" x14ac:dyDescent="0.2">
      <c r="A26" s="255" t="str">
        <f>[2]Technologies!B102</f>
        <v>R2,R3,R4,R5,R6</v>
      </c>
      <c r="B26" s="255" t="str">
        <f>[2]Technologies!D102</f>
        <v>TLFCONV10</v>
      </c>
      <c r="C26" s="255" t="str">
        <f>[2]Technologies!E102</f>
        <v>TL.GSL.F.CONV.2010</v>
      </c>
      <c r="D26" s="255" t="s">
        <v>292</v>
      </c>
      <c r="E26" s="255" t="s">
        <v>111</v>
      </c>
      <c r="F26" s="255" t="str">
        <f>[2]Commodities!$D$9</f>
        <v>TL</v>
      </c>
      <c r="G26" s="257"/>
      <c r="H26" s="294">
        <v>1</v>
      </c>
      <c r="I26" s="309">
        <f>INDEX([2]ConsolidatedVehData!$D$22:$D$858,MATCH(B26,[2]ConsolidatedVehData!$A$22:$A$858,0))</f>
        <v>2010</v>
      </c>
      <c r="J26" s="294">
        <v>20</v>
      </c>
      <c r="K26" s="309">
        <f>INDEX([2]ConsolidatedVehData!$P$22:$Z$858,MATCH($B26,[2]ConsolidatedVehData!$A$22:$A$858,0),MATCH(K$1,[2]ConsolidatedVehData!$P$7:$Z$7,0))</f>
        <v>1979.9979692781128</v>
      </c>
      <c r="L26" s="309">
        <f>INDEX([2]ConsolidatedVehData!$P$22:$Z$858,MATCH($B26,[2]ConsolidatedVehData!$A$22:$A$858,0),MATCH(L$1,[2]ConsolidatedVehData!$P$7:$Z$7,0))</f>
        <v>1906.6862822245548</v>
      </c>
      <c r="M26" s="309">
        <f>INDEX([2]ConsolidatedVehData!$P$22:$Z$858,MATCH($B26,[2]ConsolidatedVehData!$A$22:$A$858,0),MATCH(M$1,[2]ConsolidatedVehData!$P$7:$Z$7,0))</f>
        <v>1969.5392571863722</v>
      </c>
      <c r="N26" s="309">
        <f>INDEX([2]ConsolidatedVehData!$P$22:$Z$858,MATCH($B26,[2]ConsolidatedVehData!$A$22:$A$858,0),MATCH(N$1,[2]ConsolidatedVehData!$P$7:$Z$7,0))</f>
        <v>2081.6908811595667</v>
      </c>
      <c r="O26" s="309">
        <f>INDEX([2]ConsolidatedVehData!$P$22:$Z$858,MATCH($B26,[2]ConsolidatedVehData!$A$22:$A$858,0),MATCH(O$1,[2]ConsolidatedVehData!$P$7:$Z$7,0))</f>
        <v>2085.0915774543032</v>
      </c>
      <c r="P26" s="309">
        <f>INDEX([2]ConsolidatedVehData!$P$22:$Z$858,MATCH($B26,[2]ConsolidatedVehData!$A$22:$A$858,0),MATCH(P$1,[2]ConsolidatedVehData!$P$7:$Z$7,0))</f>
        <v>2086.3055597004022</v>
      </c>
      <c r="Q26" s="309">
        <f>INDEX([2]ConsolidatedVehData!$P$22:$Z$858,MATCH($B26,[2]ConsolidatedVehData!$A$22:$A$858,0),MATCH(Q$1,[2]ConsolidatedVehData!$P$7:$Z$7,0))</f>
        <v>2087.1131980487125</v>
      </c>
      <c r="R26" s="309">
        <f>INDEX([2]ConsolidatedVehData!$P$22:$Z$858,MATCH($B26,[2]ConsolidatedVehData!$A$22:$A$858,0),MATCH(R$1,[2]ConsolidatedVehData!$P$7:$Z$7,0))</f>
        <v>2087.1131980487125</v>
      </c>
      <c r="S26" s="309">
        <f>INDEX([2]ConsolidatedVehData!$P$22:$Z$858,MATCH($B26,[2]ConsolidatedVehData!$A$22:$A$858,0),MATCH(S$1,[2]ConsolidatedVehData!$P$7:$Z$7,0))</f>
        <v>2087.1131980487125</v>
      </c>
      <c r="T26" s="309">
        <f t="shared" ref="T26:T37" si="12">S26</f>
        <v>2087.1131980487125</v>
      </c>
      <c r="U26" s="310">
        <f>INDEX([2]ConsolidatedVehData!$AF$22:$AF$858,MATCH(B26,[2]ConsolidatedVehData!$A$22:$A$858,0))</f>
        <v>0.19283856045812206</v>
      </c>
      <c r="V26" s="310">
        <f>INDEX([2]ConsolidatedVehData!$AF$22:$AF$858,MATCH($B26,[2]ConsolidatedVehData!$A$22:$A$858,0)+1)</f>
        <v>0.22410264035463998</v>
      </c>
      <c r="W26" s="310">
        <f>INDEX([2]ConsolidatedVehData!$AF$22:$AF$858,MATCH($B26,[2]ConsolidatedVehData!$A$22:$A$858,0)+2)</f>
        <v>0.267135662459834</v>
      </c>
      <c r="X26" s="310">
        <f>INDEX([2]ConsolidatedVehData!$AF$22:$AF$858,MATCH($B26,[2]ConsolidatedVehData!$A$22:$A$858,0)+3)</f>
        <v>0.33534081271780142</v>
      </c>
      <c r="Y26" s="310">
        <f>INDEX([2]ConsolidatedVehData!$AF$22:$AF$858,MATCH($B26,[2]ConsolidatedVehData!$A$22:$A$858,0)+4)</f>
        <v>0.3376465764689453</v>
      </c>
      <c r="Z26" s="310">
        <f>INDEX([2]ConsolidatedVehData!$AF$22:$AF$858,MATCH($B26,[2]ConsolidatedVehData!$A$22:$A$858,0)+5)</f>
        <v>0.33731602952860407</v>
      </c>
      <c r="AA26" s="310">
        <f>INDEX([2]ConsolidatedVehData!$AF$22:$AF$858,MATCH($B26,[2]ConsolidatedVehData!$A$22:$A$858,0)+6)</f>
        <v>0.33697292145409624</v>
      </c>
      <c r="AB26" s="310">
        <f>INDEX([2]ConsolidatedVehData!$AF$22:$AF$858,MATCH($B26,[2]ConsolidatedVehData!$A$22:$A$858,0)+7)</f>
        <v>0.33697292145409624</v>
      </c>
      <c r="AC26" s="310">
        <f>INDEX([2]ConsolidatedVehData!$AF$22:$AF$858,MATCH($B26,[2]ConsolidatedVehData!$A$22:$A$858,0)+8)</f>
        <v>0.33697292145409624</v>
      </c>
      <c r="AD26" s="310">
        <f t="shared" ref="AD26:AD95" si="13">AC26</f>
        <v>0.33697292145409624</v>
      </c>
      <c r="AE26" s="286">
        <f>INDEX([2]ConsolidatedVehData!$AB$22:$AB$858,MATCH(B26,[2]ConsolidatedVehData!$A$22:$A$858,0))</f>
        <v>43.267274341798768</v>
      </c>
      <c r="AF26" s="311">
        <v>0.44</v>
      </c>
      <c r="AG26" s="311">
        <v>0.18</v>
      </c>
      <c r="AH26" s="311">
        <v>0.18</v>
      </c>
      <c r="AI26" s="311">
        <v>0.4</v>
      </c>
      <c r="AJ26" s="294">
        <v>0</v>
      </c>
      <c r="AX26" s="250"/>
      <c r="AY26" s="250"/>
      <c r="AZ26" s="250"/>
      <c r="BA26" s="250"/>
      <c r="BB26" s="250"/>
      <c r="BC26" s="250"/>
      <c r="BD26" s="250"/>
    </row>
    <row r="27" spans="1:56" x14ac:dyDescent="0.2">
      <c r="A27" s="255" t="str">
        <f>[2]Technologies!B79</f>
        <v>R2,R3,R4,R5,R6</v>
      </c>
      <c r="B27" s="255" t="str">
        <f>[2]Technologies!D79</f>
        <v>TLFELC</v>
      </c>
      <c r="C27" s="255" t="str">
        <f>[2]Technologies!E79</f>
        <v>Electric fullsize car w/100 mi range</v>
      </c>
      <c r="D27" s="255" t="s">
        <v>292</v>
      </c>
      <c r="E27" s="255" t="s">
        <v>99</v>
      </c>
      <c r="F27" s="255" t="str">
        <f>[2]Commodities!$D$9</f>
        <v>TL</v>
      </c>
      <c r="G27" s="257" t="str">
        <f>IF($I27&lt;G$1,0,"")</f>
        <v/>
      </c>
      <c r="H27" s="294">
        <v>1</v>
      </c>
      <c r="I27" s="309">
        <v>2015</v>
      </c>
      <c r="J27" s="294">
        <v>20</v>
      </c>
      <c r="K27" s="309">
        <f>L27</f>
        <v>4283.8682047793891</v>
      </c>
      <c r="L27" s="309">
        <f>L26+[2]GDPdeflator!$C$35*[2]ERG_ElectricVeh!B31</f>
        <v>4283.8682047793891</v>
      </c>
      <c r="M27" s="309">
        <f>M26+[2]GDPdeflator!$C$35*[2]ERG_ElectricVeh!C31</f>
        <v>3514.6126249967583</v>
      </c>
      <c r="N27" s="309">
        <f>N26+[2]GDPdeflator!$C$35*[2]ERG_ElectricVeh!D31</f>
        <v>2794.6556942255047</v>
      </c>
      <c r="O27" s="309">
        <f>O26+[2]GDPdeflator!$C$35*[2]ERG_ElectricVeh!E31</f>
        <v>2629.7543459488757</v>
      </c>
      <c r="P27" s="309">
        <f>P26+[2]GDPdeflator!$C$35*[2]ERG_ElectricVeh!F31</f>
        <v>2462.6662836236092</v>
      </c>
      <c r="Q27" s="309">
        <f t="shared" ref="Q27:S28" si="14">P27</f>
        <v>2462.6662836236092</v>
      </c>
      <c r="R27" s="309">
        <f t="shared" si="14"/>
        <v>2462.6662836236092</v>
      </c>
      <c r="S27" s="309">
        <f t="shared" si="14"/>
        <v>2462.6662836236092</v>
      </c>
      <c r="T27" s="309">
        <f t="shared" si="12"/>
        <v>2462.6662836236092</v>
      </c>
      <c r="U27" s="310">
        <f>V27</f>
        <v>1.0495468038434426</v>
      </c>
      <c r="V27" s="310">
        <f>[2]ERG_ElectricVeh!P31*[2]Efficiencies!AE$50</f>
        <v>1.0495468038434426</v>
      </c>
      <c r="W27" s="310">
        <f>[2]ERG_ElectricVeh!Q31*[2]Efficiencies!AF$50</f>
        <v>1.0830597932287598</v>
      </c>
      <c r="X27" s="310">
        <f>[2]ERG_ElectricVeh!R31*[2]Efficiencies!AG$50</f>
        <v>1.1183404895406641</v>
      </c>
      <c r="Y27" s="310">
        <f>[2]ERG_ElectricVeh!S31*[2]Efficiencies!AH$50</f>
        <v>1.1407263489951616</v>
      </c>
      <c r="Z27" s="310">
        <f>[2]ERG_ElectricVeh!T31*[2]Efficiencies!AI$50</f>
        <v>1.1568381747146603</v>
      </c>
      <c r="AA27" s="310">
        <f t="shared" ref="AA27:AC28" si="15">Z27</f>
        <v>1.1568381747146603</v>
      </c>
      <c r="AB27" s="310">
        <f t="shared" si="15"/>
        <v>1.1568381747146603</v>
      </c>
      <c r="AC27" s="310">
        <f t="shared" si="15"/>
        <v>1.1568381747146603</v>
      </c>
      <c r="AD27" s="310">
        <f t="shared" si="13"/>
        <v>1.1568381747146603</v>
      </c>
      <c r="AE27" s="286">
        <f>0.75*AE26</f>
        <v>32.450455756349072</v>
      </c>
      <c r="AF27" s="311">
        <v>0.44</v>
      </c>
      <c r="AG27" s="311">
        <v>0.24</v>
      </c>
      <c r="AH27" s="311">
        <v>0.28000000000000003</v>
      </c>
      <c r="AI27" s="311">
        <v>0.44</v>
      </c>
      <c r="AJ27" s="294">
        <v>0</v>
      </c>
      <c r="AX27" s="250"/>
      <c r="AY27" s="250"/>
      <c r="AZ27" s="250"/>
      <c r="BA27" s="250"/>
      <c r="BB27" s="250"/>
      <c r="BC27" s="250"/>
      <c r="BD27" s="250"/>
    </row>
    <row r="28" spans="1:56" x14ac:dyDescent="0.2">
      <c r="A28" s="255" t="str">
        <f>[2]Technologies!B86</f>
        <v>R2,R3,R4,R5,R6</v>
      </c>
      <c r="B28" s="255" t="str">
        <f>[2]Technologies!D86</f>
        <v>TLFELCB</v>
      </c>
      <c r="C28" s="255" t="str">
        <f>[2]Technologies!E86</f>
        <v>Electric fullsize car w/200 mi range</v>
      </c>
      <c r="D28" s="255" t="s">
        <v>292</v>
      </c>
      <c r="E28" s="255" t="s">
        <v>99</v>
      </c>
      <c r="F28" s="255" t="str">
        <f>[2]Commodities!$D$9</f>
        <v>TL</v>
      </c>
      <c r="G28" s="257" t="str">
        <f>IF($I28&lt;G$1,0,"")</f>
        <v/>
      </c>
      <c r="H28" s="294">
        <v>1</v>
      </c>
      <c r="I28" s="309">
        <v>2025</v>
      </c>
      <c r="J28" s="294">
        <v>20</v>
      </c>
      <c r="K28" s="309">
        <f t="shared" ref="K28:M28" si="16">L28</f>
        <v>4032.6569231817239</v>
      </c>
      <c r="L28" s="309">
        <f t="shared" si="16"/>
        <v>4032.6569231817239</v>
      </c>
      <c r="M28" s="309">
        <f t="shared" si="16"/>
        <v>4032.6569231817239</v>
      </c>
      <c r="N28" s="309">
        <f>N26+[2]GDPdeflator!$C$35*[2]ERG_ElectricVeh!D41</f>
        <v>4032.6569231817239</v>
      </c>
      <c r="O28" s="309">
        <f>O26+[2]GDPdeflator!$C$35*[2]ERG_ElectricVeh!E41</f>
        <v>3624.9436105254545</v>
      </c>
      <c r="P28" s="309">
        <f>P26+[2]GDPdeflator!$C$35*[2]ERG_ElectricVeh!F41</f>
        <v>3215.0435838205467</v>
      </c>
      <c r="Q28" s="309">
        <f t="shared" si="14"/>
        <v>3215.0435838205467</v>
      </c>
      <c r="R28" s="309">
        <f t="shared" si="14"/>
        <v>3215.0435838205467</v>
      </c>
      <c r="S28" s="309">
        <f t="shared" si="14"/>
        <v>3215.0435838205467</v>
      </c>
      <c r="T28" s="309">
        <f>S28</f>
        <v>3215.0435838205467</v>
      </c>
      <c r="U28" s="310">
        <f t="shared" ref="U28:W28" si="17">V28</f>
        <v>0.93008686565949716</v>
      </c>
      <c r="V28" s="310">
        <f t="shared" si="17"/>
        <v>0.93008686565949716</v>
      </c>
      <c r="W28" s="310">
        <f t="shared" si="17"/>
        <v>0.93008686565949716</v>
      </c>
      <c r="X28" s="310">
        <f>[2]ERG_ElectricVeh!R41*[2]Efficiencies!AG$50</f>
        <v>0.93008686565949716</v>
      </c>
      <c r="Y28" s="310">
        <f>[2]ERG_ElectricVeh!S41*[2]Efficiencies!AH$50</f>
        <v>0.94876085495246998</v>
      </c>
      <c r="Z28" s="310">
        <f>[2]ERG_ElectricVeh!T41*[2]Efficiencies!AI$50</f>
        <v>0.96222015403562011</v>
      </c>
      <c r="AA28" s="310">
        <f t="shared" si="15"/>
        <v>0.96222015403562011</v>
      </c>
      <c r="AB28" s="310">
        <f t="shared" si="15"/>
        <v>0.96222015403562011</v>
      </c>
      <c r="AC28" s="310">
        <f t="shared" si="15"/>
        <v>0.96222015403562011</v>
      </c>
      <c r="AD28" s="310">
        <f t="shared" si="13"/>
        <v>0.96222015403562011</v>
      </c>
      <c r="AE28" s="286">
        <f>0.75*AE26</f>
        <v>32.450455756349072</v>
      </c>
      <c r="AF28" s="311">
        <v>0.44</v>
      </c>
      <c r="AG28" s="311">
        <v>0.24</v>
      </c>
      <c r="AH28" s="311">
        <v>0.28000000000000003</v>
      </c>
      <c r="AI28" s="311">
        <v>0.44</v>
      </c>
      <c r="AJ28" s="294">
        <v>0</v>
      </c>
      <c r="AX28" s="250"/>
      <c r="AY28" s="250"/>
      <c r="AZ28" s="250"/>
      <c r="BA28" s="250"/>
      <c r="BB28" s="250"/>
      <c r="BC28" s="250"/>
      <c r="BD28" s="250"/>
    </row>
    <row r="29" spans="1:56" x14ac:dyDescent="0.2">
      <c r="A29" s="255" t="str">
        <f>[2]Technologies!B103</f>
        <v>*R2,R3,R4,R5,R6</v>
      </c>
      <c r="B29" s="255" t="str">
        <f>[2]Technologies!D103</f>
        <v>TLFCNG10</v>
      </c>
      <c r="C29" s="255" t="str">
        <f>[2]Technologies!E103</f>
        <v>TL.CNG.F.CNG.2010</v>
      </c>
      <c r="D29" s="255" t="s">
        <v>292</v>
      </c>
      <c r="E29" s="255" t="s">
        <v>79</v>
      </c>
      <c r="F29" s="255" t="str">
        <f>[2]Commodities!$D$9</f>
        <v>TL</v>
      </c>
      <c r="G29" s="257"/>
      <c r="H29" s="294">
        <v>1</v>
      </c>
      <c r="I29" s="309">
        <f>INDEX([2]ConsolidatedVehData!$D$22:$D$858,MATCH(B29,[2]ConsolidatedVehData!$A$22:$A$858,0))</f>
        <v>2010</v>
      </c>
      <c r="J29" s="294">
        <v>20</v>
      </c>
      <c r="K29" s="309">
        <f>INDEX([2]ConsolidatedVehData!$P$22:$Z$858,MATCH($B29,[2]ConsolidatedVehData!$A$22:$A$858,0),MATCH(K$1,[2]ConsolidatedVehData!$P$7:$Z$7,0))</f>
        <v>2753.4302182397191</v>
      </c>
      <c r="L29" s="309">
        <f>INDEX([2]ConsolidatedVehData!$P$22:$Z$858,MATCH($B29,[2]ConsolidatedVehData!$A$22:$A$858,0),MATCH(L$1,[2]ConsolidatedVehData!$P$7:$Z$7,0))</f>
        <v>2816.6965867113113</v>
      </c>
      <c r="M29" s="309">
        <f>INDEX([2]ConsolidatedVehData!$P$22:$Z$858,MATCH($B29,[2]ConsolidatedVehData!$A$22:$A$858,0),MATCH(M$1,[2]ConsolidatedVehData!$P$7:$Z$7,0))</f>
        <v>2911.9522840330806</v>
      </c>
      <c r="N29" s="309">
        <f>INDEX([2]ConsolidatedVehData!$P$22:$Z$858,MATCH($B29,[2]ConsolidatedVehData!$A$22:$A$858,0),MATCH(N$1,[2]ConsolidatedVehData!$P$7:$Z$7,0))</f>
        <v>3012.1391395608389</v>
      </c>
      <c r="O29" s="309">
        <f>INDEX([2]ConsolidatedVehData!$P$22:$Z$858,MATCH($B29,[2]ConsolidatedVehData!$A$22:$A$858,0),MATCH(O$1,[2]ConsolidatedVehData!$P$7:$Z$7,0))</f>
        <v>3015.7425206922562</v>
      </c>
      <c r="P29" s="309">
        <f>INDEX([2]ConsolidatedVehData!$P$22:$Z$858,MATCH($B29,[2]ConsolidatedVehData!$A$22:$A$858,0),MATCH(P$1,[2]ConsolidatedVehData!$P$7:$Z$7,0))</f>
        <v>3016.5788644360496</v>
      </c>
      <c r="Q29" s="309">
        <f>INDEX([2]ConsolidatedVehData!$P$22:$Z$858,MATCH($B29,[2]ConsolidatedVehData!$A$22:$A$858,0),MATCH(Q$1,[2]ConsolidatedVehData!$P$7:$Z$7,0))</f>
        <v>3017.3986758885717</v>
      </c>
      <c r="R29" s="309">
        <f>INDEX([2]ConsolidatedVehData!$P$22:$Z$858,MATCH($B29,[2]ConsolidatedVehData!$A$22:$A$858,0),MATCH(R$1,[2]ConsolidatedVehData!$P$7:$Z$7,0))</f>
        <v>3017.3986758885717</v>
      </c>
      <c r="S29" s="309">
        <f>INDEX([2]ConsolidatedVehData!$P$22:$Z$858,MATCH($B29,[2]ConsolidatedVehData!$A$22:$A$858,0),MATCH(S$1,[2]ConsolidatedVehData!$P$7:$Z$7,0))</f>
        <v>3017.3986758885717</v>
      </c>
      <c r="T29" s="309">
        <f t="shared" si="12"/>
        <v>3017.3986758885717</v>
      </c>
      <c r="U29" s="310">
        <f>INDEX([2]ConsolidatedVehData!$AF$22:$AF$858,MATCH(B29,[2]ConsolidatedVehData!$A$22:$A$858,0))</f>
        <v>0.19984976630624351</v>
      </c>
      <c r="V29" s="310">
        <f>INDEX([2]ConsolidatedVehData!$AF$22:$AF$858,MATCH($B29,[2]ConsolidatedVehData!$A$22:$A$858,0)+1)</f>
        <v>0.21615189017357944</v>
      </c>
      <c r="W29" s="310">
        <f>INDEX([2]ConsolidatedVehData!$AF$22:$AF$858,MATCH($B29,[2]ConsolidatedVehData!$A$22:$A$858,0)+2)</f>
        <v>0.27726065581389431</v>
      </c>
      <c r="X29" s="310">
        <f>INDEX([2]ConsolidatedVehData!$AF$22:$AF$858,MATCH($B29,[2]ConsolidatedVehData!$A$22:$A$858,0)+3)</f>
        <v>0.35589625397831404</v>
      </c>
      <c r="Y29" s="310">
        <f>INDEX([2]ConsolidatedVehData!$AF$22:$AF$858,MATCH($B29,[2]ConsolidatedVehData!$A$22:$A$858,0)+4)</f>
        <v>0.36114019507747841</v>
      </c>
      <c r="Z29" s="310">
        <f>INDEX([2]ConsolidatedVehData!$AF$22:$AF$858,MATCH($B29,[2]ConsolidatedVehData!$A$22:$A$858,0)+5)</f>
        <v>0.3613474170946756</v>
      </c>
      <c r="AA29" s="310">
        <f>INDEX([2]ConsolidatedVehData!$AF$22:$AF$858,MATCH($B29,[2]ConsolidatedVehData!$A$22:$A$858,0)+6)</f>
        <v>0.36176912606081202</v>
      </c>
      <c r="AB29" s="310">
        <f>INDEX([2]ConsolidatedVehData!$AF$22:$AF$858,MATCH($B29,[2]ConsolidatedVehData!$A$22:$A$858,0)+7)</f>
        <v>0.36176912606081202</v>
      </c>
      <c r="AC29" s="310">
        <f>INDEX([2]ConsolidatedVehData!$AF$22:$AF$858,MATCH($B29,[2]ConsolidatedVehData!$A$22:$A$858,0)+8)</f>
        <v>0.36176912606081202</v>
      </c>
      <c r="AD29" s="310">
        <f t="shared" si="13"/>
        <v>0.36176912606081202</v>
      </c>
      <c r="AE29" s="286">
        <f>INDEX([2]ConsolidatedVehData!$AB$22:$AB$858,MATCH(B29,[2]ConsolidatedVehData!$A$22:$A$858,0))</f>
        <v>38.940546907618888</v>
      </c>
      <c r="AF29" s="311">
        <v>0.44</v>
      </c>
      <c r="AG29" s="311">
        <v>0.24</v>
      </c>
      <c r="AH29" s="311">
        <v>0.24</v>
      </c>
      <c r="AI29" s="311">
        <v>0.44</v>
      </c>
      <c r="AJ29" s="294">
        <v>0</v>
      </c>
      <c r="AX29" s="250"/>
      <c r="AY29" s="250"/>
      <c r="AZ29" s="250"/>
      <c r="BA29" s="250"/>
      <c r="BB29" s="250"/>
      <c r="BC29" s="250"/>
      <c r="BD29" s="250"/>
    </row>
    <row r="30" spans="1:56" x14ac:dyDescent="0.2">
      <c r="A30" s="255" t="str">
        <f>[2]Technologies!B104</f>
        <v>*R2,R3,R4,R5,R6</v>
      </c>
      <c r="B30" s="255" t="str">
        <f>[2]Technologies!D104</f>
        <v>TLFCNGX10</v>
      </c>
      <c r="C30" s="255" t="str">
        <f>[2]Technologies!E104</f>
        <v>TL.CNGX.F.CNGX.2010</v>
      </c>
      <c r="D30" s="255" t="s">
        <v>292</v>
      </c>
      <c r="E30" s="255" t="s">
        <v>81</v>
      </c>
      <c r="F30" s="255" t="str">
        <f>[2]Commodities!$D$9</f>
        <v>TL</v>
      </c>
      <c r="G30" s="257">
        <v>0</v>
      </c>
      <c r="H30" s="294">
        <v>1</v>
      </c>
      <c r="I30" s="309">
        <f>INDEX([2]ConsolidatedVehData!$D$22:$D$858,MATCH(B30,[2]ConsolidatedVehData!$A$22:$A$858,0))</f>
        <v>2010</v>
      </c>
      <c r="J30" s="294">
        <v>20</v>
      </c>
      <c r="K30" s="309">
        <f>INDEX([2]ConsolidatedVehData!$P$22:$Z$858,MATCH($B30,[2]ConsolidatedVehData!$A$22:$A$858,0),MATCH(K$1,[2]ConsolidatedVehData!$P$7:$Z$7,0))</f>
        <v>2655.6307842585261</v>
      </c>
      <c r="L30" s="309">
        <f>INDEX([2]ConsolidatedVehData!$P$22:$Z$858,MATCH($B30,[2]ConsolidatedVehData!$A$22:$A$858,0),MATCH(L$1,[2]ConsolidatedVehData!$P$7:$Z$7,0))</f>
        <v>2714.3780897338788</v>
      </c>
      <c r="M30" s="309">
        <f>INDEX([2]ConsolidatedVehData!$P$22:$Z$858,MATCH($B30,[2]ConsolidatedVehData!$A$22:$A$858,0),MATCH(M$1,[2]ConsolidatedVehData!$P$7:$Z$7,0))</f>
        <v>2810.3794226526456</v>
      </c>
      <c r="N30" s="309">
        <f>INDEX([2]ConsolidatedVehData!$P$22:$Z$858,MATCH($B30,[2]ConsolidatedVehData!$A$22:$A$858,0),MATCH(N$1,[2]ConsolidatedVehData!$P$7:$Z$7,0))</f>
        <v>2910.2026409241821</v>
      </c>
      <c r="O30" s="309">
        <f>INDEX([2]ConsolidatedVehData!$P$22:$Z$858,MATCH($B30,[2]ConsolidatedVehData!$A$22:$A$858,0),MATCH(O$1,[2]ConsolidatedVehData!$P$7:$Z$7,0))</f>
        <v>2913.8599348815569</v>
      </c>
      <c r="P30" s="309">
        <f>INDEX([2]ConsolidatedVehData!$P$22:$Z$858,MATCH($B30,[2]ConsolidatedVehData!$A$22:$A$858,0),MATCH(P$1,[2]ConsolidatedVehData!$P$7:$Z$7,0))</f>
        <v>2914.6635798014645</v>
      </c>
      <c r="Q30" s="309">
        <f>INDEX([2]ConsolidatedVehData!$P$22:$Z$858,MATCH($B30,[2]ConsolidatedVehData!$A$22:$A$858,0),MATCH(Q$1,[2]ConsolidatedVehData!$P$7:$Z$7,0))</f>
        <v>2915.4532527406973</v>
      </c>
      <c r="R30" s="309">
        <f>INDEX([2]ConsolidatedVehData!$P$22:$Z$858,MATCH($B30,[2]ConsolidatedVehData!$A$22:$A$858,0),MATCH(R$1,[2]ConsolidatedVehData!$P$7:$Z$7,0))</f>
        <v>2915.4532527406973</v>
      </c>
      <c r="S30" s="309">
        <f>INDEX([2]ConsolidatedVehData!$P$22:$Z$858,MATCH($B30,[2]ConsolidatedVehData!$A$22:$A$858,0),MATCH(S$1,[2]ConsolidatedVehData!$P$7:$Z$7,0))</f>
        <v>2915.4532527406973</v>
      </c>
      <c r="T30" s="309">
        <f t="shared" si="12"/>
        <v>2915.4532527406973</v>
      </c>
      <c r="U30" s="310">
        <f>INDEX([2]ConsolidatedVehData!$AF$22:$AF$858,MATCH(B30,[2]ConsolidatedVehData!$A$22:$A$858,0))</f>
        <v>0.18522056505057555</v>
      </c>
      <c r="V30" s="310">
        <f>INDEX([2]ConsolidatedVehData!$AF$22:$AF$858,MATCH($B30,[2]ConsolidatedVehData!$A$22:$A$858,0)+1)</f>
        <v>0.20098364678169883</v>
      </c>
      <c r="W30" s="310">
        <f>INDEX([2]ConsolidatedVehData!$AF$22:$AF$858,MATCH($B30,[2]ConsolidatedVehData!$A$22:$A$858,0)+2)</f>
        <v>0.25771636493125677</v>
      </c>
      <c r="X30" s="310">
        <f>INDEX([2]ConsolidatedVehData!$AF$22:$AF$858,MATCH($B30,[2]ConsolidatedVehData!$A$22:$A$858,0)+3)</f>
        <v>0.33062538447545542</v>
      </c>
      <c r="Y30" s="310">
        <f>INDEX([2]ConsolidatedVehData!$AF$22:$AF$858,MATCH($B30,[2]ConsolidatedVehData!$A$22:$A$858,0)+4)</f>
        <v>0.3357198305852202</v>
      </c>
      <c r="Z30" s="310">
        <f>INDEX([2]ConsolidatedVehData!$AF$22:$AF$858,MATCH($B30,[2]ConsolidatedVehData!$A$22:$A$858,0)+5)</f>
        <v>0.33630222536243015</v>
      </c>
      <c r="AA30" s="310">
        <f>INDEX([2]ConsolidatedVehData!$AF$22:$AF$858,MATCH($B30,[2]ConsolidatedVehData!$A$22:$A$858,0)+6)</f>
        <v>0.33669893254861172</v>
      </c>
      <c r="AB30" s="310">
        <f>INDEX([2]ConsolidatedVehData!$AF$22:$AF$858,MATCH($B30,[2]ConsolidatedVehData!$A$22:$A$858,0)+7)</f>
        <v>0.33669893254861172</v>
      </c>
      <c r="AC30" s="310">
        <f>INDEX([2]ConsolidatedVehData!$AF$22:$AF$858,MATCH($B30,[2]ConsolidatedVehData!$A$22:$A$858,0)+8)</f>
        <v>0.33669893254861172</v>
      </c>
      <c r="AD30" s="310">
        <f t="shared" si="13"/>
        <v>0.33669893254861172</v>
      </c>
      <c r="AE30" s="286">
        <f>INDEX([2]ConsolidatedVehData!$AB$22:$AB$858,MATCH(B30,[2]ConsolidatedVehData!$A$22:$A$858,0))</f>
        <v>38.940546907618888</v>
      </c>
      <c r="AF30" s="311">
        <v>0.44</v>
      </c>
      <c r="AG30" s="311">
        <v>0.24</v>
      </c>
      <c r="AH30" s="311">
        <v>0.24</v>
      </c>
      <c r="AI30" s="311">
        <v>0.44</v>
      </c>
      <c r="AJ30" s="294">
        <v>0</v>
      </c>
      <c r="AX30" s="250"/>
      <c r="AY30" s="250"/>
      <c r="AZ30" s="250"/>
      <c r="BA30" s="250"/>
      <c r="BB30" s="250"/>
      <c r="BC30" s="250"/>
      <c r="BD30" s="250"/>
    </row>
    <row r="31" spans="1:56" x14ac:dyDescent="0.2">
      <c r="A31" s="255" t="str">
        <f>[2]Technologies!B105</f>
        <v>R2,R3,R4,R5,R6</v>
      </c>
      <c r="B31" s="255" t="str">
        <f>[2]Technologies!D105</f>
        <v>TLFDHEV20</v>
      </c>
      <c r="C31" s="255" t="str">
        <f>[2]Technologies!E105</f>
        <v>TL.DSL.F.DHEV.2020</v>
      </c>
      <c r="D31" s="255" t="s">
        <v>292</v>
      </c>
      <c r="E31" s="255" t="s">
        <v>89</v>
      </c>
      <c r="F31" s="255" t="str">
        <f>[2]Commodities!$D$9</f>
        <v>TL</v>
      </c>
      <c r="G31" s="257"/>
      <c r="H31" s="294">
        <v>1</v>
      </c>
      <c r="I31" s="309">
        <v>2025</v>
      </c>
      <c r="J31" s="294">
        <v>20</v>
      </c>
      <c r="K31" s="309">
        <f t="shared" ref="K31:M31" si="18">L31</f>
        <v>2571.8243532794572</v>
      </c>
      <c r="L31" s="309">
        <f t="shared" si="18"/>
        <v>2571.8243532794572</v>
      </c>
      <c r="M31" s="309">
        <f t="shared" si="18"/>
        <v>2571.8243532794572</v>
      </c>
      <c r="N31" s="309">
        <f>INDEX([2]ConsolidatedVehData!$P$22:$Z$858,MATCH($B31,[2]ConsolidatedVehData!$A$22:$A$858,0),MATCH(N$1,[2]ConsolidatedVehData!$P$7:$Z$7,0))</f>
        <v>2571.8243532794572</v>
      </c>
      <c r="O31" s="309">
        <f>INDEX([2]ConsolidatedVehData!$P$22:$Z$858,MATCH($B31,[2]ConsolidatedVehData!$A$22:$A$858,0),MATCH(O$1,[2]ConsolidatedVehData!$P$7:$Z$7,0))</f>
        <v>2515.8003495072112</v>
      </c>
      <c r="P31" s="309">
        <f>INDEX([2]ConsolidatedVehData!$P$22:$Z$858,MATCH($B31,[2]ConsolidatedVehData!$A$22:$A$858,0),MATCH(P$1,[2]ConsolidatedVehData!$P$7:$Z$7,0))</f>
        <v>2500.0860723629335</v>
      </c>
      <c r="Q31" s="309">
        <f>INDEX([2]ConsolidatedVehData!$P$22:$Z$858,MATCH($B31,[2]ConsolidatedVehData!$A$22:$A$858,0),MATCH(Q$1,[2]ConsolidatedVehData!$P$7:$Z$7,0))</f>
        <v>2492.6744666551117</v>
      </c>
      <c r="R31" s="309">
        <f>INDEX([2]ConsolidatedVehData!$P$22:$Z$858,MATCH($B31,[2]ConsolidatedVehData!$A$22:$A$858,0),MATCH(R$1,[2]ConsolidatedVehData!$P$7:$Z$7,0))</f>
        <v>2492.6744666551117</v>
      </c>
      <c r="S31" s="309">
        <f>INDEX([2]ConsolidatedVehData!$P$22:$Z$858,MATCH($B31,[2]ConsolidatedVehData!$A$22:$A$858,0),MATCH(S$1,[2]ConsolidatedVehData!$P$7:$Z$7,0))</f>
        <v>2492.6744666551117</v>
      </c>
      <c r="T31" s="309">
        <f t="shared" si="12"/>
        <v>2492.6744666551117</v>
      </c>
      <c r="U31" s="310">
        <f t="shared" ref="U31:W31" si="19">V31</f>
        <v>0.47600712046630111</v>
      </c>
      <c r="V31" s="310">
        <f t="shared" si="19"/>
        <v>0.47600712046630111</v>
      </c>
      <c r="W31" s="310">
        <f t="shared" si="19"/>
        <v>0.47600712046630111</v>
      </c>
      <c r="X31" s="310">
        <f>INDEX([2]ConsolidatedVehData!$AF$22:$AF$858,MATCH($B31,[2]ConsolidatedVehData!$A$22:$A$858,0)+1)</f>
        <v>0.47600712046630111</v>
      </c>
      <c r="Y31" s="310">
        <f>INDEX([2]ConsolidatedVehData!$AF$22:$AF$858,MATCH($B31,[2]ConsolidatedVehData!$A$22:$A$858,0)+2)</f>
        <v>0.47823707660376585</v>
      </c>
      <c r="Z31" s="310">
        <f>INDEX([2]ConsolidatedVehData!$AF$22:$AF$858,MATCH($B31,[2]ConsolidatedVehData!$A$22:$A$858,0)+3)</f>
        <v>0.47734462245316051</v>
      </c>
      <c r="AA31" s="310">
        <f>INDEX([2]ConsolidatedVehData!$AF$22:$AF$858,MATCH($B31,[2]ConsolidatedVehData!$A$22:$A$858,0)+4)</f>
        <v>0.47654844601075608</v>
      </c>
      <c r="AB31" s="310">
        <f>INDEX([2]ConsolidatedVehData!$AF$22:$AF$858,MATCH($B31,[2]ConsolidatedVehData!$A$22:$A$858,0)+5)</f>
        <v>0.47654844601075608</v>
      </c>
      <c r="AC31" s="310">
        <f>INDEX([2]ConsolidatedVehData!$AF$22:$AF$858,MATCH($B31,[2]ConsolidatedVehData!$A$22:$A$858,0)+6)</f>
        <v>0.47654844601075608</v>
      </c>
      <c r="AD31" s="310">
        <f t="shared" si="13"/>
        <v>0.47654844601075608</v>
      </c>
      <c r="AE31" s="286">
        <f>INDEX([2]ConsolidatedVehData!$AB$22:$AB$858,MATCH(B31,[2]ConsolidatedVehData!$A$22:$A$858,0))</f>
        <v>45.478712808157368</v>
      </c>
      <c r="AF31" s="311">
        <v>0.44</v>
      </c>
      <c r="AG31" s="311">
        <v>0.18</v>
      </c>
      <c r="AH31" s="311">
        <v>0.24</v>
      </c>
      <c r="AI31" s="311">
        <v>0.44</v>
      </c>
      <c r="AJ31" s="294">
        <v>0</v>
      </c>
      <c r="AX31" s="250"/>
      <c r="AY31" s="250"/>
      <c r="AZ31" s="250"/>
      <c r="BA31" s="250"/>
      <c r="BB31" s="250"/>
      <c r="BC31" s="250"/>
      <c r="BD31" s="250"/>
    </row>
    <row r="32" spans="1:56" x14ac:dyDescent="0.2">
      <c r="A32" s="255" t="str">
        <f>[2]Technologies!B106</f>
        <v>R2,R3,R4,R5,R6</v>
      </c>
      <c r="B32" s="255" t="str">
        <f>[2]Technologies!D106</f>
        <v>TLFDSL10</v>
      </c>
      <c r="C32" s="255" t="str">
        <f>[2]Technologies!E106</f>
        <v>TL.DSL.F.DSL.2010</v>
      </c>
      <c r="D32" s="255" t="s">
        <v>292</v>
      </c>
      <c r="E32" s="255" t="s">
        <v>89</v>
      </c>
      <c r="F32" s="255" t="str">
        <f>[2]Commodities!$D$9</f>
        <v>TL</v>
      </c>
      <c r="G32" s="257"/>
      <c r="H32" s="294">
        <v>1</v>
      </c>
      <c r="I32" s="309">
        <f>INDEX([2]ConsolidatedVehData!$D$22:$D$858,MATCH(B32,[2]ConsolidatedVehData!$A$22:$A$858,0))</f>
        <v>2010</v>
      </c>
      <c r="J32" s="294">
        <v>20</v>
      </c>
      <c r="K32" s="309">
        <f>INDEX([2]ConsolidatedVehData!$P$22:$Z$858,MATCH($B32,[2]ConsolidatedVehData!$A$22:$A$858,0),MATCH(K$1,[2]ConsolidatedVehData!$P$7:$Z$7,0))</f>
        <v>2138.5945335758661</v>
      </c>
      <c r="L32" s="309">
        <f>INDEX([2]ConsolidatedVehData!$P$22:$Z$858,MATCH($B32,[2]ConsolidatedVehData!$A$22:$A$858,0),MATCH(L$1,[2]ConsolidatedVehData!$P$7:$Z$7,0))</f>
        <v>2066.6717360859834</v>
      </c>
      <c r="M32" s="309">
        <f>INDEX([2]ConsolidatedVehData!$P$22:$Z$858,MATCH($B32,[2]ConsolidatedVehData!$A$22:$A$858,0),MATCH(M$1,[2]ConsolidatedVehData!$P$7:$Z$7,0))</f>
        <v>2083.1222338188531</v>
      </c>
      <c r="N32" s="309">
        <f>INDEX([2]ConsolidatedVehData!$P$22:$Z$858,MATCH($B32,[2]ConsolidatedVehData!$A$22:$A$858,0),MATCH(N$1,[2]ConsolidatedVehData!$P$7:$Z$7,0))</f>
        <v>2139.4348742319939</v>
      </c>
      <c r="O32" s="309">
        <f>INDEX([2]ConsolidatedVehData!$P$22:$Z$858,MATCH($B32,[2]ConsolidatedVehData!$A$22:$A$858,0),MATCH(O$1,[2]ConsolidatedVehData!$P$7:$Z$7,0))</f>
        <v>2141.0637751622726</v>
      </c>
      <c r="P32" s="309">
        <f>INDEX([2]ConsolidatedVehData!$P$22:$Z$858,MATCH($B32,[2]ConsolidatedVehData!$A$22:$A$858,0),MATCH(P$1,[2]ConsolidatedVehData!$P$7:$Z$7,0))</f>
        <v>2142.2095965317358</v>
      </c>
      <c r="Q32" s="309">
        <f>INDEX([2]ConsolidatedVehData!$P$22:$Z$858,MATCH($B32,[2]ConsolidatedVehData!$A$22:$A$858,0),MATCH(Q$1,[2]ConsolidatedVehData!$P$7:$Z$7,0))</f>
        <v>2142.4986900111026</v>
      </c>
      <c r="R32" s="309">
        <f>INDEX([2]ConsolidatedVehData!$P$22:$Z$858,MATCH($B32,[2]ConsolidatedVehData!$A$22:$A$858,0),MATCH(R$1,[2]ConsolidatedVehData!$P$7:$Z$7,0))</f>
        <v>2142.4986900111026</v>
      </c>
      <c r="S32" s="309">
        <f>INDEX([2]ConsolidatedVehData!$P$22:$Z$858,MATCH($B32,[2]ConsolidatedVehData!$A$22:$A$858,0),MATCH(S$1,[2]ConsolidatedVehData!$P$7:$Z$7,0))</f>
        <v>2142.4986900111026</v>
      </c>
      <c r="T32" s="309">
        <f t="shared" si="12"/>
        <v>2142.4986900111026</v>
      </c>
      <c r="U32" s="310">
        <f>INDEX([2]ConsolidatedVehData!$AF$22:$AF$858,MATCH(B32,[2]ConsolidatedVehData!$A$22:$A$858,0))</f>
        <v>0.23831354176227401</v>
      </c>
      <c r="V32" s="310">
        <f>INDEX([2]ConsolidatedVehData!$AF$22:$AF$858,MATCH($B32,[2]ConsolidatedVehData!$A$22:$A$858,0)+1)</f>
        <v>0.27678406837126013</v>
      </c>
      <c r="W32" s="310">
        <f>INDEX([2]ConsolidatedVehData!$AF$22:$AF$858,MATCH($B32,[2]ConsolidatedVehData!$A$22:$A$858,0)+2)</f>
        <v>0.30076774137301893</v>
      </c>
      <c r="X32" s="310">
        <f>INDEX([2]ConsolidatedVehData!$AF$22:$AF$858,MATCH($B32,[2]ConsolidatedVehData!$A$22:$A$858,0)+3)</f>
        <v>0.34655056724918104</v>
      </c>
      <c r="Y32" s="310">
        <f>INDEX([2]ConsolidatedVehData!$AF$22:$AF$858,MATCH($B32,[2]ConsolidatedVehData!$A$22:$A$858,0)+4)</f>
        <v>0.34853882299569955</v>
      </c>
      <c r="Z32" s="310">
        <f>INDEX([2]ConsolidatedVehData!$AF$22:$AF$858,MATCH($B32,[2]ConsolidatedVehData!$A$22:$A$858,0)+5)</f>
        <v>0.34823802138056104</v>
      </c>
      <c r="AA32" s="310">
        <f>INDEX([2]ConsolidatedVehData!$AF$22:$AF$858,MATCH($B32,[2]ConsolidatedVehData!$A$22:$A$858,0)+6)</f>
        <v>0.34790556919500659</v>
      </c>
      <c r="AB32" s="310">
        <f>INDEX([2]ConsolidatedVehData!$AF$22:$AF$858,MATCH($B32,[2]ConsolidatedVehData!$A$22:$A$858,0)+7)</f>
        <v>0.34790556919500659</v>
      </c>
      <c r="AC32" s="310">
        <f>INDEX([2]ConsolidatedVehData!$AF$22:$AF$858,MATCH($B32,[2]ConsolidatedVehData!$A$22:$A$858,0)+8)</f>
        <v>0.34790556919500659</v>
      </c>
      <c r="AD32" s="310">
        <f t="shared" si="13"/>
        <v>0.34790556919500659</v>
      </c>
      <c r="AE32" s="286">
        <f>INDEX([2]ConsolidatedVehData!$AB$22:$AB$858,MATCH(B32,[2]ConsolidatedVehData!$A$22:$A$858,0))</f>
        <v>43.267274341798768</v>
      </c>
      <c r="AF32" s="311">
        <v>0.44</v>
      </c>
      <c r="AG32" s="311">
        <v>0.18</v>
      </c>
      <c r="AH32" s="311">
        <v>0.24</v>
      </c>
      <c r="AI32" s="311">
        <v>0.44</v>
      </c>
      <c r="AJ32" s="294">
        <v>0</v>
      </c>
      <c r="AX32" s="250"/>
      <c r="AY32" s="250"/>
      <c r="AZ32" s="250"/>
      <c r="BA32" s="250"/>
      <c r="BB32" s="250"/>
      <c r="BC32" s="250"/>
      <c r="BD32" s="250"/>
    </row>
    <row r="33" spans="1:56" x14ac:dyDescent="0.2">
      <c r="A33" s="255" t="str">
        <f>[2]Technologies!B107</f>
        <v>*R2,R3,R4,R5,R6</v>
      </c>
      <c r="B33" s="255" t="str">
        <f>[2]Technologies!D107</f>
        <v>TLFETHX10</v>
      </c>
      <c r="C33" s="255" t="str">
        <f>[2]Technologies!E107</f>
        <v>TL.E85X.F.ETHX.2010</v>
      </c>
      <c r="D33" s="255" t="s">
        <v>292</v>
      </c>
      <c r="E33" s="255" t="s">
        <v>95</v>
      </c>
      <c r="F33" s="255" t="str">
        <f>[2]Commodities!$D$9</f>
        <v>TL</v>
      </c>
      <c r="G33" s="257"/>
      <c r="H33" s="294">
        <v>1</v>
      </c>
      <c r="I33" s="309">
        <f>INDEX([2]ConsolidatedVehData!$D$22:$D$858,MATCH(B33,[2]ConsolidatedVehData!$A$22:$A$858,0))</f>
        <v>2010</v>
      </c>
      <c r="J33" s="294">
        <v>20</v>
      </c>
      <c r="K33" s="309">
        <f>INDEX([2]ConsolidatedVehData!$P$22:$Z$858,MATCH($B33,[2]ConsolidatedVehData!$A$22:$A$858,0),MATCH(K$1,[2]ConsolidatedVehData!$P$7:$Z$7,0))</f>
        <v>1987.5210026612813</v>
      </c>
      <c r="L33" s="309">
        <f>INDEX([2]ConsolidatedVehData!$P$22:$Z$858,MATCH($B33,[2]ConsolidatedVehData!$A$22:$A$858,0),MATCH(L$1,[2]ConsolidatedVehData!$P$7:$Z$7,0))</f>
        <v>1914.158780402835</v>
      </c>
      <c r="M33" s="309">
        <f>INDEX([2]ConsolidatedVehData!$P$22:$Z$858,MATCH($B33,[2]ConsolidatedVehData!$A$22:$A$858,0),MATCH(M$1,[2]ConsolidatedVehData!$P$7:$Z$7,0))</f>
        <v>1977.002813708347</v>
      </c>
      <c r="N33" s="309">
        <f>INDEX([2]ConsolidatedVehData!$P$22:$Z$858,MATCH($B33,[2]ConsolidatedVehData!$A$22:$A$858,0),MATCH(N$1,[2]ConsolidatedVehData!$P$7:$Z$7,0))</f>
        <v>2089.3177096562054</v>
      </c>
      <c r="O33" s="309">
        <f>INDEX([2]ConsolidatedVehData!$P$22:$Z$858,MATCH($B33,[2]ConsolidatedVehData!$A$22:$A$858,0),MATCH(O$1,[2]ConsolidatedVehData!$P$7:$Z$7,0))</f>
        <v>2092.6677979605261</v>
      </c>
      <c r="P33" s="309">
        <f>INDEX([2]ConsolidatedVehData!$P$22:$Z$858,MATCH($B33,[2]ConsolidatedVehData!$A$22:$A$858,0),MATCH(P$1,[2]ConsolidatedVehData!$P$7:$Z$7,0))</f>
        <v>2093.8281165524795</v>
      </c>
      <c r="Q33" s="309">
        <f>INDEX([2]ConsolidatedVehData!$P$22:$Z$858,MATCH($B33,[2]ConsolidatedVehData!$A$22:$A$858,0),MATCH(Q$1,[2]ConsolidatedVehData!$P$7:$Z$7,0))</f>
        <v>2094.5746091240612</v>
      </c>
      <c r="R33" s="309">
        <f>INDEX([2]ConsolidatedVehData!$P$22:$Z$858,MATCH($B33,[2]ConsolidatedVehData!$A$22:$A$858,0),MATCH(R$1,[2]ConsolidatedVehData!$P$7:$Z$7,0))</f>
        <v>2094.5746091240612</v>
      </c>
      <c r="S33" s="309">
        <f>INDEX([2]ConsolidatedVehData!$P$22:$Z$858,MATCH($B33,[2]ConsolidatedVehData!$A$22:$A$858,0),MATCH(S$1,[2]ConsolidatedVehData!$P$7:$Z$7,0))</f>
        <v>2094.5746091240612</v>
      </c>
      <c r="T33" s="309">
        <f t="shared" si="12"/>
        <v>2094.5746091240612</v>
      </c>
      <c r="U33" s="310">
        <f>U26</f>
        <v>0.19283856045812206</v>
      </c>
      <c r="V33" s="310">
        <f t="shared" ref="V33:AC33" si="20">V26</f>
        <v>0.22410264035463998</v>
      </c>
      <c r="W33" s="310">
        <f t="shared" si="20"/>
        <v>0.267135662459834</v>
      </c>
      <c r="X33" s="310">
        <f t="shared" si="20"/>
        <v>0.33534081271780142</v>
      </c>
      <c r="Y33" s="310">
        <f t="shared" si="20"/>
        <v>0.3376465764689453</v>
      </c>
      <c r="Z33" s="310">
        <f t="shared" si="20"/>
        <v>0.33731602952860407</v>
      </c>
      <c r="AA33" s="310">
        <f t="shared" si="20"/>
        <v>0.33697292145409624</v>
      </c>
      <c r="AB33" s="310">
        <f t="shared" si="20"/>
        <v>0.33697292145409624</v>
      </c>
      <c r="AC33" s="310">
        <f t="shared" si="20"/>
        <v>0.33697292145409624</v>
      </c>
      <c r="AD33" s="310">
        <f t="shared" si="13"/>
        <v>0.33697292145409624</v>
      </c>
      <c r="AE33" s="286">
        <f>INDEX([2]ConsolidatedVehData!$AB$22:$AB$858,MATCH(B33,[2]ConsolidatedVehData!$A$22:$A$858,0))</f>
        <v>43.267274341798768</v>
      </c>
      <c r="AF33" s="311">
        <v>0.44</v>
      </c>
      <c r="AG33" s="311">
        <v>0.18</v>
      </c>
      <c r="AH33" s="311">
        <v>0.18</v>
      </c>
      <c r="AI33" s="311">
        <v>0.4</v>
      </c>
      <c r="AJ33" s="294">
        <v>0</v>
      </c>
      <c r="AX33" s="250"/>
      <c r="AY33" s="250"/>
      <c r="AZ33" s="250"/>
      <c r="BA33" s="250"/>
      <c r="BB33" s="250"/>
      <c r="BC33" s="250"/>
      <c r="BD33" s="250"/>
    </row>
    <row r="34" spans="1:56" x14ac:dyDescent="0.2">
      <c r="A34" s="255" t="str">
        <f>[2]Technologies!B108</f>
        <v>R2,R3,R4,R5,R6</v>
      </c>
      <c r="B34" s="255" t="str">
        <f>[2]Technologies!D108</f>
        <v>TLFFCH15</v>
      </c>
      <c r="C34" s="255" t="str">
        <f>[2]Technologies!E108</f>
        <v>TL.H2.F.FCH.2015</v>
      </c>
      <c r="D34" s="255" t="s">
        <v>292</v>
      </c>
      <c r="E34" s="255" t="s">
        <v>105</v>
      </c>
      <c r="F34" s="255" t="str">
        <f>[2]Commodities!$D$9</f>
        <v>TL</v>
      </c>
      <c r="G34" s="257"/>
      <c r="H34" s="294">
        <v>1</v>
      </c>
      <c r="I34" s="309">
        <f>INDEX([2]ConsolidatedVehData!$D$22:$D$858,MATCH(B34,[2]ConsolidatedVehData!$A$22:$A$858,0))</f>
        <v>2015</v>
      </c>
      <c r="J34" s="294">
        <v>20</v>
      </c>
      <c r="K34" s="309">
        <f t="shared" ref="K34:L34" si="21">L34</f>
        <v>4938.6114332054367</v>
      </c>
      <c r="L34" s="309">
        <f t="shared" si="21"/>
        <v>4938.6114332054367</v>
      </c>
      <c r="M34" s="309">
        <f>INDEX([2]ConsolidatedVehData!$P$22:$Z$858,MATCH($B34,[2]ConsolidatedVehData!$A$22:$A$858,0),MATCH(M$1,[2]ConsolidatedVehData!$P$7:$Z$7,0))</f>
        <v>4938.6114332054367</v>
      </c>
      <c r="N34" s="309">
        <f>INDEX([2]ConsolidatedVehData!$P$22:$Z$858,MATCH($B34,[2]ConsolidatedVehData!$A$22:$A$858,0),MATCH(N$1,[2]ConsolidatedVehData!$P$7:$Z$7,0))</f>
        <v>4372.2674993855517</v>
      </c>
      <c r="O34" s="309">
        <f>INDEX([2]ConsolidatedVehData!$P$22:$Z$858,MATCH($B34,[2]ConsolidatedVehData!$A$22:$A$858,0),MATCH(O$1,[2]ConsolidatedVehData!$P$7:$Z$7,0))</f>
        <v>3987.3063816999593</v>
      </c>
      <c r="P34" s="309">
        <f>INDEX([2]ConsolidatedVehData!$P$22:$Z$858,MATCH($B34,[2]ConsolidatedVehData!$A$22:$A$858,0),MATCH(P$1,[2]ConsolidatedVehData!$P$7:$Z$7,0))</f>
        <v>3684.2809755405769</v>
      </c>
      <c r="Q34" s="309">
        <f>INDEX([2]ConsolidatedVehData!$P$22:$Z$858,MATCH($B34,[2]ConsolidatedVehData!$A$22:$A$858,0),MATCH(Q$1,[2]ConsolidatedVehData!$P$7:$Z$7,0))</f>
        <v>3444.3881199985412</v>
      </c>
      <c r="R34" s="309">
        <f>INDEX([2]ConsolidatedVehData!$P$22:$Z$858,MATCH($B34,[2]ConsolidatedVehData!$A$22:$A$858,0),MATCH(R$1,[2]ConsolidatedVehData!$P$7:$Z$7,0))</f>
        <v>3444.3881199985412</v>
      </c>
      <c r="S34" s="309">
        <f>INDEX([2]ConsolidatedVehData!$P$22:$Z$858,MATCH($B34,[2]ConsolidatedVehData!$A$22:$A$858,0),MATCH(S$1,[2]ConsolidatedVehData!$P$7:$Z$7,0))</f>
        <v>3444.3881199985412</v>
      </c>
      <c r="T34" s="309">
        <f t="shared" si="12"/>
        <v>3444.3881199985412</v>
      </c>
      <c r="U34" s="310">
        <f>V34</f>
        <v>0.33345304481082244</v>
      </c>
      <c r="V34" s="310">
        <f>W34</f>
        <v>0.33345304481082244</v>
      </c>
      <c r="W34" s="310">
        <f>INDEX([2]ConsolidatedVehData!$AF$22:$AF$858,MATCH($B34,[2]ConsolidatedVehData!$A$22:$A$858,0)+1)</f>
        <v>0.33345304481082244</v>
      </c>
      <c r="X34" s="310">
        <f>INDEX([2]ConsolidatedVehData!$AF$22:$AF$858,MATCH($B34,[2]ConsolidatedVehData!$A$22:$A$858,0)+2)</f>
        <v>0.34418572089197763</v>
      </c>
      <c r="Y34" s="310">
        <f>INDEX([2]ConsolidatedVehData!$AF$22:$AF$858,MATCH($B34,[2]ConsolidatedVehData!$A$22:$A$858,0)+3)</f>
        <v>0.34619345100057358</v>
      </c>
      <c r="Z34" s="310">
        <f>INDEX([2]ConsolidatedVehData!$AF$22:$AF$858,MATCH($B34,[2]ConsolidatedVehData!$A$22:$A$858,0)+4)</f>
        <v>0.34619487281847322</v>
      </c>
      <c r="AA34" s="310">
        <f>INDEX([2]ConsolidatedVehData!$AF$22:$AF$858,MATCH($B34,[2]ConsolidatedVehData!$A$22:$A$858,0)+5)</f>
        <v>0.3462107398640521</v>
      </c>
      <c r="AB34" s="310">
        <f>INDEX([2]ConsolidatedVehData!$AF$22:$AF$858,MATCH($B34,[2]ConsolidatedVehData!$A$22:$A$858,0)+6)</f>
        <v>0.3462107398640521</v>
      </c>
      <c r="AC34" s="310">
        <f>INDEX([2]ConsolidatedVehData!$AF$22:$AF$858,MATCH($B34,[2]ConsolidatedVehData!$A$22:$A$858,0)+7)</f>
        <v>0.3462107398640521</v>
      </c>
      <c r="AD34" s="310">
        <f t="shared" si="13"/>
        <v>0.3462107398640521</v>
      </c>
      <c r="AE34" s="286">
        <f>INDEX([2]ConsolidatedVehData!$AB$22:$AB$858,MATCH(B34,[2]ConsolidatedVehData!$A$22:$A$858,0))</f>
        <v>45.430638058888704</v>
      </c>
      <c r="AF34" s="311">
        <v>0.44</v>
      </c>
      <c r="AG34" s="311">
        <v>0.24</v>
      </c>
      <c r="AH34" s="311">
        <v>0.28000000000000003</v>
      </c>
      <c r="AI34" s="311">
        <v>0.44</v>
      </c>
      <c r="AJ34" s="294">
        <v>0</v>
      </c>
      <c r="AX34" s="250"/>
      <c r="AY34" s="250"/>
      <c r="AZ34" s="250"/>
      <c r="BA34" s="250"/>
      <c r="BB34" s="250"/>
      <c r="BC34" s="250"/>
      <c r="BD34" s="250"/>
    </row>
    <row r="35" spans="1:56" x14ac:dyDescent="0.2">
      <c r="A35" s="255" t="str">
        <f>[2]Technologies!B109</f>
        <v>R2,R3,R4,R5,R6</v>
      </c>
      <c r="B35" s="255" t="str">
        <f>[2]Technologies!D109</f>
        <v>TLFHEV10</v>
      </c>
      <c r="C35" s="255" t="str">
        <f>[2]Technologies!E109</f>
        <v>TL.GSL.F.HEV.2010</v>
      </c>
      <c r="D35" s="255" t="s">
        <v>292</v>
      </c>
      <c r="E35" s="255" t="s">
        <v>111</v>
      </c>
      <c r="F35" s="255" t="str">
        <f>[2]Commodities!$D$9</f>
        <v>TL</v>
      </c>
      <c r="G35" s="257"/>
      <c r="H35" s="294">
        <v>1</v>
      </c>
      <c r="I35" s="309">
        <f>INDEX([2]ConsolidatedVehData!$D$22:$D$858,MATCH(B35,[2]ConsolidatedVehData!$A$22:$A$858,0))</f>
        <v>2010</v>
      </c>
      <c r="J35" s="294">
        <v>20</v>
      </c>
      <c r="K35" s="309">
        <f>INDEX([2]ConsolidatedVehData!$P$22:$Z$858,MATCH($B35,[2]ConsolidatedVehData!$A$22:$A$858,0),MATCH(K$1,[2]ConsolidatedVehData!$P$7:$Z$7,0))</f>
        <v>2526.1303528712679</v>
      </c>
      <c r="L35" s="309">
        <f>INDEX([2]ConsolidatedVehData!$P$22:$Z$858,MATCH($B35,[2]ConsolidatedVehData!$A$22:$A$858,0),MATCH(L$1,[2]ConsolidatedVehData!$P$7:$Z$7,0))</f>
        <v>2300.920921808492</v>
      </c>
      <c r="M35" s="309">
        <f>INDEX([2]ConsolidatedVehData!$P$22:$Z$858,MATCH($B35,[2]ConsolidatedVehData!$A$22:$A$858,0),MATCH(M$1,[2]ConsolidatedVehData!$P$7:$Z$7,0))</f>
        <v>2329.5990419060904</v>
      </c>
      <c r="N35" s="309">
        <f>INDEX([2]ConsolidatedVehData!$P$22:$Z$858,MATCH($B35,[2]ConsolidatedVehData!$A$22:$A$858,0),MATCH(N$1,[2]ConsolidatedVehData!$P$7:$Z$7,0))</f>
        <v>2361.2468039974983</v>
      </c>
      <c r="O35" s="309">
        <f>INDEX([2]ConsolidatedVehData!$P$22:$Z$858,MATCH($B35,[2]ConsolidatedVehData!$A$22:$A$858,0),MATCH(O$1,[2]ConsolidatedVehData!$P$7:$Z$7,0))</f>
        <v>2321.1840941070568</v>
      </c>
      <c r="P35" s="309">
        <f>INDEX([2]ConsolidatedVehData!$P$22:$Z$858,MATCH($B35,[2]ConsolidatedVehData!$A$22:$A$858,0),MATCH(P$1,[2]ConsolidatedVehData!$P$7:$Z$7,0))</f>
        <v>2309.9821731886677</v>
      </c>
      <c r="Q35" s="309">
        <f>INDEX([2]ConsolidatedVehData!$P$22:$Z$858,MATCH($B35,[2]ConsolidatedVehData!$A$22:$A$858,0),MATCH(Q$1,[2]ConsolidatedVehData!$P$7:$Z$7,0))</f>
        <v>2306.9574467084813</v>
      </c>
      <c r="R35" s="309">
        <f>INDEX([2]ConsolidatedVehData!$P$22:$Z$858,MATCH($B35,[2]ConsolidatedVehData!$A$22:$A$858,0),MATCH(R$1,[2]ConsolidatedVehData!$P$7:$Z$7,0))</f>
        <v>2306.9574467084813</v>
      </c>
      <c r="S35" s="309">
        <f>INDEX([2]ConsolidatedVehData!$P$22:$Z$858,MATCH($B35,[2]ConsolidatedVehData!$A$22:$A$858,0),MATCH(S$1,[2]ConsolidatedVehData!$P$7:$Z$7,0))</f>
        <v>2306.9574467084813</v>
      </c>
      <c r="T35" s="309">
        <f t="shared" si="12"/>
        <v>2306.9574467084813</v>
      </c>
      <c r="U35" s="310">
        <f>INDEX([2]ConsolidatedVehData!$AF$22:$AF$858,MATCH(B35,[2]ConsolidatedVehData!$A$22:$A$858,0))</f>
        <v>0.33529406547246948</v>
      </c>
      <c r="V35" s="310">
        <f>INDEX([2]ConsolidatedVehData!$AF$22:$AF$858,MATCH($B35,[2]ConsolidatedVehData!$A$22:$A$858,0)+1)</f>
        <v>0.31867099392888615</v>
      </c>
      <c r="W35" s="310">
        <f>INDEX([2]ConsolidatedVehData!$AF$22:$AF$858,MATCH($B35,[2]ConsolidatedVehData!$A$22:$A$858,0)+2)</f>
        <v>0.37155339531077136</v>
      </c>
      <c r="X35" s="310">
        <f>INDEX([2]ConsolidatedVehData!$AF$22:$AF$858,MATCH($B35,[2]ConsolidatedVehData!$A$22:$A$858,0)+3)</f>
        <v>0.44944697629675967</v>
      </c>
      <c r="Y35" s="310">
        <f>INDEX([2]ConsolidatedVehData!$AF$22:$AF$858,MATCH($B35,[2]ConsolidatedVehData!$A$22:$A$858,0)+4)</f>
        <v>0.45190035708088333</v>
      </c>
      <c r="Z35" s="310">
        <f>INDEX([2]ConsolidatedVehData!$AF$22:$AF$858,MATCH($B35,[2]ConsolidatedVehData!$A$22:$A$858,0)+5)</f>
        <v>0.45112205737956518</v>
      </c>
      <c r="AA35" s="310">
        <f>INDEX([2]ConsolidatedVehData!$AF$22:$AF$858,MATCH($B35,[2]ConsolidatedVehData!$A$22:$A$858,0)+6)</f>
        <v>0.45050132847311297</v>
      </c>
      <c r="AB35" s="310">
        <f>INDEX([2]ConsolidatedVehData!$AF$22:$AF$858,MATCH($B35,[2]ConsolidatedVehData!$A$22:$A$858,0)+7)</f>
        <v>0.45050132847311297</v>
      </c>
      <c r="AC35" s="310">
        <f>INDEX([2]ConsolidatedVehData!$AF$22:$AF$858,MATCH($B35,[2]ConsolidatedVehData!$A$22:$A$858,0)+8)</f>
        <v>0.45050132847311297</v>
      </c>
      <c r="AD35" s="310">
        <f t="shared" si="13"/>
        <v>0.45050132847311297</v>
      </c>
      <c r="AE35" s="286">
        <f>INDEX([2]ConsolidatedVehData!$AB$22:$AB$858,MATCH(B35,[2]ConsolidatedVehData!$A$22:$A$858,0))</f>
        <v>45.430638058888704</v>
      </c>
      <c r="AF35" s="311">
        <v>0.44</v>
      </c>
      <c r="AG35" s="311">
        <v>0.18</v>
      </c>
      <c r="AH35" s="311">
        <v>0.24</v>
      </c>
      <c r="AI35" s="311">
        <v>0.44</v>
      </c>
      <c r="AJ35" s="294">
        <v>0</v>
      </c>
      <c r="AX35" s="250"/>
      <c r="AY35" s="250"/>
      <c r="AZ35" s="250"/>
      <c r="BA35" s="250"/>
      <c r="BB35" s="250"/>
      <c r="BC35" s="250"/>
      <c r="BD35" s="250"/>
    </row>
    <row r="36" spans="1:56" x14ac:dyDescent="0.2">
      <c r="A36" s="255" t="str">
        <f>[2]Technologies!B110</f>
        <v>*R2,R3,R4,R5,R6</v>
      </c>
      <c r="B36" s="255" t="str">
        <f>[2]Technologies!D110</f>
        <v>TLFLPGX10</v>
      </c>
      <c r="C36" s="255" t="str">
        <f>[2]Technologies!E110</f>
        <v>TL.LPGX.F.LPGX.2010</v>
      </c>
      <c r="D36" s="255" t="s">
        <v>292</v>
      </c>
      <c r="E36" s="255" t="s">
        <v>109</v>
      </c>
      <c r="F36" s="255" t="str">
        <f>[2]Commodities!$D$9</f>
        <v>TL</v>
      </c>
      <c r="G36" s="257">
        <v>0</v>
      </c>
      <c r="H36" s="294">
        <v>1</v>
      </c>
      <c r="I36" s="309">
        <f>INDEX([2]ConsolidatedVehData!$D$22:$D$858,MATCH(B36,[2]ConsolidatedVehData!$A$22:$A$858,0))</f>
        <v>2010</v>
      </c>
      <c r="J36" s="294">
        <v>20</v>
      </c>
      <c r="K36" s="309">
        <f>INDEX([2]ConsolidatedVehData!$P$22:$Z$858,MATCH($B36,[2]ConsolidatedVehData!$A$22:$A$858,0),MATCH(K$1,[2]ConsolidatedVehData!$P$7:$Z$7,0))</f>
        <v>2393.7648053523876</v>
      </c>
      <c r="L36" s="309">
        <f>INDEX([2]ConsolidatedVehData!$P$22:$Z$858,MATCH($B36,[2]ConsolidatedVehData!$A$22:$A$858,0),MATCH(L$1,[2]ConsolidatedVehData!$P$7:$Z$7,0))</f>
        <v>2321.2473842135896</v>
      </c>
      <c r="M36" s="309">
        <f>INDEX([2]ConsolidatedVehData!$P$22:$Z$858,MATCH($B36,[2]ConsolidatedVehData!$A$22:$A$858,0),MATCH(M$1,[2]ConsolidatedVehData!$P$7:$Z$7,0))</f>
        <v>2384.2826915397804</v>
      </c>
      <c r="N36" s="309">
        <f>INDEX([2]ConsolidatedVehData!$P$22:$Z$858,MATCH($B36,[2]ConsolidatedVehData!$A$22:$A$858,0),MATCH(N$1,[2]ConsolidatedVehData!$P$7:$Z$7,0))</f>
        <v>2496.6798405184304</v>
      </c>
      <c r="O36" s="309">
        <f>INDEX([2]ConsolidatedVehData!$P$22:$Z$858,MATCH($B36,[2]ConsolidatedVehData!$A$22:$A$858,0),MATCH(O$1,[2]ConsolidatedVehData!$P$7:$Z$7,0))</f>
        <v>2500.125591801956</v>
      </c>
      <c r="P36" s="309">
        <f>INDEX([2]ConsolidatedVehData!$P$22:$Z$858,MATCH($B36,[2]ConsolidatedVehData!$A$22:$A$858,0),MATCH(P$1,[2]ConsolidatedVehData!$P$7:$Z$7,0))</f>
        <v>2501.4029285659408</v>
      </c>
      <c r="Q36" s="309">
        <f>INDEX([2]ConsolidatedVehData!$P$22:$Z$858,MATCH($B36,[2]ConsolidatedVehData!$A$22:$A$858,0),MATCH(Q$1,[2]ConsolidatedVehData!$P$7:$Z$7,0))</f>
        <v>2502.2914478830521</v>
      </c>
      <c r="R36" s="309">
        <f>INDEX([2]ConsolidatedVehData!$P$22:$Z$858,MATCH($B36,[2]ConsolidatedVehData!$A$22:$A$858,0),MATCH(R$1,[2]ConsolidatedVehData!$P$7:$Z$7,0))</f>
        <v>2502.2914478830521</v>
      </c>
      <c r="S36" s="309">
        <f>INDEX([2]ConsolidatedVehData!$P$22:$Z$858,MATCH($B36,[2]ConsolidatedVehData!$A$22:$A$858,0),MATCH(S$1,[2]ConsolidatedVehData!$P$7:$Z$7,0))</f>
        <v>2502.2914478830521</v>
      </c>
      <c r="T36" s="309">
        <f t="shared" si="12"/>
        <v>2502.2914478830521</v>
      </c>
      <c r="U36" s="310">
        <f>INDEX([2]ConsolidatedVehData!$AF$22:$AF$858,MATCH(B36,[2]ConsolidatedVehData!$A$22:$A$858,0))</f>
        <v>0.19283856045812206</v>
      </c>
      <c r="V36" s="310">
        <f>INDEX([2]ConsolidatedVehData!$AF$22:$AF$858,MATCH($B36,[2]ConsolidatedVehData!$A$22:$A$858,0)+1)</f>
        <v>0.22411295917386478</v>
      </c>
      <c r="W36" s="310">
        <f>INDEX([2]ConsolidatedVehData!$AF$22:$AF$858,MATCH($B36,[2]ConsolidatedVehData!$A$22:$A$858,0)+2)</f>
        <v>0.26708827997968165</v>
      </c>
      <c r="X36" s="310">
        <f>INDEX([2]ConsolidatedVehData!$AF$22:$AF$858,MATCH($B36,[2]ConsolidatedVehData!$A$22:$A$858,0)+3)</f>
        <v>0.33517320266139267</v>
      </c>
      <c r="Y36" s="310">
        <f>INDEX([2]ConsolidatedVehData!$AF$22:$AF$858,MATCH($B36,[2]ConsolidatedVehData!$A$22:$A$858,0)+4)</f>
        <v>0.33745959797640968</v>
      </c>
      <c r="Z36" s="310">
        <f>INDEX([2]ConsolidatedVehData!$AF$22:$AF$858,MATCH($B36,[2]ConsolidatedVehData!$A$22:$A$858,0)+5)</f>
        <v>0.33710189157553111</v>
      </c>
      <c r="AA36" s="310">
        <f>INDEX([2]ConsolidatedVehData!$AF$22:$AF$858,MATCH($B36,[2]ConsolidatedVehData!$A$22:$A$858,0)+6)</f>
        <v>0.33672271122068209</v>
      </c>
      <c r="AB36" s="310">
        <f>INDEX([2]ConsolidatedVehData!$AF$22:$AF$858,MATCH($B36,[2]ConsolidatedVehData!$A$22:$A$858,0)+7)</f>
        <v>0.33672271122068209</v>
      </c>
      <c r="AC36" s="310">
        <f>INDEX([2]ConsolidatedVehData!$AF$22:$AF$858,MATCH($B36,[2]ConsolidatedVehData!$A$22:$A$858,0)+8)</f>
        <v>0.33672271122068209</v>
      </c>
      <c r="AD36" s="310">
        <f t="shared" si="13"/>
        <v>0.33672271122068209</v>
      </c>
      <c r="AE36" s="286">
        <f>INDEX([2]ConsolidatedVehData!$AB$22:$AB$858,MATCH(B36,[2]ConsolidatedVehData!$A$22:$A$858,0))</f>
        <v>38.940546907618888</v>
      </c>
      <c r="AF36" s="311">
        <v>0.44</v>
      </c>
      <c r="AG36" s="311">
        <v>0.24</v>
      </c>
      <c r="AH36" s="311">
        <v>0.24</v>
      </c>
      <c r="AI36" s="311">
        <v>0.44</v>
      </c>
      <c r="AJ36" s="294">
        <v>0</v>
      </c>
      <c r="AX36" s="250"/>
      <c r="AY36" s="250"/>
      <c r="AZ36" s="250"/>
      <c r="BA36" s="250"/>
      <c r="BB36" s="250"/>
      <c r="BC36" s="250"/>
      <c r="BD36" s="250"/>
    </row>
    <row r="37" spans="1:56" x14ac:dyDescent="0.2">
      <c r="A37" s="255" t="str">
        <f>[2]Technologies!B111</f>
        <v>R2,R3,R4,R5,R6</v>
      </c>
      <c r="B37" s="255" t="str">
        <f>[2]Technologies!D111</f>
        <v>TLFPHVG10</v>
      </c>
      <c r="C37" s="255" t="str">
        <f>[2]Technologies!E111</f>
        <v>TL.GSL.F.PHVG.2010</v>
      </c>
      <c r="D37" s="255" t="s">
        <v>292</v>
      </c>
      <c r="E37" s="255" t="s">
        <v>111</v>
      </c>
      <c r="F37" s="257"/>
      <c r="G37" s="257"/>
      <c r="H37" s="310">
        <f>1-H38</f>
        <v>0.73478445352379373</v>
      </c>
      <c r="I37" s="309">
        <f>INDEX([2]ConsolidatedVehData!$D$22:$D$858,MATCH(B37,[2]ConsolidatedVehData!$A$22:$A$858,0))</f>
        <v>2010</v>
      </c>
      <c r="J37" s="294">
        <v>20</v>
      </c>
      <c r="K37" s="309">
        <f>INDEX([2]ConsolidatedVehData!$P$22:$Z$858,MATCH($B37,[2]ConsolidatedVehData!$A$22:$A$858,0),MATCH(K$1,[2]ConsolidatedVehData!$P$7:$Z$7,0))</f>
        <v>2385.4894686309021</v>
      </c>
      <c r="L37" s="309">
        <f>INDEX([2]ConsolidatedVehData!$P$22:$Z$858,MATCH($B37,[2]ConsolidatedVehData!$A$22:$A$858,0),MATCH(L$1,[2]ConsolidatedVehData!$P$7:$Z$7,0))</f>
        <v>2300.9741138561108</v>
      </c>
      <c r="M37" s="309">
        <f>INDEX([2]ConsolidatedVehData!$P$22:$Z$858,MATCH($B37,[2]ConsolidatedVehData!$A$22:$A$858,0),MATCH(M$1,[2]ConsolidatedVehData!$P$7:$Z$7,0))</f>
        <v>2363.8270888179277</v>
      </c>
      <c r="N37" s="309">
        <f>INDEX([2]ConsolidatedVehData!$P$22:$Z$858,MATCH($B37,[2]ConsolidatedVehData!$A$22:$A$858,0),MATCH(N$1,[2]ConsolidatedVehData!$P$7:$Z$7,0))</f>
        <v>2475.9787127911222</v>
      </c>
      <c r="O37" s="309">
        <f>INDEX([2]ConsolidatedVehData!$P$22:$Z$858,MATCH($B37,[2]ConsolidatedVehData!$A$22:$A$858,0),MATCH(O$1,[2]ConsolidatedVehData!$P$7:$Z$7,0))</f>
        <v>2479.3794090858587</v>
      </c>
      <c r="P37" s="309">
        <f>INDEX([2]ConsolidatedVehData!$P$22:$Z$858,MATCH($B37,[2]ConsolidatedVehData!$A$22:$A$858,0),MATCH(P$1,[2]ConsolidatedVehData!$P$7:$Z$7,0))</f>
        <v>2480.5933913319573</v>
      </c>
      <c r="Q37" s="309">
        <f>INDEX([2]ConsolidatedVehData!$P$22:$Z$858,MATCH($B37,[2]ConsolidatedVehData!$A$22:$A$858,0),MATCH(Q$1,[2]ConsolidatedVehData!$P$7:$Z$7,0))</f>
        <v>2481.401029680268</v>
      </c>
      <c r="R37" s="309">
        <f>INDEX([2]ConsolidatedVehData!$P$22:$Z$858,MATCH($B37,[2]ConsolidatedVehData!$A$22:$A$858,0),MATCH(R$1,[2]ConsolidatedVehData!$P$7:$Z$7,0))</f>
        <v>2481.401029680268</v>
      </c>
      <c r="S37" s="309">
        <f>INDEX([2]ConsolidatedVehData!$P$22:$Z$858,MATCH($B37,[2]ConsolidatedVehData!$A$22:$A$858,0),MATCH(S$1,[2]ConsolidatedVehData!$P$7:$Z$7,0))</f>
        <v>2481.401029680268</v>
      </c>
      <c r="T37" s="309">
        <f t="shared" si="12"/>
        <v>2481.401029680268</v>
      </c>
      <c r="U37" s="310">
        <f>INDEX([2]ConsolidatedVehData!$AF$22:$AF$858,MATCH(B37,[2]ConsolidatedVehData!$A$22:$A$858,0))</f>
        <v>0.49273773333591925</v>
      </c>
      <c r="V37" s="310">
        <f>INDEX([2]ConsolidatedVehData!$AF$22:$AF$858,MATCH($B37,[2]ConsolidatedVehData!$A$22:$A$858,0)+1)</f>
        <v>0.46830898425584155</v>
      </c>
      <c r="W37" s="310">
        <f>INDEX([2]ConsolidatedVehData!$AF$22:$AF$858,MATCH($B37,[2]ConsolidatedVehData!$A$22:$A$858,0)+2)</f>
        <v>0.5460233170566704</v>
      </c>
      <c r="X37" s="310">
        <f>INDEX([2]ConsolidatedVehData!$AF$22:$AF$858,MATCH($B37,[2]ConsolidatedVehData!$A$22:$A$858,0)+3)</f>
        <v>0.66049330173227194</v>
      </c>
      <c r="Y37" s="310">
        <f>INDEX([2]ConsolidatedVehData!$AF$22:$AF$858,MATCH($B37,[2]ConsolidatedVehData!$A$22:$A$858,0)+4)</f>
        <v>0.66409871384976826</v>
      </c>
      <c r="Z37" s="310">
        <f>INDEX([2]ConsolidatedVehData!$AF$22:$AF$858,MATCH($B37,[2]ConsolidatedVehData!$A$22:$A$858,0)+5)</f>
        <v>0.66295494880834671</v>
      </c>
      <c r="AA37" s="310">
        <f>INDEX([2]ConsolidatedVehData!$AF$22:$AF$858,MATCH($B37,[2]ConsolidatedVehData!$A$22:$A$858,0)+6)</f>
        <v>0.66204274490771886</v>
      </c>
      <c r="AB37" s="310">
        <f>INDEX([2]ConsolidatedVehData!$AF$22:$AF$858,MATCH($B37,[2]ConsolidatedVehData!$A$22:$A$858,0)+7)</f>
        <v>0.66204274490771886</v>
      </c>
      <c r="AC37" s="310">
        <f>INDEX([2]ConsolidatedVehData!$AF$22:$AF$858,MATCH($B37,[2]ConsolidatedVehData!$A$22:$A$858,0)+8)</f>
        <v>0.66204274490771886</v>
      </c>
      <c r="AD37" s="310">
        <f t="shared" si="13"/>
        <v>0.66204274490771886</v>
      </c>
      <c r="AE37" s="286">
        <f>INDEX([2]ConsolidatedVehData!$AB$22:$AB$858,MATCH(B37,[2]ConsolidatedVehData!$A$22:$A$858,0))</f>
        <v>45.478712808157368</v>
      </c>
      <c r="AF37" s="311">
        <v>0.44</v>
      </c>
      <c r="AG37" s="311">
        <v>0.24</v>
      </c>
      <c r="AH37" s="311">
        <v>0.28000000000000003</v>
      </c>
      <c r="AI37" s="311">
        <v>0.44</v>
      </c>
      <c r="AJ37" s="294"/>
      <c r="AX37" s="250"/>
      <c r="AY37" s="250"/>
      <c r="AZ37" s="250"/>
      <c r="BA37" s="250"/>
      <c r="BB37" s="250"/>
      <c r="BC37" s="250"/>
      <c r="BD37" s="250"/>
    </row>
    <row r="38" spans="1:56" x14ac:dyDescent="0.2">
      <c r="A38" s="255"/>
      <c r="B38" s="255"/>
      <c r="C38" s="255"/>
      <c r="D38" s="255"/>
      <c r="E38" s="255" t="s">
        <v>99</v>
      </c>
      <c r="F38" s="255"/>
      <c r="G38" s="257"/>
      <c r="H38" s="310">
        <f>INDEX([2]ConsolidatedVehData!$AG$22:$AG$858,MATCH(B37,[2]ConsolidatedVehData!$A$22:$A$858,0))</f>
        <v>0.26521554647620627</v>
      </c>
      <c r="I38" s="309"/>
      <c r="J38" s="294"/>
      <c r="K38" s="309"/>
      <c r="L38" s="309"/>
      <c r="M38" s="309"/>
      <c r="N38" s="309"/>
      <c r="O38" s="309"/>
      <c r="P38" s="309"/>
      <c r="Q38" s="309"/>
      <c r="R38" s="309"/>
      <c r="S38" s="309"/>
      <c r="T38" s="309"/>
      <c r="U38" s="310"/>
      <c r="V38" s="310"/>
      <c r="W38" s="310"/>
      <c r="X38" s="310"/>
      <c r="Y38" s="310"/>
      <c r="Z38" s="310"/>
      <c r="AA38" s="310"/>
      <c r="AB38" s="310"/>
      <c r="AC38" s="310"/>
      <c r="AD38" s="310"/>
      <c r="AE38" s="286"/>
      <c r="AF38" s="311"/>
      <c r="AG38" s="311"/>
      <c r="AH38" s="311"/>
      <c r="AI38" s="311"/>
      <c r="AJ38" s="294"/>
      <c r="AX38" s="250"/>
      <c r="AY38" s="250"/>
      <c r="AZ38" s="250"/>
      <c r="BA38" s="250"/>
      <c r="BB38" s="250"/>
      <c r="BC38" s="250"/>
      <c r="BD38" s="250"/>
    </row>
    <row r="39" spans="1:56" x14ac:dyDescent="0.2">
      <c r="A39" s="255" t="str">
        <f>IF(LEFT(A38,1)="*","*","")</f>
        <v/>
      </c>
      <c r="B39" s="255"/>
      <c r="C39" s="255"/>
      <c r="D39" s="255"/>
      <c r="E39" s="257"/>
      <c r="F39" s="255" t="str">
        <f>[2]Commodities!$D$9</f>
        <v>TL</v>
      </c>
      <c r="G39" s="257"/>
      <c r="H39" s="257"/>
      <c r="I39" s="294"/>
      <c r="J39" s="294"/>
      <c r="K39" s="294"/>
      <c r="L39" s="294"/>
      <c r="M39" s="294"/>
      <c r="N39" s="294"/>
      <c r="O39" s="294"/>
      <c r="P39" s="294"/>
      <c r="Q39" s="294"/>
      <c r="R39" s="294"/>
      <c r="S39" s="294"/>
      <c r="T39" s="294"/>
      <c r="U39" s="310"/>
      <c r="V39" s="310"/>
      <c r="W39" s="310"/>
      <c r="X39" s="310"/>
      <c r="Y39" s="310"/>
      <c r="Z39" s="310"/>
      <c r="AA39" s="310"/>
      <c r="AB39" s="310"/>
      <c r="AC39" s="310"/>
      <c r="AD39" s="310"/>
      <c r="AE39" s="294"/>
      <c r="AF39" s="311"/>
      <c r="AG39" s="311"/>
      <c r="AH39" s="311"/>
      <c r="AI39" s="311"/>
      <c r="AJ39" s="294"/>
      <c r="AX39" s="250"/>
      <c r="AY39" s="250"/>
      <c r="AZ39" s="250"/>
      <c r="BA39" s="250"/>
      <c r="BB39" s="250"/>
      <c r="BC39" s="250"/>
      <c r="BD39" s="250"/>
    </row>
    <row r="40" spans="1:56" x14ac:dyDescent="0.2">
      <c r="A40" s="255" t="str">
        <f>[2]Technologies!B112</f>
        <v>R2,R3,R4,R5,R6</v>
      </c>
      <c r="B40" s="255" t="str">
        <f>[2]Technologies!D112</f>
        <v>TLMCONV10</v>
      </c>
      <c r="C40" s="255" t="str">
        <f>[2]Technologies!E112</f>
        <v>TL.GSL.M.CONV.2010</v>
      </c>
      <c r="D40" s="255" t="s">
        <v>292</v>
      </c>
      <c r="E40" s="255" t="s">
        <v>111</v>
      </c>
      <c r="F40" s="255" t="str">
        <f>[2]Commodities!$D$9</f>
        <v>TL</v>
      </c>
      <c r="G40" s="257"/>
      <c r="H40" s="294">
        <v>1</v>
      </c>
      <c r="I40" s="309">
        <f>INDEX([2]ConsolidatedVehData!$D$22:$D$858,MATCH(B40,[2]ConsolidatedVehData!$A$22:$A$858,0))</f>
        <v>2010</v>
      </c>
      <c r="J40" s="294">
        <v>20</v>
      </c>
      <c r="K40" s="309">
        <f>INDEX([2]ConsolidatedVehData!$P$22:$Z$858,MATCH($B40,[2]ConsolidatedVehData!$A$22:$A$858,0),MATCH(K$1,[2]ConsolidatedVehData!$P$7:$Z$7,0))</f>
        <v>1912.875216770449</v>
      </c>
      <c r="L40" s="309">
        <f>INDEX([2]ConsolidatedVehData!$P$22:$Z$858,MATCH($B40,[2]ConsolidatedVehData!$A$22:$A$858,0),MATCH(L$1,[2]ConsolidatedVehData!$P$7:$Z$7,0))</f>
        <v>2017.8023765589585</v>
      </c>
      <c r="M40" s="309">
        <f>INDEX([2]ConsolidatedVehData!$P$22:$Z$858,MATCH($B40,[2]ConsolidatedVehData!$A$22:$A$858,0),MATCH(M$1,[2]ConsolidatedVehData!$P$7:$Z$7,0))</f>
        <v>2079.7668889755482</v>
      </c>
      <c r="N40" s="309">
        <f>INDEX([2]ConsolidatedVehData!$P$22:$Z$858,MATCH($B40,[2]ConsolidatedVehData!$A$22:$A$858,0),MATCH(N$1,[2]ConsolidatedVehData!$P$7:$Z$7,0))</f>
        <v>2159.4441985288622</v>
      </c>
      <c r="O40" s="309">
        <f>INDEX([2]ConsolidatedVehData!$P$22:$Z$858,MATCH($B40,[2]ConsolidatedVehData!$A$22:$A$858,0),MATCH(O$1,[2]ConsolidatedVehData!$P$7:$Z$7,0))</f>
        <v>2162.8549762871025</v>
      </c>
      <c r="P40" s="309">
        <f>INDEX([2]ConsolidatedVehData!$P$22:$Z$858,MATCH($B40,[2]ConsolidatedVehData!$A$22:$A$858,0),MATCH(P$1,[2]ConsolidatedVehData!$P$7:$Z$7,0))</f>
        <v>2164.5257278565996</v>
      </c>
      <c r="Q40" s="309">
        <f>INDEX([2]ConsolidatedVehData!$P$22:$Z$858,MATCH($B40,[2]ConsolidatedVehData!$A$22:$A$858,0),MATCH(Q$1,[2]ConsolidatedVehData!$P$7:$Z$7,0))</f>
        <v>2166.0150723186894</v>
      </c>
      <c r="R40" s="309">
        <f>INDEX([2]ConsolidatedVehData!$P$22:$Z$858,MATCH($B40,[2]ConsolidatedVehData!$A$22:$A$858,0),MATCH(R$1,[2]ConsolidatedVehData!$P$7:$Z$7,0))</f>
        <v>2166.0150723186894</v>
      </c>
      <c r="S40" s="309">
        <f>INDEX([2]ConsolidatedVehData!$P$22:$Z$858,MATCH($B40,[2]ConsolidatedVehData!$A$22:$A$858,0),MATCH(S$1,[2]ConsolidatedVehData!$P$7:$Z$7,0))</f>
        <v>2166.0150723186894</v>
      </c>
      <c r="T40" s="309">
        <f t="shared" ref="T40:T52" si="22">S40</f>
        <v>2166.0150723186894</v>
      </c>
      <c r="U40" s="310">
        <f>INDEX([2]ConsolidatedVehData!$AF$22:$AF$858,MATCH(B40,[2]ConsolidatedVehData!$A$22:$A$858,0))</f>
        <v>0.16865309024145619</v>
      </c>
      <c r="V40" s="310">
        <f>INDEX([2]ConsolidatedVehData!$AF$22:$AF$858,MATCH($B40,[2]ConsolidatedVehData!$A$22:$A$858,0)+1)</f>
        <v>0.17576411502064687</v>
      </c>
      <c r="W40" s="310">
        <f>INDEX([2]ConsolidatedVehData!$AF$22:$AF$858,MATCH($B40,[2]ConsolidatedVehData!$A$22:$A$858,0)+2)</f>
        <v>0.2077857107796317</v>
      </c>
      <c r="X40" s="310">
        <f>INDEX([2]ConsolidatedVehData!$AF$22:$AF$858,MATCH($B40,[2]ConsolidatedVehData!$A$22:$A$858,0)+3)</f>
        <v>0.25407115198563929</v>
      </c>
      <c r="Y40" s="310">
        <f>INDEX([2]ConsolidatedVehData!$AF$22:$AF$858,MATCH($B40,[2]ConsolidatedVehData!$A$22:$A$858,0)+4)</f>
        <v>0.25787226147721226</v>
      </c>
      <c r="Z40" s="310">
        <f>INDEX([2]ConsolidatedVehData!$AF$22:$AF$858,MATCH($B40,[2]ConsolidatedVehData!$A$22:$A$858,0)+5)</f>
        <v>0.2596587717519469</v>
      </c>
      <c r="AA40" s="310">
        <f>INDEX([2]ConsolidatedVehData!$AF$22:$AF$858,MATCH($B40,[2]ConsolidatedVehData!$A$22:$A$858,0)+6)</f>
        <v>0.25924877501448718</v>
      </c>
      <c r="AB40" s="310">
        <f>INDEX([2]ConsolidatedVehData!$AF$22:$AF$858,MATCH($B40,[2]ConsolidatedVehData!$A$22:$A$858,0)+7)</f>
        <v>0.25924877501448718</v>
      </c>
      <c r="AC40" s="310">
        <f>INDEX([2]ConsolidatedVehData!$AF$22:$AF$858,MATCH($B40,[2]ConsolidatedVehData!$A$22:$A$858,0)+8)</f>
        <v>0.25924877501448718</v>
      </c>
      <c r="AD40" s="310">
        <f t="shared" si="13"/>
        <v>0.25924877501448718</v>
      </c>
      <c r="AE40" s="286">
        <f>INDEX([2]ConsolidatedVehData!$AB$22:$AB$858,MATCH(B40,[2]ConsolidatedVehData!$A$22:$A$858,0))</f>
        <v>43.267274341798768</v>
      </c>
      <c r="AF40" s="311">
        <v>0.44</v>
      </c>
      <c r="AG40" s="311">
        <v>0.18</v>
      </c>
      <c r="AH40" s="311">
        <v>0.18</v>
      </c>
      <c r="AI40" s="311">
        <v>0.4</v>
      </c>
      <c r="AJ40" s="294">
        <v>0</v>
      </c>
      <c r="AX40" s="250"/>
      <c r="AY40" s="250"/>
      <c r="AZ40" s="250"/>
      <c r="BA40" s="250"/>
      <c r="BB40" s="250"/>
      <c r="BC40" s="250"/>
      <c r="BD40" s="250"/>
    </row>
    <row r="41" spans="1:56" x14ac:dyDescent="0.2">
      <c r="A41" s="255" t="str">
        <f>[2]Technologies!B80</f>
        <v>R2,R3,R4,R5,R6</v>
      </c>
      <c r="B41" s="255" t="str">
        <f>[2]Technologies!D80</f>
        <v>TLMELC</v>
      </c>
      <c r="C41" s="255" t="str">
        <f>[2]Technologies!E80</f>
        <v>Electric minivan w/100 mi range</v>
      </c>
      <c r="D41" s="255" t="s">
        <v>292</v>
      </c>
      <c r="E41" s="255" t="s">
        <v>99</v>
      </c>
      <c r="F41" s="255" t="str">
        <f>[2]Commodities!$D$9</f>
        <v>TL</v>
      </c>
      <c r="G41" s="257" t="str">
        <f>IF($I41&lt;G$1,0,"")</f>
        <v/>
      </c>
      <c r="H41" s="294">
        <v>1</v>
      </c>
      <c r="I41" s="309">
        <v>2015</v>
      </c>
      <c r="J41" s="294">
        <v>20</v>
      </c>
      <c r="K41" s="309">
        <f>L41</f>
        <v>5522.9192567131058</v>
      </c>
      <c r="L41" s="309">
        <f>L40+[2]GDPdeflator!$C$35*[2]ERG_ElectricVeh!B32</f>
        <v>5522.9192567131058</v>
      </c>
      <c r="M41" s="309">
        <f>M40+[2]GDPdeflator!$C$35*[2]ERG_ElectricVeh!C32</f>
        <v>4392.3833771374739</v>
      </c>
      <c r="N41" s="309">
        <f>N40+[2]GDPdeflator!$C$35*[2]ERG_ElectricVeh!D32</f>
        <v>3279.5602946985664</v>
      </c>
      <c r="O41" s="309">
        <f>O40+[2]GDPdeflator!$C$35*[2]ERG_ElectricVeh!E32</f>
        <v>3035.6366319614858</v>
      </c>
      <c r="P41" s="309">
        <f>P40+[2]GDPdeflator!$C$35*[2]ERG_ElectricVeh!F32</f>
        <v>2789.972943035662</v>
      </c>
      <c r="Q41" s="309">
        <f t="shared" ref="Q41:S42" si="23">P41</f>
        <v>2789.972943035662</v>
      </c>
      <c r="R41" s="309">
        <f t="shared" si="23"/>
        <v>2789.972943035662</v>
      </c>
      <c r="S41" s="309">
        <f t="shared" si="23"/>
        <v>2789.972943035662</v>
      </c>
      <c r="T41" s="309">
        <f t="shared" si="22"/>
        <v>2789.972943035662</v>
      </c>
      <c r="U41" s="310">
        <f>V41</f>
        <v>0.74173747260295531</v>
      </c>
      <c r="V41" s="310">
        <f>[2]ERG_ElectricVeh!P32*[2]Efficiencies!AE$51</f>
        <v>0.74173747260295531</v>
      </c>
      <c r="W41" s="310">
        <f>[2]ERG_ElectricVeh!Q32*[2]Efficiencies!AF$51</f>
        <v>0.75390427919867775</v>
      </c>
      <c r="X41" s="310">
        <f>[2]ERG_ElectricVeh!R32*[2]Efficiencies!AG$51</f>
        <v>0.76647688934335012</v>
      </c>
      <c r="Y41" s="310">
        <f>[2]ERG_ElectricVeh!S32*[2]Efficiencies!AH$51</f>
        <v>0.77301680875259782</v>
      </c>
      <c r="Z41" s="310">
        <f>[2]ERG_ElectricVeh!T32*[2]Efficiencies!AI$51</f>
        <v>0.77966929156531606</v>
      </c>
      <c r="AA41" s="310">
        <f t="shared" ref="AA41:AC42" si="24">Z41</f>
        <v>0.77966929156531606</v>
      </c>
      <c r="AB41" s="310">
        <f t="shared" si="24"/>
        <v>0.77966929156531606</v>
      </c>
      <c r="AC41" s="310">
        <f t="shared" si="24"/>
        <v>0.77966929156531606</v>
      </c>
      <c r="AD41" s="310">
        <f t="shared" si="13"/>
        <v>0.77966929156531606</v>
      </c>
      <c r="AE41" s="286">
        <f>0.75*AE40</f>
        <v>32.450455756349072</v>
      </c>
      <c r="AF41" s="311">
        <v>0.44</v>
      </c>
      <c r="AG41" s="311">
        <v>0.24</v>
      </c>
      <c r="AH41" s="311">
        <v>0.28000000000000003</v>
      </c>
      <c r="AI41" s="311">
        <v>0.44</v>
      </c>
      <c r="AJ41" s="294">
        <v>0</v>
      </c>
      <c r="AX41" s="250"/>
      <c r="AY41" s="250"/>
      <c r="AZ41" s="250"/>
      <c r="BA41" s="250"/>
      <c r="BB41" s="250"/>
      <c r="BC41" s="250"/>
      <c r="BD41" s="250"/>
    </row>
    <row r="42" spans="1:56" x14ac:dyDescent="0.2">
      <c r="A42" s="255" t="str">
        <f>[2]Technologies!B87</f>
        <v>R2,R3,R4,R5,R6</v>
      </c>
      <c r="B42" s="255" t="str">
        <f>[2]Technologies!D87</f>
        <v>TLMELCB</v>
      </c>
      <c r="C42" s="255" t="str">
        <f>[2]Technologies!E87</f>
        <v>Electric minivan w/200 mi range</v>
      </c>
      <c r="D42" s="255" t="s">
        <v>292</v>
      </c>
      <c r="E42" s="255" t="s">
        <v>99</v>
      </c>
      <c r="F42" s="255" t="str">
        <f>[2]Commodities!$D$9</f>
        <v>TL</v>
      </c>
      <c r="G42" s="257" t="str">
        <f>IF($I42&lt;G$1,0,"")</f>
        <v/>
      </c>
      <c r="H42" s="294">
        <v>1</v>
      </c>
      <c r="I42" s="309">
        <v>2025</v>
      </c>
      <c r="J42" s="294">
        <v>20</v>
      </c>
      <c r="K42" s="309">
        <f t="shared" ref="K42:M42" si="25">L42</f>
        <v>4908.9205078914347</v>
      </c>
      <c r="L42" s="309">
        <f t="shared" si="25"/>
        <v>4908.9205078914347</v>
      </c>
      <c r="M42" s="309">
        <f t="shared" si="25"/>
        <v>4908.9205078914347</v>
      </c>
      <c r="N42" s="309">
        <f>N40+[2]GDPdeflator!$C$35*[2]ERG_ElectricVeh!D42</f>
        <v>4908.9205078914347</v>
      </c>
      <c r="O42" s="309">
        <f>O40+[2]GDPdeflator!$C$35*[2]ERG_ElectricVeh!E42</f>
        <v>4350.9265691767278</v>
      </c>
      <c r="P42" s="309">
        <f>P40+[2]GDPdeflator!$C$35*[2]ERG_ElectricVeh!F42</f>
        <v>3791.1926042732784</v>
      </c>
      <c r="Q42" s="309">
        <f t="shared" si="23"/>
        <v>3791.1926042732784</v>
      </c>
      <c r="R42" s="309">
        <f t="shared" si="23"/>
        <v>3791.1926042732784</v>
      </c>
      <c r="S42" s="309">
        <f t="shared" si="23"/>
        <v>3791.1926042732784</v>
      </c>
      <c r="T42" s="309">
        <f>S42</f>
        <v>3791.1926042732784</v>
      </c>
      <c r="U42" s="310">
        <f t="shared" ref="U42:W42" si="26">V42</f>
        <v>0.67942770474177028</v>
      </c>
      <c r="V42" s="310">
        <f t="shared" si="26"/>
        <v>0.67942770474177028</v>
      </c>
      <c r="W42" s="310">
        <f t="shared" si="26"/>
        <v>0.67942770474177028</v>
      </c>
      <c r="X42" s="310">
        <f>[2]ERG_ElectricVeh!R42*[2]Efficiencies!AG$51</f>
        <v>0.67942770474177028</v>
      </c>
      <c r="Y42" s="310">
        <f>[2]ERG_ElectricVeh!S42*[2]Efficiencies!AH$51</f>
        <v>0.68521414302248662</v>
      </c>
      <c r="Z42" s="310">
        <f>[2]ERG_ElectricVeh!T42*[2]Efficiencies!AI$51</f>
        <v>0.6910999899043192</v>
      </c>
      <c r="AA42" s="310">
        <f t="shared" si="24"/>
        <v>0.6910999899043192</v>
      </c>
      <c r="AB42" s="310">
        <f t="shared" si="24"/>
        <v>0.6910999899043192</v>
      </c>
      <c r="AC42" s="310">
        <f t="shared" si="24"/>
        <v>0.6910999899043192</v>
      </c>
      <c r="AD42" s="310">
        <f t="shared" si="13"/>
        <v>0.6910999899043192</v>
      </c>
      <c r="AE42" s="286">
        <f>0.75*AE40</f>
        <v>32.450455756349072</v>
      </c>
      <c r="AF42" s="311">
        <v>0.44</v>
      </c>
      <c r="AG42" s="311">
        <v>0.24</v>
      </c>
      <c r="AH42" s="311">
        <v>0.28000000000000003</v>
      </c>
      <c r="AI42" s="311">
        <v>0.44</v>
      </c>
      <c r="AJ42" s="294">
        <v>0</v>
      </c>
      <c r="AX42" s="250"/>
      <c r="AY42" s="250"/>
      <c r="AZ42" s="250"/>
      <c r="BA42" s="250"/>
      <c r="BB42" s="250"/>
      <c r="BC42" s="250"/>
      <c r="BD42" s="250"/>
    </row>
    <row r="43" spans="1:56" x14ac:dyDescent="0.2">
      <c r="A43" s="255" t="str">
        <f>[2]Technologies!B113</f>
        <v>R2,R3,R4,R5,R6</v>
      </c>
      <c r="B43" s="255" t="str">
        <f>[2]Technologies!D113</f>
        <v>TLMCNG10</v>
      </c>
      <c r="C43" s="255" t="str">
        <f>[2]Technologies!E113</f>
        <v>TL.CNG.M.CNG.2010</v>
      </c>
      <c r="D43" s="255" t="s">
        <v>292</v>
      </c>
      <c r="E43" s="255" t="s">
        <v>79</v>
      </c>
      <c r="F43" s="255" t="str">
        <f>[2]Commodities!$D$9</f>
        <v>TL</v>
      </c>
      <c r="G43" s="257"/>
      <c r="H43" s="294">
        <v>1</v>
      </c>
      <c r="I43" s="309">
        <f>INDEX([2]ConsolidatedVehData!$D$22:$D$858,MATCH(B43,[2]ConsolidatedVehData!$A$22:$A$858,0))</f>
        <v>2010</v>
      </c>
      <c r="J43" s="294">
        <v>20</v>
      </c>
      <c r="K43" s="309">
        <f>INDEX([2]ConsolidatedVehData!$P$22:$Z$858,MATCH($B43,[2]ConsolidatedVehData!$A$22:$A$858,0),MATCH(K$1,[2]ConsolidatedVehData!$P$7:$Z$7,0))</f>
        <v>2535.2622501278288</v>
      </c>
      <c r="L43" s="309">
        <f>INDEX([2]ConsolidatedVehData!$P$22:$Z$858,MATCH($B43,[2]ConsolidatedVehData!$A$22:$A$858,0),MATCH(L$1,[2]ConsolidatedVehData!$P$7:$Z$7,0))</f>
        <v>2661.0083422291609</v>
      </c>
      <c r="M43" s="309">
        <f>INDEX([2]ConsolidatedVehData!$P$22:$Z$858,MATCH($B43,[2]ConsolidatedVehData!$A$22:$A$858,0),MATCH(M$1,[2]ConsolidatedVehData!$P$7:$Z$7,0))</f>
        <v>2721.6496644306321</v>
      </c>
      <c r="N43" s="309">
        <f>INDEX([2]ConsolidatedVehData!$P$22:$Z$858,MATCH($B43,[2]ConsolidatedVehData!$A$22:$A$858,0),MATCH(N$1,[2]ConsolidatedVehData!$P$7:$Z$7,0))</f>
        <v>2796.5719602206809</v>
      </c>
      <c r="O43" s="309">
        <f>INDEX([2]ConsolidatedVehData!$P$22:$Z$858,MATCH($B43,[2]ConsolidatedVehData!$A$22:$A$858,0),MATCH(O$1,[2]ConsolidatedVehData!$P$7:$Z$7,0))</f>
        <v>2800.1438129559137</v>
      </c>
      <c r="P43" s="309">
        <f>INDEX([2]ConsolidatedVehData!$P$22:$Z$858,MATCH($B43,[2]ConsolidatedVehData!$A$22:$A$858,0),MATCH(P$1,[2]ConsolidatedVehData!$P$7:$Z$7,0))</f>
        <v>2801.8655852551929</v>
      </c>
      <c r="Q43" s="309">
        <f>INDEX([2]ConsolidatedVehData!$P$22:$Z$858,MATCH($B43,[2]ConsolidatedVehData!$A$22:$A$858,0),MATCH(Q$1,[2]ConsolidatedVehData!$P$7:$Z$7,0))</f>
        <v>2803.6481466431705</v>
      </c>
      <c r="R43" s="309">
        <f>INDEX([2]ConsolidatedVehData!$P$22:$Z$858,MATCH($B43,[2]ConsolidatedVehData!$A$22:$A$858,0),MATCH(R$1,[2]ConsolidatedVehData!$P$7:$Z$7,0))</f>
        <v>2803.6481466431705</v>
      </c>
      <c r="S43" s="309">
        <f>INDEX([2]ConsolidatedVehData!$P$22:$Z$858,MATCH($B43,[2]ConsolidatedVehData!$A$22:$A$858,0),MATCH(S$1,[2]ConsolidatedVehData!$P$7:$Z$7,0))</f>
        <v>2803.6481466431705</v>
      </c>
      <c r="T43" s="309">
        <f t="shared" si="22"/>
        <v>2803.6481466431705</v>
      </c>
      <c r="U43" s="310">
        <f>INDEX([2]ConsolidatedVehData!$AF$22:$AF$858,MATCH(B43,[2]ConsolidatedVehData!$A$22:$A$858,0))</f>
        <v>0.18161264039065228</v>
      </c>
      <c r="V43" s="310">
        <f>INDEX([2]ConsolidatedVehData!$AF$22:$AF$858,MATCH($B43,[2]ConsolidatedVehData!$A$22:$A$858,0)+1)</f>
        <v>0.18900442768426323</v>
      </c>
      <c r="W43" s="310">
        <f>INDEX([2]ConsolidatedVehData!$AF$22:$AF$858,MATCH($B43,[2]ConsolidatedVehData!$A$22:$A$858,0)+2)</f>
        <v>0.22224359723100959</v>
      </c>
      <c r="X43" s="310">
        <f>INDEX([2]ConsolidatedVehData!$AF$22:$AF$858,MATCH($B43,[2]ConsolidatedVehData!$A$22:$A$858,0)+3)</f>
        <v>0.26876901137116516</v>
      </c>
      <c r="Y43" s="310">
        <f>INDEX([2]ConsolidatedVehData!$AF$22:$AF$858,MATCH($B43,[2]ConsolidatedVehData!$A$22:$A$858,0)+4)</f>
        <v>0.27268115905961393</v>
      </c>
      <c r="Z43" s="310">
        <f>INDEX([2]ConsolidatedVehData!$AF$22:$AF$858,MATCH($B43,[2]ConsolidatedVehData!$A$22:$A$858,0)+5)</f>
        <v>0.27491720419932969</v>
      </c>
      <c r="AA43" s="310">
        <f>INDEX([2]ConsolidatedVehData!$AF$22:$AF$858,MATCH($B43,[2]ConsolidatedVehData!$A$22:$A$858,0)+6)</f>
        <v>0.27490116981544116</v>
      </c>
      <c r="AB43" s="310">
        <f>INDEX([2]ConsolidatedVehData!$AF$22:$AF$858,MATCH($B43,[2]ConsolidatedVehData!$A$22:$A$858,0)+7)</f>
        <v>0.27490116981544116</v>
      </c>
      <c r="AC43" s="310">
        <f>INDEX([2]ConsolidatedVehData!$AF$22:$AF$858,MATCH($B43,[2]ConsolidatedVehData!$A$22:$A$858,0)+8)</f>
        <v>0.27490116981544116</v>
      </c>
      <c r="AD43" s="310">
        <f t="shared" si="13"/>
        <v>0.27490116981544116</v>
      </c>
      <c r="AE43" s="286">
        <f>INDEX([2]ConsolidatedVehData!$AB$22:$AB$858,MATCH(B43,[2]ConsolidatedVehData!$A$22:$A$858,0))</f>
        <v>38.940546907618888</v>
      </c>
      <c r="AF43" s="311">
        <v>0.44</v>
      </c>
      <c r="AG43" s="311">
        <v>0.24</v>
      </c>
      <c r="AH43" s="311">
        <v>0.24</v>
      </c>
      <c r="AI43" s="311">
        <v>0.44</v>
      </c>
      <c r="AJ43" s="294">
        <v>0</v>
      </c>
      <c r="AX43" s="250"/>
      <c r="AY43" s="250"/>
      <c r="AZ43" s="250"/>
      <c r="BA43" s="250"/>
      <c r="BB43" s="250"/>
      <c r="BC43" s="250"/>
      <c r="BD43" s="250"/>
    </row>
    <row r="44" spans="1:56" x14ac:dyDescent="0.2">
      <c r="A44" s="255" t="str">
        <f>[2]Technologies!B114</f>
        <v>*R2,R3,R4,R5,R6</v>
      </c>
      <c r="B44" s="255" t="str">
        <f>[2]Technologies!D114</f>
        <v>TLMCNGX10</v>
      </c>
      <c r="C44" s="255" t="str">
        <f>[2]Technologies!E114</f>
        <v>TL.CNGX.M.CNGX.2010</v>
      </c>
      <c r="D44" s="255" t="s">
        <v>292</v>
      </c>
      <c r="E44" s="255" t="s">
        <v>81</v>
      </c>
      <c r="F44" s="255" t="str">
        <f>[2]Commodities!$D$9</f>
        <v>TL</v>
      </c>
      <c r="G44" s="257">
        <v>0</v>
      </c>
      <c r="H44" s="294">
        <v>1</v>
      </c>
      <c r="I44" s="309">
        <f>INDEX([2]ConsolidatedVehData!$D$22:$D$858,MATCH(B44,[2]ConsolidatedVehData!$A$22:$A$858,0))</f>
        <v>2010</v>
      </c>
      <c r="J44" s="294">
        <v>20</v>
      </c>
      <c r="K44" s="309">
        <f>INDEX([2]ConsolidatedVehData!$P$22:$Z$858,MATCH($B44,[2]ConsolidatedVehData!$A$22:$A$858,0),MATCH(K$1,[2]ConsolidatedVehData!$P$7:$Z$7,0))</f>
        <v>2467.5549496793105</v>
      </c>
      <c r="L44" s="309">
        <f>INDEX([2]ConsolidatedVehData!$P$22:$Z$858,MATCH($B44,[2]ConsolidatedVehData!$A$22:$A$858,0),MATCH(L$1,[2]ConsolidatedVehData!$P$7:$Z$7,0))</f>
        <v>2592.6663372752132</v>
      </c>
      <c r="M44" s="309">
        <f>INDEX([2]ConsolidatedVehData!$P$22:$Z$858,MATCH($B44,[2]ConsolidatedVehData!$A$22:$A$858,0),MATCH(M$1,[2]ConsolidatedVehData!$P$7:$Z$7,0))</f>
        <v>2656.5822967277018</v>
      </c>
      <c r="N44" s="309">
        <f>INDEX([2]ConsolidatedVehData!$P$22:$Z$858,MATCH($B44,[2]ConsolidatedVehData!$A$22:$A$858,0),MATCH(N$1,[2]ConsolidatedVehData!$P$7:$Z$7,0))</f>
        <v>2733.2383617009605</v>
      </c>
      <c r="O44" s="309">
        <f>INDEX([2]ConsolidatedVehData!$P$22:$Z$858,MATCH($B44,[2]ConsolidatedVehData!$A$22:$A$858,0),MATCH(O$1,[2]ConsolidatedVehData!$P$7:$Z$7,0))</f>
        <v>2736.8258689066893</v>
      </c>
      <c r="P44" s="309">
        <f>INDEX([2]ConsolidatedVehData!$P$22:$Z$858,MATCH($B44,[2]ConsolidatedVehData!$A$22:$A$858,0),MATCH(P$1,[2]ConsolidatedVehData!$P$7:$Z$7,0))</f>
        <v>2738.5074077537602</v>
      </c>
      <c r="Q44" s="309">
        <f>INDEX([2]ConsolidatedVehData!$P$22:$Z$858,MATCH($B44,[2]ConsolidatedVehData!$A$22:$A$858,0),MATCH(Q$1,[2]ConsolidatedVehData!$P$7:$Z$7,0))</f>
        <v>2740.1465917484165</v>
      </c>
      <c r="R44" s="309">
        <f>INDEX([2]ConsolidatedVehData!$P$22:$Z$858,MATCH($B44,[2]ConsolidatedVehData!$A$22:$A$858,0),MATCH(R$1,[2]ConsolidatedVehData!$P$7:$Z$7,0))</f>
        <v>2740.1465917484165</v>
      </c>
      <c r="S44" s="309">
        <f>INDEX([2]ConsolidatedVehData!$P$22:$Z$858,MATCH($B44,[2]ConsolidatedVehData!$A$22:$A$858,0),MATCH(S$1,[2]ConsolidatedVehData!$P$7:$Z$7,0))</f>
        <v>2740.1465917484165</v>
      </c>
      <c r="T44" s="309">
        <f t="shared" si="22"/>
        <v>2740.1465917484165</v>
      </c>
      <c r="U44" s="310">
        <f>INDEX([2]ConsolidatedVehData!$AF$22:$AF$858,MATCH(B44,[2]ConsolidatedVehData!$A$22:$A$858,0))</f>
        <v>0.16824004064239248</v>
      </c>
      <c r="V44" s="310">
        <f>INDEX([2]ConsolidatedVehData!$AF$22:$AF$858,MATCH($B44,[2]ConsolidatedVehData!$A$22:$A$858,0)+1)</f>
        <v>0.17571613899346389</v>
      </c>
      <c r="W44" s="310">
        <f>INDEX([2]ConsolidatedVehData!$AF$22:$AF$858,MATCH($B44,[2]ConsolidatedVehData!$A$22:$A$858,0)+2)</f>
        <v>0.20781194489382934</v>
      </c>
      <c r="X44" s="310">
        <f>INDEX([2]ConsolidatedVehData!$AF$22:$AF$858,MATCH($B44,[2]ConsolidatedVehData!$A$22:$A$858,0)+3)</f>
        <v>0.2514217311108719</v>
      </c>
      <c r="Y44" s="310">
        <f>INDEX([2]ConsolidatedVehData!$AF$22:$AF$858,MATCH($B44,[2]ConsolidatedVehData!$A$22:$A$858,0)+4)</f>
        <v>0.25532792480848032</v>
      </c>
      <c r="Z44" s="310">
        <f>INDEX([2]ConsolidatedVehData!$AF$22:$AF$858,MATCH($B44,[2]ConsolidatedVehData!$A$22:$A$858,0)+5)</f>
        <v>0.25750229042383349</v>
      </c>
      <c r="AA44" s="310">
        <f>INDEX([2]ConsolidatedVehData!$AF$22:$AF$858,MATCH($B44,[2]ConsolidatedVehData!$A$22:$A$858,0)+6)</f>
        <v>0.25714738799441933</v>
      </c>
      <c r="AB44" s="310">
        <f>INDEX([2]ConsolidatedVehData!$AF$22:$AF$858,MATCH($B44,[2]ConsolidatedVehData!$A$22:$A$858,0)+7)</f>
        <v>0.25714738799441933</v>
      </c>
      <c r="AC44" s="310">
        <f>INDEX([2]ConsolidatedVehData!$AF$22:$AF$858,MATCH($B44,[2]ConsolidatedVehData!$A$22:$A$858,0)+8)</f>
        <v>0.25714738799441933</v>
      </c>
      <c r="AD44" s="310">
        <f t="shared" si="13"/>
        <v>0.25714738799441933</v>
      </c>
      <c r="AE44" s="286">
        <f>INDEX([2]ConsolidatedVehData!$AB$22:$AB$858,MATCH(B44,[2]ConsolidatedVehData!$A$22:$A$858,0))</f>
        <v>38.940546907618888</v>
      </c>
      <c r="AF44" s="311">
        <v>0.44</v>
      </c>
      <c r="AG44" s="311">
        <v>0.24</v>
      </c>
      <c r="AH44" s="311">
        <v>0.24</v>
      </c>
      <c r="AI44" s="311">
        <v>0.44</v>
      </c>
      <c r="AJ44" s="294">
        <v>0</v>
      </c>
      <c r="AX44" s="250"/>
      <c r="AY44" s="250"/>
      <c r="AZ44" s="250"/>
      <c r="BA44" s="250"/>
      <c r="BB44" s="250"/>
      <c r="BC44" s="250"/>
      <c r="BD44" s="250"/>
    </row>
    <row r="45" spans="1:56" x14ac:dyDescent="0.2">
      <c r="A45" s="255" t="str">
        <f>[2]Technologies!B115</f>
        <v>R2,R3,R4,R5,R6</v>
      </c>
      <c r="B45" s="255" t="str">
        <f>[2]Technologies!D115</f>
        <v>TLMDHEV15</v>
      </c>
      <c r="C45" s="255" t="str">
        <f>[2]Technologies!E115</f>
        <v>TL.DSL.M.DHEV.2015</v>
      </c>
      <c r="D45" s="255" t="s">
        <v>292</v>
      </c>
      <c r="E45" s="255" t="s">
        <v>89</v>
      </c>
      <c r="F45" s="255" t="str">
        <f>[2]Commodities!$D$9</f>
        <v>TL</v>
      </c>
      <c r="G45" s="257"/>
      <c r="H45" s="294">
        <v>1</v>
      </c>
      <c r="I45" s="309">
        <f>INDEX([2]ConsolidatedVehData!$D$22:$D$858,MATCH(B45,[2]ConsolidatedVehData!$A$22:$A$858,0))</f>
        <v>2015</v>
      </c>
      <c r="J45" s="294">
        <v>20</v>
      </c>
      <c r="K45" s="309">
        <f t="shared" ref="K45:M45" si="27">L45</f>
        <v>2678.251814631361</v>
      </c>
      <c r="L45" s="309">
        <f t="shared" si="27"/>
        <v>2678.251814631361</v>
      </c>
      <c r="M45" s="309">
        <f t="shared" si="27"/>
        <v>2678.251814631361</v>
      </c>
      <c r="N45" s="309">
        <f>INDEX([2]ConsolidatedVehData!$P$22:$Z$858,MATCH($B45,[2]ConsolidatedVehData!$A$22:$A$858,0),MATCH(N$1,[2]ConsolidatedVehData!$P$7:$Z$7,0))</f>
        <v>2678.251814631361</v>
      </c>
      <c r="O45" s="309">
        <f>INDEX([2]ConsolidatedVehData!$P$22:$Z$858,MATCH($B45,[2]ConsolidatedVehData!$A$22:$A$858,0),MATCH(O$1,[2]ConsolidatedVehData!$P$7:$Z$7,0))</f>
        <v>2638.4121381935711</v>
      </c>
      <c r="P45" s="309">
        <f>INDEX([2]ConsolidatedVehData!$P$22:$Z$858,MATCH($B45,[2]ConsolidatedVehData!$A$22:$A$858,0),MATCH(P$1,[2]ConsolidatedVehData!$P$7:$Z$7,0))</f>
        <v>2628.8342357128327</v>
      </c>
      <c r="Q45" s="309">
        <f>INDEX([2]ConsolidatedVehData!$P$22:$Z$858,MATCH($B45,[2]ConsolidatedVehData!$A$22:$A$858,0),MATCH(Q$1,[2]ConsolidatedVehData!$P$7:$Z$7,0))</f>
        <v>2627.0176587698074</v>
      </c>
      <c r="R45" s="309">
        <f>INDEX([2]ConsolidatedVehData!$P$22:$Z$858,MATCH($B45,[2]ConsolidatedVehData!$A$22:$A$858,0),MATCH(R$1,[2]ConsolidatedVehData!$P$7:$Z$7,0))</f>
        <v>2627.0176587698074</v>
      </c>
      <c r="S45" s="309">
        <f>INDEX([2]ConsolidatedVehData!$P$22:$Z$858,MATCH($B45,[2]ConsolidatedVehData!$A$22:$A$858,0),MATCH(S$1,[2]ConsolidatedVehData!$P$7:$Z$7,0))</f>
        <v>2627.0176587698074</v>
      </c>
      <c r="T45" s="309">
        <f t="shared" si="22"/>
        <v>2627.0176587698074</v>
      </c>
      <c r="U45" s="310">
        <f t="shared" ref="U45:W45" si="28">V45</f>
        <v>0.37132510902415805</v>
      </c>
      <c r="V45" s="310">
        <f t="shared" si="28"/>
        <v>0.37132510902415805</v>
      </c>
      <c r="W45" s="310">
        <f t="shared" si="28"/>
        <v>0.37132510902415805</v>
      </c>
      <c r="X45" s="310">
        <f>INDEX([2]ConsolidatedVehData!$AF$22:$AF$858,MATCH($B45,[2]ConsolidatedVehData!$A$22:$A$858,0)+2)</f>
        <v>0.37132510902415805</v>
      </c>
      <c r="Y45" s="310">
        <f>INDEX([2]ConsolidatedVehData!$AF$22:$AF$858,MATCH($B45,[2]ConsolidatedVehData!$A$22:$A$858,0)+3)</f>
        <v>0.37387335342475858</v>
      </c>
      <c r="Z45" s="310">
        <f>INDEX([2]ConsolidatedVehData!$AF$22:$AF$858,MATCH($B45,[2]ConsolidatedVehData!$A$22:$A$858,0)+4)</f>
        <v>0.37558377261160747</v>
      </c>
      <c r="AA45" s="310">
        <f>INDEX([2]ConsolidatedVehData!$AF$22:$AF$858,MATCH($B45,[2]ConsolidatedVehData!$A$22:$A$858,0)+5)</f>
        <v>0.37371856876662479</v>
      </c>
      <c r="AB45" s="310">
        <f>INDEX([2]ConsolidatedVehData!$AF$22:$AF$858,MATCH($B45,[2]ConsolidatedVehData!$A$22:$A$858,0)+6)</f>
        <v>0.37371856876662479</v>
      </c>
      <c r="AC45" s="310">
        <f>INDEX([2]ConsolidatedVehData!$AF$22:$AF$858,MATCH($B45,[2]ConsolidatedVehData!$A$22:$A$858,0)+7)</f>
        <v>0.37371856876662479</v>
      </c>
      <c r="AD45" s="310">
        <f t="shared" si="13"/>
        <v>0.37371856876662479</v>
      </c>
      <c r="AE45" s="286">
        <f>INDEX([2]ConsolidatedVehData!$AB$22:$AB$858,MATCH(B45,[2]ConsolidatedVehData!$A$22:$A$858,0))</f>
        <v>45.430638058888704</v>
      </c>
      <c r="AF45" s="311">
        <v>0.44</v>
      </c>
      <c r="AG45" s="311">
        <v>0.18</v>
      </c>
      <c r="AH45" s="311">
        <v>0.24</v>
      </c>
      <c r="AI45" s="311">
        <v>0.44</v>
      </c>
      <c r="AJ45" s="294">
        <v>0</v>
      </c>
      <c r="AX45" s="250"/>
      <c r="AY45" s="250"/>
      <c r="AZ45" s="250"/>
      <c r="BA45" s="250"/>
      <c r="BB45" s="250"/>
      <c r="BC45" s="250"/>
      <c r="BD45" s="250"/>
    </row>
    <row r="46" spans="1:56" x14ac:dyDescent="0.2">
      <c r="A46" s="255" t="str">
        <f>[2]Technologies!B116</f>
        <v>R2,R3,R4,R5,R6</v>
      </c>
      <c r="B46" s="255" t="str">
        <f>[2]Technologies!D116</f>
        <v>TLMDSL10</v>
      </c>
      <c r="C46" s="255" t="str">
        <f>[2]Technologies!E116</f>
        <v>TL.DSL.M.DSL.2010</v>
      </c>
      <c r="D46" s="255" t="s">
        <v>292</v>
      </c>
      <c r="E46" s="255" t="s">
        <v>89</v>
      </c>
      <c r="F46" s="255" t="str">
        <f>[2]Commodities!$D$9</f>
        <v>TL</v>
      </c>
      <c r="G46" s="257"/>
      <c r="H46" s="294">
        <v>1</v>
      </c>
      <c r="I46" s="309">
        <f>INDEX([2]ConsolidatedVehData!$D$22:$D$858,MATCH(B46,[2]ConsolidatedVehData!$A$22:$A$858,0))</f>
        <v>2010</v>
      </c>
      <c r="J46" s="294">
        <v>20</v>
      </c>
      <c r="K46" s="309">
        <f>INDEX([2]ConsolidatedVehData!$P$22:$Z$858,MATCH($B46,[2]ConsolidatedVehData!$A$22:$A$858,0),MATCH(K$1,[2]ConsolidatedVehData!$P$7:$Z$7,0))</f>
        <v>2311.5959860783864</v>
      </c>
      <c r="L46" s="309">
        <f>INDEX([2]ConsolidatedVehData!$P$22:$Z$858,MATCH($B46,[2]ConsolidatedVehData!$A$22:$A$858,0),MATCH(L$1,[2]ConsolidatedVehData!$P$7:$Z$7,0))</f>
        <v>2426.3730236931583</v>
      </c>
      <c r="M46" s="309">
        <f>INDEX([2]ConsolidatedVehData!$P$22:$Z$858,MATCH($B46,[2]ConsolidatedVehData!$A$22:$A$858,0),MATCH(M$1,[2]ConsolidatedVehData!$P$7:$Z$7,0))</f>
        <v>2451.1949510824902</v>
      </c>
      <c r="N46" s="309">
        <f>INDEX([2]ConsolidatedVehData!$P$22:$Z$858,MATCH($B46,[2]ConsolidatedVehData!$A$22:$A$858,0),MATCH(N$1,[2]ConsolidatedVehData!$P$7:$Z$7,0))</f>
        <v>2501.0424245454392</v>
      </c>
      <c r="O46" s="309">
        <f>INDEX([2]ConsolidatedVehData!$P$22:$Z$858,MATCH($B46,[2]ConsolidatedVehData!$A$22:$A$858,0),MATCH(O$1,[2]ConsolidatedVehData!$P$7:$Z$7,0))</f>
        <v>2503.2962690572049</v>
      </c>
      <c r="P46" s="309">
        <f>INDEX([2]ConsolidatedVehData!$P$22:$Z$858,MATCH($B46,[2]ConsolidatedVehData!$A$22:$A$858,0),MATCH(P$1,[2]ConsolidatedVehData!$P$7:$Z$7,0))</f>
        <v>2505.1323621989332</v>
      </c>
      <c r="Q46" s="309">
        <f>INDEX([2]ConsolidatedVehData!$P$22:$Z$858,MATCH($B46,[2]ConsolidatedVehData!$A$22:$A$858,0),MATCH(Q$1,[2]ConsolidatedVehData!$P$7:$Z$7,0))</f>
        <v>2506.583013640538</v>
      </c>
      <c r="R46" s="309">
        <f>INDEX([2]ConsolidatedVehData!$P$22:$Z$858,MATCH($B46,[2]ConsolidatedVehData!$A$22:$A$858,0),MATCH(R$1,[2]ConsolidatedVehData!$P$7:$Z$7,0))</f>
        <v>2506.583013640538</v>
      </c>
      <c r="S46" s="309">
        <f>INDEX([2]ConsolidatedVehData!$P$22:$Z$858,MATCH($B46,[2]ConsolidatedVehData!$A$22:$A$858,0),MATCH(S$1,[2]ConsolidatedVehData!$P$7:$Z$7,0))</f>
        <v>2506.583013640538</v>
      </c>
      <c r="T46" s="309">
        <f t="shared" si="22"/>
        <v>2506.583013640538</v>
      </c>
      <c r="U46" s="310">
        <f>INDEX([2]ConsolidatedVehData!$AF$22:$AF$858,MATCH(B46,[2]ConsolidatedVehData!$A$22:$A$858,0))</f>
        <v>0.20860161467159608</v>
      </c>
      <c r="V46" s="310">
        <f>INDEX([2]ConsolidatedVehData!$AF$22:$AF$858,MATCH($B46,[2]ConsolidatedVehData!$A$22:$A$858,0)+1)</f>
        <v>0.21564686009948636</v>
      </c>
      <c r="W46" s="310">
        <f>INDEX([2]ConsolidatedVehData!$AF$22:$AF$858,MATCH($B46,[2]ConsolidatedVehData!$A$22:$A$858,0)+2)</f>
        <v>0.23349255799929924</v>
      </c>
      <c r="X46" s="310">
        <f>INDEX([2]ConsolidatedVehData!$AF$22:$AF$858,MATCH($B46,[2]ConsolidatedVehData!$A$22:$A$858,0)+3)</f>
        <v>0.26553348578064917</v>
      </c>
      <c r="Y46" s="310">
        <f>INDEX([2]ConsolidatedVehData!$AF$22:$AF$858,MATCH($B46,[2]ConsolidatedVehData!$A$22:$A$858,0)+4)</f>
        <v>0.26907833895372402</v>
      </c>
      <c r="Z46" s="310">
        <f>INDEX([2]ConsolidatedVehData!$AF$22:$AF$858,MATCH($B46,[2]ConsolidatedVehData!$A$22:$A$858,0)+5)</f>
        <v>0.27109825992271108</v>
      </c>
      <c r="AA46" s="310">
        <f>INDEX([2]ConsolidatedVehData!$AF$22:$AF$858,MATCH($B46,[2]ConsolidatedVehData!$A$22:$A$858,0)+6)</f>
        <v>0.27070181880484673</v>
      </c>
      <c r="AB46" s="310">
        <f>INDEX([2]ConsolidatedVehData!$AF$22:$AF$858,MATCH($B46,[2]ConsolidatedVehData!$A$22:$A$858,0)+7)</f>
        <v>0.27070181880484673</v>
      </c>
      <c r="AC46" s="310">
        <f>INDEX([2]ConsolidatedVehData!$AF$22:$AF$858,MATCH($B46,[2]ConsolidatedVehData!$A$22:$A$858,0)+8)</f>
        <v>0.27070181880484673</v>
      </c>
      <c r="AD46" s="310">
        <f t="shared" si="13"/>
        <v>0.27070181880484673</v>
      </c>
      <c r="AE46" s="286">
        <f>INDEX([2]ConsolidatedVehData!$AB$22:$AB$858,MATCH(B46,[2]ConsolidatedVehData!$A$22:$A$858,0))</f>
        <v>43.267274341798768</v>
      </c>
      <c r="AF46" s="311">
        <v>0.44</v>
      </c>
      <c r="AG46" s="311">
        <v>0.18</v>
      </c>
      <c r="AH46" s="311">
        <v>0.24</v>
      </c>
      <c r="AI46" s="311">
        <v>0.44</v>
      </c>
      <c r="AJ46" s="294">
        <v>0</v>
      </c>
      <c r="AX46" s="250"/>
      <c r="AY46" s="250"/>
      <c r="AZ46" s="250"/>
      <c r="BA46" s="250"/>
      <c r="BB46" s="250"/>
      <c r="BC46" s="250"/>
      <c r="BD46" s="250"/>
    </row>
    <row r="47" spans="1:56" x14ac:dyDescent="0.2">
      <c r="A47" s="255" t="str">
        <f>[2]Technologies!B117</f>
        <v>*R2,R3,R4,R5,R6</v>
      </c>
      <c r="B47" s="255" t="str">
        <f>[2]Technologies!D117</f>
        <v>TLMETHX10</v>
      </c>
      <c r="C47" s="255" t="str">
        <f>[2]Technologies!E117</f>
        <v>TL.E85X.M.ETHX.2010</v>
      </c>
      <c r="D47" s="255" t="s">
        <v>292</v>
      </c>
      <c r="E47" s="255" t="s">
        <v>95</v>
      </c>
      <c r="F47" s="255" t="str">
        <f>[2]Commodities!$D$9</f>
        <v>TL</v>
      </c>
      <c r="G47" s="257"/>
      <c r="H47" s="294">
        <v>1</v>
      </c>
      <c r="I47" s="309">
        <f>INDEX([2]ConsolidatedVehData!$D$22:$D$858,MATCH(B47,[2]ConsolidatedVehData!$A$22:$A$858,0))</f>
        <v>2010</v>
      </c>
      <c r="J47" s="294">
        <v>20</v>
      </c>
      <c r="K47" s="309">
        <f>INDEX([2]ConsolidatedVehData!$P$22:$Z$858,MATCH($B47,[2]ConsolidatedVehData!$A$22:$A$858,0),MATCH(K$1,[2]ConsolidatedVehData!$P$7:$Z$7,0))</f>
        <v>1920.3982501536177</v>
      </c>
      <c r="L47" s="309">
        <f>INDEX([2]ConsolidatedVehData!$P$22:$Z$858,MATCH($B47,[2]ConsolidatedVehData!$A$22:$A$858,0),MATCH(L$1,[2]ConsolidatedVehData!$P$7:$Z$7,0))</f>
        <v>2025.2609339047219</v>
      </c>
      <c r="M47" s="309">
        <f>INDEX([2]ConsolidatedVehData!$P$22:$Z$858,MATCH($B47,[2]ConsolidatedVehData!$A$22:$A$858,0),MATCH(M$1,[2]ConsolidatedVehData!$P$7:$Z$7,0))</f>
        <v>2086.8399931628805</v>
      </c>
      <c r="N47" s="309">
        <f>INDEX([2]ConsolidatedVehData!$P$22:$Z$858,MATCH($B47,[2]ConsolidatedVehData!$A$22:$A$858,0),MATCH(N$1,[2]ConsolidatedVehData!$P$7:$Z$7,0))</f>
        <v>2166.5037183062068</v>
      </c>
      <c r="O47" s="309">
        <f>INDEX([2]ConsolidatedVehData!$P$22:$Z$858,MATCH($B47,[2]ConsolidatedVehData!$A$22:$A$858,0),MATCH(O$1,[2]ConsolidatedVehData!$P$7:$Z$7,0))</f>
        <v>2169.9990526739866</v>
      </c>
      <c r="P47" s="309">
        <f>INDEX([2]ConsolidatedVehData!$P$22:$Z$858,MATCH($B47,[2]ConsolidatedVehData!$A$22:$A$858,0),MATCH(P$1,[2]ConsolidatedVehData!$P$7:$Z$7,0))</f>
        <v>2171.668654018918</v>
      </c>
      <c r="Q47" s="309">
        <f>INDEX([2]ConsolidatedVehData!$P$22:$Z$858,MATCH($B47,[2]ConsolidatedVehData!$A$22:$A$858,0),MATCH(Q$1,[2]ConsolidatedVehData!$P$7:$Z$7,0))</f>
        <v>2173.1196850558599</v>
      </c>
      <c r="R47" s="309">
        <f>INDEX([2]ConsolidatedVehData!$P$22:$Z$858,MATCH($B47,[2]ConsolidatedVehData!$A$22:$A$858,0),MATCH(R$1,[2]ConsolidatedVehData!$P$7:$Z$7,0))</f>
        <v>2173.1196850558599</v>
      </c>
      <c r="S47" s="309">
        <f>INDEX([2]ConsolidatedVehData!$P$22:$Z$858,MATCH($B47,[2]ConsolidatedVehData!$A$22:$A$858,0),MATCH(S$1,[2]ConsolidatedVehData!$P$7:$Z$7,0))</f>
        <v>2173.1196850558599</v>
      </c>
      <c r="T47" s="309">
        <f t="shared" si="22"/>
        <v>2173.1196850558599</v>
      </c>
      <c r="U47" s="310">
        <f>U40</f>
        <v>0.16865309024145619</v>
      </c>
      <c r="V47" s="310">
        <f t="shared" ref="V47:AC47" si="29">V40</f>
        <v>0.17576411502064687</v>
      </c>
      <c r="W47" s="310">
        <f t="shared" si="29"/>
        <v>0.2077857107796317</v>
      </c>
      <c r="X47" s="310">
        <f t="shared" si="29"/>
        <v>0.25407115198563929</v>
      </c>
      <c r="Y47" s="310">
        <f t="shared" si="29"/>
        <v>0.25787226147721226</v>
      </c>
      <c r="Z47" s="310">
        <f t="shared" si="29"/>
        <v>0.2596587717519469</v>
      </c>
      <c r="AA47" s="310">
        <f t="shared" si="29"/>
        <v>0.25924877501448718</v>
      </c>
      <c r="AB47" s="310">
        <f t="shared" si="29"/>
        <v>0.25924877501448718</v>
      </c>
      <c r="AC47" s="310">
        <f t="shared" si="29"/>
        <v>0.25924877501448718</v>
      </c>
      <c r="AD47" s="310">
        <f t="shared" si="13"/>
        <v>0.25924877501448718</v>
      </c>
      <c r="AE47" s="286">
        <f>INDEX([2]ConsolidatedVehData!$AB$22:$AB$858,MATCH(B47,[2]ConsolidatedVehData!$A$22:$A$858,0))</f>
        <v>43.267274341798768</v>
      </c>
      <c r="AF47" s="311">
        <v>0.44</v>
      </c>
      <c r="AG47" s="311">
        <v>0.18</v>
      </c>
      <c r="AH47" s="311">
        <v>0.18</v>
      </c>
      <c r="AI47" s="311">
        <v>0.4</v>
      </c>
      <c r="AJ47" s="294">
        <v>0</v>
      </c>
      <c r="AX47" s="250"/>
      <c r="AY47" s="250"/>
      <c r="AZ47" s="250"/>
      <c r="BA47" s="250"/>
      <c r="BB47" s="250"/>
      <c r="BC47" s="250"/>
      <c r="BD47" s="250"/>
    </row>
    <row r="48" spans="1:56" x14ac:dyDescent="0.2">
      <c r="A48" s="255" t="str">
        <f>[2]Technologies!B118</f>
        <v>R2,R3,R4,R5,R6</v>
      </c>
      <c r="B48" s="255" t="str">
        <f>[2]Technologies!D118</f>
        <v>TLMFCH15</v>
      </c>
      <c r="C48" s="255" t="str">
        <f>[2]Technologies!E118</f>
        <v>TL.H2.M.FCH.2015</v>
      </c>
      <c r="D48" s="255" t="s">
        <v>292</v>
      </c>
      <c r="E48" s="255" t="s">
        <v>105</v>
      </c>
      <c r="F48" s="255" t="str">
        <f>[2]Commodities!$D$9</f>
        <v>TL</v>
      </c>
      <c r="G48" s="257"/>
      <c r="H48" s="294">
        <v>1</v>
      </c>
      <c r="I48" s="309">
        <f>INDEX([2]ConsolidatedVehData!$D$22:$D$858,MATCH(B48,[2]ConsolidatedVehData!$A$22:$A$858,0))</f>
        <v>2015</v>
      </c>
      <c r="J48" s="294">
        <v>20</v>
      </c>
      <c r="K48" s="309">
        <f t="shared" ref="K48:L49" si="30">L48</f>
        <v>6531.647275651314</v>
      </c>
      <c r="L48" s="309">
        <f>INDEX([2]ConsolidatedVehData!$P$22:$Z$858,MATCH($B48,[2]ConsolidatedVehData!$A$22:$A$858,0),MATCH(L$1,[2]ConsolidatedVehData!$P$7:$Z$7,0))</f>
        <v>6531.647275651314</v>
      </c>
      <c r="M48" s="309">
        <f>INDEX([2]ConsolidatedVehData!$P$22:$Z$858,MATCH($B48,[2]ConsolidatedVehData!$A$22:$A$858,0),MATCH(M$1,[2]ConsolidatedVehData!$P$7:$Z$7,0))</f>
        <v>5471.2530193927787</v>
      </c>
      <c r="N48" s="309">
        <f>INDEX([2]ConsolidatedVehData!$P$22:$Z$858,MATCH($B48,[2]ConsolidatedVehData!$A$22:$A$858,0),MATCH(N$1,[2]ConsolidatedVehData!$P$7:$Z$7,0))</f>
        <v>4606.6533952664504</v>
      </c>
      <c r="O48" s="309">
        <f>INDEX([2]ConsolidatedVehData!$P$22:$Z$858,MATCH($B48,[2]ConsolidatedVehData!$A$22:$A$858,0),MATCH(O$1,[2]ConsolidatedVehData!$P$7:$Z$7,0))</f>
        <v>4155.9762589661541</v>
      </c>
      <c r="P48" s="309">
        <f>INDEX([2]ConsolidatedVehData!$P$22:$Z$858,MATCH($B48,[2]ConsolidatedVehData!$A$22:$A$858,0),MATCH(P$1,[2]ConsolidatedVehData!$P$7:$Z$7,0))</f>
        <v>3802.8201096503612</v>
      </c>
      <c r="Q48" s="309">
        <f>INDEX([2]ConsolidatedVehData!$P$22:$Z$858,MATCH($B48,[2]ConsolidatedVehData!$A$22:$A$858,0),MATCH(Q$1,[2]ConsolidatedVehData!$P$7:$Z$7,0))</f>
        <v>3523.6096805119491</v>
      </c>
      <c r="R48" s="309">
        <f>INDEX([2]ConsolidatedVehData!$P$22:$Z$858,MATCH($B48,[2]ConsolidatedVehData!$A$22:$A$858,0),MATCH(R$1,[2]ConsolidatedVehData!$P$7:$Z$7,0))</f>
        <v>3523.6096805119491</v>
      </c>
      <c r="S48" s="309">
        <f>INDEX([2]ConsolidatedVehData!$P$22:$Z$858,MATCH($B48,[2]ConsolidatedVehData!$A$22:$A$858,0),MATCH(S$1,[2]ConsolidatedVehData!$P$7:$Z$7,0))</f>
        <v>3523.6096805119491</v>
      </c>
      <c r="T48" s="309">
        <f t="shared" si="22"/>
        <v>3523.6096805119491</v>
      </c>
      <c r="U48" s="310">
        <f>V48</f>
        <v>0.25445024287957418</v>
      </c>
      <c r="V48" s="310">
        <f>INDEX([2]ConsolidatedVehData!$AF$22:$AF$858,MATCH(B48,[2]ConsolidatedVehData!$A$22:$A$858,0))</f>
        <v>0.25445024287957418</v>
      </c>
      <c r="W48" s="310">
        <f>INDEX([2]ConsolidatedVehData!$AF$22:$AF$858,MATCH($B48,[2]ConsolidatedVehData!$A$22:$A$858,0)+1)</f>
        <v>0.27123956733513299</v>
      </c>
      <c r="X48" s="310">
        <f>INDEX([2]ConsolidatedVehData!$AF$22:$AF$858,MATCH($B48,[2]ConsolidatedVehData!$A$22:$A$858,0)+2)</f>
        <v>0.29783224914757134</v>
      </c>
      <c r="Y48" s="310">
        <f>INDEX([2]ConsolidatedVehData!$AF$22:$AF$858,MATCH($B48,[2]ConsolidatedVehData!$A$22:$A$858,0)+3)</f>
        <v>0.29786110849140901</v>
      </c>
      <c r="Z48" s="310">
        <f>INDEX([2]ConsolidatedVehData!$AF$22:$AF$858,MATCH($B48,[2]ConsolidatedVehData!$A$22:$A$858,0)+4)</f>
        <v>0.29786147146197361</v>
      </c>
      <c r="AA48" s="310">
        <f>INDEX([2]ConsolidatedVehData!$AF$22:$AF$858,MATCH($B48,[2]ConsolidatedVehData!$A$22:$A$858,0)+5)</f>
        <v>0.29786878181650273</v>
      </c>
      <c r="AB48" s="310">
        <f>INDEX([2]ConsolidatedVehData!$AF$22:$AF$858,MATCH($B48,[2]ConsolidatedVehData!$A$22:$A$858,0)+6)</f>
        <v>0.29786878181650273</v>
      </c>
      <c r="AC48" s="310">
        <f>INDEX([2]ConsolidatedVehData!$AF$22:$AF$858,MATCH($B48,[2]ConsolidatedVehData!$A$22:$A$858,0)+7)</f>
        <v>0.29786878181650273</v>
      </c>
      <c r="AD48" s="310">
        <f t="shared" si="13"/>
        <v>0.29786878181650273</v>
      </c>
      <c r="AE48" s="286">
        <f>INDEX([2]ConsolidatedVehData!$AB$22:$AB$858,MATCH(B48,[2]ConsolidatedVehData!$A$22:$A$858,0))</f>
        <v>47.594001775978647</v>
      </c>
      <c r="AF48" s="311">
        <v>0.44</v>
      </c>
      <c r="AG48" s="311">
        <v>0.24</v>
      </c>
      <c r="AH48" s="311">
        <v>0.28000000000000003</v>
      </c>
      <c r="AI48" s="311">
        <v>0.44</v>
      </c>
      <c r="AJ48" s="294">
        <v>0</v>
      </c>
      <c r="AX48" s="250"/>
      <c r="AY48" s="250"/>
      <c r="AZ48" s="250"/>
      <c r="BA48" s="250"/>
      <c r="BB48" s="250"/>
      <c r="BC48" s="250"/>
      <c r="BD48" s="250"/>
    </row>
    <row r="49" spans="1:56" x14ac:dyDescent="0.2">
      <c r="A49" s="255" t="str">
        <f>[2]Technologies!B119</f>
        <v>R2,R3,R4,R5,R6</v>
      </c>
      <c r="B49" s="255" t="str">
        <f>[2]Technologies!D119</f>
        <v>TLMHEV10</v>
      </c>
      <c r="C49" s="255" t="str">
        <f>[2]Technologies!E119</f>
        <v>TL.GSL.M.HEV.2010</v>
      </c>
      <c r="D49" s="255" t="s">
        <v>292</v>
      </c>
      <c r="E49" s="255" t="s">
        <v>111</v>
      </c>
      <c r="F49" s="255" t="str">
        <f>[2]Commodities!$D$9</f>
        <v>TL</v>
      </c>
      <c r="G49" s="257"/>
      <c r="H49" s="294">
        <v>1</v>
      </c>
      <c r="I49" s="309">
        <f>INDEX([2]ConsolidatedVehData!$D$22:$D$858,MATCH(B49,[2]ConsolidatedVehData!$A$22:$A$858,0))</f>
        <v>2010</v>
      </c>
      <c r="J49" s="294">
        <v>20</v>
      </c>
      <c r="K49" s="309">
        <f t="shared" si="30"/>
        <v>2478.0515897316563</v>
      </c>
      <c r="L49" s="309">
        <f t="shared" si="30"/>
        <v>2478.0515897316563</v>
      </c>
      <c r="M49" s="309">
        <f>INDEX([2]ConsolidatedVehData!$P$22:$Z$858,MATCH($B49,[2]ConsolidatedVehData!$A$22:$A$858,0),MATCH(M$1,[2]ConsolidatedVehData!$P$7:$Z$7,0))</f>
        <v>2478.0515897316563</v>
      </c>
      <c r="N49" s="309">
        <f>INDEX([2]ConsolidatedVehData!$P$22:$Z$858,MATCH($B49,[2]ConsolidatedVehData!$A$22:$A$858,0),MATCH(N$1,[2]ConsolidatedVehData!$P$7:$Z$7,0))</f>
        <v>2479.5393159306082</v>
      </c>
      <c r="O49" s="309">
        <f>INDEX([2]ConsolidatedVehData!$P$22:$Z$858,MATCH($B49,[2]ConsolidatedVehData!$A$22:$A$858,0),MATCH(O$1,[2]ConsolidatedVehData!$P$7:$Z$7,0))</f>
        <v>2433.2533517644838</v>
      </c>
      <c r="P49" s="309">
        <f>INDEX([2]ConsolidatedVehData!$P$22:$Z$858,MATCH($B49,[2]ConsolidatedVehData!$A$22:$A$858,0),MATCH(P$1,[2]ConsolidatedVehData!$P$7:$Z$7,0))</f>
        <v>2422.7485870030705</v>
      </c>
      <c r="Q49" s="309">
        <f>INDEX([2]ConsolidatedVehData!$P$22:$Z$858,MATCH($B49,[2]ConsolidatedVehData!$A$22:$A$858,0),MATCH(Q$1,[2]ConsolidatedVehData!$P$7:$Z$7,0))</f>
        <v>2420.9725007711409</v>
      </c>
      <c r="R49" s="309">
        <f>INDEX([2]ConsolidatedVehData!$P$22:$Z$858,MATCH($B49,[2]ConsolidatedVehData!$A$22:$A$858,0),MATCH(R$1,[2]ConsolidatedVehData!$P$7:$Z$7,0))</f>
        <v>2420.9725007711409</v>
      </c>
      <c r="S49" s="309">
        <f>INDEX([2]ConsolidatedVehData!$P$22:$Z$858,MATCH($B49,[2]ConsolidatedVehData!$A$22:$A$858,0),MATCH(S$1,[2]ConsolidatedVehData!$P$7:$Z$7,0))</f>
        <v>2420.9725007711409</v>
      </c>
      <c r="T49" s="309">
        <f t="shared" si="22"/>
        <v>2420.9725007711409</v>
      </c>
      <c r="U49" s="310">
        <f>INDEX([2]ConsolidatedVehData!$AF$22:$AF$858,MATCH(B49,[2]ConsolidatedVehData!$A$22:$A$858,0))</f>
        <v>0.28037884138851404</v>
      </c>
      <c r="V49" s="310">
        <f>(U49+W49)/2</f>
        <v>0.27577701548306499</v>
      </c>
      <c r="W49" s="310">
        <f>INDEX([2]ConsolidatedVehData!$AF$22:$AF$858,MATCH($B49,[2]ConsolidatedVehData!$A$22:$A$858,0)+2)</f>
        <v>0.27117518957761599</v>
      </c>
      <c r="X49" s="310">
        <f>INDEX([2]ConsolidatedVehData!$AF$22:$AF$858,MATCH($B49,[2]ConsolidatedVehData!$A$22:$A$858,0)+3)</f>
        <v>0.32486394489434472</v>
      </c>
      <c r="Y49" s="310">
        <f>INDEX([2]ConsolidatedVehData!$AF$22:$AF$858,MATCH($B49,[2]ConsolidatedVehData!$A$22:$A$858,0)+4)</f>
        <v>0.32856179379066525</v>
      </c>
      <c r="Z49" s="310">
        <f>INDEX([2]ConsolidatedVehData!$AF$22:$AF$858,MATCH($B49,[2]ConsolidatedVehData!$A$22:$A$858,0)+5)</f>
        <v>0.33112274178095707</v>
      </c>
      <c r="AA49" s="310">
        <f>INDEX([2]ConsolidatedVehData!$AF$22:$AF$858,MATCH($B49,[2]ConsolidatedVehData!$A$22:$A$858,0)+6)</f>
        <v>0.33217268754134038</v>
      </c>
      <c r="AB49" s="310">
        <f>INDEX([2]ConsolidatedVehData!$AF$22:$AF$858,MATCH($B49,[2]ConsolidatedVehData!$A$22:$A$858,0)+7)</f>
        <v>0.33217268754134038</v>
      </c>
      <c r="AC49" s="310">
        <f>INDEX([2]ConsolidatedVehData!$AF$22:$AF$858,MATCH($B49,[2]ConsolidatedVehData!$A$22:$A$858,0)+8)</f>
        <v>0.33217268754134038</v>
      </c>
      <c r="AD49" s="310">
        <f t="shared" si="13"/>
        <v>0.33217268754134038</v>
      </c>
      <c r="AE49" s="286">
        <f>INDEX([2]ConsolidatedVehData!$AB$22:$AB$858,MATCH(B49,[2]ConsolidatedVehData!$A$22:$A$858,0))</f>
        <v>45.478712808157368</v>
      </c>
      <c r="AF49" s="311">
        <v>0.44</v>
      </c>
      <c r="AG49" s="311">
        <v>0.18</v>
      </c>
      <c r="AH49" s="311">
        <v>0.24</v>
      </c>
      <c r="AI49" s="311">
        <v>0.44</v>
      </c>
      <c r="AJ49" s="294">
        <v>0</v>
      </c>
      <c r="AX49" s="250"/>
      <c r="AY49" s="250"/>
      <c r="AZ49" s="250"/>
      <c r="BA49" s="250"/>
      <c r="BB49" s="250"/>
      <c r="BC49" s="250"/>
      <c r="BD49" s="250"/>
    </row>
    <row r="50" spans="1:56" x14ac:dyDescent="0.2">
      <c r="A50" s="255" t="str">
        <f>[2]Technologies!B120</f>
        <v>*R2,R3,R4,R5,R6</v>
      </c>
      <c r="B50" s="255" t="str">
        <f>[2]Technologies!D120</f>
        <v>TLMLPG10</v>
      </c>
      <c r="C50" s="255" t="str">
        <f>[2]Technologies!E120</f>
        <v>TL.LPG1.M.LPG.2010</v>
      </c>
      <c r="D50" s="255" t="s">
        <v>292</v>
      </c>
      <c r="E50" s="255" t="s">
        <v>107</v>
      </c>
      <c r="F50" s="255" t="str">
        <f>[2]Commodities!$D$9</f>
        <v>TL</v>
      </c>
      <c r="G50" s="257"/>
      <c r="H50" s="294">
        <v>1</v>
      </c>
      <c r="I50" s="309">
        <f>INDEX([2]ConsolidatedVehData!$D$22:$D$858,MATCH(B50,[2]ConsolidatedVehData!$A$22:$A$858,0))</f>
        <v>2010</v>
      </c>
      <c r="J50" s="294">
        <v>20</v>
      </c>
      <c r="K50" s="309">
        <f>INDEX([2]ConsolidatedVehData!$P$22:$Z$858,MATCH($B50,[2]ConsolidatedVehData!$A$22:$A$858,0),MATCH(K$1,[2]ConsolidatedVehData!$P$7:$Z$7,0))</f>
        <v>2550.3083168941657</v>
      </c>
      <c r="L50" s="309">
        <f>INDEX([2]ConsolidatedVehData!$P$22:$Z$858,MATCH($B50,[2]ConsolidatedVehData!$A$22:$A$858,0),MATCH(L$1,[2]ConsolidatedVehData!$P$7:$Z$7,0))</f>
        <v>2672.4966021724345</v>
      </c>
      <c r="M50" s="309">
        <f>INDEX([2]ConsolidatedVehData!$P$22:$Z$858,MATCH($B50,[2]ConsolidatedVehData!$A$22:$A$858,0),MATCH(M$1,[2]ConsolidatedVehData!$P$7:$Z$7,0))</f>
        <v>2734.7494570141353</v>
      </c>
      <c r="N50" s="309">
        <f>INDEX([2]ConsolidatedVehData!$P$22:$Z$858,MATCH($B50,[2]ConsolidatedVehData!$A$22:$A$858,0),MATCH(N$1,[2]ConsolidatedVehData!$P$7:$Z$7,0))</f>
        <v>2810.2296079069715</v>
      </c>
      <c r="O50" s="309">
        <f>INDEX([2]ConsolidatedVehData!$P$22:$Z$858,MATCH($B50,[2]ConsolidatedVehData!$A$22:$A$858,0),MATCH(O$1,[2]ConsolidatedVehData!$P$7:$Z$7,0))</f>
        <v>2813.9423508766622</v>
      </c>
      <c r="P50" s="309">
        <f>INDEX([2]ConsolidatedVehData!$P$22:$Z$858,MATCH($B50,[2]ConsolidatedVehData!$A$22:$A$858,0),MATCH(P$1,[2]ConsolidatedVehData!$P$7:$Z$7,0))</f>
        <v>2815.5240376105276</v>
      </c>
      <c r="Q50" s="309">
        <f>INDEX([2]ConsolidatedVehData!$P$22:$Z$858,MATCH($B50,[2]ConsolidatedVehData!$A$22:$A$858,0),MATCH(Q$1,[2]ConsolidatedVehData!$P$7:$Z$7,0))</f>
        <v>2796.6723975477375</v>
      </c>
      <c r="R50" s="309">
        <f>INDEX([2]ConsolidatedVehData!$P$22:$Z$858,MATCH($B50,[2]ConsolidatedVehData!$A$22:$A$858,0),MATCH(R$1,[2]ConsolidatedVehData!$P$7:$Z$7,0))</f>
        <v>2796.6723975477375</v>
      </c>
      <c r="S50" s="309">
        <f>INDEX([2]ConsolidatedVehData!$P$22:$Z$858,MATCH($B50,[2]ConsolidatedVehData!$A$22:$A$858,0),MATCH(S$1,[2]ConsolidatedVehData!$P$7:$Z$7,0))</f>
        <v>2796.6723975477375</v>
      </c>
      <c r="T50" s="309">
        <f t="shared" si="22"/>
        <v>2796.6723975477375</v>
      </c>
      <c r="U50" s="310">
        <f>INDEX([2]ConsolidatedVehData!$AF$22:$AF$858,MATCH(B50,[2]ConsolidatedVehData!$A$22:$A$858,0))</f>
        <v>0.17499001956294266</v>
      </c>
      <c r="V50" s="310">
        <f>INDEX([2]ConsolidatedVehData!$AF$22:$AF$858,MATCH($B50,[2]ConsolidatedVehData!$A$22:$A$858,0)+1)</f>
        <v>0.18241116926485801</v>
      </c>
      <c r="W50" s="310">
        <f>INDEX([2]ConsolidatedVehData!$AF$22:$AF$858,MATCH($B50,[2]ConsolidatedVehData!$A$22:$A$858,0)+2)</f>
        <v>0.21527751073062287</v>
      </c>
      <c r="X50" s="310">
        <f>INDEX([2]ConsolidatedVehData!$AF$22:$AF$858,MATCH($B50,[2]ConsolidatedVehData!$A$22:$A$858,0)+3)</f>
        <v>0.26056136176691291</v>
      </c>
      <c r="Y50" s="310">
        <f>INDEX([2]ConsolidatedVehData!$AF$22:$AF$858,MATCH($B50,[2]ConsolidatedVehData!$A$22:$A$858,0)+4)</f>
        <v>0.26443213081099776</v>
      </c>
      <c r="Z50" s="310">
        <f>INDEX([2]ConsolidatedVehData!$AF$22:$AF$858,MATCH($B50,[2]ConsolidatedVehData!$A$22:$A$858,0)+5)</f>
        <v>0.26658934765914988</v>
      </c>
      <c r="AA50" s="310">
        <f>INDEX([2]ConsolidatedVehData!$AF$22:$AF$858,MATCH($B50,[2]ConsolidatedVehData!$A$22:$A$858,0)+6)</f>
        <v>0.26643325121265982</v>
      </c>
      <c r="AB50" s="310">
        <f>INDEX([2]ConsolidatedVehData!$AF$22:$AF$858,MATCH($B50,[2]ConsolidatedVehData!$A$22:$A$858,0)+7)</f>
        <v>0.26643325121265982</v>
      </c>
      <c r="AC50" s="310">
        <f>INDEX([2]ConsolidatedVehData!$AF$22:$AF$858,MATCH($B50,[2]ConsolidatedVehData!$A$22:$A$858,0)+8)</f>
        <v>0.26643325121265982</v>
      </c>
      <c r="AD50" s="310">
        <f t="shared" si="13"/>
        <v>0.26643325121265982</v>
      </c>
      <c r="AE50" s="286">
        <f>INDEX([2]ConsolidatedVehData!$AB$22:$AB$858,MATCH(B50,[2]ConsolidatedVehData!$A$22:$A$858,0))</f>
        <v>38.940546907618888</v>
      </c>
      <c r="AF50" s="311">
        <v>0.44</v>
      </c>
      <c r="AG50" s="311">
        <v>0.24</v>
      </c>
      <c r="AH50" s="311">
        <v>0.24</v>
      </c>
      <c r="AI50" s="311">
        <v>0.44</v>
      </c>
      <c r="AJ50" s="294">
        <v>0</v>
      </c>
      <c r="AX50" s="250"/>
      <c r="AY50" s="250"/>
      <c r="AZ50" s="250"/>
      <c r="BA50" s="250"/>
      <c r="BB50" s="250"/>
      <c r="BC50" s="250"/>
      <c r="BD50" s="250"/>
    </row>
    <row r="51" spans="1:56" x14ac:dyDescent="0.2">
      <c r="A51" s="255" t="str">
        <f>[2]Technologies!B121</f>
        <v>*R2,R3,R4,R5,R6</v>
      </c>
      <c r="B51" s="255" t="str">
        <f>[2]Technologies!D121</f>
        <v>TLMLPGX10</v>
      </c>
      <c r="C51" s="255" t="str">
        <f>[2]Technologies!E121</f>
        <v>TL.LPGX.M.LPGX.2010</v>
      </c>
      <c r="D51" s="255" t="s">
        <v>292</v>
      </c>
      <c r="E51" s="255" t="s">
        <v>109</v>
      </c>
      <c r="F51" s="255" t="str">
        <f>[2]Commodities!$D$9</f>
        <v>TL</v>
      </c>
      <c r="G51" s="257">
        <v>0</v>
      </c>
      <c r="H51" s="294">
        <v>1</v>
      </c>
      <c r="I51" s="309">
        <f>INDEX([2]ConsolidatedVehData!$D$22:$D$858,MATCH(B51,[2]ConsolidatedVehData!$A$22:$A$858,0))</f>
        <v>2010</v>
      </c>
      <c r="J51" s="294">
        <v>20</v>
      </c>
      <c r="K51" s="309">
        <f>INDEX([2]ConsolidatedVehData!$P$22:$Z$858,MATCH($B51,[2]ConsolidatedVehData!$A$22:$A$858,0),MATCH(K$1,[2]ConsolidatedVehData!$P$7:$Z$7,0))</f>
        <v>2362.2324823149497</v>
      </c>
      <c r="L51" s="309">
        <f>INDEX([2]ConsolidatedVehData!$P$22:$Z$858,MATCH($B51,[2]ConsolidatedVehData!$A$22:$A$858,0),MATCH(L$1,[2]ConsolidatedVehData!$P$7:$Z$7,0))</f>
        <v>2488.7862702900179</v>
      </c>
      <c r="M51" s="309">
        <f>INDEX([2]ConsolidatedVehData!$P$22:$Z$858,MATCH($B51,[2]ConsolidatedVehData!$A$22:$A$858,0),MATCH(M$1,[2]ConsolidatedVehData!$P$7:$Z$7,0))</f>
        <v>2552.6508772271441</v>
      </c>
      <c r="N51" s="309">
        <f>INDEX([2]ConsolidatedVehData!$P$22:$Z$858,MATCH($B51,[2]ConsolidatedVehData!$A$22:$A$858,0),MATCH(N$1,[2]ConsolidatedVehData!$P$7:$Z$7,0))</f>
        <v>2628.799122881815</v>
      </c>
      <c r="O51" s="309">
        <f>INDEX([2]ConsolidatedVehData!$P$22:$Z$858,MATCH($B51,[2]ConsolidatedVehData!$A$22:$A$858,0),MATCH(O$1,[2]ConsolidatedVehData!$P$7:$Z$7,0))</f>
        <v>2632.4496137281808</v>
      </c>
      <c r="P51" s="309">
        <f>INDEX([2]ConsolidatedVehData!$P$22:$Z$858,MATCH($B51,[2]ConsolidatedVehData!$A$22:$A$858,0),MATCH(P$1,[2]ConsolidatedVehData!$P$7:$Z$7,0))</f>
        <v>2634.0084039701542</v>
      </c>
      <c r="Q51" s="309">
        <f>INDEX([2]ConsolidatedVehData!$P$22:$Z$858,MATCH($B51,[2]ConsolidatedVehData!$A$22:$A$858,0),MATCH(Q$1,[2]ConsolidatedVehData!$P$7:$Z$7,0))</f>
        <v>2635.6344938049106</v>
      </c>
      <c r="R51" s="309">
        <f>INDEX([2]ConsolidatedVehData!$P$22:$Z$858,MATCH($B51,[2]ConsolidatedVehData!$A$22:$A$858,0),MATCH(R$1,[2]ConsolidatedVehData!$P$7:$Z$7,0))</f>
        <v>2635.6344938049106</v>
      </c>
      <c r="S51" s="309">
        <f>INDEX([2]ConsolidatedVehData!$P$22:$Z$858,MATCH($B51,[2]ConsolidatedVehData!$A$22:$A$858,0),MATCH(S$1,[2]ConsolidatedVehData!$P$7:$Z$7,0))</f>
        <v>2635.6344938049106</v>
      </c>
      <c r="T51" s="309">
        <f t="shared" si="22"/>
        <v>2635.6344938049106</v>
      </c>
      <c r="U51" s="310">
        <f>INDEX([2]ConsolidatedVehData!$AF$22:$AF$858,MATCH(B51,[2]ConsolidatedVehData!$A$22:$A$858,0))</f>
        <v>0.16836739873523307</v>
      </c>
      <c r="V51" s="310">
        <f>INDEX([2]ConsolidatedVehData!$AF$22:$AF$858,MATCH($B51,[2]ConsolidatedVehData!$A$22:$A$858,0)+1)</f>
        <v>0.17579678850575517</v>
      </c>
      <c r="W51" s="310">
        <f>INDEX([2]ConsolidatedVehData!$AF$22:$AF$858,MATCH($B51,[2]ConsolidatedVehData!$A$22:$A$858,0)+2)</f>
        <v>0.20813786062131301</v>
      </c>
      <c r="X51" s="310">
        <f>INDEX([2]ConsolidatedVehData!$AF$22:$AF$858,MATCH($B51,[2]ConsolidatedVehData!$A$22:$A$858,0)+3)</f>
        <v>0.2520767783576835</v>
      </c>
      <c r="Y51" s="310">
        <f>INDEX([2]ConsolidatedVehData!$AF$22:$AF$858,MATCH($B51,[2]ConsolidatedVehData!$A$22:$A$858,0)+4)</f>
        <v>0.25596397659574477</v>
      </c>
      <c r="Z51" s="310">
        <f>INDEX([2]ConsolidatedVehData!$AF$22:$AF$858,MATCH($B51,[2]ConsolidatedVehData!$A$22:$A$858,0)+5)</f>
        <v>0.25808359096698574</v>
      </c>
      <c r="AA51" s="310">
        <f>INDEX([2]ConsolidatedVehData!$AF$22:$AF$858,MATCH($B51,[2]ConsolidatedVehData!$A$22:$A$858,0)+6)</f>
        <v>0.25774518141059433</v>
      </c>
      <c r="AB51" s="310">
        <f>INDEX([2]ConsolidatedVehData!$AF$22:$AF$858,MATCH($B51,[2]ConsolidatedVehData!$A$22:$A$858,0)+7)</f>
        <v>0.25774518141059433</v>
      </c>
      <c r="AC51" s="310">
        <f>INDEX([2]ConsolidatedVehData!$AF$22:$AF$858,MATCH($B51,[2]ConsolidatedVehData!$A$22:$A$858,0)+8)</f>
        <v>0.25774518141059433</v>
      </c>
      <c r="AD51" s="310">
        <f t="shared" si="13"/>
        <v>0.25774518141059433</v>
      </c>
      <c r="AE51" s="286">
        <f>INDEX([2]ConsolidatedVehData!$AB$22:$AB$858,MATCH(B51,[2]ConsolidatedVehData!$A$22:$A$858,0))</f>
        <v>38.940546907618888</v>
      </c>
      <c r="AF51" s="311">
        <v>0.44</v>
      </c>
      <c r="AG51" s="311">
        <v>0.24</v>
      </c>
      <c r="AH51" s="311">
        <v>0.24</v>
      </c>
      <c r="AI51" s="311">
        <v>0.44</v>
      </c>
      <c r="AJ51" s="294">
        <v>0</v>
      </c>
      <c r="AX51" s="250"/>
      <c r="AY51" s="250"/>
      <c r="AZ51" s="250"/>
      <c r="BA51" s="250"/>
      <c r="BB51" s="250"/>
      <c r="BC51" s="250"/>
      <c r="BD51" s="250"/>
    </row>
    <row r="52" spans="1:56" x14ac:dyDescent="0.2">
      <c r="A52" s="255" t="str">
        <f>[2]Technologies!B122</f>
        <v>R2,R3,R4,R5,R6</v>
      </c>
      <c r="B52" s="255" t="str">
        <f>[2]Technologies!D122</f>
        <v>TLMPHVG10</v>
      </c>
      <c r="C52" s="255" t="str">
        <f>[2]Technologies!E122</f>
        <v>TL.GSL.M.PHVG.2010</v>
      </c>
      <c r="D52" s="255" t="s">
        <v>292</v>
      </c>
      <c r="E52" s="255" t="s">
        <v>111</v>
      </c>
      <c r="F52" s="257"/>
      <c r="G52" s="257"/>
      <c r="H52" s="310">
        <f>1-H53</f>
        <v>0.74818241352277948</v>
      </c>
      <c r="I52" s="309">
        <f>INDEX([2]ConsolidatedVehData!$D$22:$D$858,MATCH(B52,[2]ConsolidatedVehData!$A$22:$A$858,0))</f>
        <v>2010</v>
      </c>
      <c r="J52" s="294">
        <v>20</v>
      </c>
      <c r="K52" s="309">
        <f>INDEX([2]ConsolidatedVehData!$P$22:$Z$858,MATCH($B52,[2]ConsolidatedVehData!$A$22:$A$858,0),MATCH(K$1,[2]ConsolidatedVehData!$P$7:$Z$7,0))</f>
        <v>2465.0658670950265</v>
      </c>
      <c r="L52" s="309">
        <f>INDEX([2]ConsolidatedVehData!$P$22:$Z$858,MATCH($B52,[2]ConsolidatedVehData!$A$22:$A$858,0),MATCH(L$1,[2]ConsolidatedVehData!$P$7:$Z$7,0))</f>
        <v>2554.7360841982195</v>
      </c>
      <c r="M52" s="309">
        <f>INDEX([2]ConsolidatedVehData!$P$22:$Z$858,MATCH($B52,[2]ConsolidatedVehData!$A$22:$A$858,0),MATCH(M$1,[2]ConsolidatedVehData!$P$7:$Z$7,0))</f>
        <v>2616.7005966148095</v>
      </c>
      <c r="N52" s="309">
        <f>INDEX([2]ConsolidatedVehData!$P$22:$Z$858,MATCH($B52,[2]ConsolidatedVehData!$A$22:$A$858,0),MATCH(N$1,[2]ConsolidatedVehData!$P$7:$Z$7,0))</f>
        <v>2696.3779061681234</v>
      </c>
      <c r="O52" s="309">
        <f>INDEX([2]ConsolidatedVehData!$P$22:$Z$858,MATCH($B52,[2]ConsolidatedVehData!$A$22:$A$858,0),MATCH(O$1,[2]ConsolidatedVehData!$P$7:$Z$7,0))</f>
        <v>2699.7886839263633</v>
      </c>
      <c r="P52" s="309">
        <f>INDEX([2]ConsolidatedVehData!$P$22:$Z$858,MATCH($B52,[2]ConsolidatedVehData!$A$22:$A$858,0),MATCH(P$1,[2]ConsolidatedVehData!$P$7:$Z$7,0))</f>
        <v>2701.4594354958604</v>
      </c>
      <c r="Q52" s="309">
        <f>INDEX([2]ConsolidatedVehData!$P$22:$Z$858,MATCH($B52,[2]ConsolidatedVehData!$A$22:$A$858,0),MATCH(Q$1,[2]ConsolidatedVehData!$P$7:$Z$7,0))</f>
        <v>2702.9487799579506</v>
      </c>
      <c r="R52" s="309">
        <f>INDEX([2]ConsolidatedVehData!$P$22:$Z$858,MATCH($B52,[2]ConsolidatedVehData!$A$22:$A$858,0),MATCH(R$1,[2]ConsolidatedVehData!$P$7:$Z$7,0))</f>
        <v>2702.9487799579506</v>
      </c>
      <c r="S52" s="309">
        <f>INDEX([2]ConsolidatedVehData!$P$22:$Z$858,MATCH($B52,[2]ConsolidatedVehData!$A$22:$A$858,0),MATCH(S$1,[2]ConsolidatedVehData!$P$7:$Z$7,0))</f>
        <v>2702.9487799579506</v>
      </c>
      <c r="T52" s="309">
        <f t="shared" si="22"/>
        <v>2702.9487799579506</v>
      </c>
      <c r="U52" s="310">
        <f>INDEX([2]ConsolidatedVehData!$AF$22:$AF$858,MATCH(B52,[2]ConsolidatedVehData!$A$22:$A$858,0))</f>
        <v>0.419549036501558</v>
      </c>
      <c r="V52" s="310">
        <f>(U52+W52)/2</f>
        <v>0.412663026076457</v>
      </c>
      <c r="W52" s="310">
        <f>INDEX([2]ConsolidatedVehData!$AF$22:$AF$858,MATCH($B52,[2]ConsolidatedVehData!$A$22:$A$858,0)+2)</f>
        <v>0.40577701565135599</v>
      </c>
      <c r="X52" s="310">
        <f>INDEX([2]ConsolidatedVehData!$AF$22:$AF$858,MATCH($B52,[2]ConsolidatedVehData!$A$22:$A$858,0)+3)</f>
        <v>0.48611498071516418</v>
      </c>
      <c r="Y52" s="310">
        <f>INDEX([2]ConsolidatedVehData!$AF$22:$AF$858,MATCH($B52,[2]ConsolidatedVehData!$A$22:$A$858,0)+4)</f>
        <v>0.49164831173934748</v>
      </c>
      <c r="Z52" s="310">
        <f>INDEX([2]ConsolidatedVehData!$AF$22:$AF$858,MATCH($B52,[2]ConsolidatedVehData!$A$22:$A$858,0)+5)</f>
        <v>0.49548042423591304</v>
      </c>
      <c r="AA52" s="310">
        <f>INDEX([2]ConsolidatedVehData!$AF$22:$AF$858,MATCH($B52,[2]ConsolidatedVehData!$A$22:$A$858,0)+6)</f>
        <v>0.49705152614205628</v>
      </c>
      <c r="AB52" s="310">
        <f>INDEX([2]ConsolidatedVehData!$AF$22:$AF$858,MATCH($B52,[2]ConsolidatedVehData!$A$22:$A$858,0)+7)</f>
        <v>0.49705152614205628</v>
      </c>
      <c r="AC52" s="310">
        <f>INDEX([2]ConsolidatedVehData!$AF$22:$AF$858,MATCH($B52,[2]ConsolidatedVehData!$A$22:$A$858,0)+8)</f>
        <v>0.49705152614205628</v>
      </c>
      <c r="AD52" s="310">
        <f t="shared" si="13"/>
        <v>0.49705152614205628</v>
      </c>
      <c r="AE52" s="286">
        <f>INDEX([2]ConsolidatedVehData!$AB$22:$AB$858,MATCH(B52,[2]ConsolidatedVehData!$A$22:$A$858,0))</f>
        <v>45.478712808157368</v>
      </c>
      <c r="AF52" s="311">
        <v>0.44</v>
      </c>
      <c r="AG52" s="311">
        <v>0.24</v>
      </c>
      <c r="AH52" s="311">
        <v>0.28000000000000003</v>
      </c>
      <c r="AI52" s="311">
        <v>0.44</v>
      </c>
      <c r="AJ52" s="294">
        <v>0</v>
      </c>
      <c r="AX52" s="250"/>
      <c r="AY52" s="250"/>
      <c r="AZ52" s="250"/>
      <c r="BA52" s="250"/>
      <c r="BB52" s="250"/>
      <c r="BC52" s="250"/>
      <c r="BD52" s="250"/>
    </row>
    <row r="53" spans="1:56" x14ac:dyDescent="0.2">
      <c r="A53" s="255"/>
      <c r="B53" s="255"/>
      <c r="C53" s="255"/>
      <c r="D53" s="255"/>
      <c r="E53" s="255" t="s">
        <v>99</v>
      </c>
      <c r="F53" s="255"/>
      <c r="G53" s="257"/>
      <c r="H53" s="310">
        <f>INDEX([2]ConsolidatedVehData!$AG$22:$AG$858,MATCH(B52,[2]ConsolidatedVehData!$A$22:$A$858,0))</f>
        <v>0.25181758647722052</v>
      </c>
      <c r="I53" s="309"/>
      <c r="J53" s="294"/>
      <c r="K53" s="309"/>
      <c r="L53" s="309"/>
      <c r="M53" s="309"/>
      <c r="N53" s="309"/>
      <c r="O53" s="309"/>
      <c r="P53" s="309"/>
      <c r="Q53" s="309"/>
      <c r="R53" s="309"/>
      <c r="S53" s="309"/>
      <c r="T53" s="309"/>
      <c r="U53" s="310"/>
      <c r="V53" s="310"/>
      <c r="W53" s="310"/>
      <c r="X53" s="310"/>
      <c r="Y53" s="310"/>
      <c r="Z53" s="310"/>
      <c r="AA53" s="310"/>
      <c r="AB53" s="310"/>
      <c r="AC53" s="310"/>
      <c r="AD53" s="310"/>
      <c r="AE53" s="286"/>
      <c r="AF53" s="311"/>
      <c r="AG53" s="311"/>
      <c r="AH53" s="311"/>
      <c r="AI53" s="311"/>
      <c r="AJ53" s="294"/>
      <c r="AX53" s="250"/>
      <c r="AY53" s="250"/>
      <c r="AZ53" s="250"/>
      <c r="BA53" s="250"/>
      <c r="BB53" s="250"/>
      <c r="BC53" s="250"/>
      <c r="BD53" s="250"/>
    </row>
    <row r="54" spans="1:56" x14ac:dyDescent="0.2">
      <c r="A54" s="255" t="str">
        <f>IF(LEFT(A53,1)="*","*","")</f>
        <v/>
      </c>
      <c r="B54" s="255"/>
      <c r="C54" s="255"/>
      <c r="D54" s="255"/>
      <c r="E54" s="257"/>
      <c r="F54" s="255" t="str">
        <f>[2]Commodities!$D$9</f>
        <v>TL</v>
      </c>
      <c r="G54" s="257"/>
      <c r="H54" s="257"/>
      <c r="I54" s="294"/>
      <c r="J54" s="294"/>
      <c r="K54" s="294"/>
      <c r="L54" s="294"/>
      <c r="M54" s="294"/>
      <c r="N54" s="294"/>
      <c r="O54" s="294"/>
      <c r="P54" s="294"/>
      <c r="Q54" s="294"/>
      <c r="R54" s="294"/>
      <c r="S54" s="294"/>
      <c r="T54" s="294"/>
      <c r="U54" s="310"/>
      <c r="V54" s="310"/>
      <c r="W54" s="310"/>
      <c r="X54" s="310"/>
      <c r="Y54" s="310"/>
      <c r="Z54" s="310"/>
      <c r="AA54" s="310"/>
      <c r="AB54" s="310"/>
      <c r="AC54" s="310"/>
      <c r="AD54" s="310"/>
      <c r="AE54" s="294"/>
      <c r="AF54" s="311"/>
      <c r="AG54" s="311"/>
      <c r="AH54" s="311"/>
      <c r="AI54" s="311"/>
      <c r="AJ54" s="294"/>
      <c r="AX54" s="250"/>
      <c r="AY54" s="250"/>
      <c r="AZ54" s="250"/>
      <c r="BA54" s="250"/>
      <c r="BB54" s="250"/>
      <c r="BC54" s="250"/>
      <c r="BD54" s="250"/>
    </row>
    <row r="55" spans="1:56" x14ac:dyDescent="0.2">
      <c r="A55" s="255" t="str">
        <f>[2]Technologies!B123</f>
        <v>R2,R3,R4,R5,R6</v>
      </c>
      <c r="B55" s="255" t="str">
        <f>[2]Technologies!D123</f>
        <v>TLPCONV10</v>
      </c>
      <c r="C55" s="255" t="str">
        <f>[2]Technologies!E123</f>
        <v>TL.GSL.P.CONV.2010</v>
      </c>
      <c r="D55" s="255" t="s">
        <v>292</v>
      </c>
      <c r="E55" s="255" t="s">
        <v>111</v>
      </c>
      <c r="F55" s="255" t="str">
        <f>[2]Commodities!$D$9</f>
        <v>TL</v>
      </c>
      <c r="G55" s="257"/>
      <c r="H55" s="294">
        <v>1</v>
      </c>
      <c r="I55" s="309">
        <f>INDEX([2]ConsolidatedVehData!$D$22:$D$858,MATCH(B55,[2]ConsolidatedVehData!$A$22:$A$858,0))</f>
        <v>2010</v>
      </c>
      <c r="J55" s="294">
        <v>20</v>
      </c>
      <c r="K55" s="309">
        <f>INDEX([2]ConsolidatedVehData!$P$22:$Z$858,MATCH($B55,[2]ConsolidatedVehData!$A$22:$A$858,0),MATCH(K$1,[2]ConsolidatedVehData!$P$7:$Z$7,0))</f>
        <v>1680.7685955958052</v>
      </c>
      <c r="L55" s="309">
        <f>INDEX([2]ConsolidatedVehData!$P$22:$Z$858,MATCH($B55,[2]ConsolidatedVehData!$A$22:$A$858,0),MATCH(L$1,[2]ConsolidatedVehData!$P$7:$Z$7,0))</f>
        <v>2189.8943589707305</v>
      </c>
      <c r="M55" s="309">
        <f>INDEX([2]ConsolidatedVehData!$P$22:$Z$858,MATCH($B55,[2]ConsolidatedVehData!$A$22:$A$858,0),MATCH(M$1,[2]ConsolidatedVehData!$P$7:$Z$7,0))</f>
        <v>2258.1845463815125</v>
      </c>
      <c r="N55" s="309">
        <f>INDEX([2]ConsolidatedVehData!$P$22:$Z$858,MATCH($B55,[2]ConsolidatedVehData!$A$22:$A$858,0),MATCH(N$1,[2]ConsolidatedVehData!$P$7:$Z$7,0))</f>
        <v>2342.03606875385</v>
      </c>
      <c r="O55" s="309">
        <f>INDEX([2]ConsolidatedVehData!$P$22:$Z$858,MATCH($B55,[2]ConsolidatedVehData!$A$22:$A$858,0),MATCH(O$1,[2]ConsolidatedVehData!$P$7:$Z$7,0))</f>
        <v>2343.9347445667918</v>
      </c>
      <c r="P55" s="309">
        <f>INDEX([2]ConsolidatedVehData!$P$22:$Z$858,MATCH($B55,[2]ConsolidatedVehData!$A$22:$A$858,0),MATCH(P$1,[2]ConsolidatedVehData!$P$7:$Z$7,0))</f>
        <v>2345.484739420901</v>
      </c>
      <c r="Q55" s="309">
        <f>INDEX([2]ConsolidatedVehData!$P$22:$Z$858,MATCH($B55,[2]ConsolidatedVehData!$A$22:$A$858,0),MATCH(Q$1,[2]ConsolidatedVehData!$P$7:$Z$7,0))</f>
        <v>2347.9660096446769</v>
      </c>
      <c r="R55" s="309">
        <f>INDEX([2]ConsolidatedVehData!$P$22:$Z$858,MATCH($B55,[2]ConsolidatedVehData!$A$22:$A$858,0),MATCH(R$1,[2]ConsolidatedVehData!$P$7:$Z$7,0))</f>
        <v>2347.9660096446769</v>
      </c>
      <c r="S55" s="309">
        <f>INDEX([2]ConsolidatedVehData!$P$22:$Z$858,MATCH($B55,[2]ConsolidatedVehData!$A$22:$A$858,0),MATCH(S$1,[2]ConsolidatedVehData!$P$7:$Z$7,0))</f>
        <v>2347.9660096446769</v>
      </c>
      <c r="T55" s="309">
        <f t="shared" ref="T55:T65" si="31">S55</f>
        <v>2347.9660096446769</v>
      </c>
      <c r="U55" s="310">
        <f>INDEX([2]ConsolidatedVehData!$AF$22:$AF$858,MATCH(B55,[2]ConsolidatedVehData!$A$22:$A$858,0))</f>
        <v>0.14253618808208454</v>
      </c>
      <c r="V55" s="310">
        <f>INDEX([2]ConsolidatedVehData!$AF$22:$AF$858,MATCH($B55,[2]ConsolidatedVehData!$A$22:$A$858,0)+1)</f>
        <v>0.17285990976647495</v>
      </c>
      <c r="W55" s="310">
        <f>INDEX([2]ConsolidatedVehData!$AF$22:$AF$858,MATCH($B55,[2]ConsolidatedVehData!$A$22:$A$858,0)+2)</f>
        <v>0.19788865411545389</v>
      </c>
      <c r="X55" s="310">
        <f>INDEX([2]ConsolidatedVehData!$AF$22:$AF$858,MATCH($B55,[2]ConsolidatedVehData!$A$22:$A$858,0)+3)</f>
        <v>0.23459457831767544</v>
      </c>
      <c r="Y55" s="310">
        <f>INDEX([2]ConsolidatedVehData!$AF$22:$AF$858,MATCH($B55,[2]ConsolidatedVehData!$A$22:$A$858,0)+4)</f>
        <v>0.23728519040550514</v>
      </c>
      <c r="Z55" s="310">
        <f>INDEX([2]ConsolidatedVehData!$AF$22:$AF$858,MATCH($B55,[2]ConsolidatedVehData!$A$22:$A$858,0)+5)</f>
        <v>0.23844544767714393</v>
      </c>
      <c r="AA55" s="310">
        <f>INDEX([2]ConsolidatedVehData!$AF$22:$AF$858,MATCH($B55,[2]ConsolidatedVehData!$A$22:$A$858,0)+6)</f>
        <v>0.23814919355391811</v>
      </c>
      <c r="AB55" s="310">
        <f>INDEX([2]ConsolidatedVehData!$AF$22:$AF$858,MATCH($B55,[2]ConsolidatedVehData!$A$22:$A$858,0)+7)</f>
        <v>0.23814919355391811</v>
      </c>
      <c r="AC55" s="310">
        <f>INDEX([2]ConsolidatedVehData!$AF$22:$AF$858,MATCH($B55,[2]ConsolidatedVehData!$A$22:$A$858,0)+8)</f>
        <v>0.23814919355391811</v>
      </c>
      <c r="AD55" s="310">
        <f t="shared" si="13"/>
        <v>0.23814919355391811</v>
      </c>
      <c r="AE55" s="286">
        <f>INDEX([2]ConsolidatedVehData!$AB$22:$AB$858,MATCH(B55,[2]ConsolidatedVehData!$A$22:$A$858,0))</f>
        <v>48.0747492686653</v>
      </c>
      <c r="AF55" s="311">
        <v>0.44</v>
      </c>
      <c r="AG55" s="311">
        <v>0.18</v>
      </c>
      <c r="AH55" s="311">
        <v>0.18</v>
      </c>
      <c r="AI55" s="311">
        <v>0.4</v>
      </c>
      <c r="AJ55" s="294">
        <v>0</v>
      </c>
      <c r="AX55" s="250"/>
      <c r="AY55" s="250"/>
      <c r="AZ55" s="250"/>
      <c r="BA55" s="250"/>
      <c r="BB55" s="250"/>
      <c r="BC55" s="250"/>
      <c r="BD55" s="250"/>
    </row>
    <row r="56" spans="1:56" x14ac:dyDescent="0.2">
      <c r="A56" s="255" t="str">
        <f>[2]Technologies!B81</f>
        <v>R2,R3,R4,R5,R6</v>
      </c>
      <c r="B56" s="255" t="str">
        <f>[2]Technologies!D81</f>
        <v>TLPELC</v>
      </c>
      <c r="C56" s="255" t="str">
        <f>[2]Technologies!E81</f>
        <v>Electric pickup truck w/100 mi range</v>
      </c>
      <c r="D56" s="255" t="s">
        <v>292</v>
      </c>
      <c r="E56" s="255" t="s">
        <v>99</v>
      </c>
      <c r="F56" s="255" t="str">
        <f>[2]Commodities!$D$9</f>
        <v>TL</v>
      </c>
      <c r="G56" s="257" t="str">
        <f>IF($I56&lt;G$1,0,"")</f>
        <v/>
      </c>
      <c r="H56" s="294">
        <v>1</v>
      </c>
      <c r="I56" s="309">
        <v>2015</v>
      </c>
      <c r="J56" s="294">
        <v>20</v>
      </c>
      <c r="K56" s="309">
        <f>L56</f>
        <v>5890.1533557311031</v>
      </c>
      <c r="L56" s="309">
        <f>L55+[2]GDPdeflator!$C$35*[2]ERG_ElectricVeh!B33</f>
        <v>5890.1533557311031</v>
      </c>
      <c r="M56" s="309">
        <f>M55+[2]GDPdeflator!$C$35*[2]ERG_ElectricVeh!C33</f>
        <v>4673.4952449142438</v>
      </c>
      <c r="N56" s="309">
        <f>N55+[2]GDPdeflator!$C$35*[2]ERG_ElectricVeh!D33</f>
        <v>3472.39846905894</v>
      </c>
      <c r="O56" s="309">
        <f>O55+[2]GDPdeflator!$C$35*[2]ERG_ElectricVeh!E33</f>
        <v>3203.3416219569631</v>
      </c>
      <c r="P56" s="309">
        <f>P55+[2]GDPdeflator!$C$35*[2]ERG_ElectricVeh!F33</f>
        <v>2933.9360938961536</v>
      </c>
      <c r="Q56" s="309">
        <f t="shared" ref="Q56:S57" si="32">P56</f>
        <v>2933.9360938961536</v>
      </c>
      <c r="R56" s="309">
        <f t="shared" si="32"/>
        <v>2933.9360938961536</v>
      </c>
      <c r="S56" s="309">
        <f t="shared" si="32"/>
        <v>2933.9360938961536</v>
      </c>
      <c r="T56" s="309">
        <f t="shared" si="31"/>
        <v>2933.9360938961536</v>
      </c>
      <c r="U56" s="310">
        <f>V56</f>
        <v>0.68940074765206139</v>
      </c>
      <c r="V56" s="310">
        <f>[2]ERG_ElectricVeh!P33*[2]Efficiencies!AE$51</f>
        <v>0.68940074765206139</v>
      </c>
      <c r="W56" s="310">
        <f>[2]ERG_ElectricVeh!Q33*[2]Efficiencies!AF$51</f>
        <v>0.69844577345985215</v>
      </c>
      <c r="X56" s="310">
        <f>[2]ERG_ElectricVeh!R33*[2]Efficiencies!AG$51</f>
        <v>0.70773129843370253</v>
      </c>
      <c r="Y56" s="310">
        <f>[2]ERG_ElectricVeh!S33*[2]Efficiencies!AH$51</f>
        <v>0.71332941894194213</v>
      </c>
      <c r="Z56" s="310">
        <f>[2]ERG_ElectricVeh!T33*[2]Efficiencies!AI$51</f>
        <v>0.71901680728201212</v>
      </c>
      <c r="AA56" s="310">
        <f t="shared" ref="AA56:AC57" si="33">Z56</f>
        <v>0.71901680728201212</v>
      </c>
      <c r="AB56" s="310">
        <f t="shared" si="33"/>
        <v>0.71901680728201212</v>
      </c>
      <c r="AC56" s="310">
        <f t="shared" si="33"/>
        <v>0.71901680728201212</v>
      </c>
      <c r="AD56" s="310">
        <f t="shared" si="13"/>
        <v>0.71901680728201212</v>
      </c>
      <c r="AE56" s="286">
        <f>0.75*AE55</f>
        <v>36.056061951498975</v>
      </c>
      <c r="AF56" s="311">
        <v>0.44</v>
      </c>
      <c r="AG56" s="311">
        <v>0.24</v>
      </c>
      <c r="AH56" s="311">
        <v>0.28000000000000003</v>
      </c>
      <c r="AI56" s="311">
        <v>0.44</v>
      </c>
      <c r="AJ56" s="294">
        <v>0</v>
      </c>
      <c r="AX56" s="250"/>
      <c r="AY56" s="250"/>
      <c r="AZ56" s="250"/>
      <c r="BA56" s="250"/>
      <c r="BB56" s="250"/>
      <c r="BC56" s="250"/>
      <c r="BD56" s="250"/>
    </row>
    <row r="57" spans="1:56" x14ac:dyDescent="0.2">
      <c r="A57" s="255" t="str">
        <f>[2]Technologies!B88</f>
        <v>R2,R3,R4,R5,R6</v>
      </c>
      <c r="B57" s="255" t="str">
        <f>[2]Technologies!D88</f>
        <v>TLPELCB</v>
      </c>
      <c r="C57" s="255" t="str">
        <f>[2]Technologies!E88</f>
        <v>Electric pickup truck w/200 mi range</v>
      </c>
      <c r="D57" s="255" t="s">
        <v>292</v>
      </c>
      <c r="E57" s="255" t="s">
        <v>99</v>
      </c>
      <c r="F57" s="255" t="str">
        <f>[2]Commodities!$D$9</f>
        <v>TL</v>
      </c>
      <c r="G57" s="257" t="str">
        <f>IF($I57&lt;G$1,0,"")</f>
        <v/>
      </c>
      <c r="H57" s="294">
        <v>1</v>
      </c>
      <c r="I57" s="309">
        <v>2025</v>
      </c>
      <c r="J57" s="294">
        <v>20</v>
      </c>
      <c r="K57" s="309">
        <f t="shared" ref="K57:M57" si="34">L57</f>
        <v>5236.9848050035189</v>
      </c>
      <c r="L57" s="309">
        <f t="shared" si="34"/>
        <v>5236.9848050035189</v>
      </c>
      <c r="M57" s="309">
        <f t="shared" si="34"/>
        <v>5236.9848050035189</v>
      </c>
      <c r="N57" s="309">
        <f>N55+[2]GDPdeflator!$C$35*[2]ERG_ElectricVeh!D43</f>
        <v>5236.9848050035189</v>
      </c>
      <c r="O57" s="309">
        <f>O55+[2]GDPdeflator!$C$35*[2]ERG_ElectricVeh!E43</f>
        <v>4628.4497630708756</v>
      </c>
      <c r="P57" s="309">
        <f>P55+[2]GDPdeflator!$C$35*[2]ERG_ElectricVeh!F43</f>
        <v>4019.5660401793994</v>
      </c>
      <c r="Q57" s="309">
        <f t="shared" si="32"/>
        <v>4019.5660401793994</v>
      </c>
      <c r="R57" s="309">
        <f t="shared" si="32"/>
        <v>4019.5660401793994</v>
      </c>
      <c r="S57" s="309">
        <f t="shared" si="32"/>
        <v>4019.5660401793994</v>
      </c>
      <c r="T57" s="309">
        <f>S57</f>
        <v>4019.5660401793994</v>
      </c>
      <c r="U57" s="310">
        <f t="shared" ref="U57:W57" si="35">V57</f>
        <v>0.62733883329227591</v>
      </c>
      <c r="V57" s="310">
        <f t="shared" si="35"/>
        <v>0.62733883329227591</v>
      </c>
      <c r="W57" s="310">
        <f t="shared" si="35"/>
        <v>0.62733883329227591</v>
      </c>
      <c r="X57" s="310">
        <f>[2]ERG_ElectricVeh!R43*[2]Efficiencies!AG$51</f>
        <v>0.62733883329227591</v>
      </c>
      <c r="Y57" s="310">
        <f>[2]ERG_ElectricVeh!S43*[2]Efficiencies!AH$51</f>
        <v>0.63228918030590453</v>
      </c>
      <c r="Z57" s="310">
        <f>[2]ERG_ElectricVeh!T43*[2]Efficiencies!AI$51</f>
        <v>0.63731827535583407</v>
      </c>
      <c r="AA57" s="310">
        <f t="shared" si="33"/>
        <v>0.63731827535583407</v>
      </c>
      <c r="AB57" s="310">
        <f t="shared" si="33"/>
        <v>0.63731827535583407</v>
      </c>
      <c r="AC57" s="310">
        <f t="shared" si="33"/>
        <v>0.63731827535583407</v>
      </c>
      <c r="AD57" s="310">
        <f t="shared" si="13"/>
        <v>0.63731827535583407</v>
      </c>
      <c r="AE57" s="286">
        <f>0.75*AE55</f>
        <v>36.056061951498975</v>
      </c>
      <c r="AF57" s="311">
        <v>0.44</v>
      </c>
      <c r="AG57" s="311">
        <v>0.24</v>
      </c>
      <c r="AH57" s="311">
        <v>0.28000000000000003</v>
      </c>
      <c r="AI57" s="311">
        <v>0.44</v>
      </c>
      <c r="AJ57" s="294">
        <v>0</v>
      </c>
      <c r="AX57" s="250"/>
      <c r="AY57" s="250"/>
      <c r="AZ57" s="250"/>
      <c r="BA57" s="250"/>
      <c r="BB57" s="250"/>
      <c r="BC57" s="250"/>
      <c r="BD57" s="250"/>
    </row>
    <row r="58" spans="1:56" x14ac:dyDescent="0.2">
      <c r="A58" s="255" t="str">
        <f>[2]Technologies!B124</f>
        <v>R2,R3,R4,R5,R6</v>
      </c>
      <c r="B58" s="255" t="str">
        <f>[2]Technologies!D124</f>
        <v>TLPCNG10</v>
      </c>
      <c r="C58" s="255" t="str">
        <f>[2]Technologies!E124</f>
        <v>TL.CNG.P.CNG.2010</v>
      </c>
      <c r="D58" s="255" t="s">
        <v>292</v>
      </c>
      <c r="E58" s="255" t="s">
        <v>79</v>
      </c>
      <c r="F58" s="255" t="str">
        <f>[2]Commodities!$D$9</f>
        <v>TL</v>
      </c>
      <c r="G58" s="257"/>
      <c r="H58" s="294">
        <v>1</v>
      </c>
      <c r="I58" s="309">
        <f>INDEX([2]ConsolidatedVehData!$D$22:$D$858,MATCH(B58,[2]ConsolidatedVehData!$A$22:$A$858,0))</f>
        <v>2010</v>
      </c>
      <c r="J58" s="294">
        <v>20</v>
      </c>
      <c r="K58" s="309">
        <f>INDEX([2]ConsolidatedVehData!$P$22:$Z$858,MATCH($B58,[2]ConsolidatedVehData!$A$22:$A$858,0),MATCH(K$1,[2]ConsolidatedVehData!$P$7:$Z$7,0))</f>
        <v>2399.8476492307927</v>
      </c>
      <c r="L58" s="309">
        <f>INDEX([2]ConsolidatedVehData!$P$22:$Z$858,MATCH($B58,[2]ConsolidatedVehData!$A$22:$A$858,0),MATCH(L$1,[2]ConsolidatedVehData!$P$7:$Z$7,0))</f>
        <v>2933.5269241412616</v>
      </c>
      <c r="M58" s="309">
        <f>INDEX([2]ConsolidatedVehData!$P$22:$Z$858,MATCH($B58,[2]ConsolidatedVehData!$A$22:$A$858,0),MATCH(M$1,[2]ConsolidatedVehData!$P$7:$Z$7,0))</f>
        <v>2989.9112544922741</v>
      </c>
      <c r="N58" s="309">
        <f>INDEX([2]ConsolidatedVehData!$P$22:$Z$858,MATCH($B58,[2]ConsolidatedVehData!$A$22:$A$858,0),MATCH(N$1,[2]ConsolidatedVehData!$P$7:$Z$7,0))</f>
        <v>3071.8941553860486</v>
      </c>
      <c r="O58" s="309">
        <f>INDEX([2]ConsolidatedVehData!$P$22:$Z$858,MATCH($B58,[2]ConsolidatedVehData!$A$22:$A$858,0),MATCH(O$1,[2]ConsolidatedVehData!$P$7:$Z$7,0))</f>
        <v>3074.3151850846898</v>
      </c>
      <c r="P58" s="309">
        <f>INDEX([2]ConsolidatedVehData!$P$22:$Z$858,MATCH($B58,[2]ConsolidatedVehData!$A$22:$A$858,0),MATCH(P$1,[2]ConsolidatedVehData!$P$7:$Z$7,0))</f>
        <v>3076.2088639524909</v>
      </c>
      <c r="Q58" s="309">
        <f>INDEX([2]ConsolidatedVehData!$P$22:$Z$858,MATCH($B58,[2]ConsolidatedVehData!$A$22:$A$858,0),MATCH(Q$1,[2]ConsolidatedVehData!$P$7:$Z$7,0))</f>
        <v>3078.006494597113</v>
      </c>
      <c r="R58" s="309">
        <f>INDEX([2]ConsolidatedVehData!$P$22:$Z$858,MATCH($B58,[2]ConsolidatedVehData!$A$22:$A$858,0),MATCH(R$1,[2]ConsolidatedVehData!$P$7:$Z$7,0))</f>
        <v>3078.006494597113</v>
      </c>
      <c r="S58" s="309">
        <f>INDEX([2]ConsolidatedVehData!$P$22:$Z$858,MATCH($B58,[2]ConsolidatedVehData!$A$22:$A$858,0),MATCH(S$1,[2]ConsolidatedVehData!$P$7:$Z$7,0))</f>
        <v>3078.006494597113</v>
      </c>
      <c r="T58" s="309">
        <f t="shared" si="31"/>
        <v>3078.006494597113</v>
      </c>
      <c r="U58" s="310">
        <f>INDEX([2]ConsolidatedVehData!$AF$22:$AF$858,MATCH(B58,[2]ConsolidatedVehData!$A$22:$A$858,0))</f>
        <v>0.15161980952669815</v>
      </c>
      <c r="V58" s="310">
        <f>INDEX([2]ConsolidatedVehData!$AF$22:$AF$858,MATCH($B58,[2]ConsolidatedVehData!$A$22:$A$858,0)+1)</f>
        <v>0.1887139366103032</v>
      </c>
      <c r="W58" s="310">
        <f>INDEX([2]ConsolidatedVehData!$AF$22:$AF$858,MATCH($B58,[2]ConsolidatedVehData!$A$22:$A$858,0)+2)</f>
        <v>0.21255366499161374</v>
      </c>
      <c r="X58" s="310">
        <f>INDEX([2]ConsolidatedVehData!$AF$22:$AF$858,MATCH($B58,[2]ConsolidatedVehData!$A$22:$A$858,0)+3)</f>
        <v>0.24902818221774015</v>
      </c>
      <c r="Y58" s="310">
        <f>INDEX([2]ConsolidatedVehData!$AF$22:$AF$858,MATCH($B58,[2]ConsolidatedVehData!$A$22:$A$858,0)+4)</f>
        <v>0.25194665022632357</v>
      </c>
      <c r="Z58" s="310">
        <f>INDEX([2]ConsolidatedVehData!$AF$22:$AF$858,MATCH($B58,[2]ConsolidatedVehData!$A$22:$A$858,0)+5)</f>
        <v>0.25377775394194818</v>
      </c>
      <c r="AA58" s="310">
        <f>INDEX([2]ConsolidatedVehData!$AF$22:$AF$858,MATCH($B58,[2]ConsolidatedVehData!$A$22:$A$858,0)+6)</f>
        <v>0.25352271299313023</v>
      </c>
      <c r="AB58" s="310">
        <f>INDEX([2]ConsolidatedVehData!$AF$22:$AF$858,MATCH($B58,[2]ConsolidatedVehData!$A$22:$A$858,0)+7)</f>
        <v>0.25352271299313023</v>
      </c>
      <c r="AC58" s="310">
        <f>INDEX([2]ConsolidatedVehData!$AF$22:$AF$858,MATCH($B58,[2]ConsolidatedVehData!$A$22:$A$858,0)+8)</f>
        <v>0.25352271299313023</v>
      </c>
      <c r="AD58" s="310">
        <f t="shared" si="13"/>
        <v>0.25352271299313023</v>
      </c>
      <c r="AE58" s="286">
        <f>INDEX([2]ConsolidatedVehData!$AB$22:$AB$858,MATCH(B58,[2]ConsolidatedVehData!$A$22:$A$858,0))</f>
        <v>48.0747492686653</v>
      </c>
      <c r="AF58" s="311">
        <v>0.44</v>
      </c>
      <c r="AG58" s="311">
        <v>0.24</v>
      </c>
      <c r="AH58" s="311">
        <v>0.24</v>
      </c>
      <c r="AI58" s="311">
        <v>0.44</v>
      </c>
      <c r="AJ58" s="294">
        <v>0</v>
      </c>
      <c r="AX58" s="250"/>
      <c r="AY58" s="250"/>
      <c r="AZ58" s="250"/>
      <c r="BA58" s="250"/>
      <c r="BB58" s="250"/>
      <c r="BC58" s="250"/>
      <c r="BD58" s="250"/>
    </row>
    <row r="59" spans="1:56" x14ac:dyDescent="0.2">
      <c r="A59" s="255" t="str">
        <f>[2]Technologies!B125</f>
        <v>*R2,R3,R4,R5,R6</v>
      </c>
      <c r="B59" s="255" t="str">
        <f>[2]Technologies!D125</f>
        <v>TLPCNGX10</v>
      </c>
      <c r="C59" s="255" t="str">
        <f>[2]Technologies!E125</f>
        <v>TL.CNGX.P.CNGX.2010</v>
      </c>
      <c r="D59" s="255" t="s">
        <v>292</v>
      </c>
      <c r="E59" s="255" t="s">
        <v>81</v>
      </c>
      <c r="F59" s="255" t="str">
        <f>[2]Commodities!$D$9</f>
        <v>TL</v>
      </c>
      <c r="G59" s="257">
        <v>0</v>
      </c>
      <c r="H59" s="294">
        <v>1</v>
      </c>
      <c r="I59" s="309">
        <f>INDEX([2]ConsolidatedVehData!$D$22:$D$858,MATCH(B59,[2]ConsolidatedVehData!$A$22:$A$858,0))</f>
        <v>2010</v>
      </c>
      <c r="J59" s="294">
        <v>20</v>
      </c>
      <c r="K59" s="309">
        <f>INDEX([2]ConsolidatedVehData!$P$22:$Z$858,MATCH($B59,[2]ConsolidatedVehData!$A$22:$A$858,0),MATCH(K$1,[2]ConsolidatedVehData!$P$7:$Z$7,0))</f>
        <v>2332.1403487822754</v>
      </c>
      <c r="L59" s="309">
        <f>INDEX([2]ConsolidatedVehData!$P$22:$Z$858,MATCH($B59,[2]ConsolidatedVehData!$A$22:$A$858,0),MATCH(L$1,[2]ConsolidatedVehData!$P$7:$Z$7,0))</f>
        <v>2864.8729270533781</v>
      </c>
      <c r="M59" s="309">
        <f>INDEX([2]ConsolidatedVehData!$P$22:$Z$858,MATCH($B59,[2]ConsolidatedVehData!$A$22:$A$858,0),MATCH(M$1,[2]ConsolidatedVehData!$P$7:$Z$7,0))</f>
        <v>2925.2337855170986</v>
      </c>
      <c r="N59" s="309">
        <f>INDEX([2]ConsolidatedVehData!$P$22:$Z$858,MATCH($B59,[2]ConsolidatedVehData!$A$22:$A$858,0),MATCH(N$1,[2]ConsolidatedVehData!$P$7:$Z$7,0))</f>
        <v>3009.6946281564547</v>
      </c>
      <c r="O59" s="309">
        <f>INDEX([2]ConsolidatedVehData!$P$22:$Z$858,MATCH($B59,[2]ConsolidatedVehData!$A$22:$A$858,0),MATCH(O$1,[2]ConsolidatedVehData!$P$7:$Z$7,0))</f>
        <v>3012.1111955994875</v>
      </c>
      <c r="P59" s="309">
        <f>INDEX([2]ConsolidatedVehData!$P$22:$Z$858,MATCH($B59,[2]ConsolidatedVehData!$A$22:$A$858,0),MATCH(P$1,[2]ConsolidatedVehData!$P$7:$Z$7,0))</f>
        <v>3014.0391826292616</v>
      </c>
      <c r="Q59" s="309">
        <f>INDEX([2]ConsolidatedVehData!$P$22:$Z$858,MATCH($B59,[2]ConsolidatedVehData!$A$22:$A$858,0),MATCH(Q$1,[2]ConsolidatedVehData!$P$7:$Z$7,0))</f>
        <v>3015.8602949796273</v>
      </c>
      <c r="R59" s="309">
        <f>INDEX([2]ConsolidatedVehData!$P$22:$Z$858,MATCH($B59,[2]ConsolidatedVehData!$A$22:$A$858,0),MATCH(R$1,[2]ConsolidatedVehData!$P$7:$Z$7,0))</f>
        <v>3015.8602949796273</v>
      </c>
      <c r="S59" s="309">
        <f>INDEX([2]ConsolidatedVehData!$P$22:$Z$858,MATCH($B59,[2]ConsolidatedVehData!$A$22:$A$858,0),MATCH(S$1,[2]ConsolidatedVehData!$P$7:$Z$7,0))</f>
        <v>3015.8602949796273</v>
      </c>
      <c r="T59" s="309">
        <f t="shared" si="31"/>
        <v>3015.8602949796273</v>
      </c>
      <c r="U59" s="310">
        <f>INDEX([2]ConsolidatedVehData!$AF$22:$AF$858,MATCH(B59,[2]ConsolidatedVehData!$A$22:$A$858,0))</f>
        <v>0.140412297356728</v>
      </c>
      <c r="V59" s="310">
        <f>INDEX([2]ConsolidatedVehData!$AF$22:$AF$858,MATCH($B59,[2]ConsolidatedVehData!$A$22:$A$858,0)+1)</f>
        <v>0.17526811869446932</v>
      </c>
      <c r="W59" s="310">
        <f>INDEX([2]ConsolidatedVehData!$AF$22:$AF$858,MATCH($B59,[2]ConsolidatedVehData!$A$22:$A$858,0)+2)</f>
        <v>0.19845429628655925</v>
      </c>
      <c r="X59" s="310">
        <f>INDEX([2]ConsolidatedVehData!$AF$22:$AF$858,MATCH($B59,[2]ConsolidatedVehData!$A$22:$A$858,0)+3)</f>
        <v>0.23317172395271538</v>
      </c>
      <c r="Y59" s="310">
        <f>INDEX([2]ConsolidatedVehData!$AF$22:$AF$858,MATCH($B59,[2]ConsolidatedVehData!$A$22:$A$858,0)+4)</f>
        <v>0.23610561502634175</v>
      </c>
      <c r="Z59" s="310">
        <f>INDEX([2]ConsolidatedVehData!$AF$22:$AF$858,MATCH($B59,[2]ConsolidatedVehData!$A$22:$A$858,0)+5)</f>
        <v>0.23778693925688121</v>
      </c>
      <c r="AA59" s="310">
        <f>INDEX([2]ConsolidatedVehData!$AF$22:$AF$858,MATCH($B59,[2]ConsolidatedVehData!$A$22:$A$858,0)+6)</f>
        <v>0.23746087069968611</v>
      </c>
      <c r="AB59" s="310">
        <f>INDEX([2]ConsolidatedVehData!$AF$22:$AF$858,MATCH($B59,[2]ConsolidatedVehData!$A$22:$A$858,0)+7)</f>
        <v>0.23746087069968611</v>
      </c>
      <c r="AC59" s="310">
        <f>INDEX([2]ConsolidatedVehData!$AF$22:$AF$858,MATCH($B59,[2]ConsolidatedVehData!$A$22:$A$858,0)+8)</f>
        <v>0.23746087069968611</v>
      </c>
      <c r="AD59" s="310">
        <f t="shared" si="13"/>
        <v>0.23746087069968611</v>
      </c>
      <c r="AE59" s="286">
        <f>INDEX([2]ConsolidatedVehData!$AB$22:$AB$858,MATCH(B59,[2]ConsolidatedVehData!$A$22:$A$858,0))</f>
        <v>48.0747492686653</v>
      </c>
      <c r="AF59" s="311">
        <v>0.44</v>
      </c>
      <c r="AG59" s="311">
        <v>0.24</v>
      </c>
      <c r="AH59" s="311">
        <v>0.24</v>
      </c>
      <c r="AI59" s="311">
        <v>0.44</v>
      </c>
      <c r="AJ59" s="294">
        <v>0</v>
      </c>
      <c r="AX59" s="250"/>
      <c r="AY59" s="250"/>
      <c r="AZ59" s="250"/>
      <c r="BA59" s="250"/>
      <c r="BB59" s="250"/>
      <c r="BC59" s="250"/>
      <c r="BD59" s="250"/>
    </row>
    <row r="60" spans="1:56" x14ac:dyDescent="0.2">
      <c r="A60" s="255" t="str">
        <f>[2]Technologies!B126</f>
        <v>R2,R3,R4,R5,R6</v>
      </c>
      <c r="B60" s="255" t="str">
        <f>[2]Technologies!D126</f>
        <v>TLPDSL10</v>
      </c>
      <c r="C60" s="255" t="str">
        <f>[2]Technologies!E126</f>
        <v>TL.DSL.P.DSL.2010</v>
      </c>
      <c r="D60" s="255" t="s">
        <v>292</v>
      </c>
      <c r="E60" s="255" t="s">
        <v>89</v>
      </c>
      <c r="F60" s="255" t="str">
        <f>[2]Commodities!$D$9</f>
        <v>TL</v>
      </c>
      <c r="G60" s="257"/>
      <c r="H60" s="294">
        <v>1</v>
      </c>
      <c r="I60" s="309">
        <f>INDEX([2]ConsolidatedVehData!$D$22:$D$858,MATCH(B60,[2]ConsolidatedVehData!$A$22:$A$858,0))</f>
        <v>2010</v>
      </c>
      <c r="J60" s="294">
        <v>20</v>
      </c>
      <c r="K60" s="309">
        <f>INDEX([2]ConsolidatedVehData!$P$22:$Z$858,MATCH($B60,[2]ConsolidatedVehData!$A$22:$A$858,0),MATCH(K$1,[2]ConsolidatedVehData!$P$7:$Z$7,0))</f>
        <v>2087.0123982869113</v>
      </c>
      <c r="L60" s="309">
        <f>INDEX([2]ConsolidatedVehData!$P$22:$Z$858,MATCH($B60,[2]ConsolidatedVehData!$A$22:$A$858,0),MATCH(L$1,[2]ConsolidatedVehData!$P$7:$Z$7,0))</f>
        <v>2598.3142105969532</v>
      </c>
      <c r="M60" s="309">
        <f>INDEX([2]ConsolidatedVehData!$P$22:$Z$858,MATCH($B60,[2]ConsolidatedVehData!$A$22:$A$858,0),MATCH(M$1,[2]ConsolidatedVehData!$P$7:$Z$7,0))</f>
        <v>2630.0394229689928</v>
      </c>
      <c r="N60" s="309">
        <f>INDEX([2]ConsolidatedVehData!$P$22:$Z$858,MATCH($B60,[2]ConsolidatedVehData!$A$22:$A$858,0),MATCH(N$1,[2]ConsolidatedVehData!$P$7:$Z$7,0))</f>
        <v>2675.2378718433165</v>
      </c>
      <c r="O60" s="309">
        <f>INDEX([2]ConsolidatedVehData!$P$22:$Z$858,MATCH($B60,[2]ConsolidatedVehData!$A$22:$A$858,0),MATCH(O$1,[2]ConsolidatedVehData!$P$7:$Z$7,0))</f>
        <v>2677.0649844823015</v>
      </c>
      <c r="P60" s="309">
        <f>INDEX([2]ConsolidatedVehData!$P$22:$Z$858,MATCH($B60,[2]ConsolidatedVehData!$A$22:$A$858,0),MATCH(P$1,[2]ConsolidatedVehData!$P$7:$Z$7,0))</f>
        <v>2678.8684569036091</v>
      </c>
      <c r="Q60" s="309">
        <f>INDEX([2]ConsolidatedVehData!$P$22:$Z$858,MATCH($B60,[2]ConsolidatedVehData!$A$22:$A$858,0),MATCH(Q$1,[2]ConsolidatedVehData!$P$7:$Z$7,0))</f>
        <v>2681.4870423522889</v>
      </c>
      <c r="R60" s="309">
        <f>INDEX([2]ConsolidatedVehData!$P$22:$Z$858,MATCH($B60,[2]ConsolidatedVehData!$A$22:$A$858,0),MATCH(R$1,[2]ConsolidatedVehData!$P$7:$Z$7,0))</f>
        <v>2681.4870423522889</v>
      </c>
      <c r="S60" s="309">
        <f>INDEX([2]ConsolidatedVehData!$P$22:$Z$858,MATCH($B60,[2]ConsolidatedVehData!$A$22:$A$858,0),MATCH(S$1,[2]ConsolidatedVehData!$P$7:$Z$7,0))</f>
        <v>2681.4870423522889</v>
      </c>
      <c r="T60" s="309">
        <f t="shared" si="31"/>
        <v>2681.4870423522889</v>
      </c>
      <c r="U60" s="310">
        <f>INDEX([2]ConsolidatedVehData!$AF$22:$AF$858,MATCH(B60,[2]ConsolidatedVehData!$A$22:$A$858,0))</f>
        <v>0.17771496161257144</v>
      </c>
      <c r="V60" s="310">
        <f>INDEX([2]ConsolidatedVehData!$AF$22:$AF$858,MATCH($B60,[2]ConsolidatedVehData!$A$22:$A$858,0)+1)</f>
        <v>0.21270439550017659</v>
      </c>
      <c r="W60" s="310">
        <f>INDEX([2]ConsolidatedVehData!$AF$22:$AF$858,MATCH($B60,[2]ConsolidatedVehData!$A$22:$A$858,0)+2)</f>
        <v>0.22853453601271514</v>
      </c>
      <c r="X60" s="310">
        <f>INDEX([2]ConsolidatedVehData!$AF$22:$AF$858,MATCH($B60,[2]ConsolidatedVehData!$A$22:$A$858,0)+3)</f>
        <v>0.25588104347116625</v>
      </c>
      <c r="Y60" s="310">
        <f>INDEX([2]ConsolidatedVehData!$AF$22:$AF$858,MATCH($B60,[2]ConsolidatedVehData!$A$22:$A$858,0)+4)</f>
        <v>0.25875479704101184</v>
      </c>
      <c r="Z60" s="310">
        <f>INDEX([2]ConsolidatedVehData!$AF$22:$AF$858,MATCH($B60,[2]ConsolidatedVehData!$A$22:$A$858,0)+5)</f>
        <v>0.26029151155331587</v>
      </c>
      <c r="AA60" s="310">
        <f>INDEX([2]ConsolidatedVehData!$AF$22:$AF$858,MATCH($B60,[2]ConsolidatedVehData!$A$22:$A$858,0)+6)</f>
        <v>0.26010334069549362</v>
      </c>
      <c r="AB60" s="310">
        <f>INDEX([2]ConsolidatedVehData!$AF$22:$AF$858,MATCH($B60,[2]ConsolidatedVehData!$A$22:$A$858,0)+7)</f>
        <v>0.26010334069549362</v>
      </c>
      <c r="AC60" s="310">
        <f>INDEX([2]ConsolidatedVehData!$AF$22:$AF$858,MATCH($B60,[2]ConsolidatedVehData!$A$22:$A$858,0)+8)</f>
        <v>0.26010334069549362</v>
      </c>
      <c r="AD60" s="310">
        <f t="shared" si="13"/>
        <v>0.26010334069549362</v>
      </c>
      <c r="AE60" s="286">
        <f>INDEX([2]ConsolidatedVehData!$AB$22:$AB$858,MATCH(B60,[2]ConsolidatedVehData!$A$22:$A$858,0))</f>
        <v>48.0747492686653</v>
      </c>
      <c r="AF60" s="311">
        <v>0.44</v>
      </c>
      <c r="AG60" s="311">
        <v>0.18</v>
      </c>
      <c r="AH60" s="311">
        <v>0.24</v>
      </c>
      <c r="AI60" s="311">
        <v>0.44</v>
      </c>
      <c r="AJ60" s="294">
        <v>0</v>
      </c>
      <c r="AX60" s="250"/>
      <c r="AY60" s="250"/>
      <c r="AZ60" s="250"/>
      <c r="BA60" s="250"/>
      <c r="BB60" s="250"/>
      <c r="BC60" s="250"/>
      <c r="BD60" s="250"/>
    </row>
    <row r="61" spans="1:56" x14ac:dyDescent="0.2">
      <c r="A61" s="255" t="str">
        <f>[2]Technologies!B127</f>
        <v>*R2,R3,R4,R5,R6</v>
      </c>
      <c r="B61" s="255" t="str">
        <f>[2]Technologies!D127</f>
        <v>TLPETHX10</v>
      </c>
      <c r="C61" s="255" t="str">
        <f>[2]Technologies!E127</f>
        <v>TL.E85X.P.ETHX.2010</v>
      </c>
      <c r="D61" s="255" t="s">
        <v>292</v>
      </c>
      <c r="E61" s="255" t="s">
        <v>95</v>
      </c>
      <c r="F61" s="255" t="str">
        <f>[2]Commodities!$D$9</f>
        <v>TL</v>
      </c>
      <c r="G61" s="257"/>
      <c r="H61" s="294">
        <v>1</v>
      </c>
      <c r="I61" s="309">
        <f>INDEX([2]ConsolidatedVehData!$D$22:$D$858,MATCH(B61,[2]ConsolidatedVehData!$A$22:$A$858,0))</f>
        <v>2010</v>
      </c>
      <c r="J61" s="294">
        <v>20</v>
      </c>
      <c r="K61" s="309">
        <f>INDEX([2]ConsolidatedVehData!$P$22:$Z$858,MATCH($B61,[2]ConsolidatedVehData!$A$22:$A$858,0),MATCH(K$1,[2]ConsolidatedVehData!$P$7:$Z$7,0))</f>
        <v>1688.2916289789739</v>
      </c>
      <c r="L61" s="309">
        <f>INDEX([2]ConsolidatedVehData!$P$22:$Z$858,MATCH($B61,[2]ConsolidatedVehData!$A$22:$A$858,0),MATCH(L$1,[2]ConsolidatedVehData!$P$7:$Z$7,0))</f>
        <v>2197.3180776345271</v>
      </c>
      <c r="M61" s="309">
        <f>INDEX([2]ConsolidatedVehData!$P$22:$Z$858,MATCH($B61,[2]ConsolidatedVehData!$A$22:$A$858,0),MATCH(M$1,[2]ConsolidatedVehData!$P$7:$Z$7,0))</f>
        <v>2265.0602941561556</v>
      </c>
      <c r="N61" s="309">
        <f>INDEX([2]ConsolidatedVehData!$P$22:$Z$858,MATCH($B61,[2]ConsolidatedVehData!$A$22:$A$858,0),MATCH(N$1,[2]ConsolidatedVehData!$P$7:$Z$7,0))</f>
        <v>2348.7541726557906</v>
      </c>
      <c r="O61" s="309">
        <f>INDEX([2]ConsolidatedVehData!$P$22:$Z$858,MATCH($B61,[2]ConsolidatedVehData!$A$22:$A$858,0),MATCH(O$1,[2]ConsolidatedVehData!$P$7:$Z$7,0))</f>
        <v>2350.6935129266226</v>
      </c>
      <c r="P61" s="309">
        <f>INDEX([2]ConsolidatedVehData!$P$22:$Z$858,MATCH($B61,[2]ConsolidatedVehData!$A$22:$A$858,0),MATCH(P$1,[2]ConsolidatedVehData!$P$7:$Z$7,0))</f>
        <v>2352.2166614530602</v>
      </c>
      <c r="Q61" s="309">
        <f>INDEX([2]ConsolidatedVehData!$P$22:$Z$858,MATCH($B61,[2]ConsolidatedVehData!$A$22:$A$858,0),MATCH(Q$1,[2]ConsolidatedVehData!$P$7:$Z$7,0))</f>
        <v>2354.6325038832779</v>
      </c>
      <c r="R61" s="309">
        <f>INDEX([2]ConsolidatedVehData!$P$22:$Z$858,MATCH($B61,[2]ConsolidatedVehData!$A$22:$A$858,0),MATCH(R$1,[2]ConsolidatedVehData!$P$7:$Z$7,0))</f>
        <v>2354.6325038832779</v>
      </c>
      <c r="S61" s="309">
        <f>INDEX([2]ConsolidatedVehData!$P$22:$Z$858,MATCH($B61,[2]ConsolidatedVehData!$A$22:$A$858,0),MATCH(S$1,[2]ConsolidatedVehData!$P$7:$Z$7,0))</f>
        <v>2354.6325038832779</v>
      </c>
      <c r="T61" s="309">
        <f t="shared" si="31"/>
        <v>2354.6325038832779</v>
      </c>
      <c r="U61" s="310">
        <f>U55</f>
        <v>0.14253618808208454</v>
      </c>
      <c r="V61" s="310">
        <f t="shared" ref="V61:AC61" si="36">V55</f>
        <v>0.17285990976647495</v>
      </c>
      <c r="W61" s="310">
        <f t="shared" si="36"/>
        <v>0.19788865411545389</v>
      </c>
      <c r="X61" s="310">
        <f t="shared" si="36"/>
        <v>0.23459457831767544</v>
      </c>
      <c r="Y61" s="310">
        <f t="shared" si="36"/>
        <v>0.23728519040550514</v>
      </c>
      <c r="Z61" s="310">
        <f t="shared" si="36"/>
        <v>0.23844544767714393</v>
      </c>
      <c r="AA61" s="310">
        <f t="shared" si="36"/>
        <v>0.23814919355391811</v>
      </c>
      <c r="AB61" s="310">
        <f t="shared" si="36"/>
        <v>0.23814919355391811</v>
      </c>
      <c r="AC61" s="310">
        <f t="shared" si="36"/>
        <v>0.23814919355391811</v>
      </c>
      <c r="AD61" s="310">
        <f t="shared" si="13"/>
        <v>0.23814919355391811</v>
      </c>
      <c r="AE61" s="286">
        <f>INDEX([2]ConsolidatedVehData!$AB$22:$AB$858,MATCH(B61,[2]ConsolidatedVehData!$A$22:$A$858,0))</f>
        <v>48.0747492686653</v>
      </c>
      <c r="AF61" s="311">
        <v>0.44</v>
      </c>
      <c r="AG61" s="311">
        <v>0.18</v>
      </c>
      <c r="AH61" s="311">
        <v>0.18</v>
      </c>
      <c r="AI61" s="311">
        <v>0.4</v>
      </c>
      <c r="AJ61" s="294">
        <v>0</v>
      </c>
      <c r="AX61" s="250"/>
      <c r="AY61" s="250"/>
      <c r="AZ61" s="250"/>
      <c r="BA61" s="250"/>
      <c r="BB61" s="250"/>
      <c r="BC61" s="250"/>
      <c r="BD61" s="250"/>
    </row>
    <row r="62" spans="1:56" x14ac:dyDescent="0.2">
      <c r="A62" s="255" t="str">
        <f>[2]Technologies!B128</f>
        <v>R2,R3,R4,R5,R6</v>
      </c>
      <c r="B62" s="255" t="str">
        <f>[2]Technologies!D128</f>
        <v>TLPHEV15</v>
      </c>
      <c r="C62" s="255" t="str">
        <f>[2]Technologies!E128</f>
        <v>TL.GSL.P.HEV.2015</v>
      </c>
      <c r="D62" s="255" t="s">
        <v>292</v>
      </c>
      <c r="E62" s="255" t="s">
        <v>111</v>
      </c>
      <c r="F62" s="255" t="str">
        <f>[2]Commodities!$D$9</f>
        <v>TL</v>
      </c>
      <c r="G62" s="257"/>
      <c r="H62" s="294">
        <v>1</v>
      </c>
      <c r="I62" s="309">
        <f>INDEX([2]ConsolidatedVehData!$D$22:$D$858,MATCH(B62,[2]ConsolidatedVehData!$A$22:$A$858,0))</f>
        <v>2015</v>
      </c>
      <c r="J62" s="294">
        <v>20</v>
      </c>
      <c r="K62" s="309">
        <f t="shared" ref="K62" si="37">L62</f>
        <v>2834.3410769044203</v>
      </c>
      <c r="L62" s="309">
        <f>INDEX([2]ConsolidatedVehData!$P$22:$Z$858,MATCH($B62,[2]ConsolidatedVehData!$A$22:$A$858,0),MATCH(L$1,[2]ConsolidatedVehData!$P$7:$Z$7,0))</f>
        <v>2834.3410769044203</v>
      </c>
      <c r="M62" s="309">
        <f>INDEX([2]ConsolidatedVehData!$P$22:$Z$858,MATCH($B62,[2]ConsolidatedVehData!$A$22:$A$858,0),MATCH(M$1,[2]ConsolidatedVehData!$P$7:$Z$7,0))</f>
        <v>2706.4066254783438</v>
      </c>
      <c r="N62" s="309">
        <f>INDEX([2]ConsolidatedVehData!$P$22:$Z$858,MATCH($B62,[2]ConsolidatedVehData!$A$22:$A$858,0),MATCH(N$1,[2]ConsolidatedVehData!$P$7:$Z$7,0))</f>
        <v>2711.0306518742973</v>
      </c>
      <c r="O62" s="309">
        <f>INDEX([2]ConsolidatedVehData!$P$22:$Z$858,MATCH($B62,[2]ConsolidatedVehData!$A$22:$A$858,0),MATCH(O$1,[2]ConsolidatedVehData!$P$7:$Z$7,0))</f>
        <v>2659.8886942226295</v>
      </c>
      <c r="P62" s="309">
        <f>INDEX([2]ConsolidatedVehData!$P$22:$Z$858,MATCH($B62,[2]ConsolidatedVehData!$A$22:$A$858,0),MATCH(P$1,[2]ConsolidatedVehData!$P$7:$Z$7,0))</f>
        <v>2646.6903987741193</v>
      </c>
      <c r="Q62" s="309">
        <f>INDEX([2]ConsolidatedVehData!$P$22:$Z$858,MATCH($B62,[2]ConsolidatedVehData!$A$22:$A$858,0),MATCH(Q$1,[2]ConsolidatedVehData!$P$7:$Z$7,0))</f>
        <v>2644.6886790692897</v>
      </c>
      <c r="R62" s="309">
        <f>INDEX([2]ConsolidatedVehData!$P$22:$Z$858,MATCH($B62,[2]ConsolidatedVehData!$A$22:$A$858,0),MATCH(R$1,[2]ConsolidatedVehData!$P$7:$Z$7,0))</f>
        <v>2644.6886790692897</v>
      </c>
      <c r="S62" s="309">
        <f>INDEX([2]ConsolidatedVehData!$P$22:$Z$858,MATCH($B62,[2]ConsolidatedVehData!$A$22:$A$858,0),MATCH(S$1,[2]ConsolidatedVehData!$P$7:$Z$7,0))</f>
        <v>2644.6886790692897</v>
      </c>
      <c r="T62" s="309">
        <f t="shared" si="31"/>
        <v>2644.6886790692897</v>
      </c>
      <c r="U62" s="310">
        <f>V62</f>
        <v>0.24902201171814203</v>
      </c>
      <c r="V62" s="310">
        <f>INDEX([2]ConsolidatedVehData!$AF$22:$AF$858,MATCH(B62,[2]ConsolidatedVehData!$A$22:$A$858,0))</f>
        <v>0.24902201171814203</v>
      </c>
      <c r="W62" s="310">
        <f>INDEX([2]ConsolidatedVehData!$AF$22:$AF$858,MATCH($B62,[2]ConsolidatedVehData!$A$22:$A$858,0)+1)</f>
        <v>0.26697372202664643</v>
      </c>
      <c r="X62" s="310">
        <f>INDEX([2]ConsolidatedVehData!$AF$22:$AF$858,MATCH($B62,[2]ConsolidatedVehData!$A$22:$A$858,0)+2)</f>
        <v>0.30964565014077611</v>
      </c>
      <c r="Y62" s="310">
        <f>INDEX([2]ConsolidatedVehData!$AF$22:$AF$858,MATCH($B62,[2]ConsolidatedVehData!$A$22:$A$858,0)+3)</f>
        <v>0.31254764820015207</v>
      </c>
      <c r="Z62" s="310">
        <f>INDEX([2]ConsolidatedVehData!$AF$22:$AF$858,MATCH($B62,[2]ConsolidatedVehData!$A$22:$A$858,0)+4)</f>
        <v>0.31427102485156777</v>
      </c>
      <c r="AA62" s="310">
        <f>INDEX([2]ConsolidatedVehData!$AF$22:$AF$858,MATCH($B62,[2]ConsolidatedVehData!$A$22:$A$858,0)+5)</f>
        <v>0.31435830661499636</v>
      </c>
      <c r="AB62" s="310">
        <f>INDEX([2]ConsolidatedVehData!$AF$22:$AF$858,MATCH($B62,[2]ConsolidatedVehData!$A$22:$A$858,0)+6)</f>
        <v>0.31435830661499636</v>
      </c>
      <c r="AC62" s="310">
        <f>INDEX([2]ConsolidatedVehData!$AF$22:$AF$858,MATCH($B62,[2]ConsolidatedVehData!$A$22:$A$858,0)+7)</f>
        <v>0.31435830661499636</v>
      </c>
      <c r="AD62" s="310">
        <f t="shared" si="13"/>
        <v>0.31435830661499636</v>
      </c>
      <c r="AE62" s="286">
        <f>INDEX([2]ConsolidatedVehData!$AB$22:$AB$858,MATCH(B62,[2]ConsolidatedVehData!$A$22:$A$858,0))</f>
        <v>48.0747492686653</v>
      </c>
      <c r="AF62" s="311">
        <v>0.44</v>
      </c>
      <c r="AG62" s="311">
        <v>0.18</v>
      </c>
      <c r="AH62" s="311">
        <v>0.24</v>
      </c>
      <c r="AI62" s="311">
        <v>0.44</v>
      </c>
      <c r="AJ62" s="294">
        <v>0</v>
      </c>
      <c r="AX62" s="250"/>
      <c r="AY62" s="250"/>
      <c r="AZ62" s="250"/>
      <c r="BA62" s="250"/>
      <c r="BB62" s="250"/>
      <c r="BC62" s="250"/>
      <c r="BD62" s="250"/>
    </row>
    <row r="63" spans="1:56" x14ac:dyDescent="0.2">
      <c r="A63" s="255" t="str">
        <f>[2]Technologies!B129</f>
        <v>*R2,R3,R4,R5,R6</v>
      </c>
      <c r="B63" s="255" t="str">
        <f>[2]Technologies!D129</f>
        <v>TLPLPG10</v>
      </c>
      <c r="C63" s="255" t="str">
        <f>[2]Technologies!E129</f>
        <v>TL.LPG1.P.LPG.2010</v>
      </c>
      <c r="D63" s="255" t="s">
        <v>292</v>
      </c>
      <c r="E63" s="255" t="s">
        <v>107</v>
      </c>
      <c r="F63" s="255" t="str">
        <f>[2]Commodities!$D$9</f>
        <v>TL</v>
      </c>
      <c r="G63" s="257"/>
      <c r="H63" s="294">
        <v>1</v>
      </c>
      <c r="I63" s="309">
        <f>INDEX([2]ConsolidatedVehData!$D$22:$D$858,MATCH(B63,[2]ConsolidatedVehData!$A$22:$A$858,0))</f>
        <v>2010</v>
      </c>
      <c r="J63" s="294">
        <v>20</v>
      </c>
      <c r="K63" s="309">
        <f>INDEX([2]ConsolidatedVehData!$P$22:$Z$858,MATCH($B63,[2]ConsolidatedVehData!$A$22:$A$858,0),MATCH(K$1,[2]ConsolidatedVehData!$P$7:$Z$7,0))</f>
        <v>2407.3706826139619</v>
      </c>
      <c r="L63" s="309">
        <f>INDEX([2]ConsolidatedVehData!$P$22:$Z$858,MATCH($B63,[2]ConsolidatedVehData!$A$22:$A$858,0),MATCH(L$1,[2]ConsolidatedVehData!$P$7:$Z$7,0))</f>
        <v>2944.7925102145</v>
      </c>
      <c r="M63" s="309">
        <f>INDEX([2]ConsolidatedVehData!$P$22:$Z$858,MATCH($B63,[2]ConsolidatedVehData!$A$22:$A$858,0),MATCH(M$1,[2]ConsolidatedVehData!$P$7:$Z$7,0))</f>
        <v>3003.1123622236087</v>
      </c>
      <c r="N63" s="309">
        <f>INDEX([2]ConsolidatedVehData!$P$22:$Z$858,MATCH($B63,[2]ConsolidatedVehData!$A$22:$A$858,0),MATCH(N$1,[2]ConsolidatedVehData!$P$7:$Z$7,0))</f>
        <v>3086.0141220140672</v>
      </c>
      <c r="O63" s="309">
        <f>INDEX([2]ConsolidatedVehData!$P$22:$Z$858,MATCH($B63,[2]ConsolidatedVehData!$A$22:$A$858,0),MATCH(O$1,[2]ConsolidatedVehData!$P$7:$Z$7,0))</f>
        <v>3088.5024513054914</v>
      </c>
      <c r="P63" s="309">
        <f>INDEX([2]ConsolidatedVehData!$P$22:$Z$858,MATCH($B63,[2]ConsolidatedVehData!$A$22:$A$858,0),MATCH(P$1,[2]ConsolidatedVehData!$P$7:$Z$7,0))</f>
        <v>3090.1974500711194</v>
      </c>
      <c r="Q63" s="309">
        <f>INDEX([2]ConsolidatedVehData!$P$22:$Z$858,MATCH($B63,[2]ConsolidatedVehData!$A$22:$A$858,0),MATCH(Q$1,[2]ConsolidatedVehData!$P$7:$Z$7,0))</f>
        <v>3091.8666994273344</v>
      </c>
      <c r="R63" s="309">
        <f>INDEX([2]ConsolidatedVehData!$P$22:$Z$858,MATCH($B63,[2]ConsolidatedVehData!$A$22:$A$858,0),MATCH(R$1,[2]ConsolidatedVehData!$P$7:$Z$7,0))</f>
        <v>3091.8666994273344</v>
      </c>
      <c r="S63" s="309">
        <f>INDEX([2]ConsolidatedVehData!$P$22:$Z$858,MATCH($B63,[2]ConsolidatedVehData!$A$22:$A$858,0),MATCH(S$1,[2]ConsolidatedVehData!$P$7:$Z$7,0))</f>
        <v>3091.8666994273344</v>
      </c>
      <c r="T63" s="309">
        <f t="shared" si="31"/>
        <v>3091.8666994273344</v>
      </c>
      <c r="U63" s="310">
        <f>INDEX([2]ConsolidatedVehData!$AF$22:$AF$858,MATCH(B63,[2]ConsolidatedVehData!$A$22:$A$858,0))</f>
        <v>0.14614341153455362</v>
      </c>
      <c r="V63" s="310">
        <f>INDEX([2]ConsolidatedVehData!$AF$22:$AF$858,MATCH($B63,[2]ConsolidatedVehData!$A$22:$A$858,0)+1)</f>
        <v>0.18203185865695096</v>
      </c>
      <c r="W63" s="310">
        <f>INDEX([2]ConsolidatedVehData!$AF$22:$AF$858,MATCH($B63,[2]ConsolidatedVehData!$A$22:$A$858,0)+2)</f>
        <v>0.20578211161013635</v>
      </c>
      <c r="X63" s="310">
        <f>INDEX([2]ConsolidatedVehData!$AF$22:$AF$858,MATCH($B63,[2]ConsolidatedVehData!$A$22:$A$858,0)+3)</f>
        <v>0.24161153462440671</v>
      </c>
      <c r="Y63" s="310">
        <f>INDEX([2]ConsolidatedVehData!$AF$22:$AF$858,MATCH($B63,[2]ConsolidatedVehData!$A$22:$A$858,0)+4)</f>
        <v>0.24452069912430818</v>
      </c>
      <c r="Z63" s="310">
        <f>INDEX([2]ConsolidatedVehData!$AF$22:$AF$858,MATCH($B63,[2]ConsolidatedVehData!$A$22:$A$858,0)+5)</f>
        <v>0.24624010979251149</v>
      </c>
      <c r="AA63" s="310">
        <f>INDEX([2]ConsolidatedVehData!$AF$22:$AF$858,MATCH($B63,[2]ConsolidatedVehData!$A$22:$A$858,0)+6)</f>
        <v>0.24599337895925152</v>
      </c>
      <c r="AB63" s="310">
        <f>INDEX([2]ConsolidatedVehData!$AF$22:$AF$858,MATCH($B63,[2]ConsolidatedVehData!$A$22:$A$858,0)+7)</f>
        <v>0.24599337895925152</v>
      </c>
      <c r="AC63" s="310">
        <f>INDEX([2]ConsolidatedVehData!$AF$22:$AF$858,MATCH($B63,[2]ConsolidatedVehData!$A$22:$A$858,0)+8)</f>
        <v>0.24599337895925152</v>
      </c>
      <c r="AD63" s="310">
        <f t="shared" si="13"/>
        <v>0.24599337895925152</v>
      </c>
      <c r="AE63" s="286">
        <f>INDEX([2]ConsolidatedVehData!$AB$22:$AB$858,MATCH(B63,[2]ConsolidatedVehData!$A$22:$A$858,0))</f>
        <v>48.0747492686653</v>
      </c>
      <c r="AF63" s="311">
        <v>0.44</v>
      </c>
      <c r="AG63" s="311">
        <v>0.24</v>
      </c>
      <c r="AH63" s="311">
        <v>0.24</v>
      </c>
      <c r="AI63" s="311">
        <v>0.44</v>
      </c>
      <c r="AJ63" s="294">
        <v>0</v>
      </c>
      <c r="AX63" s="250"/>
      <c r="AY63" s="250"/>
      <c r="AZ63" s="250"/>
      <c r="BA63" s="250"/>
      <c r="BB63" s="250"/>
      <c r="BC63" s="250"/>
      <c r="BD63" s="250"/>
    </row>
    <row r="64" spans="1:56" x14ac:dyDescent="0.2">
      <c r="A64" s="255" t="str">
        <f>[2]Technologies!B130</f>
        <v>*R2,R3,R4,R5,R6</v>
      </c>
      <c r="B64" s="255" t="str">
        <f>[2]Technologies!D130</f>
        <v>TLPLPGX10</v>
      </c>
      <c r="C64" s="255" t="str">
        <f>[2]Technologies!E130</f>
        <v>TL.LPGX.P.LPGX.2010</v>
      </c>
      <c r="D64" s="255" t="s">
        <v>292</v>
      </c>
      <c r="E64" s="255" t="s">
        <v>109</v>
      </c>
      <c r="F64" s="255" t="str">
        <f>[2]Commodities!$D$9</f>
        <v>TL</v>
      </c>
      <c r="G64" s="257">
        <v>0</v>
      </c>
      <c r="H64" s="294">
        <v>1</v>
      </c>
      <c r="I64" s="309">
        <f>INDEX([2]ConsolidatedVehData!$D$22:$D$858,MATCH(B64,[2]ConsolidatedVehData!$A$22:$A$858,0))</f>
        <v>2010</v>
      </c>
      <c r="J64" s="294">
        <v>20</v>
      </c>
      <c r="K64" s="309">
        <f>INDEX([2]ConsolidatedVehData!$P$22:$Z$858,MATCH($B64,[2]ConsolidatedVehData!$A$22:$A$858,0),MATCH(K$1,[2]ConsolidatedVehData!$P$7:$Z$7,0))</f>
        <v>2226.8178814179146</v>
      </c>
      <c r="L64" s="309">
        <f>INDEX([2]ConsolidatedVehData!$P$22:$Z$858,MATCH($B64,[2]ConsolidatedVehData!$A$22:$A$858,0),MATCH(L$1,[2]ConsolidatedVehData!$P$7:$Z$7,0))</f>
        <v>2760.9976149307163</v>
      </c>
      <c r="M64" s="309">
        <f>INDEX([2]ConsolidatedVehData!$P$22:$Z$858,MATCH($B64,[2]ConsolidatedVehData!$A$22:$A$858,0),MATCH(M$1,[2]ConsolidatedVehData!$P$7:$Z$7,0))</f>
        <v>2821.3017808026902</v>
      </c>
      <c r="N64" s="309">
        <f>INDEX([2]ConsolidatedVehData!$P$22:$Z$858,MATCH($B64,[2]ConsolidatedVehData!$A$22:$A$858,0),MATCH(N$1,[2]ConsolidatedVehData!$P$7:$Z$7,0))</f>
        <v>2905.3304430136086</v>
      </c>
      <c r="O64" s="309">
        <f>INDEX([2]ConsolidatedVehData!$P$22:$Z$858,MATCH($B64,[2]ConsolidatedVehData!$A$22:$A$858,0),MATCH(O$1,[2]ConsolidatedVehData!$P$7:$Z$7,0))</f>
        <v>2907.7880485778937</v>
      </c>
      <c r="P64" s="309">
        <f>INDEX([2]ConsolidatedVehData!$P$22:$Z$858,MATCH($B64,[2]ConsolidatedVehData!$A$22:$A$858,0),MATCH(P$1,[2]ConsolidatedVehData!$P$7:$Z$7,0))</f>
        <v>2909.5150878018244</v>
      </c>
      <c r="Q64" s="309">
        <f>INDEX([2]ConsolidatedVehData!$P$22:$Z$858,MATCH($B64,[2]ConsolidatedVehData!$A$22:$A$858,0),MATCH(Q$1,[2]ConsolidatedVehData!$P$7:$Z$7,0))</f>
        <v>2911.2664134005436</v>
      </c>
      <c r="R64" s="309">
        <f>INDEX([2]ConsolidatedVehData!$P$22:$Z$858,MATCH($B64,[2]ConsolidatedVehData!$A$22:$A$858,0),MATCH(R$1,[2]ConsolidatedVehData!$P$7:$Z$7,0))</f>
        <v>2911.2664134005436</v>
      </c>
      <c r="S64" s="309">
        <f>INDEX([2]ConsolidatedVehData!$P$22:$Z$858,MATCH($B64,[2]ConsolidatedVehData!$A$22:$A$858,0),MATCH(S$1,[2]ConsolidatedVehData!$P$7:$Z$7,0))</f>
        <v>2911.2664134005436</v>
      </c>
      <c r="T64" s="309">
        <f t="shared" si="31"/>
        <v>2911.2664134005436</v>
      </c>
      <c r="U64" s="310">
        <f>INDEX([2]ConsolidatedVehData!$AF$22:$AF$858,MATCH(B64,[2]ConsolidatedVehData!$A$22:$A$858,0))</f>
        <v>0.14053965544956859</v>
      </c>
      <c r="V64" s="310">
        <f>INDEX([2]ConsolidatedVehData!$AF$22:$AF$858,MATCH($B64,[2]ConsolidatedVehData!$A$22:$A$858,0)+1)</f>
        <v>0.17534621467699915</v>
      </c>
      <c r="W64" s="310">
        <f>INDEX([2]ConsolidatedVehData!$AF$22:$AF$858,MATCH($B64,[2]ConsolidatedVehData!$A$22:$A$858,0)+2)</f>
        <v>0.19877183821943861</v>
      </c>
      <c r="X64" s="310">
        <f>INDEX([2]ConsolidatedVehData!$AF$22:$AF$858,MATCH($B64,[2]ConsolidatedVehData!$A$22:$A$858,0)+3)</f>
        <v>0.23380357292291601</v>
      </c>
      <c r="Y64" s="310">
        <f>INDEX([2]ConsolidatedVehData!$AF$22:$AF$858,MATCH($B64,[2]ConsolidatedVehData!$A$22:$A$858,0)+4)</f>
        <v>0.23672539044934113</v>
      </c>
      <c r="Z64" s="310">
        <f>INDEX([2]ConsolidatedVehData!$AF$22:$AF$858,MATCH($B64,[2]ConsolidatedVehData!$A$22:$A$858,0)+5)</f>
        <v>0.23835579691436287</v>
      </c>
      <c r="AA64" s="310">
        <f>INDEX([2]ConsolidatedVehData!$AF$22:$AF$858,MATCH($B64,[2]ConsolidatedVehData!$A$22:$A$858,0)+6)</f>
        <v>0.23804262973197254</v>
      </c>
      <c r="AB64" s="310">
        <f>INDEX([2]ConsolidatedVehData!$AF$22:$AF$858,MATCH($B64,[2]ConsolidatedVehData!$A$22:$A$858,0)+7)</f>
        <v>0.23804262973197254</v>
      </c>
      <c r="AC64" s="310">
        <f>INDEX([2]ConsolidatedVehData!$AF$22:$AF$858,MATCH($B64,[2]ConsolidatedVehData!$A$22:$A$858,0)+8)</f>
        <v>0.23804262973197254</v>
      </c>
      <c r="AD64" s="310">
        <f t="shared" si="13"/>
        <v>0.23804262973197254</v>
      </c>
      <c r="AE64" s="286">
        <f>INDEX([2]ConsolidatedVehData!$AB$22:$AB$858,MATCH(B64,[2]ConsolidatedVehData!$A$22:$A$858,0))</f>
        <v>48.0747492686653</v>
      </c>
      <c r="AF64" s="311">
        <v>0.44</v>
      </c>
      <c r="AG64" s="311">
        <v>0.24</v>
      </c>
      <c r="AH64" s="311">
        <v>0.24</v>
      </c>
      <c r="AI64" s="311">
        <v>0.44</v>
      </c>
      <c r="AJ64" s="294">
        <v>0</v>
      </c>
      <c r="AX64" s="250"/>
      <c r="AY64" s="250"/>
      <c r="AZ64" s="250"/>
      <c r="BA64" s="250"/>
      <c r="BB64" s="250"/>
      <c r="BC64" s="250"/>
      <c r="BD64" s="250"/>
    </row>
    <row r="65" spans="1:56" x14ac:dyDescent="0.2">
      <c r="A65" s="255" t="str">
        <f>[2]Technologies!B131</f>
        <v>R2,R3,R4,R5,R6</v>
      </c>
      <c r="B65" s="255" t="str">
        <f>[2]Technologies!D131</f>
        <v>TLPPHVG15</v>
      </c>
      <c r="C65" s="255" t="str">
        <f>[2]Technologies!E131</f>
        <v>TL.GSL.P.PHVG.2015</v>
      </c>
      <c r="D65" s="255" t="s">
        <v>292</v>
      </c>
      <c r="E65" s="255" t="s">
        <v>111</v>
      </c>
      <c r="F65" s="257"/>
      <c r="G65" s="257"/>
      <c r="H65" s="310">
        <f>1-H66</f>
        <v>0.74818241352277948</v>
      </c>
      <c r="I65" s="309">
        <f>INDEX([2]ConsolidatedVehData!$D$22:$D$858,MATCH(B65,[2]ConsolidatedVehData!$A$22:$A$858,0))</f>
        <v>2015</v>
      </c>
      <c r="J65" s="294">
        <v>20</v>
      </c>
      <c r="K65" s="309">
        <f>INDEX([2]ConsolidatedVehData!$P$22:$Z$858,MATCH($B65,[2]ConsolidatedVehData!$A$22:$A$858,0),MATCH(K$1,[2]ConsolidatedVehData!$P$7:$Z$7,0))</f>
        <v>2232.9592459203832</v>
      </c>
      <c r="L65" s="309">
        <f>INDEX([2]ConsolidatedVehData!$P$22:$Z$858,MATCH($B65,[2]ConsolidatedVehData!$A$22:$A$858,0),MATCH(L$1,[2]ConsolidatedVehData!$P$7:$Z$7,0))</f>
        <v>2726.8280666099918</v>
      </c>
      <c r="M65" s="309">
        <f>INDEX([2]ConsolidatedVehData!$P$22:$Z$858,MATCH($B65,[2]ConsolidatedVehData!$A$22:$A$858,0),MATCH(M$1,[2]ConsolidatedVehData!$P$7:$Z$7,0))</f>
        <v>2795.1182540207742</v>
      </c>
      <c r="N65" s="309">
        <f>INDEX([2]ConsolidatedVehData!$P$22:$Z$858,MATCH($B65,[2]ConsolidatedVehData!$A$22:$A$858,0),MATCH(N$1,[2]ConsolidatedVehData!$P$7:$Z$7,0))</f>
        <v>2878.9697763931108</v>
      </c>
      <c r="O65" s="309">
        <f>INDEX([2]ConsolidatedVehData!$P$22:$Z$858,MATCH($B65,[2]ConsolidatedVehData!$A$22:$A$858,0),MATCH(O$1,[2]ConsolidatedVehData!$P$7:$Z$7,0))</f>
        <v>2880.8684522060535</v>
      </c>
      <c r="P65" s="309">
        <f>INDEX([2]ConsolidatedVehData!$P$22:$Z$858,MATCH($B65,[2]ConsolidatedVehData!$A$22:$A$858,0),MATCH(P$1,[2]ConsolidatedVehData!$P$7:$Z$7,0))</f>
        <v>2882.4184470601622</v>
      </c>
      <c r="Q65" s="309">
        <f>INDEX([2]ConsolidatedVehData!$P$22:$Z$858,MATCH($B65,[2]ConsolidatedVehData!$A$22:$A$858,0),MATCH(Q$1,[2]ConsolidatedVehData!$P$7:$Z$7,0))</f>
        <v>2884.8997172839372</v>
      </c>
      <c r="R65" s="309">
        <f>INDEX([2]ConsolidatedVehData!$P$22:$Z$858,MATCH($B65,[2]ConsolidatedVehData!$A$22:$A$858,0),MATCH(R$1,[2]ConsolidatedVehData!$P$7:$Z$7,0))</f>
        <v>2884.8997172839372</v>
      </c>
      <c r="S65" s="309">
        <f>INDEX([2]ConsolidatedVehData!$P$22:$Z$858,MATCH($B65,[2]ConsolidatedVehData!$A$22:$A$858,0),MATCH(S$1,[2]ConsolidatedVehData!$P$7:$Z$7,0))</f>
        <v>2884.8997172839372</v>
      </c>
      <c r="T65" s="309">
        <f t="shared" si="31"/>
        <v>2884.8997172839372</v>
      </c>
      <c r="U65" s="310">
        <f>V65</f>
        <v>0.37262777949515474</v>
      </c>
      <c r="V65" s="310">
        <f>INDEX([2]ConsolidatedVehData!$AF$22:$AF$858,MATCH(B65,[2]ConsolidatedVehData!$A$22:$A$858,0))</f>
        <v>0.37262777949515474</v>
      </c>
      <c r="W65" s="310">
        <f>INDEX([2]ConsolidatedVehData!$AF$22:$AF$858,MATCH($B65,[2]ConsolidatedVehData!$A$22:$A$858,0)+1)</f>
        <v>0.39949008738611186</v>
      </c>
      <c r="X65" s="310">
        <f>INDEX([2]ConsolidatedVehData!$AF$22:$AF$858,MATCH($B65,[2]ConsolidatedVehData!$A$22:$A$858,0)+2)</f>
        <v>0.46334285971831218</v>
      </c>
      <c r="Y65" s="310">
        <f>INDEX([2]ConsolidatedVehData!$AF$22:$AF$858,MATCH($B65,[2]ConsolidatedVehData!$A$22:$A$858,0)+3)</f>
        <v>0.4676853075425168</v>
      </c>
      <c r="Z65" s="310">
        <f>INDEX([2]ConsolidatedVehData!$AF$22:$AF$858,MATCH($B65,[2]ConsolidatedVehData!$A$22:$A$858,0)+4)</f>
        <v>0.47026410774744676</v>
      </c>
      <c r="AA65" s="310">
        <f>INDEX([2]ConsolidatedVehData!$AF$22:$AF$858,MATCH($B65,[2]ConsolidatedVehData!$A$22:$A$858,0)+5)</f>
        <v>0.47039471310828379</v>
      </c>
      <c r="AB65" s="310">
        <f>INDEX([2]ConsolidatedVehData!$AF$22:$AF$858,MATCH($B65,[2]ConsolidatedVehData!$A$22:$A$858,0)+6)</f>
        <v>0.47039471310828379</v>
      </c>
      <c r="AC65" s="310">
        <f>INDEX([2]ConsolidatedVehData!$AF$22:$AF$858,MATCH($B65,[2]ConsolidatedVehData!$A$22:$A$858,0)+7)</f>
        <v>0.47039471310828379</v>
      </c>
      <c r="AD65" s="310">
        <f t="shared" si="13"/>
        <v>0.47039471310828379</v>
      </c>
      <c r="AE65" s="286">
        <f>INDEX([2]ConsolidatedVehData!$AB$22:$AB$858,MATCH(B65,[2]ConsolidatedVehData!$A$22:$A$858,0))</f>
        <v>48.0747492686653</v>
      </c>
      <c r="AF65" s="311">
        <v>0.44</v>
      </c>
      <c r="AG65" s="311">
        <v>0.24</v>
      </c>
      <c r="AH65" s="311">
        <v>0.28000000000000003</v>
      </c>
      <c r="AI65" s="311">
        <v>0.44</v>
      </c>
      <c r="AJ65" s="294">
        <v>0</v>
      </c>
      <c r="AX65" s="250"/>
      <c r="AY65" s="250"/>
      <c r="AZ65" s="250"/>
      <c r="BA65" s="250"/>
      <c r="BB65" s="250"/>
      <c r="BC65" s="250"/>
      <c r="BD65" s="250"/>
    </row>
    <row r="66" spans="1:56" x14ac:dyDescent="0.2">
      <c r="A66" s="255"/>
      <c r="B66" s="255"/>
      <c r="C66" s="255"/>
      <c r="D66" s="255"/>
      <c r="E66" s="255" t="s">
        <v>99</v>
      </c>
      <c r="F66" s="255"/>
      <c r="G66" s="257"/>
      <c r="H66" s="310">
        <f>INDEX([2]ConsolidatedVehData!$AG$22:$AG$858,MATCH(B65,[2]ConsolidatedVehData!$A$22:$A$858,0))</f>
        <v>0.25181758647722052</v>
      </c>
      <c r="I66" s="309"/>
      <c r="J66" s="294"/>
      <c r="K66" s="309"/>
      <c r="L66" s="309"/>
      <c r="M66" s="309"/>
      <c r="N66" s="309"/>
      <c r="O66" s="309"/>
      <c r="P66" s="309"/>
      <c r="Q66" s="309"/>
      <c r="R66" s="309"/>
      <c r="S66" s="309"/>
      <c r="T66" s="309"/>
      <c r="U66" s="310"/>
      <c r="V66" s="310"/>
      <c r="W66" s="310"/>
      <c r="X66" s="310"/>
      <c r="Y66" s="310"/>
      <c r="Z66" s="310"/>
      <c r="AA66" s="310"/>
      <c r="AB66" s="310"/>
      <c r="AC66" s="310"/>
      <c r="AD66" s="310"/>
      <c r="AE66" s="286"/>
      <c r="AF66" s="311"/>
      <c r="AG66" s="311"/>
      <c r="AH66" s="311"/>
      <c r="AI66" s="311"/>
      <c r="AJ66" s="294"/>
      <c r="AX66" s="250"/>
      <c r="AY66" s="250"/>
      <c r="AZ66" s="250"/>
      <c r="BA66" s="250"/>
      <c r="BB66" s="250"/>
      <c r="BC66" s="250"/>
      <c r="BD66" s="250"/>
    </row>
    <row r="67" spans="1:56" x14ac:dyDescent="0.2">
      <c r="A67" s="255" t="str">
        <f>IF(LEFT(A66,1)="*","*","")</f>
        <v/>
      </c>
      <c r="B67" s="255"/>
      <c r="C67" s="255"/>
      <c r="D67" s="255"/>
      <c r="E67" s="257"/>
      <c r="F67" s="255" t="str">
        <f>[2]Commodities!$D$9</f>
        <v>TL</v>
      </c>
      <c r="G67" s="257"/>
      <c r="H67" s="257"/>
      <c r="I67" s="294"/>
      <c r="J67" s="294"/>
      <c r="K67" s="294"/>
      <c r="L67" s="294"/>
      <c r="M67" s="294"/>
      <c r="N67" s="294"/>
      <c r="O67" s="294"/>
      <c r="P67" s="294"/>
      <c r="Q67" s="294"/>
      <c r="R67" s="294"/>
      <c r="S67" s="294"/>
      <c r="T67" s="294"/>
      <c r="U67" s="310"/>
      <c r="V67" s="310"/>
      <c r="W67" s="310"/>
      <c r="X67" s="310"/>
      <c r="Y67" s="310"/>
      <c r="Z67" s="310"/>
      <c r="AA67" s="310"/>
      <c r="AB67" s="310"/>
      <c r="AC67" s="310"/>
      <c r="AD67" s="310"/>
      <c r="AE67" s="294"/>
      <c r="AF67" s="311"/>
      <c r="AG67" s="311"/>
      <c r="AH67" s="311"/>
      <c r="AI67" s="311"/>
      <c r="AJ67" s="294"/>
      <c r="AX67" s="250"/>
      <c r="AY67" s="250"/>
      <c r="AZ67" s="250"/>
      <c r="BA67" s="250"/>
      <c r="BB67" s="250"/>
      <c r="BC67" s="250"/>
      <c r="BD67" s="250"/>
    </row>
    <row r="68" spans="1:56" x14ac:dyDescent="0.2">
      <c r="A68" s="255" t="str">
        <f>[2]Technologies!B132</f>
        <v>R2,R3,R4,R5,R6</v>
      </c>
      <c r="B68" s="255" t="str">
        <f>[2]Technologies!D132</f>
        <v>TLSSCONV10</v>
      </c>
      <c r="C68" s="255" t="str">
        <f>[2]Technologies!E132</f>
        <v>TL.GSL.SS.CONV.2010</v>
      </c>
      <c r="D68" s="255" t="s">
        <v>292</v>
      </c>
      <c r="E68" s="255" t="s">
        <v>111</v>
      </c>
      <c r="F68" s="255" t="str">
        <f>[2]Commodities!$D$9</f>
        <v>TL</v>
      </c>
      <c r="G68" s="257"/>
      <c r="H68" s="294">
        <v>1</v>
      </c>
      <c r="I68" s="309">
        <f>INDEX([2]ConsolidatedVehData!$D$22:$D$858,MATCH(B68,[2]ConsolidatedVehData!$A$22:$A$858,0))</f>
        <v>2010</v>
      </c>
      <c r="J68" s="294">
        <v>20</v>
      </c>
      <c r="K68" s="309">
        <f>INDEX([2]ConsolidatedVehData!$P$22:$Z$858,MATCH($B68,[2]ConsolidatedVehData!$A$22:$A$858,0),MATCH(K$1,[2]ConsolidatedVehData!$P$7:$Z$7,0))</f>
        <v>1782.9589118109654</v>
      </c>
      <c r="L68" s="309">
        <f>INDEX([2]ConsolidatedVehData!$P$22:$Z$858,MATCH($B68,[2]ConsolidatedVehData!$A$22:$A$858,0),MATCH(L$1,[2]ConsolidatedVehData!$P$7:$Z$7,0))</f>
        <v>1917.2042451271416</v>
      </c>
      <c r="M68" s="309">
        <f>INDEX([2]ConsolidatedVehData!$P$22:$Z$858,MATCH($B68,[2]ConsolidatedVehData!$A$22:$A$858,0),MATCH(M$1,[2]ConsolidatedVehData!$P$7:$Z$7,0))</f>
        <v>1982.32040503484</v>
      </c>
      <c r="N68" s="309">
        <f>INDEX([2]ConsolidatedVehData!$P$22:$Z$858,MATCH($B68,[2]ConsolidatedVehData!$A$22:$A$858,0),MATCH(N$1,[2]ConsolidatedVehData!$P$7:$Z$7,0))</f>
        <v>2057.8579068850045</v>
      </c>
      <c r="O68" s="309">
        <f>INDEX([2]ConsolidatedVehData!$P$22:$Z$858,MATCH($B68,[2]ConsolidatedVehData!$A$22:$A$858,0),MATCH(O$1,[2]ConsolidatedVehData!$P$7:$Z$7,0))</f>
        <v>2062.7312752232779</v>
      </c>
      <c r="P68" s="309">
        <f>INDEX([2]ConsolidatedVehData!$P$22:$Z$858,MATCH($B68,[2]ConsolidatedVehData!$A$22:$A$858,0),MATCH(P$1,[2]ConsolidatedVehData!$P$7:$Z$7,0))</f>
        <v>2064.7635766218655</v>
      </c>
      <c r="Q68" s="309">
        <f>INDEX([2]ConsolidatedVehData!$P$22:$Z$858,MATCH($B68,[2]ConsolidatedVehData!$A$22:$A$858,0),MATCH(Q$1,[2]ConsolidatedVehData!$P$7:$Z$7,0))</f>
        <v>2066.5870298276318</v>
      </c>
      <c r="R68" s="309">
        <f>INDEX([2]ConsolidatedVehData!$P$22:$Z$858,MATCH($B68,[2]ConsolidatedVehData!$A$22:$A$858,0),MATCH(R$1,[2]ConsolidatedVehData!$P$7:$Z$7,0))</f>
        <v>2066.5870298276318</v>
      </c>
      <c r="S68" s="309">
        <f>INDEX([2]ConsolidatedVehData!$P$22:$Z$858,MATCH($B68,[2]ConsolidatedVehData!$A$22:$A$858,0),MATCH(S$1,[2]ConsolidatedVehData!$P$7:$Z$7,0))</f>
        <v>2066.5870298276318</v>
      </c>
      <c r="T68" s="309">
        <f t="shared" ref="T68:T76" si="38">S68</f>
        <v>2066.5870298276318</v>
      </c>
      <c r="U68" s="310">
        <f>INDEX([2]ConsolidatedVehData!$AF$22:$AF$858,MATCH(B68,[2]ConsolidatedVehData!$A$22:$A$858,0))</f>
        <v>0.17301596912391384</v>
      </c>
      <c r="V68" s="310">
        <f>INDEX([2]ConsolidatedVehData!$AF$22:$AF$858,MATCH($B68,[2]ConsolidatedVehData!$A$22:$A$858,0)+1)</f>
        <v>0.19649293071357732</v>
      </c>
      <c r="W68" s="310">
        <f>INDEX([2]ConsolidatedVehData!$AF$22:$AF$858,MATCH($B68,[2]ConsolidatedVehData!$A$22:$A$858,0)+2)</f>
        <v>0.23455352742051233</v>
      </c>
      <c r="X68" s="310">
        <f>INDEX([2]ConsolidatedVehData!$AF$22:$AF$858,MATCH($B68,[2]ConsolidatedVehData!$A$22:$A$858,0)+3)</f>
        <v>0.27663546864469757</v>
      </c>
      <c r="Y68" s="310">
        <f>INDEX([2]ConsolidatedVehData!$AF$22:$AF$858,MATCH($B68,[2]ConsolidatedVehData!$A$22:$A$858,0)+4)</f>
        <v>0.27812466682428238</v>
      </c>
      <c r="Z68" s="310">
        <f>INDEX([2]ConsolidatedVehData!$AF$22:$AF$858,MATCH($B68,[2]ConsolidatedVehData!$A$22:$A$858,0)+5)</f>
        <v>0.2776242386700839</v>
      </c>
      <c r="AA68" s="310">
        <f>INDEX([2]ConsolidatedVehData!$AF$22:$AF$858,MATCH($B68,[2]ConsolidatedVehData!$A$22:$A$858,0)+6)</f>
        <v>0.27706725078685496</v>
      </c>
      <c r="AB68" s="310">
        <f>INDEX([2]ConsolidatedVehData!$AF$22:$AF$858,MATCH($B68,[2]ConsolidatedVehData!$A$22:$A$858,0)+7)</f>
        <v>0.27706725078685496</v>
      </c>
      <c r="AC68" s="310">
        <f>INDEX([2]ConsolidatedVehData!$AF$22:$AF$858,MATCH($B68,[2]ConsolidatedVehData!$A$22:$A$858,0)+8)</f>
        <v>0.27706725078685496</v>
      </c>
      <c r="AD68" s="310">
        <f t="shared" si="13"/>
        <v>0.27706725078685496</v>
      </c>
      <c r="AE68" s="286">
        <f>INDEX([2]ConsolidatedVehData!$AB$22:$AB$858,MATCH(B68,[2]ConsolidatedVehData!$A$22:$A$858,0))</f>
        <v>43.267274341798768</v>
      </c>
      <c r="AF68" s="311">
        <v>0.44</v>
      </c>
      <c r="AG68" s="311">
        <v>0.18</v>
      </c>
      <c r="AH68" s="311">
        <v>0.18</v>
      </c>
      <c r="AI68" s="311">
        <v>0.4</v>
      </c>
      <c r="AJ68" s="294">
        <v>0</v>
      </c>
      <c r="AX68" s="250"/>
      <c r="AY68" s="250"/>
      <c r="AZ68" s="250"/>
      <c r="BA68" s="250"/>
      <c r="BB68" s="250"/>
      <c r="BC68" s="250"/>
      <c r="BD68" s="250"/>
    </row>
    <row r="69" spans="1:56" x14ac:dyDescent="0.2">
      <c r="A69" s="255" t="str">
        <f>[2]Technologies!B133</f>
        <v>R2,R3,R4,R5,R6</v>
      </c>
      <c r="B69" s="255" t="str">
        <f>[2]Technologies!D82</f>
        <v>TLSSELC</v>
      </c>
      <c r="C69" s="255" t="str">
        <f>[2]Technologies!E82</f>
        <v>Electric small SUV w/100 mi range</v>
      </c>
      <c r="D69" s="255" t="s">
        <v>292</v>
      </c>
      <c r="E69" s="255" t="s">
        <v>99</v>
      </c>
      <c r="F69" s="255" t="str">
        <f>[2]Commodities!$D$9</f>
        <v>TL</v>
      </c>
      <c r="G69" s="257" t="str">
        <f>IF($I69&lt;G$1,0,"")</f>
        <v/>
      </c>
      <c r="H69" s="294">
        <v>1</v>
      </c>
      <c r="I69" s="309">
        <v>2015</v>
      </c>
      <c r="J69" s="294">
        <v>20</v>
      </c>
      <c r="K69" s="309">
        <f t="shared" ref="K69:M71" si="39">L69</f>
        <v>5079.9441088486865</v>
      </c>
      <c r="L69" s="309">
        <f>L68+[2]GDPdeflator!$C$35*[2]ERG_ElectricVeh!B34</f>
        <v>5079.9441088486865</v>
      </c>
      <c r="M69" s="309">
        <f>M68+[2]GDPdeflator!$C$35*[2]ERG_ElectricVeh!C34</f>
        <v>4076.7846536408679</v>
      </c>
      <c r="N69" s="309">
        <f>N68+[2]GDPdeflator!$C$35*[2]ERG_ElectricVeh!D34</f>
        <v>3084.0465403755161</v>
      </c>
      <c r="O69" s="309">
        <f>O68+[2]GDPdeflator!$C$35*[2]ERG_ElectricVeh!E34</f>
        <v>2866.1142862097699</v>
      </c>
      <c r="P69" s="309">
        <f>P68+[2]GDPdeflator!$C$35*[2]ERG_ElectricVeh!F34</f>
        <v>2645.340965104338</v>
      </c>
      <c r="Q69" s="309">
        <f t="shared" ref="Q69:S70" si="40">P69</f>
        <v>2645.340965104338</v>
      </c>
      <c r="R69" s="309">
        <f t="shared" si="40"/>
        <v>2645.340965104338</v>
      </c>
      <c r="S69" s="309">
        <f t="shared" si="40"/>
        <v>2645.340965104338</v>
      </c>
      <c r="T69" s="309">
        <f t="shared" si="38"/>
        <v>2645.340965104338</v>
      </c>
      <c r="U69" s="310">
        <f>V69</f>
        <v>0.82694932055430048</v>
      </c>
      <c r="V69" s="310">
        <f>[2]ERG_ElectricVeh!P34*[2]Efficiencies!AE$51</f>
        <v>0.82694932055430048</v>
      </c>
      <c r="W69" s="310">
        <f>[2]ERG_ElectricVeh!Q34*[2]Efficiencies!AF$51</f>
        <v>0.8387172033460385</v>
      </c>
      <c r="X69" s="310">
        <f>[2]ERG_ElectricVeh!R34*[2]Efficiencies!AG$51</f>
        <v>0.85082484624266852</v>
      </c>
      <c r="Y69" s="310">
        <f>[2]ERG_ElectricVeh!S34*[2]Efficiencies!AH$51</f>
        <v>0.85795213544239191</v>
      </c>
      <c r="Z69" s="310">
        <f>[2]ERG_ElectricVeh!T34*[2]Efficiencies!AI$51</f>
        <v>0.8651998427964942</v>
      </c>
      <c r="AA69" s="310">
        <f t="shared" ref="AA69:AC70" si="41">Z69</f>
        <v>0.8651998427964942</v>
      </c>
      <c r="AB69" s="310">
        <f t="shared" si="41"/>
        <v>0.8651998427964942</v>
      </c>
      <c r="AC69" s="310">
        <f t="shared" si="41"/>
        <v>0.8651998427964942</v>
      </c>
      <c r="AD69" s="310">
        <f t="shared" si="13"/>
        <v>0.8651998427964942</v>
      </c>
      <c r="AE69" s="286">
        <f>0.75*AE68</f>
        <v>32.450455756349072</v>
      </c>
      <c r="AF69" s="311">
        <v>0.44</v>
      </c>
      <c r="AG69" s="311">
        <v>0.24</v>
      </c>
      <c r="AH69" s="311">
        <v>0.28000000000000003</v>
      </c>
      <c r="AI69" s="311">
        <v>0.44</v>
      </c>
      <c r="AJ69" s="294">
        <v>0</v>
      </c>
      <c r="AX69" s="250"/>
      <c r="AY69" s="250"/>
      <c r="AZ69" s="250"/>
      <c r="BA69" s="250"/>
      <c r="BB69" s="250"/>
      <c r="BC69" s="250"/>
      <c r="BD69" s="250"/>
    </row>
    <row r="70" spans="1:56" x14ac:dyDescent="0.2">
      <c r="A70" s="255" t="str">
        <f>[2]Technologies!B89</f>
        <v>R2,R3,R4,R5,R6</v>
      </c>
      <c r="B70" s="255" t="str">
        <f>[2]Technologies!D89</f>
        <v>TLSSELCB</v>
      </c>
      <c r="C70" s="255" t="str">
        <f>[2]Technologies!E89</f>
        <v>Electric small SUV w/200 mi range</v>
      </c>
      <c r="D70" s="255" t="s">
        <v>292</v>
      </c>
      <c r="E70" s="255" t="s">
        <v>99</v>
      </c>
      <c r="F70" s="255" t="str">
        <f>[2]Commodities!$D$9</f>
        <v>TL</v>
      </c>
      <c r="G70" s="257" t="str">
        <f>IF($I70&lt;G$1,0,"")</f>
        <v/>
      </c>
      <c r="H70" s="294">
        <v>1</v>
      </c>
      <c r="I70" s="309">
        <v>2025</v>
      </c>
      <c r="J70" s="294">
        <v>20</v>
      </c>
      <c r="K70" s="309">
        <f t="shared" si="39"/>
        <v>4552.2070901605994</v>
      </c>
      <c r="L70" s="309">
        <f t="shared" si="39"/>
        <v>4552.2070901605994</v>
      </c>
      <c r="M70" s="309">
        <f t="shared" si="39"/>
        <v>4552.2070901605994</v>
      </c>
      <c r="N70" s="309">
        <f>N68+[2]GDPdeflator!$C$35*[2]ERG_ElectricVeh!D44</f>
        <v>4552.2070901605994</v>
      </c>
      <c r="O70" s="309">
        <f>O68+[2]GDPdeflator!$C$35*[2]ERG_ElectricVeh!E44</f>
        <v>4051.3829600390018</v>
      </c>
      <c r="P70" s="309">
        <f>P68+[2]GDPdeflator!$C$35*[2]ERG_ElectricVeh!F44</f>
        <v>3547.7177629777179</v>
      </c>
      <c r="Q70" s="309">
        <f t="shared" si="40"/>
        <v>3547.7177629777179</v>
      </c>
      <c r="R70" s="309">
        <f t="shared" si="40"/>
        <v>3547.7177629777179</v>
      </c>
      <c r="S70" s="309">
        <f t="shared" si="40"/>
        <v>3547.7177629777179</v>
      </c>
      <c r="T70" s="309">
        <f>S70</f>
        <v>3547.7177629777179</v>
      </c>
      <c r="U70" s="310">
        <f t="shared" ref="U70:W70" si="42">V70</f>
        <v>0.7541539441475914</v>
      </c>
      <c r="V70" s="310">
        <f t="shared" si="42"/>
        <v>0.7541539441475914</v>
      </c>
      <c r="W70" s="310">
        <f t="shared" si="42"/>
        <v>0.7541539441475914</v>
      </c>
      <c r="X70" s="310">
        <f>[2]ERG_ElectricVeh!R44*[2]Efficiencies!AG$51</f>
        <v>0.7541539441475914</v>
      </c>
      <c r="Y70" s="310">
        <f>[2]ERG_ElectricVeh!S44*[2]Efficiencies!AH$51</f>
        <v>0.76049476915634284</v>
      </c>
      <c r="Z70" s="310">
        <f>[2]ERG_ElectricVeh!T44*[2]Efficiencies!AI$51</f>
        <v>0.76694312386940844</v>
      </c>
      <c r="AA70" s="310">
        <f t="shared" si="41"/>
        <v>0.76694312386940844</v>
      </c>
      <c r="AB70" s="310">
        <f t="shared" si="41"/>
        <v>0.76694312386940844</v>
      </c>
      <c r="AC70" s="310">
        <f t="shared" si="41"/>
        <v>0.76694312386940844</v>
      </c>
      <c r="AD70" s="310">
        <f t="shared" si="13"/>
        <v>0.76694312386940844</v>
      </c>
      <c r="AE70" s="286">
        <f>0.75*AE68</f>
        <v>32.450455756349072</v>
      </c>
      <c r="AF70" s="311">
        <v>0.44</v>
      </c>
      <c r="AG70" s="311">
        <v>0.24</v>
      </c>
      <c r="AH70" s="311">
        <v>0.28000000000000003</v>
      </c>
      <c r="AI70" s="311">
        <v>0.44</v>
      </c>
      <c r="AJ70" s="294">
        <v>0</v>
      </c>
      <c r="AX70" s="250"/>
      <c r="AY70" s="250"/>
      <c r="AZ70" s="250"/>
      <c r="BA70" s="250"/>
      <c r="BB70" s="250"/>
      <c r="BC70" s="250"/>
      <c r="BD70" s="250"/>
    </row>
    <row r="71" spans="1:56" x14ac:dyDescent="0.2">
      <c r="A71" s="255" t="str">
        <f>[2]Technologies!B133</f>
        <v>R2,R3,R4,R5,R6</v>
      </c>
      <c r="B71" s="255" t="str">
        <f>[2]Technologies!D133</f>
        <v>TLSSDHEV20</v>
      </c>
      <c r="C71" s="255" t="str">
        <f>[2]Technologies!E133</f>
        <v>TL.DSL.SS.DHEV.2020</v>
      </c>
      <c r="D71" s="255" t="s">
        <v>292</v>
      </c>
      <c r="E71" s="255" t="s">
        <v>89</v>
      </c>
      <c r="F71" s="255" t="str">
        <f>[2]Commodities!$D$9</f>
        <v>TL</v>
      </c>
      <c r="G71" s="257"/>
      <c r="H71" s="294">
        <v>1</v>
      </c>
      <c r="I71" s="309">
        <f>INDEX([2]ConsolidatedVehData!$D$22:$D$858,MATCH(B71,[2]ConsolidatedVehData!$A$22:$A$858,0))</f>
        <v>2020</v>
      </c>
      <c r="J71" s="294">
        <v>20</v>
      </c>
      <c r="K71" s="309">
        <f t="shared" si="39"/>
        <v>2773.0191509950646</v>
      </c>
      <c r="L71" s="309">
        <f t="shared" si="39"/>
        <v>2773.0191509950646</v>
      </c>
      <c r="M71" s="309">
        <f>INDEX([2]ConsolidatedVehData!$P$22:$Z$858,MATCH($B71,[2]ConsolidatedVehData!$A$22:$A$858,0),MATCH(M$1,[2]ConsolidatedVehData!$P$7:$Z$7,0))</f>
        <v>2773.0191509950646</v>
      </c>
      <c r="N71" s="309">
        <f>INDEX([2]ConsolidatedVehData!$P$22:$Z$858,MATCH($B71,[2]ConsolidatedVehData!$A$22:$A$858,0),MATCH(N$1,[2]ConsolidatedVehData!$P$7:$Z$7,0))</f>
        <v>2736.3989554029035</v>
      </c>
      <c r="O71" s="309">
        <f>INDEX([2]ConsolidatedVehData!$P$22:$Z$858,MATCH($B71,[2]ConsolidatedVehData!$A$22:$A$858,0),MATCH(O$1,[2]ConsolidatedVehData!$P$7:$Z$7,0))</f>
        <v>2697.0693659873723</v>
      </c>
      <c r="P71" s="309">
        <f>INDEX([2]ConsolidatedVehData!$P$22:$Z$858,MATCH($B71,[2]ConsolidatedVehData!$A$22:$A$858,0),MATCH(P$1,[2]ConsolidatedVehData!$P$7:$Z$7,0))</f>
        <v>2687.0159772532734</v>
      </c>
      <c r="Q71" s="309">
        <f>INDEX([2]ConsolidatedVehData!$P$22:$Z$858,MATCH($B71,[2]ConsolidatedVehData!$A$22:$A$858,0),MATCH(Q$1,[2]ConsolidatedVehData!$P$7:$Z$7,0))</f>
        <v>2685.0567544342407</v>
      </c>
      <c r="R71" s="309">
        <f>INDEX([2]ConsolidatedVehData!$P$22:$Z$858,MATCH($B71,[2]ConsolidatedVehData!$A$22:$A$858,0),MATCH(R$1,[2]ConsolidatedVehData!$P$7:$Z$7,0))</f>
        <v>2685.0567544342407</v>
      </c>
      <c r="S71" s="309">
        <f>INDEX([2]ConsolidatedVehData!$P$22:$Z$858,MATCH($B71,[2]ConsolidatedVehData!$A$22:$A$858,0),MATCH(S$1,[2]ConsolidatedVehData!$P$7:$Z$7,0))</f>
        <v>2685.0567544342407</v>
      </c>
      <c r="T71" s="309">
        <f t="shared" si="38"/>
        <v>2685.0567544342407</v>
      </c>
      <c r="U71" s="310"/>
      <c r="V71" s="310"/>
      <c r="W71" s="310">
        <f>INDEX([2]ConsolidatedVehData!$AF$22:$AF$858,MATCH(B71,[2]ConsolidatedVehData!$A$22:$A$858,0))</f>
        <v>0.3697089157222973</v>
      </c>
      <c r="X71" s="310">
        <f>INDEX([2]ConsolidatedVehData!$AF$22:$AF$858,MATCH($B71,[2]ConsolidatedVehData!$A$22:$A$858,0)+1)</f>
        <v>0.39175893813606105</v>
      </c>
      <c r="Y71" s="310">
        <f>INDEX([2]ConsolidatedVehData!$AF$22:$AF$858,MATCH($B71,[2]ConsolidatedVehData!$A$22:$A$858,0)+2)</f>
        <v>0.39269127579050978</v>
      </c>
      <c r="Z71" s="310">
        <f>INDEX([2]ConsolidatedVehData!$AF$22:$AF$858,MATCH($B71,[2]ConsolidatedVehData!$A$22:$A$858,0)+3)</f>
        <v>0.3925970244339031</v>
      </c>
      <c r="AA71" s="310">
        <f>INDEX([2]ConsolidatedVehData!$AF$22:$AF$858,MATCH($B71,[2]ConsolidatedVehData!$A$22:$A$858,0)+4)</f>
        <v>0.39230897226742095</v>
      </c>
      <c r="AB71" s="310">
        <f>INDEX([2]ConsolidatedVehData!$AF$22:$AF$858,MATCH($B71,[2]ConsolidatedVehData!$A$22:$A$858,0)+5)</f>
        <v>0.39230897226742095</v>
      </c>
      <c r="AC71" s="310">
        <f>INDEX([2]ConsolidatedVehData!$AF$22:$AF$858,MATCH($B71,[2]ConsolidatedVehData!$A$22:$A$858,0)+6)</f>
        <v>0.39230897226742095</v>
      </c>
      <c r="AD71" s="310">
        <f t="shared" si="13"/>
        <v>0.39230897226742095</v>
      </c>
      <c r="AE71" s="286">
        <f>INDEX([2]ConsolidatedVehData!$AB$22:$AB$858,MATCH(B71,[2]ConsolidatedVehData!$A$22:$A$858,0))</f>
        <v>45.478712808157368</v>
      </c>
      <c r="AF71" s="311">
        <v>0.44</v>
      </c>
      <c r="AG71" s="311">
        <v>0.18</v>
      </c>
      <c r="AH71" s="311">
        <v>0.24</v>
      </c>
      <c r="AI71" s="311">
        <v>0.44</v>
      </c>
      <c r="AJ71" s="294">
        <v>0</v>
      </c>
      <c r="AX71" s="250"/>
      <c r="AY71" s="250"/>
      <c r="AZ71" s="250"/>
      <c r="BA71" s="250"/>
      <c r="BB71" s="250"/>
      <c r="BC71" s="250"/>
      <c r="BD71" s="250"/>
    </row>
    <row r="72" spans="1:56" x14ac:dyDescent="0.2">
      <c r="A72" s="255" t="str">
        <f>[2]Technologies!B134</f>
        <v>R2,R3,R4,R5,R6</v>
      </c>
      <c r="B72" s="255" t="str">
        <f>[2]Technologies!D134</f>
        <v>TLSSDSL10</v>
      </c>
      <c r="C72" s="255" t="str">
        <f>[2]Technologies!E134</f>
        <v>TL.DSL.SS.DSL.2010</v>
      </c>
      <c r="D72" s="255" t="s">
        <v>292</v>
      </c>
      <c r="E72" s="255" t="s">
        <v>89</v>
      </c>
      <c r="F72" s="255" t="str">
        <f>[2]Commodities!$D$9</f>
        <v>TL</v>
      </c>
      <c r="G72" s="257"/>
      <c r="H72" s="294">
        <v>1</v>
      </c>
      <c r="I72" s="309">
        <f>INDEX([2]ConsolidatedVehData!$D$22:$D$858,MATCH(B72,[2]ConsolidatedVehData!$A$22:$A$858,0))</f>
        <v>2010</v>
      </c>
      <c r="J72" s="294">
        <v>20</v>
      </c>
      <c r="K72" s="309">
        <f>INDEX([2]ConsolidatedVehData!$P$22:$Z$858,MATCH($B72,[2]ConsolidatedVehData!$A$22:$A$858,0),MATCH(K$1,[2]ConsolidatedVehData!$P$7:$Z$7,0))</f>
        <v>2136.5414808198907</v>
      </c>
      <c r="L72" s="309">
        <f>INDEX([2]ConsolidatedVehData!$P$22:$Z$858,MATCH($B72,[2]ConsolidatedVehData!$A$22:$A$858,0),MATCH(L$1,[2]ConsolidatedVehData!$P$7:$Z$7,0))</f>
        <v>2225.6682710620203</v>
      </c>
      <c r="M72" s="309">
        <f>INDEX([2]ConsolidatedVehData!$P$22:$Z$858,MATCH($B72,[2]ConsolidatedVehData!$A$22:$A$858,0),MATCH(M$1,[2]ConsolidatedVehData!$P$7:$Z$7,0))</f>
        <v>2207.8899132006577</v>
      </c>
      <c r="N72" s="309">
        <f>INDEX([2]ConsolidatedVehData!$P$22:$Z$858,MATCH($B72,[2]ConsolidatedVehData!$A$22:$A$858,0),MATCH(N$1,[2]ConsolidatedVehData!$P$7:$Z$7,0))</f>
        <v>2250.5052589303627</v>
      </c>
      <c r="O72" s="309">
        <f>INDEX([2]ConsolidatedVehData!$P$22:$Z$858,MATCH($B72,[2]ConsolidatedVehData!$A$22:$A$858,0),MATCH(O$1,[2]ConsolidatedVehData!$P$7:$Z$7,0))</f>
        <v>2255.1498086531737</v>
      </c>
      <c r="P72" s="309">
        <f>INDEX([2]ConsolidatedVehData!$P$22:$Z$858,MATCH($B72,[2]ConsolidatedVehData!$A$22:$A$858,0),MATCH(P$1,[2]ConsolidatedVehData!$P$7:$Z$7,0))</f>
        <v>2256.7865054889667</v>
      </c>
      <c r="Q72" s="309">
        <f>INDEX([2]ConsolidatedVehData!$P$22:$Z$858,MATCH($B72,[2]ConsolidatedVehData!$A$22:$A$858,0),MATCH(Q$1,[2]ConsolidatedVehData!$P$7:$Z$7,0))</f>
        <v>2254.6627644262717</v>
      </c>
      <c r="R72" s="309">
        <f>INDEX([2]ConsolidatedVehData!$P$22:$Z$858,MATCH($B72,[2]ConsolidatedVehData!$A$22:$A$858,0),MATCH(R$1,[2]ConsolidatedVehData!$P$7:$Z$7,0))</f>
        <v>2254.6627644262717</v>
      </c>
      <c r="S72" s="309">
        <f>INDEX([2]ConsolidatedVehData!$P$22:$Z$858,MATCH($B72,[2]ConsolidatedVehData!$A$22:$A$858,0),MATCH(S$1,[2]ConsolidatedVehData!$P$7:$Z$7,0))</f>
        <v>2254.6627644262717</v>
      </c>
      <c r="T72" s="309">
        <f t="shared" si="38"/>
        <v>2254.6627644262717</v>
      </c>
      <c r="U72" s="310">
        <f>INDEX([2]ConsolidatedVehData!$AF$22:$AF$858,MATCH(B72,[2]ConsolidatedVehData!$A$22:$A$858,0))</f>
        <v>0.21294273122943239</v>
      </c>
      <c r="V72" s="310">
        <f>INDEX([2]ConsolidatedVehData!$AF$22:$AF$858,MATCH($B72,[2]ConsolidatedVehData!$A$22:$A$858,0)+1)</f>
        <v>0.23934461151508171</v>
      </c>
      <c r="W72" s="310">
        <f>INDEX([2]ConsolidatedVehData!$AF$22:$AF$858,MATCH($B72,[2]ConsolidatedVehData!$A$22:$A$858,0)+2)</f>
        <v>0.2598807091755358</v>
      </c>
      <c r="X72" s="310">
        <f>INDEX([2]ConsolidatedVehData!$AF$22:$AF$858,MATCH($B72,[2]ConsolidatedVehData!$A$22:$A$858,0)+3)</f>
        <v>0.28938840122433696</v>
      </c>
      <c r="Y72" s="310">
        <f>INDEX([2]ConsolidatedVehData!$AF$22:$AF$858,MATCH($B72,[2]ConsolidatedVehData!$A$22:$A$858,0)+4)</f>
        <v>0.2905074458428899</v>
      </c>
      <c r="Z72" s="310">
        <f>INDEX([2]ConsolidatedVehData!$AF$22:$AF$858,MATCH($B72,[2]ConsolidatedVehData!$A$22:$A$858,0)+5)</f>
        <v>0.29031177923695428</v>
      </c>
      <c r="AA72" s="310">
        <f>INDEX([2]ConsolidatedVehData!$AF$22:$AF$858,MATCH($B72,[2]ConsolidatedVehData!$A$22:$A$858,0)+6)</f>
        <v>0.28973361170288592</v>
      </c>
      <c r="AB72" s="310">
        <f>INDEX([2]ConsolidatedVehData!$AF$22:$AF$858,MATCH($B72,[2]ConsolidatedVehData!$A$22:$A$858,0)+7)</f>
        <v>0.28973361170288592</v>
      </c>
      <c r="AC72" s="310">
        <f>INDEX([2]ConsolidatedVehData!$AF$22:$AF$858,MATCH($B72,[2]ConsolidatedVehData!$A$22:$A$858,0)+8)</f>
        <v>0.28973361170288592</v>
      </c>
      <c r="AD72" s="310">
        <f t="shared" si="13"/>
        <v>0.28973361170288592</v>
      </c>
      <c r="AE72" s="286">
        <f>INDEX([2]ConsolidatedVehData!$AB$22:$AB$858,MATCH(B72,[2]ConsolidatedVehData!$A$22:$A$858,0))</f>
        <v>43.267274341798768</v>
      </c>
      <c r="AF72" s="311">
        <v>0.44</v>
      </c>
      <c r="AG72" s="311">
        <v>0.18</v>
      </c>
      <c r="AH72" s="311">
        <v>0.24</v>
      </c>
      <c r="AI72" s="311">
        <v>0.44</v>
      </c>
      <c r="AJ72" s="294">
        <v>0</v>
      </c>
      <c r="AX72" s="250"/>
      <c r="AY72" s="250"/>
      <c r="AZ72" s="250"/>
      <c r="BA72" s="250"/>
      <c r="BB72" s="250"/>
      <c r="BC72" s="250"/>
      <c r="BD72" s="250"/>
    </row>
    <row r="73" spans="1:56" x14ac:dyDescent="0.2">
      <c r="A73" s="255" t="str">
        <f>[2]Technologies!B135</f>
        <v>*R2,R3,R4,R5,R6</v>
      </c>
      <c r="B73" s="255" t="str">
        <f>[2]Technologies!D135</f>
        <v>TLSSETHX10</v>
      </c>
      <c r="C73" s="255" t="str">
        <f>[2]Technologies!E135</f>
        <v>TL.E85X.SS.ETHX.2010</v>
      </c>
      <c r="D73" s="255" t="s">
        <v>292</v>
      </c>
      <c r="E73" s="255" t="s">
        <v>95</v>
      </c>
      <c r="F73" s="255" t="str">
        <f>[2]Commodities!$D$9</f>
        <v>TL</v>
      </c>
      <c r="G73" s="257"/>
      <c r="H73" s="294">
        <v>1</v>
      </c>
      <c r="I73" s="309">
        <f>INDEX([2]ConsolidatedVehData!$D$22:$D$858,MATCH(B73,[2]ConsolidatedVehData!$A$22:$A$858,0))</f>
        <v>2010</v>
      </c>
      <c r="J73" s="294">
        <v>20</v>
      </c>
      <c r="K73" s="309">
        <f>INDEX([2]ConsolidatedVehData!$P$22:$Z$858,MATCH($B73,[2]ConsolidatedVehData!$A$22:$A$858,0),MATCH(K$1,[2]ConsolidatedVehData!$P$7:$Z$7,0))</f>
        <v>1790.4819451941344</v>
      </c>
      <c r="L73" s="309">
        <f>INDEX([2]ConsolidatedVehData!$P$22:$Z$858,MATCH($B73,[2]ConsolidatedVehData!$A$22:$A$858,0),MATCH(L$1,[2]ConsolidatedVehData!$P$7:$Z$7,0))</f>
        <v>1924.6288532457459</v>
      </c>
      <c r="M73" s="309">
        <f>INDEX([2]ConsolidatedVehData!$P$22:$Z$858,MATCH($B73,[2]ConsolidatedVehData!$A$22:$A$858,0),MATCH(M$1,[2]ConsolidatedVehData!$P$7:$Z$7,0))</f>
        <v>1989.431192226227</v>
      </c>
      <c r="N73" s="309">
        <f>INDEX([2]ConsolidatedVehData!$P$22:$Z$858,MATCH($B73,[2]ConsolidatedVehData!$A$22:$A$858,0),MATCH(N$1,[2]ConsolidatedVehData!$P$7:$Z$7,0))</f>
        <v>2065.6076012974436</v>
      </c>
      <c r="O73" s="309">
        <f>INDEX([2]ConsolidatedVehData!$P$22:$Z$858,MATCH($B73,[2]ConsolidatedVehData!$A$22:$A$858,0),MATCH(O$1,[2]ConsolidatedVehData!$P$7:$Z$7,0))</f>
        <v>2070.858066810496</v>
      </c>
      <c r="P73" s="309">
        <f>INDEX([2]ConsolidatedVehData!$P$22:$Z$858,MATCH($B73,[2]ConsolidatedVehData!$A$22:$A$858,0),MATCH(P$1,[2]ConsolidatedVehData!$P$7:$Z$7,0))</f>
        <v>2073.0728817786426</v>
      </c>
      <c r="Q73" s="309">
        <f>INDEX([2]ConsolidatedVehData!$P$22:$Z$858,MATCH($B73,[2]ConsolidatedVehData!$A$22:$A$858,0),MATCH(Q$1,[2]ConsolidatedVehData!$P$7:$Z$7,0))</f>
        <v>2074.952588665768</v>
      </c>
      <c r="R73" s="309">
        <f>INDEX([2]ConsolidatedVehData!$P$22:$Z$858,MATCH($B73,[2]ConsolidatedVehData!$A$22:$A$858,0),MATCH(R$1,[2]ConsolidatedVehData!$P$7:$Z$7,0))</f>
        <v>2074.952588665768</v>
      </c>
      <c r="S73" s="309">
        <f>INDEX([2]ConsolidatedVehData!$P$22:$Z$858,MATCH($B73,[2]ConsolidatedVehData!$A$22:$A$858,0),MATCH(S$1,[2]ConsolidatedVehData!$P$7:$Z$7,0))</f>
        <v>2074.952588665768</v>
      </c>
      <c r="T73" s="309">
        <f t="shared" si="38"/>
        <v>2074.952588665768</v>
      </c>
      <c r="U73" s="310">
        <f>U68</f>
        <v>0.17301596912391384</v>
      </c>
      <c r="V73" s="310">
        <f t="shared" ref="V73:AC73" si="43">V68</f>
        <v>0.19649293071357732</v>
      </c>
      <c r="W73" s="310">
        <f t="shared" si="43"/>
        <v>0.23455352742051233</v>
      </c>
      <c r="X73" s="310">
        <f t="shared" si="43"/>
        <v>0.27663546864469757</v>
      </c>
      <c r="Y73" s="310">
        <f t="shared" si="43"/>
        <v>0.27812466682428238</v>
      </c>
      <c r="Z73" s="310">
        <f t="shared" si="43"/>
        <v>0.2776242386700839</v>
      </c>
      <c r="AA73" s="310">
        <f t="shared" si="43"/>
        <v>0.27706725078685496</v>
      </c>
      <c r="AB73" s="310">
        <f t="shared" si="43"/>
        <v>0.27706725078685496</v>
      </c>
      <c r="AC73" s="310">
        <f t="shared" si="43"/>
        <v>0.27706725078685496</v>
      </c>
      <c r="AD73" s="310">
        <f t="shared" si="13"/>
        <v>0.27706725078685496</v>
      </c>
      <c r="AE73" s="286">
        <f>INDEX([2]ConsolidatedVehData!$AB$22:$AB$858,MATCH(B73,[2]ConsolidatedVehData!$A$22:$A$858,0))</f>
        <v>43.267274341798768</v>
      </c>
      <c r="AF73" s="311">
        <v>0.44</v>
      </c>
      <c r="AG73" s="311">
        <v>0.18</v>
      </c>
      <c r="AH73" s="311">
        <v>0.18</v>
      </c>
      <c r="AI73" s="311">
        <v>0.4</v>
      </c>
      <c r="AJ73" s="294">
        <v>0</v>
      </c>
      <c r="AX73" s="250"/>
      <c r="AY73" s="250"/>
      <c r="AZ73" s="250"/>
      <c r="BA73" s="250"/>
      <c r="BB73" s="250"/>
      <c r="BC73" s="250"/>
      <c r="BD73" s="250"/>
    </row>
    <row r="74" spans="1:56" x14ac:dyDescent="0.2">
      <c r="A74" s="255" t="str">
        <f>[2]Technologies!B136</f>
        <v>R2,R3,R4,R5,R6</v>
      </c>
      <c r="B74" s="255" t="str">
        <f>[2]Technologies!D136</f>
        <v>TLSSFCH10</v>
      </c>
      <c r="C74" s="255" t="str">
        <f>[2]Technologies!E136</f>
        <v>TL.H2.SS.FCH.2010</v>
      </c>
      <c r="D74" s="255" t="s">
        <v>292</v>
      </c>
      <c r="E74" s="255" t="s">
        <v>105</v>
      </c>
      <c r="F74" s="255" t="str">
        <f>[2]Commodities!$D$9</f>
        <v>TL</v>
      </c>
      <c r="G74" s="257"/>
      <c r="H74" s="294">
        <v>1</v>
      </c>
      <c r="I74" s="309">
        <v>2015</v>
      </c>
      <c r="J74" s="294">
        <v>20</v>
      </c>
      <c r="K74" s="309">
        <f t="shared" ref="K74" si="44">L74</f>
        <v>6196.0635620733128</v>
      </c>
      <c r="L74" s="309">
        <f>INDEX([2]ConsolidatedVehData!$P$22:$Z$858,MATCH($B74,[2]ConsolidatedVehData!$A$22:$A$858,0),MATCH(L$1,[2]ConsolidatedVehData!$P$7:$Z$7,0))</f>
        <v>6196.0635620733128</v>
      </c>
      <c r="M74" s="309">
        <f>INDEX([2]ConsolidatedVehData!$P$22:$Z$858,MATCH($B74,[2]ConsolidatedVehData!$A$22:$A$858,0),MATCH(M$1,[2]ConsolidatedVehData!$P$7:$Z$7,0))</f>
        <v>5242.9289827853863</v>
      </c>
      <c r="N74" s="309">
        <f>INDEX([2]ConsolidatedVehData!$P$22:$Z$858,MATCH($B74,[2]ConsolidatedVehData!$A$22:$A$858,0),MATCH(N$1,[2]ConsolidatedVehData!$P$7:$Z$7,0))</f>
        <v>4515.5249186238379</v>
      </c>
      <c r="O74" s="309">
        <f>INDEX([2]ConsolidatedVehData!$P$22:$Z$858,MATCH($B74,[2]ConsolidatedVehData!$A$22:$A$858,0),MATCH(O$1,[2]ConsolidatedVehData!$P$7:$Z$7,0))</f>
        <v>4099.4641325405846</v>
      </c>
      <c r="P74" s="309">
        <f>INDEX([2]ConsolidatedVehData!$P$22:$Z$858,MATCH($B74,[2]ConsolidatedVehData!$A$22:$A$858,0),MATCH(P$1,[2]ConsolidatedVehData!$P$7:$Z$7,0))</f>
        <v>3775.0182089612658</v>
      </c>
      <c r="Q74" s="309">
        <f>INDEX([2]ConsolidatedVehData!$P$22:$Z$858,MATCH($B74,[2]ConsolidatedVehData!$A$22:$A$858,0),MATCH(Q$1,[2]ConsolidatedVehData!$P$7:$Z$7,0))</f>
        <v>3518.5956413944132</v>
      </c>
      <c r="R74" s="309">
        <f>INDEX([2]ConsolidatedVehData!$P$22:$Z$858,MATCH($B74,[2]ConsolidatedVehData!$A$22:$A$858,0),MATCH(R$1,[2]ConsolidatedVehData!$P$7:$Z$7,0))</f>
        <v>3518.5956413944132</v>
      </c>
      <c r="S74" s="309">
        <f>INDEX([2]ConsolidatedVehData!$P$22:$Z$858,MATCH($B74,[2]ConsolidatedVehData!$A$22:$A$858,0),MATCH(S$1,[2]ConsolidatedVehData!$P$7:$Z$7,0))</f>
        <v>3518.5956413944132</v>
      </c>
      <c r="T74" s="309">
        <f t="shared" si="38"/>
        <v>3518.5956413944132</v>
      </c>
      <c r="U74" s="310">
        <f>V74</f>
        <v>0.28348923167510359</v>
      </c>
      <c r="V74" s="310">
        <f>INDEX([2]ConsolidatedVehData!$AF$22:$AF$858,MATCH($B74,[2]ConsolidatedVehData!$A$22:$A$858,0)+1)</f>
        <v>0.28348923167510359</v>
      </c>
      <c r="W74" s="310">
        <f>INDEX([2]ConsolidatedVehData!$AF$22:$AF$858,MATCH($B74,[2]ConsolidatedVehData!$A$22:$A$858,0)+2)</f>
        <v>0.30234237492142979</v>
      </c>
      <c r="X74" s="310">
        <f>INDEX([2]ConsolidatedVehData!$AF$22:$AF$858,MATCH($B74,[2]ConsolidatedVehData!$A$22:$A$858,0)+3)</f>
        <v>0.32419068121984812</v>
      </c>
      <c r="Y74" s="310">
        <f>INDEX([2]ConsolidatedVehData!$AF$22:$AF$858,MATCH($B74,[2]ConsolidatedVehData!$A$22:$A$858,0)+4)</f>
        <v>0.32462287727580724</v>
      </c>
      <c r="Z74" s="310">
        <f>INDEX([2]ConsolidatedVehData!$AF$22:$AF$858,MATCH($B74,[2]ConsolidatedVehData!$A$22:$A$858,0)+5)</f>
        <v>0.32472298073677991</v>
      </c>
      <c r="AA74" s="310">
        <f>INDEX([2]ConsolidatedVehData!$AF$22:$AF$858,MATCH($B74,[2]ConsolidatedVehData!$A$22:$A$858,0)+6)</f>
        <v>0.3248258797078904</v>
      </c>
      <c r="AB74" s="310">
        <f>INDEX([2]ConsolidatedVehData!$AF$22:$AF$858,MATCH($B74,[2]ConsolidatedVehData!$A$22:$A$858,0)+7)</f>
        <v>0.3248258797078904</v>
      </c>
      <c r="AC74" s="310">
        <f>INDEX([2]ConsolidatedVehData!$AF$22:$AF$858,MATCH($B74,[2]ConsolidatedVehData!$A$22:$A$858,0)+8)</f>
        <v>0.3248258797078904</v>
      </c>
      <c r="AD74" s="310">
        <f t="shared" si="13"/>
        <v>0.3248258797078904</v>
      </c>
      <c r="AE74" s="286">
        <f>INDEX([2]ConsolidatedVehData!$AB$22:$AB$858,MATCH(B74,[2]ConsolidatedVehData!$A$22:$A$858,0))</f>
        <v>45.478712808157368</v>
      </c>
      <c r="AF74" s="311">
        <v>0.44</v>
      </c>
      <c r="AG74" s="311">
        <v>0.24</v>
      </c>
      <c r="AH74" s="311">
        <v>0.28000000000000003</v>
      </c>
      <c r="AI74" s="311">
        <v>0.44</v>
      </c>
      <c r="AJ74" s="294">
        <v>0</v>
      </c>
      <c r="AX74" s="250"/>
      <c r="AY74" s="250"/>
      <c r="AZ74" s="250"/>
      <c r="BA74" s="250"/>
      <c r="BB74" s="250"/>
      <c r="BC74" s="250"/>
      <c r="BD74" s="250"/>
    </row>
    <row r="75" spans="1:56" x14ac:dyDescent="0.2">
      <c r="A75" s="255" t="str">
        <f>[2]Technologies!B137</f>
        <v>R2,R3,R4,R5,R6</v>
      </c>
      <c r="B75" s="255" t="str">
        <f>[2]Technologies!D137</f>
        <v>TLSSHEV10</v>
      </c>
      <c r="C75" s="255" t="str">
        <f>[2]Technologies!E137</f>
        <v>TL.GSL.SS.HEV.2010</v>
      </c>
      <c r="D75" s="255" t="s">
        <v>292</v>
      </c>
      <c r="E75" s="255" t="s">
        <v>111</v>
      </c>
      <c r="F75" s="255" t="str">
        <f>[2]Commodities!$D$9</f>
        <v>TL</v>
      </c>
      <c r="G75" s="257"/>
      <c r="H75" s="294">
        <v>1</v>
      </c>
      <c r="I75" s="309">
        <f>INDEX([2]ConsolidatedVehData!$D$22:$D$858,MATCH(B75,[2]ConsolidatedVehData!$A$22:$A$858,0))</f>
        <v>2010</v>
      </c>
      <c r="J75" s="294">
        <v>20</v>
      </c>
      <c r="K75" s="309">
        <f>INDEX([2]ConsolidatedVehData!$P$22:$Z$858,MATCH($B75,[2]ConsolidatedVehData!$A$22:$A$858,0),MATCH(K$1,[2]ConsolidatedVehData!$P$7:$Z$7,0))</f>
        <v>2347.1864155486128</v>
      </c>
      <c r="L75" s="309">
        <f>INDEX([2]ConsolidatedVehData!$P$22:$Z$858,MATCH($B75,[2]ConsolidatedVehData!$A$22:$A$858,0),MATCH(L$1,[2]ConsolidatedVehData!$P$7:$Z$7,0))</f>
        <v>2317.0192021194739</v>
      </c>
      <c r="M75" s="309">
        <f>INDEX([2]ConsolidatedVehData!$P$22:$Z$858,MATCH($B75,[2]ConsolidatedVehData!$A$22:$A$858,0),MATCH(M$1,[2]ConsolidatedVehData!$P$7:$Z$7,0))</f>
        <v>2328.1989812119136</v>
      </c>
      <c r="N75" s="309">
        <f>INDEX([2]ConsolidatedVehData!$P$22:$Z$858,MATCH($B75,[2]ConsolidatedVehData!$A$22:$A$858,0),MATCH(N$1,[2]ConsolidatedVehData!$P$7:$Z$7,0))</f>
        <v>2344.0918531993798</v>
      </c>
      <c r="O75" s="309">
        <f>INDEX([2]ConsolidatedVehData!$P$22:$Z$858,MATCH($B75,[2]ConsolidatedVehData!$A$22:$A$858,0),MATCH(O$1,[2]ConsolidatedVehData!$P$7:$Z$7,0))</f>
        <v>2306.5507504620591</v>
      </c>
      <c r="P75" s="309">
        <f>INDEX([2]ConsolidatedVehData!$P$22:$Z$858,MATCH($B75,[2]ConsolidatedVehData!$A$22:$A$858,0),MATCH(P$1,[2]ConsolidatedVehData!$P$7:$Z$7,0))</f>
        <v>2296.9731405882453</v>
      </c>
      <c r="Q75" s="309">
        <f>INDEX([2]ConsolidatedVehData!$P$22:$Z$858,MATCH($B75,[2]ConsolidatedVehData!$A$22:$A$858,0),MATCH(Q$1,[2]ConsolidatedVehData!$P$7:$Z$7,0))</f>
        <v>2295.2993558246903</v>
      </c>
      <c r="R75" s="309">
        <f>INDEX([2]ConsolidatedVehData!$P$22:$Z$858,MATCH($B75,[2]ConsolidatedVehData!$A$22:$A$858,0),MATCH(R$1,[2]ConsolidatedVehData!$P$7:$Z$7,0))</f>
        <v>2295.2993558246903</v>
      </c>
      <c r="S75" s="309">
        <f>INDEX([2]ConsolidatedVehData!$P$22:$Z$858,MATCH($B75,[2]ConsolidatedVehData!$A$22:$A$858,0),MATCH(S$1,[2]ConsolidatedVehData!$P$7:$Z$7,0))</f>
        <v>2295.2993558246903</v>
      </c>
      <c r="T75" s="309">
        <f t="shared" si="38"/>
        <v>2295.2993558246903</v>
      </c>
      <c r="U75" s="310">
        <f>INDEX([2]ConsolidatedVehData!$AF$22:$AF$858,MATCH(B75,[2]ConsolidatedVehData!$A$22:$A$858,0))</f>
        <v>0.30578678091020767</v>
      </c>
      <c r="V75" s="310">
        <f>INDEX([2]ConsolidatedVehData!$AF$22:$AF$858,MATCH($B75,[2]ConsolidatedVehData!$A$22:$A$858,0)+1)</f>
        <v>0.27536081790831207</v>
      </c>
      <c r="W75" s="310">
        <f>INDEX([2]ConsolidatedVehData!$AF$22:$AF$858,MATCH($B75,[2]ConsolidatedVehData!$A$22:$A$858,0)+2)</f>
        <v>0.30899815979651513</v>
      </c>
      <c r="X75" s="310">
        <f>INDEX([2]ConsolidatedVehData!$AF$22:$AF$858,MATCH($B75,[2]ConsolidatedVehData!$A$22:$A$858,0)+3)</f>
        <v>0.3653498302786431</v>
      </c>
      <c r="Y75" s="310">
        <f>INDEX([2]ConsolidatedVehData!$AF$22:$AF$858,MATCH($B75,[2]ConsolidatedVehData!$A$22:$A$858,0)+4)</f>
        <v>0.36680806133795368</v>
      </c>
      <c r="Z75" s="310">
        <f>INDEX([2]ConsolidatedVehData!$AF$22:$AF$858,MATCH($B75,[2]ConsolidatedVehData!$A$22:$A$858,0)+5)</f>
        <v>0.36676967560877155</v>
      </c>
      <c r="AA75" s="310">
        <f>INDEX([2]ConsolidatedVehData!$AF$22:$AF$858,MATCH($B75,[2]ConsolidatedVehData!$A$22:$A$858,0)+6)</f>
        <v>0.36638919967431494</v>
      </c>
      <c r="AB75" s="310">
        <f>INDEX([2]ConsolidatedVehData!$AF$22:$AF$858,MATCH($B75,[2]ConsolidatedVehData!$A$22:$A$858,0)+7)</f>
        <v>0.36638919967431494</v>
      </c>
      <c r="AC75" s="310">
        <f>INDEX([2]ConsolidatedVehData!$AF$22:$AF$858,MATCH($B75,[2]ConsolidatedVehData!$A$22:$A$858,0)+8)</f>
        <v>0.36638919967431494</v>
      </c>
      <c r="AD75" s="310">
        <f t="shared" si="13"/>
        <v>0.36638919967431494</v>
      </c>
      <c r="AE75" s="286">
        <f>INDEX([2]ConsolidatedVehData!$AB$22:$AB$858,MATCH(B75,[2]ConsolidatedVehData!$A$22:$A$858,0))</f>
        <v>45.478712808157368</v>
      </c>
      <c r="AF75" s="311">
        <v>0.44</v>
      </c>
      <c r="AG75" s="311">
        <v>0.18</v>
      </c>
      <c r="AH75" s="311">
        <v>0.24</v>
      </c>
      <c r="AI75" s="311">
        <v>0.44</v>
      </c>
      <c r="AJ75" s="294">
        <v>0</v>
      </c>
      <c r="AX75" s="250"/>
      <c r="AY75" s="250"/>
      <c r="AZ75" s="250"/>
      <c r="BA75" s="250"/>
      <c r="BB75" s="250"/>
      <c r="BC75" s="250"/>
      <c r="BD75" s="250"/>
    </row>
    <row r="76" spans="1:56" x14ac:dyDescent="0.2">
      <c r="A76" s="255" t="str">
        <f>[2]Technologies!B138</f>
        <v>R2,R3,R4,R5,R6</v>
      </c>
      <c r="B76" s="255" t="str">
        <f>[2]Technologies!D138</f>
        <v>TLSSPHVG10</v>
      </c>
      <c r="C76" s="255" t="str">
        <f>[2]Technologies!E138</f>
        <v>TL.GSL.SS.PHVG.2010</v>
      </c>
      <c r="D76" s="255" t="s">
        <v>292</v>
      </c>
      <c r="E76" s="255" t="s">
        <v>111</v>
      </c>
      <c r="F76" s="257"/>
      <c r="G76" s="257"/>
      <c r="H76" s="310">
        <f>1-H77</f>
        <v>0.74818241352277948</v>
      </c>
      <c r="I76" s="309">
        <f>INDEX([2]ConsolidatedVehData!$D$22:$D$858,MATCH(B76,[2]ConsolidatedVehData!$A$22:$A$858,0))</f>
        <v>2010</v>
      </c>
      <c r="J76" s="294">
        <v>20</v>
      </c>
      <c r="K76" s="309">
        <f>INDEX([2]ConsolidatedVehData!$P$22:$Z$858,MATCH($B76,[2]ConsolidatedVehData!$A$22:$A$858,0),MATCH(K$1,[2]ConsolidatedVehData!$P$7:$Z$7,0))</f>
        <v>2335.149562135543</v>
      </c>
      <c r="L76" s="309">
        <f>INDEX([2]ConsolidatedVehData!$P$22:$Z$858,MATCH($B76,[2]ConsolidatedVehData!$A$22:$A$858,0),MATCH(L$1,[2]ConsolidatedVehData!$P$7:$Z$7,0))</f>
        <v>2454.137952766403</v>
      </c>
      <c r="M76" s="309">
        <f>INDEX([2]ConsolidatedVehData!$P$22:$Z$858,MATCH($B76,[2]ConsolidatedVehData!$A$22:$A$858,0),MATCH(M$1,[2]ConsolidatedVehData!$P$7:$Z$7,0))</f>
        <v>2519.2541126741007</v>
      </c>
      <c r="N76" s="309">
        <f>INDEX([2]ConsolidatedVehData!$P$22:$Z$858,MATCH($B76,[2]ConsolidatedVehData!$A$22:$A$858,0),MATCH(N$1,[2]ConsolidatedVehData!$P$7:$Z$7,0))</f>
        <v>2594.7916145242657</v>
      </c>
      <c r="O76" s="309">
        <f>INDEX([2]ConsolidatedVehData!$P$22:$Z$858,MATCH($B76,[2]ConsolidatedVehData!$A$22:$A$858,0),MATCH(O$1,[2]ConsolidatedVehData!$P$7:$Z$7,0))</f>
        <v>2599.6649828625391</v>
      </c>
      <c r="P76" s="309">
        <f>INDEX([2]ConsolidatedVehData!$P$22:$Z$858,MATCH($B76,[2]ConsolidatedVehData!$A$22:$A$858,0),MATCH(P$1,[2]ConsolidatedVehData!$P$7:$Z$7,0))</f>
        <v>2601.6972842611267</v>
      </c>
      <c r="Q76" s="309">
        <f>INDEX([2]ConsolidatedVehData!$P$22:$Z$858,MATCH($B76,[2]ConsolidatedVehData!$A$22:$A$858,0),MATCH(Q$1,[2]ConsolidatedVehData!$P$7:$Z$7,0))</f>
        <v>2603.5207374668935</v>
      </c>
      <c r="R76" s="309">
        <f>INDEX([2]ConsolidatedVehData!$P$22:$Z$858,MATCH($B76,[2]ConsolidatedVehData!$A$22:$A$858,0),MATCH(R$1,[2]ConsolidatedVehData!$P$7:$Z$7,0))</f>
        <v>2603.5207374668935</v>
      </c>
      <c r="S76" s="309">
        <f>INDEX([2]ConsolidatedVehData!$P$22:$Z$858,MATCH($B76,[2]ConsolidatedVehData!$A$22:$A$858,0),MATCH(S$1,[2]ConsolidatedVehData!$P$7:$Z$7,0))</f>
        <v>2603.5207374668935</v>
      </c>
      <c r="T76" s="309">
        <f t="shared" si="38"/>
        <v>2603.5207374668935</v>
      </c>
      <c r="U76" s="310">
        <f>INDEX([2]ConsolidatedVehData!$AF$22:$AF$858,MATCH(B76,[2]ConsolidatedVehData!$A$22:$A$858,0))</f>
        <v>0.45756858352952118</v>
      </c>
      <c r="V76" s="310">
        <f>INDEX([2]ConsolidatedVehData!$AF$22:$AF$858,MATCH($B76,[2]ConsolidatedVehData!$A$22:$A$858,0)+1)</f>
        <v>0.41204024266449502</v>
      </c>
      <c r="W76" s="310">
        <f>INDEX([2]ConsolidatedVehData!$AF$22:$AF$858,MATCH($B76,[2]ConsolidatedVehData!$A$22:$A$858,0)+2)</f>
        <v>0.46237397794130836</v>
      </c>
      <c r="X76" s="310">
        <f>INDEX([2]ConsolidatedVehData!$AF$22:$AF$858,MATCH($B76,[2]ConsolidatedVehData!$A$22:$A$858,0)+3)</f>
        <v>0.5466966355960261</v>
      </c>
      <c r="Y76" s="310">
        <f>INDEX([2]ConsolidatedVehData!$AF$22:$AF$858,MATCH($B76,[2]ConsolidatedVehData!$A$22:$A$858,0)+4)</f>
        <v>0.54887868126288397</v>
      </c>
      <c r="Z76" s="310">
        <f>INDEX([2]ConsolidatedVehData!$AF$22:$AF$858,MATCH($B76,[2]ConsolidatedVehData!$A$22:$A$858,0)+5)</f>
        <v>0.5488212422078752</v>
      </c>
      <c r="AA76" s="310">
        <f>INDEX([2]ConsolidatedVehData!$AF$22:$AF$858,MATCH($B76,[2]ConsolidatedVehData!$A$22:$A$858,0)+6)</f>
        <v>0.54825191140201712</v>
      </c>
      <c r="AB76" s="310">
        <f>INDEX([2]ConsolidatedVehData!$AF$22:$AF$858,MATCH($B76,[2]ConsolidatedVehData!$A$22:$A$858,0)+7)</f>
        <v>0.54825191140201712</v>
      </c>
      <c r="AC76" s="310">
        <f>INDEX([2]ConsolidatedVehData!$AF$22:$AF$858,MATCH($B76,[2]ConsolidatedVehData!$A$22:$A$858,0)+8)</f>
        <v>0.54825191140201712</v>
      </c>
      <c r="AD76" s="310">
        <f t="shared" si="13"/>
        <v>0.54825191140201712</v>
      </c>
      <c r="AE76" s="286">
        <f>INDEX([2]ConsolidatedVehData!$AB$22:$AB$858,MATCH(B76,[2]ConsolidatedVehData!$A$22:$A$858,0))</f>
        <v>45.478712808157368</v>
      </c>
      <c r="AF76" s="311">
        <v>0.44</v>
      </c>
      <c r="AG76" s="311">
        <v>0.24</v>
      </c>
      <c r="AH76" s="311">
        <v>0.28000000000000003</v>
      </c>
      <c r="AI76" s="311">
        <v>0.44</v>
      </c>
      <c r="AJ76" s="294">
        <v>0</v>
      </c>
      <c r="AX76" s="250"/>
      <c r="AY76" s="250"/>
      <c r="AZ76" s="250"/>
      <c r="BA76" s="250"/>
      <c r="BB76" s="250"/>
      <c r="BC76" s="250"/>
      <c r="BD76" s="250"/>
    </row>
    <row r="77" spans="1:56" x14ac:dyDescent="0.2">
      <c r="A77" s="255" t="str">
        <f>IF(LEFT(A76,1)="*","*","")</f>
        <v/>
      </c>
      <c r="B77" s="255"/>
      <c r="C77" s="255"/>
      <c r="D77" s="255"/>
      <c r="E77" s="255" t="s">
        <v>99</v>
      </c>
      <c r="F77" s="255"/>
      <c r="G77" s="257"/>
      <c r="H77" s="310">
        <f>INDEX([2]ConsolidatedVehData!$AG$22:$AG$858,MATCH(B76,[2]ConsolidatedVehData!$A$22:$A$858,0))</f>
        <v>0.25181758647722052</v>
      </c>
      <c r="I77" s="294"/>
      <c r="J77" s="294"/>
      <c r="K77" s="294"/>
      <c r="L77" s="294"/>
      <c r="M77" s="294"/>
      <c r="N77" s="294"/>
      <c r="O77" s="294"/>
      <c r="P77" s="294"/>
      <c r="Q77" s="294"/>
      <c r="R77" s="294"/>
      <c r="S77" s="294"/>
      <c r="T77" s="294"/>
      <c r="U77" s="310"/>
      <c r="V77" s="310"/>
      <c r="W77" s="310"/>
      <c r="X77" s="310"/>
      <c r="Y77" s="310"/>
      <c r="Z77" s="310"/>
      <c r="AA77" s="310"/>
      <c r="AB77" s="310"/>
      <c r="AC77" s="310"/>
      <c r="AD77" s="310"/>
      <c r="AE77" s="294"/>
      <c r="AF77" s="311"/>
      <c r="AG77" s="311"/>
      <c r="AH77" s="311"/>
      <c r="AI77" s="311"/>
      <c r="AJ77" s="294"/>
      <c r="AX77" s="250"/>
      <c r="AY77" s="250"/>
      <c r="AZ77" s="250"/>
      <c r="BA77" s="250"/>
      <c r="BB77" s="250"/>
      <c r="BC77" s="250"/>
      <c r="BD77" s="250"/>
    </row>
    <row r="78" spans="1:56" x14ac:dyDescent="0.2">
      <c r="A78" s="255" t="str">
        <f>IF(LEFT(A77,1)="*","*","")</f>
        <v/>
      </c>
      <c r="B78" s="255"/>
      <c r="C78" s="255"/>
      <c r="D78" s="255"/>
      <c r="E78" s="255"/>
      <c r="F78" s="255" t="str">
        <f>[2]Commodities!$D$9</f>
        <v>TL</v>
      </c>
      <c r="G78" s="257"/>
      <c r="H78" s="257"/>
      <c r="I78" s="294"/>
      <c r="J78" s="294"/>
      <c r="K78" s="294"/>
      <c r="L78" s="294"/>
      <c r="M78" s="294"/>
      <c r="N78" s="294"/>
      <c r="O78" s="294"/>
      <c r="P78" s="294"/>
      <c r="Q78" s="294"/>
      <c r="R78" s="294"/>
      <c r="S78" s="294"/>
      <c r="T78" s="294"/>
      <c r="U78" s="310"/>
      <c r="V78" s="310"/>
      <c r="W78" s="310"/>
      <c r="X78" s="310"/>
      <c r="Y78" s="310"/>
      <c r="Z78" s="310"/>
      <c r="AA78" s="310"/>
      <c r="AB78" s="310"/>
      <c r="AC78" s="310"/>
      <c r="AD78" s="310"/>
      <c r="AE78" s="294"/>
      <c r="AF78" s="311"/>
      <c r="AG78" s="311"/>
      <c r="AH78" s="311"/>
      <c r="AI78" s="311"/>
      <c r="AJ78" s="294"/>
      <c r="AX78" s="250"/>
      <c r="AY78" s="250"/>
      <c r="AZ78" s="250"/>
      <c r="BA78" s="250"/>
      <c r="BB78" s="250"/>
      <c r="BC78" s="250"/>
      <c r="BD78" s="250"/>
    </row>
    <row r="79" spans="1:56" x14ac:dyDescent="0.2">
      <c r="A79" s="255" t="str">
        <f>[2]Technologies!B139</f>
        <v>R2,R3,R4,R5,R6</v>
      </c>
      <c r="B79" s="255" t="str">
        <f>[2]Technologies!D139</f>
        <v>TLLSCONV10</v>
      </c>
      <c r="C79" s="255" t="str">
        <f>[2]Technologies!E139</f>
        <v>TL.GSL.LS.CONV.2010</v>
      </c>
      <c r="D79" s="255" t="s">
        <v>292</v>
      </c>
      <c r="E79" s="255" t="s">
        <v>111</v>
      </c>
      <c r="F79" s="255" t="str">
        <f>[2]Commodities!$D$9</f>
        <v>TL</v>
      </c>
      <c r="G79" s="257"/>
      <c r="H79" s="294">
        <v>1</v>
      </c>
      <c r="I79" s="309">
        <f>INDEX([2]ConsolidatedVehData!$D$22:$D$858,MATCH(B79,[2]ConsolidatedVehData!$A$22:$A$858,0))</f>
        <v>2010</v>
      </c>
      <c r="J79" s="294">
        <v>20</v>
      </c>
      <c r="K79" s="309">
        <f>INDEX([2]ConsolidatedVehData!$P$22:$Z$858,MATCH($B79,[2]ConsolidatedVehData!$A$22:$A$858,0),MATCH(K$1,[2]ConsolidatedVehData!$P$7:$Z$7,0))</f>
        <v>2693.2459511743696</v>
      </c>
      <c r="L79" s="309">
        <f>INDEX([2]ConsolidatedVehData!$P$22:$Z$858,MATCH($B79,[2]ConsolidatedVehData!$A$22:$A$858,0),MATCH(L$1,[2]ConsolidatedVehData!$P$7:$Z$7,0))</f>
        <v>2747.8297180853851</v>
      </c>
      <c r="M79" s="309">
        <f>INDEX([2]ConsolidatedVehData!$P$22:$Z$858,MATCH($B79,[2]ConsolidatedVehData!$A$22:$A$858,0),MATCH(M$1,[2]ConsolidatedVehData!$P$7:$Z$7,0))</f>
        <v>2829.2664681533788</v>
      </c>
      <c r="N79" s="309">
        <f>INDEX([2]ConsolidatedVehData!$P$22:$Z$858,MATCH($B79,[2]ConsolidatedVehData!$A$22:$A$858,0),MATCH(N$1,[2]ConsolidatedVehData!$P$7:$Z$7,0))</f>
        <v>2917.1320849737112</v>
      </c>
      <c r="O79" s="309">
        <f>INDEX([2]ConsolidatedVehData!$P$22:$Z$858,MATCH($B79,[2]ConsolidatedVehData!$A$22:$A$858,0),MATCH(O$1,[2]ConsolidatedVehData!$P$7:$Z$7,0))</f>
        <v>2924.5286028275009</v>
      </c>
      <c r="P79" s="309">
        <f>INDEX([2]ConsolidatedVehData!$P$22:$Z$858,MATCH($B79,[2]ConsolidatedVehData!$A$22:$A$858,0),MATCH(P$1,[2]ConsolidatedVehData!$P$7:$Z$7,0))</f>
        <v>2926.098585284361</v>
      </c>
      <c r="Q79" s="309">
        <f>INDEX([2]ConsolidatedVehData!$P$22:$Z$858,MATCH($B79,[2]ConsolidatedVehData!$A$22:$A$858,0),MATCH(Q$1,[2]ConsolidatedVehData!$P$7:$Z$7,0))</f>
        <v>2927.4829086472182</v>
      </c>
      <c r="R79" s="309">
        <f>INDEX([2]ConsolidatedVehData!$P$22:$Z$858,MATCH($B79,[2]ConsolidatedVehData!$A$22:$A$858,0),MATCH(R$1,[2]ConsolidatedVehData!$P$7:$Z$7,0))</f>
        <v>2927.4829086472182</v>
      </c>
      <c r="S79" s="309">
        <f>INDEX([2]ConsolidatedVehData!$P$22:$Z$858,MATCH($B79,[2]ConsolidatedVehData!$A$22:$A$858,0),MATCH(S$1,[2]ConsolidatedVehData!$P$7:$Z$7,0))</f>
        <v>2927.4829086472182</v>
      </c>
      <c r="T79" s="309">
        <f t="shared" ref="T79:T87" si="45">S79</f>
        <v>2927.4829086472182</v>
      </c>
      <c r="U79" s="310">
        <f>INDEX([2]ConsolidatedVehData!$AF$22:$AF$858,MATCH(B79,[2]ConsolidatedVehData!$A$22:$A$858,0))</f>
        <v>0.13907503738190202</v>
      </c>
      <c r="V79" s="310">
        <f>INDEX([2]ConsolidatedVehData!$AF$22:$AF$858,MATCH($B79,[2]ConsolidatedVehData!$A$22:$A$858,0)+1)</f>
        <v>0.1672270662114618</v>
      </c>
      <c r="W79" s="310">
        <f>INDEX([2]ConsolidatedVehData!$AF$22:$AF$858,MATCH($B79,[2]ConsolidatedVehData!$A$22:$A$858,0)+2)</f>
        <v>0.20353403113064714</v>
      </c>
      <c r="X79" s="310">
        <f>INDEX([2]ConsolidatedVehData!$AF$22:$AF$858,MATCH($B79,[2]ConsolidatedVehData!$A$22:$A$858,0)+3)</f>
        <v>0.24801949338663357</v>
      </c>
      <c r="Y79" s="310">
        <f>INDEX([2]ConsolidatedVehData!$AF$22:$AF$858,MATCH($B79,[2]ConsolidatedVehData!$A$22:$A$858,0)+4)</f>
        <v>0.25333892252935203</v>
      </c>
      <c r="Z79" s="310">
        <f>INDEX([2]ConsolidatedVehData!$AF$22:$AF$858,MATCH($B79,[2]ConsolidatedVehData!$A$22:$A$858,0)+5)</f>
        <v>0.25508582980979971</v>
      </c>
      <c r="AA79" s="310">
        <f>INDEX([2]ConsolidatedVehData!$AF$22:$AF$858,MATCH($B79,[2]ConsolidatedVehData!$A$22:$A$858,0)+6)</f>
        <v>0.25477040202126144</v>
      </c>
      <c r="AB79" s="310">
        <f>INDEX([2]ConsolidatedVehData!$AF$22:$AF$858,MATCH($B79,[2]ConsolidatedVehData!$A$22:$A$858,0)+7)</f>
        <v>0.25477040202126144</v>
      </c>
      <c r="AC79" s="310">
        <f>INDEX([2]ConsolidatedVehData!$AF$22:$AF$858,MATCH($B79,[2]ConsolidatedVehData!$A$22:$A$858,0)+8)</f>
        <v>0.25477040202126144</v>
      </c>
      <c r="AD79" s="310">
        <f t="shared" si="13"/>
        <v>0.25477040202126144</v>
      </c>
      <c r="AE79" s="286">
        <f>INDEX([2]ConsolidatedVehData!$AB$22:$AB$858,MATCH(B79,[2]ConsolidatedVehData!$A$22:$A$858,0))</f>
        <v>43.267274341798768</v>
      </c>
      <c r="AF79" s="311">
        <v>0.44</v>
      </c>
      <c r="AG79" s="311">
        <v>0.18</v>
      </c>
      <c r="AH79" s="311">
        <v>0.18</v>
      </c>
      <c r="AI79" s="311">
        <v>0.4</v>
      </c>
      <c r="AJ79" s="294">
        <v>0</v>
      </c>
      <c r="AX79" s="250"/>
      <c r="AY79" s="250"/>
      <c r="AZ79" s="250"/>
      <c r="BA79" s="250"/>
      <c r="BB79" s="250"/>
      <c r="BC79" s="250"/>
      <c r="BD79" s="250"/>
    </row>
    <row r="80" spans="1:56" x14ac:dyDescent="0.2">
      <c r="A80" s="255" t="str">
        <f>[2]Technologies!B82</f>
        <v>R2,R3,R4,R5,R6</v>
      </c>
      <c r="B80" s="255" t="str">
        <f>[2]Technologies!D83</f>
        <v>TLLSELC</v>
      </c>
      <c r="C80" s="255" t="str">
        <f>[2]Technologies!E83</f>
        <v>Electric large SUV w/100 mi range</v>
      </c>
      <c r="D80" s="255" t="s">
        <v>292</v>
      </c>
      <c r="E80" s="255" t="s">
        <v>99</v>
      </c>
      <c r="F80" s="255" t="str">
        <f>[2]Commodities!$D$9</f>
        <v>TL</v>
      </c>
      <c r="G80" s="257" t="str">
        <f>IF($I80&lt;G$1,0,"")</f>
        <v/>
      </c>
      <c r="H80" s="294">
        <v>1</v>
      </c>
      <c r="I80" s="309">
        <v>2015</v>
      </c>
      <c r="J80" s="294">
        <v>20</v>
      </c>
      <c r="K80" s="309">
        <f t="shared" ref="K80:M82" si="46">L80</f>
        <v>6388.5493711090494</v>
      </c>
      <c r="L80" s="309">
        <f>L79+[2]GDPdeflator!$C$35*[2]ERG_ElectricVeh!B35</f>
        <v>6388.5493711090494</v>
      </c>
      <c r="M80" s="309">
        <f>M79+[2]GDPdeflator!$C$35*[2]ERG_ElectricVeh!C35</f>
        <v>5209.5096217125765</v>
      </c>
      <c r="N80" s="309">
        <f>N79+[2]GDPdeflator!$C$35*[2]ERG_ElectricVeh!D35</f>
        <v>4036.8987390684424</v>
      </c>
      <c r="O80" s="309">
        <f>O79+[2]GDPdeflator!$C$35*[2]ERG_ElectricVeh!E35</f>
        <v>3779.3742828230816</v>
      </c>
      <c r="P80" s="309">
        <f>P79+[2]GDPdeflator!$C$35*[2]ERG_ElectricVeh!F35</f>
        <v>3516.0232911807916</v>
      </c>
      <c r="Q80" s="309">
        <f t="shared" ref="Q80:S81" si="47">P80</f>
        <v>3516.0232911807916</v>
      </c>
      <c r="R80" s="309">
        <f t="shared" si="47"/>
        <v>3516.0232911807916</v>
      </c>
      <c r="S80" s="309">
        <f t="shared" si="47"/>
        <v>3516.0232911807916</v>
      </c>
      <c r="T80" s="309">
        <f t="shared" si="45"/>
        <v>3516.0232911807916</v>
      </c>
      <c r="U80" s="310">
        <f>V80</f>
        <v>0.70274407585537624</v>
      </c>
      <c r="V80" s="310">
        <f>[2]ERG_ElectricVeh!P35*[2]Efficiencies!AE$51</f>
        <v>0.70274407585537624</v>
      </c>
      <c r="W80" s="310">
        <f>[2]ERG_ElectricVeh!Q35*[2]Efficiencies!AF$51</f>
        <v>0.71404188074619024</v>
      </c>
      <c r="X80" s="310">
        <f>[2]ERG_ElectricVeh!R35*[2]Efficiencies!AG$51</f>
        <v>0.72570888394122812</v>
      </c>
      <c r="Y80" s="310">
        <f>[2]ERG_ElectricVeh!S35*[2]Efficiencies!AH$51</f>
        <v>0.73174083614454177</v>
      </c>
      <c r="Z80" s="310">
        <f>[2]ERG_ElectricVeh!T35*[2]Efficiencies!AI$51</f>
        <v>0.73787390162737998</v>
      </c>
      <c r="AA80" s="310">
        <f t="shared" ref="AA80:AD87" si="48">Z80</f>
        <v>0.73787390162737998</v>
      </c>
      <c r="AB80" s="310">
        <f t="shared" si="48"/>
        <v>0.73787390162737998</v>
      </c>
      <c r="AC80" s="310">
        <f t="shared" si="48"/>
        <v>0.73787390162737998</v>
      </c>
      <c r="AD80" s="310">
        <f t="shared" si="48"/>
        <v>0.73787390162737998</v>
      </c>
      <c r="AE80" s="286">
        <f>0.75*AE79</f>
        <v>32.450455756349072</v>
      </c>
      <c r="AF80" s="311">
        <v>0.44</v>
      </c>
      <c r="AG80" s="311">
        <v>0.24</v>
      </c>
      <c r="AH80" s="311">
        <v>0.28000000000000003</v>
      </c>
      <c r="AI80" s="311">
        <v>0.44</v>
      </c>
      <c r="AJ80" s="294">
        <v>0</v>
      </c>
      <c r="AX80" s="250"/>
      <c r="AY80" s="250"/>
      <c r="AZ80" s="250"/>
      <c r="BA80" s="250"/>
      <c r="BB80" s="250"/>
      <c r="BC80" s="250"/>
      <c r="BD80" s="250"/>
    </row>
    <row r="81" spans="1:56" x14ac:dyDescent="0.2">
      <c r="A81" s="255" t="str">
        <f>[2]Technologies!B90</f>
        <v>R2,R3,R4,R5,R6</v>
      </c>
      <c r="B81" s="255" t="str">
        <f>[2]Technologies!D90</f>
        <v>TLLSELCB</v>
      </c>
      <c r="C81" s="255" t="str">
        <f>[2]Technologies!E90</f>
        <v>Electric large SUV w/200 mi range</v>
      </c>
      <c r="D81" s="255" t="s">
        <v>292</v>
      </c>
      <c r="E81" s="255" t="s">
        <v>99</v>
      </c>
      <c r="F81" s="255" t="str">
        <f>[2]Commodities!$D$9</f>
        <v>TL</v>
      </c>
      <c r="G81" s="257" t="str">
        <f>IF($I81&lt;G$1,0,"")</f>
        <v/>
      </c>
      <c r="H81" s="294">
        <v>1</v>
      </c>
      <c r="I81" s="309">
        <v>2025</v>
      </c>
      <c r="J81" s="294">
        <v>20</v>
      </c>
      <c r="K81" s="309">
        <f t="shared" si="46"/>
        <v>5757.6246720756026</v>
      </c>
      <c r="L81" s="309">
        <f t="shared" si="46"/>
        <v>5757.6246720756026</v>
      </c>
      <c r="M81" s="309">
        <f t="shared" si="46"/>
        <v>5757.6246720756026</v>
      </c>
      <c r="N81" s="309">
        <f>N79+[2]GDPdeflator!$C$35*[2]ERG_ElectricVeh!D45</f>
        <v>5757.6246720756026</v>
      </c>
      <c r="O81" s="309">
        <f>O79+[2]GDPdeflator!$C$35*[2]ERG_ElectricVeh!E45</f>
        <v>5168.6847229707664</v>
      </c>
      <c r="P81" s="309">
        <f>P79+[2]GDPdeflator!$C$35*[2]ERG_ElectricVeh!F45</f>
        <v>4573.9182384690012</v>
      </c>
      <c r="Q81" s="309">
        <f t="shared" si="47"/>
        <v>4573.9182384690012</v>
      </c>
      <c r="R81" s="309">
        <f t="shared" si="47"/>
        <v>4573.9182384690012</v>
      </c>
      <c r="S81" s="309">
        <f t="shared" si="47"/>
        <v>4573.9182384690012</v>
      </c>
      <c r="T81" s="309">
        <f>S81</f>
        <v>4573.9182384690012</v>
      </c>
      <c r="U81" s="310">
        <f t="shared" ref="U81:W81" si="49">V81</f>
        <v>0.64330986991823125</v>
      </c>
      <c r="V81" s="310">
        <f t="shared" si="49"/>
        <v>0.64330986991823125</v>
      </c>
      <c r="W81" s="310">
        <f t="shared" si="49"/>
        <v>0.64330986991823125</v>
      </c>
      <c r="X81" s="310">
        <f>[2]ERG_ElectricVeh!R45*[2]Efficiencies!AG$51</f>
        <v>0.64330986991823125</v>
      </c>
      <c r="Y81" s="310">
        <f>[2]ERG_ElectricVeh!S45*[2]Efficiencies!AH$51</f>
        <v>0.64863017376358134</v>
      </c>
      <c r="Z81" s="310">
        <f>[2]ERG_ElectricVeh!T45*[2]Efficiencies!AI$51</f>
        <v>0.65403921145196597</v>
      </c>
      <c r="AA81" s="310">
        <f t="shared" si="48"/>
        <v>0.65403921145196597</v>
      </c>
      <c r="AB81" s="310">
        <f t="shared" si="48"/>
        <v>0.65403921145196597</v>
      </c>
      <c r="AC81" s="310">
        <f t="shared" si="48"/>
        <v>0.65403921145196597</v>
      </c>
      <c r="AD81" s="310">
        <f t="shared" si="48"/>
        <v>0.65403921145196597</v>
      </c>
      <c r="AE81" s="286">
        <f>0.75*AE79</f>
        <v>32.450455756349072</v>
      </c>
      <c r="AF81" s="311">
        <v>0.44</v>
      </c>
      <c r="AG81" s="311">
        <v>0.24</v>
      </c>
      <c r="AH81" s="311">
        <v>0.28000000000000003</v>
      </c>
      <c r="AI81" s="311">
        <v>0.44</v>
      </c>
      <c r="AJ81" s="294">
        <v>0</v>
      </c>
      <c r="AX81" s="250"/>
      <c r="AY81" s="250"/>
      <c r="AZ81" s="250"/>
      <c r="BA81" s="250"/>
      <c r="BB81" s="250"/>
      <c r="BC81" s="250"/>
      <c r="BD81" s="250"/>
    </row>
    <row r="82" spans="1:56" x14ac:dyDescent="0.2">
      <c r="A82" s="255" t="str">
        <f>[2]Technologies!B140</f>
        <v>R2,R3,R4,R5,R6</v>
      </c>
      <c r="B82" s="255" t="str">
        <f>[2]Technologies!D140</f>
        <v>TLLSDHEV20</v>
      </c>
      <c r="C82" s="255" t="str">
        <f>[2]Technologies!E140</f>
        <v>TL.DSL.LS.DHEV.2020</v>
      </c>
      <c r="D82" s="255" t="s">
        <v>292</v>
      </c>
      <c r="E82" s="255" t="s">
        <v>89</v>
      </c>
      <c r="F82" s="255" t="str">
        <f>[2]Commodities!$D$9</f>
        <v>TL</v>
      </c>
      <c r="G82" s="257"/>
      <c r="H82" s="294">
        <v>1</v>
      </c>
      <c r="I82" s="309">
        <f>INDEX([2]ConsolidatedVehData!$D$22:$D$858,MATCH(B82,[2]ConsolidatedVehData!$A$22:$A$858,0))</f>
        <v>2020</v>
      </c>
      <c r="J82" s="294">
        <v>20</v>
      </c>
      <c r="K82" s="309">
        <f t="shared" si="46"/>
        <v>3642.2549123951053</v>
      </c>
      <c r="L82" s="309">
        <f t="shared" si="46"/>
        <v>3642.2549123951053</v>
      </c>
      <c r="M82" s="309">
        <f>INDEX([2]ConsolidatedVehData!$P$22:$Z$858,MATCH($B82,[2]ConsolidatedVehData!$A$22:$A$858,0),MATCH(M$1,[2]ConsolidatedVehData!$P$7:$Z$7,0))</f>
        <v>3642.2549123951053</v>
      </c>
      <c r="N82" s="309">
        <f>INDEX([2]ConsolidatedVehData!$P$22:$Z$858,MATCH($B82,[2]ConsolidatedVehData!$A$22:$A$858,0),MATCH(N$1,[2]ConsolidatedVehData!$P$7:$Z$7,0))</f>
        <v>3614.7552015079518</v>
      </c>
      <c r="O82" s="309">
        <f>INDEX([2]ConsolidatedVehData!$P$22:$Z$858,MATCH($B82,[2]ConsolidatedVehData!$A$22:$A$858,0),MATCH(O$1,[2]ConsolidatedVehData!$P$7:$Z$7,0))</f>
        <v>3568.8090379976011</v>
      </c>
      <c r="P82" s="309">
        <f>INDEX([2]ConsolidatedVehData!$P$22:$Z$858,MATCH($B82,[2]ConsolidatedVehData!$A$22:$A$858,0),MATCH(P$1,[2]ConsolidatedVehData!$P$7:$Z$7,0))</f>
        <v>3556.4205728491224</v>
      </c>
      <c r="Q82" s="309">
        <f>INDEX([2]ConsolidatedVehData!$P$22:$Z$858,MATCH($B82,[2]ConsolidatedVehData!$A$22:$A$858,0),MATCH(Q$1,[2]ConsolidatedVehData!$P$7:$Z$7,0))</f>
        <v>3553.7603369891763</v>
      </c>
      <c r="R82" s="309">
        <f>INDEX([2]ConsolidatedVehData!$P$22:$Z$858,MATCH($B82,[2]ConsolidatedVehData!$A$22:$A$858,0),MATCH(R$1,[2]ConsolidatedVehData!$P$7:$Z$7,0))</f>
        <v>3553.7603369891763</v>
      </c>
      <c r="S82" s="309">
        <f>INDEX([2]ConsolidatedVehData!$P$22:$Z$858,MATCH($B82,[2]ConsolidatedVehData!$A$22:$A$858,0),MATCH(S$1,[2]ConsolidatedVehData!$P$7:$Z$7,0))</f>
        <v>3553.7603369891763</v>
      </c>
      <c r="T82" s="309">
        <f t="shared" si="45"/>
        <v>3553.7603369891763</v>
      </c>
      <c r="U82" s="310"/>
      <c r="V82" s="310"/>
      <c r="W82" s="310">
        <f>INDEX([2]ConsolidatedVehData!$AF$22:$AF$858,MATCH(B82,[2]ConsolidatedVehData!$A$22:$A$858,0))</f>
        <v>0.2784415783346022</v>
      </c>
      <c r="X82" s="310">
        <f>INDEX([2]ConsolidatedVehData!$AF$22:$AF$858,MATCH($B82,[2]ConsolidatedVehData!$A$22:$A$858,0)+1)</f>
        <v>0.30915377228225238</v>
      </c>
      <c r="Y82" s="310">
        <f>INDEX([2]ConsolidatedVehData!$AF$22:$AF$858,MATCH($B82,[2]ConsolidatedVehData!$A$22:$A$858,0)+2)</f>
        <v>0.31455834667793942</v>
      </c>
      <c r="Z82" s="310">
        <f>INDEX([2]ConsolidatedVehData!$AF$22:$AF$858,MATCH($B82,[2]ConsolidatedVehData!$A$22:$A$858,0)+3)</f>
        <v>0.31664562482940811</v>
      </c>
      <c r="AA82" s="310">
        <f>INDEX([2]ConsolidatedVehData!$AF$22:$AF$858,MATCH($B82,[2]ConsolidatedVehData!$A$22:$A$858,0)+4)</f>
        <v>0.31688385450997103</v>
      </c>
      <c r="AB82" s="310">
        <f>INDEX([2]ConsolidatedVehData!$AF$22:$AF$858,MATCH($B82,[2]ConsolidatedVehData!$A$22:$A$858,0)+5)</f>
        <v>0.31688385450997103</v>
      </c>
      <c r="AC82" s="310">
        <f>INDEX([2]ConsolidatedVehData!$AF$22:$AF$858,MATCH($B82,[2]ConsolidatedVehData!$A$22:$A$858,0)+6)</f>
        <v>0.31688385450997103</v>
      </c>
      <c r="AD82" s="310">
        <f t="shared" si="48"/>
        <v>0.31688385450997103</v>
      </c>
      <c r="AE82" s="286">
        <f>INDEX([2]ConsolidatedVehData!$AB$22:$AB$858,MATCH(B82,[2]ConsolidatedVehData!$A$22:$A$858,0))</f>
        <v>45.478712808157368</v>
      </c>
      <c r="AF82" s="311">
        <v>0.44</v>
      </c>
      <c r="AG82" s="311">
        <v>0.18</v>
      </c>
      <c r="AH82" s="311">
        <v>0.24</v>
      </c>
      <c r="AI82" s="311">
        <v>0.44</v>
      </c>
      <c r="AJ82" s="294">
        <v>0</v>
      </c>
      <c r="AX82" s="250"/>
      <c r="AY82" s="250"/>
      <c r="AZ82" s="250"/>
      <c r="BA82" s="250"/>
      <c r="BB82" s="250"/>
      <c r="BC82" s="250"/>
      <c r="BD82" s="250"/>
    </row>
    <row r="83" spans="1:56" x14ac:dyDescent="0.2">
      <c r="A83" s="255" t="str">
        <f>[2]Technologies!B141</f>
        <v>R2,R3,R4,R5,R6</v>
      </c>
      <c r="B83" s="255" t="str">
        <f>[2]Technologies!D141</f>
        <v>TLLSDSL10</v>
      </c>
      <c r="C83" s="255" t="str">
        <f>[2]Technologies!E141</f>
        <v>TL.DSL.LS.DSL.2010</v>
      </c>
      <c r="D83" s="255" t="s">
        <v>292</v>
      </c>
      <c r="E83" s="255" t="s">
        <v>89</v>
      </c>
      <c r="F83" s="255" t="str">
        <f>[2]Commodities!$D$9</f>
        <v>TL</v>
      </c>
      <c r="G83" s="257"/>
      <c r="H83" s="294">
        <v>1</v>
      </c>
      <c r="I83" s="309">
        <f>INDEX([2]ConsolidatedVehData!$D$22:$D$858,MATCH(B83,[2]ConsolidatedVehData!$A$22:$A$858,0))</f>
        <v>2010</v>
      </c>
      <c r="J83" s="294">
        <v>20</v>
      </c>
      <c r="K83" s="309">
        <f>INDEX([2]ConsolidatedVehData!$P$22:$Z$858,MATCH($B83,[2]ConsolidatedVehData!$A$22:$A$858,0),MATCH(K$1,[2]ConsolidatedVehData!$P$7:$Z$7,0))</f>
        <v>3061.8745869496329</v>
      </c>
      <c r="L83" s="309">
        <f>INDEX([2]ConsolidatedVehData!$P$22:$Z$858,MATCH($B83,[2]ConsolidatedVehData!$A$22:$A$858,0),MATCH(L$1,[2]ConsolidatedVehData!$P$7:$Z$7,0))</f>
        <v>3083.093904901129</v>
      </c>
      <c r="M83" s="309">
        <f>INDEX([2]ConsolidatedVehData!$P$22:$Z$858,MATCH($B83,[2]ConsolidatedVehData!$A$22:$A$858,0),MATCH(M$1,[2]ConsolidatedVehData!$P$7:$Z$7,0))</f>
        <v>3069.9500018236604</v>
      </c>
      <c r="N83" s="309">
        <f>INDEX([2]ConsolidatedVehData!$P$22:$Z$858,MATCH($B83,[2]ConsolidatedVehData!$A$22:$A$858,0),MATCH(N$1,[2]ConsolidatedVehData!$P$7:$Z$7,0))</f>
        <v>3131.3491759612539</v>
      </c>
      <c r="O83" s="309">
        <f>INDEX([2]ConsolidatedVehData!$P$22:$Z$858,MATCH($B83,[2]ConsolidatedVehData!$A$22:$A$858,0),MATCH(O$1,[2]ConsolidatedVehData!$P$7:$Z$7,0))</f>
        <v>3137.8929640834435</v>
      </c>
      <c r="P83" s="309">
        <f>INDEX([2]ConsolidatedVehData!$P$22:$Z$858,MATCH($B83,[2]ConsolidatedVehData!$A$22:$A$858,0),MATCH(P$1,[2]ConsolidatedVehData!$P$7:$Z$7,0))</f>
        <v>3140.0873697185607</v>
      </c>
      <c r="Q83" s="309">
        <f>INDEX([2]ConsolidatedVehData!$P$22:$Z$858,MATCH($B83,[2]ConsolidatedVehData!$A$22:$A$858,0),MATCH(Q$1,[2]ConsolidatedVehData!$P$7:$Z$7,0))</f>
        <v>3137.8133749998037</v>
      </c>
      <c r="R83" s="309">
        <f>INDEX([2]ConsolidatedVehData!$P$22:$Z$858,MATCH($B83,[2]ConsolidatedVehData!$A$22:$A$858,0),MATCH(R$1,[2]ConsolidatedVehData!$P$7:$Z$7,0))</f>
        <v>3137.8133749998037</v>
      </c>
      <c r="S83" s="309">
        <f>INDEX([2]ConsolidatedVehData!$P$22:$Z$858,MATCH($B83,[2]ConsolidatedVehData!$A$22:$A$858,0),MATCH(S$1,[2]ConsolidatedVehData!$P$7:$Z$7,0))</f>
        <v>3137.8133749998037</v>
      </c>
      <c r="T83" s="309">
        <f t="shared" si="45"/>
        <v>3137.8133749998037</v>
      </c>
      <c r="U83" s="310">
        <f>INDEX([2]ConsolidatedVehData!$AF$22:$AF$858,MATCH(B83,[2]ConsolidatedVehData!$A$22:$A$858,0))</f>
        <v>0.17218814152045014</v>
      </c>
      <c r="V83" s="310">
        <f>INDEX([2]ConsolidatedVehData!$AF$22:$AF$858,MATCH($B83,[2]ConsolidatedVehData!$A$22:$A$858,0)+1)</f>
        <v>0.20128766998541125</v>
      </c>
      <c r="W83" s="310">
        <f>INDEX([2]ConsolidatedVehData!$AF$22:$AF$858,MATCH($B83,[2]ConsolidatedVehData!$A$22:$A$858,0)+2)</f>
        <v>0.21793343639872012</v>
      </c>
      <c r="X83" s="310">
        <f>INDEX([2]ConsolidatedVehData!$AF$22:$AF$858,MATCH($B83,[2]ConsolidatedVehData!$A$22:$A$858,0)+3)</f>
        <v>0.24997710826378128</v>
      </c>
      <c r="Y83" s="310">
        <f>INDEX([2]ConsolidatedVehData!$AF$22:$AF$858,MATCH($B83,[2]ConsolidatedVehData!$A$22:$A$858,0)+4)</f>
        <v>0.25435358445501288</v>
      </c>
      <c r="Z83" s="310">
        <f>INDEX([2]ConsolidatedVehData!$AF$22:$AF$858,MATCH($B83,[2]ConsolidatedVehData!$A$22:$A$858,0)+5)</f>
        <v>0.25618099478594508</v>
      </c>
      <c r="AA83" s="310">
        <f>INDEX([2]ConsolidatedVehData!$AF$22:$AF$858,MATCH($B83,[2]ConsolidatedVehData!$A$22:$A$858,0)+6)</f>
        <v>0.25594983347953476</v>
      </c>
      <c r="AB83" s="310">
        <f>INDEX([2]ConsolidatedVehData!$AF$22:$AF$858,MATCH($B83,[2]ConsolidatedVehData!$A$22:$A$858,0)+7)</f>
        <v>0.25594983347953476</v>
      </c>
      <c r="AC83" s="310">
        <f>INDEX([2]ConsolidatedVehData!$AF$22:$AF$858,MATCH($B83,[2]ConsolidatedVehData!$A$22:$A$858,0)+8)</f>
        <v>0.25594983347953476</v>
      </c>
      <c r="AD83" s="310">
        <f t="shared" si="48"/>
        <v>0.25594983347953476</v>
      </c>
      <c r="AE83" s="286">
        <f>INDEX([2]ConsolidatedVehData!$AB$22:$AB$858,MATCH(B83,[2]ConsolidatedVehData!$A$22:$A$858,0))</f>
        <v>43.267274341798768</v>
      </c>
      <c r="AF83" s="311">
        <v>0.44</v>
      </c>
      <c r="AG83" s="311">
        <v>0.18</v>
      </c>
      <c r="AH83" s="311">
        <v>0.24</v>
      </c>
      <c r="AI83" s="311">
        <v>0.44</v>
      </c>
      <c r="AJ83" s="294">
        <v>0</v>
      </c>
      <c r="AX83" s="250"/>
      <c r="AY83" s="250"/>
      <c r="AZ83" s="250"/>
      <c r="BA83" s="250"/>
      <c r="BB83" s="250"/>
      <c r="BC83" s="250"/>
      <c r="BD83" s="250"/>
    </row>
    <row r="84" spans="1:56" x14ac:dyDescent="0.2">
      <c r="A84" s="255" t="str">
        <f>[2]Technologies!B142</f>
        <v>*R2,R3,R4,R5,R6</v>
      </c>
      <c r="B84" s="255" t="str">
        <f>[2]Technologies!D142</f>
        <v>TLLSETHX10</v>
      </c>
      <c r="C84" s="255" t="str">
        <f>[2]Technologies!E142</f>
        <v>TL.E85X.LS.ETHX.2010</v>
      </c>
      <c r="D84" s="255" t="s">
        <v>292</v>
      </c>
      <c r="E84" s="255" t="s">
        <v>95</v>
      </c>
      <c r="F84" s="255" t="str">
        <f>[2]Commodities!$D$9</f>
        <v>TL</v>
      </c>
      <c r="G84" s="257"/>
      <c r="H84" s="294">
        <v>1</v>
      </c>
      <c r="I84" s="309">
        <f>INDEX([2]ConsolidatedVehData!$D$22:$D$858,MATCH(B84,[2]ConsolidatedVehData!$A$22:$A$858,0))</f>
        <v>2010</v>
      </c>
      <c r="J84" s="294">
        <v>20</v>
      </c>
      <c r="K84" s="309">
        <f>INDEX([2]ConsolidatedVehData!$P$22:$Z$858,MATCH($B84,[2]ConsolidatedVehData!$A$22:$A$858,0),MATCH(K$1,[2]ConsolidatedVehData!$P$7:$Z$7,0))</f>
        <v>2700.7689845575378</v>
      </c>
      <c r="L84" s="309">
        <f>INDEX([2]ConsolidatedVehData!$P$22:$Z$858,MATCH($B84,[2]ConsolidatedVehData!$A$22:$A$858,0),MATCH(L$1,[2]ConsolidatedVehData!$P$7:$Z$7,0))</f>
        <v>2755.126091219046</v>
      </c>
      <c r="M84" s="309">
        <f>INDEX([2]ConsolidatedVehData!$P$22:$Z$858,MATCH($B84,[2]ConsolidatedVehData!$A$22:$A$858,0),MATCH(M$1,[2]ConsolidatedVehData!$P$7:$Z$7,0))</f>
        <v>2836.1894748505551</v>
      </c>
      <c r="N84" s="309">
        <f>INDEX([2]ConsolidatedVehData!$P$22:$Z$858,MATCH($B84,[2]ConsolidatedVehData!$A$22:$A$858,0),MATCH(N$1,[2]ConsolidatedVehData!$P$7:$Z$7,0))</f>
        <v>2924.3140487996397</v>
      </c>
      <c r="O84" s="309">
        <f>INDEX([2]ConsolidatedVehData!$P$22:$Z$858,MATCH($B84,[2]ConsolidatedVehData!$A$22:$A$858,0),MATCH(O$1,[2]ConsolidatedVehData!$P$7:$Z$7,0))</f>
        <v>2931.7697464040402</v>
      </c>
      <c r="P84" s="309">
        <f>INDEX([2]ConsolidatedVehData!$P$22:$Z$858,MATCH($B84,[2]ConsolidatedVehData!$A$22:$A$858,0),MATCH(P$1,[2]ConsolidatedVehData!$P$7:$Z$7,0))</f>
        <v>2933.3734518090232</v>
      </c>
      <c r="Q84" s="309">
        <f>INDEX([2]ConsolidatedVehData!$P$22:$Z$858,MATCH($B84,[2]ConsolidatedVehData!$A$22:$A$858,0),MATCH(Q$1,[2]ConsolidatedVehData!$P$7:$Z$7,0))</f>
        <v>2934.7394140873271</v>
      </c>
      <c r="R84" s="309">
        <f>INDEX([2]ConsolidatedVehData!$P$22:$Z$858,MATCH($B84,[2]ConsolidatedVehData!$A$22:$A$858,0),MATCH(R$1,[2]ConsolidatedVehData!$P$7:$Z$7,0))</f>
        <v>2934.7394140873271</v>
      </c>
      <c r="S84" s="309">
        <f>INDEX([2]ConsolidatedVehData!$P$22:$Z$858,MATCH($B84,[2]ConsolidatedVehData!$A$22:$A$858,0),MATCH(S$1,[2]ConsolidatedVehData!$P$7:$Z$7,0))</f>
        <v>2934.7394140873271</v>
      </c>
      <c r="T84" s="309">
        <f t="shared" si="45"/>
        <v>2934.7394140873271</v>
      </c>
      <c r="U84" s="310">
        <f>U79</f>
        <v>0.13907503738190202</v>
      </c>
      <c r="V84" s="310">
        <f t="shared" ref="V84:AC84" si="50">V79</f>
        <v>0.1672270662114618</v>
      </c>
      <c r="W84" s="310">
        <f t="shared" si="50"/>
        <v>0.20353403113064714</v>
      </c>
      <c r="X84" s="310">
        <f t="shared" si="50"/>
        <v>0.24801949338663357</v>
      </c>
      <c r="Y84" s="310">
        <f t="shared" si="50"/>
        <v>0.25333892252935203</v>
      </c>
      <c r="Z84" s="310">
        <f t="shared" si="50"/>
        <v>0.25508582980979971</v>
      </c>
      <c r="AA84" s="310">
        <f t="shared" si="50"/>
        <v>0.25477040202126144</v>
      </c>
      <c r="AB84" s="310">
        <f t="shared" si="50"/>
        <v>0.25477040202126144</v>
      </c>
      <c r="AC84" s="310">
        <f t="shared" si="50"/>
        <v>0.25477040202126144</v>
      </c>
      <c r="AD84" s="310">
        <f t="shared" si="48"/>
        <v>0.25477040202126144</v>
      </c>
      <c r="AE84" s="286">
        <f>INDEX([2]ConsolidatedVehData!$AB$22:$AB$858,MATCH(B84,[2]ConsolidatedVehData!$A$22:$A$858,0))</f>
        <v>43.267274341798768</v>
      </c>
      <c r="AF84" s="311">
        <v>0.44</v>
      </c>
      <c r="AG84" s="311">
        <v>0.18</v>
      </c>
      <c r="AH84" s="311">
        <v>0.18</v>
      </c>
      <c r="AI84" s="311">
        <v>0.4</v>
      </c>
      <c r="AJ84" s="294">
        <v>0</v>
      </c>
      <c r="AX84" s="250"/>
      <c r="AY84" s="250"/>
      <c r="AZ84" s="250"/>
      <c r="BA84" s="250"/>
      <c r="BB84" s="250"/>
      <c r="BC84" s="250"/>
      <c r="BD84" s="250"/>
    </row>
    <row r="85" spans="1:56" x14ac:dyDescent="0.2">
      <c r="A85" s="255" t="str">
        <f>[2]Technologies!B143</f>
        <v>R2,R3,R4,R5,R6</v>
      </c>
      <c r="B85" s="255" t="str">
        <f>[2]Technologies!D143</f>
        <v>TLLSFCH25</v>
      </c>
      <c r="C85" s="255" t="str">
        <f>[2]Technologies!E143</f>
        <v>TL.H2.LS.FCH.2025</v>
      </c>
      <c r="D85" s="255" t="s">
        <v>292</v>
      </c>
      <c r="E85" s="255" t="s">
        <v>105</v>
      </c>
      <c r="F85" s="255" t="str">
        <f>[2]Commodities!$D$9</f>
        <v>TL</v>
      </c>
      <c r="G85" s="257"/>
      <c r="H85" s="294">
        <v>1</v>
      </c>
      <c r="I85" s="309">
        <f>INDEX([2]ConsolidatedVehData!$D$22:$D$858,MATCH(B85,[2]ConsolidatedVehData!$A$22:$A$858,0))</f>
        <v>2025</v>
      </c>
      <c r="J85" s="294">
        <v>20</v>
      </c>
      <c r="K85" s="309">
        <f t="shared" ref="K85:M85" si="51">L85</f>
        <v>6164.6652296672719</v>
      </c>
      <c r="L85" s="309">
        <f t="shared" si="51"/>
        <v>6164.6652296672719</v>
      </c>
      <c r="M85" s="309">
        <f t="shared" si="51"/>
        <v>6164.6652296672719</v>
      </c>
      <c r="N85" s="309">
        <f>INDEX([2]ConsolidatedVehData!$P$22:$Z$858,MATCH($B85,[2]ConsolidatedVehData!$A$22:$A$858,0),MATCH(N$1,[2]ConsolidatedVehData!$P$7:$Z$7,0))</f>
        <v>6164.6652296672719</v>
      </c>
      <c r="O85" s="309">
        <f>INDEX([2]ConsolidatedVehData!$P$22:$Z$858,MATCH($B85,[2]ConsolidatedVehData!$A$22:$A$858,0),MATCH(O$1,[2]ConsolidatedVehData!$P$7:$Z$7,0))</f>
        <v>5604.6486395241755</v>
      </c>
      <c r="P85" s="309">
        <f>INDEX([2]ConsolidatedVehData!$P$22:$Z$858,MATCH($B85,[2]ConsolidatedVehData!$A$22:$A$858,0),MATCH(P$1,[2]ConsolidatedVehData!$P$7:$Z$7,0))</f>
        <v>5175.1154990899795</v>
      </c>
      <c r="Q85" s="309">
        <f>INDEX([2]ConsolidatedVehData!$P$22:$Z$858,MATCH($B85,[2]ConsolidatedVehData!$A$22:$A$858,0),MATCH(Q$1,[2]ConsolidatedVehData!$P$7:$Z$7,0))</f>
        <v>4835.8974611982276</v>
      </c>
      <c r="R85" s="309">
        <f>INDEX([2]ConsolidatedVehData!$P$22:$Z$858,MATCH($B85,[2]ConsolidatedVehData!$A$22:$A$858,0),MATCH(R$1,[2]ConsolidatedVehData!$P$7:$Z$7,0))</f>
        <v>4835.8974611982276</v>
      </c>
      <c r="S85" s="309">
        <f>INDEX([2]ConsolidatedVehData!$P$22:$Z$858,MATCH($B85,[2]ConsolidatedVehData!$A$22:$A$858,0),MATCH(S$1,[2]ConsolidatedVehData!$P$7:$Z$7,0))</f>
        <v>4835.8974611982276</v>
      </c>
      <c r="T85" s="309">
        <f t="shared" si="45"/>
        <v>4835.8974611982276</v>
      </c>
      <c r="U85" s="310">
        <f t="shared" ref="U85:W85" si="52">V85</f>
        <v>0.24431188916319141</v>
      </c>
      <c r="V85" s="310">
        <f t="shared" si="52"/>
        <v>0.24431188916319141</v>
      </c>
      <c r="W85" s="310">
        <f t="shared" si="52"/>
        <v>0.24431188916319141</v>
      </c>
      <c r="X85" s="310">
        <f>INDEX([2]ConsolidatedVehData!$AF$22:$AF$858,MATCH(B85,[2]ConsolidatedVehData!$A$22:$A$858,0))</f>
        <v>0.24431188916319141</v>
      </c>
      <c r="Y85" s="310">
        <f>INDEX([2]ConsolidatedVehData!$AF$22:$AF$858,MATCH($B85,[2]ConsolidatedVehData!$A$22:$A$858,0)+1)</f>
        <v>0.24553176318384623</v>
      </c>
      <c r="Z85" s="310">
        <f>INDEX([2]ConsolidatedVehData!$AF$22:$AF$858,MATCH($B85,[2]ConsolidatedVehData!$A$22:$A$858,0)+2)</f>
        <v>0.2456888084481279</v>
      </c>
      <c r="AA85" s="310">
        <f>INDEX([2]ConsolidatedVehData!$AF$22:$AF$858,MATCH($B85,[2]ConsolidatedVehData!$A$22:$A$858,0)+3)</f>
        <v>0.24582095520525932</v>
      </c>
      <c r="AB85" s="310">
        <f>INDEX([2]ConsolidatedVehData!$AF$22:$AF$858,MATCH($B85,[2]ConsolidatedVehData!$A$22:$A$858,0)+4)</f>
        <v>0.24582095520525932</v>
      </c>
      <c r="AC85" s="310">
        <f>INDEX([2]ConsolidatedVehData!$AF$22:$AF$858,MATCH($B85,[2]ConsolidatedVehData!$A$22:$A$858,0)+5)</f>
        <v>0.24582095520525932</v>
      </c>
      <c r="AD85" s="310">
        <f t="shared" si="48"/>
        <v>0.24582095520525932</v>
      </c>
      <c r="AE85" s="286">
        <f>INDEX([2]ConsolidatedVehData!$AB$22:$AB$858,MATCH(B85,[2]ConsolidatedVehData!$A$22:$A$858,0))</f>
        <v>45.478712808157368</v>
      </c>
      <c r="AF85" s="311">
        <v>0.44</v>
      </c>
      <c r="AG85" s="311">
        <v>0.24</v>
      </c>
      <c r="AH85" s="311">
        <v>0.28000000000000003</v>
      </c>
      <c r="AI85" s="311">
        <v>0.44</v>
      </c>
      <c r="AJ85" s="294">
        <v>0</v>
      </c>
      <c r="AX85" s="250"/>
      <c r="AY85" s="250"/>
      <c r="AZ85" s="250"/>
      <c r="BA85" s="250"/>
      <c r="BB85" s="250"/>
      <c r="BC85" s="250"/>
      <c r="BD85" s="250"/>
    </row>
    <row r="86" spans="1:56" x14ac:dyDescent="0.2">
      <c r="A86" s="255" t="str">
        <f>[2]Technologies!B144</f>
        <v>R2,R3,R4,R5,R6</v>
      </c>
      <c r="B86" s="255" t="str">
        <f>[2]Technologies!D144</f>
        <v>TLLSHEV10</v>
      </c>
      <c r="C86" s="255" t="str">
        <f>[2]Technologies!E144</f>
        <v>TL.GSL.LS.HEV.2010</v>
      </c>
      <c r="D86" s="255" t="s">
        <v>292</v>
      </c>
      <c r="E86" s="255" t="s">
        <v>111</v>
      </c>
      <c r="F86" s="255" t="str">
        <f>[2]Commodities!$D$9</f>
        <v>TL</v>
      </c>
      <c r="G86" s="257"/>
      <c r="H86" s="294">
        <v>1</v>
      </c>
      <c r="I86" s="309">
        <f>INDEX([2]ConsolidatedVehData!$D$22:$D$858,MATCH(B86,[2]ConsolidatedVehData!$A$22:$A$858,0))</f>
        <v>2010</v>
      </c>
      <c r="J86" s="294">
        <v>20</v>
      </c>
      <c r="K86" s="309">
        <f>INDEX([2]ConsolidatedVehData!$P$22:$Z$858,MATCH($B86,[2]ConsolidatedVehData!$A$22:$A$858,0),MATCH(K$1,[2]ConsolidatedVehData!$P$7:$Z$7,0))</f>
        <v>3302.6116552110288</v>
      </c>
      <c r="L86" s="309">
        <f>INDEX([2]ConsolidatedVehData!$P$22:$Z$858,MATCH($B86,[2]ConsolidatedVehData!$A$22:$A$858,0),MATCH(L$1,[2]ConsolidatedVehData!$P$7:$Z$7,0))</f>
        <v>3232.9801198163295</v>
      </c>
      <c r="M86" s="309">
        <f>INDEX([2]ConsolidatedVehData!$P$22:$Z$858,MATCH($B86,[2]ConsolidatedVehData!$A$22:$A$858,0),MATCH(M$1,[2]ConsolidatedVehData!$P$7:$Z$7,0))</f>
        <v>3259.9900798625231</v>
      </c>
      <c r="N86" s="309">
        <f>INDEX([2]ConsolidatedVehData!$P$22:$Z$858,MATCH($B86,[2]ConsolidatedVehData!$A$22:$A$858,0),MATCH(N$1,[2]ConsolidatedVehData!$P$7:$Z$7,0))</f>
        <v>3277.5164300096053</v>
      </c>
      <c r="O86" s="309">
        <f>INDEX([2]ConsolidatedVehData!$P$22:$Z$858,MATCH($B86,[2]ConsolidatedVehData!$A$22:$A$858,0),MATCH(O$1,[2]ConsolidatedVehData!$P$7:$Z$7,0))</f>
        <v>3232.550353395025</v>
      </c>
      <c r="P86" s="309">
        <f>INDEX([2]ConsolidatedVehData!$P$22:$Z$858,MATCH($B86,[2]ConsolidatedVehData!$A$22:$A$858,0),MATCH(P$1,[2]ConsolidatedVehData!$P$7:$Z$7,0))</f>
        <v>3219.8800346259013</v>
      </c>
      <c r="Q86" s="309">
        <f>INDEX([2]ConsolidatedVehData!$P$22:$Z$858,MATCH($B86,[2]ConsolidatedVehData!$A$22:$A$858,0),MATCH(Q$1,[2]ConsolidatedVehData!$P$7:$Z$7,0))</f>
        <v>3217.017241622023</v>
      </c>
      <c r="R86" s="309">
        <f>INDEX([2]ConsolidatedVehData!$P$22:$Z$858,MATCH($B86,[2]ConsolidatedVehData!$A$22:$A$858,0),MATCH(R$1,[2]ConsolidatedVehData!$P$7:$Z$7,0))</f>
        <v>3217.017241622023</v>
      </c>
      <c r="S86" s="309">
        <f>INDEX([2]ConsolidatedVehData!$P$22:$Z$858,MATCH($B86,[2]ConsolidatedVehData!$A$22:$A$858,0),MATCH(S$1,[2]ConsolidatedVehData!$P$7:$Z$7,0))</f>
        <v>3217.017241622023</v>
      </c>
      <c r="T86" s="309">
        <f t="shared" si="45"/>
        <v>3217.017241622023</v>
      </c>
      <c r="U86" s="310">
        <f>INDEX([2]ConsolidatedVehData!$AF$22:$AF$858,MATCH(B86,[2]ConsolidatedVehData!$A$22:$A$858,0))</f>
        <v>0.25032233147813959</v>
      </c>
      <c r="V86" s="310">
        <f>INDEX([2]ConsolidatedVehData!$AF$22:$AF$858,MATCH($B86,[2]ConsolidatedVehData!$A$22:$A$858,0)+1)</f>
        <v>0.23470852858740393</v>
      </c>
      <c r="W86" s="310">
        <f>INDEX([2]ConsolidatedVehData!$AF$22:$AF$858,MATCH($B86,[2]ConsolidatedVehData!$A$22:$A$858,0)+2)</f>
        <v>0.2720490617411323</v>
      </c>
      <c r="X86" s="310">
        <f>INDEX([2]ConsolidatedVehData!$AF$22:$AF$858,MATCH($B86,[2]ConsolidatedVehData!$A$22:$A$858,0)+3)</f>
        <v>0.33222418773585483</v>
      </c>
      <c r="Y86" s="310">
        <f>INDEX([2]ConsolidatedVehData!$AF$22:$AF$858,MATCH($B86,[2]ConsolidatedVehData!$A$22:$A$858,0)+4)</f>
        <v>0.33850359760707299</v>
      </c>
      <c r="Z86" s="310">
        <f>INDEX([2]ConsolidatedVehData!$AF$22:$AF$858,MATCH($B86,[2]ConsolidatedVehData!$A$22:$A$858,0)+5)</f>
        <v>0.34073529346791837</v>
      </c>
      <c r="AA86" s="310">
        <f>INDEX([2]ConsolidatedVehData!$AF$22:$AF$858,MATCH($B86,[2]ConsolidatedVehData!$A$22:$A$858,0)+6)</f>
        <v>0.34152681127911316</v>
      </c>
      <c r="AB86" s="310">
        <f>INDEX([2]ConsolidatedVehData!$AF$22:$AF$858,MATCH($B86,[2]ConsolidatedVehData!$A$22:$A$858,0)+7)</f>
        <v>0.34152681127911316</v>
      </c>
      <c r="AC86" s="310">
        <f>INDEX([2]ConsolidatedVehData!$AF$22:$AF$858,MATCH($B86,[2]ConsolidatedVehData!$A$22:$A$858,0)+8)</f>
        <v>0.34152681127911316</v>
      </c>
      <c r="AD86" s="310">
        <f t="shared" si="48"/>
        <v>0.34152681127911316</v>
      </c>
      <c r="AE86" s="286">
        <f>INDEX([2]ConsolidatedVehData!$AB$22:$AB$858,MATCH(B86,[2]ConsolidatedVehData!$A$22:$A$858,0))</f>
        <v>45.478712808157368</v>
      </c>
      <c r="AF86" s="311">
        <v>0.44</v>
      </c>
      <c r="AG86" s="311">
        <v>0.18</v>
      </c>
      <c r="AH86" s="311">
        <v>0.24</v>
      </c>
      <c r="AI86" s="311">
        <v>0.44</v>
      </c>
      <c r="AJ86" s="294">
        <v>0</v>
      </c>
      <c r="AX86" s="250"/>
      <c r="AY86" s="250"/>
      <c r="AZ86" s="250"/>
      <c r="BA86" s="250"/>
      <c r="BB86" s="250"/>
      <c r="BC86" s="250"/>
      <c r="BD86" s="250"/>
    </row>
    <row r="87" spans="1:56" x14ac:dyDescent="0.2">
      <c r="A87" s="255" t="str">
        <f>[2]Technologies!B145</f>
        <v>R2,R3,R4,R5,R6</v>
      </c>
      <c r="B87" s="255" t="str">
        <f>[2]Technologies!D145</f>
        <v>TLLSPHVG10</v>
      </c>
      <c r="C87" s="255" t="str">
        <f>[2]Technologies!E145</f>
        <v>TL.GSL.LS.PHVG.2010</v>
      </c>
      <c r="D87" s="255" t="s">
        <v>292</v>
      </c>
      <c r="E87" s="255" t="s">
        <v>111</v>
      </c>
      <c r="F87" s="257"/>
      <c r="G87" s="257"/>
      <c r="H87" s="310">
        <f>1-H88</f>
        <v>0.74818241352277948</v>
      </c>
      <c r="I87" s="309">
        <f>INDEX([2]ConsolidatedVehData!$D$22:$D$858,MATCH(B87,[2]ConsolidatedVehData!$A$22:$A$858,0))</f>
        <v>2010</v>
      </c>
      <c r="J87" s="294">
        <v>20</v>
      </c>
      <c r="K87" s="309">
        <f>INDEX([2]ConsolidatedVehData!$P$22:$Z$858,MATCH($B87,[2]ConsolidatedVehData!$A$22:$A$858,0),MATCH(K$1,[2]ConsolidatedVehData!$P$7:$Z$7,0))</f>
        <v>3245.4366014989469</v>
      </c>
      <c r="L87" s="309">
        <f>INDEX([2]ConsolidatedVehData!$P$22:$Z$858,MATCH($B87,[2]ConsolidatedVehData!$A$22:$A$858,0),MATCH(L$1,[2]ConsolidatedVehData!$P$7:$Z$7,0))</f>
        <v>3284.7634257246468</v>
      </c>
      <c r="M87" s="309">
        <f>INDEX([2]ConsolidatedVehData!$P$22:$Z$858,MATCH($B87,[2]ConsolidatedVehData!$A$22:$A$858,0),MATCH(M$1,[2]ConsolidatedVehData!$P$7:$Z$7,0))</f>
        <v>3366.2001757926396</v>
      </c>
      <c r="N87" s="309">
        <f>INDEX([2]ConsolidatedVehData!$P$22:$Z$858,MATCH($B87,[2]ConsolidatedVehData!$A$22:$A$858,0),MATCH(N$1,[2]ConsolidatedVehData!$P$7:$Z$7,0))</f>
        <v>3454.0657926129725</v>
      </c>
      <c r="O87" s="309">
        <f>INDEX([2]ConsolidatedVehData!$P$22:$Z$858,MATCH($B87,[2]ConsolidatedVehData!$A$22:$A$858,0),MATCH(O$1,[2]ConsolidatedVehData!$P$7:$Z$7,0))</f>
        <v>3461.4623104667621</v>
      </c>
      <c r="P87" s="309">
        <f>INDEX([2]ConsolidatedVehData!$P$22:$Z$858,MATCH($B87,[2]ConsolidatedVehData!$A$22:$A$858,0),MATCH(P$1,[2]ConsolidatedVehData!$P$7:$Z$7,0))</f>
        <v>3463.0322929236222</v>
      </c>
      <c r="Q87" s="309">
        <f>INDEX([2]ConsolidatedVehData!$P$22:$Z$858,MATCH($B87,[2]ConsolidatedVehData!$A$22:$A$858,0),MATCH(Q$1,[2]ConsolidatedVehData!$P$7:$Z$7,0))</f>
        <v>3464.416616286479</v>
      </c>
      <c r="R87" s="309">
        <f>INDEX([2]ConsolidatedVehData!$P$22:$Z$858,MATCH($B87,[2]ConsolidatedVehData!$A$22:$A$858,0),MATCH(R$1,[2]ConsolidatedVehData!$P$7:$Z$7,0))</f>
        <v>3464.416616286479</v>
      </c>
      <c r="S87" s="309">
        <f>INDEX([2]ConsolidatedVehData!$P$22:$Z$858,MATCH($B87,[2]ConsolidatedVehData!$A$22:$A$858,0),MATCH(S$1,[2]ConsolidatedVehData!$P$7:$Z$7,0))</f>
        <v>3464.416616286479</v>
      </c>
      <c r="T87" s="309">
        <f t="shared" si="45"/>
        <v>3464.416616286479</v>
      </c>
      <c r="U87" s="310">
        <f>INDEX([2]ConsolidatedVehData!$AF$22:$AF$858,MATCH(B87,[2]ConsolidatedVehData!$A$22:$A$858,0))</f>
        <v>0.37457353224792744</v>
      </c>
      <c r="V87" s="310">
        <f>INDEX([2]ConsolidatedVehData!$AF$22:$AF$858,MATCH($B87,[2]ConsolidatedVehData!$A$22:$A$858,0)+1)</f>
        <v>0.35120958678580833</v>
      </c>
      <c r="W87" s="310">
        <f>INDEX([2]ConsolidatedVehData!$AF$22:$AF$858,MATCH($B87,[2]ConsolidatedVehData!$A$22:$A$858,0)+2)</f>
        <v>0.40708464722017601</v>
      </c>
      <c r="X87" s="310">
        <f>INDEX([2]ConsolidatedVehData!$AF$22:$AF$858,MATCH($B87,[2]ConsolidatedVehData!$A$22:$A$858,0)+3)</f>
        <v>0.49712858922171371</v>
      </c>
      <c r="Y87" s="310">
        <f>INDEX([2]ConsolidatedVehData!$AF$22:$AF$858,MATCH($B87,[2]ConsolidatedVehData!$A$22:$A$858,0)+4)</f>
        <v>0.50652487728760742</v>
      </c>
      <c r="Z87" s="310">
        <f>INDEX([2]ConsolidatedVehData!$AF$22:$AF$858,MATCH($B87,[2]ConsolidatedVehData!$A$22:$A$858,0)+5)</f>
        <v>0.50986430847843944</v>
      </c>
      <c r="AA87" s="310">
        <f>INDEX([2]ConsolidatedVehData!$AF$22:$AF$858,MATCH($B87,[2]ConsolidatedVehData!$A$22:$A$858,0)+6)</f>
        <v>0.51104870789109147</v>
      </c>
      <c r="AB87" s="310">
        <f>INDEX([2]ConsolidatedVehData!$AF$22:$AF$858,MATCH($B87,[2]ConsolidatedVehData!$A$22:$A$858,0)+7)</f>
        <v>0.51104870789109147</v>
      </c>
      <c r="AC87" s="310">
        <f>INDEX([2]ConsolidatedVehData!$AF$22:$AF$858,MATCH($B87,[2]ConsolidatedVehData!$A$22:$A$858,0)+8)</f>
        <v>0.51104870789109147</v>
      </c>
      <c r="AD87" s="310">
        <f t="shared" si="48"/>
        <v>0.51104870789109147</v>
      </c>
      <c r="AE87" s="286">
        <f>INDEX([2]ConsolidatedVehData!$AB$22:$AB$858,MATCH(B87,[2]ConsolidatedVehData!$A$22:$A$858,0))</f>
        <v>45.478712808157368</v>
      </c>
      <c r="AF87" s="311">
        <v>0.44</v>
      </c>
      <c r="AG87" s="311">
        <v>0.24</v>
      </c>
      <c r="AH87" s="311">
        <v>0.28000000000000003</v>
      </c>
      <c r="AI87" s="311">
        <v>0.44</v>
      </c>
      <c r="AJ87" s="294">
        <v>0</v>
      </c>
      <c r="AX87" s="250"/>
      <c r="AY87" s="250"/>
      <c r="AZ87" s="250"/>
      <c r="BA87" s="250"/>
      <c r="BB87" s="250"/>
      <c r="BC87" s="250"/>
      <c r="BD87" s="250"/>
    </row>
    <row r="88" spans="1:56" x14ac:dyDescent="0.2">
      <c r="A88" s="255" t="str">
        <f>IF(LEFT(A87,1)="*","*","")</f>
        <v/>
      </c>
      <c r="B88" s="255"/>
      <c r="C88" s="255"/>
      <c r="D88" s="255"/>
      <c r="E88" s="255" t="s">
        <v>99</v>
      </c>
      <c r="F88" s="255"/>
      <c r="G88" s="257"/>
      <c r="H88" s="310">
        <f>INDEX([2]ConsolidatedVehData!$AG$22:$AG$858,MATCH(B87,[2]ConsolidatedVehData!$A$22:$A$858,0))</f>
        <v>0.25181758647722052</v>
      </c>
      <c r="I88" s="294"/>
      <c r="J88" s="294"/>
      <c r="K88" s="294"/>
      <c r="L88" s="294"/>
      <c r="M88" s="294"/>
      <c r="N88" s="294"/>
      <c r="O88" s="294"/>
      <c r="P88" s="294"/>
      <c r="Q88" s="294"/>
      <c r="R88" s="294"/>
      <c r="S88" s="294"/>
      <c r="T88" s="294"/>
      <c r="U88" s="310"/>
      <c r="V88" s="310"/>
      <c r="W88" s="310"/>
      <c r="X88" s="310"/>
      <c r="Y88" s="310"/>
      <c r="Z88" s="310"/>
      <c r="AA88" s="310"/>
      <c r="AB88" s="310"/>
      <c r="AC88" s="310"/>
      <c r="AD88" s="310"/>
      <c r="AE88" s="294"/>
      <c r="AF88" s="311"/>
      <c r="AG88" s="311"/>
      <c r="AH88" s="311"/>
      <c r="AI88" s="311"/>
      <c r="AJ88" s="294"/>
      <c r="AX88" s="250"/>
      <c r="AY88" s="250"/>
      <c r="AZ88" s="250"/>
      <c r="BA88" s="250"/>
      <c r="BB88" s="250"/>
      <c r="BC88" s="250"/>
      <c r="BD88" s="250"/>
    </row>
    <row r="89" spans="1:56" x14ac:dyDescent="0.2">
      <c r="A89" s="255" t="str">
        <f>IF(LEFT(A88,1)="*","*","")</f>
        <v/>
      </c>
      <c r="B89" s="255"/>
      <c r="C89" s="255"/>
      <c r="D89" s="255"/>
      <c r="E89" s="255"/>
      <c r="F89" s="255" t="str">
        <f>[2]Commodities!$D$9</f>
        <v>TL</v>
      </c>
      <c r="G89" s="257"/>
      <c r="H89" s="310"/>
      <c r="I89" s="294"/>
      <c r="J89" s="294"/>
      <c r="K89" s="294"/>
      <c r="L89" s="294"/>
      <c r="M89" s="294"/>
      <c r="N89" s="294"/>
      <c r="O89" s="294"/>
      <c r="P89" s="294"/>
      <c r="Q89" s="294"/>
      <c r="R89" s="294"/>
      <c r="S89" s="294"/>
      <c r="T89" s="294"/>
      <c r="U89" s="310"/>
      <c r="V89" s="310"/>
      <c r="W89" s="310"/>
      <c r="X89" s="310"/>
      <c r="Y89" s="310"/>
      <c r="Z89" s="310"/>
      <c r="AA89" s="310"/>
      <c r="AB89" s="310"/>
      <c r="AC89" s="310"/>
      <c r="AD89" s="310"/>
      <c r="AE89" s="294"/>
      <c r="AF89" s="311"/>
      <c r="AG89" s="311"/>
      <c r="AH89" s="311"/>
      <c r="AI89" s="311"/>
      <c r="AJ89" s="294"/>
      <c r="AX89" s="250"/>
      <c r="AY89" s="250"/>
      <c r="AZ89" s="250"/>
      <c r="BA89" s="250"/>
      <c r="BB89" s="250"/>
      <c r="BC89" s="250"/>
      <c r="BD89" s="250"/>
    </row>
    <row r="90" spans="1:56" x14ac:dyDescent="0.2">
      <c r="A90" s="255" t="str">
        <f>[2]Technologies!B146</f>
        <v>*R2,R3,R4,R5,R6</v>
      </c>
      <c r="B90" s="255" t="str">
        <f>[2]Technologies!D146</f>
        <v>TLCHE8510</v>
      </c>
      <c r="C90" s="255" t="str">
        <f>[2]Technologies!E146</f>
        <v>TL.E85X.C.HE85.2010</v>
      </c>
      <c r="D90" s="255" t="s">
        <v>292</v>
      </c>
      <c r="E90" s="255" t="s">
        <v>95</v>
      </c>
      <c r="F90" s="255" t="str">
        <f>[2]Commodities!$D$9</f>
        <v>TL</v>
      </c>
      <c r="G90" s="257"/>
      <c r="H90" s="294">
        <v>1</v>
      </c>
      <c r="I90" s="309">
        <f>INDEX([2]ConsolidatedVehData!$D$22:$D$858,MATCH(B90,[2]ConsolidatedVehData!$A$22:$A$858,0))</f>
        <v>2010</v>
      </c>
      <c r="J90" s="294">
        <v>20</v>
      </c>
      <c r="K90" s="309">
        <f>INDEX([2]ConsolidatedVehData!$P$22:$Z$858,MATCH($B90,[2]ConsolidatedVehData!$A$22:$A$858,0),MATCH(K$1,[2]ConsolidatedVehData!$P$7:$Z$7,0))</f>
        <v>2218.0141269063743</v>
      </c>
      <c r="L90" s="309">
        <f>INDEX([2]ConsolidatedVehData!$P$22:$Z$858,MATCH($B90,[2]ConsolidatedVehData!$A$22:$A$858,0),MATCH(L$1,[2]ConsolidatedVehData!$P$7:$Z$7,0))</f>
        <v>1872.8852730198387</v>
      </c>
      <c r="M90" s="309">
        <f>INDEX([2]ConsolidatedVehData!$P$22:$Z$858,MATCH($B90,[2]ConsolidatedVehData!$A$22:$A$858,0),MATCH(M$1,[2]ConsolidatedVehData!$P$7:$Z$7,0))</f>
        <v>1913.5491463601334</v>
      </c>
      <c r="N90" s="309">
        <f>INDEX([2]ConsolidatedVehData!$P$22:$Z$858,MATCH($B90,[2]ConsolidatedVehData!$A$22:$A$858,0),MATCH(N$1,[2]ConsolidatedVehData!$P$7:$Z$7,0))</f>
        <v>1948.5550122655745</v>
      </c>
      <c r="O90" s="309">
        <f>INDEX([2]ConsolidatedVehData!$P$22:$Z$858,MATCH($B90,[2]ConsolidatedVehData!$A$22:$A$858,0),MATCH(O$1,[2]ConsolidatedVehData!$P$7:$Z$7,0))</f>
        <v>1912.9818823110143</v>
      </c>
      <c r="P90" s="309">
        <f>INDEX([2]ConsolidatedVehData!$P$22:$Z$858,MATCH($B90,[2]ConsolidatedVehData!$A$22:$A$858,0),MATCH(P$1,[2]ConsolidatedVehData!$P$7:$Z$7,0))</f>
        <v>1903.3728413603292</v>
      </c>
      <c r="Q90" s="309">
        <f>INDEX([2]ConsolidatedVehData!$P$22:$Z$858,MATCH($B90,[2]ConsolidatedVehData!$A$22:$A$858,0),MATCH(Q$1,[2]ConsolidatedVehData!$P$7:$Z$7,0))</f>
        <v>1901.1575478190612</v>
      </c>
      <c r="R90" s="309">
        <f>INDEX([2]ConsolidatedVehData!$P$22:$Z$858,MATCH($B90,[2]ConsolidatedVehData!$A$22:$A$858,0),MATCH(R$1,[2]ConsolidatedVehData!$P$7:$Z$7,0))</f>
        <v>1901.1575478190612</v>
      </c>
      <c r="S90" s="309">
        <f>INDEX([2]ConsolidatedVehData!$P$22:$Z$858,MATCH($B90,[2]ConsolidatedVehData!$A$22:$A$858,0),MATCH(S$1,[2]ConsolidatedVehData!$P$7:$Z$7,0))</f>
        <v>1901.1575478190612</v>
      </c>
      <c r="T90" s="309">
        <f t="shared" ref="T90:T96" si="53">S90</f>
        <v>1901.1575478190612</v>
      </c>
      <c r="U90" s="310">
        <f>INDEX([2]ConsolidatedVehData!$AF$22:$AF$858,MATCH(B90,[2]ConsolidatedVehData!$A$22:$A$858,0))</f>
        <v>0.34679718304641444</v>
      </c>
      <c r="V90" s="310">
        <f>INDEX([2]ConsolidatedVehData!$AF$22:$AF$858,MATCH($B90,[2]ConsolidatedVehData!$A$22:$A$858,0)+1)</f>
        <v>0.31943144529576617</v>
      </c>
      <c r="W90" s="310">
        <f>INDEX([2]ConsolidatedVehData!$AF$22:$AF$858,MATCH($B90,[2]ConsolidatedVehData!$A$22:$A$858,0)+2)</f>
        <v>0.37357080466239173</v>
      </c>
      <c r="X90" s="310">
        <f>INDEX([2]ConsolidatedVehData!$AF$22:$AF$858,MATCH($B90,[2]ConsolidatedVehData!$A$22:$A$858,0)+3)</f>
        <v>0.43972295588493504</v>
      </c>
      <c r="Y90" s="310">
        <f>INDEX([2]ConsolidatedVehData!$AF$22:$AF$858,MATCH($B90,[2]ConsolidatedVehData!$A$22:$A$858,0)+4)</f>
        <v>0.43953275651935259</v>
      </c>
      <c r="Z90" s="310">
        <f>INDEX([2]ConsolidatedVehData!$AF$22:$AF$858,MATCH($B90,[2]ConsolidatedVehData!$A$22:$A$858,0)+5)</f>
        <v>0.4387764794106635</v>
      </c>
      <c r="AA90" s="310">
        <f>INDEX([2]ConsolidatedVehData!$AF$22:$AF$858,MATCH($B90,[2]ConsolidatedVehData!$A$22:$A$858,0)+6)</f>
        <v>0.43809441035662045</v>
      </c>
      <c r="AB90" s="310">
        <f>INDEX([2]ConsolidatedVehData!$AF$22:$AF$858,MATCH($B90,[2]ConsolidatedVehData!$A$22:$A$858,0)+7)</f>
        <v>0.43809441035662045</v>
      </c>
      <c r="AC90" s="310">
        <f>INDEX([2]ConsolidatedVehData!$AF$22:$AF$858,MATCH($B90,[2]ConsolidatedVehData!$A$22:$A$858,0)+8)</f>
        <v>0.43809441035662045</v>
      </c>
      <c r="AD90" s="310">
        <f t="shared" ref="AD90:AD96" si="54">AC90</f>
        <v>0.43809441035662045</v>
      </c>
      <c r="AE90" s="286">
        <f>INDEX([2]ConsolidatedVehData!$AB$22:$AB$858,MATCH(B90,[2]ConsolidatedVehData!$A$22:$A$858,0))</f>
        <v>40.382789385678855</v>
      </c>
      <c r="AF90" s="311">
        <v>0.44</v>
      </c>
      <c r="AG90" s="311">
        <v>0.18</v>
      </c>
      <c r="AH90" s="311">
        <v>0.24</v>
      </c>
      <c r="AI90" s="311">
        <v>0.44</v>
      </c>
      <c r="AJ90" s="294">
        <v>0</v>
      </c>
      <c r="AX90" s="250"/>
      <c r="AY90" s="250"/>
      <c r="AZ90" s="250"/>
      <c r="BA90" s="250"/>
      <c r="BB90" s="250"/>
      <c r="BC90" s="250"/>
      <c r="BD90" s="250"/>
    </row>
    <row r="91" spans="1:56" x14ac:dyDescent="0.2">
      <c r="A91" s="255" t="str">
        <f>[2]Technologies!B147</f>
        <v>*R2,R3,R4,R5,R6</v>
      </c>
      <c r="B91" s="255" t="str">
        <f>[2]Technologies!D147</f>
        <v>TLFHE8510</v>
      </c>
      <c r="C91" s="255" t="str">
        <f>[2]Technologies!E147</f>
        <v>TL.E85X.F.HE85.2010</v>
      </c>
      <c r="D91" s="255" t="s">
        <v>292</v>
      </c>
      <c r="E91" s="255" t="s">
        <v>95</v>
      </c>
      <c r="F91" s="255" t="str">
        <f>[2]Commodities!$D$9</f>
        <v>TL</v>
      </c>
      <c r="G91" s="257"/>
      <c r="H91" s="294">
        <v>1</v>
      </c>
      <c r="I91" s="309">
        <f>INDEX([2]ConsolidatedVehData!$D$22:$D$858,MATCH(B91,[2]ConsolidatedVehData!$A$22:$A$858,0))</f>
        <v>2010</v>
      </c>
      <c r="J91" s="294">
        <v>20</v>
      </c>
      <c r="K91" s="309">
        <f>INDEX([2]ConsolidatedVehData!$P$22:$Z$858,MATCH($B91,[2]ConsolidatedVehData!$A$22:$A$858,0),MATCH(K$1,[2]ConsolidatedVehData!$P$7:$Z$7,0))</f>
        <v>2540.0621174576049</v>
      </c>
      <c r="L91" s="309">
        <f>INDEX([2]ConsolidatedVehData!$P$22:$Z$858,MATCH($B91,[2]ConsolidatedVehData!$A$22:$A$858,0),MATCH(L$1,[2]ConsolidatedVehData!$P$7:$Z$7,0))</f>
        <v>2314.4677538834326</v>
      </c>
      <c r="M91" s="309">
        <f>INDEX([2]ConsolidatedVehData!$P$22:$Z$858,MATCH($B91,[2]ConsolidatedVehData!$A$22:$A$858,0),MATCH(M$1,[2]ConsolidatedVehData!$P$7:$Z$7,0))</f>
        <v>2343.1458739810305</v>
      </c>
      <c r="N91" s="309">
        <f>INDEX([2]ConsolidatedVehData!$P$22:$Z$858,MATCH($B91,[2]ConsolidatedVehData!$A$22:$A$858,0),MATCH(N$1,[2]ConsolidatedVehData!$P$7:$Z$7,0))</f>
        <v>2374.7936360724389</v>
      </c>
      <c r="O91" s="309">
        <f>INDEX([2]ConsolidatedVehData!$P$22:$Z$858,MATCH($B91,[2]ConsolidatedVehData!$A$22:$A$858,0),MATCH(O$1,[2]ConsolidatedVehData!$P$7:$Z$7,0))</f>
        <v>2334.7309261819973</v>
      </c>
      <c r="P91" s="309">
        <f>INDEX([2]ConsolidatedVehData!$P$22:$Z$858,MATCH($B91,[2]ConsolidatedVehData!$A$22:$A$858,0),MATCH(P$1,[2]ConsolidatedVehData!$P$7:$Z$7,0))</f>
        <v>2323.5290052636078</v>
      </c>
      <c r="Q91" s="309">
        <f>INDEX([2]ConsolidatedVehData!$P$22:$Z$858,MATCH($B91,[2]ConsolidatedVehData!$A$22:$A$858,0),MATCH(Q$1,[2]ConsolidatedVehData!$P$7:$Z$7,0))</f>
        <v>2320.5042787834213</v>
      </c>
      <c r="R91" s="309">
        <f>INDEX([2]ConsolidatedVehData!$P$22:$Z$858,MATCH($B91,[2]ConsolidatedVehData!$A$22:$A$858,0),MATCH(R$1,[2]ConsolidatedVehData!$P$7:$Z$7,0))</f>
        <v>2320.5042787834213</v>
      </c>
      <c r="S91" s="309">
        <f>INDEX([2]ConsolidatedVehData!$P$22:$Z$858,MATCH($B91,[2]ConsolidatedVehData!$A$22:$A$858,0),MATCH(S$1,[2]ConsolidatedVehData!$P$7:$Z$7,0))</f>
        <v>2320.5042787834213</v>
      </c>
      <c r="T91" s="309">
        <f t="shared" si="53"/>
        <v>2320.5042787834213</v>
      </c>
      <c r="U91" s="310">
        <f>INDEX([2]ConsolidatedVehData!$AF$22:$AF$858,MATCH(B91,[2]ConsolidatedVehData!$A$22:$A$858,0))</f>
        <v>0.33324340825378207</v>
      </c>
      <c r="V91" s="310">
        <f>INDEX([2]ConsolidatedVehData!$AF$22:$AF$858,MATCH($B91,[2]ConsolidatedVehData!$A$22:$A$858,0)+1)</f>
        <v>0.3147966697194845</v>
      </c>
      <c r="W91" s="310">
        <f>INDEX([2]ConsolidatedVehData!$AF$22:$AF$858,MATCH($B91,[2]ConsolidatedVehData!$A$22:$A$858,0)+2)</f>
        <v>0.36481843089955734</v>
      </c>
      <c r="X91" s="310">
        <f>INDEX([2]ConsolidatedVehData!$AF$22:$AF$858,MATCH($B91,[2]ConsolidatedVehData!$A$22:$A$858,0)+3)</f>
        <v>0.43864966082647772</v>
      </c>
      <c r="Y91" s="310">
        <f>INDEX([2]ConsolidatedVehData!$AF$22:$AF$858,MATCH($B91,[2]ConsolidatedVehData!$A$22:$A$858,0)+4)</f>
        <v>0.43841104128221425</v>
      </c>
      <c r="Z91" s="310">
        <f>INDEX([2]ConsolidatedVehData!$AF$22:$AF$858,MATCH($B91,[2]ConsolidatedVehData!$A$22:$A$858,0)+5)</f>
        <v>0.43765597398222655</v>
      </c>
      <c r="AA91" s="310">
        <f>INDEX([2]ConsolidatedVehData!$AF$22:$AF$858,MATCH($B91,[2]ConsolidatedVehData!$A$22:$A$858,0)+6)</f>
        <v>0.43705377395744771</v>
      </c>
      <c r="AB91" s="310">
        <f>INDEX([2]ConsolidatedVehData!$AF$22:$AF$858,MATCH($B91,[2]ConsolidatedVehData!$A$22:$A$858,0)+7)</f>
        <v>0.43705377395744771</v>
      </c>
      <c r="AC91" s="310">
        <f>INDEX([2]ConsolidatedVehData!$AF$22:$AF$858,MATCH($B91,[2]ConsolidatedVehData!$A$22:$A$858,0)+8)</f>
        <v>0.43705377395744771</v>
      </c>
      <c r="AD91" s="310">
        <f t="shared" si="54"/>
        <v>0.43705377395744771</v>
      </c>
      <c r="AE91" s="286">
        <f>INDEX([2]ConsolidatedVehData!$AB$22:$AB$858,MATCH(B91,[2]ConsolidatedVehData!$A$22:$A$858,0))</f>
        <v>45.478712808157368</v>
      </c>
      <c r="AF91" s="311">
        <v>0.44</v>
      </c>
      <c r="AG91" s="311">
        <v>0.18</v>
      </c>
      <c r="AH91" s="311">
        <v>0.24</v>
      </c>
      <c r="AI91" s="311">
        <v>0.44</v>
      </c>
      <c r="AJ91" s="294">
        <v>0</v>
      </c>
      <c r="AX91" s="250"/>
      <c r="AY91" s="250"/>
      <c r="AZ91" s="250"/>
      <c r="BA91" s="250"/>
      <c r="BB91" s="250"/>
      <c r="BC91" s="250"/>
      <c r="BD91" s="250"/>
    </row>
    <row r="92" spans="1:56" x14ac:dyDescent="0.2">
      <c r="A92" s="255" t="str">
        <f>[2]Technologies!B148</f>
        <v>*R2,R3,R4,R5,R6</v>
      </c>
      <c r="B92" s="255" t="str">
        <f>[2]Technologies!D148</f>
        <v>TLPHE8515</v>
      </c>
      <c r="C92" s="255" t="str">
        <f>[2]Technologies!E148</f>
        <v>TL.E85X.P.HE85.2015</v>
      </c>
      <c r="D92" s="255" t="s">
        <v>292</v>
      </c>
      <c r="E92" s="255" t="s">
        <v>95</v>
      </c>
      <c r="F92" s="255" t="str">
        <f>[2]Commodities!$D$9</f>
        <v>TL</v>
      </c>
      <c r="G92" s="257"/>
      <c r="H92" s="294">
        <v>1</v>
      </c>
      <c r="I92" s="309">
        <f>INDEX([2]ConsolidatedVehData!$D$22:$D$858,MATCH(B92,[2]ConsolidatedVehData!$A$22:$A$858,0))</f>
        <v>2015</v>
      </c>
      <c r="J92" s="294">
        <v>20</v>
      </c>
      <c r="K92" s="309">
        <f t="shared" ref="K92:K93" si="55">L92</f>
        <v>2862.2742920907485</v>
      </c>
      <c r="L92" s="309">
        <f>INDEX([2]ConsolidatedVehData!$P$22:$Z$858,MATCH($B92,[2]ConsolidatedVehData!$A$22:$A$858,0),MATCH(L$1,[2]ConsolidatedVehData!$P$7:$Z$7,0))</f>
        <v>2862.2742920907485</v>
      </c>
      <c r="M92" s="309">
        <f>INDEX([2]ConsolidatedVehData!$P$22:$Z$858,MATCH($B92,[2]ConsolidatedVehData!$A$22:$A$858,0),MATCH(M$1,[2]ConsolidatedVehData!$P$7:$Z$7,0))</f>
        <v>2734.3398406646716</v>
      </c>
      <c r="N92" s="309">
        <f>INDEX([2]ConsolidatedVehData!$P$22:$Z$858,MATCH($B92,[2]ConsolidatedVehData!$A$22:$A$858,0),MATCH(N$1,[2]ConsolidatedVehData!$P$7:$Z$7,0))</f>
        <v>2738.9638670606255</v>
      </c>
      <c r="O92" s="309">
        <f>INDEX([2]ConsolidatedVehData!$P$22:$Z$858,MATCH($B92,[2]ConsolidatedVehData!$A$22:$A$858,0),MATCH(O$1,[2]ConsolidatedVehData!$P$7:$Z$7,0))</f>
        <v>2687.8219094089577</v>
      </c>
      <c r="P92" s="309">
        <f>INDEX([2]ConsolidatedVehData!$P$22:$Z$858,MATCH($B92,[2]ConsolidatedVehData!$A$22:$A$858,0),MATCH(P$1,[2]ConsolidatedVehData!$P$7:$Z$7,0))</f>
        <v>2674.6236139604475</v>
      </c>
      <c r="Q92" s="309">
        <f>INDEX([2]ConsolidatedVehData!$P$22:$Z$858,MATCH($B92,[2]ConsolidatedVehData!$A$22:$A$858,0),MATCH(Q$1,[2]ConsolidatedVehData!$P$7:$Z$7,0))</f>
        <v>2672.6218942556179</v>
      </c>
      <c r="R92" s="309">
        <f>INDEX([2]ConsolidatedVehData!$P$22:$Z$858,MATCH($B92,[2]ConsolidatedVehData!$A$22:$A$858,0),MATCH(R$1,[2]ConsolidatedVehData!$P$7:$Z$7,0))</f>
        <v>2672.6218942556179</v>
      </c>
      <c r="S92" s="309">
        <f>INDEX([2]ConsolidatedVehData!$P$22:$Z$858,MATCH($B92,[2]ConsolidatedVehData!$A$22:$A$858,0),MATCH(S$1,[2]ConsolidatedVehData!$P$7:$Z$7,0))</f>
        <v>2672.6218942556179</v>
      </c>
      <c r="T92" s="309">
        <f t="shared" si="53"/>
        <v>2672.6218942556179</v>
      </c>
      <c r="U92" s="310">
        <f>V92</f>
        <v>0.23810646759044035</v>
      </c>
      <c r="V92" s="310">
        <f>INDEX([2]ConsolidatedVehData!$AF$22:$AF$858,MATCH(B92,[2]ConsolidatedVehData!$A$22:$A$858,0))</f>
        <v>0.23810646759044035</v>
      </c>
      <c r="W92" s="310">
        <f>INDEX([2]ConsolidatedVehData!$AF$22:$AF$858,MATCH($B92,[2]ConsolidatedVehData!$A$22:$A$858,0)+1)</f>
        <v>0.25527128888183254</v>
      </c>
      <c r="X92" s="310">
        <f>INDEX([2]ConsolidatedVehData!$AF$22:$AF$858,MATCH($B92,[2]ConsolidatedVehData!$A$22:$A$858,0)+2)</f>
        <v>0.2960727505615689</v>
      </c>
      <c r="Y92" s="310">
        <f>INDEX([2]ConsolidatedVehData!$AF$22:$AF$858,MATCH($B92,[2]ConsolidatedVehData!$A$22:$A$858,0)+3)</f>
        <v>0.29884754344877124</v>
      </c>
      <c r="Z92" s="310">
        <f>INDEX([2]ConsolidatedVehData!$AF$22:$AF$858,MATCH($B92,[2]ConsolidatedVehData!$A$22:$A$858,0)+4)</f>
        <v>0.30049537820829797</v>
      </c>
      <c r="AA92" s="310">
        <f>INDEX([2]ConsolidatedVehData!$AF$22:$AF$858,MATCH($B92,[2]ConsolidatedVehData!$A$22:$A$858,0)+5)</f>
        <v>0.30057883409330849</v>
      </c>
      <c r="AB92" s="310">
        <f>INDEX([2]ConsolidatedVehData!$AF$22:$AF$858,MATCH($B92,[2]ConsolidatedVehData!$A$22:$A$858,0)+6)</f>
        <v>0.30057883409330849</v>
      </c>
      <c r="AC92" s="310">
        <f>INDEX([2]ConsolidatedVehData!$AF$22:$AF$858,MATCH($B92,[2]ConsolidatedVehData!$A$22:$A$858,0)+7)</f>
        <v>0.30057883409330849</v>
      </c>
      <c r="AD92" s="310">
        <f t="shared" si="54"/>
        <v>0.30057883409330849</v>
      </c>
      <c r="AE92" s="286">
        <f>INDEX([2]ConsolidatedVehData!$AB$22:$AB$858,MATCH(B92,[2]ConsolidatedVehData!$A$22:$A$858,0))</f>
        <v>48.0747492686653</v>
      </c>
      <c r="AF92" s="311">
        <v>0.44</v>
      </c>
      <c r="AG92" s="311">
        <v>0.18</v>
      </c>
      <c r="AH92" s="311">
        <v>0.24</v>
      </c>
      <c r="AI92" s="311">
        <v>0.44</v>
      </c>
      <c r="AJ92" s="294">
        <v>0</v>
      </c>
      <c r="AX92" s="250"/>
      <c r="AY92" s="250"/>
      <c r="AZ92" s="250"/>
      <c r="BA92" s="250"/>
      <c r="BB92" s="250"/>
      <c r="BC92" s="250"/>
      <c r="BD92" s="250"/>
    </row>
    <row r="93" spans="1:56" x14ac:dyDescent="0.2">
      <c r="A93" s="255" t="str">
        <f>[2]Technologies!B149</f>
        <v>*R2,R3,R4,R5,R6</v>
      </c>
      <c r="B93" s="255" t="str">
        <f>[2]Technologies!D149</f>
        <v>TLMHE8510</v>
      </c>
      <c r="C93" s="255" t="str">
        <f>[2]Technologies!E149</f>
        <v>TL.E85X.M.HE85.2010</v>
      </c>
      <c r="D93" s="255" t="s">
        <v>292</v>
      </c>
      <c r="E93" s="255" t="s">
        <v>95</v>
      </c>
      <c r="F93" s="255" t="str">
        <f>[2]Commodities!$D$9</f>
        <v>TL</v>
      </c>
      <c r="G93" s="257"/>
      <c r="H93" s="294">
        <v>1</v>
      </c>
      <c r="I93" s="309">
        <f>INDEX([2]ConsolidatedVehData!$D$22:$D$858,MATCH(B93,[2]ConsolidatedVehData!$A$22:$A$858,0))</f>
        <v>2010</v>
      </c>
      <c r="J93" s="294">
        <v>20</v>
      </c>
      <c r="K93" s="309">
        <f t="shared" si="55"/>
        <v>2508.4186316010682</v>
      </c>
      <c r="L93" s="309">
        <f>M93</f>
        <v>2508.4186316010682</v>
      </c>
      <c r="M93" s="309">
        <f>INDEX([2]ConsolidatedVehData!$P$22:$Z$858,MATCH($B93,[2]ConsolidatedVehData!$A$22:$A$858,0),MATCH(M$1,[2]ConsolidatedVehData!$P$7:$Z$7,0))</f>
        <v>2508.4186316010682</v>
      </c>
      <c r="N93" s="309">
        <f>INDEX([2]ConsolidatedVehData!$P$22:$Z$858,MATCH($B93,[2]ConsolidatedVehData!$A$22:$A$858,0),MATCH(N$1,[2]ConsolidatedVehData!$P$7:$Z$7,0))</f>
        <v>2509.9063578000205</v>
      </c>
      <c r="O93" s="309">
        <f>INDEX([2]ConsolidatedVehData!$P$22:$Z$858,MATCH($B93,[2]ConsolidatedVehData!$A$22:$A$858,0),MATCH(O$1,[2]ConsolidatedVehData!$P$7:$Z$7,0))</f>
        <v>2463.6203936338957</v>
      </c>
      <c r="P93" s="309">
        <f>INDEX([2]ConsolidatedVehData!$P$22:$Z$858,MATCH($B93,[2]ConsolidatedVehData!$A$22:$A$858,0),MATCH(P$1,[2]ConsolidatedVehData!$P$7:$Z$7,0))</f>
        <v>2453.1156288724828</v>
      </c>
      <c r="Q93" s="309">
        <f>INDEX([2]ConsolidatedVehData!$P$22:$Z$858,MATCH($B93,[2]ConsolidatedVehData!$A$22:$A$858,0),MATCH(Q$1,[2]ConsolidatedVehData!$P$7:$Z$7,0))</f>
        <v>2451.3395426405527</v>
      </c>
      <c r="R93" s="309">
        <f>INDEX([2]ConsolidatedVehData!$P$22:$Z$858,MATCH($B93,[2]ConsolidatedVehData!$A$22:$A$858,0),MATCH(R$1,[2]ConsolidatedVehData!$P$7:$Z$7,0))</f>
        <v>2451.3395426405527</v>
      </c>
      <c r="S93" s="309">
        <f>INDEX([2]ConsolidatedVehData!$P$22:$Z$858,MATCH($B93,[2]ConsolidatedVehData!$A$22:$A$858,0),MATCH(S$1,[2]ConsolidatedVehData!$P$7:$Z$7,0))</f>
        <v>2451.3395426405527</v>
      </c>
      <c r="T93" s="309">
        <f t="shared" si="53"/>
        <v>2451.3395426405527</v>
      </c>
      <c r="U93" s="310">
        <f>INDEX([2]ConsolidatedVehData!$AF$22:$AF$858,MATCH(B93,[2]ConsolidatedVehData!$A$22:$A$858,0))</f>
        <v>0.26808881291057274</v>
      </c>
      <c r="V93" s="310">
        <f>(U93+W93)/2</f>
        <v>0.26368870183905491</v>
      </c>
      <c r="W93" s="310">
        <f>INDEX([2]ConsolidatedVehData!$AF$22:$AF$858,MATCH($B93,[2]ConsolidatedVehData!$A$22:$A$858,0)+2)</f>
        <v>0.25928859076753702</v>
      </c>
      <c r="X93" s="310">
        <f>INDEX([2]ConsolidatedVehData!$AF$22:$AF$858,MATCH($B93,[2]ConsolidatedVehData!$A$22:$A$858,0)+3)</f>
        <v>0.31062397188341628</v>
      </c>
      <c r="Y93" s="310">
        <f>INDEX([2]ConsolidatedVehData!$AF$22:$AF$858,MATCH($B93,[2]ConsolidatedVehData!$A$22:$A$858,0)+4)</f>
        <v>0.31415973055917013</v>
      </c>
      <c r="Z93" s="310">
        <f>INDEX([2]ConsolidatedVehData!$AF$22:$AF$858,MATCH($B93,[2]ConsolidatedVehData!$A$22:$A$858,0)+5)</f>
        <v>0.31660842284722934</v>
      </c>
      <c r="AA93" s="310">
        <f>INDEX([2]ConsolidatedVehData!$AF$22:$AF$858,MATCH($B93,[2]ConsolidatedVehData!$A$22:$A$858,0)+6)</f>
        <v>0.31761234565084639</v>
      </c>
      <c r="AB93" s="310">
        <f>INDEX([2]ConsolidatedVehData!$AF$22:$AF$858,MATCH($B93,[2]ConsolidatedVehData!$A$22:$A$858,0)+7)</f>
        <v>0.31761234565084639</v>
      </c>
      <c r="AC93" s="310">
        <f>INDEX([2]ConsolidatedVehData!$AF$22:$AF$858,MATCH($B93,[2]ConsolidatedVehData!$A$22:$A$858,0)+8)</f>
        <v>0.31761234565084639</v>
      </c>
      <c r="AD93" s="310">
        <f t="shared" si="54"/>
        <v>0.31761234565084639</v>
      </c>
      <c r="AE93" s="286">
        <f>INDEX([2]ConsolidatedVehData!$AB$22:$AB$858,MATCH(B93,[2]ConsolidatedVehData!$A$22:$A$858,0))</f>
        <v>45.478712808157368</v>
      </c>
      <c r="AF93" s="311">
        <v>0.44</v>
      </c>
      <c r="AG93" s="311">
        <v>0.18</v>
      </c>
      <c r="AH93" s="311">
        <v>0.24</v>
      </c>
      <c r="AI93" s="311">
        <v>0.44</v>
      </c>
      <c r="AJ93" s="294">
        <v>0</v>
      </c>
      <c r="AX93" s="250"/>
      <c r="AY93" s="250"/>
      <c r="AZ93" s="250"/>
      <c r="BA93" s="250"/>
      <c r="BB93" s="250"/>
      <c r="BC93" s="250"/>
      <c r="BD93" s="250"/>
    </row>
    <row r="94" spans="1:56" x14ac:dyDescent="0.2">
      <c r="A94" s="255" t="str">
        <f>[2]Technologies!B150</f>
        <v>*R2,R3,R4,R5,R6</v>
      </c>
      <c r="B94" s="255" t="str">
        <f>[2]Technologies!D150</f>
        <v>TLLSHE8510</v>
      </c>
      <c r="C94" s="255" t="str">
        <f>[2]Technologies!E150</f>
        <v>TL.E85X.LS.HE85.2010</v>
      </c>
      <c r="D94" s="255" t="s">
        <v>292</v>
      </c>
      <c r="E94" s="255" t="s">
        <v>95</v>
      </c>
      <c r="F94" s="255" t="str">
        <f>[2]Commodities!$D$9</f>
        <v>TL</v>
      </c>
      <c r="G94" s="257"/>
      <c r="H94" s="294">
        <v>1</v>
      </c>
      <c r="I94" s="309">
        <f>INDEX([2]ConsolidatedVehData!$D$22:$D$858,MATCH(B94,[2]ConsolidatedVehData!$A$22:$A$858,0))</f>
        <v>2010</v>
      </c>
      <c r="J94" s="294">
        <v>20</v>
      </c>
      <c r="K94" s="309">
        <f>INDEX([2]ConsolidatedVehData!$P$22:$Z$858,MATCH($B94,[2]ConsolidatedVehData!$A$22:$A$858,0),MATCH(K$1,[2]ConsolidatedVehData!$P$7:$Z$7,0))</f>
        <v>3313.6993373620444</v>
      </c>
      <c r="L94" s="309">
        <f>INDEX([2]ConsolidatedVehData!$P$22:$Z$858,MATCH($B94,[2]ConsolidatedVehData!$A$22:$A$858,0),MATCH(L$1,[2]ConsolidatedVehData!$P$7:$Z$7,0))</f>
        <v>3243.7614510159287</v>
      </c>
      <c r="M94" s="309">
        <f>INDEX([2]ConsolidatedVehData!$P$22:$Z$858,MATCH($B94,[2]ConsolidatedVehData!$A$22:$A$858,0),MATCH(M$1,[2]ConsolidatedVehData!$P$7:$Z$7,0))</f>
        <v>3270.7714110621214</v>
      </c>
      <c r="N94" s="309">
        <f>INDEX([2]ConsolidatedVehData!$P$22:$Z$858,MATCH($B94,[2]ConsolidatedVehData!$A$22:$A$858,0),MATCH(N$1,[2]ConsolidatedVehData!$P$7:$Z$7,0))</f>
        <v>3288.2977612092031</v>
      </c>
      <c r="O94" s="309">
        <f>INDEX([2]ConsolidatedVehData!$P$22:$Z$858,MATCH($B94,[2]ConsolidatedVehData!$A$22:$A$858,0),MATCH(O$1,[2]ConsolidatedVehData!$P$7:$Z$7,0))</f>
        <v>3243.3316845946229</v>
      </c>
      <c r="P94" s="309">
        <f>INDEX([2]ConsolidatedVehData!$P$22:$Z$858,MATCH($B94,[2]ConsolidatedVehData!$A$22:$A$858,0),MATCH(P$1,[2]ConsolidatedVehData!$P$7:$Z$7,0))</f>
        <v>3230.6613658255001</v>
      </c>
      <c r="Q94" s="309">
        <f>INDEX([2]ConsolidatedVehData!$P$22:$Z$858,MATCH($B94,[2]ConsolidatedVehData!$A$22:$A$858,0),MATCH(Q$1,[2]ConsolidatedVehData!$P$7:$Z$7,0))</f>
        <v>3227.7985728216222</v>
      </c>
      <c r="R94" s="309">
        <f>INDEX([2]ConsolidatedVehData!$P$22:$Z$858,MATCH($B94,[2]ConsolidatedVehData!$A$22:$A$858,0),MATCH(R$1,[2]ConsolidatedVehData!$P$7:$Z$7,0))</f>
        <v>3227.7985728216222</v>
      </c>
      <c r="S94" s="309">
        <f>INDEX([2]ConsolidatedVehData!$P$22:$Z$858,MATCH($B94,[2]ConsolidatedVehData!$A$22:$A$858,0),MATCH(S$1,[2]ConsolidatedVehData!$P$7:$Z$7,0))</f>
        <v>3227.7985728216222</v>
      </c>
      <c r="T94" s="309">
        <f t="shared" si="53"/>
        <v>3227.7985728216222</v>
      </c>
      <c r="U94" s="310">
        <f>INDEX([2]ConsolidatedVehData!$AF$22:$AF$858,MATCH(B94,[2]ConsolidatedVehData!$A$22:$A$858,0))</f>
        <v>0.23934978958697742</v>
      </c>
      <c r="V94" s="310">
        <f>INDEX([2]ConsolidatedVehData!$AF$22:$AF$858,MATCH($B94,[2]ConsolidatedVehData!$A$22:$A$858,0)+1)</f>
        <v>0.22442039669389274</v>
      </c>
      <c r="W94" s="310">
        <f>INDEX([2]ConsolidatedVehData!$AF$22:$AF$858,MATCH($B94,[2]ConsolidatedVehData!$A$22:$A$858,0)+2)</f>
        <v>0.26012415792300603</v>
      </c>
      <c r="X94" s="310">
        <f>INDEX([2]ConsolidatedVehData!$AF$22:$AF$858,MATCH($B94,[2]ConsolidatedVehData!$A$22:$A$858,0)+3)</f>
        <v>0.3176615884037719</v>
      </c>
      <c r="Y94" s="310">
        <f>INDEX([2]ConsolidatedVehData!$AF$22:$AF$858,MATCH($B94,[2]ConsolidatedVehData!$A$22:$A$858,0)+4)</f>
        <v>0.32366574880980314</v>
      </c>
      <c r="Z94" s="310">
        <f>INDEX([2]ConsolidatedVehData!$AF$22:$AF$858,MATCH($B94,[2]ConsolidatedVehData!$A$22:$A$858,0)+5)</f>
        <v>0.32579962129158013</v>
      </c>
      <c r="AA94" s="310">
        <f>INDEX([2]ConsolidatedVehData!$AF$22:$AF$858,MATCH($B94,[2]ConsolidatedVehData!$A$22:$A$858,0)+6)</f>
        <v>0.32655644398672334</v>
      </c>
      <c r="AB94" s="310">
        <f>INDEX([2]ConsolidatedVehData!$AF$22:$AF$858,MATCH($B94,[2]ConsolidatedVehData!$A$22:$A$858,0)+7)</f>
        <v>0.32655644398672334</v>
      </c>
      <c r="AC94" s="310">
        <f>INDEX([2]ConsolidatedVehData!$AF$22:$AF$858,MATCH($B94,[2]ConsolidatedVehData!$A$22:$A$858,0)+8)</f>
        <v>0.32655644398672334</v>
      </c>
      <c r="AD94" s="310">
        <f t="shared" si="54"/>
        <v>0.32655644398672334</v>
      </c>
      <c r="AE94" s="286">
        <f>INDEX([2]ConsolidatedVehData!$AB$22:$AB$858,MATCH(B94,[2]ConsolidatedVehData!$A$22:$A$858,0))</f>
        <v>45.478712808157368</v>
      </c>
      <c r="AF94" s="311">
        <v>0.44</v>
      </c>
      <c r="AG94" s="311">
        <v>0.18</v>
      </c>
      <c r="AH94" s="311">
        <v>0.24</v>
      </c>
      <c r="AI94" s="311">
        <v>0.44</v>
      </c>
      <c r="AJ94" s="294">
        <v>0</v>
      </c>
      <c r="AX94" s="250"/>
      <c r="AY94" s="250"/>
      <c r="AZ94" s="250"/>
      <c r="BA94" s="250"/>
      <c r="BB94" s="250"/>
      <c r="BC94" s="250"/>
      <c r="BD94" s="250"/>
    </row>
    <row r="95" spans="1:56" x14ac:dyDescent="0.2">
      <c r="A95" s="255" t="str">
        <f>[2]Technologies!B151</f>
        <v>*R2,R3,R4,R5,R6</v>
      </c>
      <c r="B95" s="255" t="str">
        <f>[2]Technologies!D151</f>
        <v>TLSSHE8510</v>
      </c>
      <c r="C95" s="255" t="str">
        <f>[2]Technologies!E151</f>
        <v>TL.E85X.SS.HE85.2010</v>
      </c>
      <c r="D95" s="255" t="s">
        <v>292</v>
      </c>
      <c r="E95" s="255" t="s">
        <v>95</v>
      </c>
      <c r="F95" s="255" t="str">
        <f>[2]Commodities!$D$9</f>
        <v>TL</v>
      </c>
      <c r="G95" s="257"/>
      <c r="H95" s="294">
        <v>1</v>
      </c>
      <c r="I95" s="309">
        <f>INDEX([2]ConsolidatedVehData!$D$22:$D$858,MATCH(B95,[2]ConsolidatedVehData!$A$22:$A$858,0))</f>
        <v>2010</v>
      </c>
      <c r="J95" s="294">
        <v>20</v>
      </c>
      <c r="K95" s="309">
        <f>INDEX([2]ConsolidatedVehData!$P$22:$Z$858,MATCH($B95,[2]ConsolidatedVehData!$A$22:$A$858,0),MATCH(K$1,[2]ConsolidatedVehData!$P$7:$Z$7,0))</f>
        <v>2354.9462288844829</v>
      </c>
      <c r="L95" s="309">
        <f>INDEX([2]ConsolidatedVehData!$P$22:$Z$858,MATCH($B95,[2]ConsolidatedVehData!$A$22:$A$858,0),MATCH(L$1,[2]ConsolidatedVehData!$P$7:$Z$7,0))</f>
        <v>2324.5646130071236</v>
      </c>
      <c r="M95" s="309">
        <f>INDEX([2]ConsolidatedVehData!$P$22:$Z$858,MATCH($B95,[2]ConsolidatedVehData!$A$22:$A$858,0),MATCH(M$1,[2]ConsolidatedVehData!$P$7:$Z$7,0))</f>
        <v>2335.7443920995638</v>
      </c>
      <c r="N95" s="309">
        <f>INDEX([2]ConsolidatedVehData!$P$22:$Z$858,MATCH($B95,[2]ConsolidatedVehData!$A$22:$A$858,0),MATCH(N$1,[2]ConsolidatedVehData!$P$7:$Z$7,0))</f>
        <v>2351.6372640870291</v>
      </c>
      <c r="O95" s="309">
        <f>INDEX([2]ConsolidatedVehData!$P$22:$Z$858,MATCH($B95,[2]ConsolidatedVehData!$A$22:$A$858,0),MATCH(O$1,[2]ConsolidatedVehData!$P$7:$Z$7,0))</f>
        <v>2314.0961613497088</v>
      </c>
      <c r="P95" s="309">
        <f>INDEX([2]ConsolidatedVehData!$P$22:$Z$858,MATCH($B95,[2]ConsolidatedVehData!$A$22:$A$858,0),MATCH(P$1,[2]ConsolidatedVehData!$P$7:$Z$7,0))</f>
        <v>2304.518551475895</v>
      </c>
      <c r="Q95" s="309">
        <f>INDEX([2]ConsolidatedVehData!$P$22:$Z$858,MATCH($B95,[2]ConsolidatedVehData!$A$22:$A$858,0),MATCH(Q$1,[2]ConsolidatedVehData!$P$7:$Z$7,0))</f>
        <v>2302.8447667123401</v>
      </c>
      <c r="R95" s="309">
        <f>INDEX([2]ConsolidatedVehData!$P$22:$Z$858,MATCH($B95,[2]ConsolidatedVehData!$A$22:$A$858,0),MATCH(R$1,[2]ConsolidatedVehData!$P$7:$Z$7,0))</f>
        <v>2302.8447667123401</v>
      </c>
      <c r="S95" s="309">
        <f>INDEX([2]ConsolidatedVehData!$P$22:$Z$858,MATCH($B95,[2]ConsolidatedVehData!$A$22:$A$858,0),MATCH(S$1,[2]ConsolidatedVehData!$P$7:$Z$7,0))</f>
        <v>2302.8447667123401</v>
      </c>
      <c r="T95" s="309">
        <f t="shared" si="53"/>
        <v>2302.8447667123401</v>
      </c>
      <c r="U95" s="310">
        <f>INDEX([2]ConsolidatedVehData!$AF$22:$AF$858,MATCH(B95,[2]ConsolidatedVehData!$A$22:$A$858,0))</f>
        <v>0.29238302966081547</v>
      </c>
      <c r="V95" s="310">
        <f>INDEX([2]ConsolidatedVehData!$AF$22:$AF$858,MATCH($B95,[2]ConsolidatedVehData!$A$22:$A$858,0)+1)</f>
        <v>0.26329074772383271</v>
      </c>
      <c r="W95" s="310">
        <f>INDEX([2]ConsolidatedVehData!$AF$22:$AF$858,MATCH($B95,[2]ConsolidatedVehData!$A$22:$A$858,0)+2)</f>
        <v>0.29545364208353841</v>
      </c>
      <c r="X95" s="310">
        <f>INDEX([2]ConsolidatedVehData!$AF$22:$AF$858,MATCH($B95,[2]ConsolidatedVehData!$A$22:$A$858,0)+3)</f>
        <v>0.34933521306894566</v>
      </c>
      <c r="Y95" s="310">
        <f>INDEX([2]ConsolidatedVehData!$AF$22:$AF$858,MATCH($B95,[2]ConsolidatedVehData!$A$22:$A$858,0)+4)</f>
        <v>0.35072952453590189</v>
      </c>
      <c r="Z95" s="310">
        <f>INDEX([2]ConsolidatedVehData!$AF$22:$AF$858,MATCH($B95,[2]ConsolidatedVehData!$A$22:$A$858,0)+5)</f>
        <v>0.35069282139340296</v>
      </c>
      <c r="AA95" s="310">
        <f>INDEX([2]ConsolidatedVehData!$AF$22:$AF$858,MATCH($B95,[2]ConsolidatedVehData!$A$22:$A$858,0)+6)</f>
        <v>0.35032902310853825</v>
      </c>
      <c r="AB95" s="310">
        <f>INDEX([2]ConsolidatedVehData!$AF$22:$AF$858,MATCH($B95,[2]ConsolidatedVehData!$A$22:$A$858,0)+7)</f>
        <v>0.35032902310853825</v>
      </c>
      <c r="AC95" s="310">
        <f>INDEX([2]ConsolidatedVehData!$AF$22:$AF$858,MATCH($B95,[2]ConsolidatedVehData!$A$22:$A$858,0)+8)</f>
        <v>0.35032902310853825</v>
      </c>
      <c r="AD95" s="310">
        <f t="shared" si="54"/>
        <v>0.35032902310853825</v>
      </c>
      <c r="AE95" s="286">
        <f>INDEX([2]ConsolidatedVehData!$AB$22:$AB$858,MATCH(B95,[2]ConsolidatedVehData!$A$22:$A$858,0))</f>
        <v>45.478712808157368</v>
      </c>
      <c r="AF95" s="311">
        <v>0.44</v>
      </c>
      <c r="AG95" s="311">
        <v>0.18</v>
      </c>
      <c r="AH95" s="311">
        <v>0.24</v>
      </c>
      <c r="AI95" s="311">
        <v>0.44</v>
      </c>
      <c r="AJ95" s="294">
        <v>0</v>
      </c>
      <c r="AX95" s="250"/>
      <c r="AY95" s="250"/>
      <c r="AZ95" s="250"/>
      <c r="BA95" s="250"/>
      <c r="BB95" s="250"/>
      <c r="BC95" s="250"/>
      <c r="BD95" s="250"/>
    </row>
    <row r="96" spans="1:56" x14ac:dyDescent="0.2">
      <c r="A96" s="255" t="str">
        <f>[2]Technologies!B152</f>
        <v>R2,R3,R4,R5,R6</v>
      </c>
      <c r="B96" s="255" t="str">
        <f>[2]Technologies!D152</f>
        <v>TLCP20G10</v>
      </c>
      <c r="C96" s="255" t="str">
        <f>[2]Technologies!E152</f>
        <v>TL.GSL.C.P20G.2010</v>
      </c>
      <c r="D96" s="255" t="s">
        <v>292</v>
      </c>
      <c r="E96" s="255" t="s">
        <v>111</v>
      </c>
      <c r="F96" s="257"/>
      <c r="G96" s="257"/>
      <c r="H96" s="310">
        <f>1-H97</f>
        <v>0.86576229792935078</v>
      </c>
      <c r="I96" s="309">
        <f>INDEX([2]ConsolidatedVehData!$D$22:$D$858,MATCH(B96,[2]ConsolidatedVehData!$A$22:$A$858,0))</f>
        <v>2010</v>
      </c>
      <c r="J96" s="294">
        <v>20</v>
      </c>
      <c r="K96" s="309">
        <f>INDEX([2]ConsolidatedVehData!$P$22:$Z$858,MATCH($B96,[2]ConsolidatedVehData!$A$22:$A$858,0),MATCH(K$1,[2]ConsolidatedVehData!$P$7:$Z$7,0))</f>
        <v>2093.2872192558712</v>
      </c>
      <c r="L96" s="309">
        <f>INDEX([2]ConsolidatedVehData!$P$22:$Z$858,MATCH($B96,[2]ConsolidatedVehData!$A$22:$A$858,0),MATCH(L$1,[2]ConsolidatedVehData!$P$7:$Z$7,0))</f>
        <v>1900.7087310850357</v>
      </c>
      <c r="M96" s="309">
        <f>INDEX([2]ConsolidatedVehData!$P$22:$Z$858,MATCH($B96,[2]ConsolidatedVehData!$A$22:$A$858,0),MATCH(M$1,[2]ConsolidatedVehData!$P$7:$Z$7,0))</f>
        <v>1960.9555883128987</v>
      </c>
      <c r="N96" s="309">
        <f>INDEX([2]ConsolidatedVehData!$P$22:$Z$858,MATCH($B96,[2]ConsolidatedVehData!$A$22:$A$858,0),MATCH(N$1,[2]ConsolidatedVehData!$P$7:$Z$7,0))</f>
        <v>2048.7730124031</v>
      </c>
      <c r="O96" s="309">
        <f>INDEX([2]ConsolidatedVehData!$P$22:$Z$858,MATCH($B96,[2]ConsolidatedVehData!$A$22:$A$858,0),MATCH(O$1,[2]ConsolidatedVehData!$P$7:$Z$7,0))</f>
        <v>2038.4967222708958</v>
      </c>
      <c r="P96" s="309">
        <f>INDEX([2]ConsolidatedVehData!$P$22:$Z$858,MATCH($B96,[2]ConsolidatedVehData!$A$22:$A$858,0),MATCH(P$1,[2]ConsolidatedVehData!$P$7:$Z$7,0))</f>
        <v>2036.0989160739434</v>
      </c>
      <c r="Q96" s="309">
        <f>INDEX([2]ConsolidatedVehData!$P$22:$Z$858,MATCH($B96,[2]ConsolidatedVehData!$A$22:$A$858,0),MATCH(Q$1,[2]ConsolidatedVehData!$P$7:$Z$7,0))</f>
        <v>2036.0856763715385</v>
      </c>
      <c r="R96" s="309">
        <f>INDEX([2]ConsolidatedVehData!$P$22:$Z$858,MATCH($B96,[2]ConsolidatedVehData!$A$22:$A$858,0),MATCH(R$1,[2]ConsolidatedVehData!$P$7:$Z$7,0))</f>
        <v>2036.0856763715385</v>
      </c>
      <c r="S96" s="309">
        <f>INDEX([2]ConsolidatedVehData!$P$22:$Z$858,MATCH($B96,[2]ConsolidatedVehData!$A$22:$A$858,0),MATCH(S$1,[2]ConsolidatedVehData!$P$7:$Z$7,0))</f>
        <v>2036.0856763715385</v>
      </c>
      <c r="T96" s="309">
        <f t="shared" si="53"/>
        <v>2036.0856763715385</v>
      </c>
      <c r="U96" s="310">
        <f>INDEX([2]ConsolidatedVehData!$AF$22:$AF$858,MATCH(B96,[2]ConsolidatedVehData!$A$22:$A$858,0))</f>
        <v>0.42821977015155793</v>
      </c>
      <c r="V96" s="310">
        <f>INDEX([2]ConsolidatedVehData!$AF$22:$AF$858,MATCH($B96,[2]ConsolidatedVehData!$A$22:$A$858,0)+1)</f>
        <v>0.39442898261784826</v>
      </c>
      <c r="W96" s="310">
        <f>INDEX([2]ConsolidatedVehData!$AF$22:$AF$858,MATCH($B96,[2]ConsolidatedVehData!$A$22:$A$858,0)+2)</f>
        <v>0.46127942188749532</v>
      </c>
      <c r="X96" s="310">
        <f>INDEX([2]ConsolidatedVehData!$AF$22:$AF$858,MATCH($B96,[2]ConsolidatedVehData!$A$22:$A$858,0)+3)</f>
        <v>0.5429630697842468</v>
      </c>
      <c r="Y96" s="310">
        <f>INDEX([2]ConsolidatedVehData!$AF$22:$AF$858,MATCH($B96,[2]ConsolidatedVehData!$A$22:$A$858,0)+4)</f>
        <v>0.54272821456455556</v>
      </c>
      <c r="Z96" s="310">
        <f>INDEX([2]ConsolidatedVehData!$AF$22:$AF$858,MATCH($B96,[2]ConsolidatedVehData!$A$22:$A$858,0)+5)</f>
        <v>0.54179437534819019</v>
      </c>
      <c r="AA96" s="310">
        <f>INDEX([2]ConsolidatedVehData!$AF$22:$AF$858,MATCH($B96,[2]ConsolidatedVehData!$A$22:$A$858,0)+6)</f>
        <v>0.54095216708402816</v>
      </c>
      <c r="AB96" s="310">
        <f>INDEX([2]ConsolidatedVehData!$AF$22:$AF$858,MATCH($B96,[2]ConsolidatedVehData!$A$22:$A$858,0)+7)</f>
        <v>0.54095216708402816</v>
      </c>
      <c r="AC96" s="310">
        <f>INDEX([2]ConsolidatedVehData!$AF$22:$AF$858,MATCH($B96,[2]ConsolidatedVehData!$A$22:$A$858,0)+8)</f>
        <v>0.54095216708402816</v>
      </c>
      <c r="AD96" s="310">
        <f t="shared" si="54"/>
        <v>0.54095216708402816</v>
      </c>
      <c r="AE96" s="286">
        <f>INDEX([2]ConsolidatedVehData!$AB$22:$AB$858,MATCH(B96,[2]ConsolidatedVehData!$A$22:$A$858,0))</f>
        <v>40.382789385678855</v>
      </c>
      <c r="AF96" s="311">
        <v>0.44</v>
      </c>
      <c r="AG96" s="311">
        <v>0.24</v>
      </c>
      <c r="AH96" s="311">
        <v>0.28000000000000003</v>
      </c>
      <c r="AI96" s="311">
        <v>0.44</v>
      </c>
      <c r="AJ96" s="294">
        <v>0</v>
      </c>
      <c r="AX96" s="250"/>
      <c r="AY96" s="250"/>
      <c r="AZ96" s="250"/>
      <c r="BA96" s="250"/>
      <c r="BB96" s="250"/>
      <c r="BC96" s="250"/>
      <c r="BD96" s="250"/>
    </row>
    <row r="97" spans="1:56" x14ac:dyDescent="0.2">
      <c r="A97" s="255" t="str">
        <f>IF(LEFT(A96,1)="*","*","")</f>
        <v/>
      </c>
      <c r="B97" s="255"/>
      <c r="C97" s="255"/>
      <c r="D97" s="255"/>
      <c r="E97" s="255" t="s">
        <v>99</v>
      </c>
      <c r="F97" s="255"/>
      <c r="G97" s="257"/>
      <c r="H97" s="310">
        <f>INDEX([2]ConsolidatedVehData!$AG$22:$AG$858,MATCH(B96,[2]ConsolidatedVehData!$A$22:$A$858,0))</f>
        <v>0.1342377020706492</v>
      </c>
      <c r="I97" s="294"/>
      <c r="J97" s="294"/>
      <c r="K97" s="294"/>
      <c r="L97" s="294"/>
      <c r="M97" s="294"/>
      <c r="N97" s="294"/>
      <c r="O97" s="294"/>
      <c r="P97" s="294"/>
      <c r="Q97" s="294"/>
      <c r="R97" s="294"/>
      <c r="S97" s="294"/>
      <c r="T97" s="294"/>
      <c r="U97" s="310"/>
      <c r="V97" s="310"/>
      <c r="W97" s="310"/>
      <c r="X97" s="310"/>
      <c r="Y97" s="310"/>
      <c r="Z97" s="310"/>
      <c r="AA97" s="310"/>
      <c r="AB97" s="310"/>
      <c r="AC97" s="310"/>
      <c r="AD97" s="310"/>
      <c r="AE97" s="294"/>
      <c r="AF97" s="311"/>
      <c r="AG97" s="311"/>
      <c r="AH97" s="311"/>
      <c r="AI97" s="311"/>
      <c r="AJ97" s="294"/>
      <c r="AX97" s="250"/>
      <c r="AY97" s="250"/>
      <c r="AZ97" s="250"/>
      <c r="BA97" s="250"/>
      <c r="BB97" s="250"/>
      <c r="BC97" s="250"/>
      <c r="BD97" s="250"/>
    </row>
    <row r="98" spans="1:56" x14ac:dyDescent="0.2">
      <c r="A98" s="255" t="str">
        <f>IF(LEFT(A97,1)="*","*","")</f>
        <v/>
      </c>
      <c r="B98" s="255"/>
      <c r="C98" s="255"/>
      <c r="D98" s="255"/>
      <c r="E98" s="255"/>
      <c r="F98" s="255" t="str">
        <f>[2]Commodities!$D$9</f>
        <v>TL</v>
      </c>
      <c r="G98" s="257"/>
      <c r="H98" s="310"/>
      <c r="I98" s="294"/>
      <c r="J98" s="294"/>
      <c r="K98" s="294"/>
      <c r="L98" s="294"/>
      <c r="M98" s="294"/>
      <c r="N98" s="294"/>
      <c r="O98" s="294"/>
      <c r="P98" s="294"/>
      <c r="Q98" s="294"/>
      <c r="R98" s="294"/>
      <c r="S98" s="294"/>
      <c r="T98" s="294"/>
      <c r="U98" s="310"/>
      <c r="V98" s="310"/>
      <c r="W98" s="310"/>
      <c r="X98" s="310"/>
      <c r="Y98" s="310"/>
      <c r="Z98" s="310"/>
      <c r="AA98" s="310"/>
      <c r="AB98" s="310"/>
      <c r="AC98" s="310"/>
      <c r="AD98" s="310"/>
      <c r="AE98" s="294"/>
      <c r="AF98" s="311"/>
      <c r="AG98" s="311"/>
      <c r="AH98" s="311"/>
      <c r="AI98" s="311"/>
      <c r="AJ98" s="294"/>
      <c r="AX98" s="250"/>
      <c r="AY98" s="250"/>
      <c r="AZ98" s="250"/>
      <c r="BA98" s="250"/>
      <c r="BB98" s="250"/>
      <c r="BC98" s="250"/>
      <c r="BD98" s="250"/>
    </row>
    <row r="99" spans="1:56" x14ac:dyDescent="0.2">
      <c r="A99" s="255" t="str">
        <f>[2]Technologies!B153</f>
        <v>R2,R3,R4,R5,R6</v>
      </c>
      <c r="B99" s="255" t="str">
        <f>[2]Technologies!D153</f>
        <v>TLFP20G10</v>
      </c>
      <c r="C99" s="255" t="str">
        <f>[2]Technologies!E153</f>
        <v>TL.GSL.F.P20G.2010</v>
      </c>
      <c r="D99" s="255" t="s">
        <v>292</v>
      </c>
      <c r="E99" s="255" t="s">
        <v>111</v>
      </c>
      <c r="F99" s="257"/>
      <c r="G99" s="257"/>
      <c r="H99" s="310">
        <f>1-H100</f>
        <v>0.86576229792935078</v>
      </c>
      <c r="I99" s="309">
        <f>INDEX([2]ConsolidatedVehData!$D$22:$D$858,MATCH(B99,[2]ConsolidatedVehData!$A$22:$A$858,0))</f>
        <v>2010</v>
      </c>
      <c r="J99" s="294">
        <v>20</v>
      </c>
      <c r="K99" s="309">
        <f>INDEX([2]ConsolidatedVehData!$P$22:$Z$858,MATCH($B99,[2]ConsolidatedVehData!$A$22:$A$858,0),MATCH(K$1,[2]ConsolidatedVehData!$P$7:$Z$7,0))</f>
        <v>2432.4635239671838</v>
      </c>
      <c r="L99" s="309">
        <f>INDEX([2]ConsolidatedVehData!$P$22:$Z$858,MATCH($B99,[2]ConsolidatedVehData!$A$22:$A$858,0),MATCH(L$1,[2]ConsolidatedVehData!$P$7:$Z$7,0))</f>
        <v>2300.956347712206</v>
      </c>
      <c r="M99" s="309">
        <f>INDEX([2]ConsolidatedVehData!$P$22:$Z$858,MATCH($B99,[2]ConsolidatedVehData!$A$22:$A$858,0),MATCH(M$1,[2]ConsolidatedVehData!$P$7:$Z$7,0))</f>
        <v>2352.3949211493741</v>
      </c>
      <c r="N99" s="309">
        <f>INDEX([2]ConsolidatedVehData!$P$22:$Z$858,MATCH($B99,[2]ConsolidatedVehData!$A$22:$A$858,0),MATCH(N$1,[2]ConsolidatedVehData!$P$7:$Z$7,0))</f>
        <v>2437.6582552540517</v>
      </c>
      <c r="O99" s="309">
        <f>INDEX([2]ConsolidatedVehData!$P$22:$Z$858,MATCH($B99,[2]ConsolidatedVehData!$A$22:$A$858,0),MATCH(O$1,[2]ConsolidatedVehData!$P$7:$Z$7,0))</f>
        <v>2426.5421738829386</v>
      </c>
      <c r="P99" s="309">
        <f>INDEX([2]ConsolidatedVehData!$P$22:$Z$858,MATCH($B99,[2]ConsolidatedVehData!$A$22:$A$858,0),MATCH(P$1,[2]ConsolidatedVehData!$P$7:$Z$7,0))</f>
        <v>2423.6092444720985</v>
      </c>
      <c r="Q99" s="309">
        <f>INDEX([2]ConsolidatedVehData!$P$22:$Z$858,MATCH($B99,[2]ConsolidatedVehData!$A$22:$A$858,0),MATCH(Q$1,[2]ConsolidatedVehData!$P$7:$Z$7,0))</f>
        <v>2423.1368729676915</v>
      </c>
      <c r="R99" s="309">
        <f>INDEX([2]ConsolidatedVehData!$P$22:$Z$858,MATCH($B99,[2]ConsolidatedVehData!$A$22:$A$858,0),MATCH(R$1,[2]ConsolidatedVehData!$P$7:$Z$7,0))</f>
        <v>2423.1368729676915</v>
      </c>
      <c r="S99" s="309">
        <f>INDEX([2]ConsolidatedVehData!$P$22:$Z$858,MATCH($B99,[2]ConsolidatedVehData!$A$22:$A$858,0),MATCH(S$1,[2]ConsolidatedVehData!$P$7:$Z$7,0))</f>
        <v>2423.1368729676915</v>
      </c>
      <c r="T99" s="309">
        <f>S99</f>
        <v>2423.1368729676915</v>
      </c>
      <c r="U99" s="310">
        <f>INDEX([2]ConsolidatedVehData!$AF$22:$AF$858,MATCH(B99,[2]ConsolidatedVehData!$A$22:$A$858,0))</f>
        <v>0.41148377975105277</v>
      </c>
      <c r="V99" s="310">
        <f>INDEX([2]ConsolidatedVehData!$AF$22:$AF$858,MATCH($B99,[2]ConsolidatedVehData!$A$22:$A$858,0)+1)</f>
        <v>0.38870603379068391</v>
      </c>
      <c r="W99" s="310">
        <f>INDEX([2]ConsolidatedVehData!$AF$22:$AF$858,MATCH($B99,[2]ConsolidatedVehData!$A$22:$A$858,0)+2)</f>
        <v>0.45047212683371785</v>
      </c>
      <c r="X99" s="310">
        <f>INDEX([2]ConsolidatedVehData!$AF$22:$AF$858,MATCH($B99,[2]ConsolidatedVehData!$A$22:$A$858,0)+3)</f>
        <v>0.54163778173201982</v>
      </c>
      <c r="Y99" s="310">
        <f>INDEX([2]ConsolidatedVehData!$AF$22:$AF$858,MATCH($B99,[2]ConsolidatedVehData!$A$22:$A$858,0)+4)</f>
        <v>0.54134313802845624</v>
      </c>
      <c r="Z99" s="310">
        <f>INDEX([2]ConsolidatedVehData!$AF$22:$AF$858,MATCH($B99,[2]ConsolidatedVehData!$A$22:$A$858,0)+5)</f>
        <v>0.54041079266506731</v>
      </c>
      <c r="AA99" s="310">
        <f>INDEX([2]ConsolidatedVehData!$AF$22:$AF$858,MATCH($B99,[2]ConsolidatedVehData!$A$22:$A$858,0)+6)</f>
        <v>0.53966720543655877</v>
      </c>
      <c r="AB99" s="310">
        <f>INDEX([2]ConsolidatedVehData!$AF$22:$AF$858,MATCH($B99,[2]ConsolidatedVehData!$A$22:$A$858,0)+7)</f>
        <v>0.53966720543655877</v>
      </c>
      <c r="AC99" s="310">
        <f>INDEX([2]ConsolidatedVehData!$AF$22:$AF$858,MATCH($B99,[2]ConsolidatedVehData!$A$22:$A$858,0)+8)</f>
        <v>0.53966720543655877</v>
      </c>
      <c r="AD99" s="310">
        <f t="shared" ref="AD99:AD147" si="56">AC99</f>
        <v>0.53966720543655877</v>
      </c>
      <c r="AE99" s="286">
        <f>INDEX([2]ConsolidatedVehData!$AB$22:$AB$858,MATCH(B99,[2]ConsolidatedVehData!$A$22:$A$858,0))</f>
        <v>45.478712808157368</v>
      </c>
      <c r="AF99" s="311">
        <v>0.44</v>
      </c>
      <c r="AG99" s="311">
        <v>0.24</v>
      </c>
      <c r="AH99" s="311">
        <v>0.28000000000000003</v>
      </c>
      <c r="AI99" s="311">
        <v>0.44</v>
      </c>
      <c r="AJ99" s="294">
        <v>0</v>
      </c>
      <c r="AX99" s="250"/>
      <c r="AY99" s="250"/>
      <c r="AZ99" s="250"/>
      <c r="BA99" s="250"/>
      <c r="BB99" s="250"/>
      <c r="BC99" s="250"/>
      <c r="BD99" s="250"/>
    </row>
    <row r="100" spans="1:56" x14ac:dyDescent="0.2">
      <c r="A100" s="255" t="str">
        <f>IF(LEFT(A99,1)="*","*","")</f>
        <v/>
      </c>
      <c r="B100" s="255"/>
      <c r="C100" s="255"/>
      <c r="D100" s="255"/>
      <c r="E100" s="255" t="s">
        <v>99</v>
      </c>
      <c r="F100" s="255"/>
      <c r="G100" s="257"/>
      <c r="H100" s="310">
        <f>INDEX([2]ConsolidatedVehData!$AG$22:$AG$858,MATCH(B99,[2]ConsolidatedVehData!$A$22:$A$858,0))</f>
        <v>0.1342377020706492</v>
      </c>
      <c r="I100" s="294"/>
      <c r="J100" s="294"/>
      <c r="K100" s="294"/>
      <c r="L100" s="294"/>
      <c r="M100" s="294"/>
      <c r="N100" s="294"/>
      <c r="O100" s="294"/>
      <c r="P100" s="294"/>
      <c r="Q100" s="294"/>
      <c r="R100" s="294"/>
      <c r="S100" s="294"/>
      <c r="T100" s="294"/>
      <c r="U100" s="310"/>
      <c r="V100" s="310"/>
      <c r="W100" s="310"/>
      <c r="X100" s="310"/>
      <c r="Y100" s="310"/>
      <c r="Z100" s="310"/>
      <c r="AA100" s="310"/>
      <c r="AB100" s="310"/>
      <c r="AC100" s="310"/>
      <c r="AD100" s="310"/>
      <c r="AE100" s="294"/>
      <c r="AF100" s="311"/>
      <c r="AG100" s="311"/>
      <c r="AH100" s="311"/>
      <c r="AI100" s="311"/>
      <c r="AJ100" s="294"/>
      <c r="AX100" s="250"/>
      <c r="AY100" s="250"/>
      <c r="AZ100" s="250"/>
      <c r="BA100" s="250"/>
      <c r="BB100" s="250"/>
      <c r="BC100" s="250"/>
      <c r="BD100" s="250"/>
    </row>
    <row r="101" spans="1:56" x14ac:dyDescent="0.2">
      <c r="A101" s="255" t="str">
        <f>IF(LEFT(A100,1)="*","*","")</f>
        <v/>
      </c>
      <c r="B101" s="255"/>
      <c r="C101" s="255"/>
      <c r="D101" s="255"/>
      <c r="E101" s="255"/>
      <c r="F101" s="255" t="str">
        <f>[2]Commodities!$D$9</f>
        <v>TL</v>
      </c>
      <c r="G101" s="257"/>
      <c r="H101" s="310"/>
      <c r="I101" s="294"/>
      <c r="J101" s="294"/>
      <c r="K101" s="294"/>
      <c r="L101" s="294"/>
      <c r="M101" s="294"/>
      <c r="N101" s="294"/>
      <c r="O101" s="294"/>
      <c r="P101" s="294"/>
      <c r="Q101" s="294"/>
      <c r="R101" s="294"/>
      <c r="S101" s="294"/>
      <c r="T101" s="294"/>
      <c r="U101" s="310"/>
      <c r="V101" s="310"/>
      <c r="W101" s="310"/>
      <c r="X101" s="310"/>
      <c r="Y101" s="310"/>
      <c r="Z101" s="310"/>
      <c r="AA101" s="310"/>
      <c r="AB101" s="310"/>
      <c r="AC101" s="310"/>
      <c r="AD101" s="310"/>
      <c r="AE101" s="294"/>
      <c r="AF101" s="311"/>
      <c r="AG101" s="311"/>
      <c r="AH101" s="311"/>
      <c r="AI101" s="311"/>
      <c r="AJ101" s="294"/>
      <c r="AX101" s="250"/>
      <c r="AY101" s="250"/>
      <c r="AZ101" s="250"/>
      <c r="BA101" s="250"/>
      <c r="BB101" s="250"/>
      <c r="BC101" s="250"/>
      <c r="BD101" s="250"/>
    </row>
    <row r="102" spans="1:56" x14ac:dyDescent="0.2">
      <c r="A102" s="255" t="str">
        <f>[2]Technologies!B154</f>
        <v>R2,R3,R4,R5,R6</v>
      </c>
      <c r="B102" s="255" t="str">
        <f>[2]Technologies!D154</f>
        <v>TLPP20G15</v>
      </c>
      <c r="C102" s="255" t="str">
        <f>[2]Technologies!E154</f>
        <v>TL.GSL.P.P20G.2015</v>
      </c>
      <c r="D102" s="255" t="s">
        <v>292</v>
      </c>
      <c r="E102" s="255" t="s">
        <v>111</v>
      </c>
      <c r="F102" s="257"/>
      <c r="G102" s="257"/>
      <c r="H102" s="310">
        <f>1-H103</f>
        <v>0.86576229792935078</v>
      </c>
      <c r="I102" s="309">
        <f>INDEX([2]ConsolidatedVehData!$D$22:$D$858,MATCH(B102,[2]ConsolidatedVehData!$A$22:$A$858,0))</f>
        <v>2015</v>
      </c>
      <c r="J102" s="294">
        <v>20</v>
      </c>
      <c r="K102" s="309">
        <f>INDEX([2]ConsolidatedVehData!$P$22:$Z$858,MATCH($B102,[2]ConsolidatedVehData!$A$22:$A$858,0),MATCH(K$1,[2]ConsolidatedVehData!$P$7:$Z$7,0))</f>
        <v>1487.150857782975</v>
      </c>
      <c r="L102" s="309">
        <f>INDEX([2]ConsolidatedVehData!$P$22:$Z$858,MATCH($B102,[2]ConsolidatedVehData!$A$22:$A$858,0),MATCH(L$1,[2]ConsolidatedVehData!$P$7:$Z$7,0))</f>
        <v>2762.7374120483314</v>
      </c>
      <c r="M102" s="309">
        <f>INDEX([2]ConsolidatedVehData!$P$22:$Z$858,MATCH($B102,[2]ConsolidatedVehData!$A$22:$A$858,0),MATCH(M$1,[2]ConsolidatedVehData!$P$7:$Z$7,0))</f>
        <v>2765.4885700876025</v>
      </c>
      <c r="N102" s="309">
        <f>INDEX([2]ConsolidatedVehData!$P$22:$Z$858,MATCH($B102,[2]ConsolidatedVehData!$A$22:$A$858,0),MATCH(N$1,[2]ConsolidatedVehData!$P$7:$Z$7,0))</f>
        <v>2822.8781088038272</v>
      </c>
      <c r="O102" s="309">
        <f>INDEX([2]ConsolidatedVehData!$P$22:$Z$858,MATCH($B102,[2]ConsolidatedVehData!$A$22:$A$858,0),MATCH(O$1,[2]ConsolidatedVehData!$P$7:$Z$7,0))</f>
        <v>2807.0612130395893</v>
      </c>
      <c r="P102" s="309">
        <f>INDEX([2]ConsolidatedVehData!$P$22:$Z$858,MATCH($B102,[2]ConsolidatedVehData!$A$22:$A$858,0),MATCH(P$1,[2]ConsolidatedVehData!$P$7:$Z$7,0))</f>
        <v>2803.685278932624</v>
      </c>
      <c r="Q102" s="309">
        <f>INDEX([2]ConsolidatedVehData!$P$22:$Z$858,MATCH($B102,[2]ConsolidatedVehData!$A$22:$A$858,0),MATCH(Q$1,[2]ConsolidatedVehData!$P$7:$Z$7,0))</f>
        <v>2804.6692305202459</v>
      </c>
      <c r="R102" s="309">
        <f>INDEX([2]ConsolidatedVehData!$P$22:$Z$858,MATCH($B102,[2]ConsolidatedVehData!$A$22:$A$858,0),MATCH(R$1,[2]ConsolidatedVehData!$P$7:$Z$7,0))</f>
        <v>2804.6692305202459</v>
      </c>
      <c r="S102" s="309">
        <f>INDEX([2]ConsolidatedVehData!$P$22:$Z$858,MATCH($B102,[2]ConsolidatedVehData!$A$22:$A$858,0),MATCH(S$1,[2]ConsolidatedVehData!$P$7:$Z$7,0))</f>
        <v>2804.6692305202459</v>
      </c>
      <c r="T102" s="309">
        <f>S102</f>
        <v>2804.6692305202459</v>
      </c>
      <c r="U102" s="310">
        <f>V102</f>
        <v>0.29720030539241937</v>
      </c>
      <c r="V102" s="310">
        <f>INDEX([2]ConsolidatedVehData!$AF$22:$AF$858,MATCH(B102,[2]ConsolidatedVehData!$A$22:$A$858,0))</f>
        <v>0.29720030539241937</v>
      </c>
      <c r="W102" s="310">
        <f>INDEX([2]ConsolidatedVehData!$AF$22:$AF$858,MATCH($B102,[2]ConsolidatedVehData!$A$22:$A$858,0)+1)</f>
        <v>0.31862513345959637</v>
      </c>
      <c r="X102" s="310">
        <f>INDEX([2]ConsolidatedVehData!$AF$22:$AF$858,MATCH($B102,[2]ConsolidatedVehData!$A$22:$A$858,0)+2)</f>
        <v>0.36955280037426697</v>
      </c>
      <c r="Y102" s="310">
        <f>INDEX([2]ConsolidatedVehData!$AF$22:$AF$858,MATCH($B102,[2]ConsolidatedVehData!$A$22:$A$858,0)+3)</f>
        <v>0.37301624805724104</v>
      </c>
      <c r="Z102" s="310">
        <f>INDEX([2]ConsolidatedVehData!$AF$22:$AF$858,MATCH($B102,[2]ConsolidatedVehData!$A$22:$A$858,0)+4)</f>
        <v>0.37507304642447381</v>
      </c>
      <c r="AA102" s="310">
        <f>INDEX([2]ConsolidatedVehData!$AF$22:$AF$858,MATCH($B102,[2]ConsolidatedVehData!$A$22:$A$858,0)+5)</f>
        <v>0.37517721459244896</v>
      </c>
      <c r="AB102" s="310">
        <f>INDEX([2]ConsolidatedVehData!$AF$22:$AF$858,MATCH($B102,[2]ConsolidatedVehData!$A$22:$A$858,0)+6)</f>
        <v>0.37517721459244896</v>
      </c>
      <c r="AC102" s="310">
        <f>INDEX([2]ConsolidatedVehData!$AF$22:$AF$858,MATCH($B102,[2]ConsolidatedVehData!$A$22:$A$858,0)+7)</f>
        <v>0.37517721459244896</v>
      </c>
      <c r="AD102" s="310">
        <f t="shared" si="56"/>
        <v>0.37517721459244896</v>
      </c>
      <c r="AE102" s="286">
        <f>INDEX([2]ConsolidatedVehData!$AB$22:$AB$858,MATCH(B102,[2]ConsolidatedVehData!$A$22:$A$858,0))</f>
        <v>48.0747492686653</v>
      </c>
      <c r="AF102" s="311">
        <v>0.44</v>
      </c>
      <c r="AG102" s="311">
        <v>0.24</v>
      </c>
      <c r="AH102" s="311">
        <v>0.28000000000000003</v>
      </c>
      <c r="AI102" s="311">
        <v>0.44</v>
      </c>
      <c r="AJ102" s="294">
        <v>0</v>
      </c>
      <c r="AX102" s="250"/>
      <c r="AY102" s="250"/>
      <c r="AZ102" s="250"/>
      <c r="BA102" s="250"/>
      <c r="BB102" s="250"/>
      <c r="BC102" s="250"/>
      <c r="BD102" s="250"/>
    </row>
    <row r="103" spans="1:56" x14ac:dyDescent="0.2">
      <c r="A103" s="255" t="str">
        <f>IF(LEFT(A102,1)="*","*","")</f>
        <v/>
      </c>
      <c r="B103" s="255"/>
      <c r="C103" s="255"/>
      <c r="D103" s="255"/>
      <c r="E103" s="255" t="s">
        <v>99</v>
      </c>
      <c r="F103" s="255"/>
      <c r="G103" s="257"/>
      <c r="H103" s="310">
        <f>INDEX([2]ConsolidatedVehData!$AG$22:$AG$858,MATCH(B102,[2]ConsolidatedVehData!$A$22:$A$858,0))</f>
        <v>0.1342377020706492</v>
      </c>
      <c r="I103" s="294"/>
      <c r="J103" s="294"/>
      <c r="K103" s="294"/>
      <c r="L103" s="294"/>
      <c r="M103" s="294"/>
      <c r="N103" s="294"/>
      <c r="O103" s="294"/>
      <c r="P103" s="294"/>
      <c r="Q103" s="294"/>
      <c r="R103" s="294"/>
      <c r="S103" s="294"/>
      <c r="T103" s="294"/>
      <c r="U103" s="310"/>
      <c r="V103" s="310"/>
      <c r="W103" s="310"/>
      <c r="X103" s="310"/>
      <c r="Y103" s="310"/>
      <c r="Z103" s="310"/>
      <c r="AA103" s="310"/>
      <c r="AB103" s="310"/>
      <c r="AC103" s="310"/>
      <c r="AD103" s="310"/>
      <c r="AE103" s="294"/>
      <c r="AF103" s="311"/>
      <c r="AG103" s="311"/>
      <c r="AH103" s="311"/>
      <c r="AI103" s="311"/>
      <c r="AJ103" s="294"/>
      <c r="AX103" s="250"/>
      <c r="AY103" s="250"/>
      <c r="AZ103" s="250"/>
      <c r="BA103" s="250"/>
      <c r="BB103" s="250"/>
      <c r="BC103" s="250"/>
      <c r="BD103" s="250"/>
    </row>
    <row r="104" spans="1:56" x14ac:dyDescent="0.2">
      <c r="A104" s="255" t="str">
        <f>IF(LEFT(A103,1)="*","*","")</f>
        <v/>
      </c>
      <c r="B104" s="255"/>
      <c r="C104" s="255"/>
      <c r="D104" s="255"/>
      <c r="E104" s="255"/>
      <c r="F104" s="255" t="str">
        <f>[2]Commodities!$D$9</f>
        <v>TL</v>
      </c>
      <c r="G104" s="257"/>
      <c r="H104" s="310"/>
      <c r="I104" s="294"/>
      <c r="J104" s="294"/>
      <c r="K104" s="294"/>
      <c r="L104" s="294"/>
      <c r="M104" s="294"/>
      <c r="N104" s="294"/>
      <c r="O104" s="294"/>
      <c r="P104" s="294"/>
      <c r="Q104" s="294"/>
      <c r="R104" s="294"/>
      <c r="S104" s="294"/>
      <c r="T104" s="294"/>
      <c r="U104" s="310"/>
      <c r="V104" s="310"/>
      <c r="W104" s="310"/>
      <c r="X104" s="310"/>
      <c r="Y104" s="310"/>
      <c r="Z104" s="310"/>
      <c r="AA104" s="310"/>
      <c r="AB104" s="310"/>
      <c r="AC104" s="310"/>
      <c r="AD104" s="310"/>
      <c r="AE104" s="294"/>
      <c r="AF104" s="311"/>
      <c r="AG104" s="311"/>
      <c r="AH104" s="311"/>
      <c r="AI104" s="311"/>
      <c r="AJ104" s="294"/>
      <c r="AX104" s="250"/>
      <c r="AY104" s="250"/>
      <c r="AZ104" s="250"/>
      <c r="BA104" s="250"/>
      <c r="BB104" s="250"/>
      <c r="BC104" s="250"/>
      <c r="BD104" s="250"/>
    </row>
    <row r="105" spans="1:56" x14ac:dyDescent="0.2">
      <c r="A105" s="255" t="str">
        <f>[2]Technologies!B155</f>
        <v>R2,R3,R4,R5,R6</v>
      </c>
      <c r="B105" s="255" t="str">
        <f>[2]Technologies!D155</f>
        <v>TLMP20G10</v>
      </c>
      <c r="C105" s="255" t="str">
        <f>[2]Technologies!E155</f>
        <v>TL.GSL.M.P20G.2010</v>
      </c>
      <c r="D105" s="255" t="s">
        <v>292</v>
      </c>
      <c r="E105" s="255" t="s">
        <v>111</v>
      </c>
      <c r="F105" s="257"/>
      <c r="G105" s="257"/>
      <c r="H105" s="310">
        <f>1-H106</f>
        <v>0.86576229792935078</v>
      </c>
      <c r="I105" s="309">
        <f>INDEX([2]ConsolidatedVehData!$D$22:$D$858,MATCH(B105,[2]ConsolidatedVehData!$A$22:$A$858,0))</f>
        <v>2010</v>
      </c>
      <c r="J105" s="294">
        <v>20</v>
      </c>
      <c r="K105" s="309">
        <f>INDEX([2]ConsolidatedVehData!$P$22:$Z$858,MATCH($B105,[2]ConsolidatedVehData!$A$22:$A$858,0),MATCH(K$1,[2]ConsolidatedVehData!$P$7:$Z$7,0))</f>
        <v>1641.7338674852876</v>
      </c>
      <c r="L105" s="309">
        <f>INDEX([2]ConsolidatedVehData!$P$22:$Z$858,MATCH($B105,[2]ConsolidatedVehData!$A$22:$A$858,0),MATCH(L$1,[2]ConsolidatedVehData!$P$7:$Z$7,0))</f>
        <v>1701.4542320760138</v>
      </c>
      <c r="M105" s="309">
        <f>INDEX([2]ConsolidatedVehData!$P$22:$Z$858,MATCH($B105,[2]ConsolidatedVehData!$A$22:$A$858,0),MATCH(M$1,[2]ConsolidatedVehData!$P$7:$Z$7,0))</f>
        <v>2570.3918283158364</v>
      </c>
      <c r="N105" s="309">
        <f>INDEX([2]ConsolidatedVehData!$P$22:$Z$858,MATCH($B105,[2]ConsolidatedVehData!$A$22:$A$858,0),MATCH(N$1,[2]ConsolidatedVehData!$P$7:$Z$7,0))</f>
        <v>2623.9538170287933</v>
      </c>
      <c r="O105" s="309">
        <f>INDEX([2]ConsolidatedVehData!$P$22:$Z$858,MATCH($B105,[2]ConsolidatedVehData!$A$22:$A$858,0),MATCH(O$1,[2]ConsolidatedVehData!$P$7:$Z$7,0))</f>
        <v>2610.7658829842958</v>
      </c>
      <c r="P105" s="309">
        <f>INDEX([2]ConsolidatedVehData!$P$22:$Z$858,MATCH($B105,[2]ConsolidatedVehData!$A$22:$A$858,0),MATCH(P$1,[2]ConsolidatedVehData!$P$7:$Z$7,0))</f>
        <v>2608.3700120992689</v>
      </c>
      <c r="Q105" s="309">
        <f>INDEX([2]ConsolidatedVehData!$P$22:$Z$858,MATCH($B105,[2]ConsolidatedVehData!$A$22:$A$858,0),MATCH(Q$1,[2]ConsolidatedVehData!$P$7:$Z$7,0))</f>
        <v>2608.7687027095562</v>
      </c>
      <c r="R105" s="309">
        <f>INDEX([2]ConsolidatedVehData!$P$22:$Z$858,MATCH($B105,[2]ConsolidatedVehData!$A$22:$A$858,0),MATCH(R$1,[2]ConsolidatedVehData!$P$7:$Z$7,0))</f>
        <v>2608.7687027095562</v>
      </c>
      <c r="S105" s="309">
        <f>INDEX([2]ConsolidatedVehData!$P$22:$Z$858,MATCH($B105,[2]ConsolidatedVehData!$A$22:$A$858,0),MATCH(S$1,[2]ConsolidatedVehData!$P$7:$Z$7,0))</f>
        <v>2608.7687027095562</v>
      </c>
      <c r="T105" s="309">
        <f>S105</f>
        <v>2608.7687027095562</v>
      </c>
      <c r="U105" s="310">
        <f>INDEX([2]ConsolidatedVehData!$AF$22:$AF$858,MATCH(B105,[2]ConsolidatedVehData!$A$22:$A$858,0))</f>
        <v>0.33462374153717556</v>
      </c>
      <c r="V105" s="310">
        <f>(U105+W105)/2</f>
        <v>0.32913160028016009</v>
      </c>
      <c r="W105" s="310">
        <f>INDEX([2]ConsolidatedVehData!$AF$22:$AF$858,MATCH($B105,[2]ConsolidatedVehData!$A$22:$A$858,0)+2)</f>
        <v>0.32363945902314467</v>
      </c>
      <c r="X105" s="310">
        <f>INDEX([2]ConsolidatedVehData!$AF$22:$AF$858,MATCH($B105,[2]ConsolidatedVehData!$A$22:$A$858,0)+3)</f>
        <v>0.38771537892347446</v>
      </c>
      <c r="Y105" s="310">
        <f>INDEX([2]ConsolidatedVehData!$AF$22:$AF$858,MATCH($B105,[2]ConsolidatedVehData!$A$22:$A$858,0)+4)</f>
        <v>0.39212865072101105</v>
      </c>
      <c r="Z105" s="310">
        <f>INDEX([2]ConsolidatedVehData!$AF$22:$AF$858,MATCH($B105,[2]ConsolidatedVehData!$A$22:$A$858,0)+5)</f>
        <v>0.39518506537109543</v>
      </c>
      <c r="AA105" s="310">
        <f>INDEX([2]ConsolidatedVehData!$AF$22:$AF$858,MATCH($B105,[2]ConsolidatedVehData!$A$22:$A$858,0)+6)</f>
        <v>0.39643814415910472</v>
      </c>
      <c r="AB105" s="310">
        <f>INDEX([2]ConsolidatedVehData!$AF$22:$AF$858,MATCH($B105,[2]ConsolidatedVehData!$A$22:$A$858,0)+7)</f>
        <v>0.39643814415910472</v>
      </c>
      <c r="AC105" s="310">
        <f>INDEX([2]ConsolidatedVehData!$AF$22:$AF$858,MATCH($B105,[2]ConsolidatedVehData!$A$22:$A$858,0)+8)</f>
        <v>0.39643814415910472</v>
      </c>
      <c r="AD105" s="310">
        <f t="shared" si="56"/>
        <v>0.39643814415910472</v>
      </c>
      <c r="AE105" s="286">
        <f>INDEX([2]ConsolidatedVehData!$AB$22:$AB$858,MATCH(B105,[2]ConsolidatedVehData!$A$22:$A$858,0))</f>
        <v>45.478712808157368</v>
      </c>
      <c r="AF105" s="311">
        <v>0.44</v>
      </c>
      <c r="AG105" s="311">
        <v>0.24</v>
      </c>
      <c r="AH105" s="311">
        <v>0.28000000000000003</v>
      </c>
      <c r="AI105" s="311">
        <v>0.44</v>
      </c>
      <c r="AJ105" s="294">
        <v>0</v>
      </c>
      <c r="AX105" s="250"/>
      <c r="AY105" s="250"/>
      <c r="AZ105" s="250"/>
      <c r="BA105" s="250"/>
      <c r="BB105" s="250"/>
      <c r="BC105" s="250"/>
      <c r="BD105" s="250"/>
    </row>
    <row r="106" spans="1:56" x14ac:dyDescent="0.2">
      <c r="A106" s="255" t="str">
        <f>IF(LEFT(A105,1)="*","*","")</f>
        <v/>
      </c>
      <c r="B106" s="255"/>
      <c r="C106" s="255"/>
      <c r="D106" s="255"/>
      <c r="E106" s="255" t="s">
        <v>99</v>
      </c>
      <c r="F106" s="255"/>
      <c r="G106" s="257"/>
      <c r="H106" s="310">
        <f>INDEX([2]ConsolidatedVehData!$AG$22:$AG$858,MATCH(B105,[2]ConsolidatedVehData!$A$22:$A$858,0))</f>
        <v>0.1342377020706492</v>
      </c>
      <c r="I106" s="294"/>
      <c r="J106" s="294"/>
      <c r="K106" s="294"/>
      <c r="L106" s="294"/>
      <c r="M106" s="294"/>
      <c r="N106" s="294"/>
      <c r="O106" s="294"/>
      <c r="P106" s="294"/>
      <c r="Q106" s="294"/>
      <c r="R106" s="294"/>
      <c r="S106" s="294"/>
      <c r="T106" s="294"/>
      <c r="U106" s="310"/>
      <c r="V106" s="310"/>
      <c r="W106" s="310"/>
      <c r="X106" s="310"/>
      <c r="Y106" s="310"/>
      <c r="Z106" s="310"/>
      <c r="AA106" s="310"/>
      <c r="AB106" s="310"/>
      <c r="AC106" s="310"/>
      <c r="AD106" s="310"/>
      <c r="AE106" s="294"/>
      <c r="AF106" s="311"/>
      <c r="AG106" s="311"/>
      <c r="AH106" s="311"/>
      <c r="AI106" s="311"/>
      <c r="AJ106" s="294"/>
      <c r="AX106" s="250"/>
      <c r="AY106" s="250"/>
      <c r="AZ106" s="250"/>
      <c r="BA106" s="250"/>
      <c r="BB106" s="250"/>
      <c r="BC106" s="250"/>
      <c r="BD106" s="250"/>
    </row>
    <row r="107" spans="1:56" x14ac:dyDescent="0.2">
      <c r="A107" s="255" t="str">
        <f>IF(LEFT(A106,1)="*","*","")</f>
        <v/>
      </c>
      <c r="B107" s="255"/>
      <c r="C107" s="255"/>
      <c r="D107" s="255"/>
      <c r="E107" s="255"/>
      <c r="F107" s="255" t="str">
        <f>[2]Commodities!$D$9</f>
        <v>TL</v>
      </c>
      <c r="G107" s="257"/>
      <c r="H107" s="310"/>
      <c r="I107" s="294"/>
      <c r="J107" s="294"/>
      <c r="K107" s="294"/>
      <c r="L107" s="294"/>
      <c r="M107" s="294"/>
      <c r="N107" s="294"/>
      <c r="O107" s="294"/>
      <c r="P107" s="294"/>
      <c r="Q107" s="294"/>
      <c r="R107" s="294"/>
      <c r="S107" s="294"/>
      <c r="T107" s="294"/>
      <c r="U107" s="310"/>
      <c r="V107" s="310"/>
      <c r="W107" s="310"/>
      <c r="X107" s="310"/>
      <c r="Y107" s="310"/>
      <c r="Z107" s="310"/>
      <c r="AA107" s="310"/>
      <c r="AB107" s="310"/>
      <c r="AC107" s="310"/>
      <c r="AD107" s="310"/>
      <c r="AE107" s="294"/>
      <c r="AF107" s="311"/>
      <c r="AG107" s="311"/>
      <c r="AH107" s="311"/>
      <c r="AI107" s="311"/>
      <c r="AJ107" s="294"/>
      <c r="AX107" s="250"/>
      <c r="AY107" s="250"/>
      <c r="AZ107" s="250"/>
      <c r="BA107" s="250"/>
      <c r="BB107" s="250"/>
      <c r="BC107" s="250"/>
      <c r="BD107" s="250"/>
    </row>
    <row r="108" spans="1:56" x14ac:dyDescent="0.2">
      <c r="A108" s="255" t="str">
        <f>[2]Technologies!B156</f>
        <v>R2,R3,R4,R5,R6</v>
      </c>
      <c r="B108" s="255" t="str">
        <f>[2]Technologies!D156</f>
        <v>TLLSP20G10</v>
      </c>
      <c r="C108" s="255" t="str">
        <f>[2]Technologies!E156</f>
        <v>TL.GSL.LS.P20G.2010</v>
      </c>
      <c r="D108" s="255" t="s">
        <v>292</v>
      </c>
      <c r="E108" s="255" t="s">
        <v>111</v>
      </c>
      <c r="F108" s="257"/>
      <c r="G108" s="257"/>
      <c r="H108" s="310">
        <f>1-H109</f>
        <v>0.86576229792935078</v>
      </c>
      <c r="I108" s="309">
        <f>INDEX([2]ConsolidatedVehData!$D$22:$D$858,MATCH(B108,[2]ConsolidatedVehData!$A$22:$A$858,0))</f>
        <v>2010</v>
      </c>
      <c r="J108" s="294">
        <v>20</v>
      </c>
      <c r="K108" s="309">
        <f>INDEX([2]ConsolidatedVehData!$P$22:$Z$858,MATCH($B108,[2]ConsolidatedVehData!$A$22:$A$858,0),MATCH(K$1,[2]ConsolidatedVehData!$P$7:$Z$7,0))</f>
        <v>3264.5330694387821</v>
      </c>
      <c r="L108" s="309">
        <f>INDEX([2]ConsolidatedVehData!$P$22:$Z$858,MATCH($B108,[2]ConsolidatedVehData!$A$22:$A$858,0),MATCH(L$1,[2]ConsolidatedVehData!$P$7:$Z$7,0))</f>
        <v>3267.4678015512686</v>
      </c>
      <c r="M108" s="309">
        <f>INDEX([2]ConsolidatedVehData!$P$22:$Z$858,MATCH($B108,[2]ConsolidatedVehData!$A$22:$A$858,0),MATCH(M$1,[2]ConsolidatedVehData!$P$7:$Z$7,0))</f>
        <v>3330.7260037519809</v>
      </c>
      <c r="N108" s="309">
        <f>INDEX([2]ConsolidatedVehData!$P$22:$Z$858,MATCH($B108,[2]ConsolidatedVehData!$A$22:$A$858,0),MATCH(N$1,[2]ConsolidatedVehData!$P$7:$Z$7,0))</f>
        <v>3395.0983055034471</v>
      </c>
      <c r="O108" s="309">
        <f>INDEX([2]ConsolidatedVehData!$P$22:$Z$858,MATCH($B108,[2]ConsolidatedVehData!$A$22:$A$858,0),MATCH(O$1,[2]ConsolidatedVehData!$P$7:$Z$7,0))</f>
        <v>3385.005716804802</v>
      </c>
      <c r="P108" s="309">
        <f>INDEX([2]ConsolidatedVehData!$P$22:$Z$858,MATCH($B108,[2]ConsolidatedVehData!$A$22:$A$858,0),MATCH(P$1,[2]ConsolidatedVehData!$P$7:$Z$7,0))</f>
        <v>3381.8194386521845</v>
      </c>
      <c r="Q108" s="309">
        <f>INDEX([2]ConsolidatedVehData!$P$22:$Z$858,MATCH($B108,[2]ConsolidatedVehData!$A$22:$A$858,0),MATCH(Q$1,[2]ConsolidatedVehData!$P$7:$Z$7,0))</f>
        <v>3381.7852251485506</v>
      </c>
      <c r="R108" s="309">
        <f>INDEX([2]ConsolidatedVehData!$P$22:$Z$858,MATCH($B108,[2]ConsolidatedVehData!$A$22:$A$858,0),MATCH(R$1,[2]ConsolidatedVehData!$P$7:$Z$7,0))</f>
        <v>3381.7852251485506</v>
      </c>
      <c r="S108" s="309">
        <f>INDEX([2]ConsolidatedVehData!$P$22:$Z$858,MATCH($B108,[2]ConsolidatedVehData!$A$22:$A$858,0),MATCH(S$1,[2]ConsolidatedVehData!$P$7:$Z$7,0))</f>
        <v>3381.7852251485506</v>
      </c>
      <c r="T108" s="309">
        <f>S108</f>
        <v>3381.7852251485506</v>
      </c>
      <c r="U108" s="310">
        <f>INDEX([2]ConsolidatedVehData!$AF$22:$AF$858,MATCH(B108,[2]ConsolidatedVehData!$A$22:$A$858,0))</f>
        <v>0.29875219804284292</v>
      </c>
      <c r="V108" s="310">
        <f>INDEX([2]ConsolidatedVehData!$AF$22:$AF$858,MATCH($B108,[2]ConsolidatedVehData!$A$22:$A$858,0)+1)</f>
        <v>0.28011759238912265</v>
      </c>
      <c r="W108" s="310">
        <f>INDEX([2]ConsolidatedVehData!$AF$22:$AF$858,MATCH($B108,[2]ConsolidatedVehData!$A$22:$A$858,0)+2)</f>
        <v>0.32468239925191827</v>
      </c>
      <c r="X108" s="310">
        <f>INDEX([2]ConsolidatedVehData!$AF$22:$AF$858,MATCH($B108,[2]ConsolidatedVehData!$A$22:$A$858,0)+3)</f>
        <v>0.39649960809729973</v>
      </c>
      <c r="Y108" s="310">
        <f>INDEX([2]ConsolidatedVehData!$AF$22:$AF$858,MATCH($B108,[2]ConsolidatedVehData!$A$22:$A$858,0)+4)</f>
        <v>0.40399389552407777</v>
      </c>
      <c r="Z108" s="310">
        <f>INDEX([2]ConsolidatedVehData!$AF$22:$AF$858,MATCH($B108,[2]ConsolidatedVehData!$A$22:$A$858,0)+5)</f>
        <v>0.40665735762853189</v>
      </c>
      <c r="AA108" s="310">
        <f>INDEX([2]ConsolidatedVehData!$AF$22:$AF$858,MATCH($B108,[2]ConsolidatedVehData!$A$22:$A$858,0)+6)</f>
        <v>0.40760201040676469</v>
      </c>
      <c r="AB108" s="310">
        <f>INDEX([2]ConsolidatedVehData!$AF$22:$AF$858,MATCH($B108,[2]ConsolidatedVehData!$A$22:$A$858,0)+7)</f>
        <v>0.40760201040676469</v>
      </c>
      <c r="AC108" s="310">
        <f>INDEX([2]ConsolidatedVehData!$AF$22:$AF$858,MATCH($B108,[2]ConsolidatedVehData!$A$22:$A$858,0)+8)</f>
        <v>0.40760201040676469</v>
      </c>
      <c r="AD108" s="310">
        <f t="shared" si="56"/>
        <v>0.40760201040676469</v>
      </c>
      <c r="AE108" s="286">
        <f>INDEX([2]ConsolidatedVehData!$AB$22:$AB$858,MATCH(B108,[2]ConsolidatedVehData!$A$22:$A$858,0))</f>
        <v>45.478712808157368</v>
      </c>
      <c r="AF108" s="311">
        <v>0.44</v>
      </c>
      <c r="AG108" s="311">
        <v>0.24</v>
      </c>
      <c r="AH108" s="311">
        <v>0.28000000000000003</v>
      </c>
      <c r="AI108" s="311">
        <v>0.44</v>
      </c>
      <c r="AJ108" s="294">
        <v>0</v>
      </c>
      <c r="AX108" s="250"/>
      <c r="AY108" s="250"/>
      <c r="AZ108" s="250"/>
      <c r="BA108" s="250"/>
      <c r="BB108" s="250"/>
      <c r="BC108" s="250"/>
      <c r="BD108" s="250"/>
    </row>
    <row r="109" spans="1:56" x14ac:dyDescent="0.2">
      <c r="A109" s="255" t="str">
        <f>IF(LEFT(A108,1)="*","*","")</f>
        <v/>
      </c>
      <c r="B109" s="255"/>
      <c r="C109" s="255"/>
      <c r="D109" s="255"/>
      <c r="E109" s="255" t="s">
        <v>99</v>
      </c>
      <c r="F109" s="255"/>
      <c r="G109" s="257"/>
      <c r="H109" s="310">
        <f>INDEX([2]ConsolidatedVehData!$AG$22:$AG$858,MATCH(B108,[2]ConsolidatedVehData!$A$22:$A$858,0))</f>
        <v>0.1342377020706492</v>
      </c>
      <c r="I109" s="294"/>
      <c r="J109" s="294"/>
      <c r="K109" s="294"/>
      <c r="L109" s="294"/>
      <c r="M109" s="294"/>
      <c r="N109" s="294"/>
      <c r="O109" s="294"/>
      <c r="P109" s="294"/>
      <c r="Q109" s="294"/>
      <c r="R109" s="294"/>
      <c r="S109" s="294"/>
      <c r="T109" s="294"/>
      <c r="U109" s="310"/>
      <c r="V109" s="310"/>
      <c r="W109" s="310"/>
      <c r="X109" s="310"/>
      <c r="Y109" s="310"/>
      <c r="Z109" s="310"/>
      <c r="AA109" s="310"/>
      <c r="AB109" s="310"/>
      <c r="AC109" s="310"/>
      <c r="AD109" s="310"/>
      <c r="AE109" s="294"/>
      <c r="AF109" s="311"/>
      <c r="AG109" s="311"/>
      <c r="AH109" s="311"/>
      <c r="AI109" s="311"/>
      <c r="AJ109" s="294"/>
      <c r="AX109" s="250"/>
      <c r="AY109" s="250"/>
      <c r="AZ109" s="250"/>
      <c r="BA109" s="250"/>
      <c r="BB109" s="250"/>
      <c r="BC109" s="250"/>
      <c r="BD109" s="250"/>
    </row>
    <row r="110" spans="1:56" x14ac:dyDescent="0.2">
      <c r="A110" s="255" t="str">
        <f>IF(LEFT(A109,1)="*","*","")</f>
        <v/>
      </c>
      <c r="B110" s="255"/>
      <c r="C110" s="255"/>
      <c r="D110" s="255"/>
      <c r="E110" s="255"/>
      <c r="F110" s="255" t="str">
        <f>[2]Commodities!$D$9</f>
        <v>TL</v>
      </c>
      <c r="G110" s="257"/>
      <c r="H110" s="310"/>
      <c r="I110" s="294"/>
      <c r="J110" s="294"/>
      <c r="K110" s="294"/>
      <c r="L110" s="294"/>
      <c r="M110" s="294"/>
      <c r="N110" s="294"/>
      <c r="O110" s="294"/>
      <c r="P110" s="294"/>
      <c r="Q110" s="294"/>
      <c r="R110" s="294"/>
      <c r="S110" s="294"/>
      <c r="T110" s="294"/>
      <c r="U110" s="310"/>
      <c r="V110" s="310"/>
      <c r="W110" s="310"/>
      <c r="X110" s="310"/>
      <c r="Y110" s="310"/>
      <c r="Z110" s="310"/>
      <c r="AA110" s="310"/>
      <c r="AB110" s="310"/>
      <c r="AC110" s="310"/>
      <c r="AD110" s="310"/>
      <c r="AE110" s="294"/>
      <c r="AF110" s="311"/>
      <c r="AG110" s="311"/>
      <c r="AH110" s="311"/>
      <c r="AI110" s="311"/>
      <c r="AJ110" s="294"/>
      <c r="AX110" s="250"/>
      <c r="AY110" s="250"/>
      <c r="AZ110" s="250"/>
      <c r="BA110" s="250"/>
      <c r="BB110" s="250"/>
      <c r="BC110" s="250"/>
      <c r="BD110" s="250"/>
    </row>
    <row r="111" spans="1:56" x14ac:dyDescent="0.2">
      <c r="A111" s="255" t="str">
        <f>[2]Technologies!B157</f>
        <v>R2,R3,R4,R5,R6</v>
      </c>
      <c r="B111" s="255" t="str">
        <f>[2]Technologies!D157</f>
        <v>TLSSP20G10</v>
      </c>
      <c r="C111" s="255" t="str">
        <f>[2]Technologies!E157</f>
        <v>TL.GSL.SS.P20G.2010</v>
      </c>
      <c r="D111" s="255" t="s">
        <v>292</v>
      </c>
      <c r="E111" s="255" t="s">
        <v>111</v>
      </c>
      <c r="F111" s="257"/>
      <c r="G111" s="257"/>
      <c r="H111" s="310">
        <f>1-H112</f>
        <v>0.86576229792935078</v>
      </c>
      <c r="I111" s="309">
        <f>INDEX([2]ConsolidatedVehData!$D$22:$D$858,MATCH(B111,[2]ConsolidatedVehData!$A$22:$A$858,0))</f>
        <v>2010</v>
      </c>
      <c r="J111" s="294">
        <v>20</v>
      </c>
      <c r="K111" s="309">
        <f>INDEX([2]ConsolidatedVehData!$P$22:$Z$858,MATCH($B111,[2]ConsolidatedVehData!$A$22:$A$858,0),MATCH(K$1,[2]ConsolidatedVehData!$P$7:$Z$7,0))</f>
        <v>2339.1698711755084</v>
      </c>
      <c r="L111" s="309">
        <f>INDEX([2]ConsolidatedVehData!$P$22:$Z$858,MATCH($B111,[2]ConsolidatedVehData!$A$22:$A$858,0),MATCH(L$1,[2]ConsolidatedVehData!$P$7:$Z$7,0))</f>
        <v>2408.3402900503283</v>
      </c>
      <c r="M111" s="309">
        <f>INDEX([2]ConsolidatedVehData!$P$22:$Z$858,MATCH($B111,[2]ConsolidatedVehData!$A$22:$A$858,0),MATCH(M$1,[2]ConsolidatedVehData!$P$7:$Z$7,0))</f>
        <v>2455.4416987657301</v>
      </c>
      <c r="N111" s="309">
        <f>INDEX([2]ConsolidatedVehData!$P$22:$Z$858,MATCH($B111,[2]ConsolidatedVehData!$A$22:$A$858,0),MATCH(N$1,[2]ConsolidatedVehData!$P$7:$Z$7,0))</f>
        <v>2511.0578942417533</v>
      </c>
      <c r="O111" s="309">
        <f>INDEX([2]ConsolidatedVehData!$P$22:$Z$858,MATCH($B111,[2]ConsolidatedVehData!$A$22:$A$858,0),MATCH(O$1,[2]ConsolidatedVehData!$P$7:$Z$7,0))</f>
        <v>2501.7648292407785</v>
      </c>
      <c r="P111" s="309">
        <f>INDEX([2]ConsolidatedVehData!$P$22:$Z$858,MATCH($B111,[2]ConsolidatedVehData!$A$22:$A$858,0),MATCH(P$1,[2]ConsolidatedVehData!$P$7:$Z$7,0))</f>
        <v>2499.9194202743843</v>
      </c>
      <c r="Q111" s="309">
        <f>INDEX([2]ConsolidatedVehData!$P$22:$Z$858,MATCH($B111,[2]ConsolidatedVehData!$A$22:$A$858,0),MATCH(Q$1,[2]ConsolidatedVehData!$P$7:$Z$7,0))</f>
        <v>2500.5747959983978</v>
      </c>
      <c r="R111" s="309">
        <f>INDEX([2]ConsolidatedVehData!$P$22:$Z$858,MATCH($B111,[2]ConsolidatedVehData!$A$22:$A$858,0),MATCH(R$1,[2]ConsolidatedVehData!$P$7:$Z$7,0))</f>
        <v>2500.5747959983978</v>
      </c>
      <c r="S111" s="309">
        <f>INDEX([2]ConsolidatedVehData!$P$22:$Z$858,MATCH($B111,[2]ConsolidatedVehData!$A$22:$A$858,0),MATCH(S$1,[2]ConsolidatedVehData!$P$7:$Z$7,0))</f>
        <v>2500.5747959983978</v>
      </c>
      <c r="T111" s="309">
        <f>S111</f>
        <v>2500.5747959983978</v>
      </c>
      <c r="U111" s="310">
        <f>INDEX([2]ConsolidatedVehData!$AF$22:$AF$858,MATCH(B111,[2]ConsolidatedVehData!$A$22:$A$858,0))</f>
        <v>0.36494735563513908</v>
      </c>
      <c r="V111" s="310">
        <f>INDEX([2]ConsolidatedVehData!$AF$22:$AF$858,MATCH($B111,[2]ConsolidatedVehData!$A$22:$A$858,0)+1)</f>
        <v>0.32863488095215082</v>
      </c>
      <c r="W111" s="310">
        <f>INDEX([2]ConsolidatedVehData!$AF$22:$AF$858,MATCH($B111,[2]ConsolidatedVehData!$A$22:$A$858,0)+2)</f>
        <v>0.36878004005992643</v>
      </c>
      <c r="X111" s="310">
        <f>INDEX([2]ConsolidatedVehData!$AF$22:$AF$858,MATCH($B111,[2]ConsolidatedVehData!$A$22:$A$858,0)+3)</f>
        <v>0.43603406937689099</v>
      </c>
      <c r="Y111" s="310">
        <f>INDEX([2]ConsolidatedVehData!$AF$22:$AF$858,MATCH($B111,[2]ConsolidatedVehData!$A$22:$A$858,0)+4)</f>
        <v>0.4377744244289189</v>
      </c>
      <c r="Z111" s="310">
        <f>INDEX([2]ConsolidatedVehData!$AF$22:$AF$858,MATCH($B111,[2]ConsolidatedVehData!$A$22:$A$858,0)+5)</f>
        <v>0.43772861221193082</v>
      </c>
      <c r="AA111" s="310">
        <f>INDEX([2]ConsolidatedVehData!$AF$22:$AF$858,MATCH($B111,[2]ConsolidatedVehData!$A$22:$A$858,0)+6)</f>
        <v>0.43727452559069285</v>
      </c>
      <c r="AB111" s="310">
        <f>INDEX([2]ConsolidatedVehData!$AF$22:$AF$858,MATCH($B111,[2]ConsolidatedVehData!$A$22:$A$858,0)+7)</f>
        <v>0.43727452559069285</v>
      </c>
      <c r="AC111" s="310">
        <f>INDEX([2]ConsolidatedVehData!$AF$22:$AF$858,MATCH($B111,[2]ConsolidatedVehData!$A$22:$A$858,0)+8)</f>
        <v>0.43727452559069285</v>
      </c>
      <c r="AD111" s="310">
        <f t="shared" si="56"/>
        <v>0.43727452559069285</v>
      </c>
      <c r="AE111" s="286">
        <f>INDEX([2]ConsolidatedVehData!$AB$22:$AB$858,MATCH(B111,[2]ConsolidatedVehData!$A$22:$A$858,0))</f>
        <v>45.478712808157368</v>
      </c>
      <c r="AF111" s="311">
        <v>0.44</v>
      </c>
      <c r="AG111" s="311">
        <v>0.24</v>
      </c>
      <c r="AH111" s="311">
        <v>0.28000000000000003</v>
      </c>
      <c r="AI111" s="311">
        <v>0.44</v>
      </c>
      <c r="AJ111" s="294">
        <v>0</v>
      </c>
      <c r="AX111" s="250"/>
      <c r="AY111" s="250"/>
      <c r="AZ111" s="250"/>
      <c r="BA111" s="250"/>
      <c r="BB111" s="250"/>
      <c r="BC111" s="250"/>
      <c r="BD111" s="250"/>
    </row>
    <row r="112" spans="1:56" x14ac:dyDescent="0.2">
      <c r="A112" s="255" t="str">
        <f>IF(LEFT(A111,1)="*","*","")</f>
        <v/>
      </c>
      <c r="B112" s="255"/>
      <c r="C112" s="255"/>
      <c r="D112" s="255"/>
      <c r="E112" s="255" t="s">
        <v>99</v>
      </c>
      <c r="F112" s="255"/>
      <c r="G112" s="257"/>
      <c r="H112" s="310">
        <f>INDEX([2]ConsolidatedVehData!$AG$22:$AG$858,MATCH(B111,[2]ConsolidatedVehData!$A$22:$A$858,0))</f>
        <v>0.1342377020706492</v>
      </c>
      <c r="I112" s="294"/>
      <c r="J112" s="294"/>
      <c r="K112" s="294"/>
      <c r="L112" s="294"/>
      <c r="M112" s="294"/>
      <c r="N112" s="294"/>
      <c r="O112" s="294"/>
      <c r="P112" s="294"/>
      <c r="Q112" s="294"/>
      <c r="R112" s="294"/>
      <c r="S112" s="294"/>
      <c r="T112" s="294"/>
      <c r="U112" s="310"/>
      <c r="V112" s="310"/>
      <c r="W112" s="310"/>
      <c r="X112" s="310"/>
      <c r="Y112" s="310"/>
      <c r="Z112" s="310"/>
      <c r="AA112" s="310"/>
      <c r="AB112" s="310"/>
      <c r="AC112" s="310"/>
      <c r="AD112" s="310"/>
      <c r="AE112" s="294"/>
      <c r="AF112" s="311"/>
      <c r="AG112" s="311"/>
      <c r="AH112" s="311"/>
      <c r="AI112" s="311"/>
      <c r="AJ112" s="294"/>
      <c r="AX112" s="250"/>
      <c r="AY112" s="250"/>
      <c r="AZ112" s="250"/>
      <c r="BA112" s="250"/>
      <c r="BB112" s="250"/>
      <c r="BC112" s="250"/>
      <c r="BD112" s="250"/>
    </row>
    <row r="113" spans="1:56" x14ac:dyDescent="0.2">
      <c r="A113" s="255" t="str">
        <f>IF(LEFT(A112,1)="*","*","")</f>
        <v/>
      </c>
      <c r="B113" s="255"/>
      <c r="C113" s="255"/>
      <c r="D113" s="255"/>
      <c r="E113" s="255"/>
      <c r="F113" s="255" t="str">
        <f>[2]Commodities!$D$9</f>
        <v>TL</v>
      </c>
      <c r="G113" s="257"/>
      <c r="H113" s="310"/>
      <c r="I113" s="294"/>
      <c r="J113" s="294"/>
      <c r="K113" s="294"/>
      <c r="L113" s="294"/>
      <c r="M113" s="294"/>
      <c r="N113" s="294"/>
      <c r="O113" s="294"/>
      <c r="P113" s="294"/>
      <c r="Q113" s="294"/>
      <c r="R113" s="294"/>
      <c r="S113" s="294"/>
      <c r="T113" s="294"/>
      <c r="U113" s="310"/>
      <c r="V113" s="310"/>
      <c r="W113" s="310"/>
      <c r="X113" s="310"/>
      <c r="Y113" s="310"/>
      <c r="Z113" s="310"/>
      <c r="AA113" s="310"/>
      <c r="AB113" s="310"/>
      <c r="AC113" s="310"/>
      <c r="AD113" s="310"/>
      <c r="AE113" s="294"/>
      <c r="AF113" s="311"/>
      <c r="AG113" s="311"/>
      <c r="AH113" s="311"/>
      <c r="AI113" s="311"/>
      <c r="AJ113" s="294"/>
      <c r="AX113" s="250"/>
      <c r="AY113" s="250"/>
      <c r="AZ113" s="250"/>
      <c r="BA113" s="250"/>
      <c r="BB113" s="250"/>
      <c r="BC113" s="250"/>
      <c r="BD113" s="250"/>
    </row>
    <row r="114" spans="1:56" x14ac:dyDescent="0.2">
      <c r="A114" s="255" t="str">
        <f>[2]Technologies!B158</f>
        <v>*R2,R3,R4,R5,R6</v>
      </c>
      <c r="B114" s="255" t="str">
        <f>[2]Technologies!D158</f>
        <v>TLCP20E10</v>
      </c>
      <c r="C114" s="255" t="str">
        <f>[2]Technologies!E158</f>
        <v>TL.E85X.C.P20E.2010</v>
      </c>
      <c r="D114" s="255" t="s">
        <v>292</v>
      </c>
      <c r="E114" s="255" t="s">
        <v>95</v>
      </c>
      <c r="F114" s="257"/>
      <c r="G114" s="257"/>
      <c r="H114" s="310">
        <f>1-H115</f>
        <v>0.86576229792935078</v>
      </c>
      <c r="I114" s="309">
        <f>INDEX([2]ConsolidatedVehData!$D$22:$D$858,MATCH(B114,[2]ConsolidatedVehData!$A$22:$A$858,0))</f>
        <v>2010</v>
      </c>
      <c r="J114" s="294">
        <v>20</v>
      </c>
      <c r="K114" s="309">
        <f>INDEX([2]ConsolidatedVehData!$P$22:$Z$858,MATCH($B114,[2]ConsolidatedVehData!$A$22:$A$858,0),MATCH(K$1,[2]ConsolidatedVehData!$P$7:$Z$7,0))</f>
        <v>2099.5295315106687</v>
      </c>
      <c r="L114" s="309">
        <f>INDEX([2]ConsolidatedVehData!$P$22:$Z$858,MATCH($B114,[2]ConsolidatedVehData!$A$22:$A$858,0),MATCH(L$1,[2]ConsolidatedVehData!$P$7:$Z$7,0))</f>
        <v>1906.7785692129362</v>
      </c>
      <c r="M114" s="309">
        <f>INDEX([2]ConsolidatedVehData!$P$22:$Z$858,MATCH($B114,[2]ConsolidatedVehData!$A$22:$A$858,0),MATCH(M$1,[2]ConsolidatedVehData!$P$7:$Z$7,0))</f>
        <v>1967.0254264407993</v>
      </c>
      <c r="N114" s="309">
        <f>INDEX([2]ConsolidatedVehData!$P$22:$Z$858,MATCH($B114,[2]ConsolidatedVehData!$A$22:$A$858,0),MATCH(N$1,[2]ConsolidatedVehData!$P$7:$Z$7,0))</f>
        <v>2054.8428505310003</v>
      </c>
      <c r="O114" s="309">
        <f>INDEX([2]ConsolidatedVehData!$P$22:$Z$858,MATCH($B114,[2]ConsolidatedVehData!$A$22:$A$858,0),MATCH(O$1,[2]ConsolidatedVehData!$P$7:$Z$7,0))</f>
        <v>2044.5665603987961</v>
      </c>
      <c r="P114" s="309">
        <f>INDEX([2]ConsolidatedVehData!$P$22:$Z$858,MATCH($B114,[2]ConsolidatedVehData!$A$22:$A$858,0),MATCH(P$1,[2]ConsolidatedVehData!$P$7:$Z$7,0))</f>
        <v>2042.1687542018442</v>
      </c>
      <c r="Q114" s="309">
        <f>INDEX([2]ConsolidatedVehData!$P$22:$Z$858,MATCH($B114,[2]ConsolidatedVehData!$A$22:$A$858,0),MATCH(Q$1,[2]ConsolidatedVehData!$P$7:$Z$7,0))</f>
        <v>2042.1555144994391</v>
      </c>
      <c r="R114" s="309">
        <f>INDEX([2]ConsolidatedVehData!$P$22:$Z$858,MATCH($B114,[2]ConsolidatedVehData!$A$22:$A$858,0),MATCH(R$1,[2]ConsolidatedVehData!$P$7:$Z$7,0))</f>
        <v>2042.1555144994391</v>
      </c>
      <c r="S114" s="309">
        <f>INDEX([2]ConsolidatedVehData!$P$22:$Z$858,MATCH($B114,[2]ConsolidatedVehData!$A$22:$A$858,0),MATCH(S$1,[2]ConsolidatedVehData!$P$7:$Z$7,0))</f>
        <v>2042.1555144994391</v>
      </c>
      <c r="T114" s="309">
        <f>S114</f>
        <v>2042.1555144994391</v>
      </c>
      <c r="U114" s="310">
        <f>INDEX([2]ConsolidatedVehData!$AF$22:$AF$858,MATCH(B114,[2]ConsolidatedVehData!$A$22:$A$858,0))</f>
        <v>0.42821977015155793</v>
      </c>
      <c r="V114" s="310">
        <f>INDEX([2]ConsolidatedVehData!$AF$22:$AF$858,MATCH($B114,[2]ConsolidatedVehData!$A$22:$A$858,0)+1)</f>
        <v>0.39442898261784826</v>
      </c>
      <c r="W114" s="310">
        <f>INDEX([2]ConsolidatedVehData!$AF$22:$AF$858,MATCH($B114,[2]ConsolidatedVehData!$A$22:$A$858,0)+2)</f>
        <v>0.46127942188749532</v>
      </c>
      <c r="X114" s="310">
        <f>INDEX([2]ConsolidatedVehData!$AF$22:$AF$858,MATCH($B114,[2]ConsolidatedVehData!$A$22:$A$858,0)+3)</f>
        <v>0.5429630697842468</v>
      </c>
      <c r="Y114" s="310">
        <f>INDEX([2]ConsolidatedVehData!$AF$22:$AF$858,MATCH($B114,[2]ConsolidatedVehData!$A$22:$A$858,0)+4)</f>
        <v>0.54272821456455556</v>
      </c>
      <c r="Z114" s="310">
        <f>INDEX([2]ConsolidatedVehData!$AF$22:$AF$858,MATCH($B114,[2]ConsolidatedVehData!$A$22:$A$858,0)+5)</f>
        <v>0.54179437534819019</v>
      </c>
      <c r="AA114" s="310">
        <f>INDEX([2]ConsolidatedVehData!$AF$22:$AF$858,MATCH($B114,[2]ConsolidatedVehData!$A$22:$A$858,0)+6)</f>
        <v>0.54095216708402816</v>
      </c>
      <c r="AB114" s="310">
        <f>INDEX([2]ConsolidatedVehData!$AF$22:$AF$858,MATCH($B114,[2]ConsolidatedVehData!$A$22:$A$858,0)+7)</f>
        <v>0.54095216708402816</v>
      </c>
      <c r="AC114" s="310">
        <f>INDEX([2]ConsolidatedVehData!$AF$22:$AF$858,MATCH($B114,[2]ConsolidatedVehData!$A$22:$A$858,0)+8)</f>
        <v>0.54095216708402816</v>
      </c>
      <c r="AD114" s="310">
        <f t="shared" si="56"/>
        <v>0.54095216708402816</v>
      </c>
      <c r="AE114" s="286">
        <f>INDEX([2]ConsolidatedVehData!$AB$22:$AB$858,MATCH(B114,[2]ConsolidatedVehData!$A$22:$A$858,0))</f>
        <v>40.382789385678855</v>
      </c>
      <c r="AF114" s="311">
        <v>0.44</v>
      </c>
      <c r="AG114" s="311">
        <v>0.24</v>
      </c>
      <c r="AH114" s="311">
        <v>0.28000000000000003</v>
      </c>
      <c r="AI114" s="311">
        <v>0.44</v>
      </c>
      <c r="AJ114" s="294"/>
      <c r="AX114" s="250"/>
      <c r="AY114" s="250"/>
      <c r="AZ114" s="250"/>
      <c r="BA114" s="250"/>
      <c r="BB114" s="250"/>
      <c r="BC114" s="250"/>
      <c r="BD114" s="250"/>
    </row>
    <row r="115" spans="1:56" x14ac:dyDescent="0.2">
      <c r="A115" s="255" t="str">
        <f>IF(LEFT(A114,1)="*","*","")</f>
        <v>*</v>
      </c>
      <c r="B115" s="255"/>
      <c r="C115" s="255"/>
      <c r="D115" s="255"/>
      <c r="E115" s="255" t="s">
        <v>99</v>
      </c>
      <c r="F115" s="255"/>
      <c r="G115" s="257"/>
      <c r="H115" s="310">
        <f>INDEX([2]ConsolidatedVehData!$AG$22:$AG$858,MATCH(B114,[2]ConsolidatedVehData!$A$22:$A$858,0))</f>
        <v>0.1342377020706492</v>
      </c>
      <c r="I115" s="294"/>
      <c r="J115" s="294"/>
      <c r="K115" s="294"/>
      <c r="L115" s="294"/>
      <c r="M115" s="294"/>
      <c r="N115" s="294"/>
      <c r="O115" s="294"/>
      <c r="P115" s="294"/>
      <c r="Q115" s="294"/>
      <c r="R115" s="294"/>
      <c r="S115" s="294"/>
      <c r="T115" s="294"/>
      <c r="U115" s="310"/>
      <c r="V115" s="310"/>
      <c r="W115" s="310"/>
      <c r="X115" s="310"/>
      <c r="Y115" s="310"/>
      <c r="Z115" s="310"/>
      <c r="AA115" s="310"/>
      <c r="AB115" s="310"/>
      <c r="AC115" s="310"/>
      <c r="AD115" s="310"/>
      <c r="AE115" s="294"/>
      <c r="AF115" s="311"/>
      <c r="AG115" s="311"/>
      <c r="AH115" s="311"/>
      <c r="AI115" s="311"/>
      <c r="AJ115" s="294"/>
      <c r="AX115" s="250"/>
      <c r="AY115" s="250"/>
      <c r="AZ115" s="250"/>
      <c r="BA115" s="250"/>
      <c r="BB115" s="250"/>
      <c r="BC115" s="250"/>
      <c r="BD115" s="250"/>
    </row>
    <row r="116" spans="1:56" x14ac:dyDescent="0.2">
      <c r="A116" s="255" t="str">
        <f>IF(LEFT(A115,1)="*","*","")</f>
        <v>*</v>
      </c>
      <c r="B116" s="255"/>
      <c r="C116" s="255"/>
      <c r="D116" s="255"/>
      <c r="E116" s="255"/>
      <c r="F116" s="255" t="str">
        <f>[2]Commodities!$D$9</f>
        <v>TL</v>
      </c>
      <c r="G116" s="257"/>
      <c r="H116" s="310"/>
      <c r="I116" s="294"/>
      <c r="J116" s="294"/>
      <c r="K116" s="294"/>
      <c r="L116" s="294"/>
      <c r="M116" s="294"/>
      <c r="N116" s="294"/>
      <c r="O116" s="294"/>
      <c r="P116" s="294"/>
      <c r="Q116" s="294"/>
      <c r="R116" s="294"/>
      <c r="S116" s="294"/>
      <c r="T116" s="294"/>
      <c r="U116" s="310"/>
      <c r="V116" s="310"/>
      <c r="W116" s="310"/>
      <c r="X116" s="310"/>
      <c r="Y116" s="310"/>
      <c r="Z116" s="310"/>
      <c r="AA116" s="310"/>
      <c r="AB116" s="310"/>
      <c r="AC116" s="310"/>
      <c r="AD116" s="310"/>
      <c r="AE116" s="294"/>
      <c r="AF116" s="311"/>
      <c r="AG116" s="311"/>
      <c r="AH116" s="311"/>
      <c r="AI116" s="311"/>
      <c r="AJ116" s="294"/>
      <c r="AX116" s="250"/>
      <c r="AY116" s="250"/>
      <c r="AZ116" s="250"/>
      <c r="BA116" s="250"/>
      <c r="BB116" s="250"/>
      <c r="BC116" s="250"/>
      <c r="BD116" s="250"/>
    </row>
    <row r="117" spans="1:56" x14ac:dyDescent="0.2">
      <c r="A117" s="255" t="str">
        <f>[2]Technologies!B159</f>
        <v>*R2,R3,R4,R5,R6</v>
      </c>
      <c r="B117" s="255" t="str">
        <f>[2]Technologies!D159</f>
        <v>TLFP20E10</v>
      </c>
      <c r="C117" s="255" t="str">
        <f>[2]Technologies!E159</f>
        <v>TL.E85X.F.P20E.2010</v>
      </c>
      <c r="D117" s="255" t="s">
        <v>292</v>
      </c>
      <c r="E117" s="255" t="s">
        <v>95</v>
      </c>
      <c r="F117" s="257"/>
      <c r="G117" s="257"/>
      <c r="H117" s="310">
        <f>1-H118</f>
        <v>0.86576229792935078</v>
      </c>
      <c r="I117" s="309">
        <f>INDEX([2]ConsolidatedVehData!$D$22:$D$858,MATCH(B117,[2]ConsolidatedVehData!$A$22:$A$858,0))</f>
        <v>2010</v>
      </c>
      <c r="J117" s="294">
        <v>20</v>
      </c>
      <c r="K117" s="309">
        <f>INDEX([2]ConsolidatedVehData!$P$22:$Z$858,MATCH($B117,[2]ConsolidatedVehData!$A$22:$A$858,0),MATCH(K$1,[2]ConsolidatedVehData!$P$7:$Z$7,0))</f>
        <v>2446.3952885535209</v>
      </c>
      <c r="L117" s="309">
        <f>INDEX([2]ConsolidatedVehData!$P$22:$Z$858,MATCH($B117,[2]ConsolidatedVehData!$A$22:$A$858,0),MATCH(L$1,[2]ConsolidatedVehData!$P$7:$Z$7,0))</f>
        <v>2314.5031797871461</v>
      </c>
      <c r="M117" s="309">
        <f>INDEX([2]ConsolidatedVehData!$P$22:$Z$858,MATCH($B117,[2]ConsolidatedVehData!$A$22:$A$858,0),MATCH(M$1,[2]ConsolidatedVehData!$P$7:$Z$7,0))</f>
        <v>2365.9417532243142</v>
      </c>
      <c r="N117" s="309">
        <f>INDEX([2]ConsolidatedVehData!$P$22:$Z$858,MATCH($B117,[2]ConsolidatedVehData!$A$22:$A$858,0),MATCH(N$1,[2]ConsolidatedVehData!$P$7:$Z$7,0))</f>
        <v>2451.2050873289922</v>
      </c>
      <c r="O117" s="309">
        <f>INDEX([2]ConsolidatedVehData!$P$22:$Z$858,MATCH($B117,[2]ConsolidatedVehData!$A$22:$A$858,0),MATCH(O$1,[2]ConsolidatedVehData!$P$7:$Z$7,0))</f>
        <v>2440.0890059578792</v>
      </c>
      <c r="P117" s="309">
        <f>INDEX([2]ConsolidatedVehData!$P$22:$Z$858,MATCH($B117,[2]ConsolidatedVehData!$A$22:$A$858,0),MATCH(P$1,[2]ConsolidatedVehData!$P$7:$Z$7,0))</f>
        <v>2437.156076547039</v>
      </c>
      <c r="Q117" s="309">
        <f>INDEX([2]ConsolidatedVehData!$P$22:$Z$858,MATCH($B117,[2]ConsolidatedVehData!$A$22:$A$858,0),MATCH(Q$1,[2]ConsolidatedVehData!$P$7:$Z$7,0))</f>
        <v>2436.6837050426311</v>
      </c>
      <c r="R117" s="309">
        <f>INDEX([2]ConsolidatedVehData!$P$22:$Z$858,MATCH($B117,[2]ConsolidatedVehData!$A$22:$A$858,0),MATCH(R$1,[2]ConsolidatedVehData!$P$7:$Z$7,0))</f>
        <v>2436.6837050426311</v>
      </c>
      <c r="S117" s="309">
        <f>INDEX([2]ConsolidatedVehData!$P$22:$Z$858,MATCH($B117,[2]ConsolidatedVehData!$A$22:$A$858,0),MATCH(S$1,[2]ConsolidatedVehData!$P$7:$Z$7,0))</f>
        <v>2436.6837050426311</v>
      </c>
      <c r="T117" s="309">
        <f>S117</f>
        <v>2436.6837050426311</v>
      </c>
      <c r="U117" s="310">
        <f>INDEX([2]ConsolidatedVehData!$AF$22:$AF$858,MATCH(B117,[2]ConsolidatedVehData!$A$22:$A$858,0))</f>
        <v>0.42821977015155793</v>
      </c>
      <c r="V117" s="310">
        <f>INDEX([2]ConsolidatedVehData!$AF$22:$AF$858,MATCH($B117,[2]ConsolidatedVehData!$A$22:$A$858,0)+1)</f>
        <v>0.39442898261784826</v>
      </c>
      <c r="W117" s="310">
        <f>INDEX([2]ConsolidatedVehData!$AF$22:$AF$858,MATCH($B117,[2]ConsolidatedVehData!$A$22:$A$858,0)+2)</f>
        <v>0.46127942188749532</v>
      </c>
      <c r="X117" s="310">
        <f>INDEX([2]ConsolidatedVehData!$AF$22:$AF$858,MATCH($B117,[2]ConsolidatedVehData!$A$22:$A$858,0)+3)</f>
        <v>0.5429630697842468</v>
      </c>
      <c r="Y117" s="310">
        <f>INDEX([2]ConsolidatedVehData!$AF$22:$AF$858,MATCH($B117,[2]ConsolidatedVehData!$A$22:$A$858,0)+4)</f>
        <v>0.54272821456455556</v>
      </c>
      <c r="Z117" s="310">
        <f>INDEX([2]ConsolidatedVehData!$AF$22:$AF$858,MATCH($B117,[2]ConsolidatedVehData!$A$22:$A$858,0)+5)</f>
        <v>0.54179437534819019</v>
      </c>
      <c r="AA117" s="310">
        <f>INDEX([2]ConsolidatedVehData!$AF$22:$AF$858,MATCH($B117,[2]ConsolidatedVehData!$A$22:$A$858,0)+6)</f>
        <v>0.54095216708402816</v>
      </c>
      <c r="AB117" s="310">
        <f>INDEX([2]ConsolidatedVehData!$AF$22:$AF$858,MATCH($B117,[2]ConsolidatedVehData!$A$22:$A$858,0)+7)</f>
        <v>0.54095216708402816</v>
      </c>
      <c r="AC117" s="310">
        <f>INDEX([2]ConsolidatedVehData!$AF$22:$AF$858,MATCH($B117,[2]ConsolidatedVehData!$A$22:$A$858,0)+8)</f>
        <v>0.54095216708402816</v>
      </c>
      <c r="AD117" s="310">
        <f t="shared" si="56"/>
        <v>0.54095216708402816</v>
      </c>
      <c r="AE117" s="286">
        <f>INDEX([2]ConsolidatedVehData!$AB$22:$AB$858,MATCH(B117,[2]ConsolidatedVehData!$A$22:$A$858,0))</f>
        <v>45.478712808157368</v>
      </c>
      <c r="AF117" s="311">
        <v>0.44</v>
      </c>
      <c r="AG117" s="311">
        <v>0.24</v>
      </c>
      <c r="AH117" s="311">
        <v>0.28000000000000003</v>
      </c>
      <c r="AI117" s="311">
        <v>0.44</v>
      </c>
      <c r="AJ117" s="294"/>
      <c r="AX117" s="250"/>
      <c r="AY117" s="250"/>
      <c r="AZ117" s="250"/>
      <c r="BA117" s="250"/>
      <c r="BB117" s="250"/>
      <c r="BC117" s="250"/>
      <c r="BD117" s="250"/>
    </row>
    <row r="118" spans="1:56" x14ac:dyDescent="0.2">
      <c r="A118" s="255" t="str">
        <f>IF(LEFT(A117,1)="*","*","")</f>
        <v>*</v>
      </c>
      <c r="B118" s="255"/>
      <c r="C118" s="255"/>
      <c r="D118" s="255"/>
      <c r="E118" s="255" t="s">
        <v>99</v>
      </c>
      <c r="F118" s="255"/>
      <c r="G118" s="257"/>
      <c r="H118" s="310">
        <f>INDEX([2]ConsolidatedVehData!$AG$22:$AG$858,MATCH(B117,[2]ConsolidatedVehData!$A$22:$A$858,0))</f>
        <v>0.1342377020706492</v>
      </c>
      <c r="I118" s="294"/>
      <c r="J118" s="294"/>
      <c r="K118" s="294"/>
      <c r="L118" s="294"/>
      <c r="M118" s="294"/>
      <c r="N118" s="294"/>
      <c r="O118" s="294"/>
      <c r="P118" s="294"/>
      <c r="Q118" s="294"/>
      <c r="R118" s="294"/>
      <c r="S118" s="294"/>
      <c r="T118" s="294"/>
      <c r="U118" s="310"/>
      <c r="V118" s="310"/>
      <c r="W118" s="310"/>
      <c r="X118" s="310"/>
      <c r="Y118" s="310"/>
      <c r="Z118" s="310"/>
      <c r="AA118" s="310"/>
      <c r="AB118" s="310"/>
      <c r="AC118" s="310"/>
      <c r="AD118" s="310"/>
      <c r="AE118" s="294"/>
      <c r="AF118" s="311"/>
      <c r="AG118" s="311"/>
      <c r="AH118" s="311"/>
      <c r="AI118" s="311"/>
      <c r="AJ118" s="294"/>
      <c r="AX118" s="250"/>
      <c r="AY118" s="250"/>
      <c r="AZ118" s="250"/>
      <c r="BA118" s="250"/>
      <c r="BB118" s="250"/>
      <c r="BC118" s="250"/>
      <c r="BD118" s="250"/>
    </row>
    <row r="119" spans="1:56" x14ac:dyDescent="0.2">
      <c r="A119" s="255" t="str">
        <f>IF(LEFT(A118,1)="*","*","")</f>
        <v>*</v>
      </c>
      <c r="B119" s="255"/>
      <c r="C119" s="255"/>
      <c r="D119" s="255"/>
      <c r="E119" s="255"/>
      <c r="F119" s="255" t="str">
        <f>[2]Commodities!$D$9</f>
        <v>TL</v>
      </c>
      <c r="G119" s="257"/>
      <c r="H119" s="310"/>
      <c r="I119" s="294"/>
      <c r="J119" s="294"/>
      <c r="K119" s="294"/>
      <c r="L119" s="294"/>
      <c r="M119" s="294"/>
      <c r="N119" s="294"/>
      <c r="O119" s="294"/>
      <c r="P119" s="294"/>
      <c r="Q119" s="294"/>
      <c r="R119" s="294"/>
      <c r="S119" s="294"/>
      <c r="T119" s="294"/>
      <c r="U119" s="310"/>
      <c r="V119" s="310"/>
      <c r="W119" s="310"/>
      <c r="X119" s="310"/>
      <c r="Y119" s="310"/>
      <c r="Z119" s="310"/>
      <c r="AA119" s="310"/>
      <c r="AB119" s="310"/>
      <c r="AC119" s="310"/>
      <c r="AD119" s="310"/>
      <c r="AE119" s="294"/>
      <c r="AF119" s="311"/>
      <c r="AG119" s="311"/>
      <c r="AH119" s="311"/>
      <c r="AI119" s="311"/>
      <c r="AJ119" s="294"/>
      <c r="AX119" s="250"/>
      <c r="AY119" s="250"/>
      <c r="AZ119" s="250"/>
      <c r="BA119" s="250"/>
      <c r="BB119" s="250"/>
      <c r="BC119" s="250"/>
      <c r="BD119" s="250"/>
    </row>
    <row r="120" spans="1:56" x14ac:dyDescent="0.2">
      <c r="A120" s="255" t="str">
        <f>[2]Technologies!B160</f>
        <v>*R2,R3,R4,R5,R6</v>
      </c>
      <c r="B120" s="255" t="str">
        <f>[2]Technologies!D160</f>
        <v>TLPP20E10</v>
      </c>
      <c r="C120" s="255" t="str">
        <f>[2]Technologies!E160</f>
        <v>TL.E85X.P.P20E.2010</v>
      </c>
      <c r="D120" s="255" t="s">
        <v>292</v>
      </c>
      <c r="E120" s="255" t="s">
        <v>95</v>
      </c>
      <c r="F120" s="257"/>
      <c r="G120" s="257"/>
      <c r="H120" s="310">
        <f>1-H121</f>
        <v>0.86576229792935078</v>
      </c>
      <c r="I120" s="309">
        <f>INDEX([2]ConsolidatedVehData!$D$22:$D$858,MATCH(B120,[2]ConsolidatedVehData!$A$22:$A$858,0))</f>
        <v>2010</v>
      </c>
      <c r="J120" s="294">
        <v>20</v>
      </c>
      <c r="K120" s="309">
        <f>INDEX([2]ConsolidatedVehData!$P$22:$Z$858,MATCH($B120,[2]ConsolidatedVehData!$A$22:$A$858,0),MATCH(K$1,[2]ConsolidatedVehData!$P$7:$Z$7,0))</f>
        <v>1515.8777937900504</v>
      </c>
      <c r="L120" s="309">
        <f>INDEX([2]ConsolidatedVehData!$P$22:$Z$858,MATCH($B120,[2]ConsolidatedVehData!$A$22:$A$858,0),MATCH(L$1,[2]ConsolidatedVehData!$P$7:$Z$7,0))</f>
        <v>2790.6706272346596</v>
      </c>
      <c r="M120" s="309">
        <f>INDEX([2]ConsolidatedVehData!$P$22:$Z$858,MATCH($B120,[2]ConsolidatedVehData!$A$22:$A$858,0),MATCH(M$1,[2]ConsolidatedVehData!$P$7:$Z$7,0))</f>
        <v>2793.4217852739307</v>
      </c>
      <c r="N120" s="309">
        <f>INDEX([2]ConsolidatedVehData!$P$22:$Z$858,MATCH($B120,[2]ConsolidatedVehData!$A$22:$A$858,0),MATCH(N$1,[2]ConsolidatedVehData!$P$7:$Z$7,0))</f>
        <v>2850.8113239901554</v>
      </c>
      <c r="O120" s="309">
        <f>INDEX([2]ConsolidatedVehData!$P$22:$Z$858,MATCH($B120,[2]ConsolidatedVehData!$A$22:$A$858,0),MATCH(O$1,[2]ConsolidatedVehData!$P$7:$Z$7,0))</f>
        <v>2834.994428225918</v>
      </c>
      <c r="P120" s="309">
        <f>INDEX([2]ConsolidatedVehData!$P$22:$Z$858,MATCH($B120,[2]ConsolidatedVehData!$A$22:$A$858,0),MATCH(P$1,[2]ConsolidatedVehData!$P$7:$Z$7,0))</f>
        <v>2831.6184941189522</v>
      </c>
      <c r="Q120" s="309">
        <f>INDEX([2]ConsolidatedVehData!$P$22:$Z$858,MATCH($B120,[2]ConsolidatedVehData!$A$22:$A$858,0),MATCH(Q$1,[2]ConsolidatedVehData!$P$7:$Z$7,0))</f>
        <v>2832.6024457065737</v>
      </c>
      <c r="R120" s="309">
        <f>INDEX([2]ConsolidatedVehData!$P$22:$Z$858,MATCH($B120,[2]ConsolidatedVehData!$A$22:$A$858,0),MATCH(R$1,[2]ConsolidatedVehData!$P$7:$Z$7,0))</f>
        <v>2832.6024457065737</v>
      </c>
      <c r="S120" s="309">
        <f>INDEX([2]ConsolidatedVehData!$P$22:$Z$858,MATCH($B120,[2]ConsolidatedVehData!$A$22:$A$858,0),MATCH(S$1,[2]ConsolidatedVehData!$P$7:$Z$7,0))</f>
        <v>2832.6024457065737</v>
      </c>
      <c r="T120" s="309">
        <f>S120</f>
        <v>2832.6024457065737</v>
      </c>
      <c r="U120" s="310">
        <f>INDEX([2]ConsolidatedVehData!$AF$22:$AF$858,MATCH(B120,[2]ConsolidatedVehData!$A$22:$A$858,0))</f>
        <v>0.19222469111952811</v>
      </c>
      <c r="V120" s="310">
        <f>INDEX([2]ConsolidatedVehData!$AF$22:$AF$858,MATCH($B120,[2]ConsolidatedVehData!$A$22:$A$858,0)+1)</f>
        <v>0.19743193857060079</v>
      </c>
      <c r="W120" s="310">
        <f>INDEX([2]ConsolidatedVehData!$AF$22:$AF$858,MATCH($B120,[2]ConsolidatedVehData!$A$22:$A$858,0)+2)</f>
        <v>0.23550985133468236</v>
      </c>
      <c r="X120" s="310">
        <f>INDEX([2]ConsolidatedVehData!$AF$22:$AF$858,MATCH($B120,[2]ConsolidatedVehData!$A$22:$A$858,0)+3)</f>
        <v>0.29110139355136061</v>
      </c>
      <c r="Y120" s="310">
        <f>INDEX([2]ConsolidatedVehData!$AF$22:$AF$858,MATCH($B120,[2]ConsolidatedVehData!$A$22:$A$858,0)+4)</f>
        <v>0.29044239645127901</v>
      </c>
      <c r="Z120" s="310">
        <f>INDEX([2]ConsolidatedVehData!$AF$22:$AF$858,MATCH($B120,[2]ConsolidatedVehData!$A$22:$A$858,0)+5)</f>
        <v>0.29016952336695384</v>
      </c>
      <c r="AA120" s="310">
        <f>INDEX([2]ConsolidatedVehData!$AF$22:$AF$858,MATCH($B120,[2]ConsolidatedVehData!$A$22:$A$858,0)+6)</f>
        <v>0.28998388531446334</v>
      </c>
      <c r="AB120" s="310">
        <f>INDEX([2]ConsolidatedVehData!$AF$22:$AF$858,MATCH($B120,[2]ConsolidatedVehData!$A$22:$A$858,0)+7)</f>
        <v>0.28998388531446334</v>
      </c>
      <c r="AC120" s="310">
        <f>INDEX([2]ConsolidatedVehData!$AF$22:$AF$858,MATCH($B120,[2]ConsolidatedVehData!$A$22:$A$858,0)+8)</f>
        <v>0.28998388531446334</v>
      </c>
      <c r="AD120" s="310">
        <f t="shared" si="56"/>
        <v>0.28998388531446334</v>
      </c>
      <c r="AE120" s="286">
        <f>INDEX([2]ConsolidatedVehData!$AB$22:$AB$858,MATCH(B120,[2]ConsolidatedVehData!$A$22:$A$858,0))</f>
        <v>48.0747492686653</v>
      </c>
      <c r="AF120" s="311">
        <v>0.44</v>
      </c>
      <c r="AG120" s="311">
        <v>0.24</v>
      </c>
      <c r="AH120" s="311">
        <v>0.28000000000000003</v>
      </c>
      <c r="AI120" s="311">
        <v>0.44</v>
      </c>
      <c r="AJ120" s="294"/>
      <c r="AX120" s="250"/>
      <c r="AY120" s="250"/>
      <c r="AZ120" s="250"/>
      <c r="BA120" s="250"/>
      <c r="BB120" s="250"/>
      <c r="BC120" s="250"/>
      <c r="BD120" s="250"/>
    </row>
    <row r="121" spans="1:56" x14ac:dyDescent="0.2">
      <c r="A121" s="255" t="str">
        <f>IF(LEFT(A120,1)="*","*","")</f>
        <v>*</v>
      </c>
      <c r="B121" s="255"/>
      <c r="C121" s="255"/>
      <c r="D121" s="255"/>
      <c r="E121" s="255" t="s">
        <v>99</v>
      </c>
      <c r="F121" s="255"/>
      <c r="G121" s="257"/>
      <c r="H121" s="310">
        <f>INDEX([2]ConsolidatedVehData!$AG$22:$AG$858,MATCH(B120,[2]ConsolidatedVehData!$A$22:$A$858,0))</f>
        <v>0.1342377020706492</v>
      </c>
      <c r="I121" s="294"/>
      <c r="J121" s="294"/>
      <c r="K121" s="294"/>
      <c r="L121" s="294"/>
      <c r="M121" s="294"/>
      <c r="N121" s="294"/>
      <c r="O121" s="294"/>
      <c r="P121" s="294"/>
      <c r="Q121" s="294"/>
      <c r="R121" s="294"/>
      <c r="S121" s="294"/>
      <c r="T121" s="294"/>
      <c r="U121" s="310"/>
      <c r="V121" s="310"/>
      <c r="W121" s="310"/>
      <c r="X121" s="310"/>
      <c r="Y121" s="310"/>
      <c r="Z121" s="310"/>
      <c r="AA121" s="310"/>
      <c r="AB121" s="310"/>
      <c r="AC121" s="310"/>
      <c r="AD121" s="310"/>
      <c r="AE121" s="294"/>
      <c r="AF121" s="311"/>
      <c r="AG121" s="311"/>
      <c r="AH121" s="311"/>
      <c r="AI121" s="311"/>
      <c r="AJ121" s="294"/>
      <c r="AX121" s="250"/>
      <c r="AY121" s="250"/>
      <c r="AZ121" s="250"/>
      <c r="BA121" s="250"/>
      <c r="BB121" s="250"/>
      <c r="BC121" s="250"/>
      <c r="BD121" s="250"/>
    </row>
    <row r="122" spans="1:56" x14ac:dyDescent="0.2">
      <c r="A122" s="255" t="str">
        <f>IF(LEFT(A121,1)="*","*","")</f>
        <v>*</v>
      </c>
      <c r="B122" s="255"/>
      <c r="C122" s="255"/>
      <c r="D122" s="255"/>
      <c r="E122" s="255"/>
      <c r="F122" s="255" t="str">
        <f>[2]Commodities!$D$9</f>
        <v>TL</v>
      </c>
      <c r="G122" s="257"/>
      <c r="H122" s="310"/>
      <c r="I122" s="294"/>
      <c r="J122" s="294"/>
      <c r="K122" s="294"/>
      <c r="L122" s="294"/>
      <c r="M122" s="294"/>
      <c r="N122" s="294"/>
      <c r="O122" s="294"/>
      <c r="P122" s="294"/>
      <c r="Q122" s="294"/>
      <c r="R122" s="294"/>
      <c r="S122" s="294"/>
      <c r="T122" s="294"/>
      <c r="U122" s="310"/>
      <c r="V122" s="310"/>
      <c r="W122" s="310"/>
      <c r="X122" s="310"/>
      <c r="Y122" s="310"/>
      <c r="Z122" s="310"/>
      <c r="AA122" s="310"/>
      <c r="AB122" s="310"/>
      <c r="AC122" s="310"/>
      <c r="AD122" s="310"/>
      <c r="AE122" s="294"/>
      <c r="AF122" s="311"/>
      <c r="AG122" s="311"/>
      <c r="AH122" s="311"/>
      <c r="AI122" s="311"/>
      <c r="AJ122" s="294"/>
      <c r="AX122" s="250"/>
      <c r="AY122" s="250"/>
      <c r="AZ122" s="250"/>
      <c r="BA122" s="250"/>
      <c r="BB122" s="250"/>
      <c r="BC122" s="250"/>
      <c r="BD122" s="250"/>
    </row>
    <row r="123" spans="1:56" x14ac:dyDescent="0.2">
      <c r="A123" s="255" t="str">
        <f>[2]Technologies!B161</f>
        <v>*R2,R3,R4,R5,R6</v>
      </c>
      <c r="B123" s="255" t="str">
        <f>[2]Technologies!D161</f>
        <v>TLMP20E10</v>
      </c>
      <c r="C123" s="255" t="str">
        <f>[2]Technologies!E161</f>
        <v>TL.E85X.M.P20E.2010</v>
      </c>
      <c r="D123" s="255" t="s">
        <v>292</v>
      </c>
      <c r="E123" s="255" t="s">
        <v>95</v>
      </c>
      <c r="F123" s="257"/>
      <c r="G123" s="257"/>
      <c r="H123" s="310">
        <f>1-H124</f>
        <v>0.86576229792935078</v>
      </c>
      <c r="I123" s="309">
        <f>INDEX([2]ConsolidatedVehData!$D$22:$D$858,MATCH(B123,[2]ConsolidatedVehData!$A$22:$A$858,0))</f>
        <v>2010</v>
      </c>
      <c r="J123" s="294">
        <v>20</v>
      </c>
      <c r="K123" s="309">
        <f>INDEX([2]ConsolidatedVehData!$P$22:$Z$858,MATCH($B123,[2]ConsolidatedVehData!$A$22:$A$858,0),MATCH(K$1,[2]ConsolidatedVehData!$P$7:$Z$7,0))</f>
        <v>1672.9637872309293</v>
      </c>
      <c r="L123" s="309">
        <f>INDEX([2]ConsolidatedVehData!$P$22:$Z$858,MATCH($B123,[2]ConsolidatedVehData!$A$22:$A$858,0),MATCH(L$1,[2]ConsolidatedVehData!$P$7:$Z$7,0))</f>
        <v>1731.8212739454254</v>
      </c>
      <c r="M123" s="309">
        <f>INDEX([2]ConsolidatedVehData!$P$22:$Z$858,MATCH($B123,[2]ConsolidatedVehData!$A$22:$A$858,0),MATCH(M$1,[2]ConsolidatedVehData!$P$7:$Z$7,0))</f>
        <v>2600.7588701852483</v>
      </c>
      <c r="N123" s="309">
        <f>INDEX([2]ConsolidatedVehData!$P$22:$Z$858,MATCH($B123,[2]ConsolidatedVehData!$A$22:$A$858,0),MATCH(N$1,[2]ConsolidatedVehData!$P$7:$Z$7,0))</f>
        <v>2654.3208588982052</v>
      </c>
      <c r="O123" s="309">
        <f>INDEX([2]ConsolidatedVehData!$P$22:$Z$858,MATCH($B123,[2]ConsolidatedVehData!$A$22:$A$858,0),MATCH(O$1,[2]ConsolidatedVehData!$P$7:$Z$7,0))</f>
        <v>2641.1329248537072</v>
      </c>
      <c r="P123" s="309">
        <f>INDEX([2]ConsolidatedVehData!$P$22:$Z$858,MATCH($B123,[2]ConsolidatedVehData!$A$22:$A$858,0),MATCH(P$1,[2]ConsolidatedVehData!$P$7:$Z$7,0))</f>
        <v>2638.7370539686808</v>
      </c>
      <c r="Q123" s="309">
        <f>INDEX([2]ConsolidatedVehData!$P$22:$Z$858,MATCH($B123,[2]ConsolidatedVehData!$A$22:$A$858,0),MATCH(Q$1,[2]ConsolidatedVehData!$P$7:$Z$7,0))</f>
        <v>2639.1357445789677</v>
      </c>
      <c r="R123" s="309">
        <f>INDEX([2]ConsolidatedVehData!$P$22:$Z$858,MATCH($B123,[2]ConsolidatedVehData!$A$22:$A$858,0),MATCH(R$1,[2]ConsolidatedVehData!$P$7:$Z$7,0))</f>
        <v>2639.1357445789677</v>
      </c>
      <c r="S123" s="309">
        <f>INDEX([2]ConsolidatedVehData!$P$22:$Z$858,MATCH($B123,[2]ConsolidatedVehData!$A$22:$A$858,0),MATCH(S$1,[2]ConsolidatedVehData!$P$7:$Z$7,0))</f>
        <v>2639.1357445789677</v>
      </c>
      <c r="T123" s="309">
        <f>S123</f>
        <v>2639.1357445789677</v>
      </c>
      <c r="U123" s="310">
        <f>INDEX([2]ConsolidatedVehData!$AF$22:$AF$858,MATCH(B123,[2]ConsolidatedVehData!$A$22:$A$858,0))</f>
        <v>0.29875219804284292</v>
      </c>
      <c r="V123" s="310">
        <f>INDEX([2]ConsolidatedVehData!$AF$22:$AF$858,MATCH($B123,[2]ConsolidatedVehData!$A$22:$A$858,0)+1)</f>
        <v>0.28011759238912265</v>
      </c>
      <c r="W123" s="310">
        <f>INDEX([2]ConsolidatedVehData!$AF$22:$AF$858,MATCH($B123,[2]ConsolidatedVehData!$A$22:$A$858,0)+2)</f>
        <v>0.32468239925191827</v>
      </c>
      <c r="X123" s="310">
        <f>INDEX([2]ConsolidatedVehData!$AF$22:$AF$858,MATCH($B123,[2]ConsolidatedVehData!$A$22:$A$858,0)+3)</f>
        <v>0.39649960809729973</v>
      </c>
      <c r="Y123" s="310">
        <f>INDEX([2]ConsolidatedVehData!$AF$22:$AF$858,MATCH($B123,[2]ConsolidatedVehData!$A$22:$A$858,0)+4)</f>
        <v>0.40399389552407777</v>
      </c>
      <c r="Z123" s="310">
        <f>INDEX([2]ConsolidatedVehData!$AF$22:$AF$858,MATCH($B123,[2]ConsolidatedVehData!$A$22:$A$858,0)+5)</f>
        <v>0.40665735762853189</v>
      </c>
      <c r="AA123" s="310">
        <f>INDEX([2]ConsolidatedVehData!$AF$22:$AF$858,MATCH($B123,[2]ConsolidatedVehData!$A$22:$A$858,0)+6)</f>
        <v>0.40760201040676469</v>
      </c>
      <c r="AB123" s="310">
        <f>INDEX([2]ConsolidatedVehData!$AF$22:$AF$858,MATCH($B123,[2]ConsolidatedVehData!$A$22:$A$858,0)+7)</f>
        <v>0.40760201040676469</v>
      </c>
      <c r="AC123" s="310">
        <f>INDEX([2]ConsolidatedVehData!$AF$22:$AF$858,MATCH($B123,[2]ConsolidatedVehData!$A$22:$A$858,0)+8)</f>
        <v>0.40760201040676469</v>
      </c>
      <c r="AD123" s="310">
        <f t="shared" si="56"/>
        <v>0.40760201040676469</v>
      </c>
      <c r="AE123" s="286">
        <f>INDEX([2]ConsolidatedVehData!$AB$22:$AB$858,MATCH(B123,[2]ConsolidatedVehData!$A$22:$A$858,0))</f>
        <v>45.478712808157368</v>
      </c>
      <c r="AF123" s="311">
        <v>0.44</v>
      </c>
      <c r="AG123" s="311">
        <v>0.24</v>
      </c>
      <c r="AH123" s="311">
        <v>0.28000000000000003</v>
      </c>
      <c r="AI123" s="311">
        <v>0.44</v>
      </c>
      <c r="AJ123" s="294"/>
      <c r="AX123" s="250"/>
      <c r="AY123" s="250"/>
      <c r="AZ123" s="250"/>
      <c r="BA123" s="250"/>
      <c r="BB123" s="250"/>
      <c r="BC123" s="250"/>
      <c r="BD123" s="250"/>
    </row>
    <row r="124" spans="1:56" x14ac:dyDescent="0.2">
      <c r="A124" s="255" t="str">
        <f>IF(LEFT(A123,1)="*","*","")</f>
        <v>*</v>
      </c>
      <c r="B124" s="255"/>
      <c r="C124" s="255"/>
      <c r="D124" s="255"/>
      <c r="E124" s="255" t="s">
        <v>99</v>
      </c>
      <c r="F124" s="255"/>
      <c r="G124" s="257"/>
      <c r="H124" s="310">
        <f>INDEX([2]ConsolidatedVehData!$AG$22:$AG$858,MATCH(B123,[2]ConsolidatedVehData!$A$22:$A$858,0))</f>
        <v>0.1342377020706492</v>
      </c>
      <c r="I124" s="294"/>
      <c r="J124" s="294"/>
      <c r="K124" s="294"/>
      <c r="L124" s="294"/>
      <c r="M124" s="294"/>
      <c r="N124" s="294"/>
      <c r="O124" s="294"/>
      <c r="P124" s="294"/>
      <c r="Q124" s="294"/>
      <c r="R124" s="294"/>
      <c r="S124" s="294"/>
      <c r="T124" s="294"/>
      <c r="U124" s="310"/>
      <c r="V124" s="310"/>
      <c r="W124" s="310"/>
      <c r="X124" s="310"/>
      <c r="Y124" s="310"/>
      <c r="Z124" s="310"/>
      <c r="AA124" s="310"/>
      <c r="AB124" s="310"/>
      <c r="AC124" s="310"/>
      <c r="AD124" s="310"/>
      <c r="AE124" s="294"/>
      <c r="AF124" s="311"/>
      <c r="AG124" s="311"/>
      <c r="AH124" s="311"/>
      <c r="AI124" s="311"/>
      <c r="AJ124" s="294"/>
      <c r="AX124" s="250"/>
      <c r="AY124" s="250"/>
      <c r="AZ124" s="250"/>
      <c r="BA124" s="250"/>
      <c r="BB124" s="250"/>
      <c r="BC124" s="250"/>
      <c r="BD124" s="250"/>
    </row>
    <row r="125" spans="1:56" x14ac:dyDescent="0.2">
      <c r="A125" s="255" t="str">
        <f>IF(LEFT(A124,1)="*","*","")</f>
        <v>*</v>
      </c>
      <c r="B125" s="255"/>
      <c r="C125" s="255"/>
      <c r="D125" s="255"/>
      <c r="E125" s="255"/>
      <c r="F125" s="255" t="str">
        <f>[2]Commodities!$D$9</f>
        <v>TL</v>
      </c>
      <c r="G125" s="257"/>
      <c r="H125" s="310"/>
      <c r="I125" s="294"/>
      <c r="J125" s="294"/>
      <c r="K125" s="294"/>
      <c r="L125" s="294"/>
      <c r="M125" s="294"/>
      <c r="N125" s="294"/>
      <c r="O125" s="294"/>
      <c r="P125" s="294"/>
      <c r="Q125" s="294"/>
      <c r="R125" s="294"/>
      <c r="S125" s="294"/>
      <c r="T125" s="294"/>
      <c r="U125" s="310"/>
      <c r="V125" s="310"/>
      <c r="W125" s="310"/>
      <c r="X125" s="310"/>
      <c r="Y125" s="310"/>
      <c r="Z125" s="310"/>
      <c r="AA125" s="310"/>
      <c r="AB125" s="310"/>
      <c r="AC125" s="310"/>
      <c r="AD125" s="310"/>
      <c r="AE125" s="294"/>
      <c r="AF125" s="311"/>
      <c r="AG125" s="311"/>
      <c r="AH125" s="311"/>
      <c r="AI125" s="311"/>
      <c r="AJ125" s="294"/>
      <c r="AX125" s="250"/>
      <c r="AY125" s="250"/>
      <c r="AZ125" s="250"/>
      <c r="BA125" s="250"/>
      <c r="BB125" s="250"/>
      <c r="BC125" s="250"/>
      <c r="BD125" s="250"/>
    </row>
    <row r="126" spans="1:56" x14ac:dyDescent="0.2">
      <c r="A126" s="255" t="str">
        <f>[2]Technologies!B162</f>
        <v>*R2,R3,R4,R5,R6</v>
      </c>
      <c r="B126" s="255" t="str">
        <f>[2]Technologies!D162</f>
        <v>TLLSP20E10</v>
      </c>
      <c r="C126" s="255" t="str">
        <f>[2]Technologies!E162</f>
        <v>TL.E85X.LS.P20E.2010</v>
      </c>
      <c r="D126" s="255" t="s">
        <v>292</v>
      </c>
      <c r="E126" s="255" t="s">
        <v>95</v>
      </c>
      <c r="F126" s="257"/>
      <c r="G126" s="257"/>
      <c r="H126" s="310">
        <f>1-H127</f>
        <v>0.86576229792935078</v>
      </c>
      <c r="I126" s="309">
        <f>INDEX([2]ConsolidatedVehData!$D$22:$D$858,MATCH(B126,[2]ConsolidatedVehData!$A$22:$A$858,0))</f>
        <v>2010</v>
      </c>
      <c r="J126" s="294">
        <v>20</v>
      </c>
      <c r="K126" s="309">
        <f>INDEX([2]ConsolidatedVehData!$P$22:$Z$858,MATCH($B126,[2]ConsolidatedVehData!$A$22:$A$858,0),MATCH(K$1,[2]ConsolidatedVehData!$P$7:$Z$7,0))</f>
        <v>3275.6207515897991</v>
      </c>
      <c r="L126" s="309">
        <f>INDEX([2]ConsolidatedVehData!$P$22:$Z$858,MATCH($B126,[2]ConsolidatedVehData!$A$22:$A$858,0),MATCH(L$1,[2]ConsolidatedVehData!$P$7:$Z$7,0))</f>
        <v>3278.2491327508674</v>
      </c>
      <c r="M126" s="309">
        <f>INDEX([2]ConsolidatedVehData!$P$22:$Z$858,MATCH($B126,[2]ConsolidatedVehData!$A$22:$A$858,0),MATCH(M$1,[2]ConsolidatedVehData!$P$7:$Z$7,0))</f>
        <v>3341.5073349515792</v>
      </c>
      <c r="N126" s="309">
        <f>INDEX([2]ConsolidatedVehData!$P$22:$Z$858,MATCH($B126,[2]ConsolidatedVehData!$A$22:$A$858,0),MATCH(N$1,[2]ConsolidatedVehData!$P$7:$Z$7,0))</f>
        <v>3405.8796367030463</v>
      </c>
      <c r="O126" s="309">
        <f>INDEX([2]ConsolidatedVehData!$P$22:$Z$858,MATCH($B126,[2]ConsolidatedVehData!$A$22:$A$858,0),MATCH(O$1,[2]ConsolidatedVehData!$P$7:$Z$7,0))</f>
        <v>3395.7870480043998</v>
      </c>
      <c r="P126" s="309">
        <f>INDEX([2]ConsolidatedVehData!$P$22:$Z$858,MATCH($B126,[2]ConsolidatedVehData!$A$22:$A$858,0),MATCH(P$1,[2]ConsolidatedVehData!$P$7:$Z$7,0))</f>
        <v>3392.6007698517824</v>
      </c>
      <c r="Q126" s="309">
        <f>INDEX([2]ConsolidatedVehData!$P$22:$Z$858,MATCH($B126,[2]ConsolidatedVehData!$A$22:$A$858,0),MATCH(Q$1,[2]ConsolidatedVehData!$P$7:$Z$7,0))</f>
        <v>3392.5665563481489</v>
      </c>
      <c r="R126" s="309">
        <f>INDEX([2]ConsolidatedVehData!$P$22:$Z$858,MATCH($B126,[2]ConsolidatedVehData!$A$22:$A$858,0),MATCH(R$1,[2]ConsolidatedVehData!$P$7:$Z$7,0))</f>
        <v>3392.5665563481489</v>
      </c>
      <c r="S126" s="309">
        <f>INDEX([2]ConsolidatedVehData!$P$22:$Z$858,MATCH($B126,[2]ConsolidatedVehData!$A$22:$A$858,0),MATCH(S$1,[2]ConsolidatedVehData!$P$7:$Z$7,0))</f>
        <v>3392.5665563481489</v>
      </c>
      <c r="T126" s="309">
        <f>S126</f>
        <v>3392.5665563481489</v>
      </c>
      <c r="U126" s="310">
        <f>INDEX([2]ConsolidatedVehData!$AF$22:$AF$858,MATCH(B126,[2]ConsolidatedVehData!$A$22:$A$858,0))</f>
        <v>0.40666651519017555</v>
      </c>
      <c r="V126" s="310">
        <f>INDEX([2]ConsolidatedVehData!$AF$22:$AF$858,MATCH($B126,[2]ConsolidatedVehData!$A$22:$A$858,0)+1)</f>
        <v>0.38415542962759425</v>
      </c>
      <c r="W126" s="310">
        <f>INDEX([2]ConsolidatedVehData!$AF$22:$AF$858,MATCH($B126,[2]ConsolidatedVehData!$A$22:$A$858,0)+2)</f>
        <v>0.44519842342414007</v>
      </c>
      <c r="X126" s="310">
        <f>INDEX([2]ConsolidatedVehData!$AF$22:$AF$858,MATCH($B126,[2]ConsolidatedVehData!$A$22:$A$858,0)+3)</f>
        <v>0.53529679669404717</v>
      </c>
      <c r="Y126" s="310">
        <f>INDEX([2]ConsolidatedVehData!$AF$22:$AF$858,MATCH($B126,[2]ConsolidatedVehData!$A$22:$A$858,0)+4)</f>
        <v>0.53500560240147177</v>
      </c>
      <c r="Z126" s="310">
        <f>INDEX([2]ConsolidatedVehData!$AF$22:$AF$858,MATCH($B126,[2]ConsolidatedVehData!$A$22:$A$858,0)+5)</f>
        <v>0.53408417205952119</v>
      </c>
      <c r="AA126" s="310">
        <f>INDEX([2]ConsolidatedVehData!$AF$22:$AF$858,MATCH($B126,[2]ConsolidatedVehData!$A$22:$A$858,0)+6)</f>
        <v>0.53334929004997889</v>
      </c>
      <c r="AB126" s="310">
        <f>INDEX([2]ConsolidatedVehData!$AF$22:$AF$858,MATCH($B126,[2]ConsolidatedVehData!$A$22:$A$858,0)+7)</f>
        <v>0.53334929004997889</v>
      </c>
      <c r="AC126" s="310">
        <f>INDEX([2]ConsolidatedVehData!$AF$22:$AF$858,MATCH($B126,[2]ConsolidatedVehData!$A$22:$A$858,0)+8)</f>
        <v>0.53334929004997889</v>
      </c>
      <c r="AD126" s="310">
        <f t="shared" si="56"/>
        <v>0.53334929004997889</v>
      </c>
      <c r="AE126" s="286">
        <f>INDEX([2]ConsolidatedVehData!$AB$22:$AB$858,MATCH(B126,[2]ConsolidatedVehData!$A$22:$A$858,0))</f>
        <v>45.478712808157368</v>
      </c>
      <c r="AF126" s="311">
        <v>0.44</v>
      </c>
      <c r="AG126" s="311">
        <v>0.24</v>
      </c>
      <c r="AH126" s="311">
        <v>0.28000000000000003</v>
      </c>
      <c r="AI126" s="311">
        <v>0.44</v>
      </c>
      <c r="AJ126" s="294"/>
      <c r="AX126" s="250"/>
      <c r="AY126" s="250"/>
      <c r="AZ126" s="250"/>
      <c r="BA126" s="250"/>
      <c r="BB126" s="250"/>
      <c r="BC126" s="250"/>
      <c r="BD126" s="250"/>
    </row>
    <row r="127" spans="1:56" x14ac:dyDescent="0.2">
      <c r="A127" s="255" t="str">
        <f>IF(LEFT(A126,1)="*","*","")</f>
        <v>*</v>
      </c>
      <c r="B127" s="255"/>
      <c r="C127" s="255"/>
      <c r="D127" s="255"/>
      <c r="E127" s="255" t="s">
        <v>99</v>
      </c>
      <c r="F127" s="255"/>
      <c r="G127" s="257"/>
      <c r="H127" s="310">
        <f>INDEX([2]ConsolidatedVehData!$AG$22:$AG$858,MATCH(B126,[2]ConsolidatedVehData!$A$22:$A$858,0))</f>
        <v>0.1342377020706492</v>
      </c>
      <c r="I127" s="294"/>
      <c r="J127" s="294"/>
      <c r="K127" s="294"/>
      <c r="L127" s="294"/>
      <c r="M127" s="294"/>
      <c r="N127" s="294"/>
      <c r="O127" s="294"/>
      <c r="P127" s="294"/>
      <c r="Q127" s="294"/>
      <c r="R127" s="294"/>
      <c r="S127" s="294"/>
      <c r="T127" s="294"/>
      <c r="U127" s="310"/>
      <c r="V127" s="310"/>
      <c r="W127" s="310"/>
      <c r="X127" s="310"/>
      <c r="Y127" s="310"/>
      <c r="Z127" s="310"/>
      <c r="AA127" s="310"/>
      <c r="AB127" s="310"/>
      <c r="AC127" s="310"/>
      <c r="AD127" s="310"/>
      <c r="AE127" s="294"/>
      <c r="AF127" s="311"/>
      <c r="AG127" s="311"/>
      <c r="AH127" s="311"/>
      <c r="AI127" s="311"/>
      <c r="AJ127" s="294"/>
      <c r="AX127" s="250"/>
      <c r="AY127" s="250"/>
      <c r="AZ127" s="250"/>
      <c r="BA127" s="250"/>
      <c r="BB127" s="250"/>
      <c r="BC127" s="250"/>
      <c r="BD127" s="250"/>
    </row>
    <row r="128" spans="1:56" x14ac:dyDescent="0.2">
      <c r="A128" s="255" t="str">
        <f>IF(LEFT(A127,1)="*","*","")</f>
        <v>*</v>
      </c>
      <c r="B128" s="255"/>
      <c r="C128" s="255"/>
      <c r="D128" s="255"/>
      <c r="E128" s="255"/>
      <c r="F128" s="255" t="str">
        <f>[2]Commodities!$D$9</f>
        <v>TL</v>
      </c>
      <c r="G128" s="257"/>
      <c r="H128" s="310"/>
      <c r="I128" s="294"/>
      <c r="J128" s="294"/>
      <c r="K128" s="294"/>
      <c r="L128" s="294"/>
      <c r="M128" s="294"/>
      <c r="N128" s="294"/>
      <c r="O128" s="294"/>
      <c r="P128" s="294"/>
      <c r="Q128" s="294"/>
      <c r="R128" s="294"/>
      <c r="S128" s="294"/>
      <c r="T128" s="294"/>
      <c r="U128" s="310"/>
      <c r="V128" s="310"/>
      <c r="W128" s="310"/>
      <c r="X128" s="310"/>
      <c r="Y128" s="310"/>
      <c r="Z128" s="310"/>
      <c r="AA128" s="310"/>
      <c r="AB128" s="310"/>
      <c r="AC128" s="310"/>
      <c r="AD128" s="310"/>
      <c r="AE128" s="294"/>
      <c r="AF128" s="311"/>
      <c r="AG128" s="311"/>
      <c r="AH128" s="311"/>
      <c r="AI128" s="311"/>
      <c r="AJ128" s="294"/>
      <c r="AX128" s="250"/>
      <c r="AY128" s="250"/>
      <c r="AZ128" s="250"/>
      <c r="BA128" s="250"/>
      <c r="BB128" s="250"/>
      <c r="BC128" s="250"/>
      <c r="BD128" s="250"/>
    </row>
    <row r="129" spans="1:56" x14ac:dyDescent="0.2">
      <c r="A129" s="255" t="str">
        <f>[2]Technologies!B163</f>
        <v>*R2,R3,R4,R5,R6</v>
      </c>
      <c r="B129" s="255" t="str">
        <f>[2]Technologies!D163</f>
        <v>TLSSP20E15</v>
      </c>
      <c r="C129" s="255" t="str">
        <f>[2]Technologies!E163</f>
        <v>TL.E85X.SS.P20E.2015</v>
      </c>
      <c r="D129" s="255" t="s">
        <v>292</v>
      </c>
      <c r="E129" s="255" t="s">
        <v>95</v>
      </c>
      <c r="F129" s="257"/>
      <c r="G129" s="257"/>
      <c r="H129" s="310">
        <f>1-H130</f>
        <v>0.86576229792935078</v>
      </c>
      <c r="I129" s="309">
        <f>INDEX([2]ConsolidatedVehData!$D$22:$D$858,MATCH(B129,[2]ConsolidatedVehData!$A$22:$A$858,0))</f>
        <v>2015</v>
      </c>
      <c r="J129" s="294">
        <v>20</v>
      </c>
      <c r="K129" s="309">
        <f>INDEX([2]ConsolidatedVehData!$P$22:$Z$858,MATCH($B129,[2]ConsolidatedVehData!$A$22:$A$858,0),MATCH(K$1,[2]ConsolidatedVehData!$P$7:$Z$7,0))</f>
        <v>2346.9296845113786</v>
      </c>
      <c r="L129" s="309">
        <f>INDEX([2]ConsolidatedVehData!$P$22:$Z$858,MATCH($B129,[2]ConsolidatedVehData!$A$22:$A$858,0),MATCH(L$1,[2]ConsolidatedVehData!$P$7:$Z$7,0))</f>
        <v>2415.8857009379781</v>
      </c>
      <c r="M129" s="309">
        <f>INDEX([2]ConsolidatedVehData!$P$22:$Z$858,MATCH($B129,[2]ConsolidatedVehData!$A$22:$A$858,0),MATCH(M$1,[2]ConsolidatedVehData!$P$7:$Z$7,0))</f>
        <v>2462.9871096533798</v>
      </c>
      <c r="N129" s="309">
        <f>INDEX([2]ConsolidatedVehData!$P$22:$Z$858,MATCH($B129,[2]ConsolidatedVehData!$A$22:$A$858,0),MATCH(N$1,[2]ConsolidatedVehData!$P$7:$Z$7,0))</f>
        <v>2518.603305129403</v>
      </c>
      <c r="O129" s="309">
        <f>INDEX([2]ConsolidatedVehData!$P$22:$Z$858,MATCH($B129,[2]ConsolidatedVehData!$A$22:$A$858,0),MATCH(O$1,[2]ConsolidatedVehData!$P$7:$Z$7,0))</f>
        <v>2509.3102401284277</v>
      </c>
      <c r="P129" s="309">
        <f>INDEX([2]ConsolidatedVehData!$P$22:$Z$858,MATCH($B129,[2]ConsolidatedVehData!$A$22:$A$858,0),MATCH(P$1,[2]ConsolidatedVehData!$P$7:$Z$7,0))</f>
        <v>2507.464831162034</v>
      </c>
      <c r="Q129" s="309">
        <f>INDEX([2]ConsolidatedVehData!$P$22:$Z$858,MATCH($B129,[2]ConsolidatedVehData!$A$22:$A$858,0),MATCH(Q$1,[2]ConsolidatedVehData!$P$7:$Z$7,0))</f>
        <v>2508.1202068860475</v>
      </c>
      <c r="R129" s="309">
        <f>INDEX([2]ConsolidatedVehData!$P$22:$Z$858,MATCH($B129,[2]ConsolidatedVehData!$A$22:$A$858,0),MATCH(R$1,[2]ConsolidatedVehData!$P$7:$Z$7,0))</f>
        <v>2508.1202068860475</v>
      </c>
      <c r="S129" s="309">
        <f>INDEX([2]ConsolidatedVehData!$P$22:$Z$858,MATCH($B129,[2]ConsolidatedVehData!$A$22:$A$858,0),MATCH(S$1,[2]ConsolidatedVehData!$P$7:$Z$7,0))</f>
        <v>2508.1202068860475</v>
      </c>
      <c r="T129" s="309">
        <f>S129</f>
        <v>2508.1202068860475</v>
      </c>
      <c r="U129" s="310">
        <f>V129</f>
        <v>0.29720030539241937</v>
      </c>
      <c r="V129" s="310">
        <f>INDEX([2]ConsolidatedVehData!$AF$22:$AF$858,MATCH(B129,[2]ConsolidatedVehData!$A$22:$A$858,0))</f>
        <v>0.29720030539241937</v>
      </c>
      <c r="W129" s="310">
        <f>INDEX([2]ConsolidatedVehData!$AF$22:$AF$858,MATCH($B129,[2]ConsolidatedVehData!$A$22:$A$858,0)+1)</f>
        <v>0.31862513345959637</v>
      </c>
      <c r="X129" s="310">
        <f>INDEX([2]ConsolidatedVehData!$AF$22:$AF$858,MATCH($B129,[2]ConsolidatedVehData!$A$22:$A$858,0)+2)</f>
        <v>0.36955280037426697</v>
      </c>
      <c r="Y129" s="310">
        <f>INDEX([2]ConsolidatedVehData!$AF$22:$AF$858,MATCH($B129,[2]ConsolidatedVehData!$A$22:$A$858,0)+3)</f>
        <v>0.37301624805724104</v>
      </c>
      <c r="Z129" s="310">
        <f>INDEX([2]ConsolidatedVehData!$AF$22:$AF$858,MATCH($B129,[2]ConsolidatedVehData!$A$22:$A$858,0)+4)</f>
        <v>0.37507304642447381</v>
      </c>
      <c r="AA129" s="310">
        <f>INDEX([2]ConsolidatedVehData!$AF$22:$AF$858,MATCH($B129,[2]ConsolidatedVehData!$A$22:$A$858,0)+5)</f>
        <v>0.37517721459244896</v>
      </c>
      <c r="AB129" s="310">
        <f>INDEX([2]ConsolidatedVehData!$AF$22:$AF$858,MATCH($B129,[2]ConsolidatedVehData!$A$22:$A$858,0)+6)</f>
        <v>0.37517721459244896</v>
      </c>
      <c r="AC129" s="310">
        <f>INDEX([2]ConsolidatedVehData!$AF$22:$AF$858,MATCH($B129,[2]ConsolidatedVehData!$A$22:$A$858,0)+7)</f>
        <v>0.37517721459244896</v>
      </c>
      <c r="AD129" s="310">
        <f t="shared" si="56"/>
        <v>0.37517721459244896</v>
      </c>
      <c r="AE129" s="286">
        <f>INDEX([2]ConsolidatedVehData!$AB$22:$AB$858,MATCH(B129,[2]ConsolidatedVehData!$A$22:$A$858,0))</f>
        <v>45.478712808157368</v>
      </c>
      <c r="AF129" s="311">
        <v>0.44</v>
      </c>
      <c r="AG129" s="311">
        <v>0.24</v>
      </c>
      <c r="AH129" s="311">
        <v>0.28000000000000003</v>
      </c>
      <c r="AI129" s="311">
        <v>0.44</v>
      </c>
      <c r="AJ129" s="294"/>
      <c r="AX129" s="250"/>
      <c r="AY129" s="250"/>
      <c r="AZ129" s="250"/>
      <c r="BA129" s="250"/>
      <c r="BB129" s="250"/>
      <c r="BC129" s="250"/>
      <c r="BD129" s="250"/>
    </row>
    <row r="130" spans="1:56" x14ac:dyDescent="0.2">
      <c r="A130" s="255" t="str">
        <f>IF(LEFT(A129,1)="*","*","")</f>
        <v>*</v>
      </c>
      <c r="B130" s="255"/>
      <c r="C130" s="255"/>
      <c r="D130" s="255"/>
      <c r="E130" s="255" t="s">
        <v>99</v>
      </c>
      <c r="F130" s="255"/>
      <c r="G130" s="257"/>
      <c r="H130" s="310">
        <f>INDEX([2]ConsolidatedVehData!$AG$22:$AG$858,MATCH(B129,[2]ConsolidatedVehData!$A$22:$A$858,0))</f>
        <v>0.1342377020706492</v>
      </c>
      <c r="I130" s="294"/>
      <c r="J130" s="294"/>
      <c r="K130" s="294"/>
      <c r="L130" s="294"/>
      <c r="M130" s="294"/>
      <c r="N130" s="294"/>
      <c r="O130" s="294"/>
      <c r="P130" s="294"/>
      <c r="Q130" s="294"/>
      <c r="R130" s="294"/>
      <c r="S130" s="294"/>
      <c r="T130" s="294"/>
      <c r="U130" s="310"/>
      <c r="V130" s="310"/>
      <c r="W130" s="310"/>
      <c r="X130" s="310"/>
      <c r="Y130" s="310"/>
      <c r="Z130" s="310"/>
      <c r="AA130" s="310"/>
      <c r="AB130" s="310"/>
      <c r="AC130" s="310"/>
      <c r="AD130" s="310"/>
      <c r="AE130" s="294"/>
      <c r="AF130" s="311"/>
      <c r="AG130" s="311"/>
      <c r="AH130" s="311"/>
      <c r="AI130" s="311"/>
      <c r="AJ130" s="294"/>
      <c r="AX130" s="250"/>
      <c r="AY130" s="250"/>
      <c r="AZ130" s="250"/>
      <c r="BA130" s="250"/>
      <c r="BB130" s="250"/>
      <c r="BC130" s="250"/>
      <c r="BD130" s="250"/>
    </row>
    <row r="131" spans="1:56" x14ac:dyDescent="0.2">
      <c r="A131" s="255" t="str">
        <f>IF(LEFT(A130,1)="*","*","")</f>
        <v>*</v>
      </c>
      <c r="B131" s="255"/>
      <c r="C131" s="255"/>
      <c r="D131" s="255"/>
      <c r="E131" s="255"/>
      <c r="F131" s="255" t="str">
        <f>[2]Commodities!$D$9</f>
        <v>TL</v>
      </c>
      <c r="G131" s="257"/>
      <c r="H131" s="310"/>
      <c r="I131" s="294"/>
      <c r="J131" s="294"/>
      <c r="K131" s="294"/>
      <c r="L131" s="294"/>
      <c r="M131" s="294"/>
      <c r="N131" s="294"/>
      <c r="O131" s="294"/>
      <c r="P131" s="294"/>
      <c r="Q131" s="294"/>
      <c r="R131" s="294"/>
      <c r="S131" s="294"/>
      <c r="T131" s="294"/>
      <c r="U131" s="310"/>
      <c r="V131" s="310"/>
      <c r="W131" s="310"/>
      <c r="X131" s="310"/>
      <c r="Y131" s="310"/>
      <c r="Z131" s="310"/>
      <c r="AA131" s="310"/>
      <c r="AB131" s="310"/>
      <c r="AC131" s="310"/>
      <c r="AD131" s="310"/>
      <c r="AE131" s="294"/>
      <c r="AF131" s="311"/>
      <c r="AG131" s="311"/>
      <c r="AH131" s="311"/>
      <c r="AI131" s="311"/>
      <c r="AJ131" s="294"/>
      <c r="AX131" s="250"/>
      <c r="AY131" s="250"/>
      <c r="AZ131" s="250"/>
      <c r="BA131" s="250"/>
      <c r="BB131" s="250"/>
      <c r="BC131" s="250"/>
      <c r="BD131" s="250"/>
    </row>
    <row r="132" spans="1:56" x14ac:dyDescent="0.2">
      <c r="A132" s="255" t="str">
        <f>[2]Technologies!B164</f>
        <v>*R2,R3,R4,R5,R6</v>
      </c>
      <c r="B132" s="255" t="str">
        <f>[2]Technologies!D164</f>
        <v>TLCPHVE10</v>
      </c>
      <c r="C132" s="255" t="str">
        <f>[2]Technologies!E164</f>
        <v>TL.E85X.C.PHVE.2010</v>
      </c>
      <c r="D132" s="255" t="s">
        <v>292</v>
      </c>
      <c r="E132" s="255" t="s">
        <v>95</v>
      </c>
      <c r="F132" s="257"/>
      <c r="G132" s="257"/>
      <c r="H132" s="310">
        <f>1-H133</f>
        <v>0.73478445352379373</v>
      </c>
      <c r="I132" s="309">
        <f>INDEX([2]ConsolidatedVehData!$D$22:$D$858,MATCH(B132,[2]ConsolidatedVehData!$A$22:$A$858,0))</f>
        <v>2010</v>
      </c>
      <c r="J132" s="294">
        <v>20</v>
      </c>
      <c r="K132" s="309">
        <f>INDEX([2]ConsolidatedVehData!$P$22:$Z$858,MATCH($B132,[2]ConsolidatedVehData!$A$22:$A$858,0),MATCH(K$1,[2]ConsolidatedVehData!$P$7:$Z$7,0))</f>
        <v>2040.1093290149238</v>
      </c>
      <c r="L132" s="309">
        <f>INDEX([2]ConsolidatedVehData!$P$22:$Z$858,MATCH($B132,[2]ConsolidatedVehData!$A$22:$A$858,0),MATCH(L$1,[2]ConsolidatedVehData!$P$7:$Z$7,0))</f>
        <v>1923.7761081446097</v>
      </c>
      <c r="M132" s="309">
        <f>INDEX([2]ConsolidatedVehData!$P$22:$Z$858,MATCH($B132,[2]ConsolidatedVehData!$A$22:$A$858,0),MATCH(M$1,[2]ConsolidatedVehData!$P$7:$Z$7,0))</f>
        <v>1993.8438611959682</v>
      </c>
      <c r="N132" s="309">
        <f>INDEX([2]ConsolidatedVehData!$P$22:$Z$858,MATCH($B132,[2]ConsolidatedVehData!$A$22:$A$858,0),MATCH(N$1,[2]ConsolidatedVehData!$P$7:$Z$7,0))</f>
        <v>2108.1463610124601</v>
      </c>
      <c r="O132" s="309">
        <f>INDEX([2]ConsolidatedVehData!$P$22:$Z$858,MATCH($B132,[2]ConsolidatedVehData!$A$22:$A$858,0),MATCH(O$1,[2]ConsolidatedVehData!$P$7:$Z$7,0))</f>
        <v>2110.5564740344107</v>
      </c>
      <c r="P132" s="309">
        <f>INDEX([2]ConsolidatedVehData!$P$22:$Z$858,MATCH($B132,[2]ConsolidatedVehData!$A$22:$A$858,0),MATCH(P$1,[2]ConsolidatedVehData!$P$7:$Z$7,0))</f>
        <v>2111.775112894135</v>
      </c>
      <c r="Q132" s="309">
        <f>INDEX([2]ConsolidatedVehData!$P$22:$Z$858,MATCH($B132,[2]ConsolidatedVehData!$A$22:$A$858,0),MATCH(Q$1,[2]ConsolidatedVehData!$P$7:$Z$7,0))</f>
        <v>2112.8662064983068</v>
      </c>
      <c r="R132" s="309">
        <f>INDEX([2]ConsolidatedVehData!$P$22:$Z$858,MATCH($B132,[2]ConsolidatedVehData!$A$22:$A$858,0),MATCH(R$1,[2]ConsolidatedVehData!$P$7:$Z$7,0))</f>
        <v>2112.8662064983068</v>
      </c>
      <c r="S132" s="309">
        <f>INDEX([2]ConsolidatedVehData!$P$22:$Z$858,MATCH($B132,[2]ConsolidatedVehData!$A$22:$A$858,0),MATCH(S$1,[2]ConsolidatedVehData!$P$7:$Z$7,0))</f>
        <v>2112.8662064983068</v>
      </c>
      <c r="T132" s="309">
        <f>S132</f>
        <v>2112.8662064983068</v>
      </c>
      <c r="U132" s="310">
        <f>INDEX([2]ConsolidatedVehData!$AF$22:$AF$858,MATCH(B132,[2]ConsolidatedVehData!$A$22:$A$858,0))</f>
        <v>0.50964235725670137</v>
      </c>
      <c r="V132" s="310">
        <f>INDEX([2]ConsolidatedVehData!$AF$22:$AF$858,MATCH($B132,[2]ConsolidatedVehData!$A$22:$A$858,0)+1)</f>
        <v>0.46942651993993034</v>
      </c>
      <c r="W132" s="310">
        <f>INDEX([2]ConsolidatedVehData!$AF$22:$AF$858,MATCH($B132,[2]ConsolidatedVehData!$A$22:$A$858,0)+2)</f>
        <v>0.54898803911259886</v>
      </c>
      <c r="X132" s="310">
        <f>INDEX([2]ConsolidatedVehData!$AF$22:$AF$858,MATCH($B132,[2]ConsolidatedVehData!$A$22:$A$858,0)+3)</f>
        <v>0.64620318368355845</v>
      </c>
      <c r="Y132" s="310">
        <f>INDEX([2]ConsolidatedVehData!$AF$22:$AF$858,MATCH($B132,[2]ConsolidatedVehData!$A$22:$A$858,0)+4)</f>
        <v>0.64592367260975836</v>
      </c>
      <c r="Z132" s="310">
        <f>INDEX([2]ConsolidatedVehData!$AF$22:$AF$858,MATCH($B132,[2]ConsolidatedVehData!$A$22:$A$858,0)+5)</f>
        <v>0.64481227128571705</v>
      </c>
      <c r="AA132" s="310">
        <f>INDEX([2]ConsolidatedVehData!$AF$22:$AF$858,MATCH($B132,[2]ConsolidatedVehData!$A$22:$A$858,0)+6)</f>
        <v>0.64380992381143598</v>
      </c>
      <c r="AB132" s="310">
        <f>INDEX([2]ConsolidatedVehData!$AF$22:$AF$858,MATCH($B132,[2]ConsolidatedVehData!$A$22:$A$858,0)+7)</f>
        <v>0.64380992381143598</v>
      </c>
      <c r="AC132" s="310">
        <f>INDEX([2]ConsolidatedVehData!$AF$22:$AF$858,MATCH($B132,[2]ConsolidatedVehData!$A$22:$A$858,0)+8)</f>
        <v>0.64380992381143598</v>
      </c>
      <c r="AD132" s="310">
        <f t="shared" si="56"/>
        <v>0.64380992381143598</v>
      </c>
      <c r="AE132" s="286">
        <f>INDEX([2]ConsolidatedVehData!$AB$22:$AB$858,MATCH(B132,[2]ConsolidatedVehData!$A$22:$A$858,0))</f>
        <v>40.382789385678855</v>
      </c>
      <c r="AF132" s="311">
        <v>0.44</v>
      </c>
      <c r="AG132" s="311">
        <v>0.24</v>
      </c>
      <c r="AH132" s="311">
        <v>0.28000000000000003</v>
      </c>
      <c r="AI132" s="311">
        <v>0.44</v>
      </c>
      <c r="AJ132" s="294"/>
      <c r="AX132" s="250"/>
      <c r="AY132" s="250"/>
      <c r="AZ132" s="250"/>
      <c r="BA132" s="250"/>
      <c r="BB132" s="250"/>
      <c r="BC132" s="250"/>
      <c r="BD132" s="250"/>
    </row>
    <row r="133" spans="1:56" x14ac:dyDescent="0.2">
      <c r="A133" s="255" t="str">
        <f>IF(LEFT(A132,1)="*","*","")</f>
        <v>*</v>
      </c>
      <c r="B133" s="255"/>
      <c r="C133" s="255"/>
      <c r="D133" s="255"/>
      <c r="E133" s="255" t="s">
        <v>99</v>
      </c>
      <c r="F133" s="257"/>
      <c r="G133" s="257"/>
      <c r="H133" s="310">
        <f>INDEX([2]ConsolidatedVehData!$AG$22:$AG$858,MATCH(B132,[2]ConsolidatedVehData!$A$22:$A$858,0))</f>
        <v>0.26521554647620627</v>
      </c>
      <c r="I133" s="294"/>
      <c r="J133" s="294"/>
      <c r="K133" s="294"/>
      <c r="L133" s="294"/>
      <c r="M133" s="294"/>
      <c r="N133" s="294"/>
      <c r="O133" s="294"/>
      <c r="P133" s="294"/>
      <c r="Q133" s="294"/>
      <c r="R133" s="294"/>
      <c r="S133" s="294"/>
      <c r="T133" s="294"/>
      <c r="U133" s="310"/>
      <c r="V133" s="310"/>
      <c r="W133" s="310"/>
      <c r="X133" s="310"/>
      <c r="Y133" s="310"/>
      <c r="Z133" s="310"/>
      <c r="AA133" s="310"/>
      <c r="AB133" s="310"/>
      <c r="AC133" s="310"/>
      <c r="AD133" s="310"/>
      <c r="AE133" s="294"/>
      <c r="AF133" s="311"/>
      <c r="AG133" s="311"/>
      <c r="AH133" s="311"/>
      <c r="AI133" s="311"/>
      <c r="AJ133" s="294"/>
      <c r="AX133" s="250"/>
      <c r="AY133" s="250"/>
      <c r="AZ133" s="250"/>
      <c r="BA133" s="250"/>
      <c r="BB133" s="250"/>
      <c r="BC133" s="250"/>
      <c r="BD133" s="250"/>
    </row>
    <row r="134" spans="1:56" x14ac:dyDescent="0.2">
      <c r="A134" s="255" t="str">
        <f>IF(LEFT(A133,1)="*","*","")</f>
        <v>*</v>
      </c>
      <c r="B134" s="255"/>
      <c r="C134" s="255"/>
      <c r="D134" s="255"/>
      <c r="E134" s="255"/>
      <c r="F134" s="255" t="str">
        <f>[2]Commodities!$D$9</f>
        <v>TL</v>
      </c>
      <c r="G134" s="257"/>
      <c r="H134" s="310"/>
      <c r="I134" s="294"/>
      <c r="J134" s="294"/>
      <c r="K134" s="294"/>
      <c r="L134" s="294"/>
      <c r="M134" s="294"/>
      <c r="N134" s="294"/>
      <c r="O134" s="294"/>
      <c r="P134" s="294"/>
      <c r="Q134" s="294"/>
      <c r="R134" s="294"/>
      <c r="S134" s="294"/>
      <c r="T134" s="294"/>
      <c r="U134" s="310"/>
      <c r="V134" s="310"/>
      <c r="W134" s="310"/>
      <c r="X134" s="310"/>
      <c r="Y134" s="310"/>
      <c r="Z134" s="310"/>
      <c r="AA134" s="310"/>
      <c r="AB134" s="310"/>
      <c r="AC134" s="310"/>
      <c r="AD134" s="310"/>
      <c r="AE134" s="294"/>
      <c r="AF134" s="311"/>
      <c r="AG134" s="311"/>
      <c r="AH134" s="311"/>
      <c r="AI134" s="311"/>
      <c r="AJ134" s="294"/>
      <c r="AX134" s="250"/>
      <c r="AY134" s="250"/>
      <c r="AZ134" s="250"/>
      <c r="BA134" s="250"/>
      <c r="BB134" s="250"/>
      <c r="BC134" s="250"/>
      <c r="BD134" s="250"/>
    </row>
    <row r="135" spans="1:56" x14ac:dyDescent="0.2">
      <c r="A135" s="255" t="str">
        <f>[2]Technologies!B165</f>
        <v>*R2,R3,R4,R5,R6</v>
      </c>
      <c r="B135" s="255" t="str">
        <f>[2]Technologies!D165</f>
        <v>TLFPHVE10</v>
      </c>
      <c r="C135" s="255" t="str">
        <f>[2]Technologies!E165</f>
        <v>TL.E85X.F.PHVE.2010</v>
      </c>
      <c r="D135" s="255" t="s">
        <v>292</v>
      </c>
      <c r="E135" s="255" t="s">
        <v>95</v>
      </c>
      <c r="F135" s="257"/>
      <c r="G135" s="257"/>
      <c r="H135" s="310">
        <f>1-H136</f>
        <v>0.73478445352379373</v>
      </c>
      <c r="I135" s="309">
        <f>INDEX([2]ConsolidatedVehData!$D$22:$D$858,MATCH(B135,[2]ConsolidatedVehData!$A$22:$A$858,0))</f>
        <v>2010</v>
      </c>
      <c r="J135" s="294">
        <v>20</v>
      </c>
      <c r="K135" s="309">
        <f>INDEX([2]ConsolidatedVehData!$P$22:$Z$858,MATCH($B135,[2]ConsolidatedVehData!$A$22:$A$858,0),MATCH(K$1,[2]ConsolidatedVehData!$P$7:$Z$7,0))</f>
        <v>2399.4212332172392</v>
      </c>
      <c r="L135" s="309">
        <f>INDEX([2]ConsolidatedVehData!$P$22:$Z$858,MATCH($B135,[2]ConsolidatedVehData!$A$22:$A$858,0),MATCH(L$1,[2]ConsolidatedVehData!$P$7:$Z$7,0))</f>
        <v>2314.5209459310504</v>
      </c>
      <c r="M135" s="309">
        <f>INDEX([2]ConsolidatedVehData!$P$22:$Z$858,MATCH($B135,[2]ConsolidatedVehData!$A$22:$A$858,0),MATCH(M$1,[2]ConsolidatedVehData!$P$7:$Z$7,0))</f>
        <v>2377.3739208928673</v>
      </c>
      <c r="N135" s="309">
        <f>INDEX([2]ConsolidatedVehData!$P$22:$Z$858,MATCH($B135,[2]ConsolidatedVehData!$A$22:$A$858,0),MATCH(N$1,[2]ConsolidatedVehData!$P$7:$Z$7,0))</f>
        <v>2489.5255448660628</v>
      </c>
      <c r="O135" s="309">
        <f>INDEX([2]ConsolidatedVehData!$P$22:$Z$858,MATCH($B135,[2]ConsolidatedVehData!$A$22:$A$858,0),MATCH(O$1,[2]ConsolidatedVehData!$P$7:$Z$7,0))</f>
        <v>2492.9262411607992</v>
      </c>
      <c r="P135" s="309">
        <f>INDEX([2]ConsolidatedVehData!$P$22:$Z$858,MATCH($B135,[2]ConsolidatedVehData!$A$22:$A$858,0),MATCH(P$1,[2]ConsolidatedVehData!$P$7:$Z$7,0))</f>
        <v>2494.1402234068978</v>
      </c>
      <c r="Q135" s="309">
        <f>INDEX([2]ConsolidatedVehData!$P$22:$Z$858,MATCH($B135,[2]ConsolidatedVehData!$A$22:$A$858,0),MATCH(Q$1,[2]ConsolidatedVehData!$P$7:$Z$7,0))</f>
        <v>2494.9478617552086</v>
      </c>
      <c r="R135" s="309">
        <f>INDEX([2]ConsolidatedVehData!$P$22:$Z$858,MATCH($B135,[2]ConsolidatedVehData!$A$22:$A$858,0),MATCH(R$1,[2]ConsolidatedVehData!$P$7:$Z$7,0))</f>
        <v>2494.9478617552086</v>
      </c>
      <c r="S135" s="309">
        <f>INDEX([2]ConsolidatedVehData!$P$22:$Z$858,MATCH($B135,[2]ConsolidatedVehData!$A$22:$A$858,0),MATCH(S$1,[2]ConsolidatedVehData!$P$7:$Z$7,0))</f>
        <v>2494.9478617552086</v>
      </c>
      <c r="T135" s="309">
        <f>S135</f>
        <v>2494.9478617552086</v>
      </c>
      <c r="U135" s="310">
        <f>INDEX([2]ConsolidatedVehData!$AF$22:$AF$858,MATCH(B135,[2]ConsolidatedVehData!$A$22:$A$858,0))</f>
        <v>0.48972415124832352</v>
      </c>
      <c r="V135" s="310">
        <f>INDEX([2]ConsolidatedVehData!$AF$22:$AF$858,MATCH($B135,[2]ConsolidatedVehData!$A$22:$A$858,0)+1)</f>
        <v>0.46261539786188327</v>
      </c>
      <c r="W135" s="310">
        <f>INDEX([2]ConsolidatedVehData!$AF$22:$AF$858,MATCH($B135,[2]ConsolidatedVehData!$A$22:$A$858,0)+2)</f>
        <v>0.53612582276787824</v>
      </c>
      <c r="X135" s="310">
        <f>INDEX([2]ConsolidatedVehData!$AF$22:$AF$858,MATCH($B135,[2]ConsolidatedVehData!$A$22:$A$858,0)+3)</f>
        <v>0.64462590263756181</v>
      </c>
      <c r="Y135" s="310">
        <f>INDEX([2]ConsolidatedVehData!$AF$22:$AF$858,MATCH($B135,[2]ConsolidatedVehData!$A$22:$A$858,0)+4)</f>
        <v>0.64427523477469839</v>
      </c>
      <c r="Z135" s="310">
        <f>INDEX([2]ConsolidatedVehData!$AF$22:$AF$858,MATCH($B135,[2]ConsolidatedVehData!$A$22:$A$858,0)+5)</f>
        <v>0.64316561134790817</v>
      </c>
      <c r="AA135" s="310">
        <f>INDEX([2]ConsolidatedVehData!$AF$22:$AF$858,MATCH($B135,[2]ConsolidatedVehData!$A$22:$A$858,0)+6)</f>
        <v>0.64228063691566972</v>
      </c>
      <c r="AB135" s="310">
        <f>INDEX([2]ConsolidatedVehData!$AF$22:$AF$858,MATCH($B135,[2]ConsolidatedVehData!$A$22:$A$858,0)+7)</f>
        <v>0.64228063691566972</v>
      </c>
      <c r="AC135" s="310">
        <f>INDEX([2]ConsolidatedVehData!$AF$22:$AF$858,MATCH($B135,[2]ConsolidatedVehData!$A$22:$A$858,0)+8)</f>
        <v>0.64228063691566972</v>
      </c>
      <c r="AD135" s="310">
        <f t="shared" si="56"/>
        <v>0.64228063691566972</v>
      </c>
      <c r="AE135" s="286">
        <f>INDEX([2]ConsolidatedVehData!$AB$22:$AB$858,MATCH(B135,[2]ConsolidatedVehData!$A$22:$A$858,0))</f>
        <v>45.478712808157368</v>
      </c>
      <c r="AF135" s="311">
        <v>0.44</v>
      </c>
      <c r="AG135" s="311">
        <v>0.24</v>
      </c>
      <c r="AH135" s="311">
        <v>0.28000000000000003</v>
      </c>
      <c r="AI135" s="311">
        <v>0.44</v>
      </c>
      <c r="AJ135" s="294"/>
      <c r="AX135" s="250"/>
      <c r="AY135" s="250"/>
      <c r="AZ135" s="250"/>
      <c r="BA135" s="250"/>
      <c r="BB135" s="250"/>
      <c r="BC135" s="250"/>
      <c r="BD135" s="250"/>
    </row>
    <row r="136" spans="1:56" x14ac:dyDescent="0.2">
      <c r="A136" s="255" t="str">
        <f>IF(LEFT(A135,1)="*","*","")</f>
        <v>*</v>
      </c>
      <c r="B136" s="255"/>
      <c r="C136" s="255"/>
      <c r="D136" s="255"/>
      <c r="E136" s="255" t="s">
        <v>99</v>
      </c>
      <c r="F136" s="255"/>
      <c r="G136" s="257"/>
      <c r="H136" s="310">
        <f>INDEX([2]ConsolidatedVehData!$AG$22:$AG$858,MATCH(B135,[2]ConsolidatedVehData!$A$22:$A$858,0))</f>
        <v>0.26521554647620627</v>
      </c>
      <c r="I136" s="294"/>
      <c r="J136" s="294"/>
      <c r="K136" s="294"/>
      <c r="L136" s="294"/>
      <c r="M136" s="294"/>
      <c r="N136" s="294"/>
      <c r="O136" s="294"/>
      <c r="P136" s="294"/>
      <c r="Q136" s="294"/>
      <c r="R136" s="294"/>
      <c r="S136" s="294"/>
      <c r="T136" s="294"/>
      <c r="U136" s="310"/>
      <c r="V136" s="310"/>
      <c r="W136" s="310"/>
      <c r="X136" s="310"/>
      <c r="Y136" s="310"/>
      <c r="Z136" s="310"/>
      <c r="AA136" s="310"/>
      <c r="AB136" s="310"/>
      <c r="AC136" s="310"/>
      <c r="AD136" s="310"/>
      <c r="AE136" s="294"/>
      <c r="AF136" s="311"/>
      <c r="AG136" s="311"/>
      <c r="AH136" s="311"/>
      <c r="AI136" s="311"/>
      <c r="AJ136" s="294"/>
      <c r="AX136" s="250"/>
      <c r="AY136" s="250"/>
      <c r="AZ136" s="250"/>
      <c r="BA136" s="250"/>
      <c r="BB136" s="250"/>
      <c r="BC136" s="250"/>
      <c r="BD136" s="250"/>
    </row>
    <row r="137" spans="1:56" x14ac:dyDescent="0.2">
      <c r="A137" s="255" t="str">
        <f>IF(LEFT(A136,1)="*","*","")</f>
        <v>*</v>
      </c>
      <c r="B137" s="255"/>
      <c r="C137" s="255"/>
      <c r="D137" s="255"/>
      <c r="E137" s="255"/>
      <c r="F137" s="255" t="str">
        <f>[2]Commodities!$D$9</f>
        <v>TL</v>
      </c>
      <c r="G137" s="257"/>
      <c r="H137" s="310"/>
      <c r="I137" s="294"/>
      <c r="J137" s="294"/>
      <c r="K137" s="294"/>
      <c r="L137" s="294"/>
      <c r="M137" s="294"/>
      <c r="N137" s="294"/>
      <c r="O137" s="294"/>
      <c r="P137" s="294"/>
      <c r="Q137" s="294"/>
      <c r="R137" s="294"/>
      <c r="S137" s="294"/>
      <c r="T137" s="294"/>
      <c r="U137" s="310"/>
      <c r="V137" s="310"/>
      <c r="W137" s="310"/>
      <c r="X137" s="310"/>
      <c r="Y137" s="310"/>
      <c r="Z137" s="310"/>
      <c r="AA137" s="310"/>
      <c r="AB137" s="310"/>
      <c r="AC137" s="310"/>
      <c r="AD137" s="310"/>
      <c r="AE137" s="294"/>
      <c r="AF137" s="311"/>
      <c r="AG137" s="311"/>
      <c r="AH137" s="311"/>
      <c r="AI137" s="311"/>
      <c r="AJ137" s="294"/>
      <c r="AX137" s="250"/>
      <c r="AY137" s="250"/>
      <c r="AZ137" s="250"/>
      <c r="BA137" s="250"/>
      <c r="BB137" s="250"/>
      <c r="BC137" s="250"/>
      <c r="BD137" s="250"/>
    </row>
    <row r="138" spans="1:56" x14ac:dyDescent="0.2">
      <c r="A138" s="255" t="str">
        <f>[2]Technologies!B166</f>
        <v>*R2,R3,R4,R5,R6</v>
      </c>
      <c r="B138" s="255" t="str">
        <f>[2]Technologies!D166</f>
        <v>TLPPHVE15</v>
      </c>
      <c r="C138" s="255" t="str">
        <f>[2]Technologies!E166</f>
        <v>TL.E85X.P.PHVE.2015</v>
      </c>
      <c r="D138" s="255" t="s">
        <v>292</v>
      </c>
      <c r="E138" s="255" t="s">
        <v>95</v>
      </c>
      <c r="F138" s="257"/>
      <c r="G138" s="257"/>
      <c r="H138" s="310">
        <f>1-H139</f>
        <v>0.73478445352379373</v>
      </c>
      <c r="I138" s="309">
        <f>INDEX([2]ConsolidatedVehData!$D$22:$D$858,MATCH(B138,[2]ConsolidatedVehData!$A$22:$A$858,0))</f>
        <v>2015</v>
      </c>
      <c r="J138" s="294">
        <v>20</v>
      </c>
      <c r="K138" s="309">
        <f>INDEX([2]ConsolidatedVehData!$P$22:$Z$858,MATCH($B138,[2]ConsolidatedVehData!$A$22:$A$858,0),MATCH(K$1,[2]ConsolidatedVehData!$P$7:$Z$7,0))</f>
        <v>2261.6861819274586</v>
      </c>
      <c r="L138" s="309">
        <f>INDEX([2]ConsolidatedVehData!$P$22:$Z$858,MATCH($B138,[2]ConsolidatedVehData!$A$22:$A$858,0),MATCH(L$1,[2]ConsolidatedVehData!$P$7:$Z$7,0))</f>
        <v>2754.7612817963204</v>
      </c>
      <c r="M138" s="309">
        <f>INDEX([2]ConsolidatedVehData!$P$22:$Z$858,MATCH($B138,[2]ConsolidatedVehData!$A$22:$A$858,0),MATCH(M$1,[2]ConsolidatedVehData!$P$7:$Z$7,0))</f>
        <v>2823.0514692071024</v>
      </c>
      <c r="N138" s="309">
        <f>INDEX([2]ConsolidatedVehData!$P$22:$Z$858,MATCH($B138,[2]ConsolidatedVehData!$A$22:$A$858,0),MATCH(N$1,[2]ConsolidatedVehData!$P$7:$Z$7,0))</f>
        <v>2906.902991579439</v>
      </c>
      <c r="O138" s="309">
        <f>INDEX([2]ConsolidatedVehData!$P$22:$Z$858,MATCH($B138,[2]ConsolidatedVehData!$A$22:$A$858,0),MATCH(O$1,[2]ConsolidatedVehData!$P$7:$Z$7,0))</f>
        <v>2908.8016673923817</v>
      </c>
      <c r="P138" s="309">
        <f>INDEX([2]ConsolidatedVehData!$P$22:$Z$858,MATCH($B138,[2]ConsolidatedVehData!$A$22:$A$858,0),MATCH(P$1,[2]ConsolidatedVehData!$P$7:$Z$7,0))</f>
        <v>2910.3516622464904</v>
      </c>
      <c r="Q138" s="309">
        <f>INDEX([2]ConsolidatedVehData!$P$22:$Z$858,MATCH($B138,[2]ConsolidatedVehData!$A$22:$A$858,0),MATCH(Q$1,[2]ConsolidatedVehData!$P$7:$Z$7,0))</f>
        <v>2912.8329324702659</v>
      </c>
      <c r="R138" s="309">
        <f>INDEX([2]ConsolidatedVehData!$P$22:$Z$858,MATCH($B138,[2]ConsolidatedVehData!$A$22:$A$858,0),MATCH(R$1,[2]ConsolidatedVehData!$P$7:$Z$7,0))</f>
        <v>2912.8329324702659</v>
      </c>
      <c r="S138" s="309">
        <f>INDEX([2]ConsolidatedVehData!$P$22:$Z$858,MATCH($B138,[2]ConsolidatedVehData!$A$22:$A$858,0),MATCH(S$1,[2]ConsolidatedVehData!$P$7:$Z$7,0))</f>
        <v>2912.8329324702659</v>
      </c>
      <c r="T138" s="309">
        <f>S138</f>
        <v>2912.8329324702659</v>
      </c>
      <c r="U138" s="310">
        <f>V138</f>
        <v>0.35629414319439828</v>
      </c>
      <c r="V138" s="310">
        <f>INDEX([2]ConsolidatedVehData!$AF$22:$AF$858,MATCH(B138,[2]ConsolidatedVehData!$A$22:$A$858,0))</f>
        <v>0.35629414319439828</v>
      </c>
      <c r="W138" s="310">
        <f>INDEX([2]ConsolidatedVehData!$AF$22:$AF$858,MATCH($B138,[2]ConsolidatedVehData!$A$22:$A$858,0)+1)</f>
        <v>0.38197897803736025</v>
      </c>
      <c r="X138" s="310">
        <f>INDEX([2]ConsolidatedVehData!$AF$22:$AF$858,MATCH($B138,[2]ConsolidatedVehData!$A$22:$A$858,0)+2)</f>
        <v>0.44303285018696498</v>
      </c>
      <c r="Y138" s="310">
        <f>INDEX([2]ConsolidatedVehData!$AF$22:$AF$858,MATCH($B138,[2]ConsolidatedVehData!$A$22:$A$858,0)+3)</f>
        <v>0.44718495266571073</v>
      </c>
      <c r="Z138" s="310">
        <f>INDEX([2]ConsolidatedVehData!$AF$22:$AF$858,MATCH($B138,[2]ConsolidatedVehData!$A$22:$A$858,0)+4)</f>
        <v>0.44965071464064965</v>
      </c>
      <c r="AA138" s="310">
        <f>INDEX([2]ConsolidatedVehData!$AF$22:$AF$858,MATCH($B138,[2]ConsolidatedVehData!$A$22:$A$858,0)+5)</f>
        <v>0.44977559509158943</v>
      </c>
      <c r="AB138" s="310">
        <f>INDEX([2]ConsolidatedVehData!$AF$22:$AF$858,MATCH($B138,[2]ConsolidatedVehData!$A$22:$A$858,0)+6)</f>
        <v>0.44977559509158943</v>
      </c>
      <c r="AC138" s="310">
        <f>INDEX([2]ConsolidatedVehData!$AF$22:$AF$858,MATCH($B138,[2]ConsolidatedVehData!$A$22:$A$858,0)+7)</f>
        <v>0.44977559509158943</v>
      </c>
      <c r="AD138" s="310">
        <f t="shared" si="56"/>
        <v>0.44977559509158943</v>
      </c>
      <c r="AE138" s="286">
        <f>INDEX([2]ConsolidatedVehData!$AB$22:$AB$858,MATCH(B138,[2]ConsolidatedVehData!$A$22:$A$858,0))</f>
        <v>48.0747492686653</v>
      </c>
      <c r="AF138" s="311">
        <v>0.44</v>
      </c>
      <c r="AG138" s="311">
        <v>0.24</v>
      </c>
      <c r="AH138" s="311">
        <v>0.28000000000000003</v>
      </c>
      <c r="AI138" s="311">
        <v>0.44</v>
      </c>
      <c r="AJ138" s="294"/>
      <c r="AX138" s="250"/>
      <c r="AY138" s="250"/>
      <c r="AZ138" s="250"/>
      <c r="BA138" s="250"/>
      <c r="BB138" s="250"/>
      <c r="BC138" s="250"/>
      <c r="BD138" s="250"/>
    </row>
    <row r="139" spans="1:56" x14ac:dyDescent="0.2">
      <c r="A139" s="255" t="str">
        <f>IF(LEFT(A138,1)="*","*","")</f>
        <v>*</v>
      </c>
      <c r="B139" s="255"/>
      <c r="C139" s="255"/>
      <c r="D139" s="255"/>
      <c r="E139" s="255" t="s">
        <v>99</v>
      </c>
      <c r="F139" s="255"/>
      <c r="G139" s="257"/>
      <c r="H139" s="310">
        <f>INDEX([2]ConsolidatedVehData!$AG$22:$AG$858,MATCH(B138,[2]ConsolidatedVehData!$A$22:$A$858,0))</f>
        <v>0.26521554647620627</v>
      </c>
      <c r="I139" s="294"/>
      <c r="J139" s="294"/>
      <c r="K139" s="294"/>
      <c r="L139" s="294"/>
      <c r="M139" s="294"/>
      <c r="N139" s="294"/>
      <c r="O139" s="294"/>
      <c r="P139" s="294"/>
      <c r="Q139" s="294"/>
      <c r="R139" s="294"/>
      <c r="S139" s="294"/>
      <c r="T139" s="294"/>
      <c r="U139" s="310"/>
      <c r="V139" s="310"/>
      <c r="W139" s="310"/>
      <c r="X139" s="310"/>
      <c r="Y139" s="310"/>
      <c r="Z139" s="310"/>
      <c r="AA139" s="310"/>
      <c r="AB139" s="310"/>
      <c r="AC139" s="310"/>
      <c r="AD139" s="310"/>
      <c r="AE139" s="294"/>
      <c r="AF139" s="311"/>
      <c r="AG139" s="311"/>
      <c r="AH139" s="311"/>
      <c r="AI139" s="311"/>
      <c r="AJ139" s="294"/>
      <c r="AX139" s="250"/>
      <c r="AY139" s="250"/>
      <c r="AZ139" s="250"/>
      <c r="BA139" s="250"/>
      <c r="BB139" s="250"/>
      <c r="BC139" s="250"/>
      <c r="BD139" s="250"/>
    </row>
    <row r="140" spans="1:56" x14ac:dyDescent="0.2">
      <c r="A140" s="255" t="str">
        <f>IF(LEFT(A139,1)="*","*","")</f>
        <v>*</v>
      </c>
      <c r="B140" s="255"/>
      <c r="C140" s="255"/>
      <c r="D140" s="255"/>
      <c r="E140" s="255"/>
      <c r="F140" s="255" t="str">
        <f>[2]Commodities!$D$9</f>
        <v>TL</v>
      </c>
      <c r="G140" s="257"/>
      <c r="H140" s="310"/>
      <c r="I140" s="294"/>
      <c r="J140" s="294"/>
      <c r="K140" s="294"/>
      <c r="L140" s="294"/>
      <c r="M140" s="294"/>
      <c r="N140" s="294"/>
      <c r="O140" s="294"/>
      <c r="P140" s="294"/>
      <c r="Q140" s="294"/>
      <c r="R140" s="294"/>
      <c r="S140" s="294"/>
      <c r="T140" s="294"/>
      <c r="U140" s="310"/>
      <c r="V140" s="310"/>
      <c r="W140" s="310"/>
      <c r="X140" s="310"/>
      <c r="Y140" s="310"/>
      <c r="Z140" s="310"/>
      <c r="AA140" s="310"/>
      <c r="AB140" s="310"/>
      <c r="AC140" s="310"/>
      <c r="AD140" s="310"/>
      <c r="AE140" s="294"/>
      <c r="AF140" s="311"/>
      <c r="AG140" s="311"/>
      <c r="AH140" s="311"/>
      <c r="AI140" s="311"/>
      <c r="AJ140" s="294"/>
      <c r="AX140" s="250"/>
      <c r="AY140" s="250"/>
      <c r="AZ140" s="250"/>
      <c r="BA140" s="250"/>
      <c r="BB140" s="250"/>
      <c r="BC140" s="250"/>
      <c r="BD140" s="250"/>
    </row>
    <row r="141" spans="1:56" x14ac:dyDescent="0.2">
      <c r="A141" s="255" t="str">
        <f>[2]Technologies!B167</f>
        <v>*R2,R3,R4,R5,R6</v>
      </c>
      <c r="B141" s="255" t="str">
        <f>[2]Technologies!D167</f>
        <v>TLMPHVE10</v>
      </c>
      <c r="C141" s="255" t="str">
        <f>[2]Technologies!E167</f>
        <v>TL.E85X.M.PHVE.2010</v>
      </c>
      <c r="D141" s="255" t="s">
        <v>292</v>
      </c>
      <c r="E141" s="255" t="s">
        <v>95</v>
      </c>
      <c r="F141" s="257"/>
      <c r="G141" s="257"/>
      <c r="H141" s="310">
        <f>1-H142</f>
        <v>0.73478445352379373</v>
      </c>
      <c r="I141" s="309">
        <f>INDEX([2]ConsolidatedVehData!$D$22:$D$858,MATCH(B141,[2]ConsolidatedVehData!$A$22:$A$858,0))</f>
        <v>2010</v>
      </c>
      <c r="J141" s="294">
        <v>20</v>
      </c>
      <c r="K141" s="309">
        <f>INDEX([2]ConsolidatedVehData!$P$22:$Z$858,MATCH($B141,[2]ConsolidatedVehData!$A$22:$A$858,0),MATCH(K$1,[2]ConsolidatedVehData!$P$7:$Z$7,0))</f>
        <v>2496.2957868406688</v>
      </c>
      <c r="L141" s="309">
        <f>INDEX([2]ConsolidatedVehData!$P$22:$Z$858,MATCH($B141,[2]ConsolidatedVehData!$A$22:$A$858,0),MATCH(L$1,[2]ConsolidatedVehData!$P$7:$Z$7,0))</f>
        <v>2585.1031260676318</v>
      </c>
      <c r="M141" s="309">
        <f>INDEX([2]ConsolidatedVehData!$P$22:$Z$858,MATCH($B141,[2]ConsolidatedVehData!$A$22:$A$858,0),MATCH(M$1,[2]ConsolidatedVehData!$P$7:$Z$7,0))</f>
        <v>2647.0676384842213</v>
      </c>
      <c r="N141" s="309">
        <f>INDEX([2]ConsolidatedVehData!$P$22:$Z$858,MATCH($B141,[2]ConsolidatedVehData!$A$22:$A$858,0),MATCH(N$1,[2]ConsolidatedVehData!$P$7:$Z$7,0))</f>
        <v>2726.7449480375353</v>
      </c>
      <c r="O141" s="309">
        <f>INDEX([2]ConsolidatedVehData!$P$22:$Z$858,MATCH($B141,[2]ConsolidatedVehData!$A$22:$A$858,0),MATCH(O$1,[2]ConsolidatedVehData!$P$7:$Z$7,0))</f>
        <v>2730.1557257957747</v>
      </c>
      <c r="P141" s="309">
        <f>INDEX([2]ConsolidatedVehData!$P$22:$Z$858,MATCH($B141,[2]ConsolidatedVehData!$A$22:$A$858,0),MATCH(P$1,[2]ConsolidatedVehData!$P$7:$Z$7,0))</f>
        <v>2731.8264773652722</v>
      </c>
      <c r="Q141" s="309">
        <f>INDEX([2]ConsolidatedVehData!$P$22:$Z$858,MATCH($B141,[2]ConsolidatedVehData!$A$22:$A$858,0),MATCH(Q$1,[2]ConsolidatedVehData!$P$7:$Z$7,0))</f>
        <v>2733.3158218273629</v>
      </c>
      <c r="R141" s="309">
        <f>INDEX([2]ConsolidatedVehData!$P$22:$Z$858,MATCH($B141,[2]ConsolidatedVehData!$A$22:$A$858,0),MATCH(R$1,[2]ConsolidatedVehData!$P$7:$Z$7,0))</f>
        <v>2733.3158218273629</v>
      </c>
      <c r="S141" s="309">
        <f>INDEX([2]ConsolidatedVehData!$P$22:$Z$858,MATCH($B141,[2]ConsolidatedVehData!$A$22:$A$858,0),MATCH(S$1,[2]ConsolidatedVehData!$P$7:$Z$7,0))</f>
        <v>2733.3158218273629</v>
      </c>
      <c r="T141" s="309">
        <f>S141</f>
        <v>2733.3158218273629</v>
      </c>
      <c r="U141" s="310">
        <f>INDEX([2]ConsolidatedVehData!$AF$22:$AF$858,MATCH(B141,[2]ConsolidatedVehData!$A$22:$A$858,0))</f>
        <v>0.40115867016377843</v>
      </c>
      <c r="V141" s="310">
        <f>(U141+W141)/2</f>
        <v>0.39457449872126538</v>
      </c>
      <c r="W141" s="310">
        <f>INDEX([2]ConsolidatedVehData!$AF$22:$AF$858,MATCH($B141,[2]ConsolidatedVehData!$A$22:$A$858,0)+2)</f>
        <v>0.38799032727875232</v>
      </c>
      <c r="X141" s="310">
        <f>INDEX([2]ConsolidatedVehData!$AF$22:$AF$858,MATCH($B141,[2]ConsolidatedVehData!$A$22:$A$858,0)+3)</f>
        <v>0.4648067859635327</v>
      </c>
      <c r="Y141" s="310">
        <f>INDEX([2]ConsolidatedVehData!$AF$22:$AF$858,MATCH($B141,[2]ConsolidatedVehData!$A$22:$A$858,0)+4)</f>
        <v>0.47009757088285192</v>
      </c>
      <c r="Z141" s="310">
        <f>INDEX([2]ConsolidatedVehData!$AF$22:$AF$858,MATCH($B141,[2]ConsolidatedVehData!$A$22:$A$858,0)+5)</f>
        <v>0.47376170789496153</v>
      </c>
      <c r="AA141" s="310">
        <f>INDEX([2]ConsolidatedVehData!$AF$22:$AF$858,MATCH($B141,[2]ConsolidatedVehData!$A$22:$A$858,0)+6)</f>
        <v>0.47526394266736299</v>
      </c>
      <c r="AB141" s="310">
        <f>INDEX([2]ConsolidatedVehData!$AF$22:$AF$858,MATCH($B141,[2]ConsolidatedVehData!$A$22:$A$858,0)+7)</f>
        <v>0.47526394266736299</v>
      </c>
      <c r="AC141" s="310">
        <f>INDEX([2]ConsolidatedVehData!$AF$22:$AF$858,MATCH($B141,[2]ConsolidatedVehData!$A$22:$A$858,0)+8)</f>
        <v>0.47526394266736299</v>
      </c>
      <c r="AD141" s="310">
        <f t="shared" si="56"/>
        <v>0.47526394266736299</v>
      </c>
      <c r="AE141" s="286">
        <f>INDEX([2]ConsolidatedVehData!$AB$22:$AB$858,MATCH(B141,[2]ConsolidatedVehData!$A$22:$A$858,0))</f>
        <v>45.478712808157368</v>
      </c>
      <c r="AF141" s="311">
        <v>0.44</v>
      </c>
      <c r="AG141" s="311">
        <v>0.24</v>
      </c>
      <c r="AH141" s="311">
        <v>0.28000000000000003</v>
      </c>
      <c r="AI141" s="311">
        <v>0.44</v>
      </c>
      <c r="AJ141" s="294"/>
      <c r="AX141" s="250"/>
      <c r="AY141" s="250"/>
      <c r="AZ141" s="250"/>
      <c r="BA141" s="250"/>
      <c r="BB141" s="250"/>
      <c r="BC141" s="250"/>
      <c r="BD141" s="250"/>
    </row>
    <row r="142" spans="1:56" x14ac:dyDescent="0.2">
      <c r="A142" s="255" t="str">
        <f>IF(LEFT(A141,1)="*","*","")</f>
        <v>*</v>
      </c>
      <c r="B142" s="255"/>
      <c r="C142" s="255"/>
      <c r="D142" s="255"/>
      <c r="E142" s="255" t="s">
        <v>99</v>
      </c>
      <c r="F142" s="255"/>
      <c r="G142" s="257"/>
      <c r="H142" s="310">
        <f>INDEX([2]ConsolidatedVehData!$AG$22:$AG$858,MATCH(B141,[2]ConsolidatedVehData!$A$22:$A$858,0))</f>
        <v>0.26521554647620627</v>
      </c>
      <c r="I142" s="294"/>
      <c r="J142" s="294"/>
      <c r="K142" s="294"/>
      <c r="L142" s="294"/>
      <c r="M142" s="294"/>
      <c r="N142" s="294"/>
      <c r="O142" s="294"/>
      <c r="P142" s="294"/>
      <c r="Q142" s="294"/>
      <c r="R142" s="294"/>
      <c r="S142" s="294"/>
      <c r="T142" s="294"/>
      <c r="U142" s="310"/>
      <c r="V142" s="310"/>
      <c r="W142" s="310"/>
      <c r="X142" s="310"/>
      <c r="Y142" s="310"/>
      <c r="Z142" s="310"/>
      <c r="AA142" s="310"/>
      <c r="AB142" s="310"/>
      <c r="AC142" s="310"/>
      <c r="AD142" s="310"/>
      <c r="AE142" s="294"/>
      <c r="AF142" s="311"/>
      <c r="AG142" s="311"/>
      <c r="AH142" s="311"/>
      <c r="AI142" s="311"/>
      <c r="AJ142" s="294"/>
      <c r="AX142" s="250"/>
      <c r="AY142" s="250"/>
      <c r="AZ142" s="250"/>
      <c r="BA142" s="250"/>
      <c r="BB142" s="250"/>
      <c r="BC142" s="250"/>
      <c r="BD142" s="250"/>
    </row>
    <row r="143" spans="1:56" x14ac:dyDescent="0.2">
      <c r="A143" s="255"/>
      <c r="B143" s="255"/>
      <c r="C143" s="255"/>
      <c r="D143" s="255"/>
      <c r="E143" s="255"/>
      <c r="F143" s="255" t="str">
        <f>[2]Commodities!$D$9</f>
        <v>TL</v>
      </c>
      <c r="G143" s="257"/>
      <c r="H143" s="310"/>
      <c r="I143" s="294"/>
      <c r="J143" s="294"/>
      <c r="K143" s="294"/>
      <c r="L143" s="294"/>
      <c r="M143" s="294"/>
      <c r="N143" s="294"/>
      <c r="O143" s="294"/>
      <c r="P143" s="294"/>
      <c r="Q143" s="294"/>
      <c r="R143" s="294"/>
      <c r="S143" s="294"/>
      <c r="T143" s="294"/>
      <c r="U143" s="310"/>
      <c r="V143" s="310"/>
      <c r="W143" s="310"/>
      <c r="X143" s="310"/>
      <c r="Y143" s="310"/>
      <c r="Z143" s="310"/>
      <c r="AA143" s="310"/>
      <c r="AB143" s="310"/>
      <c r="AC143" s="310"/>
      <c r="AD143" s="310"/>
      <c r="AE143" s="294"/>
      <c r="AF143" s="311"/>
      <c r="AG143" s="311"/>
      <c r="AH143" s="311"/>
      <c r="AI143" s="311"/>
      <c r="AJ143" s="294"/>
      <c r="AX143" s="250"/>
      <c r="AY143" s="250"/>
      <c r="AZ143" s="250"/>
      <c r="BA143" s="250"/>
      <c r="BB143" s="250"/>
      <c r="BC143" s="250"/>
      <c r="BD143" s="250"/>
    </row>
    <row r="144" spans="1:56" x14ac:dyDescent="0.2">
      <c r="A144" s="255" t="str">
        <f>[2]Technologies!B168</f>
        <v>*R2,R3,R4,R5,R6</v>
      </c>
      <c r="B144" s="255" t="str">
        <f>[2]Technologies!D168</f>
        <v>TLLSPHVE10</v>
      </c>
      <c r="C144" s="255" t="str">
        <f>[2]Technologies!E168</f>
        <v>TL.E85X.LS.PHVE.2010</v>
      </c>
      <c r="D144" s="255" t="s">
        <v>292</v>
      </c>
      <c r="E144" s="255" t="s">
        <v>95</v>
      </c>
      <c r="F144" s="257"/>
      <c r="G144" s="257"/>
      <c r="H144" s="310">
        <f>1-H145</f>
        <v>0.73478445352379373</v>
      </c>
      <c r="I144" s="309">
        <f>INDEX([2]ConsolidatedVehData!$D$22:$D$858,MATCH(B144,[2]ConsolidatedVehData!$A$22:$A$858,0))</f>
        <v>2010</v>
      </c>
      <c r="J144" s="294">
        <v>20</v>
      </c>
      <c r="K144" s="309">
        <f>INDEX([2]ConsolidatedVehData!$P$22:$Z$858,MATCH($B144,[2]ConsolidatedVehData!$A$22:$A$858,0),MATCH(K$1,[2]ConsolidatedVehData!$P$7:$Z$7,0))</f>
        <v>3256.5242836499638</v>
      </c>
      <c r="L144" s="309">
        <f>INDEX([2]ConsolidatedVehData!$P$22:$Z$858,MATCH($B144,[2]ConsolidatedVehData!$A$22:$A$858,0),MATCH(L$1,[2]ConsolidatedVehData!$P$7:$Z$7,0))</f>
        <v>3295.5447569242451</v>
      </c>
      <c r="M144" s="309">
        <f>INDEX([2]ConsolidatedVehData!$P$22:$Z$858,MATCH($B144,[2]ConsolidatedVehData!$A$22:$A$858,0),MATCH(M$1,[2]ConsolidatedVehData!$P$7:$Z$7,0))</f>
        <v>3376.9815069922383</v>
      </c>
      <c r="N144" s="309">
        <f>INDEX([2]ConsolidatedVehData!$P$22:$Z$858,MATCH($B144,[2]ConsolidatedVehData!$A$22:$A$858,0),MATCH(N$1,[2]ConsolidatedVehData!$P$7:$Z$7,0))</f>
        <v>3464.8471238125708</v>
      </c>
      <c r="O144" s="309">
        <f>INDEX([2]ConsolidatedVehData!$P$22:$Z$858,MATCH($B144,[2]ConsolidatedVehData!$A$22:$A$858,0),MATCH(O$1,[2]ConsolidatedVehData!$P$7:$Z$7,0))</f>
        <v>3472.2436416663609</v>
      </c>
      <c r="P144" s="309">
        <f>INDEX([2]ConsolidatedVehData!$P$22:$Z$858,MATCH($B144,[2]ConsolidatedVehData!$A$22:$A$858,0),MATCH(P$1,[2]ConsolidatedVehData!$P$7:$Z$7,0))</f>
        <v>3473.8136241232214</v>
      </c>
      <c r="Q144" s="309">
        <f>INDEX([2]ConsolidatedVehData!$P$22:$Z$858,MATCH($B144,[2]ConsolidatedVehData!$A$22:$A$858,0),MATCH(Q$1,[2]ConsolidatedVehData!$P$7:$Z$7,0))</f>
        <v>3475.1979474860773</v>
      </c>
      <c r="R144" s="309">
        <f>INDEX([2]ConsolidatedVehData!$P$22:$Z$858,MATCH($B144,[2]ConsolidatedVehData!$A$22:$A$858,0),MATCH(R$1,[2]ConsolidatedVehData!$P$7:$Z$7,0))</f>
        <v>3475.1979474860773</v>
      </c>
      <c r="S144" s="309">
        <f>INDEX([2]ConsolidatedVehData!$P$22:$Z$858,MATCH($B144,[2]ConsolidatedVehData!$A$22:$A$858,0),MATCH(S$1,[2]ConsolidatedVehData!$P$7:$Z$7,0))</f>
        <v>3475.1979474860773</v>
      </c>
      <c r="T144" s="309">
        <f>S144</f>
        <v>3475.1979474860773</v>
      </c>
      <c r="U144" s="310">
        <f>INDEX([2]ConsolidatedVehData!$AF$22:$AF$858,MATCH(B144,[2]ConsolidatedVehData!$A$22:$A$858,0))</f>
        <v>0.35815460649870839</v>
      </c>
      <c r="V144" s="310">
        <f>INDEX([2]ConsolidatedVehData!$AF$22:$AF$858,MATCH($B144,[2]ConsolidatedVehData!$A$22:$A$858,0)+1)</f>
        <v>0.33581478808435256</v>
      </c>
      <c r="W144" s="310">
        <f>INDEX([2]ConsolidatedVehData!$AF$22:$AF$858,MATCH($B144,[2]ConsolidatedVehData!$A$22:$A$858,0)+2)</f>
        <v>0.38924064058083058</v>
      </c>
      <c r="X144" s="310">
        <f>INDEX([2]ConsolidatedVehData!$AF$22:$AF$858,MATCH($B144,[2]ConsolidatedVehData!$A$22:$A$858,0)+3)</f>
        <v>0.47533762779082767</v>
      </c>
      <c r="Y144" s="310">
        <f>INDEX([2]ConsolidatedVehData!$AF$22:$AF$858,MATCH($B144,[2]ConsolidatedVehData!$A$22:$A$858,0)+4)</f>
        <v>0.4843220422383524</v>
      </c>
      <c r="Z144" s="310">
        <f>INDEX([2]ConsolidatedVehData!$AF$22:$AF$858,MATCH($B144,[2]ConsolidatedVehData!$A$22:$A$858,0)+5)</f>
        <v>0.48751509396548387</v>
      </c>
      <c r="AA144" s="310">
        <f>INDEX([2]ConsolidatedVehData!$AF$22:$AF$858,MATCH($B144,[2]ConsolidatedVehData!$A$22:$A$858,0)+6)</f>
        <v>0.48864757682680604</v>
      </c>
      <c r="AB144" s="310">
        <f>INDEX([2]ConsolidatedVehData!$AF$22:$AF$858,MATCH($B144,[2]ConsolidatedVehData!$A$22:$A$858,0)+7)</f>
        <v>0.48864757682680604</v>
      </c>
      <c r="AC144" s="310">
        <f>INDEX([2]ConsolidatedVehData!$AF$22:$AF$858,MATCH($B144,[2]ConsolidatedVehData!$A$22:$A$858,0)+8)</f>
        <v>0.48864757682680604</v>
      </c>
      <c r="AD144" s="310">
        <f t="shared" si="56"/>
        <v>0.48864757682680604</v>
      </c>
      <c r="AE144" s="286">
        <f>INDEX([2]ConsolidatedVehData!$AB$22:$AB$858,MATCH(B144,[2]ConsolidatedVehData!$A$22:$A$858,0))</f>
        <v>45.478712808157368</v>
      </c>
      <c r="AF144" s="311">
        <v>0.44</v>
      </c>
      <c r="AG144" s="311">
        <v>0.24</v>
      </c>
      <c r="AH144" s="311">
        <v>0.28000000000000003</v>
      </c>
      <c r="AI144" s="311">
        <v>0.44</v>
      </c>
      <c r="AJ144" s="294"/>
      <c r="AX144" s="250"/>
      <c r="AY144" s="250"/>
      <c r="AZ144" s="250"/>
      <c r="BA144" s="250"/>
      <c r="BB144" s="250"/>
      <c r="BC144" s="250"/>
      <c r="BD144" s="250"/>
    </row>
    <row r="145" spans="1:56" x14ac:dyDescent="0.2">
      <c r="A145" s="255" t="str">
        <f>IF(LEFT(A144,1)="*","*","")</f>
        <v>*</v>
      </c>
      <c r="B145" s="255"/>
      <c r="C145" s="255"/>
      <c r="D145" s="255"/>
      <c r="E145" s="255" t="s">
        <v>99</v>
      </c>
      <c r="F145" s="255"/>
      <c r="G145" s="257"/>
      <c r="H145" s="310">
        <f>INDEX([2]ConsolidatedVehData!$AG$22:$AG$858,MATCH(B144,[2]ConsolidatedVehData!$A$22:$A$858,0))</f>
        <v>0.26521554647620627</v>
      </c>
      <c r="I145" s="294"/>
      <c r="J145" s="294"/>
      <c r="K145" s="294"/>
      <c r="L145" s="294"/>
      <c r="M145" s="294"/>
      <c r="N145" s="294"/>
      <c r="O145" s="294"/>
      <c r="P145" s="294"/>
      <c r="Q145" s="294"/>
      <c r="R145" s="294"/>
      <c r="S145" s="294"/>
      <c r="T145" s="294"/>
      <c r="U145" s="310"/>
      <c r="V145" s="310"/>
      <c r="W145" s="310"/>
      <c r="X145" s="310"/>
      <c r="Y145" s="310"/>
      <c r="Z145" s="310"/>
      <c r="AA145" s="310"/>
      <c r="AB145" s="310"/>
      <c r="AC145" s="310"/>
      <c r="AD145" s="310"/>
      <c r="AE145" s="294"/>
      <c r="AF145" s="311"/>
      <c r="AG145" s="311"/>
      <c r="AH145" s="311"/>
      <c r="AI145" s="311"/>
      <c r="AJ145" s="294"/>
      <c r="AX145" s="250"/>
      <c r="AY145" s="250"/>
      <c r="AZ145" s="250"/>
      <c r="BA145" s="250"/>
      <c r="BB145" s="250"/>
      <c r="BC145" s="250"/>
      <c r="BD145" s="250"/>
    </row>
    <row r="146" spans="1:56" x14ac:dyDescent="0.2">
      <c r="A146" s="255" t="str">
        <f>IF(LEFT(A145,1)="*","*","")</f>
        <v>*</v>
      </c>
      <c r="B146" s="255"/>
      <c r="C146" s="255"/>
      <c r="D146" s="255"/>
      <c r="E146" s="255"/>
      <c r="F146" s="255" t="str">
        <f>[2]Commodities!$D$9</f>
        <v>TL</v>
      </c>
      <c r="G146" s="257"/>
      <c r="H146" s="310"/>
      <c r="I146" s="294"/>
      <c r="J146" s="294"/>
      <c r="K146" s="294"/>
      <c r="L146" s="294"/>
      <c r="M146" s="294"/>
      <c r="N146" s="294"/>
      <c r="O146" s="294"/>
      <c r="P146" s="294"/>
      <c r="Q146" s="294"/>
      <c r="R146" s="294"/>
      <c r="S146" s="294"/>
      <c r="T146" s="294"/>
      <c r="U146" s="310"/>
      <c r="V146" s="310"/>
      <c r="W146" s="310"/>
      <c r="X146" s="310"/>
      <c r="Y146" s="310"/>
      <c r="Z146" s="310"/>
      <c r="AA146" s="310"/>
      <c r="AB146" s="310"/>
      <c r="AC146" s="310"/>
      <c r="AD146" s="310"/>
      <c r="AE146" s="294"/>
      <c r="AF146" s="311"/>
      <c r="AG146" s="311"/>
      <c r="AH146" s="311"/>
      <c r="AI146" s="311"/>
      <c r="AJ146" s="294"/>
      <c r="AX146" s="250"/>
      <c r="AY146" s="250"/>
      <c r="AZ146" s="250"/>
      <c r="BA146" s="250"/>
      <c r="BB146" s="250"/>
      <c r="BC146" s="250"/>
      <c r="BD146" s="250"/>
    </row>
    <row r="147" spans="1:56" x14ac:dyDescent="0.2">
      <c r="A147" s="255" t="str">
        <f>[2]Technologies!B169</f>
        <v>*R2,R3,R4,R5,R6</v>
      </c>
      <c r="B147" s="255" t="str">
        <f>[2]Technologies!D169</f>
        <v>TLSSPHVE10</v>
      </c>
      <c r="C147" s="255" t="str">
        <f>[2]Technologies!E169</f>
        <v>TL.E85X.SS.PHVE.2010</v>
      </c>
      <c r="D147" s="255" t="s">
        <v>292</v>
      </c>
      <c r="E147" s="255" t="s">
        <v>95</v>
      </c>
      <c r="F147" s="257"/>
      <c r="G147" s="257"/>
      <c r="H147" s="310">
        <f>1-H148</f>
        <v>0.73478445352379373</v>
      </c>
      <c r="I147" s="309">
        <f>INDEX([2]ConsolidatedVehData!$D$22:$D$858,MATCH(B147,[2]ConsolidatedVehData!$A$22:$A$858,0))</f>
        <v>2010</v>
      </c>
      <c r="J147" s="294">
        <v>20</v>
      </c>
      <c r="K147" s="309">
        <f>INDEX([2]ConsolidatedVehData!$P$22:$Z$858,MATCH($B147,[2]ConsolidatedVehData!$A$22:$A$858,0),MATCH(K$1,[2]ConsolidatedVehData!$P$7:$Z$7,0))</f>
        <v>2342.9093754714131</v>
      </c>
      <c r="L147" s="309">
        <f>INDEX([2]ConsolidatedVehData!$P$22:$Z$858,MATCH($B147,[2]ConsolidatedVehData!$A$22:$A$858,0),MATCH(L$1,[2]ConsolidatedVehData!$P$7:$Z$7,0))</f>
        <v>2461.6833636540528</v>
      </c>
      <c r="M147" s="309">
        <f>INDEX([2]ConsolidatedVehData!$P$22:$Z$858,MATCH($B147,[2]ConsolidatedVehData!$A$22:$A$858,0),MATCH(M$1,[2]ConsolidatedVehData!$P$7:$Z$7,0))</f>
        <v>2526.7995235617504</v>
      </c>
      <c r="N147" s="309">
        <f>INDEX([2]ConsolidatedVehData!$P$22:$Z$858,MATCH($B147,[2]ConsolidatedVehData!$A$22:$A$858,0),MATCH(N$1,[2]ConsolidatedVehData!$P$7:$Z$7,0))</f>
        <v>2602.337025411915</v>
      </c>
      <c r="O147" s="309">
        <f>INDEX([2]ConsolidatedVehData!$P$22:$Z$858,MATCH($B147,[2]ConsolidatedVehData!$A$22:$A$858,0),MATCH(O$1,[2]ConsolidatedVehData!$P$7:$Z$7,0))</f>
        <v>2607.2103937501888</v>
      </c>
      <c r="P147" s="309">
        <f>INDEX([2]ConsolidatedVehData!$P$22:$Z$858,MATCH($B147,[2]ConsolidatedVehData!$A$22:$A$858,0),MATCH(P$1,[2]ConsolidatedVehData!$P$7:$Z$7,0))</f>
        <v>2609.242695148776</v>
      </c>
      <c r="Q147" s="309">
        <f>INDEX([2]ConsolidatedVehData!$P$22:$Z$858,MATCH($B147,[2]ConsolidatedVehData!$A$22:$A$858,0),MATCH(Q$1,[2]ConsolidatedVehData!$P$7:$Z$7,0))</f>
        <v>2611.0661483545427</v>
      </c>
      <c r="R147" s="309">
        <f>INDEX([2]ConsolidatedVehData!$P$22:$Z$858,MATCH($B147,[2]ConsolidatedVehData!$A$22:$A$858,0),MATCH(R$1,[2]ConsolidatedVehData!$P$7:$Z$7,0))</f>
        <v>2611.0661483545427</v>
      </c>
      <c r="S147" s="309">
        <f>INDEX([2]ConsolidatedVehData!$P$22:$Z$858,MATCH($B147,[2]ConsolidatedVehData!$A$22:$A$858,0),MATCH(S$1,[2]ConsolidatedVehData!$P$7:$Z$7,0))</f>
        <v>2611.0661483545427</v>
      </c>
      <c r="T147" s="309">
        <f>S147</f>
        <v>2611.0661483545427</v>
      </c>
      <c r="U147" s="310">
        <f>INDEX([2]ConsolidatedVehData!$AF$22:$AF$858,MATCH(B147,[2]ConsolidatedVehData!$A$22:$A$858,0))</f>
        <v>0.43751168160946269</v>
      </c>
      <c r="V147" s="310">
        <f>INDEX([2]ConsolidatedVehData!$AF$22:$AF$858,MATCH($B147,[2]ConsolidatedVehData!$A$22:$A$858,0)+1)</f>
        <v>0.39397901418046888</v>
      </c>
      <c r="W147" s="310">
        <f>INDEX([2]ConsolidatedVehData!$AF$22:$AF$858,MATCH($B147,[2]ConsolidatedVehData!$A$22:$A$858,0)+2)</f>
        <v>0.44210643803631444</v>
      </c>
      <c r="X147" s="310">
        <f>INDEX([2]ConsolidatedVehData!$AF$22:$AF$858,MATCH($B147,[2]ConsolidatedVehData!$A$22:$A$858,0)+3)</f>
        <v>0.52273292568483631</v>
      </c>
      <c r="Y147" s="310">
        <f>INDEX([2]ConsolidatedVehData!$AF$22:$AF$858,MATCH($B147,[2]ConsolidatedVehData!$A$22:$A$858,0)+4)</f>
        <v>0.52481932432193601</v>
      </c>
      <c r="Z147" s="310">
        <f>INDEX([2]ConsolidatedVehData!$AF$22:$AF$858,MATCH($B147,[2]ConsolidatedVehData!$A$22:$A$858,0)+5)</f>
        <v>0.52476440303045857</v>
      </c>
      <c r="AA147" s="310">
        <f>INDEX([2]ConsolidatedVehData!$AF$22:$AF$858,MATCH($B147,[2]ConsolidatedVehData!$A$22:$A$858,0)+6)</f>
        <v>0.52422002807284751</v>
      </c>
      <c r="AB147" s="310">
        <f>INDEX([2]ConsolidatedVehData!$AF$22:$AF$858,MATCH($B147,[2]ConsolidatedVehData!$A$22:$A$858,0)+7)</f>
        <v>0.52422002807284751</v>
      </c>
      <c r="AC147" s="310">
        <f>INDEX([2]ConsolidatedVehData!$AF$22:$AF$858,MATCH($B147,[2]ConsolidatedVehData!$A$22:$A$858,0)+8)</f>
        <v>0.52422002807284751</v>
      </c>
      <c r="AD147" s="310">
        <f t="shared" si="56"/>
        <v>0.52422002807284751</v>
      </c>
      <c r="AE147" s="286">
        <f>INDEX([2]ConsolidatedVehData!$AB$22:$AB$858,MATCH(B147,[2]ConsolidatedVehData!$A$22:$A$858,0))</f>
        <v>45.478712808157368</v>
      </c>
      <c r="AF147" s="311">
        <v>0.44</v>
      </c>
      <c r="AG147" s="311">
        <v>0.24</v>
      </c>
      <c r="AH147" s="311">
        <v>0.28000000000000003</v>
      </c>
      <c r="AI147" s="311">
        <v>0.44</v>
      </c>
      <c r="AJ147" s="294"/>
      <c r="AX147" s="250"/>
      <c r="AY147" s="250"/>
      <c r="AZ147" s="250"/>
      <c r="BA147" s="250"/>
      <c r="BB147" s="250"/>
      <c r="BC147" s="250"/>
      <c r="BD147" s="250"/>
    </row>
    <row r="148" spans="1:56" x14ac:dyDescent="0.2">
      <c r="A148" s="255" t="str">
        <f>IF(LEFT(A147,1)="*","*","")</f>
        <v>*</v>
      </c>
      <c r="B148" s="255"/>
      <c r="C148" s="255"/>
      <c r="D148" s="255"/>
      <c r="E148" s="255" t="s">
        <v>99</v>
      </c>
      <c r="F148" s="255"/>
      <c r="G148" s="257"/>
      <c r="H148" s="310">
        <f>INDEX([2]ConsolidatedVehData!$AG$22:$AG$858,MATCH(B147,[2]ConsolidatedVehData!$A$22:$A$858,0))</f>
        <v>0.26521554647620627</v>
      </c>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X148" s="250"/>
      <c r="AY148" s="250"/>
      <c r="AZ148" s="250"/>
      <c r="BA148" s="250"/>
      <c r="BB148" s="250"/>
      <c r="BC148" s="250"/>
      <c r="BD148" s="250"/>
    </row>
    <row r="149" spans="1:56" x14ac:dyDescent="0.2">
      <c r="A149" s="255" t="str">
        <f>IF(LEFT(A148,1)="*","*","")</f>
        <v>*</v>
      </c>
      <c r="B149" s="255"/>
      <c r="C149" s="255"/>
      <c r="D149" s="255"/>
      <c r="E149" s="255"/>
      <c r="F149" s="255" t="str">
        <f>[2]Commodities!$D$9</f>
        <v>TL</v>
      </c>
      <c r="G149" s="257"/>
      <c r="H149" s="310"/>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X149" s="250"/>
      <c r="AY149" s="250"/>
      <c r="AZ149" s="250"/>
      <c r="BA149" s="250"/>
      <c r="BB149" s="250"/>
      <c r="BC149" s="250"/>
      <c r="BD149" s="250"/>
    </row>
    <row r="150" spans="1:56" x14ac:dyDescent="0.2">
      <c r="O150" s="300"/>
      <c r="Q150" s="300"/>
      <c r="R150" s="300"/>
      <c r="S150" s="300"/>
      <c r="T150" s="300"/>
      <c r="U150" s="300"/>
      <c r="V150" s="300"/>
      <c r="W150" s="300"/>
      <c r="X150" s="300"/>
      <c r="Y150" s="300"/>
      <c r="Z150" s="300"/>
      <c r="AL150" s="267"/>
      <c r="AM150" s="267"/>
      <c r="AN150" s="267"/>
      <c r="AO150" s="267"/>
      <c r="AP150" s="267"/>
    </row>
    <row r="151" spans="1:56" x14ac:dyDescent="0.2">
      <c r="O151" s="300"/>
      <c r="Q151" s="300"/>
      <c r="R151" s="300"/>
      <c r="S151" s="300"/>
      <c r="T151" s="300"/>
      <c r="U151" s="300"/>
      <c r="V151" s="300"/>
      <c r="W151" s="300"/>
      <c r="X151" s="300"/>
      <c r="Y151" s="300"/>
      <c r="Z151" s="300"/>
      <c r="AL151" s="267"/>
      <c r="AM151" s="267"/>
      <c r="AN151" s="267"/>
      <c r="AO151" s="267"/>
      <c r="AP151" s="267"/>
    </row>
    <row r="152" spans="1:56" x14ac:dyDescent="0.2">
      <c r="O152" s="300"/>
      <c r="Q152" s="300"/>
      <c r="R152" s="300"/>
      <c r="S152" s="300"/>
      <c r="T152" s="300"/>
      <c r="U152" s="300"/>
      <c r="V152" s="300"/>
      <c r="W152" s="300"/>
      <c r="X152" s="300"/>
      <c r="Y152" s="300"/>
      <c r="Z152" s="300"/>
      <c r="AL152" s="267"/>
      <c r="AM152" s="267"/>
      <c r="AN152" s="267"/>
      <c r="AO152" s="267"/>
      <c r="AP152" s="267"/>
    </row>
    <row r="153" spans="1:56" x14ac:dyDescent="0.2">
      <c r="O153" s="300"/>
      <c r="Q153" s="300"/>
      <c r="R153" s="300"/>
      <c r="S153" s="300"/>
      <c r="T153" s="300"/>
      <c r="U153" s="300"/>
      <c r="V153" s="300"/>
      <c r="W153" s="300"/>
      <c r="X153" s="300"/>
      <c r="Y153" s="300"/>
      <c r="Z153" s="300"/>
      <c r="AL153" s="267"/>
      <c r="AM153" s="267"/>
      <c r="AN153" s="267"/>
      <c r="AO153" s="267"/>
      <c r="AP153" s="267"/>
    </row>
    <row r="154" spans="1:56" x14ac:dyDescent="0.2">
      <c r="O154" s="300"/>
      <c r="Q154" s="300"/>
      <c r="R154" s="300"/>
      <c r="S154" s="300"/>
      <c r="T154" s="300"/>
      <c r="U154" s="300"/>
      <c r="V154" s="300"/>
      <c r="W154" s="300"/>
      <c r="X154" s="300"/>
      <c r="Y154" s="300"/>
      <c r="Z154" s="300"/>
      <c r="AL154" s="267"/>
      <c r="AM154" s="267"/>
      <c r="AN154" s="267"/>
      <c r="AO154" s="267"/>
      <c r="AP154" s="267"/>
    </row>
    <row r="155" spans="1:56" x14ac:dyDescent="0.2">
      <c r="O155" s="300"/>
      <c r="Q155" s="300"/>
      <c r="R155" s="300"/>
      <c r="S155" s="300"/>
      <c r="T155" s="300"/>
      <c r="U155" s="300"/>
      <c r="V155" s="300"/>
      <c r="W155" s="300"/>
      <c r="X155" s="300"/>
      <c r="Y155" s="300"/>
      <c r="Z155" s="300"/>
      <c r="AL155" s="267"/>
      <c r="AM155" s="267"/>
      <c r="AN155" s="267"/>
      <c r="AO155" s="267"/>
      <c r="AP155" s="267"/>
    </row>
    <row r="156" spans="1:56" x14ac:dyDescent="0.2">
      <c r="O156" s="300"/>
      <c r="Q156" s="300"/>
      <c r="R156" s="300"/>
      <c r="S156" s="300"/>
      <c r="T156" s="300"/>
      <c r="U156" s="300"/>
      <c r="V156" s="300"/>
      <c r="W156" s="300"/>
      <c r="X156" s="300"/>
      <c r="Y156" s="300"/>
      <c r="Z156" s="300"/>
      <c r="AL156" s="267"/>
      <c r="AM156" s="267"/>
      <c r="AN156" s="267"/>
      <c r="AO156" s="267"/>
      <c r="AP156" s="267"/>
    </row>
    <row r="157" spans="1:56" x14ac:dyDescent="0.2">
      <c r="O157" s="300"/>
      <c r="Q157" s="300"/>
      <c r="R157" s="300"/>
      <c r="S157" s="300"/>
      <c r="T157" s="300"/>
      <c r="U157" s="300"/>
      <c r="V157" s="300"/>
      <c r="W157" s="300"/>
      <c r="X157" s="300"/>
      <c r="Y157" s="300"/>
      <c r="Z157" s="300"/>
      <c r="AL157" s="267"/>
      <c r="AM157" s="267"/>
      <c r="AN157" s="267"/>
      <c r="AO157" s="267"/>
      <c r="AP157" s="267"/>
    </row>
    <row r="158" spans="1:56" x14ac:dyDescent="0.2">
      <c r="G158" s="290" t="s">
        <v>287</v>
      </c>
      <c r="H158" s="249" t="s">
        <v>450</v>
      </c>
      <c r="I158" s="249" t="s">
        <v>451</v>
      </c>
      <c r="J158" s="290" t="s">
        <v>452</v>
      </c>
      <c r="K158" s="290" t="s">
        <v>453</v>
      </c>
      <c r="L158" s="263" t="s">
        <v>454</v>
      </c>
      <c r="M158" s="263" t="s">
        <v>280</v>
      </c>
      <c r="N158" s="263" t="s">
        <v>281</v>
      </c>
      <c r="O158" s="263" t="s">
        <v>282</v>
      </c>
      <c r="P158" s="263" t="s">
        <v>283</v>
      </c>
      <c r="Q158" s="263" t="s">
        <v>455</v>
      </c>
      <c r="R158" s="263" t="s">
        <v>455</v>
      </c>
      <c r="S158" s="263" t="s">
        <v>455</v>
      </c>
      <c r="T158" s="263" t="s">
        <v>455</v>
      </c>
      <c r="U158" s="263" t="s">
        <v>455</v>
      </c>
      <c r="V158" s="263" t="s">
        <v>455</v>
      </c>
      <c r="W158" s="263" t="s">
        <v>455</v>
      </c>
      <c r="X158" s="263" t="s">
        <v>455</v>
      </c>
      <c r="Y158" s="263" t="s">
        <v>455</v>
      </c>
      <c r="Z158" s="263" t="s">
        <v>455</v>
      </c>
      <c r="AA158" s="263" t="s">
        <v>284</v>
      </c>
      <c r="AB158" s="263" t="s">
        <v>456</v>
      </c>
      <c r="AC158" s="263" t="s">
        <v>456</v>
      </c>
      <c r="AD158" s="263" t="s">
        <v>456</v>
      </c>
      <c r="AE158" s="263" t="s">
        <v>456</v>
      </c>
      <c r="AF158" s="263" t="s">
        <v>456</v>
      </c>
      <c r="AG158" s="263" t="s">
        <v>456</v>
      </c>
      <c r="AH158" s="263" t="s">
        <v>456</v>
      </c>
      <c r="AI158" s="263" t="s">
        <v>456</v>
      </c>
      <c r="AJ158" s="263" t="s">
        <v>456</v>
      </c>
      <c r="AK158" s="263"/>
      <c r="AL158" s="263" t="s">
        <v>285</v>
      </c>
      <c r="AM158" s="263" t="s">
        <v>286</v>
      </c>
      <c r="AN158" s="263" t="s">
        <v>286</v>
      </c>
      <c r="AO158" s="263" t="s">
        <v>286</v>
      </c>
      <c r="AP158" s="263" t="s">
        <v>286</v>
      </c>
      <c r="AQ158" s="263" t="s">
        <v>287</v>
      </c>
      <c r="AR158" s="263"/>
      <c r="AS158" s="263" t="s">
        <v>287</v>
      </c>
      <c r="AT158" s="263" t="s">
        <v>287</v>
      </c>
      <c r="AU158" s="263" t="s">
        <v>287</v>
      </c>
      <c r="AV158" s="263" t="s">
        <v>287</v>
      </c>
      <c r="AW158" s="263" t="s">
        <v>287</v>
      </c>
      <c r="AX158" s="263" t="s">
        <v>287</v>
      </c>
      <c r="AY158" s="263" t="s">
        <v>287</v>
      </c>
      <c r="AZ158" s="263" t="s">
        <v>287</v>
      </c>
      <c r="BA158" s="263" t="s">
        <v>457</v>
      </c>
      <c r="BB158" s="263" t="s">
        <v>458</v>
      </c>
      <c r="BC158" s="263" t="s">
        <v>459</v>
      </c>
      <c r="BD158" s="263" t="s">
        <v>460</v>
      </c>
    </row>
    <row r="159" spans="1:56" s="302" customFormat="1" x14ac:dyDescent="0.2">
      <c r="A159" s="302" t="s">
        <v>190</v>
      </c>
      <c r="B159" s="302" t="s">
        <v>189</v>
      </c>
      <c r="C159" s="303"/>
      <c r="D159" s="304"/>
      <c r="E159" s="304"/>
      <c r="F159" s="304"/>
      <c r="H159" s="303"/>
      <c r="I159" s="303"/>
      <c r="J159" s="303"/>
      <c r="L159" s="305"/>
      <c r="M159" s="305"/>
      <c r="N159" s="305"/>
      <c r="O159" s="305"/>
      <c r="P159" s="304"/>
      <c r="Q159" s="304"/>
      <c r="R159" s="305"/>
      <c r="S159" s="305"/>
      <c r="T159" s="305"/>
      <c r="U159" s="305"/>
      <c r="V159" s="305"/>
      <c r="W159" s="305"/>
      <c r="X159" s="305"/>
      <c r="Y159" s="305"/>
      <c r="Z159" s="305"/>
      <c r="AA159" s="305"/>
      <c r="AB159" s="305"/>
      <c r="AC159" s="305"/>
      <c r="AD159" s="305"/>
      <c r="AE159" s="305"/>
      <c r="AF159" s="305"/>
      <c r="AG159" s="305"/>
      <c r="AH159" s="305"/>
      <c r="AI159" s="305"/>
      <c r="AJ159" s="305"/>
      <c r="AK159" s="305"/>
      <c r="AL159" s="305"/>
      <c r="AM159" s="305"/>
      <c r="AN159" s="305"/>
      <c r="AO159" s="305"/>
      <c r="AP159" s="305"/>
      <c r="AQ159" s="305"/>
      <c r="AR159" s="305"/>
      <c r="AS159" s="304"/>
      <c r="AT159" s="304"/>
      <c r="AU159" s="304"/>
      <c r="AV159" s="304"/>
      <c r="AW159" s="304"/>
      <c r="AX159" s="304"/>
      <c r="AY159" s="304"/>
      <c r="AZ159" s="304"/>
      <c r="BA159" s="304"/>
      <c r="BB159" s="304"/>
      <c r="BC159" s="304"/>
      <c r="BD159" s="305"/>
    </row>
    <row r="160" spans="1:56" s="302" customFormat="1" x14ac:dyDescent="0.2">
      <c r="A160" s="302" t="s">
        <v>190</v>
      </c>
      <c r="B160" s="302" t="s">
        <v>461</v>
      </c>
      <c r="C160" s="302" t="str">
        <f>[2]Technologies!D30</f>
        <v>PNGACNG</v>
      </c>
      <c r="D160" s="305" t="str">
        <f>[2]Technologies!E30</f>
        <v>Conv: NGA to CNG</v>
      </c>
      <c r="E160" s="305" t="s">
        <v>462</v>
      </c>
      <c r="F160" s="305" t="s">
        <v>73</v>
      </c>
      <c r="H160" s="302" t="s">
        <v>75</v>
      </c>
      <c r="I160" s="302">
        <v>1.0752999999999999</v>
      </c>
      <c r="J160" s="302">
        <v>1</v>
      </c>
      <c r="K160" s="302">
        <v>0.75</v>
      </c>
      <c r="L160" s="305">
        <v>0.46</v>
      </c>
      <c r="M160" s="305"/>
      <c r="N160" s="305"/>
      <c r="O160" s="305"/>
      <c r="P160" s="305">
        <v>2005</v>
      </c>
      <c r="Q160" s="305">
        <v>5</v>
      </c>
      <c r="R160" s="305"/>
      <c r="S160" s="305"/>
      <c r="T160" s="305"/>
      <c r="U160" s="305"/>
      <c r="V160" s="305"/>
      <c r="W160" s="305"/>
      <c r="X160" s="305"/>
      <c r="Y160" s="305"/>
      <c r="Z160" s="305"/>
      <c r="AA160" s="305"/>
      <c r="AB160" s="305"/>
      <c r="AC160" s="305"/>
      <c r="AD160" s="305"/>
      <c r="AE160" s="305"/>
      <c r="AF160" s="305"/>
      <c r="AG160" s="305"/>
      <c r="AH160" s="305"/>
      <c r="AI160" s="305"/>
      <c r="AJ160" s="305"/>
      <c r="AK160" s="305"/>
      <c r="AL160" s="305"/>
      <c r="AM160" s="305"/>
      <c r="AN160" s="305"/>
      <c r="AO160" s="305"/>
      <c r="AP160" s="305"/>
      <c r="AQ160" s="305"/>
      <c r="AR160" s="305"/>
      <c r="AS160" s="305"/>
      <c r="AT160" s="305"/>
      <c r="AU160" s="305"/>
      <c r="AV160" s="305"/>
      <c r="AW160" s="305"/>
      <c r="AX160" s="305"/>
      <c r="AY160" s="305"/>
      <c r="AZ160" s="305"/>
      <c r="BA160" s="305"/>
      <c r="BB160" s="305"/>
      <c r="BC160" s="305"/>
      <c r="BD160" s="305"/>
    </row>
    <row r="161" spans="1:56" s="302" customFormat="1" x14ac:dyDescent="0.2">
      <c r="A161" s="302" t="s">
        <v>190</v>
      </c>
      <c r="B161" s="302" t="s">
        <v>194</v>
      </c>
      <c r="D161" s="305"/>
      <c r="E161" s="305"/>
      <c r="F161" s="305"/>
      <c r="L161" s="305"/>
      <c r="M161" s="305"/>
      <c r="N161" s="305"/>
      <c r="O161" s="305"/>
      <c r="P161" s="304"/>
      <c r="Q161" s="304"/>
      <c r="R161" s="305"/>
      <c r="S161" s="305"/>
      <c r="T161" s="305"/>
      <c r="U161" s="305"/>
      <c r="V161" s="305"/>
      <c r="W161" s="305"/>
      <c r="X161" s="305"/>
      <c r="Y161" s="305"/>
      <c r="Z161" s="305"/>
      <c r="AA161" s="305"/>
      <c r="AB161" s="305"/>
      <c r="AC161" s="305"/>
      <c r="AD161" s="305"/>
      <c r="AE161" s="305"/>
      <c r="AF161" s="305"/>
      <c r="AG161" s="305"/>
      <c r="AH161" s="305"/>
      <c r="AI161" s="305"/>
      <c r="AJ161" s="305"/>
      <c r="AK161" s="305"/>
      <c r="AL161" s="305"/>
      <c r="AM161" s="305"/>
      <c r="AN161" s="305"/>
      <c r="AO161" s="305"/>
      <c r="AP161" s="305"/>
      <c r="AQ161" s="305"/>
      <c r="AR161" s="305"/>
      <c r="AS161" s="304"/>
      <c r="AT161" s="304"/>
      <c r="AU161" s="304"/>
      <c r="AV161" s="304"/>
      <c r="AW161" s="304"/>
      <c r="AX161" s="304"/>
      <c r="AY161" s="304"/>
      <c r="AZ161" s="304"/>
      <c r="BA161" s="304"/>
      <c r="BB161" s="305"/>
      <c r="BC161" s="305"/>
      <c r="BD161" s="305"/>
    </row>
    <row r="162" spans="1:56" s="302" customFormat="1" x14ac:dyDescent="0.2">
      <c r="A162" s="302" t="s">
        <v>190</v>
      </c>
      <c r="B162" s="302" t="s">
        <v>461</v>
      </c>
      <c r="C162" s="302" t="str">
        <f>[2]Technologies!D32</f>
        <v>SCTRNCNGL</v>
      </c>
      <c r="D162" s="305" t="str">
        <f>[2]Technologies!E32</f>
        <v>Collector: CNG to TRN LDV</v>
      </c>
      <c r="E162" s="305" t="s">
        <v>462</v>
      </c>
      <c r="F162" s="305" t="s">
        <v>126</v>
      </c>
      <c r="H162" s="302" t="s">
        <v>79</v>
      </c>
      <c r="I162" s="302">
        <v>1</v>
      </c>
      <c r="J162" s="302">
        <v>1</v>
      </c>
      <c r="K162" s="302">
        <v>1</v>
      </c>
      <c r="L162" s="305"/>
      <c r="M162" s="305"/>
      <c r="N162" s="305"/>
      <c r="O162" s="305"/>
      <c r="P162" s="305">
        <v>2005</v>
      </c>
      <c r="Q162" s="305">
        <v>5</v>
      </c>
      <c r="R162" s="305"/>
      <c r="S162" s="305"/>
      <c r="T162" s="305"/>
      <c r="U162" s="305"/>
      <c r="V162" s="305"/>
      <c r="W162" s="305"/>
      <c r="X162" s="305"/>
      <c r="Y162" s="305"/>
      <c r="Z162" s="305"/>
      <c r="AA162" s="305"/>
      <c r="AB162" s="305"/>
      <c r="AC162" s="305"/>
      <c r="AD162" s="305"/>
      <c r="AE162" s="305"/>
      <c r="AF162" s="305"/>
      <c r="AG162" s="305"/>
      <c r="AH162" s="305"/>
      <c r="AI162" s="305"/>
      <c r="AJ162" s="305"/>
      <c r="AK162" s="305"/>
      <c r="AL162" s="305"/>
      <c r="AM162" s="305"/>
      <c r="AN162" s="305"/>
      <c r="AO162" s="305"/>
      <c r="AP162" s="305"/>
      <c r="AQ162" s="305"/>
      <c r="AR162" s="305"/>
      <c r="AS162" s="305"/>
      <c r="AT162" s="305"/>
      <c r="AU162" s="305"/>
      <c r="AV162" s="305"/>
      <c r="AW162" s="305"/>
      <c r="AX162" s="305"/>
      <c r="AY162" s="305"/>
      <c r="AZ162" s="305"/>
      <c r="BA162" s="305"/>
      <c r="BB162" s="305"/>
      <c r="BC162" s="305"/>
      <c r="BD162" s="305"/>
    </row>
    <row r="163" spans="1:56" s="302" customFormat="1" x14ac:dyDescent="0.2">
      <c r="A163" s="302" t="s">
        <v>190</v>
      </c>
      <c r="C163" s="302" t="str">
        <f>[2]Technologies!D36</f>
        <v>SCLPGLPGX</v>
      </c>
      <c r="D163" s="305" t="str">
        <f>[2]Technologies!E36</f>
        <v>Collector: LPG to LPGX</v>
      </c>
      <c r="E163" s="305" t="s">
        <v>462</v>
      </c>
      <c r="F163" s="305" t="s">
        <v>107</v>
      </c>
      <c r="H163" s="302" t="s">
        <v>109</v>
      </c>
      <c r="I163" s="302">
        <v>1</v>
      </c>
      <c r="J163" s="302">
        <v>1</v>
      </c>
      <c r="K163" s="302">
        <v>1</v>
      </c>
      <c r="L163" s="305"/>
      <c r="M163" s="305"/>
      <c r="N163" s="305"/>
      <c r="O163" s="305"/>
      <c r="P163" s="305">
        <v>2005</v>
      </c>
      <c r="Q163" s="305">
        <v>5</v>
      </c>
      <c r="R163" s="305"/>
      <c r="S163" s="305"/>
      <c r="T163" s="305"/>
      <c r="U163" s="305"/>
      <c r="V163" s="305"/>
      <c r="W163" s="305"/>
      <c r="X163" s="305"/>
      <c r="Y163" s="305"/>
      <c r="Z163" s="305"/>
      <c r="AA163" s="305"/>
      <c r="AB163" s="305"/>
      <c r="AC163" s="305"/>
      <c r="AD163" s="305"/>
      <c r="AE163" s="305"/>
      <c r="AF163" s="305"/>
      <c r="AG163" s="305"/>
      <c r="AH163" s="305"/>
      <c r="AI163" s="305"/>
      <c r="AJ163" s="305"/>
      <c r="AK163" s="305"/>
      <c r="AL163" s="305"/>
      <c r="AM163" s="305"/>
      <c r="AN163" s="305"/>
      <c r="AO163" s="305"/>
      <c r="AP163" s="305"/>
      <c r="AQ163" s="305"/>
      <c r="AR163" s="305"/>
      <c r="AS163" s="305"/>
      <c r="AT163" s="305"/>
      <c r="AU163" s="305"/>
      <c r="AV163" s="305"/>
      <c r="AW163" s="305"/>
      <c r="AX163" s="305"/>
      <c r="AY163" s="305"/>
      <c r="AZ163" s="305"/>
      <c r="BA163" s="305"/>
      <c r="BB163" s="305"/>
      <c r="BC163" s="305"/>
      <c r="BD163" s="305"/>
    </row>
    <row r="164" spans="1:56" s="302" customFormat="1" x14ac:dyDescent="0.2">
      <c r="A164" s="302" t="s">
        <v>190</v>
      </c>
      <c r="C164" s="302" t="str">
        <f>[2]Technologies!D38</f>
        <v>SCTLE85E85</v>
      </c>
      <c r="D164" s="305" t="str">
        <f>[2]Technologies!E38</f>
        <v>Collector: E85 to E85X</v>
      </c>
      <c r="E164" s="305" t="s">
        <v>462</v>
      </c>
      <c r="F164" s="305" t="s">
        <v>123</v>
      </c>
      <c r="H164" s="302" t="s">
        <v>95</v>
      </c>
      <c r="I164" s="302">
        <v>1</v>
      </c>
      <c r="J164" s="302">
        <v>1</v>
      </c>
      <c r="K164" s="302">
        <v>1</v>
      </c>
      <c r="L164" s="305"/>
      <c r="M164" s="305"/>
      <c r="N164" s="305"/>
      <c r="O164" s="305"/>
      <c r="P164" s="305">
        <v>2005</v>
      </c>
      <c r="Q164" s="305">
        <v>5</v>
      </c>
      <c r="R164" s="305"/>
      <c r="S164" s="305"/>
      <c r="T164" s="305"/>
      <c r="U164" s="305"/>
      <c r="V164" s="305"/>
      <c r="W164" s="305"/>
      <c r="X164" s="305"/>
      <c r="Y164" s="305"/>
      <c r="Z164" s="305"/>
      <c r="AA164" s="305"/>
      <c r="AB164" s="305"/>
      <c r="AC164" s="305"/>
      <c r="AD164" s="305"/>
      <c r="AE164" s="305"/>
      <c r="AF164" s="305"/>
      <c r="AG164" s="305"/>
      <c r="AH164" s="305"/>
      <c r="AI164" s="305"/>
      <c r="AJ164" s="305"/>
      <c r="AK164" s="305"/>
      <c r="AL164" s="305"/>
      <c r="AM164" s="305"/>
      <c r="AN164" s="305"/>
      <c r="AO164" s="305"/>
      <c r="AP164" s="305"/>
      <c r="AQ164" s="305"/>
      <c r="AR164" s="305"/>
      <c r="AS164" s="305"/>
      <c r="AT164" s="305"/>
      <c r="AU164" s="305"/>
      <c r="AV164" s="305"/>
      <c r="AW164" s="305"/>
      <c r="AX164" s="305"/>
      <c r="AY164" s="305"/>
      <c r="AZ164" s="305"/>
      <c r="BA164" s="305"/>
      <c r="BB164" s="305"/>
      <c r="BC164" s="305"/>
      <c r="BD164" s="305"/>
    </row>
    <row r="165" spans="1:56" s="302" customFormat="1" x14ac:dyDescent="0.2">
      <c r="A165" s="302" t="s">
        <v>190</v>
      </c>
      <c r="C165" s="302" t="s">
        <v>211</v>
      </c>
      <c r="D165" s="305" t="s">
        <v>463</v>
      </c>
      <c r="E165" s="305" t="s">
        <v>462</v>
      </c>
      <c r="F165" s="305" t="s">
        <v>128</v>
      </c>
      <c r="H165" s="302" t="s">
        <v>117</v>
      </c>
      <c r="I165" s="302">
        <v>1</v>
      </c>
      <c r="J165" s="302">
        <v>1</v>
      </c>
      <c r="K165" s="302">
        <v>1</v>
      </c>
      <c r="L165" s="305"/>
      <c r="M165" s="305"/>
      <c r="N165" s="305"/>
      <c r="O165" s="305"/>
      <c r="P165" s="305">
        <v>2005</v>
      </c>
      <c r="Q165" s="305">
        <v>5</v>
      </c>
      <c r="R165" s="305"/>
      <c r="S165" s="305"/>
      <c r="T165" s="305"/>
      <c r="U165" s="305"/>
      <c r="V165" s="305"/>
      <c r="W165" s="305"/>
      <c r="X165" s="305"/>
      <c r="Y165" s="305"/>
      <c r="Z165" s="305"/>
      <c r="AA165" s="305"/>
      <c r="AB165" s="305"/>
      <c r="AC165" s="305"/>
      <c r="AD165" s="305"/>
      <c r="AE165" s="305"/>
      <c r="AF165" s="305"/>
      <c r="AG165" s="305"/>
      <c r="AH165" s="305"/>
      <c r="AI165" s="305"/>
      <c r="AJ165" s="305"/>
      <c r="AK165" s="305"/>
      <c r="AL165" s="305"/>
      <c r="AM165" s="305"/>
      <c r="AN165" s="305"/>
      <c r="AO165" s="305"/>
      <c r="AP165" s="305"/>
      <c r="AQ165" s="305"/>
      <c r="AR165" s="305"/>
      <c r="AS165" s="305"/>
      <c r="AT165" s="305"/>
      <c r="AU165" s="305"/>
      <c r="AV165" s="305"/>
      <c r="AW165" s="305"/>
      <c r="AX165" s="305"/>
      <c r="AY165" s="305"/>
      <c r="AZ165" s="305"/>
      <c r="BA165" s="305"/>
      <c r="BB165" s="305"/>
      <c r="BC165" s="305"/>
      <c r="BD165" s="305"/>
    </row>
    <row r="166" spans="1:56" s="302" customFormat="1" x14ac:dyDescent="0.2">
      <c r="A166" s="302" t="s">
        <v>190</v>
      </c>
      <c r="C166" s="302" t="s">
        <v>213</v>
      </c>
      <c r="D166" s="305" t="s">
        <v>464</v>
      </c>
      <c r="E166" s="305" t="s">
        <v>462</v>
      </c>
      <c r="F166" s="305" t="s">
        <v>130</v>
      </c>
      <c r="H166" s="302" t="s">
        <v>117</v>
      </c>
      <c r="I166" s="302">
        <v>1</v>
      </c>
      <c r="J166" s="302">
        <v>1</v>
      </c>
      <c r="K166" s="302">
        <v>1</v>
      </c>
      <c r="L166" s="305"/>
      <c r="M166" s="305"/>
      <c r="N166" s="305"/>
      <c r="O166" s="305"/>
      <c r="P166" s="305">
        <v>2005</v>
      </c>
      <c r="Q166" s="305">
        <v>5</v>
      </c>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c r="AM166" s="305"/>
      <c r="AN166" s="305"/>
      <c r="AO166" s="305"/>
      <c r="AP166" s="305"/>
      <c r="AQ166" s="305"/>
      <c r="AR166" s="305"/>
      <c r="AS166" s="305"/>
      <c r="AT166" s="305"/>
      <c r="AU166" s="305"/>
      <c r="AV166" s="305"/>
      <c r="AW166" s="305"/>
      <c r="AX166" s="305"/>
      <c r="AY166" s="305"/>
      <c r="AZ166" s="305"/>
      <c r="BA166" s="305"/>
      <c r="BB166" s="305"/>
      <c r="BC166" s="305"/>
      <c r="BD166" s="305"/>
    </row>
    <row r="167" spans="1:56" s="302" customFormat="1" x14ac:dyDescent="0.2">
      <c r="A167" s="302" t="s">
        <v>190</v>
      </c>
      <c r="C167" s="302" t="s">
        <v>219</v>
      </c>
      <c r="D167" s="305" t="s">
        <v>465</v>
      </c>
      <c r="E167" s="305" t="s">
        <v>462</v>
      </c>
      <c r="F167" s="305" t="s">
        <v>136</v>
      </c>
      <c r="H167" s="302" t="s">
        <v>87</v>
      </c>
      <c r="I167" s="302">
        <v>1</v>
      </c>
      <c r="J167" s="302">
        <v>1</v>
      </c>
      <c r="K167" s="302">
        <v>1</v>
      </c>
      <c r="L167" s="305"/>
      <c r="M167" s="305"/>
      <c r="N167" s="305"/>
      <c r="O167" s="305"/>
      <c r="P167" s="305">
        <v>2005</v>
      </c>
      <c r="Q167" s="305">
        <v>5</v>
      </c>
      <c r="R167" s="305"/>
      <c r="S167" s="305"/>
      <c r="T167" s="305"/>
      <c r="U167" s="305"/>
      <c r="V167" s="305"/>
      <c r="W167" s="305"/>
      <c r="X167" s="305"/>
      <c r="Y167" s="305"/>
      <c r="Z167" s="305"/>
      <c r="AA167" s="305"/>
      <c r="AB167" s="305"/>
      <c r="AC167" s="305"/>
      <c r="AD167" s="305"/>
      <c r="AE167" s="305"/>
      <c r="AF167" s="305"/>
      <c r="AG167" s="305"/>
      <c r="AH167" s="305"/>
      <c r="AI167" s="305"/>
      <c r="AJ167" s="305"/>
      <c r="AK167" s="305"/>
      <c r="AL167" s="305"/>
      <c r="AM167" s="305"/>
      <c r="AN167" s="305"/>
      <c r="AO167" s="305"/>
      <c r="AP167" s="305"/>
      <c r="AQ167" s="305"/>
      <c r="AR167" s="305"/>
      <c r="AS167" s="305"/>
      <c r="AT167" s="305"/>
      <c r="AU167" s="305"/>
      <c r="AV167" s="305"/>
      <c r="AW167" s="305"/>
      <c r="AX167" s="305"/>
      <c r="AY167" s="305"/>
      <c r="AZ167" s="305"/>
      <c r="BA167" s="305"/>
      <c r="BB167" s="305"/>
      <c r="BC167" s="305"/>
      <c r="BD167" s="305"/>
    </row>
    <row r="168" spans="1:56" s="302" customFormat="1" x14ac:dyDescent="0.2">
      <c r="A168" s="302" t="s">
        <v>190</v>
      </c>
      <c r="C168" s="302" t="s">
        <v>217</v>
      </c>
      <c r="D168" s="305" t="s">
        <v>466</v>
      </c>
      <c r="E168" s="305" t="s">
        <v>462</v>
      </c>
      <c r="F168" s="305" t="s">
        <v>138</v>
      </c>
      <c r="H168" s="302" t="s">
        <v>87</v>
      </c>
      <c r="I168" s="302">
        <v>1</v>
      </c>
      <c r="J168" s="302">
        <v>1</v>
      </c>
      <c r="K168" s="302">
        <v>1</v>
      </c>
      <c r="L168" s="305"/>
      <c r="M168" s="305">
        <v>0</v>
      </c>
      <c r="N168" s="305"/>
      <c r="O168" s="305"/>
      <c r="P168" s="305">
        <v>2005</v>
      </c>
      <c r="Q168" s="305">
        <v>5</v>
      </c>
      <c r="R168" s="305"/>
      <c r="S168" s="305"/>
      <c r="T168" s="305"/>
      <c r="U168" s="305"/>
      <c r="V168" s="305"/>
      <c r="W168" s="305"/>
      <c r="X168" s="305"/>
      <c r="Y168" s="305"/>
      <c r="Z168" s="305"/>
      <c r="AA168" s="305"/>
      <c r="AB168" s="305"/>
      <c r="AC168" s="305"/>
      <c r="AD168" s="305"/>
      <c r="AE168" s="305"/>
      <c r="AF168" s="305"/>
      <c r="AG168" s="305"/>
      <c r="AH168" s="305"/>
      <c r="AI168" s="305"/>
      <c r="AJ168" s="305"/>
      <c r="AK168" s="305"/>
      <c r="AL168" s="305"/>
      <c r="AM168" s="305"/>
      <c r="AN168" s="305"/>
      <c r="AO168" s="305"/>
      <c r="AP168" s="305"/>
      <c r="AQ168" s="305"/>
      <c r="AR168" s="305"/>
      <c r="AS168" s="305"/>
      <c r="AT168" s="305"/>
      <c r="AU168" s="305"/>
      <c r="AV168" s="305"/>
      <c r="AW168" s="305"/>
      <c r="AX168" s="305"/>
      <c r="AY168" s="305"/>
      <c r="AZ168" s="305"/>
      <c r="BA168" s="305"/>
      <c r="BB168" s="305"/>
      <c r="BC168" s="305"/>
      <c r="BD168" s="305"/>
    </row>
    <row r="169" spans="1:56" s="302" customFormat="1" x14ac:dyDescent="0.2">
      <c r="A169" s="302" t="s">
        <v>190</v>
      </c>
      <c r="C169" s="302" t="str">
        <f>[2]Technologies!$D$42</f>
        <v>SCTLE10GSL</v>
      </c>
      <c r="D169" s="305" t="str">
        <f>[2]Technologies!$E$42</f>
        <v>Collector: TRNE10 to GSL</v>
      </c>
      <c r="E169" s="305" t="s">
        <v>462</v>
      </c>
      <c r="F169" s="305" t="s">
        <v>121</v>
      </c>
      <c r="H169" s="302" t="s">
        <v>111</v>
      </c>
      <c r="I169" s="302">
        <v>1</v>
      </c>
      <c r="J169" s="302">
        <v>1</v>
      </c>
      <c r="K169" s="302">
        <v>1</v>
      </c>
      <c r="L169" s="305"/>
      <c r="M169" s="305"/>
      <c r="N169" s="305"/>
      <c r="O169" s="305"/>
      <c r="P169" s="305">
        <v>2005</v>
      </c>
      <c r="Q169" s="305">
        <v>5</v>
      </c>
      <c r="R169" s="305"/>
      <c r="S169" s="305"/>
      <c r="T169" s="305"/>
      <c r="U169" s="305"/>
      <c r="V169" s="305"/>
      <c r="W169" s="305"/>
      <c r="X169" s="305"/>
      <c r="Y169" s="305"/>
      <c r="Z169" s="305"/>
      <c r="AA169" s="305"/>
      <c r="AB169" s="305"/>
      <c r="AC169" s="305"/>
      <c r="AD169" s="305"/>
      <c r="AE169" s="305"/>
      <c r="AF169" s="305"/>
      <c r="AG169" s="305"/>
      <c r="AH169" s="305"/>
      <c r="AI169" s="305"/>
      <c r="AJ169" s="305"/>
      <c r="AK169" s="305"/>
      <c r="AL169" s="305"/>
      <c r="AM169" s="305"/>
      <c r="AN169" s="305"/>
      <c r="AO169" s="305"/>
      <c r="AP169" s="305"/>
      <c r="AQ169" s="305"/>
      <c r="AR169" s="305"/>
      <c r="AS169" s="305"/>
      <c r="AT169" s="305"/>
      <c r="AU169" s="305"/>
      <c r="AV169" s="305"/>
      <c r="AW169" s="305"/>
      <c r="AX169" s="305"/>
      <c r="AY169" s="305"/>
      <c r="AZ169" s="305"/>
      <c r="BA169" s="305"/>
      <c r="BB169" s="305"/>
      <c r="BC169" s="305"/>
      <c r="BD169" s="305"/>
    </row>
    <row r="170" spans="1:56" s="302" customFormat="1" x14ac:dyDescent="0.2">
      <c r="A170" s="302" t="s">
        <v>190</v>
      </c>
      <c r="C170" s="302" t="str">
        <f>[2]Technologies!D33</f>
        <v>SCCNGCNGX</v>
      </c>
      <c r="D170" s="305" t="str">
        <f>[2]Technologies!E33</f>
        <v>Collector: CNG to CNGX</v>
      </c>
      <c r="E170" s="305" t="s">
        <v>462</v>
      </c>
      <c r="F170" s="305" t="s">
        <v>79</v>
      </c>
      <c r="H170" s="302" t="s">
        <v>81</v>
      </c>
      <c r="I170" s="302">
        <v>1</v>
      </c>
      <c r="J170" s="302">
        <v>1</v>
      </c>
      <c r="K170" s="302">
        <v>1</v>
      </c>
      <c r="L170" s="305"/>
      <c r="M170" s="305"/>
      <c r="N170" s="305"/>
      <c r="O170" s="305"/>
      <c r="P170" s="305">
        <v>2005</v>
      </c>
      <c r="Q170" s="305">
        <v>5</v>
      </c>
      <c r="R170" s="305"/>
      <c r="S170" s="305"/>
      <c r="T170" s="305"/>
      <c r="U170" s="305"/>
      <c r="V170" s="305"/>
      <c r="W170" s="305"/>
      <c r="X170" s="305"/>
      <c r="Y170" s="305"/>
      <c r="Z170" s="305"/>
      <c r="AA170" s="305"/>
      <c r="AB170" s="305"/>
      <c r="AC170" s="305"/>
      <c r="AD170" s="305"/>
      <c r="AE170" s="305"/>
      <c r="AF170" s="305"/>
      <c r="AG170" s="305"/>
      <c r="AH170" s="305"/>
      <c r="AI170" s="305"/>
      <c r="AJ170" s="305"/>
      <c r="AK170" s="305"/>
      <c r="AL170" s="305"/>
      <c r="AM170" s="305"/>
      <c r="AN170" s="305"/>
      <c r="AO170" s="305"/>
      <c r="AP170" s="305"/>
      <c r="AQ170" s="305"/>
      <c r="AR170" s="305"/>
      <c r="AS170" s="305"/>
      <c r="AT170" s="305"/>
      <c r="AU170" s="305"/>
      <c r="AV170" s="305"/>
      <c r="AW170" s="305"/>
      <c r="AX170" s="305"/>
      <c r="AY170" s="305"/>
      <c r="AZ170" s="305"/>
      <c r="BA170" s="305"/>
      <c r="BB170" s="305"/>
      <c r="BC170" s="305"/>
      <c r="BD170" s="305"/>
    </row>
    <row r="171" spans="1:56" s="302" customFormat="1" x14ac:dyDescent="0.2">
      <c r="A171" s="302" t="s">
        <v>190</v>
      </c>
      <c r="C171" s="302" t="str">
        <f>[2]Technologies!D34</f>
        <v>SCGSLCNGX</v>
      </c>
      <c r="D171" s="305" t="str">
        <f>[2]Technologies!E34</f>
        <v>Collector: GSL to CNGX</v>
      </c>
      <c r="E171" s="305" t="s">
        <v>462</v>
      </c>
      <c r="F171" s="305" t="s">
        <v>111</v>
      </c>
      <c r="H171" s="302" t="s">
        <v>81</v>
      </c>
      <c r="I171" s="302">
        <v>1</v>
      </c>
      <c r="J171" s="302">
        <v>1</v>
      </c>
      <c r="K171" s="302">
        <v>1</v>
      </c>
      <c r="L171" s="305"/>
      <c r="M171" s="305"/>
      <c r="N171" s="305"/>
      <c r="O171" s="305"/>
      <c r="P171" s="305">
        <v>2005</v>
      </c>
      <c r="Q171" s="305">
        <v>5</v>
      </c>
      <c r="R171" s="305"/>
      <c r="S171" s="305"/>
      <c r="T171" s="305"/>
      <c r="U171" s="305"/>
      <c r="V171" s="305"/>
      <c r="W171" s="305"/>
      <c r="X171" s="305"/>
      <c r="Y171" s="305"/>
      <c r="Z171" s="305"/>
      <c r="AA171" s="305"/>
      <c r="AB171" s="305"/>
      <c r="AC171" s="305"/>
      <c r="AD171" s="305"/>
      <c r="AE171" s="305"/>
      <c r="AF171" s="305"/>
      <c r="AG171" s="305"/>
      <c r="AH171" s="305"/>
      <c r="AI171" s="305"/>
      <c r="AJ171" s="305"/>
      <c r="AK171" s="305"/>
      <c r="AL171" s="305"/>
      <c r="AM171" s="305"/>
      <c r="AN171" s="305"/>
      <c r="AO171" s="305"/>
      <c r="AP171" s="305"/>
      <c r="AQ171" s="305"/>
      <c r="AR171" s="305"/>
      <c r="AS171" s="305"/>
      <c r="AT171" s="305"/>
      <c r="AU171" s="305"/>
      <c r="AV171" s="305"/>
      <c r="AW171" s="305"/>
      <c r="AX171" s="305"/>
      <c r="AY171" s="305"/>
      <c r="AZ171" s="305"/>
      <c r="BA171" s="305"/>
      <c r="BB171" s="305"/>
      <c r="BC171" s="305"/>
      <c r="BD171" s="305"/>
    </row>
    <row r="172" spans="1:56" s="302" customFormat="1" x14ac:dyDescent="0.2">
      <c r="A172" s="302" t="s">
        <v>190</v>
      </c>
      <c r="C172" s="302" t="str">
        <f>[2]Technologies!D35</f>
        <v>SCGSLLPGX</v>
      </c>
      <c r="D172" s="305" t="str">
        <f>[2]Technologies!E35</f>
        <v>Collector: GSL to LPGX</v>
      </c>
      <c r="E172" s="305" t="s">
        <v>462</v>
      </c>
      <c r="F172" s="305" t="s">
        <v>111</v>
      </c>
      <c r="H172" s="302" t="s">
        <v>109</v>
      </c>
      <c r="I172" s="302">
        <v>1</v>
      </c>
      <c r="J172" s="302">
        <v>1</v>
      </c>
      <c r="K172" s="302">
        <v>1</v>
      </c>
      <c r="L172" s="305"/>
      <c r="M172" s="305"/>
      <c r="N172" s="305"/>
      <c r="O172" s="305"/>
      <c r="P172" s="305">
        <v>2005</v>
      </c>
      <c r="Q172" s="305">
        <v>5</v>
      </c>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c r="AM172" s="305"/>
      <c r="AN172" s="305"/>
      <c r="AO172" s="305"/>
      <c r="AP172" s="305"/>
      <c r="AQ172" s="305"/>
      <c r="AR172" s="305"/>
      <c r="AS172" s="305"/>
      <c r="AT172" s="305"/>
      <c r="AU172" s="305"/>
      <c r="AV172" s="305"/>
      <c r="AW172" s="305"/>
      <c r="AX172" s="305"/>
      <c r="AY172" s="305"/>
      <c r="AZ172" s="305"/>
      <c r="BA172" s="305"/>
      <c r="BB172" s="305"/>
      <c r="BC172" s="305"/>
      <c r="BD172" s="305"/>
    </row>
    <row r="173" spans="1:56" s="302" customFormat="1" x14ac:dyDescent="0.2">
      <c r="A173" s="302" t="s">
        <v>190</v>
      </c>
      <c r="C173" s="302" t="str">
        <f>[2]Technologies!D37</f>
        <v>SCTLGSLE85</v>
      </c>
      <c r="D173" s="305" t="str">
        <f>[2]Technologies!E37</f>
        <v>Collector: GSL to E85X</v>
      </c>
      <c r="E173" s="305" t="s">
        <v>462</v>
      </c>
      <c r="F173" s="305" t="s">
        <v>111</v>
      </c>
      <c r="H173" s="302" t="s">
        <v>95</v>
      </c>
      <c r="I173" s="302">
        <v>1</v>
      </c>
      <c r="J173" s="302">
        <v>1</v>
      </c>
      <c r="K173" s="302">
        <v>1</v>
      </c>
      <c r="L173" s="305"/>
      <c r="M173" s="305"/>
      <c r="N173" s="305"/>
      <c r="O173" s="305"/>
      <c r="P173" s="305">
        <v>2005</v>
      </c>
      <c r="Q173" s="305">
        <v>5</v>
      </c>
      <c r="R173" s="305"/>
      <c r="S173" s="305"/>
      <c r="T173" s="305"/>
      <c r="U173" s="305"/>
      <c r="V173" s="305"/>
      <c r="W173" s="305"/>
      <c r="X173" s="305"/>
      <c r="Y173" s="305"/>
      <c r="Z173" s="305"/>
      <c r="AA173" s="305"/>
      <c r="AB173" s="305"/>
      <c r="AC173" s="305"/>
      <c r="AD173" s="305"/>
      <c r="AE173" s="305"/>
      <c r="AF173" s="305"/>
      <c r="AG173" s="305"/>
      <c r="AH173" s="305"/>
      <c r="AI173" s="305"/>
      <c r="AJ173" s="305"/>
      <c r="AK173" s="305"/>
      <c r="AL173" s="305"/>
      <c r="AM173" s="305"/>
      <c r="AN173" s="305"/>
      <c r="AO173" s="305"/>
      <c r="AP173" s="305"/>
      <c r="AQ173" s="305"/>
      <c r="AR173" s="305"/>
      <c r="AS173" s="305"/>
      <c r="AT173" s="305"/>
      <c r="AU173" s="305"/>
      <c r="AV173" s="305"/>
      <c r="AW173" s="305"/>
      <c r="AX173" s="305"/>
      <c r="AY173" s="305"/>
      <c r="AZ173" s="305"/>
      <c r="BA173" s="305"/>
      <c r="BB173" s="305"/>
      <c r="BC173" s="305"/>
      <c r="BD173" s="305"/>
    </row>
    <row r="174" spans="1:56" s="302" customFormat="1" x14ac:dyDescent="0.2">
      <c r="A174" s="302" t="s">
        <v>190</v>
      </c>
      <c r="C174" s="302" t="str">
        <f>[2]Technologies!D45</f>
        <v>SCDSLBDSL</v>
      </c>
      <c r="D174" s="305" t="str">
        <f>[2]Technologies!E45</f>
        <v>Collector: DSLB to DSL</v>
      </c>
      <c r="E174" s="305" t="s">
        <v>467</v>
      </c>
      <c r="F174" s="305" t="s">
        <v>87</v>
      </c>
      <c r="H174" s="302" t="s">
        <v>89</v>
      </c>
      <c r="I174" s="302">
        <v>1</v>
      </c>
      <c r="J174" s="302">
        <v>1</v>
      </c>
      <c r="K174" s="302">
        <v>1</v>
      </c>
      <c r="L174" s="305"/>
      <c r="M174" s="305"/>
      <c r="N174" s="305"/>
      <c r="O174" s="305"/>
      <c r="P174" s="305">
        <v>2005</v>
      </c>
      <c r="Q174" s="305">
        <v>5</v>
      </c>
      <c r="R174" s="305"/>
      <c r="S174" s="305"/>
      <c r="T174" s="305"/>
      <c r="U174" s="305"/>
      <c r="V174" s="305"/>
      <c r="W174" s="305"/>
      <c r="X174" s="305"/>
      <c r="Y174" s="305"/>
      <c r="Z174" s="305"/>
      <c r="AA174" s="305"/>
      <c r="AB174" s="305"/>
      <c r="AC174" s="305"/>
      <c r="AD174" s="305"/>
      <c r="AE174" s="305"/>
      <c r="AF174" s="305"/>
      <c r="AG174" s="305"/>
      <c r="AH174" s="305"/>
      <c r="AI174" s="305"/>
      <c r="AJ174" s="305"/>
      <c r="AK174" s="305"/>
      <c r="AL174" s="305"/>
      <c r="AM174" s="305"/>
      <c r="AN174" s="305"/>
      <c r="AO174" s="305"/>
      <c r="AP174" s="305"/>
      <c r="AQ174" s="305"/>
      <c r="AR174" s="305"/>
      <c r="AS174" s="305"/>
      <c r="AT174" s="305"/>
      <c r="AU174" s="305"/>
      <c r="AV174" s="305"/>
      <c r="AW174" s="305"/>
      <c r="AX174" s="305"/>
      <c r="AY174" s="305"/>
      <c r="AZ174" s="305"/>
      <c r="BA174" s="305"/>
      <c r="BB174" s="305"/>
      <c r="BC174" s="305"/>
      <c r="BD174" s="305"/>
    </row>
    <row r="175" spans="1:56" s="302" customFormat="1" x14ac:dyDescent="0.2">
      <c r="A175" s="302" t="s">
        <v>190</v>
      </c>
      <c r="C175" s="302" t="s">
        <v>209</v>
      </c>
      <c r="D175" s="305" t="s">
        <v>468</v>
      </c>
      <c r="E175" s="305" t="s">
        <v>462</v>
      </c>
      <c r="F175" s="305" t="s">
        <v>117</v>
      </c>
      <c r="H175" s="302" t="s">
        <v>111</v>
      </c>
      <c r="I175" s="302">
        <v>1</v>
      </c>
      <c r="J175" s="302">
        <v>1</v>
      </c>
      <c r="K175" s="302">
        <v>1</v>
      </c>
      <c r="L175" s="305"/>
      <c r="M175" s="305"/>
      <c r="N175" s="305"/>
      <c r="O175" s="305"/>
      <c r="P175" s="305">
        <v>2005</v>
      </c>
      <c r="Q175" s="305">
        <v>5</v>
      </c>
      <c r="R175" s="305"/>
      <c r="S175" s="305"/>
      <c r="T175" s="305"/>
      <c r="U175" s="305"/>
      <c r="V175" s="305"/>
      <c r="W175" s="305"/>
      <c r="X175" s="305"/>
      <c r="Y175" s="305"/>
      <c r="Z175" s="305"/>
      <c r="AA175" s="305"/>
      <c r="AB175" s="305"/>
      <c r="AC175" s="305"/>
      <c r="AD175" s="305"/>
      <c r="AE175" s="305"/>
      <c r="AF175" s="305"/>
      <c r="AG175" s="305"/>
      <c r="AH175" s="305"/>
      <c r="AI175" s="305"/>
      <c r="AJ175" s="305"/>
      <c r="AK175" s="305"/>
      <c r="AL175" s="305"/>
      <c r="AM175" s="305"/>
      <c r="AN175" s="305"/>
      <c r="AO175" s="305"/>
      <c r="AP175" s="305"/>
      <c r="AQ175" s="305"/>
      <c r="AR175" s="305"/>
      <c r="AS175" s="305"/>
      <c r="AT175" s="305"/>
      <c r="AU175" s="305"/>
      <c r="AV175" s="305"/>
      <c r="AW175" s="305"/>
      <c r="AX175" s="305"/>
      <c r="AY175" s="305"/>
      <c r="AZ175" s="305"/>
      <c r="BA175" s="305"/>
      <c r="BB175" s="305"/>
      <c r="BC175" s="305"/>
      <c r="BD175" s="305"/>
    </row>
    <row r="176" spans="1:56" s="302" customFormat="1" x14ac:dyDescent="0.2">
      <c r="A176" s="302" t="s">
        <v>190</v>
      </c>
      <c r="C176" s="302" t="str">
        <f>[2]Technologies!$D$46</f>
        <v>SCTRNELC</v>
      </c>
      <c r="D176" s="305" t="str">
        <f>[2]Technologies!$E$46</f>
        <v>Collector: ELC to TRN</v>
      </c>
      <c r="E176" s="305" t="s">
        <v>462</v>
      </c>
      <c r="F176" s="305" t="s">
        <v>69</v>
      </c>
      <c r="H176" s="302" t="s">
        <v>99</v>
      </c>
      <c r="K176" s="302">
        <v>1</v>
      </c>
      <c r="L176" s="305"/>
      <c r="M176" s="305"/>
      <c r="N176" s="305"/>
      <c r="O176" s="305"/>
      <c r="P176" s="305">
        <v>2005</v>
      </c>
      <c r="Q176" s="305"/>
      <c r="R176" s="305"/>
      <c r="S176" s="305"/>
      <c r="T176" s="305"/>
      <c r="U176" s="305"/>
      <c r="V176" s="305"/>
      <c r="W176" s="305"/>
      <c r="X176" s="305"/>
      <c r="Y176" s="305"/>
      <c r="Z176" s="305"/>
      <c r="AA176" s="305"/>
      <c r="AB176" s="305"/>
      <c r="AC176" s="305"/>
      <c r="AD176" s="305"/>
      <c r="AE176" s="305"/>
      <c r="AF176" s="305"/>
      <c r="AG176" s="305"/>
      <c r="AH176" s="305"/>
      <c r="AI176" s="305"/>
      <c r="AJ176" s="305"/>
      <c r="AK176" s="305"/>
      <c r="AL176" s="305"/>
      <c r="AM176" s="305"/>
      <c r="AN176" s="305"/>
      <c r="AO176" s="305"/>
      <c r="AP176" s="305"/>
      <c r="AQ176" s="305"/>
      <c r="AR176" s="305"/>
      <c r="AS176" s="305"/>
      <c r="AT176" s="305"/>
      <c r="AU176" s="305"/>
      <c r="AV176" s="305"/>
      <c r="AW176" s="305"/>
      <c r="AX176" s="305"/>
      <c r="AY176" s="305"/>
      <c r="AZ176" s="305"/>
      <c r="BA176" s="305"/>
      <c r="BB176" s="305">
        <v>1</v>
      </c>
      <c r="BC176" s="305">
        <v>1</v>
      </c>
      <c r="BD176" s="305">
        <v>1</v>
      </c>
    </row>
    <row r="177" spans="1:56" s="302" customFormat="1" x14ac:dyDescent="0.2">
      <c r="A177" s="302" t="s">
        <v>190</v>
      </c>
      <c r="B177" s="302" t="s">
        <v>190</v>
      </c>
      <c r="C177" s="302" t="str">
        <f>[2]Technologies!D179</f>
        <v>SCTRNCNGH</v>
      </c>
      <c r="D177" s="305" t="str">
        <f>[2]Technologies!E179</f>
        <v>Collector: CNG to TRN HDV</v>
      </c>
      <c r="E177" s="305" t="s">
        <v>462</v>
      </c>
      <c r="F177" s="305" t="s">
        <v>126</v>
      </c>
      <c r="H177" s="302" t="s">
        <v>77</v>
      </c>
      <c r="I177" s="302">
        <v>1</v>
      </c>
      <c r="J177" s="302">
        <v>1</v>
      </c>
      <c r="K177" s="302">
        <v>1</v>
      </c>
      <c r="L177" s="305"/>
      <c r="M177" s="305"/>
      <c r="N177" s="305"/>
      <c r="O177" s="305"/>
      <c r="P177" s="305">
        <v>2005</v>
      </c>
      <c r="Q177" s="305">
        <v>5</v>
      </c>
      <c r="R177" s="305"/>
      <c r="S177" s="305"/>
      <c r="T177" s="305"/>
      <c r="U177" s="305"/>
      <c r="V177" s="305"/>
      <c r="W177" s="305"/>
      <c r="X177" s="305"/>
      <c r="Y177" s="305"/>
      <c r="Z177" s="305"/>
      <c r="AA177" s="305"/>
      <c r="AB177" s="305"/>
      <c r="AC177" s="305"/>
      <c r="AD177" s="305"/>
      <c r="AE177" s="305"/>
      <c r="AF177" s="305"/>
      <c r="AG177" s="305"/>
      <c r="AH177" s="305"/>
      <c r="AI177" s="305"/>
      <c r="AJ177" s="305"/>
      <c r="AK177" s="305"/>
      <c r="AL177" s="305"/>
      <c r="AM177" s="305"/>
      <c r="AN177" s="305"/>
      <c r="AO177" s="305"/>
      <c r="AP177" s="305"/>
      <c r="AQ177" s="305"/>
      <c r="AR177" s="305"/>
      <c r="AS177" s="305"/>
      <c r="AT177" s="305"/>
      <c r="AU177" s="305"/>
      <c r="AV177" s="305"/>
      <c r="AW177" s="305"/>
      <c r="AX177" s="305"/>
      <c r="AY177" s="305"/>
      <c r="AZ177" s="305"/>
      <c r="BA177" s="305"/>
      <c r="BB177" s="305"/>
      <c r="BC177" s="305"/>
      <c r="BD177" s="305"/>
    </row>
    <row r="178" spans="1:56" x14ac:dyDescent="0.2">
      <c r="O178" s="300"/>
      <c r="Q178" s="300"/>
      <c r="R178" s="300"/>
      <c r="S178" s="300"/>
      <c r="T178" s="300"/>
      <c r="U178" s="300"/>
      <c r="V178" s="300"/>
      <c r="W178" s="300"/>
      <c r="X178" s="300"/>
      <c r="Y178" s="300"/>
      <c r="Z178" s="300"/>
      <c r="AL178" s="267"/>
      <c r="AM178" s="267"/>
      <c r="AN178" s="267"/>
      <c r="AO178" s="267"/>
      <c r="AP178" s="267"/>
    </row>
    <row r="179" spans="1:56" x14ac:dyDescent="0.2">
      <c r="O179" s="300"/>
      <c r="Q179" s="300"/>
      <c r="R179" s="300"/>
      <c r="S179" s="300"/>
      <c r="T179" s="300"/>
      <c r="U179" s="300"/>
      <c r="V179" s="300"/>
      <c r="W179" s="300"/>
      <c r="X179" s="300"/>
      <c r="Y179" s="300"/>
      <c r="Z179" s="300"/>
      <c r="AL179" s="267"/>
      <c r="AM179" s="267"/>
      <c r="AN179" s="267"/>
      <c r="AO179" s="267"/>
      <c r="AP179" s="267"/>
    </row>
    <row r="180" spans="1:56" x14ac:dyDescent="0.2">
      <c r="O180" s="300"/>
      <c r="Q180" s="300"/>
      <c r="R180" s="300"/>
      <c r="S180" s="300"/>
      <c r="T180" s="300"/>
      <c r="U180" s="300"/>
      <c r="V180" s="300"/>
      <c r="W180" s="300"/>
      <c r="X180" s="300"/>
      <c r="Y180" s="300"/>
      <c r="Z180" s="300"/>
      <c r="AL180" s="267"/>
      <c r="AM180" s="267"/>
      <c r="AN180" s="267"/>
      <c r="AO180" s="267"/>
      <c r="AP180" s="267"/>
    </row>
    <row r="181" spans="1:56" x14ac:dyDescent="0.2">
      <c r="O181" s="300"/>
      <c r="Q181" s="300"/>
      <c r="R181" s="300"/>
      <c r="S181" s="300"/>
      <c r="T181" s="300"/>
      <c r="U181" s="300"/>
      <c r="V181" s="300"/>
      <c r="W181" s="300"/>
      <c r="X181" s="300"/>
      <c r="Y181" s="300"/>
      <c r="Z181" s="300"/>
      <c r="AL181" s="267"/>
      <c r="AM181" s="267"/>
      <c r="AN181" s="267"/>
      <c r="AO181" s="267"/>
      <c r="AP181" s="267"/>
    </row>
    <row r="182" spans="1:56" x14ac:dyDescent="0.2">
      <c r="O182" s="300"/>
      <c r="Q182" s="300"/>
      <c r="R182" s="300"/>
      <c r="S182" s="300"/>
      <c r="T182" s="300"/>
      <c r="U182" s="300"/>
      <c r="V182" s="300"/>
      <c r="W182" s="300"/>
      <c r="X182" s="300"/>
      <c r="Y182" s="300"/>
      <c r="Z182" s="300"/>
      <c r="AL182" s="267"/>
      <c r="AM182" s="267"/>
      <c r="AN182" s="267"/>
      <c r="AO182" s="267"/>
      <c r="AP182" s="267"/>
    </row>
    <row r="183" spans="1:56" x14ac:dyDescent="0.2">
      <c r="O183" s="300"/>
      <c r="Q183" s="300"/>
      <c r="R183" s="300"/>
      <c r="S183" s="300"/>
      <c r="T183" s="300"/>
      <c r="U183" s="300"/>
      <c r="V183" s="300"/>
      <c r="W183" s="300"/>
      <c r="X183" s="300"/>
      <c r="Y183" s="300"/>
      <c r="Z183" s="300"/>
      <c r="AL183" s="267"/>
      <c r="AM183" s="267"/>
      <c r="AN183" s="267"/>
      <c r="AO183" s="267"/>
      <c r="AP183" s="267"/>
    </row>
    <row r="184" spans="1:56" x14ac:dyDescent="0.2">
      <c r="O184" s="300"/>
      <c r="Q184" s="300"/>
      <c r="R184" s="300"/>
      <c r="S184" s="300"/>
      <c r="T184" s="300"/>
      <c r="U184" s="300"/>
      <c r="V184" s="300"/>
      <c r="W184" s="300"/>
      <c r="X184" s="300"/>
      <c r="Y184" s="300"/>
      <c r="Z184" s="300"/>
      <c r="AL184" s="267"/>
      <c r="AM184" s="267"/>
      <c r="AN184" s="267"/>
      <c r="AO184" s="267"/>
      <c r="AP184" s="267"/>
    </row>
    <row r="185" spans="1:56" x14ac:dyDescent="0.2">
      <c r="O185" s="300"/>
      <c r="Q185" s="300"/>
      <c r="R185" s="300"/>
      <c r="S185" s="300"/>
      <c r="T185" s="300"/>
      <c r="U185" s="300"/>
      <c r="V185" s="300"/>
      <c r="W185" s="300"/>
      <c r="X185" s="300"/>
      <c r="Y185" s="300"/>
      <c r="Z185" s="300"/>
      <c r="AL185" s="267"/>
      <c r="AM185" s="267"/>
      <c r="AN185" s="267"/>
      <c r="AO185" s="267"/>
      <c r="AP185" s="267"/>
    </row>
    <row r="186" spans="1:56" x14ac:dyDescent="0.2">
      <c r="O186" s="300"/>
      <c r="Q186" s="300"/>
      <c r="R186" s="300"/>
      <c r="S186" s="300"/>
      <c r="T186" s="300"/>
      <c r="U186" s="300"/>
      <c r="V186" s="300"/>
      <c r="W186" s="300"/>
      <c r="X186" s="300"/>
      <c r="Y186" s="300"/>
      <c r="Z186" s="300"/>
      <c r="AL186" s="267"/>
      <c r="AM186" s="267"/>
      <c r="AN186" s="267"/>
      <c r="AO186" s="267"/>
      <c r="AP186" s="267"/>
    </row>
    <row r="187" spans="1:56" x14ac:dyDescent="0.2">
      <c r="O187" s="300"/>
      <c r="Q187" s="300"/>
      <c r="R187" s="300"/>
      <c r="S187" s="300"/>
      <c r="T187" s="300"/>
      <c r="U187" s="300"/>
      <c r="V187" s="300"/>
      <c r="W187" s="300"/>
      <c r="X187" s="300"/>
      <c r="Y187" s="300"/>
      <c r="Z187" s="300"/>
      <c r="AL187" s="267"/>
      <c r="AM187" s="267"/>
      <c r="AN187" s="267"/>
      <c r="AO187" s="267"/>
      <c r="AP187" s="267"/>
    </row>
    <row r="188" spans="1:56" x14ac:dyDescent="0.2">
      <c r="O188" s="300"/>
      <c r="Q188" s="300"/>
      <c r="R188" s="300"/>
      <c r="S188" s="300"/>
      <c r="T188" s="300"/>
      <c r="U188" s="300"/>
      <c r="V188" s="300"/>
      <c r="W188" s="300"/>
      <c r="X188" s="300"/>
      <c r="Y188" s="300"/>
      <c r="Z188" s="300"/>
      <c r="AL188" s="267"/>
      <c r="AM188" s="267"/>
      <c r="AN188" s="267"/>
      <c r="AO188" s="267"/>
      <c r="AP188" s="267"/>
    </row>
    <row r="189" spans="1:56" x14ac:dyDescent="0.2">
      <c r="O189" s="300"/>
      <c r="Q189" s="300"/>
      <c r="R189" s="300"/>
      <c r="S189" s="300"/>
      <c r="T189" s="300"/>
      <c r="U189" s="300"/>
      <c r="V189" s="300"/>
      <c r="W189" s="300"/>
      <c r="X189" s="300"/>
      <c r="Y189" s="300"/>
      <c r="Z189" s="300"/>
      <c r="AL189" s="267"/>
      <c r="AM189" s="267"/>
      <c r="AN189" s="267"/>
      <c r="AO189" s="267"/>
      <c r="AP189" s="267"/>
    </row>
    <row r="190" spans="1:56" x14ac:dyDescent="0.2">
      <c r="O190" s="300"/>
      <c r="Q190" s="300"/>
      <c r="R190" s="300"/>
      <c r="S190" s="300"/>
      <c r="T190" s="300"/>
      <c r="U190" s="300"/>
      <c r="V190" s="300"/>
      <c r="W190" s="300"/>
      <c r="X190" s="300"/>
      <c r="Y190" s="300"/>
      <c r="Z190" s="300"/>
      <c r="AL190" s="267"/>
      <c r="AM190" s="267"/>
      <c r="AN190" s="267"/>
      <c r="AO190" s="267"/>
      <c r="AP190" s="267"/>
    </row>
    <row r="191" spans="1:56" x14ac:dyDescent="0.2">
      <c r="O191" s="300"/>
      <c r="Q191" s="300"/>
      <c r="R191" s="300"/>
      <c r="S191" s="300"/>
      <c r="T191" s="300"/>
      <c r="U191" s="300"/>
      <c r="V191" s="300"/>
      <c r="W191" s="300"/>
      <c r="X191" s="300"/>
      <c r="Y191" s="300"/>
      <c r="Z191" s="300"/>
      <c r="AL191" s="267"/>
      <c r="AM191" s="267"/>
      <c r="AN191" s="267"/>
      <c r="AO191" s="267"/>
      <c r="AP191" s="267"/>
    </row>
    <row r="192" spans="1:56" x14ac:dyDescent="0.2">
      <c r="O192" s="300"/>
      <c r="Q192" s="300"/>
      <c r="R192" s="300"/>
      <c r="S192" s="300"/>
      <c r="T192" s="300"/>
      <c r="U192" s="300"/>
      <c r="V192" s="300"/>
      <c r="W192" s="300"/>
      <c r="X192" s="300"/>
      <c r="Y192" s="300"/>
      <c r="Z192" s="300"/>
      <c r="AL192" s="267"/>
      <c r="AM192" s="267"/>
      <c r="AN192" s="267"/>
      <c r="AO192" s="267"/>
      <c r="AP192" s="267"/>
    </row>
    <row r="193" spans="15:42" x14ac:dyDescent="0.2">
      <c r="O193" s="300"/>
      <c r="Q193" s="300"/>
      <c r="R193" s="300"/>
      <c r="S193" s="300"/>
      <c r="T193" s="300"/>
      <c r="U193" s="300"/>
      <c r="V193" s="300"/>
      <c r="W193" s="300"/>
      <c r="X193" s="300"/>
      <c r="Y193" s="300"/>
      <c r="Z193" s="300"/>
      <c r="AL193" s="267"/>
      <c r="AM193" s="267"/>
      <c r="AN193" s="267"/>
      <c r="AO193" s="267"/>
      <c r="AP193" s="267"/>
    </row>
    <row r="194" spans="15:42" x14ac:dyDescent="0.2">
      <c r="O194" s="300"/>
      <c r="Q194" s="300"/>
      <c r="R194" s="300"/>
      <c r="S194" s="300"/>
      <c r="T194" s="300"/>
      <c r="U194" s="300"/>
      <c r="V194" s="300"/>
      <c r="W194" s="300"/>
      <c r="X194" s="300"/>
      <c r="Y194" s="300"/>
      <c r="Z194" s="300"/>
      <c r="AL194" s="267"/>
      <c r="AM194" s="267"/>
      <c r="AN194" s="267"/>
      <c r="AO194" s="267"/>
      <c r="AP194" s="267"/>
    </row>
    <row r="195" spans="15:42" x14ac:dyDescent="0.2">
      <c r="O195" s="300"/>
      <c r="Q195" s="300"/>
      <c r="R195" s="300"/>
      <c r="S195" s="300"/>
      <c r="T195" s="300"/>
      <c r="U195" s="300"/>
      <c r="V195" s="300"/>
      <c r="W195" s="300"/>
      <c r="X195" s="300"/>
      <c r="Y195" s="300"/>
      <c r="Z195" s="300"/>
      <c r="AL195" s="267"/>
      <c r="AM195" s="267"/>
      <c r="AN195" s="267"/>
      <c r="AO195" s="267"/>
      <c r="AP195" s="267"/>
    </row>
    <row r="196" spans="15:42" x14ac:dyDescent="0.2">
      <c r="O196" s="300"/>
      <c r="Q196" s="300"/>
      <c r="R196" s="300"/>
      <c r="S196" s="300"/>
      <c r="T196" s="300"/>
      <c r="U196" s="300"/>
      <c r="V196" s="300"/>
      <c r="W196" s="300"/>
      <c r="X196" s="300"/>
      <c r="Y196" s="300"/>
      <c r="Z196" s="300"/>
      <c r="AL196" s="267"/>
      <c r="AM196" s="267"/>
      <c r="AN196" s="267"/>
      <c r="AO196" s="267"/>
      <c r="AP196" s="267"/>
    </row>
    <row r="197" spans="15:42" x14ac:dyDescent="0.2">
      <c r="O197" s="300"/>
      <c r="Q197" s="300"/>
      <c r="R197" s="300"/>
      <c r="S197" s="300"/>
      <c r="T197" s="300"/>
      <c r="U197" s="300"/>
      <c r="V197" s="300"/>
      <c r="W197" s="300"/>
      <c r="X197" s="300"/>
      <c r="Y197" s="300"/>
      <c r="Z197" s="300"/>
      <c r="AL197" s="267"/>
      <c r="AM197" s="267"/>
      <c r="AN197" s="267"/>
      <c r="AO197" s="267"/>
      <c r="AP197" s="267"/>
    </row>
    <row r="198" spans="15:42" x14ac:dyDescent="0.2">
      <c r="O198" s="300"/>
      <c r="Q198" s="300"/>
      <c r="R198" s="300"/>
      <c r="S198" s="300"/>
      <c r="T198" s="300"/>
      <c r="U198" s="300"/>
      <c r="V198" s="300"/>
      <c r="W198" s="300"/>
      <c r="X198" s="300"/>
      <c r="Y198" s="300"/>
      <c r="Z198" s="300"/>
      <c r="AL198" s="267"/>
      <c r="AM198" s="267"/>
      <c r="AN198" s="267"/>
      <c r="AO198" s="267"/>
      <c r="AP198" s="267"/>
    </row>
    <row r="199" spans="15:42" x14ac:dyDescent="0.2">
      <c r="O199" s="300"/>
      <c r="Q199" s="300"/>
      <c r="R199" s="300"/>
      <c r="S199" s="300"/>
      <c r="T199" s="300"/>
      <c r="U199" s="300"/>
      <c r="V199" s="300"/>
      <c r="W199" s="300"/>
      <c r="X199" s="300"/>
      <c r="Y199" s="300"/>
      <c r="Z199" s="300"/>
      <c r="AL199" s="267"/>
      <c r="AM199" s="267"/>
      <c r="AN199" s="267"/>
      <c r="AO199" s="267"/>
      <c r="AP199" s="267"/>
    </row>
    <row r="200" spans="15:42" x14ac:dyDescent="0.2">
      <c r="O200" s="300"/>
      <c r="Q200" s="300"/>
      <c r="R200" s="300"/>
      <c r="S200" s="300"/>
      <c r="T200" s="300"/>
      <c r="U200" s="300"/>
      <c r="V200" s="300"/>
      <c r="W200" s="300"/>
      <c r="X200" s="300"/>
      <c r="Y200" s="300"/>
      <c r="Z200" s="300"/>
      <c r="AL200" s="267"/>
      <c r="AM200" s="267"/>
      <c r="AN200" s="267"/>
      <c r="AO200" s="267"/>
      <c r="AP200" s="267"/>
    </row>
    <row r="201" spans="15:42" x14ac:dyDescent="0.2">
      <c r="O201" s="300"/>
      <c r="Q201" s="300"/>
      <c r="R201" s="300"/>
      <c r="S201" s="300"/>
      <c r="T201" s="300"/>
      <c r="U201" s="300"/>
      <c r="V201" s="300"/>
      <c r="W201" s="300"/>
      <c r="X201" s="300"/>
      <c r="Y201" s="300"/>
      <c r="Z201" s="300"/>
      <c r="AL201" s="267"/>
      <c r="AM201" s="267"/>
      <c r="AN201" s="267"/>
      <c r="AO201" s="267"/>
      <c r="AP201" s="267"/>
    </row>
    <row r="202" spans="15:42" x14ac:dyDescent="0.2">
      <c r="O202" s="300"/>
      <c r="Q202" s="300"/>
      <c r="R202" s="300"/>
      <c r="S202" s="300"/>
      <c r="T202" s="300"/>
      <c r="U202" s="300"/>
      <c r="V202" s="300"/>
      <c r="W202" s="300"/>
      <c r="X202" s="300"/>
      <c r="Y202" s="300"/>
      <c r="Z202" s="300"/>
      <c r="AL202" s="267"/>
      <c r="AM202" s="267"/>
      <c r="AN202" s="267"/>
      <c r="AO202" s="267"/>
      <c r="AP202" s="267"/>
    </row>
    <row r="203" spans="15:42" x14ac:dyDescent="0.2">
      <c r="O203" s="300"/>
      <c r="Q203" s="300"/>
      <c r="R203" s="300"/>
      <c r="S203" s="300"/>
      <c r="T203" s="300"/>
      <c r="U203" s="300"/>
      <c r="V203" s="300"/>
      <c r="W203" s="300"/>
      <c r="X203" s="300"/>
      <c r="Y203" s="300"/>
      <c r="Z203" s="300"/>
      <c r="AL203" s="267"/>
      <c r="AM203" s="267"/>
      <c r="AN203" s="267"/>
      <c r="AO203" s="267"/>
      <c r="AP203" s="267"/>
    </row>
    <row r="204" spans="15:42" x14ac:dyDescent="0.2">
      <c r="O204" s="300"/>
      <c r="Q204" s="300"/>
      <c r="R204" s="300"/>
      <c r="S204" s="300"/>
      <c r="T204" s="300"/>
      <c r="U204" s="300"/>
      <c r="V204" s="300"/>
      <c r="W204" s="300"/>
      <c r="X204" s="300"/>
      <c r="Y204" s="300"/>
      <c r="Z204" s="300"/>
      <c r="AL204" s="267"/>
      <c r="AM204" s="267"/>
      <c r="AN204" s="267"/>
      <c r="AO204" s="267"/>
      <c r="AP204" s="267"/>
    </row>
    <row r="205" spans="15:42" x14ac:dyDescent="0.2">
      <c r="O205" s="300"/>
      <c r="Q205" s="300"/>
      <c r="R205" s="300"/>
      <c r="S205" s="300"/>
      <c r="T205" s="300"/>
      <c r="U205" s="300"/>
      <c r="V205" s="300"/>
      <c r="W205" s="300"/>
      <c r="X205" s="300"/>
      <c r="Y205" s="300"/>
      <c r="Z205" s="300"/>
      <c r="AL205" s="267"/>
      <c r="AM205" s="267"/>
      <c r="AN205" s="267"/>
      <c r="AO205" s="267"/>
      <c r="AP205" s="267"/>
    </row>
    <row r="206" spans="15:42" x14ac:dyDescent="0.2">
      <c r="O206" s="300"/>
      <c r="Q206" s="300"/>
      <c r="R206" s="300"/>
      <c r="S206" s="300"/>
      <c r="T206" s="300"/>
      <c r="U206" s="300"/>
      <c r="V206" s="300"/>
      <c r="W206" s="300"/>
      <c r="X206" s="300"/>
      <c r="Y206" s="300"/>
      <c r="Z206" s="300"/>
      <c r="AL206" s="267"/>
      <c r="AM206" s="267"/>
      <c r="AN206" s="267"/>
      <c r="AO206" s="267"/>
      <c r="AP206" s="267"/>
    </row>
    <row r="207" spans="15:42" x14ac:dyDescent="0.2">
      <c r="O207" s="300"/>
      <c r="Q207" s="300"/>
      <c r="R207" s="300"/>
      <c r="S207" s="300"/>
      <c r="T207" s="300"/>
      <c r="U207" s="300"/>
      <c r="V207" s="300"/>
      <c r="W207" s="300"/>
      <c r="X207" s="300"/>
      <c r="Y207" s="300"/>
      <c r="Z207" s="300"/>
      <c r="AL207" s="267"/>
      <c r="AM207" s="267"/>
      <c r="AN207" s="267"/>
      <c r="AO207" s="267"/>
      <c r="AP207" s="267"/>
    </row>
    <row r="208" spans="15:42" x14ac:dyDescent="0.2">
      <c r="O208" s="300"/>
      <c r="Q208" s="300"/>
      <c r="R208" s="300"/>
      <c r="S208" s="300"/>
      <c r="T208" s="300"/>
      <c r="U208" s="300"/>
      <c r="V208" s="300"/>
      <c r="W208" s="300"/>
      <c r="X208" s="300"/>
      <c r="Y208" s="300"/>
      <c r="Z208" s="300"/>
      <c r="AL208" s="267"/>
      <c r="AM208" s="267"/>
      <c r="AN208" s="267"/>
      <c r="AO208" s="267"/>
      <c r="AP208" s="267"/>
    </row>
    <row r="209" spans="1:42" x14ac:dyDescent="0.2">
      <c r="O209" s="300"/>
      <c r="Q209" s="300"/>
      <c r="R209" s="300"/>
      <c r="S209" s="300"/>
      <c r="T209" s="300"/>
      <c r="U209" s="300"/>
      <c r="V209" s="300"/>
      <c r="W209" s="300"/>
      <c r="X209" s="300"/>
      <c r="Y209" s="300"/>
      <c r="Z209" s="300"/>
      <c r="AL209" s="267"/>
      <c r="AM209" s="267"/>
      <c r="AN209" s="267"/>
      <c r="AO209" s="267"/>
      <c r="AP209" s="267"/>
    </row>
    <row r="210" spans="1:42" x14ac:dyDescent="0.2">
      <c r="O210" s="300"/>
      <c r="Q210" s="300"/>
      <c r="R210" s="300"/>
      <c r="S210" s="300"/>
      <c r="T210" s="300"/>
      <c r="U210" s="300"/>
      <c r="V210" s="300"/>
      <c r="W210" s="300"/>
      <c r="X210" s="300"/>
      <c r="Y210" s="300"/>
      <c r="Z210" s="300"/>
      <c r="AL210" s="267"/>
      <c r="AM210" s="267"/>
      <c r="AN210" s="267"/>
      <c r="AO210" s="267"/>
      <c r="AP210" s="267"/>
    </row>
    <row r="211" spans="1:42" x14ac:dyDescent="0.2">
      <c r="O211" s="300"/>
      <c r="Q211" s="300"/>
      <c r="R211" s="300"/>
      <c r="S211" s="300"/>
      <c r="T211" s="300"/>
      <c r="U211" s="300"/>
      <c r="V211" s="300"/>
      <c r="W211" s="300"/>
      <c r="X211" s="300"/>
      <c r="Y211" s="300"/>
      <c r="Z211" s="300"/>
      <c r="AL211" s="267"/>
      <c r="AM211" s="267"/>
      <c r="AN211" s="267"/>
      <c r="AO211" s="267"/>
      <c r="AP211" s="267"/>
    </row>
    <row r="212" spans="1:42" x14ac:dyDescent="0.2">
      <c r="A212" s="249"/>
      <c r="O212" s="300"/>
      <c r="Q212" s="300"/>
      <c r="R212" s="300"/>
      <c r="S212" s="300"/>
      <c r="T212" s="300"/>
      <c r="U212" s="300"/>
      <c r="V212" s="300"/>
      <c r="W212" s="300"/>
      <c r="X212" s="300"/>
      <c r="Y212" s="300"/>
      <c r="Z212" s="300"/>
      <c r="AL212" s="267"/>
      <c r="AM212" s="267"/>
      <c r="AN212" s="267"/>
      <c r="AO212" s="267"/>
      <c r="AP212" s="267"/>
    </row>
    <row r="213" spans="1:42" x14ac:dyDescent="0.2">
      <c r="O213" s="300"/>
      <c r="Q213" s="300"/>
      <c r="R213" s="300"/>
      <c r="S213" s="300"/>
      <c r="T213" s="300"/>
      <c r="U213" s="300"/>
      <c r="V213" s="300"/>
      <c r="W213" s="300"/>
      <c r="X213" s="300"/>
      <c r="Y213" s="300"/>
      <c r="Z213" s="300"/>
      <c r="AL213" s="267"/>
      <c r="AM213" s="267"/>
      <c r="AN213" s="267"/>
      <c r="AO213" s="267"/>
      <c r="AP213" s="267"/>
    </row>
    <row r="214" spans="1:42" x14ac:dyDescent="0.2">
      <c r="O214" s="300"/>
      <c r="Q214" s="300"/>
      <c r="R214" s="300"/>
      <c r="S214" s="300"/>
      <c r="T214" s="300"/>
      <c r="U214" s="300"/>
      <c r="V214" s="300"/>
      <c r="W214" s="300"/>
      <c r="X214" s="300"/>
      <c r="Y214" s="300"/>
      <c r="Z214" s="300"/>
      <c r="AL214" s="267"/>
      <c r="AM214" s="267"/>
      <c r="AN214" s="267"/>
      <c r="AO214" s="267"/>
      <c r="AP214" s="267"/>
    </row>
    <row r="215" spans="1:42" x14ac:dyDescent="0.2">
      <c r="O215" s="300"/>
      <c r="Q215" s="300"/>
      <c r="R215" s="300"/>
      <c r="S215" s="300"/>
      <c r="T215" s="300"/>
      <c r="U215" s="300"/>
      <c r="V215" s="300"/>
      <c r="W215" s="300"/>
      <c r="X215" s="300"/>
      <c r="Y215" s="300"/>
      <c r="Z215" s="300"/>
      <c r="AL215" s="267"/>
      <c r="AM215" s="267"/>
      <c r="AN215" s="267"/>
      <c r="AO215" s="267"/>
      <c r="AP215" s="267"/>
    </row>
    <row r="216" spans="1:42" x14ac:dyDescent="0.2">
      <c r="O216" s="300"/>
      <c r="Q216" s="300"/>
      <c r="R216" s="300"/>
      <c r="S216" s="300"/>
      <c r="T216" s="300"/>
      <c r="U216" s="300"/>
      <c r="V216" s="300"/>
      <c r="W216" s="300"/>
      <c r="X216" s="300"/>
      <c r="Y216" s="300"/>
      <c r="Z216" s="300"/>
      <c r="AL216" s="267"/>
      <c r="AM216" s="267"/>
      <c r="AN216" s="267"/>
      <c r="AO216" s="267"/>
      <c r="AP216" s="267"/>
    </row>
    <row r="217" spans="1:42" x14ac:dyDescent="0.2">
      <c r="O217" s="300"/>
      <c r="Q217" s="300"/>
      <c r="R217" s="300"/>
      <c r="S217" s="300"/>
      <c r="T217" s="300"/>
      <c r="U217" s="300"/>
      <c r="V217" s="300"/>
      <c r="W217" s="300"/>
      <c r="X217" s="300"/>
      <c r="Y217" s="300"/>
      <c r="Z217" s="300"/>
      <c r="AL217" s="267"/>
      <c r="AM217" s="267"/>
      <c r="AN217" s="267"/>
      <c r="AO217" s="267"/>
      <c r="AP217" s="267"/>
    </row>
    <row r="218" spans="1:42" x14ac:dyDescent="0.2">
      <c r="O218" s="300"/>
      <c r="Q218" s="300"/>
      <c r="R218" s="300"/>
      <c r="S218" s="300"/>
      <c r="T218" s="300"/>
      <c r="U218" s="300"/>
      <c r="V218" s="300"/>
      <c r="W218" s="300"/>
      <c r="X218" s="300"/>
      <c r="Y218" s="300"/>
      <c r="Z218" s="300"/>
      <c r="AL218" s="267"/>
      <c r="AM218" s="267"/>
      <c r="AN218" s="267"/>
      <c r="AO218" s="267"/>
      <c r="AP218" s="267"/>
    </row>
    <row r="219" spans="1:42" x14ac:dyDescent="0.2">
      <c r="O219" s="300"/>
      <c r="Q219" s="300"/>
      <c r="R219" s="300"/>
      <c r="S219" s="300"/>
      <c r="T219" s="300"/>
      <c r="U219" s="300"/>
      <c r="V219" s="300"/>
      <c r="W219" s="300"/>
      <c r="X219" s="300"/>
      <c r="Y219" s="300"/>
      <c r="Z219" s="300"/>
      <c r="AL219" s="267"/>
      <c r="AM219" s="267"/>
      <c r="AN219" s="267"/>
      <c r="AO219" s="267"/>
      <c r="AP219" s="267"/>
    </row>
    <row r="220" spans="1:42" x14ac:dyDescent="0.2">
      <c r="O220" s="300"/>
      <c r="Q220" s="300"/>
      <c r="R220" s="300"/>
      <c r="S220" s="300"/>
      <c r="T220" s="300"/>
      <c r="U220" s="300"/>
      <c r="V220" s="300"/>
      <c r="W220" s="300"/>
      <c r="X220" s="300"/>
      <c r="Y220" s="300"/>
      <c r="Z220" s="300"/>
      <c r="AL220" s="267"/>
      <c r="AM220" s="267"/>
      <c r="AN220" s="267"/>
      <c r="AO220" s="267"/>
      <c r="AP220" s="267"/>
    </row>
    <row r="221" spans="1:42" x14ac:dyDescent="0.2">
      <c r="O221" s="300"/>
      <c r="Q221" s="300"/>
      <c r="R221" s="300"/>
      <c r="S221" s="300"/>
      <c r="T221" s="300"/>
      <c r="U221" s="300"/>
      <c r="V221" s="300"/>
      <c r="W221" s="300"/>
      <c r="X221" s="300"/>
      <c r="Y221" s="300"/>
      <c r="Z221" s="300"/>
      <c r="AL221" s="267"/>
      <c r="AM221" s="267"/>
      <c r="AN221" s="267"/>
      <c r="AO221" s="267"/>
      <c r="AP221" s="267"/>
    </row>
    <row r="222" spans="1:42" x14ac:dyDescent="0.2">
      <c r="O222" s="300"/>
      <c r="Q222" s="300"/>
      <c r="R222" s="300"/>
      <c r="S222" s="300"/>
      <c r="T222" s="300"/>
      <c r="U222" s="300"/>
      <c r="V222" s="300"/>
      <c r="W222" s="300"/>
      <c r="X222" s="300"/>
      <c r="Y222" s="300"/>
      <c r="Z222" s="300"/>
      <c r="AL222" s="267"/>
      <c r="AM222" s="267"/>
      <c r="AN222" s="267"/>
      <c r="AO222" s="267"/>
      <c r="AP222" s="267"/>
    </row>
    <row r="223" spans="1:42" x14ac:dyDescent="0.2">
      <c r="O223" s="300"/>
      <c r="Q223" s="300"/>
      <c r="R223" s="300"/>
      <c r="S223" s="300"/>
      <c r="T223" s="300"/>
      <c r="U223" s="300"/>
      <c r="V223" s="300"/>
      <c r="W223" s="300"/>
      <c r="X223" s="300"/>
      <c r="Y223" s="300"/>
      <c r="Z223" s="300"/>
      <c r="AL223" s="267"/>
      <c r="AM223" s="267"/>
      <c r="AN223" s="267"/>
      <c r="AO223" s="267"/>
      <c r="AP223" s="267"/>
    </row>
    <row r="224" spans="1:42" x14ac:dyDescent="0.2">
      <c r="O224" s="300"/>
      <c r="Q224" s="300"/>
      <c r="R224" s="300"/>
      <c r="S224" s="300"/>
      <c r="T224" s="300"/>
      <c r="U224" s="300"/>
      <c r="V224" s="300"/>
      <c r="W224" s="300"/>
      <c r="X224" s="300"/>
      <c r="Y224" s="300"/>
      <c r="Z224" s="300"/>
      <c r="AL224" s="267"/>
      <c r="AM224" s="267"/>
      <c r="AN224" s="267"/>
      <c r="AO224" s="267"/>
      <c r="AP224" s="267"/>
    </row>
    <row r="225" spans="1:42" x14ac:dyDescent="0.2">
      <c r="O225" s="300"/>
      <c r="Q225" s="300"/>
      <c r="R225" s="300"/>
      <c r="S225" s="300"/>
      <c r="T225" s="300"/>
      <c r="U225" s="300"/>
      <c r="V225" s="300"/>
      <c r="W225" s="300"/>
      <c r="X225" s="300"/>
      <c r="Y225" s="300"/>
      <c r="Z225" s="300"/>
      <c r="AL225" s="267"/>
      <c r="AM225" s="267"/>
      <c r="AN225" s="267"/>
      <c r="AO225" s="267"/>
      <c r="AP225" s="267"/>
    </row>
    <row r="226" spans="1:42" x14ac:dyDescent="0.2">
      <c r="O226" s="300"/>
      <c r="Q226" s="300"/>
      <c r="R226" s="300"/>
      <c r="S226" s="300"/>
      <c r="T226" s="300"/>
      <c r="U226" s="300"/>
      <c r="V226" s="300"/>
      <c r="W226" s="300"/>
      <c r="X226" s="300"/>
      <c r="Y226" s="300"/>
      <c r="Z226" s="300"/>
      <c r="AL226" s="267"/>
      <c r="AM226" s="267"/>
      <c r="AN226" s="267"/>
      <c r="AO226" s="267"/>
      <c r="AP226" s="267"/>
    </row>
    <row r="227" spans="1:42" x14ac:dyDescent="0.2">
      <c r="O227" s="300"/>
      <c r="Q227" s="300"/>
      <c r="R227" s="300"/>
      <c r="S227" s="300"/>
      <c r="T227" s="300"/>
      <c r="U227" s="300"/>
      <c r="V227" s="300"/>
      <c r="W227" s="300"/>
      <c r="X227" s="300"/>
      <c r="Y227" s="300"/>
      <c r="Z227" s="300"/>
      <c r="AL227" s="267"/>
      <c r="AM227" s="267"/>
      <c r="AN227" s="267"/>
      <c r="AO227" s="267"/>
      <c r="AP227" s="267"/>
    </row>
    <row r="228" spans="1:42" x14ac:dyDescent="0.2">
      <c r="O228" s="300"/>
      <c r="Q228" s="300"/>
      <c r="R228" s="300"/>
      <c r="S228" s="300"/>
      <c r="T228" s="300"/>
      <c r="U228" s="300"/>
      <c r="V228" s="300"/>
      <c r="W228" s="300"/>
      <c r="X228" s="300"/>
      <c r="Y228" s="300"/>
      <c r="Z228" s="300"/>
      <c r="AL228" s="267"/>
      <c r="AM228" s="267"/>
      <c r="AN228" s="267"/>
      <c r="AO228" s="267"/>
      <c r="AP228" s="267"/>
    </row>
    <row r="229" spans="1:42" x14ac:dyDescent="0.2">
      <c r="O229" s="300"/>
      <c r="Q229" s="300"/>
      <c r="R229" s="300"/>
      <c r="S229" s="300"/>
      <c r="T229" s="300"/>
      <c r="U229" s="300"/>
      <c r="V229" s="300"/>
      <c r="W229" s="300"/>
      <c r="X229" s="300"/>
      <c r="Y229" s="300"/>
      <c r="Z229" s="300"/>
      <c r="AL229" s="267"/>
      <c r="AM229" s="267"/>
      <c r="AN229" s="267"/>
      <c r="AO229" s="267"/>
      <c r="AP229" s="267"/>
    </row>
    <row r="230" spans="1:42" x14ac:dyDescent="0.2">
      <c r="O230" s="300"/>
      <c r="Q230" s="300"/>
      <c r="R230" s="300"/>
      <c r="S230" s="300"/>
      <c r="T230" s="300"/>
      <c r="U230" s="300"/>
      <c r="V230" s="300"/>
      <c r="W230" s="300"/>
      <c r="X230" s="300"/>
      <c r="Y230" s="300"/>
      <c r="Z230" s="300"/>
      <c r="AL230" s="267"/>
      <c r="AM230" s="267"/>
      <c r="AN230" s="267"/>
      <c r="AO230" s="267"/>
      <c r="AP230" s="267"/>
    </row>
    <row r="231" spans="1:42" x14ac:dyDescent="0.2">
      <c r="O231" s="300"/>
      <c r="Q231" s="300"/>
      <c r="R231" s="300"/>
      <c r="S231" s="300"/>
      <c r="T231" s="300"/>
      <c r="U231" s="300"/>
      <c r="V231" s="300"/>
      <c r="W231" s="300"/>
      <c r="X231" s="300"/>
      <c r="Y231" s="300"/>
      <c r="Z231" s="300"/>
      <c r="AL231" s="267"/>
      <c r="AM231" s="267"/>
      <c r="AN231" s="267"/>
      <c r="AO231" s="267"/>
      <c r="AP231" s="267"/>
    </row>
    <row r="232" spans="1:42" x14ac:dyDescent="0.2">
      <c r="O232" s="300"/>
      <c r="Q232" s="300"/>
      <c r="R232" s="300"/>
      <c r="S232" s="300"/>
      <c r="T232" s="300"/>
      <c r="U232" s="300"/>
      <c r="V232" s="300"/>
      <c r="W232" s="300"/>
      <c r="X232" s="300"/>
      <c r="Y232" s="300"/>
      <c r="Z232" s="300"/>
      <c r="AL232" s="267"/>
      <c r="AM232" s="267"/>
      <c r="AN232" s="267"/>
      <c r="AO232" s="267"/>
      <c r="AP232" s="267"/>
    </row>
    <row r="233" spans="1:42" x14ac:dyDescent="0.2">
      <c r="O233" s="300"/>
      <c r="Q233" s="300"/>
      <c r="R233" s="300"/>
      <c r="S233" s="300"/>
      <c r="T233" s="300"/>
      <c r="U233" s="300"/>
      <c r="V233" s="300"/>
      <c r="W233" s="300"/>
      <c r="X233" s="300"/>
      <c r="Y233" s="300"/>
      <c r="Z233" s="300"/>
      <c r="AL233" s="267"/>
      <c r="AM233" s="267"/>
      <c r="AN233" s="267"/>
      <c r="AO233" s="267"/>
      <c r="AP233" s="267"/>
    </row>
    <row r="234" spans="1:42" x14ac:dyDescent="0.2">
      <c r="O234" s="300"/>
      <c r="Q234" s="300"/>
      <c r="R234" s="300"/>
      <c r="S234" s="300"/>
      <c r="T234" s="300"/>
      <c r="U234" s="300"/>
      <c r="V234" s="300"/>
      <c r="W234" s="300"/>
      <c r="X234" s="300"/>
      <c r="Y234" s="300"/>
      <c r="Z234" s="300"/>
      <c r="AL234" s="267"/>
      <c r="AM234" s="267"/>
      <c r="AN234" s="267"/>
      <c r="AO234" s="267"/>
      <c r="AP234" s="267"/>
    </row>
    <row r="235" spans="1:42" x14ac:dyDescent="0.2">
      <c r="O235" s="300"/>
      <c r="Q235" s="300"/>
      <c r="R235" s="300"/>
      <c r="S235" s="300"/>
      <c r="T235" s="300"/>
      <c r="U235" s="300"/>
      <c r="V235" s="300"/>
      <c r="W235" s="300"/>
      <c r="X235" s="300"/>
      <c r="Y235" s="300"/>
      <c r="Z235" s="300"/>
      <c r="AL235" s="267"/>
      <c r="AM235" s="267"/>
      <c r="AN235" s="267"/>
      <c r="AO235" s="267"/>
      <c r="AP235" s="267"/>
    </row>
    <row r="236" spans="1:42" x14ac:dyDescent="0.2">
      <c r="O236" s="300"/>
      <c r="Q236" s="300"/>
      <c r="R236" s="300"/>
      <c r="S236" s="300"/>
      <c r="T236" s="300"/>
      <c r="U236" s="300"/>
      <c r="V236" s="300"/>
      <c r="W236" s="300"/>
      <c r="X236" s="300"/>
      <c r="Y236" s="300"/>
      <c r="Z236" s="300"/>
      <c r="AL236" s="267"/>
      <c r="AM236" s="267"/>
      <c r="AN236" s="267"/>
      <c r="AO236" s="267"/>
      <c r="AP236" s="267"/>
    </row>
    <row r="237" spans="1:42" x14ac:dyDescent="0.2">
      <c r="O237" s="300"/>
      <c r="Q237" s="300"/>
      <c r="R237" s="300"/>
      <c r="S237" s="300"/>
      <c r="T237" s="300"/>
      <c r="U237" s="300"/>
      <c r="V237" s="300"/>
      <c r="W237" s="300"/>
      <c r="X237" s="300"/>
      <c r="Y237" s="300"/>
      <c r="Z237" s="300"/>
      <c r="AL237" s="267"/>
      <c r="AM237" s="267"/>
      <c r="AN237" s="267"/>
      <c r="AO237" s="267"/>
      <c r="AP237" s="267"/>
    </row>
    <row r="238" spans="1:42" x14ac:dyDescent="0.2">
      <c r="A238" s="249"/>
      <c r="O238" s="300"/>
      <c r="Q238" s="300"/>
      <c r="R238" s="300"/>
      <c r="S238" s="300"/>
      <c r="T238" s="300"/>
      <c r="U238" s="300"/>
      <c r="V238" s="300"/>
      <c r="W238" s="300"/>
      <c r="X238" s="300"/>
      <c r="Y238" s="300"/>
      <c r="Z238" s="300"/>
      <c r="AL238" s="267"/>
      <c r="AM238" s="267"/>
      <c r="AN238" s="267"/>
      <c r="AO238" s="267"/>
      <c r="AP238" s="267"/>
    </row>
    <row r="239" spans="1:42" x14ac:dyDescent="0.2">
      <c r="A239" s="249"/>
      <c r="O239" s="300"/>
      <c r="Q239" s="300"/>
      <c r="R239" s="300"/>
      <c r="S239" s="300"/>
      <c r="T239" s="300"/>
      <c r="U239" s="300"/>
      <c r="V239" s="300"/>
      <c r="W239" s="300"/>
      <c r="X239" s="300"/>
      <c r="Y239" s="300"/>
      <c r="Z239" s="300"/>
      <c r="AL239" s="267"/>
      <c r="AM239" s="267"/>
      <c r="AN239" s="267"/>
      <c r="AO239" s="267"/>
      <c r="AP239" s="267"/>
    </row>
    <row r="240" spans="1:42" x14ac:dyDescent="0.2">
      <c r="A240" s="249"/>
      <c r="O240" s="300"/>
      <c r="Q240" s="300"/>
      <c r="R240" s="300"/>
      <c r="S240" s="300"/>
      <c r="T240" s="300"/>
      <c r="U240" s="300"/>
      <c r="V240" s="300"/>
      <c r="W240" s="300"/>
      <c r="X240" s="300"/>
      <c r="Y240" s="300"/>
      <c r="Z240" s="300"/>
      <c r="AL240" s="267"/>
      <c r="AM240" s="267"/>
      <c r="AN240" s="267"/>
      <c r="AO240" s="267"/>
      <c r="AP240" s="267"/>
    </row>
    <row r="241" spans="1:42" x14ac:dyDescent="0.2">
      <c r="A241" s="249"/>
      <c r="O241" s="300"/>
      <c r="Q241" s="300"/>
      <c r="R241" s="300"/>
      <c r="S241" s="300"/>
      <c r="T241" s="300"/>
      <c r="U241" s="300"/>
      <c r="V241" s="300"/>
      <c r="W241" s="300"/>
      <c r="X241" s="300"/>
      <c r="Y241" s="300"/>
      <c r="Z241" s="300"/>
      <c r="AL241" s="267"/>
      <c r="AM241" s="267"/>
      <c r="AN241" s="267"/>
      <c r="AO241" s="267"/>
      <c r="AP241" s="267"/>
    </row>
    <row r="242" spans="1:42" x14ac:dyDescent="0.2">
      <c r="A242" s="249"/>
      <c r="O242" s="300"/>
      <c r="Q242" s="300"/>
      <c r="R242" s="300"/>
      <c r="S242" s="300"/>
      <c r="T242" s="300"/>
      <c r="U242" s="300"/>
      <c r="V242" s="300"/>
      <c r="W242" s="300"/>
      <c r="X242" s="300"/>
      <c r="Y242" s="300"/>
      <c r="Z242" s="300"/>
      <c r="AL242" s="267"/>
      <c r="AM242" s="267"/>
      <c r="AN242" s="267"/>
      <c r="AO242" s="267"/>
      <c r="AP242" s="267"/>
    </row>
    <row r="243" spans="1:42" x14ac:dyDescent="0.2">
      <c r="A243" s="249"/>
      <c r="O243" s="300"/>
      <c r="Q243" s="300"/>
      <c r="R243" s="300"/>
      <c r="S243" s="300"/>
      <c r="T243" s="300"/>
      <c r="U243" s="300"/>
      <c r="V243" s="300"/>
      <c r="W243" s="300"/>
      <c r="X243" s="300"/>
      <c r="Y243" s="300"/>
      <c r="Z243" s="300"/>
      <c r="AL243" s="267"/>
      <c r="AM243" s="267"/>
      <c r="AN243" s="267"/>
      <c r="AO243" s="267"/>
      <c r="AP243" s="267"/>
    </row>
    <row r="244" spans="1:42" x14ac:dyDescent="0.2">
      <c r="A244" s="249"/>
      <c r="O244" s="300"/>
      <c r="Q244" s="300"/>
      <c r="R244" s="300"/>
      <c r="S244" s="300"/>
      <c r="T244" s="300"/>
      <c r="U244" s="300"/>
      <c r="V244" s="300"/>
      <c r="W244" s="300"/>
      <c r="X244" s="300"/>
      <c r="Y244" s="300"/>
      <c r="Z244" s="300"/>
      <c r="AL244" s="267"/>
      <c r="AM244" s="267"/>
      <c r="AN244" s="267"/>
      <c r="AO244" s="267"/>
      <c r="AP244" s="267"/>
    </row>
    <row r="245" spans="1:42" x14ac:dyDescent="0.2">
      <c r="A245" s="249"/>
      <c r="O245" s="300"/>
      <c r="Q245" s="300"/>
      <c r="R245" s="300"/>
      <c r="S245" s="300"/>
      <c r="T245" s="300"/>
      <c r="U245" s="300"/>
      <c r="V245" s="300"/>
      <c r="W245" s="300"/>
      <c r="X245" s="300"/>
      <c r="Y245" s="300"/>
      <c r="Z245" s="300"/>
      <c r="AL245" s="267"/>
      <c r="AM245" s="267"/>
      <c r="AN245" s="267"/>
      <c r="AO245" s="267"/>
      <c r="AP245" s="267"/>
    </row>
    <row r="246" spans="1:42" x14ac:dyDescent="0.2">
      <c r="A246" s="249"/>
      <c r="O246" s="300"/>
      <c r="Q246" s="300"/>
      <c r="R246" s="300"/>
      <c r="S246" s="300"/>
      <c r="T246" s="300"/>
      <c r="U246" s="300"/>
      <c r="V246" s="300"/>
      <c r="W246" s="300"/>
      <c r="X246" s="300"/>
      <c r="Y246" s="300"/>
      <c r="Z246" s="300"/>
      <c r="AL246" s="267"/>
      <c r="AM246" s="267"/>
      <c r="AN246" s="267"/>
      <c r="AO246" s="267"/>
      <c r="AP246" s="267"/>
    </row>
    <row r="247" spans="1:42" x14ac:dyDescent="0.2">
      <c r="O247" s="300"/>
      <c r="Q247" s="300"/>
      <c r="R247" s="300"/>
      <c r="S247" s="300"/>
      <c r="T247" s="300"/>
      <c r="U247" s="300"/>
      <c r="V247" s="300"/>
      <c r="W247" s="300"/>
      <c r="X247" s="300"/>
      <c r="Y247" s="300"/>
      <c r="Z247" s="300"/>
      <c r="AL247" s="267"/>
      <c r="AM247" s="267"/>
      <c r="AN247" s="267"/>
      <c r="AO247" s="267"/>
      <c r="AP247" s="267"/>
    </row>
    <row r="248" spans="1:42" x14ac:dyDescent="0.2">
      <c r="O248" s="300"/>
      <c r="Q248" s="300"/>
      <c r="R248" s="300"/>
      <c r="S248" s="300"/>
      <c r="T248" s="300"/>
      <c r="U248" s="300"/>
      <c r="V248" s="300"/>
      <c r="W248" s="300"/>
      <c r="X248" s="300"/>
      <c r="Y248" s="300"/>
      <c r="Z248" s="300"/>
      <c r="AL248" s="267"/>
      <c r="AM248" s="267"/>
      <c r="AN248" s="267"/>
      <c r="AO248" s="267"/>
      <c r="AP248" s="267"/>
    </row>
    <row r="249" spans="1:42" x14ac:dyDescent="0.2">
      <c r="O249" s="300"/>
      <c r="Q249" s="300"/>
      <c r="R249" s="300"/>
      <c r="S249" s="300"/>
      <c r="T249" s="300"/>
      <c r="U249" s="300"/>
      <c r="V249" s="300"/>
      <c r="W249" s="300"/>
      <c r="X249" s="300"/>
      <c r="Y249" s="300"/>
      <c r="Z249" s="300"/>
      <c r="AL249" s="267"/>
      <c r="AM249" s="267"/>
      <c r="AN249" s="267"/>
      <c r="AO249" s="267"/>
      <c r="AP249" s="267"/>
    </row>
    <row r="250" spans="1:42" x14ac:dyDescent="0.2">
      <c r="O250" s="300"/>
      <c r="Q250" s="300"/>
      <c r="R250" s="300"/>
      <c r="S250" s="300"/>
      <c r="T250" s="300"/>
      <c r="U250" s="300"/>
      <c r="V250" s="300"/>
      <c r="W250" s="300"/>
      <c r="X250" s="300"/>
      <c r="Y250" s="300"/>
      <c r="Z250" s="300"/>
      <c r="AL250" s="267"/>
      <c r="AM250" s="267"/>
      <c r="AN250" s="267"/>
      <c r="AO250" s="267"/>
      <c r="AP250" s="267"/>
    </row>
    <row r="251" spans="1:42" x14ac:dyDescent="0.2">
      <c r="O251" s="300"/>
      <c r="Q251" s="300"/>
      <c r="R251" s="300"/>
      <c r="S251" s="300"/>
      <c r="T251" s="300"/>
      <c r="U251" s="300"/>
      <c r="V251" s="300"/>
      <c r="W251" s="300"/>
      <c r="X251" s="300"/>
      <c r="Y251" s="300"/>
      <c r="Z251" s="300"/>
      <c r="AL251" s="267"/>
      <c r="AM251" s="267"/>
      <c r="AN251" s="267"/>
      <c r="AO251" s="267"/>
      <c r="AP251" s="267"/>
    </row>
    <row r="252" spans="1:42" x14ac:dyDescent="0.2">
      <c r="O252" s="300"/>
      <c r="Q252" s="300"/>
      <c r="R252" s="300"/>
      <c r="S252" s="300"/>
      <c r="T252" s="300"/>
      <c r="U252" s="300"/>
      <c r="V252" s="300"/>
      <c r="W252" s="300"/>
      <c r="X252" s="300"/>
      <c r="Y252" s="300"/>
      <c r="Z252" s="300"/>
      <c r="AL252" s="267"/>
      <c r="AM252" s="267"/>
      <c r="AN252" s="267"/>
      <c r="AO252" s="267"/>
      <c r="AP252" s="267"/>
    </row>
    <row r="253" spans="1:42" x14ac:dyDescent="0.2">
      <c r="O253" s="300"/>
      <c r="Q253" s="300"/>
      <c r="R253" s="300"/>
      <c r="S253" s="300"/>
      <c r="T253" s="300"/>
      <c r="U253" s="300"/>
      <c r="V253" s="300"/>
      <c r="W253" s="300"/>
      <c r="X253" s="300"/>
      <c r="Y253" s="300"/>
      <c r="Z253" s="300"/>
      <c r="AL253" s="267"/>
      <c r="AM253" s="267"/>
      <c r="AN253" s="267"/>
      <c r="AO253" s="267"/>
      <c r="AP253" s="267"/>
    </row>
    <row r="254" spans="1:42" x14ac:dyDescent="0.2">
      <c r="O254" s="300"/>
      <c r="Q254" s="300"/>
      <c r="R254" s="300"/>
      <c r="S254" s="300"/>
      <c r="T254" s="300"/>
      <c r="U254" s="300"/>
      <c r="V254" s="300"/>
      <c r="W254" s="300"/>
      <c r="X254" s="300"/>
      <c r="Y254" s="300"/>
      <c r="Z254" s="300"/>
      <c r="AL254" s="267"/>
      <c r="AM254" s="267"/>
      <c r="AN254" s="267"/>
      <c r="AO254" s="267"/>
      <c r="AP254" s="267"/>
    </row>
    <row r="255" spans="1:42" x14ac:dyDescent="0.2">
      <c r="O255" s="300"/>
      <c r="Q255" s="300"/>
      <c r="R255" s="300"/>
      <c r="S255" s="300"/>
      <c r="T255" s="300"/>
      <c r="U255" s="300"/>
      <c r="V255" s="300"/>
      <c r="W255" s="300"/>
      <c r="X255" s="300"/>
      <c r="Y255" s="300"/>
      <c r="Z255" s="300"/>
      <c r="AL255" s="267"/>
      <c r="AM255" s="267"/>
      <c r="AN255" s="267"/>
      <c r="AO255" s="267"/>
      <c r="AP255" s="267"/>
    </row>
    <row r="256" spans="1:42" x14ac:dyDescent="0.2">
      <c r="O256" s="300"/>
      <c r="Q256" s="300"/>
      <c r="R256" s="300"/>
      <c r="S256" s="300"/>
      <c r="T256" s="300"/>
      <c r="U256" s="300"/>
      <c r="V256" s="300"/>
      <c r="W256" s="300"/>
      <c r="X256" s="300"/>
      <c r="Y256" s="300"/>
      <c r="Z256" s="300"/>
      <c r="AL256" s="267"/>
      <c r="AM256" s="267"/>
      <c r="AN256" s="267"/>
      <c r="AO256" s="267"/>
      <c r="AP256" s="267"/>
    </row>
    <row r="257" spans="15:42" x14ac:dyDescent="0.2">
      <c r="O257" s="300"/>
      <c r="Q257" s="300"/>
      <c r="R257" s="300"/>
      <c r="S257" s="300"/>
      <c r="T257" s="300"/>
      <c r="U257" s="300"/>
      <c r="V257" s="300"/>
      <c r="W257" s="300"/>
      <c r="X257" s="300"/>
      <c r="Y257" s="300"/>
      <c r="Z257" s="300"/>
      <c r="AL257" s="267"/>
      <c r="AM257" s="267"/>
      <c r="AN257" s="267"/>
      <c r="AO257" s="267"/>
      <c r="AP257" s="267"/>
    </row>
    <row r="258" spans="15:42" x14ac:dyDescent="0.2">
      <c r="O258" s="300"/>
      <c r="Q258" s="300"/>
      <c r="R258" s="300"/>
      <c r="S258" s="300"/>
      <c r="T258" s="300"/>
      <c r="U258" s="300"/>
      <c r="V258" s="300"/>
      <c r="W258" s="300"/>
      <c r="X258" s="300"/>
      <c r="Y258" s="300"/>
      <c r="Z258" s="300"/>
      <c r="AL258" s="267"/>
      <c r="AM258" s="267"/>
      <c r="AN258" s="267"/>
      <c r="AO258" s="267"/>
      <c r="AP258" s="267"/>
    </row>
    <row r="259" spans="15:42" x14ac:dyDescent="0.2">
      <c r="O259" s="300"/>
      <c r="Q259" s="300"/>
      <c r="R259" s="300"/>
      <c r="S259" s="300"/>
      <c r="T259" s="300"/>
      <c r="U259" s="300"/>
      <c r="V259" s="300"/>
      <c r="W259" s="300"/>
      <c r="X259" s="300"/>
      <c r="Y259" s="300"/>
      <c r="Z259" s="300"/>
      <c r="AL259" s="267"/>
      <c r="AM259" s="267"/>
      <c r="AN259" s="267"/>
      <c r="AO259" s="267"/>
      <c r="AP259" s="267"/>
    </row>
    <row r="260" spans="15:42" x14ac:dyDescent="0.2">
      <c r="O260" s="300"/>
      <c r="Q260" s="300"/>
      <c r="R260" s="300"/>
      <c r="S260" s="300"/>
      <c r="T260" s="300"/>
      <c r="U260" s="300"/>
      <c r="V260" s="300"/>
      <c r="W260" s="300"/>
      <c r="X260" s="300"/>
      <c r="Y260" s="300"/>
      <c r="Z260" s="300"/>
      <c r="AL260" s="267"/>
      <c r="AM260" s="267"/>
      <c r="AN260" s="267"/>
      <c r="AO260" s="267"/>
      <c r="AP260" s="267"/>
    </row>
    <row r="261" spans="15:42" x14ac:dyDescent="0.2">
      <c r="O261" s="300"/>
      <c r="Q261" s="300"/>
      <c r="R261" s="300"/>
      <c r="S261" s="300"/>
      <c r="T261" s="300"/>
      <c r="U261" s="300"/>
      <c r="V261" s="300"/>
      <c r="W261" s="300"/>
      <c r="X261" s="300"/>
      <c r="Y261" s="300"/>
      <c r="Z261" s="300"/>
      <c r="AL261" s="267"/>
      <c r="AM261" s="267"/>
      <c r="AN261" s="267"/>
      <c r="AO261" s="267"/>
      <c r="AP261" s="267"/>
    </row>
    <row r="262" spans="15:42" x14ac:dyDescent="0.2">
      <c r="O262" s="300"/>
      <c r="Q262" s="300"/>
      <c r="R262" s="300"/>
      <c r="S262" s="300"/>
      <c r="T262" s="300"/>
      <c r="U262" s="300"/>
      <c r="V262" s="300"/>
      <c r="W262" s="300"/>
      <c r="X262" s="300"/>
      <c r="Y262" s="300"/>
      <c r="Z262" s="300"/>
      <c r="AL262" s="267"/>
      <c r="AM262" s="267"/>
      <c r="AN262" s="267"/>
      <c r="AO262" s="267"/>
      <c r="AP262" s="267"/>
    </row>
    <row r="263" spans="15:42" x14ac:dyDescent="0.2">
      <c r="O263" s="300"/>
      <c r="Q263" s="300"/>
      <c r="R263" s="300"/>
      <c r="S263" s="300"/>
      <c r="T263" s="300"/>
      <c r="U263" s="300"/>
      <c r="V263" s="300"/>
      <c r="W263" s="300"/>
      <c r="X263" s="300"/>
      <c r="Y263" s="300"/>
      <c r="Z263" s="300"/>
      <c r="AL263" s="267"/>
      <c r="AM263" s="267"/>
      <c r="AN263" s="267"/>
      <c r="AO263" s="267"/>
      <c r="AP263" s="267"/>
    </row>
    <row r="264" spans="15:42" x14ac:dyDescent="0.2">
      <c r="O264" s="300"/>
      <c r="Q264" s="300"/>
      <c r="R264" s="300"/>
      <c r="S264" s="300"/>
      <c r="T264" s="300"/>
      <c r="U264" s="300"/>
      <c r="V264" s="300"/>
      <c r="W264" s="300"/>
      <c r="X264" s="300"/>
      <c r="Y264" s="300"/>
      <c r="Z264" s="300"/>
      <c r="AL264" s="267"/>
      <c r="AM264" s="267"/>
      <c r="AN264" s="267"/>
      <c r="AO264" s="267"/>
      <c r="AP264" s="267"/>
    </row>
    <row r="265" spans="15:42" x14ac:dyDescent="0.2">
      <c r="O265" s="300"/>
      <c r="Q265" s="300"/>
      <c r="R265" s="300"/>
      <c r="S265" s="300"/>
      <c r="T265" s="300"/>
      <c r="U265" s="300"/>
      <c r="V265" s="300"/>
      <c r="W265" s="300"/>
      <c r="X265" s="300"/>
      <c r="Y265" s="300"/>
      <c r="Z265" s="300"/>
      <c r="AL265" s="267"/>
      <c r="AM265" s="267"/>
      <c r="AN265" s="267"/>
      <c r="AO265" s="267"/>
      <c r="AP265" s="267"/>
    </row>
    <row r="266" spans="15:42" x14ac:dyDescent="0.2">
      <c r="O266" s="300"/>
      <c r="Q266" s="300"/>
      <c r="R266" s="300"/>
      <c r="S266" s="300"/>
      <c r="T266" s="300"/>
      <c r="U266" s="300"/>
      <c r="V266" s="300"/>
      <c r="W266" s="300"/>
      <c r="X266" s="300"/>
      <c r="Y266" s="300"/>
      <c r="Z266" s="300"/>
      <c r="AL266" s="267"/>
      <c r="AM266" s="267"/>
      <c r="AN266" s="267"/>
      <c r="AO266" s="267"/>
      <c r="AP266" s="267"/>
    </row>
    <row r="267" spans="15:42" x14ac:dyDescent="0.2">
      <c r="O267" s="300"/>
      <c r="Q267" s="300"/>
      <c r="R267" s="300"/>
      <c r="S267" s="300"/>
      <c r="T267" s="300"/>
      <c r="U267" s="300"/>
      <c r="V267" s="300"/>
      <c r="W267" s="300"/>
      <c r="X267" s="300"/>
      <c r="Y267" s="300"/>
      <c r="Z267" s="300"/>
      <c r="AL267" s="267"/>
      <c r="AM267" s="267"/>
      <c r="AN267" s="267"/>
      <c r="AO267" s="267"/>
      <c r="AP267" s="267"/>
    </row>
    <row r="268" spans="15:42" x14ac:dyDescent="0.2">
      <c r="O268" s="300"/>
      <c r="Q268" s="300"/>
      <c r="R268" s="300"/>
      <c r="S268" s="300"/>
      <c r="T268" s="300"/>
      <c r="U268" s="300"/>
      <c r="V268" s="300"/>
      <c r="W268" s="300"/>
      <c r="X268" s="300"/>
      <c r="Y268" s="300"/>
      <c r="Z268" s="300"/>
      <c r="AL268" s="267"/>
      <c r="AM268" s="267"/>
      <c r="AN268" s="267"/>
      <c r="AO268" s="267"/>
      <c r="AP268" s="267"/>
    </row>
    <row r="269" spans="15:42" x14ac:dyDescent="0.2">
      <c r="O269" s="300"/>
      <c r="Q269" s="300"/>
      <c r="R269" s="300"/>
      <c r="S269" s="300"/>
      <c r="T269" s="300"/>
      <c r="U269" s="300"/>
      <c r="V269" s="300"/>
      <c r="W269" s="300"/>
      <c r="X269" s="300"/>
      <c r="Y269" s="300"/>
      <c r="Z269" s="300"/>
      <c r="AL269" s="267"/>
      <c r="AM269" s="267"/>
      <c r="AN269" s="267"/>
      <c r="AO269" s="267"/>
      <c r="AP269" s="267"/>
    </row>
    <row r="270" spans="15:42" x14ac:dyDescent="0.2">
      <c r="O270" s="300"/>
      <c r="Q270" s="300"/>
      <c r="R270" s="300"/>
      <c r="S270" s="300"/>
      <c r="T270" s="300"/>
      <c r="U270" s="300"/>
      <c r="V270" s="300"/>
      <c r="W270" s="300"/>
      <c r="X270" s="300"/>
      <c r="Y270" s="300"/>
      <c r="Z270" s="300"/>
      <c r="AL270" s="267"/>
      <c r="AM270" s="267"/>
      <c r="AN270" s="267"/>
      <c r="AO270" s="267"/>
      <c r="AP270" s="267"/>
    </row>
    <row r="271" spans="15:42" x14ac:dyDescent="0.2">
      <c r="O271" s="300"/>
      <c r="Q271" s="300"/>
      <c r="R271" s="300"/>
      <c r="S271" s="300"/>
      <c r="T271" s="300"/>
      <c r="U271" s="300"/>
      <c r="V271" s="300"/>
      <c r="W271" s="300"/>
      <c r="X271" s="300"/>
      <c r="Y271" s="300"/>
      <c r="Z271" s="300"/>
      <c r="AL271" s="267"/>
      <c r="AM271" s="267"/>
      <c r="AN271" s="267"/>
      <c r="AO271" s="267"/>
      <c r="AP271" s="267"/>
    </row>
    <row r="272" spans="15:42" x14ac:dyDescent="0.2">
      <c r="O272" s="300"/>
      <c r="Q272" s="300"/>
      <c r="R272" s="300"/>
      <c r="S272" s="300"/>
      <c r="T272" s="300"/>
      <c r="U272" s="300"/>
      <c r="V272" s="300"/>
      <c r="W272" s="300"/>
      <c r="X272" s="300"/>
      <c r="Y272" s="300"/>
      <c r="Z272" s="300"/>
      <c r="AL272" s="267"/>
      <c r="AM272" s="267"/>
      <c r="AN272" s="267"/>
      <c r="AO272" s="267"/>
      <c r="AP272" s="267"/>
    </row>
    <row r="273" spans="13:42" x14ac:dyDescent="0.2">
      <c r="M273" s="301"/>
      <c r="O273" s="300"/>
      <c r="Q273" s="300"/>
      <c r="R273" s="300"/>
      <c r="S273" s="300"/>
      <c r="T273" s="300"/>
      <c r="U273" s="300"/>
      <c r="V273" s="300"/>
      <c r="W273" s="300"/>
      <c r="X273" s="300"/>
      <c r="Y273" s="300"/>
      <c r="Z273" s="300"/>
      <c r="AL273" s="267"/>
      <c r="AM273" s="267"/>
      <c r="AN273" s="267"/>
      <c r="AO273" s="267"/>
      <c r="AP273" s="267"/>
    </row>
    <row r="274" spans="13:42" x14ac:dyDescent="0.2">
      <c r="M274" s="301"/>
    </row>
    <row r="275" spans="13:42" x14ac:dyDescent="0.2">
      <c r="M275" s="301"/>
      <c r="O275" s="300"/>
      <c r="Q275" s="300"/>
      <c r="R275" s="300"/>
      <c r="S275" s="300"/>
      <c r="T275" s="300"/>
      <c r="U275" s="300"/>
      <c r="V275" s="300"/>
      <c r="W275" s="300"/>
      <c r="X275" s="300"/>
      <c r="Y275" s="300"/>
      <c r="Z275" s="300"/>
      <c r="AL275" s="267"/>
      <c r="AM275" s="267"/>
      <c r="AN275" s="267"/>
      <c r="AO275" s="267"/>
      <c r="AP275" s="267"/>
    </row>
    <row r="276" spans="13:42" x14ac:dyDescent="0.2">
      <c r="M276" s="301"/>
    </row>
    <row r="277" spans="13:42" x14ac:dyDescent="0.2">
      <c r="M277" s="301"/>
      <c r="O277" s="300"/>
      <c r="Q277" s="300"/>
      <c r="R277" s="300"/>
      <c r="S277" s="300"/>
      <c r="T277" s="300"/>
      <c r="U277" s="300"/>
      <c r="V277" s="300"/>
      <c r="W277" s="300"/>
      <c r="X277" s="300"/>
      <c r="Y277" s="300"/>
      <c r="Z277" s="300"/>
      <c r="AL277" s="267"/>
      <c r="AM277" s="267"/>
      <c r="AN277" s="267"/>
      <c r="AO277" s="267"/>
      <c r="AP277" s="267"/>
    </row>
    <row r="278" spans="13:42" x14ac:dyDescent="0.2">
      <c r="M278" s="301"/>
    </row>
    <row r="279" spans="13:42" x14ac:dyDescent="0.2">
      <c r="M279" s="301"/>
      <c r="O279" s="300"/>
      <c r="Q279" s="300"/>
      <c r="R279" s="300"/>
      <c r="S279" s="300"/>
      <c r="T279" s="300"/>
      <c r="U279" s="300"/>
      <c r="V279" s="300"/>
      <c r="W279" s="300"/>
      <c r="X279" s="300"/>
      <c r="Y279" s="300"/>
      <c r="Z279" s="300"/>
      <c r="AL279" s="267"/>
      <c r="AM279" s="267"/>
      <c r="AN279" s="267"/>
      <c r="AO279" s="267"/>
      <c r="AP279" s="267"/>
    </row>
    <row r="280" spans="13:42" x14ac:dyDescent="0.2">
      <c r="M280" s="301"/>
    </row>
    <row r="281" spans="13:42" x14ac:dyDescent="0.2">
      <c r="M281" s="301"/>
      <c r="O281" s="300"/>
      <c r="Q281" s="300"/>
      <c r="R281" s="300"/>
      <c r="S281" s="300"/>
      <c r="T281" s="300"/>
      <c r="U281" s="300"/>
      <c r="V281" s="300"/>
      <c r="W281" s="300"/>
      <c r="X281" s="300"/>
      <c r="Y281" s="300"/>
      <c r="Z281" s="300"/>
      <c r="AL281" s="267"/>
      <c r="AM281" s="267"/>
      <c r="AN281" s="267"/>
      <c r="AO281" s="267"/>
      <c r="AP281" s="267"/>
    </row>
    <row r="282" spans="13:42" x14ac:dyDescent="0.2">
      <c r="M282" s="301"/>
    </row>
    <row r="283" spans="13:42" x14ac:dyDescent="0.2">
      <c r="M283" s="301"/>
      <c r="O283" s="300"/>
      <c r="Q283" s="300"/>
      <c r="R283" s="300"/>
      <c r="S283" s="300"/>
      <c r="T283" s="300"/>
      <c r="U283" s="300"/>
      <c r="V283" s="300"/>
      <c r="W283" s="300"/>
      <c r="X283" s="300"/>
      <c r="Y283" s="300"/>
      <c r="Z283" s="300"/>
      <c r="AL283" s="267"/>
      <c r="AM283" s="267"/>
      <c r="AN283" s="267"/>
      <c r="AO283" s="267"/>
      <c r="AP283" s="267"/>
    </row>
    <row r="284" spans="13:42" x14ac:dyDescent="0.2">
      <c r="M284" s="301"/>
    </row>
    <row r="285" spans="13:42" x14ac:dyDescent="0.2">
      <c r="M285" s="301"/>
      <c r="O285" s="300"/>
      <c r="Q285" s="300"/>
      <c r="R285" s="300"/>
      <c r="S285" s="300"/>
      <c r="T285" s="300"/>
      <c r="U285" s="300"/>
      <c r="V285" s="300"/>
      <c r="W285" s="300"/>
      <c r="X285" s="300"/>
      <c r="Y285" s="300"/>
      <c r="Z285" s="300"/>
      <c r="AL285" s="267"/>
      <c r="AM285" s="267"/>
      <c r="AN285" s="267"/>
      <c r="AO285" s="267"/>
      <c r="AP285" s="267"/>
    </row>
    <row r="286" spans="13:42" x14ac:dyDescent="0.2">
      <c r="M286" s="301"/>
    </row>
    <row r="287" spans="13:42" x14ac:dyDescent="0.2">
      <c r="M287" s="301"/>
      <c r="O287" s="300"/>
      <c r="Q287" s="300"/>
      <c r="R287" s="300"/>
      <c r="S287" s="300"/>
      <c r="T287" s="300"/>
      <c r="U287" s="300"/>
      <c r="V287" s="300"/>
      <c r="W287" s="300"/>
      <c r="X287" s="300"/>
      <c r="Y287" s="300"/>
      <c r="Z287" s="300"/>
      <c r="AL287" s="267"/>
      <c r="AM287" s="267"/>
      <c r="AN287" s="267"/>
      <c r="AO287" s="267"/>
      <c r="AP287" s="267"/>
    </row>
    <row r="288" spans="13:42" x14ac:dyDescent="0.2">
      <c r="M288" s="301"/>
    </row>
    <row r="289" spans="13:42" x14ac:dyDescent="0.2">
      <c r="M289" s="301"/>
      <c r="O289" s="300"/>
      <c r="Q289" s="300"/>
      <c r="R289" s="300"/>
      <c r="S289" s="300"/>
      <c r="T289" s="300"/>
      <c r="U289" s="300"/>
      <c r="V289" s="300"/>
      <c r="W289" s="300"/>
      <c r="X289" s="300"/>
      <c r="Y289" s="300"/>
      <c r="Z289" s="300"/>
      <c r="AL289" s="267"/>
      <c r="AM289" s="267"/>
      <c r="AN289" s="267"/>
      <c r="AO289" s="267"/>
      <c r="AP289" s="267"/>
    </row>
    <row r="290" spans="13:42" x14ac:dyDescent="0.2">
      <c r="M290" s="301"/>
    </row>
    <row r="291" spans="13:42" x14ac:dyDescent="0.2">
      <c r="O291" s="300"/>
      <c r="Q291" s="300"/>
      <c r="R291" s="300"/>
      <c r="S291" s="300"/>
      <c r="T291" s="300"/>
      <c r="U291" s="300"/>
      <c r="V291" s="300"/>
      <c r="W291" s="300"/>
      <c r="X291" s="300"/>
      <c r="Y291" s="300"/>
      <c r="Z291" s="300"/>
      <c r="AL291" s="267"/>
      <c r="AM291" s="267"/>
      <c r="AN291" s="267"/>
      <c r="AO291" s="267"/>
      <c r="AP291" s="267"/>
    </row>
    <row r="292" spans="13:42" x14ac:dyDescent="0.2">
      <c r="O292" s="300"/>
      <c r="Q292" s="300"/>
      <c r="R292" s="300"/>
      <c r="S292" s="300"/>
      <c r="T292" s="300"/>
      <c r="U292" s="300"/>
      <c r="V292" s="300"/>
      <c r="W292" s="300"/>
      <c r="X292" s="300"/>
      <c r="Y292" s="300"/>
      <c r="Z292" s="300"/>
      <c r="AL292" s="267"/>
      <c r="AM292" s="267"/>
      <c r="AN292" s="267"/>
      <c r="AO292" s="267"/>
      <c r="AP292" s="267"/>
    </row>
    <row r="293" spans="13:42" x14ac:dyDescent="0.2">
      <c r="O293" s="300"/>
      <c r="Q293" s="300"/>
      <c r="R293" s="300"/>
      <c r="S293" s="300"/>
      <c r="T293" s="300"/>
      <c r="U293" s="300"/>
      <c r="V293" s="300"/>
      <c r="W293" s="300"/>
      <c r="X293" s="300"/>
      <c r="Y293" s="300"/>
      <c r="Z293" s="300"/>
      <c r="AL293" s="267"/>
      <c r="AM293" s="267"/>
      <c r="AN293" s="267"/>
      <c r="AO293" s="267"/>
      <c r="AP293" s="267"/>
    </row>
    <row r="294" spans="13:42" x14ac:dyDescent="0.2">
      <c r="O294" s="300"/>
      <c r="Q294" s="300"/>
      <c r="R294" s="300"/>
      <c r="S294" s="300"/>
      <c r="T294" s="300"/>
      <c r="U294" s="300"/>
      <c r="V294" s="300"/>
      <c r="W294" s="300"/>
      <c r="X294" s="300"/>
      <c r="Y294" s="300"/>
      <c r="Z294" s="300"/>
      <c r="AL294" s="267"/>
      <c r="AM294" s="267"/>
      <c r="AN294" s="267"/>
      <c r="AO294" s="267"/>
      <c r="AP294" s="267"/>
    </row>
    <row r="295" spans="13:42" x14ac:dyDescent="0.2">
      <c r="O295" s="300"/>
      <c r="Q295" s="300"/>
      <c r="R295" s="300"/>
      <c r="S295" s="300"/>
      <c r="T295" s="300"/>
      <c r="U295" s="300"/>
      <c r="V295" s="300"/>
      <c r="W295" s="300"/>
      <c r="X295" s="300"/>
      <c r="Y295" s="300"/>
      <c r="Z295" s="300"/>
      <c r="AL295" s="267"/>
      <c r="AM295" s="267"/>
      <c r="AN295" s="267"/>
      <c r="AO295" s="267"/>
      <c r="AP295" s="267"/>
    </row>
    <row r="296" spans="13:42" x14ac:dyDescent="0.2">
      <c r="O296" s="300"/>
      <c r="Q296" s="300"/>
      <c r="R296" s="300"/>
      <c r="S296" s="300"/>
      <c r="T296" s="300"/>
      <c r="U296" s="300"/>
      <c r="V296" s="300"/>
      <c r="W296" s="300"/>
      <c r="X296" s="300"/>
      <c r="Y296" s="300"/>
      <c r="Z296" s="300"/>
      <c r="AL296" s="267"/>
      <c r="AM296" s="267"/>
      <c r="AN296" s="267"/>
      <c r="AO296" s="267"/>
      <c r="AP296" s="267"/>
    </row>
    <row r="297" spans="13:42" x14ac:dyDescent="0.2">
      <c r="O297" s="300"/>
      <c r="Q297" s="300"/>
      <c r="R297" s="300"/>
      <c r="S297" s="300"/>
      <c r="T297" s="300"/>
      <c r="U297" s="300"/>
      <c r="V297" s="300"/>
      <c r="W297" s="300"/>
      <c r="X297" s="300"/>
      <c r="Y297" s="300"/>
      <c r="Z297" s="300"/>
      <c r="AL297" s="267"/>
      <c r="AM297" s="267"/>
      <c r="AN297" s="267"/>
      <c r="AO297" s="267"/>
      <c r="AP297" s="267"/>
    </row>
    <row r="298" spans="13:42" x14ac:dyDescent="0.2">
      <c r="O298" s="300"/>
      <c r="Q298" s="300"/>
      <c r="R298" s="300"/>
      <c r="S298" s="300"/>
      <c r="T298" s="300"/>
      <c r="U298" s="300"/>
      <c r="V298" s="300"/>
      <c r="W298" s="300"/>
      <c r="X298" s="300"/>
      <c r="Y298" s="300"/>
      <c r="Z298" s="300"/>
      <c r="AL298" s="267"/>
      <c r="AM298" s="267"/>
      <c r="AN298" s="267"/>
      <c r="AO298" s="267"/>
      <c r="AP298" s="267"/>
    </row>
    <row r="299" spans="13:42" x14ac:dyDescent="0.2">
      <c r="O299" s="300"/>
      <c r="Q299" s="300"/>
      <c r="R299" s="300"/>
      <c r="S299" s="300"/>
      <c r="T299" s="300"/>
      <c r="U299" s="300"/>
      <c r="V299" s="300"/>
      <c r="W299" s="300"/>
      <c r="X299" s="300"/>
      <c r="Y299" s="300"/>
      <c r="Z299" s="300"/>
      <c r="AL299" s="267"/>
      <c r="AM299" s="267"/>
      <c r="AN299" s="267"/>
      <c r="AO299" s="267"/>
      <c r="AP299" s="267"/>
    </row>
    <row r="300" spans="13:42" x14ac:dyDescent="0.2">
      <c r="O300" s="300"/>
      <c r="Q300" s="300"/>
      <c r="R300" s="300"/>
      <c r="S300" s="300"/>
      <c r="T300" s="300"/>
      <c r="U300" s="300"/>
      <c r="V300" s="300"/>
      <c r="W300" s="300"/>
      <c r="X300" s="300"/>
      <c r="Y300" s="300"/>
      <c r="Z300" s="300"/>
      <c r="AL300" s="267"/>
      <c r="AM300" s="267"/>
      <c r="AN300" s="267"/>
      <c r="AO300" s="267"/>
      <c r="AP300" s="267"/>
    </row>
    <row r="301" spans="13:42" x14ac:dyDescent="0.2">
      <c r="O301" s="300"/>
      <c r="Q301" s="300"/>
      <c r="R301" s="300"/>
      <c r="S301" s="300"/>
      <c r="T301" s="300"/>
      <c r="U301" s="300"/>
      <c r="V301" s="300"/>
      <c r="W301" s="300"/>
      <c r="X301" s="300"/>
      <c r="Y301" s="300"/>
      <c r="Z301" s="300"/>
      <c r="AL301" s="267"/>
      <c r="AM301" s="267"/>
      <c r="AN301" s="267"/>
      <c r="AO301" s="267"/>
      <c r="AP301" s="267"/>
    </row>
    <row r="302" spans="13:42" x14ac:dyDescent="0.2">
      <c r="O302" s="300"/>
      <c r="Q302" s="300"/>
      <c r="R302" s="300"/>
      <c r="S302" s="300"/>
      <c r="T302" s="300"/>
      <c r="U302" s="300"/>
      <c r="V302" s="300"/>
      <c r="W302" s="300"/>
      <c r="X302" s="300"/>
      <c r="Y302" s="300"/>
      <c r="Z302" s="300"/>
      <c r="AL302" s="267"/>
      <c r="AM302" s="267"/>
      <c r="AN302" s="267"/>
      <c r="AO302" s="267"/>
      <c r="AP302" s="267"/>
    </row>
    <row r="303" spans="13:42" x14ac:dyDescent="0.2">
      <c r="O303" s="300"/>
      <c r="Q303" s="300"/>
      <c r="R303" s="300"/>
      <c r="S303" s="300"/>
      <c r="T303" s="300"/>
      <c r="U303" s="300"/>
      <c r="V303" s="300"/>
      <c r="W303" s="300"/>
      <c r="X303" s="300"/>
      <c r="Y303" s="300"/>
      <c r="Z303" s="300"/>
      <c r="AL303" s="267"/>
      <c r="AM303" s="267"/>
      <c r="AN303" s="267"/>
      <c r="AO303" s="267"/>
      <c r="AP303" s="267"/>
    </row>
    <row r="304" spans="13:42" x14ac:dyDescent="0.2">
      <c r="O304" s="300"/>
      <c r="Q304" s="300"/>
      <c r="R304" s="300"/>
      <c r="S304" s="300"/>
      <c r="T304" s="300"/>
      <c r="U304" s="300"/>
      <c r="V304" s="300"/>
      <c r="W304" s="300"/>
      <c r="X304" s="300"/>
      <c r="Y304" s="300"/>
      <c r="Z304" s="300"/>
      <c r="AL304" s="267"/>
      <c r="AM304" s="267"/>
      <c r="AN304" s="267"/>
      <c r="AO304" s="267"/>
      <c r="AP304" s="267"/>
    </row>
    <row r="305" spans="15:42" x14ac:dyDescent="0.2">
      <c r="O305" s="300"/>
      <c r="Q305" s="300"/>
      <c r="R305" s="300"/>
      <c r="S305" s="300"/>
      <c r="T305" s="300"/>
      <c r="U305" s="300"/>
      <c r="V305" s="300"/>
      <c r="W305" s="300"/>
      <c r="X305" s="300"/>
      <c r="Y305" s="300"/>
      <c r="Z305" s="300"/>
      <c r="AL305" s="267"/>
      <c r="AM305" s="267"/>
      <c r="AN305" s="267"/>
      <c r="AO305" s="267"/>
      <c r="AP305" s="267"/>
    </row>
    <row r="306" spans="15:42" x14ac:dyDescent="0.2">
      <c r="O306" s="300"/>
      <c r="Q306" s="300"/>
      <c r="R306" s="300"/>
      <c r="S306" s="300"/>
      <c r="T306" s="300"/>
      <c r="U306" s="300"/>
      <c r="V306" s="300"/>
      <c r="W306" s="300"/>
      <c r="X306" s="300"/>
      <c r="Y306" s="300"/>
      <c r="Z306" s="300"/>
      <c r="AL306" s="267"/>
      <c r="AM306" s="267"/>
      <c r="AN306" s="267"/>
      <c r="AO306" s="267"/>
      <c r="AP306" s="267"/>
    </row>
    <row r="307" spans="15:42" x14ac:dyDescent="0.2">
      <c r="O307" s="300"/>
      <c r="Q307" s="300"/>
      <c r="R307" s="300"/>
      <c r="S307" s="300"/>
      <c r="T307" s="300"/>
      <c r="U307" s="300"/>
      <c r="V307" s="300"/>
      <c r="W307" s="300"/>
      <c r="X307" s="300"/>
      <c r="Y307" s="300"/>
      <c r="Z307" s="300"/>
      <c r="AL307" s="267"/>
      <c r="AM307" s="267"/>
      <c r="AN307" s="267"/>
      <c r="AO307" s="267"/>
      <c r="AP307" s="267"/>
    </row>
    <row r="308" spans="15:42" x14ac:dyDescent="0.2">
      <c r="O308" s="300"/>
      <c r="Q308" s="300"/>
      <c r="R308" s="300"/>
      <c r="S308" s="300"/>
      <c r="T308" s="300"/>
      <c r="U308" s="300"/>
      <c r="V308" s="300"/>
      <c r="W308" s="300"/>
      <c r="X308" s="300"/>
      <c r="Y308" s="300"/>
      <c r="Z308" s="300"/>
      <c r="AL308" s="267"/>
      <c r="AM308" s="267"/>
      <c r="AN308" s="267"/>
      <c r="AO308" s="267"/>
      <c r="AP308" s="267"/>
    </row>
    <row r="309" spans="15:42" x14ac:dyDescent="0.2">
      <c r="O309" s="300"/>
      <c r="Q309" s="300"/>
      <c r="R309" s="300"/>
      <c r="S309" s="300"/>
      <c r="T309" s="300"/>
      <c r="U309" s="300"/>
      <c r="V309" s="300"/>
      <c r="W309" s="300"/>
      <c r="X309" s="300"/>
      <c r="Y309" s="300"/>
      <c r="Z309" s="300"/>
      <c r="AL309" s="267"/>
      <c r="AM309" s="267"/>
      <c r="AN309" s="267"/>
      <c r="AO309" s="267"/>
      <c r="AP309" s="267"/>
    </row>
    <row r="310" spans="15:42" x14ac:dyDescent="0.2">
      <c r="O310" s="300"/>
      <c r="Q310" s="300"/>
      <c r="R310" s="300"/>
      <c r="S310" s="300"/>
      <c r="T310" s="300"/>
      <c r="U310" s="300"/>
      <c r="V310" s="300"/>
      <c r="W310" s="300"/>
      <c r="X310" s="300"/>
      <c r="Y310" s="300"/>
      <c r="Z310" s="300"/>
      <c r="AL310" s="267"/>
      <c r="AM310" s="267"/>
      <c r="AN310" s="267"/>
      <c r="AO310" s="267"/>
      <c r="AP310" s="267"/>
    </row>
    <row r="311" spans="15:42" x14ac:dyDescent="0.2">
      <c r="O311" s="300"/>
      <c r="Q311" s="300"/>
      <c r="R311" s="300"/>
      <c r="S311" s="300"/>
      <c r="T311" s="300"/>
      <c r="U311" s="300"/>
      <c r="V311" s="300"/>
      <c r="W311" s="300"/>
      <c r="X311" s="300"/>
      <c r="Y311" s="300"/>
      <c r="Z311" s="300"/>
      <c r="AL311" s="267"/>
      <c r="AM311" s="267"/>
      <c r="AN311" s="267"/>
      <c r="AO311" s="267"/>
      <c r="AP311" s="267"/>
    </row>
    <row r="312" spans="15:42" x14ac:dyDescent="0.2">
      <c r="O312" s="300"/>
      <c r="Q312" s="300"/>
      <c r="R312" s="300"/>
      <c r="S312" s="300"/>
      <c r="T312" s="300"/>
      <c r="U312" s="300"/>
      <c r="V312" s="300"/>
      <c r="W312" s="300"/>
      <c r="X312" s="300"/>
      <c r="Y312" s="300"/>
      <c r="Z312" s="300"/>
      <c r="AL312" s="267"/>
      <c r="AM312" s="267"/>
      <c r="AN312" s="267"/>
      <c r="AO312" s="267"/>
      <c r="AP312" s="267"/>
    </row>
    <row r="313" spans="15:42" x14ac:dyDescent="0.2">
      <c r="O313" s="300"/>
      <c r="Q313" s="300"/>
      <c r="R313" s="300"/>
      <c r="S313" s="300"/>
      <c r="T313" s="300"/>
      <c r="U313" s="300"/>
      <c r="V313" s="300"/>
      <c r="W313" s="300"/>
      <c r="X313" s="300"/>
      <c r="Y313" s="300"/>
      <c r="Z313" s="300"/>
      <c r="AL313" s="267"/>
      <c r="AM313" s="267"/>
      <c r="AN313" s="267"/>
      <c r="AO313" s="267"/>
      <c r="AP313" s="267"/>
    </row>
    <row r="314" spans="15:42" x14ac:dyDescent="0.2">
      <c r="O314" s="300"/>
      <c r="Q314" s="300"/>
      <c r="R314" s="300"/>
      <c r="S314" s="300"/>
      <c r="T314" s="300"/>
      <c r="U314" s="300"/>
      <c r="V314" s="300"/>
      <c r="W314" s="300"/>
      <c r="X314" s="300"/>
      <c r="Y314" s="300"/>
      <c r="Z314" s="300"/>
      <c r="AL314" s="267"/>
      <c r="AM314" s="267"/>
      <c r="AN314" s="267"/>
      <c r="AO314" s="267"/>
      <c r="AP314" s="267"/>
    </row>
    <row r="315" spans="15:42" x14ac:dyDescent="0.2">
      <c r="O315" s="300"/>
      <c r="Q315" s="300"/>
      <c r="R315" s="300"/>
      <c r="S315" s="300"/>
      <c r="T315" s="300"/>
      <c r="U315" s="300"/>
      <c r="V315" s="300"/>
      <c r="W315" s="300"/>
      <c r="X315" s="300"/>
      <c r="Y315" s="300"/>
      <c r="Z315" s="300"/>
      <c r="AL315" s="267"/>
      <c r="AM315" s="267"/>
      <c r="AN315" s="267"/>
      <c r="AO315" s="267"/>
      <c r="AP315" s="267"/>
    </row>
    <row r="316" spans="15:42" x14ac:dyDescent="0.2">
      <c r="O316" s="300"/>
      <c r="Q316" s="300"/>
      <c r="R316" s="300"/>
      <c r="S316" s="300"/>
      <c r="T316" s="300"/>
      <c r="U316" s="300"/>
      <c r="V316" s="300"/>
      <c r="W316" s="300"/>
      <c r="X316" s="300"/>
      <c r="Y316" s="300"/>
      <c r="Z316" s="300"/>
      <c r="AL316" s="267"/>
      <c r="AM316" s="267"/>
      <c r="AN316" s="267"/>
      <c r="AO316" s="267"/>
      <c r="AP316" s="267"/>
    </row>
    <row r="317" spans="15:42" x14ac:dyDescent="0.2">
      <c r="O317" s="300"/>
      <c r="Q317" s="300"/>
      <c r="R317" s="300"/>
      <c r="S317" s="300"/>
      <c r="T317" s="300"/>
      <c r="U317" s="300"/>
      <c r="V317" s="300"/>
      <c r="W317" s="300"/>
      <c r="X317" s="300"/>
      <c r="Y317" s="300"/>
      <c r="Z317" s="300"/>
      <c r="AL317" s="267"/>
      <c r="AM317" s="267"/>
      <c r="AN317" s="267"/>
      <c r="AO317" s="267"/>
      <c r="AP317" s="267"/>
    </row>
    <row r="318" spans="15:42" x14ac:dyDescent="0.2">
      <c r="O318" s="300"/>
      <c r="Q318" s="300"/>
      <c r="R318" s="300"/>
      <c r="S318" s="300"/>
      <c r="T318" s="300"/>
      <c r="U318" s="300"/>
      <c r="V318" s="300"/>
      <c r="W318" s="300"/>
      <c r="X318" s="300"/>
      <c r="Y318" s="300"/>
      <c r="Z318" s="300"/>
      <c r="AL318" s="267"/>
      <c r="AM318" s="267"/>
      <c r="AN318" s="267"/>
      <c r="AO318" s="267"/>
      <c r="AP318" s="267"/>
    </row>
    <row r="319" spans="15:42" x14ac:dyDescent="0.2">
      <c r="O319" s="300"/>
      <c r="Q319" s="300"/>
      <c r="R319" s="300"/>
      <c r="S319" s="300"/>
      <c r="T319" s="300"/>
      <c r="U319" s="300"/>
      <c r="V319" s="300"/>
      <c r="W319" s="300"/>
      <c r="X319" s="300"/>
      <c r="Y319" s="300"/>
      <c r="Z319" s="300"/>
      <c r="AL319" s="267"/>
      <c r="AM319" s="267"/>
      <c r="AN319" s="267"/>
      <c r="AO319" s="267"/>
      <c r="AP319" s="267"/>
    </row>
    <row r="320" spans="15:42" x14ac:dyDescent="0.2">
      <c r="O320" s="300"/>
      <c r="Q320" s="300"/>
      <c r="R320" s="300"/>
      <c r="S320" s="300"/>
      <c r="T320" s="300"/>
      <c r="U320" s="300"/>
      <c r="V320" s="300"/>
      <c r="W320" s="300"/>
      <c r="X320" s="300"/>
      <c r="Y320" s="300"/>
      <c r="Z320" s="300"/>
      <c r="AL320" s="267"/>
      <c r="AM320" s="267"/>
      <c r="AN320" s="267"/>
      <c r="AO320" s="267"/>
      <c r="AP320" s="267"/>
    </row>
    <row r="321" spans="15:42" x14ac:dyDescent="0.2">
      <c r="O321" s="300"/>
      <c r="Q321" s="300"/>
      <c r="R321" s="300"/>
      <c r="S321" s="300"/>
      <c r="T321" s="300"/>
      <c r="U321" s="300"/>
      <c r="V321" s="300"/>
      <c r="W321" s="300"/>
      <c r="X321" s="300"/>
      <c r="Y321" s="300"/>
      <c r="Z321" s="300"/>
      <c r="AL321" s="267"/>
      <c r="AM321" s="267"/>
      <c r="AN321" s="267"/>
      <c r="AO321" s="267"/>
      <c r="AP321" s="267"/>
    </row>
    <row r="322" spans="15:42" x14ac:dyDescent="0.2">
      <c r="O322" s="300"/>
      <c r="Q322" s="300"/>
      <c r="R322" s="300"/>
      <c r="S322" s="300"/>
      <c r="T322" s="300"/>
      <c r="U322" s="300"/>
      <c r="V322" s="300"/>
      <c r="W322" s="300"/>
      <c r="X322" s="300"/>
      <c r="Y322" s="300"/>
      <c r="Z322" s="300"/>
      <c r="AL322" s="267"/>
      <c r="AM322" s="267"/>
      <c r="AN322" s="267"/>
      <c r="AO322" s="267"/>
      <c r="AP322" s="267"/>
    </row>
    <row r="323" spans="15:42" x14ac:dyDescent="0.2">
      <c r="O323" s="300"/>
      <c r="Q323" s="300"/>
      <c r="R323" s="300"/>
      <c r="S323" s="300"/>
      <c r="T323" s="300"/>
      <c r="U323" s="300"/>
      <c r="V323" s="300"/>
      <c r="W323" s="300"/>
      <c r="X323" s="300"/>
      <c r="Y323" s="300"/>
      <c r="Z323" s="300"/>
      <c r="AL323" s="267"/>
      <c r="AM323" s="267"/>
      <c r="AN323" s="267"/>
      <c r="AO323" s="267"/>
      <c r="AP323" s="267"/>
    </row>
    <row r="324" spans="15:42" x14ac:dyDescent="0.2">
      <c r="O324" s="300"/>
      <c r="Q324" s="300"/>
      <c r="R324" s="300"/>
      <c r="S324" s="300"/>
      <c r="T324" s="300"/>
      <c r="U324" s="300"/>
      <c r="V324" s="300"/>
      <c r="W324" s="300"/>
      <c r="X324" s="300"/>
      <c r="Y324" s="300"/>
      <c r="Z324" s="300"/>
      <c r="AL324" s="267"/>
      <c r="AM324" s="267"/>
      <c r="AN324" s="267"/>
      <c r="AO324" s="267"/>
      <c r="AP324" s="267"/>
    </row>
    <row r="325" spans="15:42" x14ac:dyDescent="0.2">
      <c r="O325" s="300"/>
      <c r="Q325" s="300"/>
      <c r="R325" s="300"/>
      <c r="S325" s="300"/>
      <c r="T325" s="300"/>
      <c r="U325" s="300"/>
      <c r="V325" s="300"/>
      <c r="W325" s="300"/>
      <c r="X325" s="300"/>
      <c r="Y325" s="300"/>
      <c r="Z325" s="300"/>
      <c r="AL325" s="267"/>
      <c r="AM325" s="267"/>
      <c r="AN325" s="267"/>
      <c r="AO325" s="267"/>
      <c r="AP325" s="267"/>
    </row>
    <row r="326" spans="15:42" x14ac:dyDescent="0.2">
      <c r="O326" s="300"/>
      <c r="Q326" s="300"/>
      <c r="R326" s="300"/>
      <c r="S326" s="300"/>
      <c r="T326" s="300"/>
      <c r="U326" s="300"/>
      <c r="V326" s="300"/>
      <c r="W326" s="300"/>
      <c r="X326" s="300"/>
      <c r="Y326" s="300"/>
      <c r="Z326" s="300"/>
      <c r="AL326" s="267"/>
      <c r="AM326" s="267"/>
      <c r="AN326" s="267"/>
      <c r="AO326" s="267"/>
      <c r="AP326" s="267"/>
    </row>
    <row r="327" spans="15:42" x14ac:dyDescent="0.2">
      <c r="O327" s="300"/>
      <c r="Q327" s="300"/>
      <c r="R327" s="300"/>
      <c r="S327" s="300"/>
      <c r="T327" s="300"/>
      <c r="U327" s="300"/>
      <c r="V327" s="300"/>
      <c r="W327" s="300"/>
      <c r="X327" s="300"/>
      <c r="Y327" s="300"/>
      <c r="Z327" s="300"/>
      <c r="AL327" s="267"/>
      <c r="AM327" s="267"/>
      <c r="AN327" s="267"/>
      <c r="AO327" s="267"/>
      <c r="AP327" s="267"/>
    </row>
    <row r="328" spans="15:42" x14ac:dyDescent="0.2">
      <c r="O328" s="300"/>
      <c r="Q328" s="300"/>
      <c r="R328" s="300"/>
      <c r="S328" s="300"/>
      <c r="T328" s="300"/>
      <c r="U328" s="300"/>
      <c r="V328" s="300"/>
      <c r="W328" s="300"/>
      <c r="X328" s="300"/>
      <c r="Y328" s="300"/>
      <c r="Z328" s="300"/>
      <c r="AL328" s="267"/>
      <c r="AM328" s="267"/>
      <c r="AN328" s="267"/>
      <c r="AO328" s="267"/>
      <c r="AP328" s="267"/>
    </row>
    <row r="329" spans="15:42" x14ac:dyDescent="0.2">
      <c r="O329" s="300"/>
      <c r="Q329" s="300"/>
      <c r="R329" s="300"/>
      <c r="S329" s="300"/>
      <c r="T329" s="300"/>
      <c r="U329" s="300"/>
      <c r="V329" s="300"/>
      <c r="W329" s="300"/>
      <c r="X329" s="300"/>
      <c r="Y329" s="300"/>
      <c r="Z329" s="300"/>
      <c r="AL329" s="267"/>
      <c r="AM329" s="267"/>
      <c r="AN329" s="267"/>
      <c r="AO329" s="267"/>
      <c r="AP329" s="267"/>
    </row>
    <row r="330" spans="15:42" x14ac:dyDescent="0.2">
      <c r="O330" s="300"/>
      <c r="Q330" s="300"/>
      <c r="R330" s="300"/>
      <c r="S330" s="300"/>
      <c r="T330" s="300"/>
      <c r="U330" s="300"/>
      <c r="V330" s="300"/>
      <c r="W330" s="300"/>
      <c r="X330" s="300"/>
      <c r="Y330" s="300"/>
      <c r="Z330" s="300"/>
      <c r="AL330" s="267"/>
      <c r="AM330" s="267"/>
      <c r="AN330" s="267"/>
      <c r="AO330" s="267"/>
      <c r="AP330" s="267"/>
    </row>
    <row r="331" spans="15:42" x14ac:dyDescent="0.2">
      <c r="O331" s="300"/>
      <c r="Q331" s="300"/>
      <c r="R331" s="300"/>
      <c r="S331" s="300"/>
      <c r="T331" s="300"/>
      <c r="U331" s="300"/>
      <c r="V331" s="300"/>
      <c r="W331" s="300"/>
      <c r="X331" s="300"/>
      <c r="Y331" s="300"/>
      <c r="Z331" s="300"/>
      <c r="AL331" s="267"/>
      <c r="AM331" s="267"/>
      <c r="AN331" s="267"/>
      <c r="AO331" s="267"/>
      <c r="AP331" s="267"/>
    </row>
    <row r="332" spans="15:42" x14ac:dyDescent="0.2">
      <c r="O332" s="300"/>
      <c r="Q332" s="300"/>
      <c r="R332" s="300"/>
      <c r="S332" s="300"/>
      <c r="T332" s="300"/>
      <c r="U332" s="300"/>
      <c r="V332" s="300"/>
      <c r="W332" s="300"/>
      <c r="X332" s="300"/>
      <c r="Y332" s="300"/>
      <c r="Z332" s="300"/>
      <c r="AL332" s="267"/>
      <c r="AM332" s="267"/>
      <c r="AN332" s="267"/>
      <c r="AO332" s="267"/>
      <c r="AP332" s="267"/>
    </row>
    <row r="333" spans="15:42" x14ac:dyDescent="0.2">
      <c r="O333" s="300"/>
      <c r="Q333" s="300"/>
      <c r="R333" s="300"/>
      <c r="S333" s="300"/>
      <c r="T333" s="300"/>
      <c r="U333" s="300"/>
      <c r="V333" s="300"/>
      <c r="W333" s="300"/>
      <c r="X333" s="300"/>
      <c r="Y333" s="300"/>
      <c r="Z333" s="300"/>
      <c r="AL333" s="267"/>
      <c r="AM333" s="267"/>
      <c r="AN333" s="267"/>
      <c r="AO333" s="267"/>
      <c r="AP333" s="267"/>
    </row>
    <row r="334" spans="15:42" x14ac:dyDescent="0.2">
      <c r="O334" s="300"/>
      <c r="Q334" s="300"/>
      <c r="R334" s="300"/>
      <c r="S334" s="300"/>
      <c r="T334" s="300"/>
      <c r="U334" s="300"/>
      <c r="V334" s="300"/>
      <c r="W334" s="300"/>
      <c r="X334" s="300"/>
      <c r="Y334" s="300"/>
      <c r="Z334" s="300"/>
      <c r="AL334" s="267"/>
      <c r="AM334" s="267"/>
      <c r="AN334" s="267"/>
      <c r="AO334" s="267"/>
      <c r="AP334" s="267"/>
    </row>
    <row r="335" spans="15:42" x14ac:dyDescent="0.2">
      <c r="O335" s="300"/>
      <c r="Q335" s="300"/>
      <c r="R335" s="300"/>
      <c r="S335" s="300"/>
      <c r="T335" s="300"/>
      <c r="U335" s="300"/>
      <c r="V335" s="300"/>
      <c r="W335" s="300"/>
      <c r="X335" s="300"/>
      <c r="Y335" s="300"/>
      <c r="Z335" s="300"/>
      <c r="AL335" s="267"/>
      <c r="AM335" s="267"/>
      <c r="AN335" s="267"/>
      <c r="AO335" s="267"/>
      <c r="AP335" s="267"/>
    </row>
    <row r="336" spans="15:42" x14ac:dyDescent="0.2">
      <c r="O336" s="300"/>
      <c r="Q336" s="300"/>
      <c r="R336" s="300"/>
      <c r="S336" s="300"/>
      <c r="T336" s="300"/>
      <c r="U336" s="300"/>
      <c r="V336" s="300"/>
      <c r="W336" s="300"/>
      <c r="X336" s="300"/>
      <c r="Y336" s="300"/>
      <c r="Z336" s="300"/>
      <c r="AL336" s="267"/>
      <c r="AM336" s="267"/>
      <c r="AN336" s="267"/>
      <c r="AO336" s="267"/>
      <c r="AP336" s="267"/>
    </row>
    <row r="337" spans="15:42" x14ac:dyDescent="0.2">
      <c r="O337" s="300"/>
      <c r="Q337" s="300"/>
      <c r="R337" s="300"/>
      <c r="S337" s="300"/>
      <c r="T337" s="300"/>
      <c r="U337" s="300"/>
      <c r="V337" s="300"/>
      <c r="W337" s="300"/>
      <c r="X337" s="300"/>
      <c r="Y337" s="300"/>
      <c r="Z337" s="300"/>
      <c r="AL337" s="267"/>
      <c r="AM337" s="267"/>
      <c r="AN337" s="267"/>
      <c r="AO337" s="267"/>
      <c r="AP337" s="267"/>
    </row>
    <row r="338" spans="15:42" x14ac:dyDescent="0.2">
      <c r="O338" s="300"/>
      <c r="Q338" s="300"/>
      <c r="R338" s="300"/>
      <c r="S338" s="300"/>
      <c r="T338" s="300"/>
      <c r="U338" s="300"/>
      <c r="V338" s="300"/>
      <c r="W338" s="300"/>
      <c r="X338" s="300"/>
      <c r="Y338" s="300"/>
      <c r="Z338" s="300"/>
      <c r="AL338" s="267"/>
      <c r="AM338" s="267"/>
      <c r="AN338" s="267"/>
      <c r="AO338" s="267"/>
      <c r="AP338" s="267"/>
    </row>
    <row r="339" spans="15:42" x14ac:dyDescent="0.2">
      <c r="O339" s="300"/>
      <c r="Q339" s="300"/>
      <c r="R339" s="300"/>
      <c r="S339" s="300"/>
      <c r="T339" s="300"/>
      <c r="U339" s="300"/>
      <c r="V339" s="300"/>
      <c r="W339" s="300"/>
      <c r="X339" s="300"/>
      <c r="Y339" s="300"/>
      <c r="Z339" s="300"/>
      <c r="AL339" s="267"/>
      <c r="AM339" s="267"/>
      <c r="AN339" s="267"/>
      <c r="AO339" s="267"/>
      <c r="AP339" s="267"/>
    </row>
    <row r="340" spans="15:42" x14ac:dyDescent="0.2">
      <c r="O340" s="300"/>
      <c r="Q340" s="300"/>
      <c r="R340" s="300"/>
      <c r="S340" s="300"/>
      <c r="T340" s="300"/>
      <c r="U340" s="300"/>
      <c r="V340" s="300"/>
      <c r="W340" s="300"/>
      <c r="X340" s="300"/>
      <c r="Y340" s="300"/>
      <c r="Z340" s="300"/>
      <c r="AL340" s="267"/>
      <c r="AM340" s="267"/>
      <c r="AN340" s="267"/>
      <c r="AO340" s="267"/>
      <c r="AP340" s="267"/>
    </row>
    <row r="341" spans="15:42" x14ac:dyDescent="0.2">
      <c r="O341" s="300"/>
      <c r="Q341" s="300"/>
      <c r="R341" s="300"/>
      <c r="S341" s="300"/>
      <c r="T341" s="300"/>
      <c r="U341" s="300"/>
      <c r="V341" s="300"/>
      <c r="W341" s="300"/>
      <c r="X341" s="300"/>
      <c r="Y341" s="300"/>
      <c r="Z341" s="300"/>
      <c r="AL341" s="267"/>
      <c r="AM341" s="267"/>
      <c r="AN341" s="267"/>
      <c r="AO341" s="267"/>
      <c r="AP341" s="267"/>
    </row>
    <row r="342" spans="15:42" x14ac:dyDescent="0.2">
      <c r="O342" s="300"/>
      <c r="Q342" s="300"/>
      <c r="R342" s="300"/>
      <c r="S342" s="300"/>
      <c r="T342" s="300"/>
      <c r="U342" s="300"/>
      <c r="V342" s="300"/>
      <c r="W342" s="300"/>
      <c r="X342" s="300"/>
      <c r="Y342" s="300"/>
      <c r="Z342" s="300"/>
      <c r="AL342" s="267"/>
      <c r="AM342" s="267"/>
      <c r="AN342" s="267"/>
      <c r="AO342" s="267"/>
      <c r="AP342" s="267"/>
    </row>
    <row r="343" spans="15:42" x14ac:dyDescent="0.2">
      <c r="O343" s="300"/>
      <c r="Q343" s="300"/>
      <c r="R343" s="300"/>
      <c r="S343" s="300"/>
      <c r="T343" s="300"/>
      <c r="U343" s="300"/>
      <c r="V343" s="300"/>
      <c r="W343" s="300"/>
      <c r="X343" s="300"/>
      <c r="Y343" s="300"/>
      <c r="Z343" s="300"/>
      <c r="AL343" s="267"/>
      <c r="AM343" s="267"/>
      <c r="AN343" s="267"/>
      <c r="AO343" s="267"/>
      <c r="AP343" s="267"/>
    </row>
    <row r="344" spans="15:42" x14ac:dyDescent="0.2">
      <c r="O344" s="300"/>
      <c r="Q344" s="300"/>
      <c r="R344" s="300"/>
      <c r="S344" s="300"/>
      <c r="T344" s="300"/>
      <c r="U344" s="300"/>
      <c r="V344" s="300"/>
      <c r="W344" s="300"/>
      <c r="X344" s="300"/>
      <c r="Y344" s="300"/>
      <c r="Z344" s="300"/>
      <c r="AL344" s="267"/>
      <c r="AM344" s="267"/>
      <c r="AN344" s="267"/>
      <c r="AO344" s="267"/>
      <c r="AP344" s="267"/>
    </row>
    <row r="345" spans="15:42" x14ac:dyDescent="0.2">
      <c r="O345" s="300"/>
      <c r="Q345" s="300"/>
      <c r="R345" s="300"/>
      <c r="S345" s="300"/>
      <c r="T345" s="300"/>
      <c r="U345" s="300"/>
      <c r="V345" s="300"/>
      <c r="W345" s="300"/>
      <c r="X345" s="300"/>
      <c r="Y345" s="300"/>
      <c r="Z345" s="300"/>
      <c r="AL345" s="267"/>
      <c r="AM345" s="267"/>
      <c r="AN345" s="267"/>
      <c r="AO345" s="267"/>
      <c r="AP345" s="267"/>
    </row>
    <row r="346" spans="15:42" x14ac:dyDescent="0.2">
      <c r="O346" s="300"/>
      <c r="Q346" s="300"/>
      <c r="R346" s="300"/>
      <c r="S346" s="300"/>
      <c r="T346" s="300"/>
      <c r="U346" s="300"/>
      <c r="V346" s="300"/>
      <c r="W346" s="300"/>
      <c r="X346" s="300"/>
      <c r="Y346" s="300"/>
      <c r="Z346" s="300"/>
      <c r="AL346" s="267"/>
      <c r="AM346" s="267"/>
      <c r="AN346" s="267"/>
      <c r="AO346" s="267"/>
      <c r="AP346" s="267"/>
    </row>
    <row r="347" spans="15:42" x14ac:dyDescent="0.2">
      <c r="O347" s="300"/>
      <c r="Q347" s="300"/>
      <c r="R347" s="300"/>
      <c r="S347" s="300"/>
      <c r="T347" s="300"/>
      <c r="U347" s="300"/>
      <c r="V347" s="300"/>
      <c r="W347" s="300"/>
      <c r="X347" s="300"/>
      <c r="Y347" s="300"/>
      <c r="Z347" s="300"/>
      <c r="AL347" s="267"/>
      <c r="AM347" s="267"/>
      <c r="AN347" s="267"/>
      <c r="AO347" s="267"/>
      <c r="AP347" s="267"/>
    </row>
    <row r="348" spans="15:42" x14ac:dyDescent="0.2">
      <c r="O348" s="300"/>
      <c r="Q348" s="300"/>
      <c r="R348" s="300"/>
      <c r="S348" s="300"/>
      <c r="T348" s="300"/>
      <c r="U348" s="300"/>
      <c r="V348" s="300"/>
      <c r="W348" s="300"/>
      <c r="X348" s="300"/>
      <c r="Y348" s="300"/>
      <c r="Z348" s="300"/>
      <c r="AL348" s="267"/>
      <c r="AM348" s="267"/>
      <c r="AN348" s="267"/>
      <c r="AO348" s="267"/>
      <c r="AP348" s="267"/>
    </row>
    <row r="349" spans="15:42" x14ac:dyDescent="0.2">
      <c r="O349" s="300"/>
      <c r="Q349" s="300"/>
      <c r="R349" s="300"/>
      <c r="S349" s="300"/>
      <c r="T349" s="300"/>
      <c r="U349" s="300"/>
      <c r="V349" s="300"/>
      <c r="W349" s="300"/>
      <c r="X349" s="300"/>
      <c r="Y349" s="300"/>
      <c r="Z349" s="300"/>
      <c r="AL349" s="267"/>
      <c r="AM349" s="267"/>
      <c r="AN349" s="267"/>
      <c r="AO349" s="267"/>
      <c r="AP349" s="267"/>
    </row>
    <row r="350" spans="15:42" x14ac:dyDescent="0.2">
      <c r="O350" s="300"/>
      <c r="Q350" s="300"/>
      <c r="R350" s="300"/>
      <c r="S350" s="300"/>
      <c r="T350" s="300"/>
      <c r="U350" s="300"/>
      <c r="V350" s="300"/>
      <c r="W350" s="300"/>
      <c r="X350" s="300"/>
      <c r="Y350" s="300"/>
      <c r="Z350" s="300"/>
      <c r="AL350" s="267"/>
      <c r="AM350" s="267"/>
      <c r="AN350" s="267"/>
      <c r="AO350" s="267"/>
      <c r="AP350" s="267"/>
    </row>
    <row r="351" spans="15:42" x14ac:dyDescent="0.2">
      <c r="O351" s="300"/>
      <c r="Q351" s="300"/>
      <c r="R351" s="300"/>
      <c r="S351" s="300"/>
      <c r="T351" s="300"/>
      <c r="U351" s="300"/>
      <c r="V351" s="300"/>
      <c r="W351" s="300"/>
      <c r="X351" s="300"/>
      <c r="Y351" s="300"/>
      <c r="Z351" s="300"/>
      <c r="AL351" s="267"/>
      <c r="AM351" s="267"/>
      <c r="AN351" s="267"/>
      <c r="AO351" s="267"/>
      <c r="AP351" s="267"/>
    </row>
    <row r="352" spans="15:42" x14ac:dyDescent="0.2">
      <c r="O352" s="300"/>
      <c r="Q352" s="300"/>
      <c r="R352" s="300"/>
      <c r="S352" s="300"/>
      <c r="T352" s="300"/>
      <c r="U352" s="300"/>
      <c r="V352" s="300"/>
      <c r="W352" s="300"/>
      <c r="X352" s="300"/>
      <c r="Y352" s="300"/>
      <c r="Z352" s="300"/>
      <c r="AL352" s="267"/>
      <c r="AM352" s="267"/>
      <c r="AN352" s="267"/>
      <c r="AO352" s="267"/>
      <c r="AP352" s="267"/>
    </row>
    <row r="353" spans="1:42" x14ac:dyDescent="0.2">
      <c r="A353" s="249"/>
      <c r="O353" s="300"/>
      <c r="Q353" s="300"/>
      <c r="R353" s="300"/>
      <c r="S353" s="300"/>
      <c r="T353" s="300"/>
      <c r="U353" s="300"/>
      <c r="V353" s="300"/>
      <c r="W353" s="300"/>
      <c r="X353" s="300"/>
      <c r="Y353" s="300"/>
      <c r="Z353" s="300"/>
      <c r="AL353" s="267"/>
      <c r="AM353" s="267"/>
      <c r="AN353" s="267"/>
      <c r="AO353" s="267"/>
      <c r="AP353" s="267"/>
    </row>
    <row r="354" spans="1:42" x14ac:dyDescent="0.2">
      <c r="A354" s="249"/>
      <c r="O354" s="300"/>
      <c r="Q354" s="300"/>
      <c r="R354" s="300"/>
      <c r="S354" s="300"/>
      <c r="T354" s="300"/>
      <c r="U354" s="300"/>
      <c r="V354" s="300"/>
      <c r="W354" s="300"/>
      <c r="X354" s="300"/>
      <c r="Y354" s="300"/>
      <c r="Z354" s="300"/>
      <c r="AL354" s="267"/>
      <c r="AM354" s="267"/>
      <c r="AN354" s="267"/>
      <c r="AO354" s="267"/>
      <c r="AP354" s="267"/>
    </row>
    <row r="355" spans="1:42" x14ac:dyDescent="0.2">
      <c r="A355" s="249"/>
      <c r="O355" s="300"/>
      <c r="Q355" s="300"/>
      <c r="R355" s="300"/>
      <c r="S355" s="300"/>
      <c r="T355" s="300"/>
      <c r="U355" s="300"/>
      <c r="V355" s="300"/>
      <c r="W355" s="300"/>
      <c r="X355" s="300"/>
      <c r="Y355" s="300"/>
      <c r="Z355" s="300"/>
      <c r="AL355" s="267"/>
      <c r="AM355" s="267"/>
      <c r="AN355" s="267"/>
      <c r="AO355" s="267"/>
      <c r="AP355" s="267"/>
    </row>
    <row r="356" spans="1:42" x14ac:dyDescent="0.2">
      <c r="A356" s="249"/>
      <c r="O356" s="300"/>
      <c r="Q356" s="300"/>
      <c r="R356" s="300"/>
      <c r="S356" s="300"/>
      <c r="T356" s="300"/>
      <c r="U356" s="300"/>
      <c r="V356" s="300"/>
      <c r="W356" s="300"/>
      <c r="X356" s="300"/>
      <c r="Y356" s="300"/>
      <c r="Z356" s="300"/>
      <c r="AL356" s="267"/>
      <c r="AM356" s="267"/>
      <c r="AN356" s="267"/>
      <c r="AO356" s="267"/>
      <c r="AP356" s="267"/>
    </row>
    <row r="357" spans="1:42" x14ac:dyDescent="0.2">
      <c r="A357" s="249"/>
      <c r="O357" s="300"/>
      <c r="Q357" s="300"/>
      <c r="R357" s="300"/>
      <c r="S357" s="300"/>
      <c r="T357" s="300"/>
      <c r="U357" s="300"/>
      <c r="V357" s="300"/>
      <c r="W357" s="300"/>
      <c r="X357" s="300"/>
      <c r="Y357" s="300"/>
      <c r="Z357" s="300"/>
      <c r="AL357" s="267"/>
      <c r="AM357" s="267"/>
      <c r="AN357" s="267"/>
      <c r="AO357" s="267"/>
      <c r="AP357" s="267"/>
    </row>
    <row r="358" spans="1:42" x14ac:dyDescent="0.2">
      <c r="A358" s="249"/>
      <c r="O358" s="300"/>
      <c r="Q358" s="300"/>
      <c r="R358" s="300"/>
      <c r="S358" s="300"/>
      <c r="T358" s="300"/>
      <c r="U358" s="300"/>
      <c r="V358" s="300"/>
      <c r="W358" s="300"/>
      <c r="X358" s="300"/>
      <c r="Y358" s="300"/>
      <c r="Z358" s="300"/>
      <c r="AL358" s="267"/>
      <c r="AM358" s="267"/>
      <c r="AN358" s="267"/>
      <c r="AO358" s="267"/>
      <c r="AP358" s="267"/>
    </row>
    <row r="359" spans="1:42" x14ac:dyDescent="0.2">
      <c r="A359" s="249"/>
      <c r="O359" s="300"/>
      <c r="Q359" s="300"/>
      <c r="R359" s="300"/>
      <c r="S359" s="300"/>
      <c r="T359" s="300"/>
      <c r="U359" s="300"/>
      <c r="V359" s="300"/>
      <c r="W359" s="300"/>
      <c r="X359" s="300"/>
      <c r="Y359" s="300"/>
      <c r="Z359" s="300"/>
      <c r="AL359" s="267"/>
      <c r="AM359" s="267"/>
      <c r="AN359" s="267"/>
      <c r="AO359" s="267"/>
      <c r="AP359" s="267"/>
    </row>
    <row r="360" spans="1:42" x14ac:dyDescent="0.2">
      <c r="A360" s="249"/>
      <c r="O360" s="300"/>
      <c r="Q360" s="300"/>
      <c r="R360" s="300"/>
      <c r="S360" s="300"/>
      <c r="T360" s="300"/>
      <c r="U360" s="300"/>
      <c r="V360" s="300"/>
      <c r="W360" s="300"/>
      <c r="X360" s="300"/>
      <c r="Y360" s="300"/>
      <c r="Z360" s="300"/>
      <c r="AL360" s="267"/>
      <c r="AM360" s="267"/>
      <c r="AN360" s="267"/>
      <c r="AO360" s="267"/>
      <c r="AP360" s="267"/>
    </row>
    <row r="361" spans="1:42" x14ac:dyDescent="0.2">
      <c r="O361" s="300"/>
      <c r="Q361" s="300"/>
      <c r="R361" s="300"/>
      <c r="S361" s="300"/>
      <c r="T361" s="300"/>
      <c r="U361" s="300"/>
      <c r="V361" s="300"/>
      <c r="W361" s="300"/>
      <c r="X361" s="300"/>
      <c r="Y361" s="300"/>
      <c r="Z361" s="300"/>
      <c r="AL361" s="267"/>
      <c r="AM361" s="267"/>
      <c r="AN361" s="267"/>
      <c r="AO361" s="267"/>
      <c r="AP361" s="267"/>
    </row>
    <row r="362" spans="1:42" x14ac:dyDescent="0.2">
      <c r="O362" s="300"/>
      <c r="Q362" s="300"/>
      <c r="R362" s="300"/>
      <c r="S362" s="300"/>
      <c r="T362" s="300"/>
      <c r="U362" s="300"/>
      <c r="V362" s="300"/>
      <c r="W362" s="300"/>
      <c r="X362" s="300"/>
      <c r="Y362" s="300"/>
      <c r="Z362" s="300"/>
      <c r="AL362" s="267"/>
      <c r="AM362" s="267"/>
      <c r="AN362" s="267"/>
      <c r="AO362" s="267"/>
      <c r="AP362" s="267"/>
    </row>
    <row r="363" spans="1:42" x14ac:dyDescent="0.2">
      <c r="O363" s="300"/>
      <c r="Q363" s="300"/>
      <c r="R363" s="300"/>
      <c r="S363" s="300"/>
      <c r="T363" s="300"/>
      <c r="U363" s="300"/>
      <c r="V363" s="300"/>
      <c r="W363" s="300"/>
      <c r="X363" s="300"/>
      <c r="Y363" s="300"/>
      <c r="Z363" s="300"/>
      <c r="AL363" s="267"/>
      <c r="AM363" s="267"/>
      <c r="AN363" s="267"/>
      <c r="AO363" s="267"/>
      <c r="AP363" s="267"/>
    </row>
    <row r="364" spans="1:42" x14ac:dyDescent="0.2">
      <c r="O364" s="300"/>
      <c r="Q364" s="300"/>
      <c r="R364" s="300"/>
      <c r="S364" s="300"/>
      <c r="T364" s="300"/>
      <c r="U364" s="300"/>
      <c r="V364" s="300"/>
      <c r="W364" s="300"/>
      <c r="X364" s="300"/>
      <c r="Y364" s="300"/>
      <c r="Z364" s="300"/>
      <c r="AL364" s="267"/>
      <c r="AM364" s="267"/>
      <c r="AN364" s="267"/>
      <c r="AO364" s="267"/>
      <c r="AP364" s="267"/>
    </row>
    <row r="365" spans="1:42" x14ac:dyDescent="0.2">
      <c r="O365" s="300"/>
      <c r="Q365" s="300"/>
      <c r="R365" s="300"/>
      <c r="S365" s="300"/>
      <c r="T365" s="300"/>
      <c r="U365" s="300"/>
      <c r="V365" s="300"/>
      <c r="W365" s="300"/>
      <c r="X365" s="300"/>
      <c r="Y365" s="300"/>
      <c r="Z365" s="300"/>
      <c r="AL365" s="267"/>
      <c r="AM365" s="267"/>
      <c r="AN365" s="267"/>
      <c r="AO365" s="267"/>
      <c r="AP365" s="267"/>
    </row>
    <row r="366" spans="1:42" x14ac:dyDescent="0.2">
      <c r="O366" s="300"/>
      <c r="Q366" s="300"/>
      <c r="R366" s="300"/>
      <c r="S366" s="300"/>
      <c r="T366" s="300"/>
      <c r="U366" s="300"/>
      <c r="V366" s="300"/>
      <c r="W366" s="300"/>
      <c r="X366" s="300"/>
      <c r="Y366" s="300"/>
      <c r="Z366" s="300"/>
      <c r="AL366" s="267"/>
      <c r="AM366" s="267"/>
      <c r="AN366" s="267"/>
      <c r="AO366" s="267"/>
      <c r="AP366" s="267"/>
    </row>
    <row r="367" spans="1:42" x14ac:dyDescent="0.2">
      <c r="O367" s="300"/>
      <c r="Q367" s="300"/>
      <c r="R367" s="300"/>
      <c r="S367" s="300"/>
      <c r="T367" s="300"/>
      <c r="U367" s="300"/>
      <c r="V367" s="300"/>
      <c r="W367" s="300"/>
      <c r="X367" s="300"/>
      <c r="Y367" s="300"/>
      <c r="Z367" s="300"/>
      <c r="AL367" s="267"/>
      <c r="AM367" s="267"/>
      <c r="AN367" s="267"/>
      <c r="AO367" s="267"/>
      <c r="AP367" s="267"/>
    </row>
    <row r="368" spans="1:42" x14ac:dyDescent="0.2">
      <c r="O368" s="300"/>
      <c r="Q368" s="300"/>
      <c r="R368" s="300"/>
      <c r="S368" s="300"/>
      <c r="T368" s="300"/>
      <c r="U368" s="300"/>
      <c r="V368" s="300"/>
      <c r="W368" s="300"/>
      <c r="X368" s="300"/>
      <c r="Y368" s="300"/>
      <c r="Z368" s="300"/>
      <c r="AL368" s="267"/>
      <c r="AM368" s="267"/>
      <c r="AN368" s="267"/>
      <c r="AO368" s="267"/>
      <c r="AP368" s="267"/>
    </row>
    <row r="369" spans="15:42" x14ac:dyDescent="0.2">
      <c r="O369" s="300"/>
      <c r="Q369" s="300"/>
      <c r="R369" s="300"/>
      <c r="S369" s="300"/>
      <c r="T369" s="300"/>
      <c r="U369" s="300"/>
      <c r="V369" s="300"/>
      <c r="W369" s="300"/>
      <c r="X369" s="300"/>
      <c r="Y369" s="300"/>
      <c r="Z369" s="300"/>
      <c r="AL369" s="267"/>
      <c r="AM369" s="267"/>
      <c r="AN369" s="267"/>
      <c r="AO369" s="267"/>
      <c r="AP369" s="267"/>
    </row>
    <row r="370" spans="15:42" x14ac:dyDescent="0.2">
      <c r="O370" s="300"/>
      <c r="Q370" s="300"/>
      <c r="R370" s="300"/>
      <c r="S370" s="300"/>
      <c r="T370" s="300"/>
      <c r="U370" s="300"/>
      <c r="V370" s="300"/>
      <c r="W370" s="300"/>
      <c r="X370" s="300"/>
      <c r="Y370" s="300"/>
      <c r="Z370" s="300"/>
      <c r="AL370" s="267"/>
      <c r="AM370" s="267"/>
      <c r="AN370" s="267"/>
      <c r="AO370" s="267"/>
      <c r="AP370" s="267"/>
    </row>
    <row r="371" spans="15:42" x14ac:dyDescent="0.2">
      <c r="O371" s="300"/>
      <c r="Q371" s="300"/>
      <c r="R371" s="300"/>
      <c r="S371" s="300"/>
      <c r="T371" s="300"/>
      <c r="U371" s="300"/>
      <c r="V371" s="300"/>
      <c r="W371" s="300"/>
      <c r="X371" s="300"/>
      <c r="Y371" s="300"/>
      <c r="Z371" s="300"/>
      <c r="AL371" s="267"/>
      <c r="AM371" s="267"/>
      <c r="AN371" s="267"/>
      <c r="AO371" s="267"/>
      <c r="AP371" s="267"/>
    </row>
    <row r="372" spans="15:42" x14ac:dyDescent="0.2">
      <c r="O372" s="300"/>
      <c r="Q372" s="300"/>
      <c r="R372" s="300"/>
      <c r="S372" s="300"/>
      <c r="T372" s="300"/>
      <c r="U372" s="300"/>
      <c r="V372" s="300"/>
      <c r="W372" s="300"/>
      <c r="X372" s="300"/>
      <c r="Y372" s="300"/>
      <c r="Z372" s="300"/>
      <c r="AL372" s="267"/>
      <c r="AM372" s="267"/>
      <c r="AN372" s="267"/>
      <c r="AO372" s="267"/>
      <c r="AP372" s="267"/>
    </row>
    <row r="373" spans="15:42" x14ac:dyDescent="0.2">
      <c r="O373" s="300"/>
      <c r="Q373" s="300"/>
      <c r="R373" s="300"/>
      <c r="S373" s="300"/>
      <c r="T373" s="300"/>
      <c r="U373" s="300"/>
      <c r="V373" s="300"/>
      <c r="W373" s="300"/>
      <c r="X373" s="300"/>
      <c r="Y373" s="300"/>
      <c r="Z373" s="300"/>
      <c r="AL373" s="267"/>
      <c r="AM373" s="267"/>
      <c r="AN373" s="267"/>
      <c r="AO373" s="267"/>
      <c r="AP373" s="267"/>
    </row>
    <row r="374" spans="15:42" x14ac:dyDescent="0.2">
      <c r="O374" s="300"/>
      <c r="Q374" s="300"/>
      <c r="R374" s="300"/>
      <c r="S374" s="300"/>
      <c r="T374" s="300"/>
      <c r="U374" s="300"/>
      <c r="V374" s="300"/>
      <c r="W374" s="300"/>
      <c r="X374" s="300"/>
      <c r="Y374" s="300"/>
      <c r="Z374" s="300"/>
      <c r="AL374" s="267"/>
      <c r="AM374" s="267"/>
      <c r="AN374" s="267"/>
      <c r="AO374" s="267"/>
      <c r="AP374" s="267"/>
    </row>
    <row r="375" spans="15:42" x14ac:dyDescent="0.2">
      <c r="O375" s="300"/>
      <c r="Q375" s="300"/>
      <c r="R375" s="300"/>
      <c r="S375" s="300"/>
      <c r="T375" s="300"/>
      <c r="U375" s="300"/>
      <c r="V375" s="300"/>
      <c r="W375" s="300"/>
      <c r="X375" s="300"/>
      <c r="Y375" s="300"/>
      <c r="Z375" s="300"/>
      <c r="AL375" s="267"/>
      <c r="AM375" s="267"/>
      <c r="AN375" s="267"/>
      <c r="AO375" s="267"/>
      <c r="AP375" s="267"/>
    </row>
    <row r="376" spans="15:42" x14ac:dyDescent="0.2">
      <c r="O376" s="300"/>
      <c r="Q376" s="300"/>
      <c r="R376" s="300"/>
      <c r="S376" s="300"/>
      <c r="T376" s="300"/>
      <c r="U376" s="300"/>
      <c r="V376" s="300"/>
      <c r="W376" s="300"/>
      <c r="X376" s="300"/>
      <c r="Y376" s="300"/>
      <c r="Z376" s="300"/>
      <c r="AL376" s="267"/>
      <c r="AM376" s="267"/>
      <c r="AN376" s="267"/>
      <c r="AO376" s="267"/>
      <c r="AP376" s="267"/>
    </row>
    <row r="377" spans="15:42" x14ac:dyDescent="0.2">
      <c r="O377" s="300"/>
      <c r="Q377" s="300"/>
      <c r="R377" s="300"/>
      <c r="S377" s="300"/>
      <c r="T377" s="300"/>
      <c r="U377" s="300"/>
      <c r="V377" s="300"/>
      <c r="W377" s="300"/>
      <c r="X377" s="300"/>
      <c r="Y377" s="300"/>
      <c r="Z377" s="300"/>
      <c r="AL377" s="267"/>
      <c r="AM377" s="267"/>
      <c r="AN377" s="267"/>
      <c r="AO377" s="267"/>
      <c r="AP377" s="267"/>
    </row>
    <row r="378" spans="15:42" x14ac:dyDescent="0.2">
      <c r="O378" s="300"/>
      <c r="Q378" s="300"/>
      <c r="R378" s="300"/>
      <c r="S378" s="300"/>
      <c r="T378" s="300"/>
      <c r="U378" s="300"/>
      <c r="V378" s="300"/>
      <c r="W378" s="300"/>
      <c r="X378" s="300"/>
      <c r="Y378" s="300"/>
      <c r="Z378" s="300"/>
      <c r="AL378" s="267"/>
      <c r="AM378" s="267"/>
      <c r="AN378" s="267"/>
      <c r="AO378" s="267"/>
      <c r="AP378" s="267"/>
    </row>
    <row r="379" spans="15:42" x14ac:dyDescent="0.2">
      <c r="O379" s="300"/>
      <c r="Q379" s="300"/>
      <c r="R379" s="300"/>
      <c r="S379" s="300"/>
      <c r="T379" s="300"/>
      <c r="U379" s="300"/>
      <c r="V379" s="300"/>
      <c r="W379" s="300"/>
      <c r="X379" s="300"/>
      <c r="Y379" s="300"/>
      <c r="Z379" s="300"/>
      <c r="AL379" s="267"/>
      <c r="AM379" s="267"/>
      <c r="AN379" s="267"/>
      <c r="AO379" s="267"/>
      <c r="AP379" s="267"/>
    </row>
    <row r="380" spans="15:42" x14ac:dyDescent="0.2">
      <c r="O380" s="300"/>
      <c r="Q380" s="300"/>
      <c r="R380" s="300"/>
      <c r="S380" s="300"/>
      <c r="T380" s="300"/>
      <c r="U380" s="300"/>
      <c r="V380" s="300"/>
      <c r="W380" s="300"/>
      <c r="X380" s="300"/>
      <c r="Y380" s="300"/>
      <c r="Z380" s="300"/>
      <c r="AL380" s="267"/>
      <c r="AM380" s="267"/>
      <c r="AN380" s="267"/>
      <c r="AO380" s="267"/>
      <c r="AP380" s="267"/>
    </row>
    <row r="381" spans="15:42" x14ac:dyDescent="0.2">
      <c r="O381" s="300"/>
      <c r="Q381" s="300"/>
      <c r="R381" s="300"/>
      <c r="S381" s="300"/>
      <c r="T381" s="300"/>
      <c r="U381" s="300"/>
      <c r="V381" s="300"/>
      <c r="W381" s="300"/>
      <c r="X381" s="300"/>
      <c r="Y381" s="300"/>
      <c r="Z381" s="300"/>
      <c r="AL381" s="267"/>
      <c r="AM381" s="267"/>
      <c r="AN381" s="267"/>
      <c r="AO381" s="267"/>
      <c r="AP381" s="267"/>
    </row>
    <row r="382" spans="15:42" x14ac:dyDescent="0.2">
      <c r="O382" s="300"/>
      <c r="Q382" s="300"/>
      <c r="R382" s="300"/>
      <c r="S382" s="300"/>
      <c r="T382" s="300"/>
      <c r="U382" s="300"/>
      <c r="V382" s="300"/>
      <c r="W382" s="300"/>
      <c r="X382" s="300"/>
      <c r="Y382" s="300"/>
      <c r="Z382" s="300"/>
      <c r="AL382" s="267"/>
      <c r="AM382" s="267"/>
      <c r="AN382" s="267"/>
      <c r="AO382" s="267"/>
      <c r="AP382" s="267"/>
    </row>
    <row r="383" spans="15:42" x14ac:dyDescent="0.2">
      <c r="O383" s="300"/>
      <c r="Q383" s="300"/>
      <c r="R383" s="300"/>
      <c r="S383" s="300"/>
      <c r="T383" s="300"/>
      <c r="U383" s="300"/>
      <c r="V383" s="300"/>
      <c r="W383" s="300"/>
      <c r="X383" s="300"/>
      <c r="Y383" s="300"/>
      <c r="Z383" s="300"/>
      <c r="AL383" s="267"/>
      <c r="AM383" s="267"/>
      <c r="AN383" s="267"/>
      <c r="AO383" s="267"/>
      <c r="AP383" s="267"/>
    </row>
    <row r="384" spans="15:42" x14ac:dyDescent="0.2">
      <c r="O384" s="300"/>
      <c r="Q384" s="300"/>
      <c r="R384" s="300"/>
      <c r="S384" s="300"/>
      <c r="T384" s="300"/>
      <c r="U384" s="300"/>
      <c r="V384" s="300"/>
      <c r="W384" s="300"/>
      <c r="X384" s="300"/>
      <c r="Y384" s="300"/>
      <c r="Z384" s="300"/>
      <c r="AL384" s="267"/>
      <c r="AM384" s="267"/>
      <c r="AN384" s="267"/>
      <c r="AO384" s="267"/>
      <c r="AP384" s="267"/>
    </row>
    <row r="385" spans="15:42" x14ac:dyDescent="0.2">
      <c r="O385" s="300"/>
      <c r="Q385" s="300"/>
      <c r="R385" s="300"/>
      <c r="S385" s="300"/>
      <c r="T385" s="300"/>
      <c r="U385" s="300"/>
      <c r="V385" s="300"/>
      <c r="W385" s="300"/>
      <c r="X385" s="300"/>
      <c r="Y385" s="300"/>
      <c r="Z385" s="300"/>
      <c r="AL385" s="267"/>
      <c r="AM385" s="267"/>
      <c r="AN385" s="267"/>
      <c r="AO385" s="267"/>
      <c r="AP385" s="267"/>
    </row>
    <row r="386" spans="15:42" x14ac:dyDescent="0.2">
      <c r="O386" s="300"/>
      <c r="Q386" s="300"/>
      <c r="R386" s="300"/>
      <c r="S386" s="300"/>
      <c r="T386" s="300"/>
      <c r="U386" s="300"/>
      <c r="V386" s="300"/>
      <c r="W386" s="300"/>
      <c r="X386" s="300"/>
      <c r="Y386" s="300"/>
      <c r="Z386" s="300"/>
      <c r="AL386" s="267"/>
      <c r="AM386" s="267"/>
      <c r="AN386" s="267"/>
      <c r="AO386" s="267"/>
      <c r="AP386" s="267"/>
    </row>
    <row r="387" spans="15:42" x14ac:dyDescent="0.2">
      <c r="O387" s="300"/>
      <c r="Q387" s="300"/>
      <c r="R387" s="300"/>
      <c r="S387" s="300"/>
      <c r="T387" s="300"/>
      <c r="U387" s="300"/>
      <c r="V387" s="300"/>
      <c r="W387" s="300"/>
      <c r="X387" s="300"/>
      <c r="Y387" s="300"/>
      <c r="Z387" s="300"/>
      <c r="AL387" s="267"/>
      <c r="AM387" s="267"/>
      <c r="AN387" s="267"/>
      <c r="AO387" s="267"/>
      <c r="AP387" s="267"/>
    </row>
    <row r="388" spans="15:42" x14ac:dyDescent="0.2">
      <c r="O388" s="300"/>
      <c r="Q388" s="300"/>
      <c r="R388" s="300"/>
      <c r="S388" s="300"/>
      <c r="T388" s="300"/>
      <c r="U388" s="300"/>
      <c r="V388" s="300"/>
      <c r="W388" s="300"/>
      <c r="X388" s="300"/>
      <c r="Y388" s="300"/>
      <c r="Z388" s="300"/>
      <c r="AL388" s="267"/>
      <c r="AM388" s="267"/>
      <c r="AN388" s="267"/>
      <c r="AO388" s="267"/>
      <c r="AP388" s="267"/>
    </row>
    <row r="389" spans="15:42" x14ac:dyDescent="0.2">
      <c r="O389" s="300"/>
      <c r="Q389" s="300"/>
      <c r="R389" s="300"/>
      <c r="S389" s="300"/>
      <c r="T389" s="300"/>
      <c r="U389" s="300"/>
      <c r="V389" s="300"/>
      <c r="W389" s="300"/>
      <c r="X389" s="300"/>
      <c r="Y389" s="300"/>
      <c r="Z389" s="300"/>
      <c r="AL389" s="267"/>
      <c r="AM389" s="267"/>
      <c r="AN389" s="267"/>
      <c r="AO389" s="267"/>
      <c r="AP389" s="267"/>
    </row>
    <row r="390" spans="15:42" x14ac:dyDescent="0.2">
      <c r="O390" s="300"/>
      <c r="Q390" s="300"/>
      <c r="R390" s="300"/>
      <c r="S390" s="300"/>
      <c r="T390" s="300"/>
      <c r="U390" s="300"/>
      <c r="V390" s="300"/>
      <c r="W390" s="300"/>
      <c r="X390" s="300"/>
      <c r="Y390" s="300"/>
      <c r="Z390" s="300"/>
      <c r="AL390" s="267"/>
      <c r="AM390" s="267"/>
      <c r="AN390" s="267"/>
      <c r="AO390" s="267"/>
      <c r="AP390" s="267"/>
    </row>
    <row r="391" spans="15:42" x14ac:dyDescent="0.2">
      <c r="O391" s="300"/>
      <c r="Q391" s="300"/>
      <c r="R391" s="300"/>
      <c r="S391" s="300"/>
      <c r="T391" s="300"/>
      <c r="U391" s="300"/>
      <c r="V391" s="300"/>
      <c r="W391" s="300"/>
      <c r="X391" s="300"/>
      <c r="Y391" s="300"/>
      <c r="Z391" s="300"/>
      <c r="AL391" s="267"/>
      <c r="AM391" s="267"/>
      <c r="AN391" s="267"/>
      <c r="AO391" s="267"/>
      <c r="AP391" s="267"/>
    </row>
    <row r="392" spans="15:42" x14ac:dyDescent="0.2">
      <c r="O392" s="300"/>
      <c r="Q392" s="300"/>
      <c r="R392" s="300"/>
      <c r="S392" s="300"/>
      <c r="T392" s="300"/>
      <c r="U392" s="300"/>
      <c r="V392" s="300"/>
      <c r="W392" s="300"/>
      <c r="X392" s="300"/>
      <c r="Y392" s="300"/>
      <c r="Z392" s="300"/>
      <c r="AL392" s="267"/>
      <c r="AM392" s="267"/>
      <c r="AN392" s="267"/>
      <c r="AO392" s="267"/>
      <c r="AP392" s="267"/>
    </row>
    <row r="393" spans="15:42" x14ac:dyDescent="0.2">
      <c r="O393" s="300"/>
      <c r="Q393" s="300"/>
      <c r="R393" s="300"/>
      <c r="S393" s="300"/>
      <c r="T393" s="300"/>
      <c r="U393" s="300"/>
      <c r="V393" s="300"/>
      <c r="W393" s="300"/>
      <c r="X393" s="300"/>
      <c r="Y393" s="300"/>
      <c r="Z393" s="300"/>
      <c r="AL393" s="267"/>
      <c r="AM393" s="267"/>
      <c r="AN393" s="267"/>
      <c r="AO393" s="267"/>
      <c r="AP393" s="267"/>
    </row>
    <row r="394" spans="15:42" x14ac:dyDescent="0.2">
      <c r="O394" s="300"/>
      <c r="Q394" s="300"/>
      <c r="R394" s="300"/>
      <c r="S394" s="300"/>
      <c r="T394" s="300"/>
      <c r="U394" s="300"/>
      <c r="V394" s="300"/>
      <c r="W394" s="300"/>
      <c r="X394" s="300"/>
      <c r="Y394" s="300"/>
      <c r="Z394" s="300"/>
      <c r="AL394" s="267"/>
      <c r="AM394" s="267"/>
      <c r="AN394" s="267"/>
      <c r="AO394" s="267"/>
      <c r="AP394" s="267"/>
    </row>
    <row r="395" spans="15:42" x14ac:dyDescent="0.2">
      <c r="O395" s="300"/>
      <c r="Q395" s="300"/>
      <c r="R395" s="300"/>
      <c r="S395" s="300"/>
      <c r="T395" s="300"/>
      <c r="U395" s="300"/>
      <c r="V395" s="300"/>
      <c r="W395" s="300"/>
      <c r="X395" s="300"/>
      <c r="Y395" s="300"/>
      <c r="Z395" s="300"/>
      <c r="AL395" s="267"/>
      <c r="AM395" s="267"/>
      <c r="AN395" s="267"/>
      <c r="AO395" s="267"/>
      <c r="AP395" s="267"/>
    </row>
    <row r="396" spans="15:42" x14ac:dyDescent="0.2">
      <c r="O396" s="300"/>
      <c r="Q396" s="300"/>
      <c r="R396" s="300"/>
      <c r="S396" s="300"/>
      <c r="T396" s="300"/>
      <c r="U396" s="300"/>
      <c r="V396" s="300"/>
      <c r="W396" s="300"/>
      <c r="X396" s="300"/>
      <c r="Y396" s="300"/>
      <c r="Z396" s="300"/>
      <c r="AL396" s="267"/>
      <c r="AM396" s="267"/>
      <c r="AN396" s="267"/>
      <c r="AO396" s="267"/>
      <c r="AP396" s="267"/>
    </row>
    <row r="397" spans="15:42" x14ac:dyDescent="0.2">
      <c r="O397" s="300"/>
      <c r="Q397" s="300"/>
      <c r="R397" s="300"/>
      <c r="S397" s="300"/>
      <c r="T397" s="300"/>
      <c r="U397" s="300"/>
      <c r="V397" s="300"/>
      <c r="W397" s="300"/>
      <c r="X397" s="300"/>
      <c r="Y397" s="300"/>
      <c r="Z397" s="300"/>
      <c r="AL397" s="267"/>
      <c r="AM397" s="267"/>
      <c r="AN397" s="267"/>
      <c r="AO397" s="267"/>
      <c r="AP397" s="267"/>
    </row>
    <row r="398" spans="15:42" x14ac:dyDescent="0.2">
      <c r="O398" s="300"/>
      <c r="Q398" s="300"/>
      <c r="R398" s="300"/>
      <c r="S398" s="300"/>
      <c r="T398" s="300"/>
      <c r="U398" s="300"/>
      <c r="V398" s="300"/>
      <c r="W398" s="300"/>
      <c r="X398" s="300"/>
      <c r="Y398" s="300"/>
      <c r="Z398" s="300"/>
      <c r="AL398" s="267"/>
      <c r="AM398" s="267"/>
      <c r="AN398" s="267"/>
      <c r="AO398" s="267"/>
      <c r="AP398" s="267"/>
    </row>
    <row r="399" spans="15:42" x14ac:dyDescent="0.2">
      <c r="O399" s="300"/>
      <c r="Q399" s="300"/>
      <c r="R399" s="300"/>
      <c r="S399" s="300"/>
      <c r="T399" s="300"/>
      <c r="U399" s="300"/>
      <c r="V399" s="300"/>
      <c r="W399" s="300"/>
      <c r="X399" s="300"/>
      <c r="Y399" s="300"/>
      <c r="Z399" s="300"/>
      <c r="AL399" s="267"/>
      <c r="AM399" s="267"/>
      <c r="AN399" s="267"/>
      <c r="AO399" s="267"/>
      <c r="AP399" s="267"/>
    </row>
    <row r="400" spans="15:42" x14ac:dyDescent="0.2">
      <c r="O400" s="300"/>
      <c r="Q400" s="300"/>
      <c r="R400" s="300"/>
      <c r="S400" s="300"/>
      <c r="T400" s="300"/>
      <c r="U400" s="300"/>
      <c r="V400" s="300"/>
      <c r="W400" s="300"/>
      <c r="X400" s="300"/>
      <c r="Y400" s="300"/>
      <c r="Z400" s="300"/>
      <c r="AL400" s="267"/>
      <c r="AM400" s="267"/>
      <c r="AN400" s="267"/>
      <c r="AO400" s="267"/>
      <c r="AP400" s="267"/>
    </row>
    <row r="401" spans="13:42" x14ac:dyDescent="0.2">
      <c r="O401" s="300"/>
      <c r="Q401" s="300"/>
      <c r="R401" s="300"/>
      <c r="S401" s="300"/>
      <c r="T401" s="300"/>
      <c r="U401" s="300"/>
      <c r="V401" s="300"/>
      <c r="W401" s="300"/>
      <c r="X401" s="300"/>
      <c r="Y401" s="300"/>
      <c r="Z401" s="300"/>
      <c r="AL401" s="267"/>
      <c r="AM401" s="267"/>
      <c r="AN401" s="267"/>
      <c r="AO401" s="267"/>
      <c r="AP401" s="267"/>
    </row>
    <row r="402" spans="13:42" x14ac:dyDescent="0.2">
      <c r="O402" s="300"/>
      <c r="Q402" s="300"/>
      <c r="R402" s="300"/>
      <c r="S402" s="300"/>
      <c r="T402" s="300"/>
      <c r="U402" s="300"/>
      <c r="V402" s="300"/>
      <c r="W402" s="300"/>
      <c r="X402" s="300"/>
      <c r="Y402" s="300"/>
      <c r="Z402" s="300"/>
      <c r="AL402" s="267"/>
      <c r="AM402" s="267"/>
      <c r="AN402" s="267"/>
      <c r="AO402" s="267"/>
      <c r="AP402" s="267"/>
    </row>
    <row r="403" spans="13:42" x14ac:dyDescent="0.2">
      <c r="O403" s="300"/>
      <c r="Q403" s="300"/>
      <c r="R403" s="300"/>
      <c r="S403" s="300"/>
      <c r="T403" s="300"/>
      <c r="U403" s="300"/>
      <c r="V403" s="300"/>
      <c r="W403" s="300"/>
      <c r="X403" s="300"/>
      <c r="Y403" s="300"/>
      <c r="Z403" s="300"/>
      <c r="AL403" s="267"/>
      <c r="AM403" s="267"/>
      <c r="AN403" s="267"/>
      <c r="AO403" s="267"/>
      <c r="AP403" s="267"/>
    </row>
    <row r="404" spans="13:42" x14ac:dyDescent="0.2">
      <c r="O404" s="300"/>
      <c r="Q404" s="300"/>
      <c r="R404" s="300"/>
      <c r="S404" s="300"/>
      <c r="T404" s="300"/>
      <c r="U404" s="300"/>
      <c r="V404" s="300"/>
      <c r="W404" s="300"/>
      <c r="X404" s="300"/>
      <c r="Y404" s="300"/>
      <c r="Z404" s="300"/>
      <c r="AL404" s="267"/>
      <c r="AM404" s="267"/>
      <c r="AN404" s="267"/>
      <c r="AO404" s="267"/>
      <c r="AP404" s="267"/>
    </row>
    <row r="405" spans="13:42" x14ac:dyDescent="0.2">
      <c r="M405" s="301"/>
      <c r="O405" s="300"/>
      <c r="Q405" s="300"/>
      <c r="R405" s="300"/>
      <c r="S405" s="300"/>
      <c r="T405" s="300"/>
      <c r="U405" s="300"/>
      <c r="V405" s="300"/>
      <c r="W405" s="300"/>
      <c r="X405" s="300"/>
      <c r="Y405" s="300"/>
      <c r="Z405" s="300"/>
      <c r="AL405" s="267"/>
      <c r="AM405" s="267"/>
      <c r="AN405" s="267"/>
      <c r="AO405" s="267"/>
      <c r="AP405" s="267"/>
    </row>
    <row r="406" spans="13:42" x14ac:dyDescent="0.2">
      <c r="M406" s="301"/>
    </row>
    <row r="407" spans="13:42" x14ac:dyDescent="0.2">
      <c r="M407" s="301"/>
      <c r="O407" s="300"/>
      <c r="Q407" s="300"/>
      <c r="R407" s="300"/>
      <c r="S407" s="300"/>
      <c r="T407" s="300"/>
      <c r="U407" s="300"/>
      <c r="V407" s="300"/>
      <c r="W407" s="300"/>
      <c r="X407" s="300"/>
      <c r="Y407" s="300"/>
      <c r="Z407" s="300"/>
      <c r="AL407" s="267"/>
      <c r="AM407" s="267"/>
      <c r="AN407" s="267"/>
      <c r="AO407" s="267"/>
      <c r="AP407" s="267"/>
    </row>
    <row r="408" spans="13:42" x14ac:dyDescent="0.2">
      <c r="M408" s="301"/>
    </row>
    <row r="409" spans="13:42" x14ac:dyDescent="0.2">
      <c r="M409" s="301"/>
      <c r="O409" s="300"/>
      <c r="Q409" s="300"/>
      <c r="R409" s="300"/>
      <c r="S409" s="300"/>
      <c r="T409" s="300"/>
      <c r="U409" s="300"/>
      <c r="V409" s="300"/>
      <c r="W409" s="300"/>
      <c r="X409" s="300"/>
      <c r="Y409" s="300"/>
      <c r="Z409" s="300"/>
      <c r="AL409" s="267"/>
      <c r="AM409" s="267"/>
      <c r="AN409" s="267"/>
      <c r="AO409" s="267"/>
      <c r="AP409" s="267"/>
    </row>
    <row r="410" spans="13:42" x14ac:dyDescent="0.2">
      <c r="M410" s="301"/>
    </row>
    <row r="411" spans="13:42" x14ac:dyDescent="0.2">
      <c r="M411" s="301"/>
      <c r="O411" s="300"/>
      <c r="Q411" s="300"/>
      <c r="R411" s="300"/>
      <c r="S411" s="300"/>
      <c r="T411" s="300"/>
      <c r="U411" s="300"/>
      <c r="V411" s="300"/>
      <c r="W411" s="300"/>
      <c r="X411" s="300"/>
      <c r="Y411" s="300"/>
      <c r="Z411" s="300"/>
      <c r="AL411" s="267"/>
      <c r="AM411" s="267"/>
      <c r="AN411" s="267"/>
      <c r="AO411" s="267"/>
      <c r="AP411" s="267"/>
    </row>
    <row r="412" spans="13:42" x14ac:dyDescent="0.2">
      <c r="M412" s="301"/>
    </row>
    <row r="413" spans="13:42" x14ac:dyDescent="0.2">
      <c r="M413" s="301"/>
      <c r="O413" s="300"/>
      <c r="Q413" s="300"/>
      <c r="R413" s="300"/>
      <c r="S413" s="300"/>
      <c r="T413" s="300"/>
      <c r="U413" s="300"/>
      <c r="V413" s="300"/>
      <c r="W413" s="300"/>
      <c r="X413" s="300"/>
      <c r="Y413" s="300"/>
      <c r="Z413" s="300"/>
      <c r="AL413" s="267"/>
      <c r="AM413" s="267"/>
      <c r="AN413" s="267"/>
      <c r="AO413" s="267"/>
      <c r="AP413" s="267"/>
    </row>
    <row r="414" spans="13:42" x14ac:dyDescent="0.2">
      <c r="M414" s="301"/>
    </row>
    <row r="415" spans="13:42" x14ac:dyDescent="0.2">
      <c r="M415" s="301"/>
      <c r="O415" s="300"/>
      <c r="Q415" s="300"/>
      <c r="R415" s="300"/>
      <c r="S415" s="300"/>
      <c r="T415" s="300"/>
      <c r="U415" s="300"/>
      <c r="V415" s="300"/>
      <c r="W415" s="300"/>
      <c r="X415" s="300"/>
      <c r="Y415" s="300"/>
      <c r="Z415" s="300"/>
      <c r="AL415" s="267"/>
      <c r="AM415" s="267"/>
      <c r="AN415" s="267"/>
      <c r="AO415" s="267"/>
      <c r="AP415" s="267"/>
    </row>
    <row r="416" spans="13:42" x14ac:dyDescent="0.2">
      <c r="M416" s="301"/>
    </row>
    <row r="417" spans="13:42" x14ac:dyDescent="0.2">
      <c r="M417" s="301"/>
      <c r="O417" s="300"/>
      <c r="Q417" s="300"/>
      <c r="R417" s="300"/>
      <c r="S417" s="300"/>
      <c r="T417" s="300"/>
      <c r="U417" s="300"/>
      <c r="V417" s="300"/>
      <c r="W417" s="300"/>
      <c r="X417" s="300"/>
      <c r="Y417" s="300"/>
      <c r="Z417" s="300"/>
      <c r="AL417" s="267"/>
      <c r="AM417" s="267"/>
      <c r="AN417" s="267"/>
      <c r="AO417" s="267"/>
      <c r="AP417" s="267"/>
    </row>
    <row r="418" spans="13:42" x14ac:dyDescent="0.2">
      <c r="M418" s="301"/>
    </row>
    <row r="419" spans="13:42" x14ac:dyDescent="0.2">
      <c r="M419" s="301"/>
      <c r="O419" s="300"/>
      <c r="Q419" s="300"/>
      <c r="R419" s="300"/>
      <c r="S419" s="300"/>
      <c r="T419" s="300"/>
      <c r="U419" s="300"/>
      <c r="V419" s="300"/>
      <c r="W419" s="300"/>
      <c r="X419" s="300"/>
      <c r="Y419" s="300"/>
      <c r="Z419" s="300"/>
      <c r="AL419" s="267"/>
      <c r="AM419" s="267"/>
      <c r="AN419" s="267"/>
      <c r="AO419" s="267"/>
      <c r="AP419" s="267"/>
    </row>
    <row r="420" spans="13:42" x14ac:dyDescent="0.2">
      <c r="M420" s="301"/>
    </row>
    <row r="421" spans="13:42" x14ac:dyDescent="0.2">
      <c r="M421" s="301"/>
      <c r="O421" s="300"/>
      <c r="Q421" s="300"/>
      <c r="R421" s="300"/>
      <c r="S421" s="300"/>
      <c r="T421" s="300"/>
      <c r="U421" s="300"/>
      <c r="V421" s="300"/>
      <c r="W421" s="300"/>
      <c r="X421" s="300"/>
      <c r="Y421" s="300"/>
      <c r="Z421" s="300"/>
      <c r="AL421" s="267"/>
      <c r="AM421" s="267"/>
      <c r="AN421" s="267"/>
      <c r="AO421" s="267"/>
      <c r="AP421" s="267"/>
    </row>
    <row r="422" spans="13:42" x14ac:dyDescent="0.2">
      <c r="M422" s="301"/>
    </row>
    <row r="423" spans="13:42" x14ac:dyDescent="0.2">
      <c r="O423" s="300"/>
      <c r="Q423" s="300"/>
      <c r="R423" s="300"/>
      <c r="S423" s="300"/>
      <c r="T423" s="300"/>
      <c r="U423" s="300"/>
      <c r="V423" s="300"/>
      <c r="W423" s="300"/>
      <c r="X423" s="300"/>
      <c r="Y423" s="300"/>
      <c r="Z423" s="300"/>
      <c r="AL423" s="267"/>
      <c r="AM423" s="267"/>
      <c r="AN423" s="267"/>
      <c r="AO423" s="267"/>
      <c r="AP423" s="267"/>
    </row>
    <row r="424" spans="13:42" x14ac:dyDescent="0.2">
      <c r="O424" s="300"/>
      <c r="Q424" s="300"/>
      <c r="R424" s="300"/>
      <c r="S424" s="300"/>
      <c r="T424" s="300"/>
      <c r="U424" s="300"/>
      <c r="V424" s="300"/>
      <c r="W424" s="300"/>
      <c r="X424" s="300"/>
      <c r="Y424" s="300"/>
      <c r="Z424" s="300"/>
      <c r="AL424" s="267"/>
      <c r="AM424" s="267"/>
      <c r="AN424" s="267"/>
      <c r="AO424" s="267"/>
      <c r="AP424" s="267"/>
    </row>
    <row r="425" spans="13:42" x14ac:dyDescent="0.2">
      <c r="O425" s="300"/>
      <c r="Q425" s="300"/>
      <c r="R425" s="300"/>
      <c r="S425" s="300"/>
      <c r="T425" s="300"/>
      <c r="U425" s="300"/>
      <c r="V425" s="300"/>
      <c r="W425" s="300"/>
      <c r="X425" s="300"/>
      <c r="Y425" s="300"/>
      <c r="Z425" s="300"/>
      <c r="AL425" s="267"/>
      <c r="AM425" s="267"/>
      <c r="AN425" s="267"/>
      <c r="AO425" s="267"/>
      <c r="AP425" s="267"/>
    </row>
    <row r="426" spans="13:42" x14ac:dyDescent="0.2">
      <c r="O426" s="300"/>
      <c r="Q426" s="300"/>
      <c r="R426" s="300"/>
      <c r="S426" s="300"/>
      <c r="T426" s="300"/>
      <c r="U426" s="300"/>
      <c r="V426" s="300"/>
      <c r="W426" s="300"/>
      <c r="X426" s="300"/>
      <c r="Y426" s="300"/>
      <c r="Z426" s="300"/>
      <c r="AL426" s="267"/>
      <c r="AM426" s="267"/>
      <c r="AN426" s="267"/>
      <c r="AO426" s="267"/>
      <c r="AP426" s="267"/>
    </row>
    <row r="427" spans="13:42" x14ac:dyDescent="0.2">
      <c r="O427" s="300"/>
      <c r="Q427" s="300"/>
      <c r="R427" s="300"/>
      <c r="S427" s="300"/>
      <c r="T427" s="300"/>
      <c r="U427" s="300"/>
      <c r="V427" s="300"/>
      <c r="W427" s="300"/>
      <c r="X427" s="300"/>
      <c r="Y427" s="300"/>
      <c r="Z427" s="300"/>
      <c r="AL427" s="267"/>
      <c r="AM427" s="267"/>
      <c r="AN427" s="267"/>
      <c r="AO427" s="267"/>
      <c r="AP427" s="267"/>
    </row>
    <row r="428" spans="13:42" x14ac:dyDescent="0.2">
      <c r="O428" s="300"/>
      <c r="Q428" s="300"/>
      <c r="R428" s="300"/>
      <c r="S428" s="300"/>
      <c r="T428" s="300"/>
      <c r="U428" s="300"/>
      <c r="V428" s="300"/>
      <c r="W428" s="300"/>
      <c r="X428" s="300"/>
      <c r="Y428" s="300"/>
      <c r="Z428" s="300"/>
      <c r="AL428" s="267"/>
      <c r="AM428" s="267"/>
      <c r="AN428" s="267"/>
      <c r="AO428" s="267"/>
      <c r="AP428" s="267"/>
    </row>
    <row r="429" spans="13:42" x14ac:dyDescent="0.2">
      <c r="O429" s="300"/>
      <c r="Q429" s="300"/>
      <c r="R429" s="300"/>
      <c r="S429" s="300"/>
      <c r="T429" s="300"/>
      <c r="U429" s="300"/>
      <c r="V429" s="300"/>
      <c r="W429" s="300"/>
      <c r="X429" s="300"/>
      <c r="Y429" s="300"/>
      <c r="Z429" s="300"/>
      <c r="AL429" s="267"/>
      <c r="AM429" s="267"/>
      <c r="AN429" s="267"/>
      <c r="AO429" s="267"/>
      <c r="AP429" s="267"/>
    </row>
    <row r="430" spans="13:42" x14ac:dyDescent="0.2">
      <c r="O430" s="300"/>
      <c r="Q430" s="300"/>
      <c r="R430" s="300"/>
      <c r="S430" s="300"/>
      <c r="T430" s="300"/>
      <c r="U430" s="300"/>
      <c r="V430" s="300"/>
      <c r="W430" s="300"/>
      <c r="X430" s="300"/>
      <c r="Y430" s="300"/>
      <c r="Z430" s="300"/>
      <c r="AL430" s="267"/>
      <c r="AM430" s="267"/>
      <c r="AN430" s="267"/>
      <c r="AO430" s="267"/>
      <c r="AP430" s="267"/>
    </row>
    <row r="431" spans="13:42" x14ac:dyDescent="0.2">
      <c r="O431" s="300"/>
      <c r="Q431" s="300"/>
      <c r="R431" s="300"/>
      <c r="S431" s="300"/>
      <c r="T431" s="300"/>
      <c r="U431" s="300"/>
      <c r="V431" s="300"/>
      <c r="W431" s="300"/>
      <c r="X431" s="300"/>
      <c r="Y431" s="300"/>
      <c r="Z431" s="300"/>
      <c r="AL431" s="267"/>
      <c r="AM431" s="267"/>
      <c r="AN431" s="267"/>
      <c r="AO431" s="267"/>
      <c r="AP431" s="267"/>
    </row>
    <row r="432" spans="13:42" x14ac:dyDescent="0.2">
      <c r="O432" s="300"/>
      <c r="Q432" s="300"/>
      <c r="R432" s="300"/>
      <c r="S432" s="300"/>
      <c r="T432" s="300"/>
      <c r="U432" s="300"/>
      <c r="V432" s="300"/>
      <c r="W432" s="300"/>
      <c r="X432" s="300"/>
      <c r="Y432" s="300"/>
      <c r="Z432" s="300"/>
      <c r="AL432" s="267"/>
      <c r="AM432" s="267"/>
      <c r="AN432" s="267"/>
      <c r="AO432" s="267"/>
      <c r="AP432" s="267"/>
    </row>
    <row r="433" spans="15:42" x14ac:dyDescent="0.2">
      <c r="O433" s="300"/>
      <c r="Q433" s="300"/>
      <c r="R433" s="300"/>
      <c r="S433" s="300"/>
      <c r="T433" s="300"/>
      <c r="U433" s="300"/>
      <c r="V433" s="300"/>
      <c r="W433" s="300"/>
      <c r="X433" s="300"/>
      <c r="Y433" s="300"/>
      <c r="Z433" s="300"/>
      <c r="AL433" s="267"/>
      <c r="AM433" s="267"/>
      <c r="AN433" s="267"/>
      <c r="AO433" s="267"/>
      <c r="AP433" s="267"/>
    </row>
    <row r="434" spans="15:42" x14ac:dyDescent="0.2">
      <c r="O434" s="300"/>
      <c r="Q434" s="300"/>
      <c r="R434" s="300"/>
      <c r="S434" s="300"/>
      <c r="T434" s="300"/>
      <c r="U434" s="300"/>
      <c r="V434" s="300"/>
      <c r="W434" s="300"/>
      <c r="X434" s="300"/>
      <c r="Y434" s="300"/>
      <c r="Z434" s="300"/>
      <c r="AL434" s="267"/>
      <c r="AM434" s="267"/>
      <c r="AN434" s="267"/>
      <c r="AO434" s="267"/>
      <c r="AP434" s="267"/>
    </row>
    <row r="435" spans="15:42" x14ac:dyDescent="0.2">
      <c r="O435" s="300"/>
      <c r="Q435" s="300"/>
      <c r="R435" s="300"/>
      <c r="S435" s="300"/>
      <c r="T435" s="300"/>
      <c r="U435" s="300"/>
      <c r="V435" s="300"/>
      <c r="W435" s="300"/>
      <c r="X435" s="300"/>
      <c r="Y435" s="300"/>
      <c r="Z435" s="300"/>
      <c r="AL435" s="267"/>
      <c r="AM435" s="267"/>
      <c r="AN435" s="267"/>
      <c r="AO435" s="267"/>
      <c r="AP435" s="267"/>
    </row>
    <row r="436" spans="15:42" x14ac:dyDescent="0.2">
      <c r="O436" s="300"/>
      <c r="Q436" s="300"/>
      <c r="R436" s="300"/>
      <c r="S436" s="300"/>
      <c r="T436" s="300"/>
      <c r="U436" s="300"/>
      <c r="V436" s="300"/>
      <c r="W436" s="300"/>
      <c r="X436" s="300"/>
      <c r="Y436" s="300"/>
      <c r="Z436" s="300"/>
      <c r="AL436" s="267"/>
      <c r="AM436" s="267"/>
      <c r="AN436" s="267"/>
      <c r="AO436" s="267"/>
      <c r="AP436" s="267"/>
    </row>
    <row r="437" spans="15:42" x14ac:dyDescent="0.2">
      <c r="O437" s="300"/>
      <c r="Q437" s="300"/>
      <c r="R437" s="300"/>
      <c r="S437" s="300"/>
      <c r="T437" s="300"/>
      <c r="U437" s="300"/>
      <c r="V437" s="300"/>
      <c r="W437" s="300"/>
      <c r="X437" s="300"/>
      <c r="Y437" s="300"/>
      <c r="Z437" s="300"/>
      <c r="AL437" s="267"/>
      <c r="AM437" s="267"/>
      <c r="AN437" s="267"/>
      <c r="AO437" s="267"/>
      <c r="AP437" s="267"/>
    </row>
    <row r="438" spans="15:42" x14ac:dyDescent="0.2">
      <c r="O438" s="300"/>
      <c r="Q438" s="300"/>
      <c r="R438" s="300"/>
      <c r="S438" s="300"/>
      <c r="T438" s="300"/>
      <c r="U438" s="300"/>
      <c r="V438" s="300"/>
      <c r="W438" s="300"/>
      <c r="X438" s="300"/>
      <c r="Y438" s="300"/>
      <c r="Z438" s="300"/>
      <c r="AL438" s="267"/>
      <c r="AM438" s="267"/>
      <c r="AN438" s="267"/>
      <c r="AO438" s="267"/>
      <c r="AP438" s="267"/>
    </row>
    <row r="439" spans="15:42" x14ac:dyDescent="0.2">
      <c r="O439" s="300"/>
      <c r="Q439" s="300"/>
      <c r="R439" s="300"/>
      <c r="S439" s="300"/>
      <c r="T439" s="300"/>
      <c r="U439" s="300"/>
      <c r="V439" s="300"/>
      <c r="W439" s="300"/>
      <c r="X439" s="300"/>
      <c r="Y439" s="300"/>
      <c r="Z439" s="300"/>
      <c r="AL439" s="267"/>
      <c r="AM439" s="267"/>
      <c r="AN439" s="267"/>
      <c r="AO439" s="267"/>
      <c r="AP439" s="267"/>
    </row>
    <row r="440" spans="15:42" x14ac:dyDescent="0.2">
      <c r="O440" s="300"/>
      <c r="Q440" s="300"/>
      <c r="R440" s="300"/>
      <c r="S440" s="300"/>
      <c r="T440" s="300"/>
      <c r="U440" s="300"/>
      <c r="V440" s="300"/>
      <c r="W440" s="300"/>
      <c r="X440" s="300"/>
      <c r="Y440" s="300"/>
      <c r="Z440" s="300"/>
      <c r="AL440" s="267"/>
      <c r="AM440" s="267"/>
      <c r="AN440" s="267"/>
      <c r="AO440" s="267"/>
      <c r="AP440" s="267"/>
    </row>
    <row r="441" spans="15:42" x14ac:dyDescent="0.2">
      <c r="O441" s="300"/>
      <c r="Q441" s="300"/>
      <c r="R441" s="300"/>
      <c r="S441" s="300"/>
      <c r="T441" s="300"/>
      <c r="U441" s="300"/>
      <c r="V441" s="300"/>
      <c r="W441" s="300"/>
      <c r="X441" s="300"/>
      <c r="Y441" s="300"/>
      <c r="Z441" s="300"/>
      <c r="AL441" s="267"/>
      <c r="AM441" s="267"/>
      <c r="AN441" s="267"/>
      <c r="AO441" s="267"/>
      <c r="AP441" s="267"/>
    </row>
    <row r="442" spans="15:42" x14ac:dyDescent="0.2">
      <c r="O442" s="300"/>
      <c r="Q442" s="300"/>
      <c r="R442" s="300"/>
      <c r="S442" s="300"/>
      <c r="T442" s="300"/>
      <c r="U442" s="300"/>
      <c r="V442" s="300"/>
      <c r="W442" s="300"/>
      <c r="X442" s="300"/>
      <c r="Y442" s="300"/>
      <c r="Z442" s="300"/>
      <c r="AL442" s="267"/>
      <c r="AM442" s="267"/>
      <c r="AN442" s="267"/>
      <c r="AO442" s="267"/>
      <c r="AP442" s="267"/>
    </row>
    <row r="443" spans="15:42" x14ac:dyDescent="0.2">
      <c r="O443" s="300"/>
      <c r="Q443" s="300"/>
      <c r="R443" s="300"/>
      <c r="S443" s="300"/>
      <c r="T443" s="300"/>
      <c r="U443" s="300"/>
      <c r="V443" s="300"/>
      <c r="W443" s="300"/>
      <c r="X443" s="300"/>
      <c r="Y443" s="300"/>
      <c r="Z443" s="300"/>
      <c r="AL443" s="267"/>
      <c r="AM443" s="267"/>
      <c r="AN443" s="267"/>
      <c r="AO443" s="267"/>
      <c r="AP443" s="267"/>
    </row>
    <row r="444" spans="15:42" x14ac:dyDescent="0.2">
      <c r="O444" s="300"/>
      <c r="Q444" s="300"/>
      <c r="R444" s="300"/>
      <c r="S444" s="300"/>
      <c r="T444" s="300"/>
      <c r="U444" s="300"/>
      <c r="V444" s="300"/>
      <c r="W444" s="300"/>
      <c r="X444" s="300"/>
      <c r="Y444" s="300"/>
      <c r="Z444" s="300"/>
      <c r="AL444" s="267"/>
      <c r="AM444" s="267"/>
      <c r="AN444" s="267"/>
      <c r="AO444" s="267"/>
      <c r="AP444" s="267"/>
    </row>
    <row r="445" spans="15:42" x14ac:dyDescent="0.2">
      <c r="O445" s="300"/>
      <c r="Q445" s="300"/>
      <c r="R445" s="300"/>
      <c r="S445" s="300"/>
      <c r="T445" s="300"/>
      <c r="U445" s="300"/>
      <c r="V445" s="300"/>
      <c r="W445" s="300"/>
      <c r="X445" s="300"/>
      <c r="Y445" s="300"/>
      <c r="Z445" s="300"/>
      <c r="AL445" s="267"/>
      <c r="AM445" s="267"/>
      <c r="AN445" s="267"/>
      <c r="AO445" s="267"/>
      <c r="AP445" s="267"/>
    </row>
    <row r="446" spans="15:42" x14ac:dyDescent="0.2">
      <c r="O446" s="300"/>
      <c r="Q446" s="300"/>
      <c r="R446" s="300"/>
      <c r="S446" s="300"/>
      <c r="T446" s="300"/>
      <c r="U446" s="300"/>
      <c r="V446" s="300"/>
      <c r="W446" s="300"/>
      <c r="X446" s="300"/>
      <c r="Y446" s="300"/>
      <c r="Z446" s="300"/>
      <c r="AL446" s="267"/>
      <c r="AM446" s="267"/>
      <c r="AN446" s="267"/>
      <c r="AO446" s="267"/>
      <c r="AP446" s="267"/>
    </row>
    <row r="447" spans="15:42" x14ac:dyDescent="0.2">
      <c r="O447" s="300"/>
      <c r="Q447" s="300"/>
      <c r="R447" s="300"/>
      <c r="S447" s="300"/>
      <c r="T447" s="300"/>
      <c r="U447" s="300"/>
      <c r="V447" s="300"/>
      <c r="W447" s="300"/>
      <c r="X447" s="300"/>
      <c r="Y447" s="300"/>
      <c r="Z447" s="300"/>
      <c r="AL447" s="267"/>
      <c r="AM447" s="267"/>
      <c r="AN447" s="267"/>
      <c r="AO447" s="267"/>
      <c r="AP447" s="267"/>
    </row>
    <row r="448" spans="15:42" x14ac:dyDescent="0.2">
      <c r="O448" s="300"/>
      <c r="Q448" s="300"/>
      <c r="R448" s="300"/>
      <c r="S448" s="300"/>
      <c r="T448" s="300"/>
      <c r="U448" s="300"/>
      <c r="V448" s="300"/>
      <c r="W448" s="300"/>
      <c r="X448" s="300"/>
      <c r="Y448" s="300"/>
      <c r="Z448" s="300"/>
      <c r="AL448" s="267"/>
      <c r="AM448" s="267"/>
      <c r="AN448" s="267"/>
      <c r="AO448" s="267"/>
      <c r="AP448" s="267"/>
    </row>
    <row r="449" spans="15:42" x14ac:dyDescent="0.2">
      <c r="O449" s="300"/>
      <c r="Q449" s="300"/>
      <c r="R449" s="300"/>
      <c r="S449" s="300"/>
      <c r="T449" s="300"/>
      <c r="U449" s="300"/>
      <c r="V449" s="300"/>
      <c r="W449" s="300"/>
      <c r="X449" s="300"/>
      <c r="Y449" s="300"/>
      <c r="Z449" s="300"/>
      <c r="AL449" s="267"/>
      <c r="AM449" s="267"/>
      <c r="AN449" s="267"/>
      <c r="AO449" s="267"/>
      <c r="AP449" s="267"/>
    </row>
    <row r="450" spans="15:42" x14ac:dyDescent="0.2">
      <c r="O450" s="300"/>
      <c r="Q450" s="300"/>
      <c r="R450" s="300"/>
      <c r="S450" s="300"/>
      <c r="T450" s="300"/>
      <c r="U450" s="300"/>
      <c r="V450" s="300"/>
      <c r="W450" s="300"/>
      <c r="X450" s="300"/>
      <c r="Y450" s="300"/>
      <c r="Z450" s="300"/>
      <c r="AL450" s="267"/>
      <c r="AM450" s="267"/>
      <c r="AN450" s="267"/>
      <c r="AO450" s="267"/>
      <c r="AP450" s="267"/>
    </row>
    <row r="451" spans="15:42" x14ac:dyDescent="0.2">
      <c r="O451" s="300"/>
      <c r="Q451" s="300"/>
      <c r="R451" s="300"/>
      <c r="S451" s="300"/>
      <c r="T451" s="300"/>
      <c r="U451" s="300"/>
      <c r="V451" s="300"/>
      <c r="W451" s="300"/>
      <c r="X451" s="300"/>
      <c r="Y451" s="300"/>
      <c r="Z451" s="300"/>
      <c r="AL451" s="267"/>
      <c r="AM451" s="267"/>
      <c r="AN451" s="267"/>
      <c r="AO451" s="267"/>
      <c r="AP451" s="267"/>
    </row>
    <row r="452" spans="15:42" x14ac:dyDescent="0.2">
      <c r="O452" s="300"/>
      <c r="Q452" s="300"/>
      <c r="R452" s="300"/>
      <c r="S452" s="300"/>
      <c r="T452" s="300"/>
      <c r="U452" s="300"/>
      <c r="V452" s="300"/>
      <c r="W452" s="300"/>
      <c r="X452" s="300"/>
      <c r="Y452" s="300"/>
      <c r="Z452" s="300"/>
      <c r="AL452" s="267"/>
      <c r="AM452" s="267"/>
      <c r="AN452" s="267"/>
      <c r="AO452" s="267"/>
      <c r="AP452" s="267"/>
    </row>
    <row r="453" spans="15:42" x14ac:dyDescent="0.2">
      <c r="O453" s="300"/>
      <c r="Q453" s="300"/>
      <c r="R453" s="300"/>
      <c r="S453" s="300"/>
      <c r="T453" s="300"/>
      <c r="U453" s="300"/>
      <c r="V453" s="300"/>
      <c r="W453" s="300"/>
      <c r="X453" s="300"/>
      <c r="Y453" s="300"/>
      <c r="Z453" s="300"/>
      <c r="AL453" s="267"/>
      <c r="AM453" s="267"/>
      <c r="AN453" s="267"/>
      <c r="AO453" s="267"/>
      <c r="AP453" s="267"/>
    </row>
    <row r="454" spans="15:42" x14ac:dyDescent="0.2">
      <c r="O454" s="300"/>
      <c r="Q454" s="300"/>
      <c r="R454" s="300"/>
      <c r="S454" s="300"/>
      <c r="T454" s="300"/>
      <c r="U454" s="300"/>
      <c r="V454" s="300"/>
      <c r="W454" s="300"/>
      <c r="X454" s="300"/>
      <c r="Y454" s="300"/>
      <c r="Z454" s="300"/>
      <c r="AL454" s="267"/>
      <c r="AM454" s="267"/>
      <c r="AN454" s="267"/>
      <c r="AO454" s="267"/>
      <c r="AP454" s="267"/>
    </row>
    <row r="455" spans="15:42" x14ac:dyDescent="0.2">
      <c r="O455" s="300"/>
      <c r="Q455" s="300"/>
      <c r="R455" s="300"/>
      <c r="S455" s="300"/>
      <c r="T455" s="300"/>
      <c r="U455" s="300"/>
      <c r="V455" s="300"/>
      <c r="W455" s="300"/>
      <c r="X455" s="300"/>
      <c r="Y455" s="300"/>
      <c r="Z455" s="300"/>
      <c r="AL455" s="267"/>
      <c r="AM455" s="267"/>
      <c r="AN455" s="267"/>
      <c r="AO455" s="267"/>
      <c r="AP455" s="267"/>
    </row>
    <row r="456" spans="15:42" x14ac:dyDescent="0.2">
      <c r="O456" s="300"/>
      <c r="Q456" s="300"/>
      <c r="R456" s="300"/>
      <c r="S456" s="300"/>
      <c r="T456" s="300"/>
      <c r="U456" s="300"/>
      <c r="V456" s="300"/>
      <c r="W456" s="300"/>
      <c r="X456" s="300"/>
      <c r="Y456" s="300"/>
      <c r="Z456" s="300"/>
      <c r="AL456" s="267"/>
      <c r="AM456" s="267"/>
      <c r="AN456" s="267"/>
      <c r="AO456" s="267"/>
      <c r="AP456" s="267"/>
    </row>
    <row r="457" spans="15:42" x14ac:dyDescent="0.2">
      <c r="O457" s="300"/>
      <c r="Q457" s="300"/>
      <c r="R457" s="300"/>
      <c r="S457" s="300"/>
      <c r="T457" s="300"/>
      <c r="U457" s="300"/>
      <c r="V457" s="300"/>
      <c r="W457" s="300"/>
      <c r="X457" s="300"/>
      <c r="Y457" s="300"/>
      <c r="Z457" s="300"/>
      <c r="AL457" s="267"/>
      <c r="AM457" s="267"/>
      <c r="AN457" s="267"/>
      <c r="AO457" s="267"/>
      <c r="AP457" s="267"/>
    </row>
    <row r="458" spans="15:42" x14ac:dyDescent="0.2">
      <c r="O458" s="300"/>
      <c r="Q458" s="300"/>
      <c r="R458" s="300"/>
      <c r="S458" s="300"/>
      <c r="T458" s="300"/>
      <c r="U458" s="300"/>
      <c r="V458" s="300"/>
      <c r="W458" s="300"/>
      <c r="X458" s="300"/>
      <c r="Y458" s="300"/>
      <c r="Z458" s="300"/>
      <c r="AL458" s="267"/>
      <c r="AM458" s="267"/>
      <c r="AN458" s="267"/>
      <c r="AO458" s="267"/>
      <c r="AP458" s="267"/>
    </row>
    <row r="459" spans="15:42" x14ac:dyDescent="0.2">
      <c r="O459" s="300"/>
      <c r="Q459" s="300"/>
      <c r="R459" s="300"/>
      <c r="S459" s="300"/>
      <c r="T459" s="300"/>
      <c r="U459" s="300"/>
      <c r="V459" s="300"/>
      <c r="W459" s="300"/>
      <c r="X459" s="300"/>
      <c r="Y459" s="300"/>
      <c r="Z459" s="300"/>
      <c r="AL459" s="267"/>
      <c r="AM459" s="267"/>
      <c r="AN459" s="267"/>
      <c r="AO459" s="267"/>
      <c r="AP459" s="267"/>
    </row>
    <row r="460" spans="15:42" x14ac:dyDescent="0.2">
      <c r="O460" s="300"/>
      <c r="Q460" s="300"/>
      <c r="R460" s="300"/>
      <c r="S460" s="300"/>
      <c r="T460" s="300"/>
      <c r="U460" s="300"/>
      <c r="V460" s="300"/>
      <c r="W460" s="300"/>
      <c r="X460" s="300"/>
      <c r="Y460" s="300"/>
      <c r="Z460" s="300"/>
      <c r="AL460" s="267"/>
      <c r="AM460" s="267"/>
      <c r="AN460" s="267"/>
      <c r="AO460" s="267"/>
      <c r="AP460" s="267"/>
    </row>
    <row r="461" spans="15:42" x14ac:dyDescent="0.2">
      <c r="O461" s="300"/>
      <c r="Q461" s="300"/>
      <c r="R461" s="300"/>
      <c r="S461" s="300"/>
      <c r="T461" s="300"/>
      <c r="U461" s="300"/>
      <c r="V461" s="300"/>
      <c r="W461" s="300"/>
      <c r="X461" s="300"/>
      <c r="Y461" s="300"/>
      <c r="Z461" s="300"/>
      <c r="AL461" s="267"/>
      <c r="AM461" s="267"/>
      <c r="AN461" s="267"/>
      <c r="AO461" s="267"/>
      <c r="AP461" s="267"/>
    </row>
    <row r="462" spans="15:42" x14ac:dyDescent="0.2">
      <c r="O462" s="300"/>
      <c r="Q462" s="300"/>
      <c r="R462" s="300"/>
      <c r="S462" s="300"/>
      <c r="T462" s="300"/>
      <c r="U462" s="300"/>
      <c r="V462" s="300"/>
      <c r="W462" s="300"/>
      <c r="X462" s="300"/>
      <c r="Y462" s="300"/>
      <c r="Z462" s="300"/>
      <c r="AL462" s="267"/>
      <c r="AM462" s="267"/>
      <c r="AN462" s="267"/>
      <c r="AO462" s="267"/>
      <c r="AP462" s="267"/>
    </row>
    <row r="463" spans="15:42" x14ac:dyDescent="0.2">
      <c r="O463" s="300"/>
      <c r="Q463" s="300"/>
      <c r="R463" s="300"/>
      <c r="S463" s="300"/>
      <c r="T463" s="300"/>
      <c r="U463" s="300"/>
      <c r="V463" s="300"/>
      <c r="W463" s="300"/>
      <c r="X463" s="300"/>
      <c r="Y463" s="300"/>
      <c r="Z463" s="300"/>
      <c r="AL463" s="267"/>
      <c r="AM463" s="267"/>
      <c r="AN463" s="267"/>
      <c r="AO463" s="267"/>
      <c r="AP463" s="267"/>
    </row>
    <row r="464" spans="15:42" x14ac:dyDescent="0.2">
      <c r="O464" s="300"/>
      <c r="Q464" s="300"/>
      <c r="R464" s="300"/>
      <c r="S464" s="300"/>
      <c r="T464" s="300"/>
      <c r="U464" s="300"/>
      <c r="V464" s="300"/>
      <c r="W464" s="300"/>
      <c r="X464" s="300"/>
      <c r="Y464" s="300"/>
      <c r="Z464" s="300"/>
      <c r="AL464" s="267"/>
      <c r="AM464" s="267"/>
      <c r="AN464" s="267"/>
      <c r="AO464" s="267"/>
      <c r="AP464" s="267"/>
    </row>
    <row r="465" spans="15:42" x14ac:dyDescent="0.2">
      <c r="O465" s="300"/>
      <c r="Q465" s="300"/>
      <c r="R465" s="300"/>
      <c r="S465" s="300"/>
      <c r="T465" s="300"/>
      <c r="U465" s="300"/>
      <c r="V465" s="300"/>
      <c r="W465" s="300"/>
      <c r="X465" s="300"/>
      <c r="Y465" s="300"/>
      <c r="Z465" s="300"/>
      <c r="AL465" s="267"/>
      <c r="AM465" s="267"/>
      <c r="AN465" s="267"/>
      <c r="AO465" s="267"/>
      <c r="AP465" s="267"/>
    </row>
    <row r="466" spans="15:42" x14ac:dyDescent="0.2">
      <c r="O466" s="300"/>
      <c r="Q466" s="300"/>
      <c r="R466" s="300"/>
      <c r="S466" s="300"/>
      <c r="T466" s="300"/>
      <c r="U466" s="300"/>
      <c r="V466" s="300"/>
      <c r="W466" s="300"/>
      <c r="X466" s="300"/>
      <c r="Y466" s="300"/>
      <c r="Z466" s="300"/>
      <c r="AL466" s="267"/>
      <c r="AM466" s="267"/>
      <c r="AN466" s="267"/>
      <c r="AO466" s="267"/>
      <c r="AP466" s="267"/>
    </row>
    <row r="467" spans="15:42" x14ac:dyDescent="0.2">
      <c r="O467" s="300"/>
      <c r="Q467" s="300"/>
      <c r="R467" s="300"/>
      <c r="S467" s="300"/>
      <c r="T467" s="300"/>
      <c r="U467" s="300"/>
      <c r="V467" s="300"/>
      <c r="W467" s="300"/>
      <c r="X467" s="300"/>
      <c r="Y467" s="300"/>
      <c r="Z467" s="300"/>
      <c r="AL467" s="267"/>
      <c r="AM467" s="267"/>
      <c r="AN467" s="267"/>
      <c r="AO467" s="267"/>
      <c r="AP467" s="267"/>
    </row>
    <row r="468" spans="15:42" x14ac:dyDescent="0.2">
      <c r="O468" s="300"/>
      <c r="Q468" s="300"/>
      <c r="R468" s="300"/>
      <c r="S468" s="300"/>
      <c r="T468" s="300"/>
      <c r="U468" s="300"/>
      <c r="V468" s="300"/>
      <c r="W468" s="300"/>
      <c r="X468" s="300"/>
      <c r="Y468" s="300"/>
      <c r="Z468" s="300"/>
      <c r="AL468" s="267"/>
      <c r="AM468" s="267"/>
      <c r="AN468" s="267"/>
      <c r="AO468" s="267"/>
      <c r="AP468" s="267"/>
    </row>
    <row r="469" spans="15:42" x14ac:dyDescent="0.2">
      <c r="O469" s="300"/>
      <c r="Q469" s="300"/>
      <c r="R469" s="300"/>
      <c r="S469" s="300"/>
      <c r="T469" s="300"/>
      <c r="U469" s="300"/>
      <c r="V469" s="300"/>
      <c r="W469" s="300"/>
      <c r="X469" s="300"/>
      <c r="Y469" s="300"/>
      <c r="Z469" s="300"/>
      <c r="AL469" s="267"/>
      <c r="AM469" s="267"/>
      <c r="AN469" s="267"/>
      <c r="AO469" s="267"/>
      <c r="AP469" s="267"/>
    </row>
    <row r="470" spans="15:42" x14ac:dyDescent="0.2">
      <c r="O470" s="300"/>
      <c r="Q470" s="300"/>
      <c r="R470" s="300"/>
      <c r="S470" s="300"/>
      <c r="T470" s="300"/>
      <c r="U470" s="300"/>
      <c r="V470" s="300"/>
      <c r="W470" s="300"/>
      <c r="X470" s="300"/>
      <c r="Y470" s="300"/>
      <c r="Z470" s="300"/>
      <c r="AL470" s="267"/>
      <c r="AM470" s="267"/>
      <c r="AN470" s="267"/>
      <c r="AO470" s="267"/>
      <c r="AP470" s="267"/>
    </row>
    <row r="471" spans="15:42" x14ac:dyDescent="0.2">
      <c r="O471" s="300"/>
      <c r="Q471" s="300"/>
      <c r="R471" s="300"/>
      <c r="S471" s="300"/>
      <c r="T471" s="300"/>
      <c r="U471" s="300"/>
      <c r="V471" s="300"/>
      <c r="W471" s="300"/>
      <c r="X471" s="300"/>
      <c r="Y471" s="300"/>
      <c r="Z471" s="300"/>
      <c r="AL471" s="267"/>
      <c r="AM471" s="267"/>
      <c r="AN471" s="267"/>
      <c r="AO471" s="267"/>
      <c r="AP471" s="267"/>
    </row>
    <row r="472" spans="15:42" x14ac:dyDescent="0.2">
      <c r="O472" s="300"/>
      <c r="Q472" s="300"/>
      <c r="R472" s="300"/>
      <c r="S472" s="300"/>
      <c r="T472" s="300"/>
      <c r="U472" s="300"/>
      <c r="V472" s="300"/>
      <c r="W472" s="300"/>
      <c r="X472" s="300"/>
      <c r="Y472" s="300"/>
      <c r="Z472" s="300"/>
      <c r="AL472" s="267"/>
      <c r="AM472" s="267"/>
      <c r="AN472" s="267"/>
      <c r="AO472" s="267"/>
      <c r="AP472" s="267"/>
    </row>
    <row r="473" spans="15:42" x14ac:dyDescent="0.2">
      <c r="O473" s="300"/>
      <c r="Q473" s="300"/>
      <c r="R473" s="300"/>
      <c r="S473" s="300"/>
      <c r="T473" s="300"/>
      <c r="U473" s="300"/>
      <c r="V473" s="300"/>
      <c r="W473" s="300"/>
      <c r="X473" s="300"/>
      <c r="Y473" s="300"/>
      <c r="Z473" s="300"/>
      <c r="AL473" s="267"/>
      <c r="AM473" s="267"/>
      <c r="AN473" s="267"/>
      <c r="AO473" s="267"/>
      <c r="AP473" s="267"/>
    </row>
    <row r="474" spans="15:42" x14ac:dyDescent="0.2">
      <c r="O474" s="300"/>
      <c r="Q474" s="300"/>
      <c r="R474" s="300"/>
      <c r="S474" s="300"/>
      <c r="T474" s="300"/>
      <c r="U474" s="300"/>
      <c r="V474" s="300"/>
      <c r="W474" s="300"/>
      <c r="X474" s="300"/>
      <c r="Y474" s="300"/>
      <c r="Z474" s="300"/>
      <c r="AL474" s="267"/>
      <c r="AM474" s="267"/>
      <c r="AN474" s="267"/>
      <c r="AO474" s="267"/>
      <c r="AP474" s="267"/>
    </row>
    <row r="475" spans="15:42" x14ac:dyDescent="0.2">
      <c r="O475" s="300"/>
      <c r="Q475" s="300"/>
      <c r="R475" s="300"/>
      <c r="S475" s="300"/>
      <c r="T475" s="300"/>
      <c r="U475" s="300"/>
      <c r="V475" s="300"/>
      <c r="W475" s="300"/>
      <c r="X475" s="300"/>
      <c r="Y475" s="300"/>
      <c r="Z475" s="300"/>
      <c r="AL475" s="267"/>
      <c r="AM475" s="267"/>
      <c r="AN475" s="267"/>
      <c r="AO475" s="267"/>
      <c r="AP475" s="267"/>
    </row>
    <row r="476" spans="15:42" x14ac:dyDescent="0.2">
      <c r="O476" s="300"/>
      <c r="Q476" s="300"/>
      <c r="R476" s="300"/>
      <c r="S476" s="300"/>
      <c r="T476" s="300"/>
      <c r="U476" s="300"/>
      <c r="V476" s="300"/>
      <c r="W476" s="300"/>
      <c r="X476" s="300"/>
      <c r="Y476" s="300"/>
      <c r="Z476" s="300"/>
      <c r="AL476" s="267"/>
      <c r="AM476" s="267"/>
      <c r="AN476" s="267"/>
      <c r="AO476" s="267"/>
      <c r="AP476" s="267"/>
    </row>
    <row r="477" spans="15:42" x14ac:dyDescent="0.2">
      <c r="O477" s="300"/>
      <c r="Q477" s="300"/>
      <c r="R477" s="300"/>
      <c r="S477" s="300"/>
      <c r="T477" s="300"/>
      <c r="U477" s="300"/>
      <c r="V477" s="300"/>
      <c r="W477" s="300"/>
      <c r="X477" s="300"/>
      <c r="Y477" s="300"/>
      <c r="Z477" s="300"/>
      <c r="AL477" s="267"/>
      <c r="AM477" s="267"/>
      <c r="AN477" s="267"/>
      <c r="AO477" s="267"/>
      <c r="AP477" s="267"/>
    </row>
    <row r="478" spans="15:42" x14ac:dyDescent="0.2">
      <c r="O478" s="300"/>
      <c r="Q478" s="300"/>
      <c r="R478" s="300"/>
      <c r="S478" s="300"/>
      <c r="T478" s="300"/>
      <c r="U478" s="300"/>
      <c r="V478" s="300"/>
      <c r="W478" s="300"/>
      <c r="X478" s="300"/>
      <c r="Y478" s="300"/>
      <c r="Z478" s="300"/>
      <c r="AL478" s="267"/>
      <c r="AM478" s="267"/>
      <c r="AN478" s="267"/>
      <c r="AO478" s="267"/>
      <c r="AP478" s="267"/>
    </row>
    <row r="479" spans="15:42" x14ac:dyDescent="0.2">
      <c r="O479" s="300"/>
      <c r="Q479" s="300"/>
      <c r="R479" s="300"/>
      <c r="S479" s="300"/>
      <c r="T479" s="300"/>
      <c r="U479" s="300"/>
      <c r="V479" s="300"/>
      <c r="W479" s="300"/>
      <c r="X479" s="300"/>
      <c r="Y479" s="300"/>
      <c r="Z479" s="300"/>
      <c r="AL479" s="267"/>
      <c r="AM479" s="267"/>
      <c r="AN479" s="267"/>
      <c r="AO479" s="267"/>
      <c r="AP479" s="267"/>
    </row>
    <row r="480" spans="15:42" x14ac:dyDescent="0.2">
      <c r="O480" s="300"/>
      <c r="Q480" s="300"/>
      <c r="R480" s="300"/>
      <c r="S480" s="300"/>
      <c r="T480" s="300"/>
      <c r="U480" s="300"/>
      <c r="V480" s="300"/>
      <c r="W480" s="300"/>
      <c r="X480" s="300"/>
      <c r="Y480" s="300"/>
      <c r="Z480" s="300"/>
      <c r="AL480" s="267"/>
      <c r="AM480" s="267"/>
      <c r="AN480" s="267"/>
      <c r="AO480" s="267"/>
      <c r="AP480" s="267"/>
    </row>
    <row r="481" spans="15:42" x14ac:dyDescent="0.2">
      <c r="O481" s="300"/>
      <c r="Q481" s="300"/>
      <c r="R481" s="300"/>
      <c r="S481" s="300"/>
      <c r="T481" s="300"/>
      <c r="U481" s="300"/>
      <c r="V481" s="300"/>
      <c r="W481" s="300"/>
      <c r="X481" s="300"/>
      <c r="Y481" s="300"/>
      <c r="Z481" s="300"/>
      <c r="AL481" s="267"/>
      <c r="AM481" s="267"/>
      <c r="AN481" s="267"/>
      <c r="AO481" s="267"/>
      <c r="AP481" s="267"/>
    </row>
    <row r="482" spans="15:42" x14ac:dyDescent="0.2">
      <c r="O482" s="300"/>
      <c r="Q482" s="300"/>
      <c r="R482" s="300"/>
      <c r="S482" s="300"/>
      <c r="T482" s="300"/>
      <c r="U482" s="300"/>
      <c r="V482" s="300"/>
      <c r="W482" s="300"/>
      <c r="X482" s="300"/>
      <c r="Y482" s="300"/>
      <c r="Z482" s="300"/>
      <c r="AL482" s="267"/>
      <c r="AM482" s="267"/>
      <c r="AN482" s="267"/>
      <c r="AO482" s="267"/>
      <c r="AP482" s="267"/>
    </row>
    <row r="483" spans="15:42" x14ac:dyDescent="0.2">
      <c r="O483" s="300"/>
      <c r="Q483" s="300"/>
      <c r="R483" s="300"/>
      <c r="S483" s="300"/>
      <c r="T483" s="300"/>
      <c r="U483" s="300"/>
      <c r="V483" s="300"/>
      <c r="W483" s="300"/>
      <c r="X483" s="300"/>
      <c r="Y483" s="300"/>
      <c r="Z483" s="300"/>
      <c r="AL483" s="267"/>
      <c r="AM483" s="267"/>
      <c r="AN483" s="267"/>
      <c r="AO483" s="267"/>
      <c r="AP483" s="267"/>
    </row>
    <row r="484" spans="15:42" x14ac:dyDescent="0.2">
      <c r="O484" s="300"/>
      <c r="Q484" s="300"/>
      <c r="R484" s="300"/>
      <c r="S484" s="300"/>
      <c r="T484" s="300"/>
      <c r="U484" s="300"/>
      <c r="V484" s="300"/>
      <c r="W484" s="300"/>
      <c r="X484" s="300"/>
      <c r="Y484" s="300"/>
      <c r="Z484" s="300"/>
      <c r="AL484" s="267"/>
      <c r="AM484" s="267"/>
      <c r="AN484" s="267"/>
      <c r="AO484" s="267"/>
      <c r="AP484" s="267"/>
    </row>
    <row r="485" spans="15:42" x14ac:dyDescent="0.2">
      <c r="O485" s="300"/>
      <c r="Q485" s="300"/>
      <c r="R485" s="300"/>
      <c r="S485" s="300"/>
      <c r="T485" s="300"/>
      <c r="U485" s="300"/>
      <c r="V485" s="300"/>
      <c r="W485" s="300"/>
      <c r="X485" s="300"/>
      <c r="Y485" s="300"/>
      <c r="Z485" s="300"/>
      <c r="AL485" s="267"/>
      <c r="AM485" s="267"/>
      <c r="AN485" s="267"/>
      <c r="AO485" s="267"/>
      <c r="AP485" s="267"/>
    </row>
    <row r="486" spans="15:42" x14ac:dyDescent="0.2">
      <c r="O486" s="300"/>
      <c r="Q486" s="300"/>
      <c r="R486" s="300"/>
      <c r="S486" s="300"/>
      <c r="T486" s="300"/>
      <c r="U486" s="300"/>
      <c r="V486" s="300"/>
      <c r="W486" s="300"/>
      <c r="X486" s="300"/>
      <c r="Y486" s="300"/>
      <c r="Z486" s="300"/>
      <c r="AL486" s="267"/>
      <c r="AM486" s="267"/>
      <c r="AN486" s="267"/>
      <c r="AO486" s="267"/>
      <c r="AP486" s="267"/>
    </row>
    <row r="487" spans="15:42" x14ac:dyDescent="0.2">
      <c r="O487" s="300"/>
      <c r="Q487" s="300"/>
      <c r="R487" s="300"/>
      <c r="S487" s="300"/>
      <c r="T487" s="300"/>
      <c r="U487" s="300"/>
      <c r="V487" s="300"/>
      <c r="W487" s="300"/>
      <c r="X487" s="300"/>
      <c r="Y487" s="300"/>
      <c r="Z487" s="300"/>
      <c r="AL487" s="267"/>
      <c r="AM487" s="267"/>
      <c r="AN487" s="267"/>
      <c r="AO487" s="267"/>
      <c r="AP487" s="267"/>
    </row>
    <row r="488" spans="15:42" x14ac:dyDescent="0.2">
      <c r="O488" s="300"/>
      <c r="Q488" s="300"/>
      <c r="R488" s="300"/>
      <c r="S488" s="300"/>
      <c r="T488" s="300"/>
      <c r="U488" s="300"/>
      <c r="V488" s="300"/>
      <c r="W488" s="300"/>
      <c r="X488" s="300"/>
      <c r="Y488" s="300"/>
      <c r="Z488" s="300"/>
      <c r="AL488" s="267"/>
      <c r="AM488" s="267"/>
      <c r="AN488" s="267"/>
      <c r="AO488" s="267"/>
      <c r="AP488" s="267"/>
    </row>
    <row r="489" spans="15:42" x14ac:dyDescent="0.2">
      <c r="O489" s="300"/>
      <c r="Q489" s="300"/>
      <c r="R489" s="300"/>
      <c r="S489" s="300"/>
      <c r="T489" s="300"/>
      <c r="U489" s="300"/>
      <c r="V489" s="300"/>
      <c r="W489" s="300"/>
      <c r="X489" s="300"/>
      <c r="Y489" s="300"/>
      <c r="Z489" s="300"/>
      <c r="AL489" s="267"/>
      <c r="AM489" s="267"/>
      <c r="AN489" s="267"/>
      <c r="AO489" s="267"/>
      <c r="AP489" s="267"/>
    </row>
    <row r="490" spans="15:42" x14ac:dyDescent="0.2">
      <c r="O490" s="300"/>
      <c r="Q490" s="300"/>
      <c r="R490" s="300"/>
      <c r="S490" s="300"/>
      <c r="T490" s="300"/>
      <c r="U490" s="300"/>
      <c r="V490" s="300"/>
      <c r="W490" s="300"/>
      <c r="X490" s="300"/>
      <c r="Y490" s="300"/>
      <c r="Z490" s="300"/>
      <c r="AL490" s="267"/>
      <c r="AM490" s="267"/>
      <c r="AN490" s="267"/>
      <c r="AO490" s="267"/>
      <c r="AP490" s="267"/>
    </row>
    <row r="491" spans="15:42" x14ac:dyDescent="0.2">
      <c r="O491" s="300"/>
      <c r="Q491" s="300"/>
      <c r="R491" s="300"/>
      <c r="S491" s="300"/>
      <c r="T491" s="300"/>
      <c r="U491" s="300"/>
      <c r="V491" s="300"/>
      <c r="W491" s="300"/>
      <c r="X491" s="300"/>
      <c r="Y491" s="300"/>
      <c r="Z491" s="300"/>
      <c r="AL491" s="267"/>
      <c r="AM491" s="267"/>
      <c r="AN491" s="267"/>
      <c r="AO491" s="267"/>
      <c r="AP491" s="267"/>
    </row>
    <row r="492" spans="15:42" x14ac:dyDescent="0.2">
      <c r="O492" s="300"/>
      <c r="Q492" s="300"/>
      <c r="R492" s="300"/>
      <c r="S492" s="300"/>
      <c r="T492" s="300"/>
      <c r="U492" s="300"/>
      <c r="V492" s="300"/>
      <c r="W492" s="300"/>
      <c r="X492" s="300"/>
      <c r="Y492" s="300"/>
      <c r="Z492" s="300"/>
      <c r="AL492" s="267"/>
      <c r="AM492" s="267"/>
      <c r="AN492" s="267"/>
      <c r="AO492" s="267"/>
      <c r="AP492" s="267"/>
    </row>
    <row r="493" spans="15:42" x14ac:dyDescent="0.2">
      <c r="O493" s="300"/>
      <c r="Q493" s="300"/>
      <c r="R493" s="300"/>
      <c r="S493" s="300"/>
      <c r="T493" s="300"/>
      <c r="U493" s="300"/>
      <c r="V493" s="300"/>
      <c r="W493" s="300"/>
      <c r="X493" s="300"/>
      <c r="Y493" s="300"/>
      <c r="Z493" s="300"/>
      <c r="AL493" s="267"/>
      <c r="AM493" s="267"/>
      <c r="AN493" s="267"/>
      <c r="AO493" s="267"/>
      <c r="AP493" s="267"/>
    </row>
    <row r="494" spans="15:42" x14ac:dyDescent="0.2">
      <c r="O494" s="300"/>
      <c r="Q494" s="300"/>
      <c r="R494" s="300"/>
      <c r="S494" s="300"/>
      <c r="T494" s="300"/>
      <c r="U494" s="300"/>
      <c r="V494" s="300"/>
      <c r="W494" s="300"/>
      <c r="X494" s="300"/>
      <c r="Y494" s="300"/>
      <c r="Z494" s="300"/>
      <c r="AL494" s="267"/>
      <c r="AM494" s="267"/>
      <c r="AN494" s="267"/>
      <c r="AO494" s="267"/>
      <c r="AP494" s="267"/>
    </row>
    <row r="495" spans="15:42" x14ac:dyDescent="0.2">
      <c r="O495" s="300"/>
      <c r="Q495" s="300"/>
      <c r="R495" s="300"/>
      <c r="S495" s="300"/>
      <c r="T495" s="300"/>
      <c r="U495" s="300"/>
      <c r="V495" s="300"/>
      <c r="W495" s="300"/>
      <c r="X495" s="300"/>
      <c r="Y495" s="300"/>
      <c r="Z495" s="300"/>
      <c r="AL495" s="267"/>
      <c r="AM495" s="267"/>
      <c r="AN495" s="267"/>
      <c r="AO495" s="267"/>
      <c r="AP495" s="267"/>
    </row>
    <row r="496" spans="15:42" x14ac:dyDescent="0.2">
      <c r="O496" s="300"/>
      <c r="Q496" s="300"/>
      <c r="R496" s="300"/>
      <c r="S496" s="300"/>
      <c r="T496" s="300"/>
      <c r="U496" s="300"/>
      <c r="V496" s="300"/>
      <c r="W496" s="300"/>
      <c r="X496" s="300"/>
      <c r="Y496" s="300"/>
      <c r="Z496" s="300"/>
      <c r="AL496" s="267"/>
      <c r="AM496" s="267"/>
      <c r="AN496" s="267"/>
      <c r="AO496" s="267"/>
      <c r="AP496" s="267"/>
    </row>
    <row r="497" spans="13:42" x14ac:dyDescent="0.2">
      <c r="O497" s="300"/>
      <c r="Q497" s="300"/>
      <c r="R497" s="300"/>
      <c r="S497" s="300"/>
      <c r="T497" s="300"/>
      <c r="U497" s="300"/>
      <c r="V497" s="300"/>
      <c r="W497" s="300"/>
      <c r="X497" s="300"/>
      <c r="Y497" s="300"/>
      <c r="Z497" s="300"/>
      <c r="AL497" s="267"/>
      <c r="AM497" s="267"/>
      <c r="AN497" s="267"/>
      <c r="AO497" s="267"/>
      <c r="AP497" s="267"/>
    </row>
    <row r="498" spans="13:42" x14ac:dyDescent="0.2">
      <c r="O498" s="300"/>
      <c r="Q498" s="300"/>
      <c r="R498" s="300"/>
      <c r="S498" s="300"/>
      <c r="T498" s="300"/>
      <c r="U498" s="300"/>
      <c r="V498" s="300"/>
      <c r="W498" s="300"/>
      <c r="X498" s="300"/>
      <c r="Y498" s="300"/>
      <c r="Z498" s="300"/>
      <c r="AL498" s="267"/>
      <c r="AM498" s="267"/>
      <c r="AN498" s="267"/>
      <c r="AO498" s="267"/>
      <c r="AP498" s="267"/>
    </row>
    <row r="499" spans="13:42" x14ac:dyDescent="0.2">
      <c r="O499" s="300"/>
      <c r="Q499" s="300"/>
      <c r="R499" s="300"/>
      <c r="S499" s="300"/>
      <c r="T499" s="300"/>
      <c r="U499" s="300"/>
      <c r="V499" s="300"/>
      <c r="W499" s="300"/>
      <c r="X499" s="300"/>
      <c r="Y499" s="300"/>
      <c r="Z499" s="300"/>
      <c r="AL499" s="267"/>
      <c r="AM499" s="267"/>
      <c r="AN499" s="267"/>
      <c r="AO499" s="267"/>
      <c r="AP499" s="267"/>
    </row>
    <row r="500" spans="13:42" x14ac:dyDescent="0.2">
      <c r="O500" s="300"/>
      <c r="Q500" s="300"/>
      <c r="R500" s="300"/>
      <c r="S500" s="300"/>
      <c r="T500" s="300"/>
      <c r="U500" s="300"/>
      <c r="V500" s="300"/>
      <c r="W500" s="300"/>
      <c r="X500" s="300"/>
      <c r="Y500" s="300"/>
      <c r="Z500" s="300"/>
      <c r="AL500" s="267"/>
      <c r="AM500" s="267"/>
      <c r="AN500" s="267"/>
      <c r="AO500" s="267"/>
      <c r="AP500" s="267"/>
    </row>
    <row r="501" spans="13:42" x14ac:dyDescent="0.2">
      <c r="O501" s="300"/>
      <c r="Q501" s="300"/>
      <c r="R501" s="300"/>
      <c r="S501" s="300"/>
      <c r="T501" s="300"/>
      <c r="U501" s="300"/>
      <c r="V501" s="300"/>
      <c r="W501" s="300"/>
      <c r="X501" s="300"/>
      <c r="Y501" s="300"/>
      <c r="Z501" s="300"/>
      <c r="AL501" s="267"/>
      <c r="AM501" s="267"/>
      <c r="AN501" s="267"/>
      <c r="AO501" s="267"/>
      <c r="AP501" s="267"/>
    </row>
    <row r="502" spans="13:42" x14ac:dyDescent="0.2">
      <c r="O502" s="300"/>
      <c r="Q502" s="300"/>
      <c r="R502" s="300"/>
      <c r="S502" s="300"/>
      <c r="T502" s="300"/>
      <c r="U502" s="300"/>
      <c r="V502" s="300"/>
      <c r="W502" s="300"/>
      <c r="X502" s="300"/>
      <c r="Y502" s="300"/>
      <c r="Z502" s="300"/>
      <c r="AL502" s="267"/>
      <c r="AM502" s="267"/>
      <c r="AN502" s="267"/>
      <c r="AO502" s="267"/>
      <c r="AP502" s="267"/>
    </row>
    <row r="503" spans="13:42" x14ac:dyDescent="0.2">
      <c r="M503" s="301"/>
      <c r="O503" s="300"/>
      <c r="Q503" s="300"/>
      <c r="R503" s="300"/>
      <c r="S503" s="300"/>
      <c r="T503" s="300"/>
      <c r="U503" s="300"/>
      <c r="V503" s="300"/>
      <c r="W503" s="300"/>
      <c r="X503" s="300"/>
      <c r="Y503" s="300"/>
      <c r="Z503" s="300"/>
      <c r="AL503" s="267"/>
      <c r="AM503" s="267"/>
      <c r="AN503" s="267"/>
      <c r="AO503" s="267"/>
      <c r="AP503" s="267"/>
    </row>
    <row r="504" spans="13:42" x14ac:dyDescent="0.2">
      <c r="M504" s="301"/>
    </row>
    <row r="505" spans="13:42" x14ac:dyDescent="0.2">
      <c r="M505" s="301"/>
      <c r="O505" s="300"/>
      <c r="Q505" s="300"/>
      <c r="R505" s="300"/>
      <c r="S505" s="300"/>
      <c r="T505" s="300"/>
      <c r="U505" s="300"/>
      <c r="V505" s="300"/>
      <c r="W505" s="300"/>
      <c r="X505" s="300"/>
      <c r="Y505" s="300"/>
      <c r="Z505" s="300"/>
      <c r="AL505" s="267"/>
      <c r="AM505" s="267"/>
      <c r="AN505" s="267"/>
      <c r="AO505" s="267"/>
      <c r="AP505" s="267"/>
    </row>
    <row r="506" spans="13:42" x14ac:dyDescent="0.2">
      <c r="M506" s="301"/>
    </row>
    <row r="507" spans="13:42" x14ac:dyDescent="0.2">
      <c r="M507" s="301"/>
      <c r="O507" s="300"/>
      <c r="Q507" s="300"/>
      <c r="R507" s="300"/>
      <c r="S507" s="300"/>
      <c r="T507" s="300"/>
      <c r="U507" s="300"/>
      <c r="V507" s="300"/>
      <c r="W507" s="300"/>
      <c r="X507" s="300"/>
      <c r="Y507" s="300"/>
      <c r="Z507" s="300"/>
      <c r="AL507" s="267"/>
      <c r="AM507" s="267"/>
      <c r="AN507" s="267"/>
      <c r="AO507" s="267"/>
      <c r="AP507" s="267"/>
    </row>
    <row r="508" spans="13:42" x14ac:dyDescent="0.2">
      <c r="M508" s="301"/>
    </row>
    <row r="509" spans="13:42" x14ac:dyDescent="0.2">
      <c r="M509" s="301"/>
      <c r="O509" s="300"/>
      <c r="Q509" s="300"/>
      <c r="R509" s="300"/>
      <c r="S509" s="300"/>
      <c r="T509" s="300"/>
      <c r="U509" s="300"/>
      <c r="V509" s="300"/>
      <c r="W509" s="300"/>
      <c r="X509" s="300"/>
      <c r="Y509" s="300"/>
      <c r="Z509" s="300"/>
      <c r="AL509" s="267"/>
      <c r="AM509" s="267"/>
      <c r="AN509" s="267"/>
      <c r="AO509" s="267"/>
      <c r="AP509" s="267"/>
    </row>
    <row r="510" spans="13:42" x14ac:dyDescent="0.2">
      <c r="M510" s="301"/>
    </row>
    <row r="511" spans="13:42" x14ac:dyDescent="0.2">
      <c r="M511" s="301"/>
      <c r="O511" s="300"/>
      <c r="Q511" s="300"/>
      <c r="R511" s="300"/>
      <c r="S511" s="300"/>
      <c r="T511" s="300"/>
      <c r="U511" s="300"/>
      <c r="V511" s="300"/>
      <c r="W511" s="300"/>
      <c r="X511" s="300"/>
      <c r="Y511" s="300"/>
      <c r="Z511" s="300"/>
      <c r="AL511" s="267"/>
      <c r="AM511" s="267"/>
      <c r="AN511" s="267"/>
      <c r="AO511" s="267"/>
      <c r="AP511" s="267"/>
    </row>
    <row r="512" spans="13:42" x14ac:dyDescent="0.2">
      <c r="M512" s="301"/>
    </row>
    <row r="513" spans="13:42" x14ac:dyDescent="0.2">
      <c r="M513" s="301"/>
      <c r="O513" s="300"/>
      <c r="Q513" s="300"/>
      <c r="R513" s="300"/>
      <c r="S513" s="300"/>
      <c r="T513" s="300"/>
      <c r="U513" s="300"/>
      <c r="V513" s="300"/>
      <c r="W513" s="300"/>
      <c r="X513" s="300"/>
      <c r="Y513" s="300"/>
      <c r="Z513" s="300"/>
      <c r="AL513" s="267"/>
      <c r="AM513" s="267"/>
      <c r="AN513" s="267"/>
      <c r="AO513" s="267"/>
      <c r="AP513" s="267"/>
    </row>
    <row r="514" spans="13:42" x14ac:dyDescent="0.2">
      <c r="M514" s="301"/>
    </row>
    <row r="515" spans="13:42" x14ac:dyDescent="0.2">
      <c r="M515" s="301"/>
      <c r="O515" s="300"/>
      <c r="Q515" s="300"/>
      <c r="R515" s="300"/>
      <c r="S515" s="300"/>
      <c r="T515" s="300"/>
      <c r="U515" s="300"/>
      <c r="V515" s="300"/>
      <c r="W515" s="300"/>
      <c r="X515" s="300"/>
      <c r="Y515" s="300"/>
      <c r="Z515" s="300"/>
      <c r="AL515" s="267"/>
      <c r="AM515" s="267"/>
      <c r="AN515" s="267"/>
      <c r="AO515" s="267"/>
      <c r="AP515" s="267"/>
    </row>
    <row r="516" spans="13:42" x14ac:dyDescent="0.2">
      <c r="M516" s="301"/>
    </row>
    <row r="517" spans="13:42" x14ac:dyDescent="0.2">
      <c r="M517" s="301"/>
      <c r="O517" s="300"/>
      <c r="Q517" s="300"/>
      <c r="R517" s="300"/>
      <c r="S517" s="300"/>
      <c r="T517" s="300"/>
      <c r="U517" s="300"/>
      <c r="V517" s="300"/>
      <c r="W517" s="300"/>
      <c r="X517" s="300"/>
      <c r="Y517" s="300"/>
      <c r="Z517" s="300"/>
      <c r="AL517" s="267"/>
      <c r="AM517" s="267"/>
      <c r="AN517" s="267"/>
      <c r="AO517" s="267"/>
      <c r="AP517" s="267"/>
    </row>
    <row r="518" spans="13:42" x14ac:dyDescent="0.2">
      <c r="M518" s="301"/>
    </row>
    <row r="519" spans="13:42" x14ac:dyDescent="0.2">
      <c r="O519" s="300"/>
      <c r="Q519" s="300"/>
      <c r="R519" s="300"/>
      <c r="S519" s="300"/>
      <c r="T519" s="300"/>
      <c r="U519" s="300"/>
      <c r="V519" s="300"/>
      <c r="W519" s="300"/>
      <c r="X519" s="300"/>
      <c r="Y519" s="300"/>
      <c r="Z519" s="300"/>
      <c r="AL519" s="267"/>
      <c r="AM519" s="267"/>
      <c r="AN519" s="267"/>
      <c r="AO519" s="267"/>
      <c r="AP519" s="267"/>
    </row>
    <row r="520" spans="13:42" x14ac:dyDescent="0.2">
      <c r="O520" s="300"/>
      <c r="Q520" s="300"/>
      <c r="R520" s="300"/>
      <c r="S520" s="300"/>
      <c r="T520" s="300"/>
      <c r="U520" s="300"/>
      <c r="V520" s="300"/>
      <c r="W520" s="300"/>
      <c r="X520" s="300"/>
      <c r="Y520" s="300"/>
      <c r="Z520" s="300"/>
      <c r="AL520" s="267"/>
      <c r="AM520" s="267"/>
      <c r="AN520" s="267"/>
      <c r="AO520" s="267"/>
      <c r="AP520" s="267"/>
    </row>
    <row r="521" spans="13:42" x14ac:dyDescent="0.2">
      <c r="O521" s="300"/>
      <c r="Q521" s="300"/>
      <c r="R521" s="300"/>
      <c r="S521" s="300"/>
      <c r="T521" s="300"/>
      <c r="U521" s="300"/>
      <c r="V521" s="300"/>
      <c r="W521" s="300"/>
      <c r="X521" s="300"/>
      <c r="Y521" s="300"/>
      <c r="Z521" s="300"/>
      <c r="AL521" s="267"/>
      <c r="AM521" s="267"/>
      <c r="AN521" s="267"/>
      <c r="AO521" s="267"/>
      <c r="AP521" s="267"/>
    </row>
    <row r="522" spans="13:42" x14ac:dyDescent="0.2">
      <c r="O522" s="300"/>
      <c r="Q522" s="300"/>
      <c r="R522" s="300"/>
      <c r="S522" s="300"/>
      <c r="T522" s="300"/>
      <c r="U522" s="300"/>
      <c r="V522" s="300"/>
      <c r="W522" s="300"/>
      <c r="X522" s="300"/>
      <c r="Y522" s="300"/>
      <c r="Z522" s="300"/>
      <c r="AL522" s="267"/>
      <c r="AM522" s="267"/>
      <c r="AN522" s="267"/>
      <c r="AO522" s="267"/>
      <c r="AP522" s="267"/>
    </row>
    <row r="523" spans="13:42" x14ac:dyDescent="0.2">
      <c r="O523" s="300"/>
      <c r="Q523" s="300"/>
      <c r="R523" s="300"/>
      <c r="S523" s="300"/>
      <c r="T523" s="300"/>
      <c r="U523" s="300"/>
      <c r="V523" s="300"/>
      <c r="W523" s="300"/>
      <c r="X523" s="300"/>
      <c r="Y523" s="300"/>
      <c r="Z523" s="300"/>
      <c r="AL523" s="267"/>
      <c r="AM523" s="267"/>
      <c r="AN523" s="267"/>
      <c r="AO523" s="267"/>
      <c r="AP523" s="267"/>
    </row>
    <row r="524" spans="13:42" x14ac:dyDescent="0.2">
      <c r="O524" s="300"/>
      <c r="Q524" s="300"/>
      <c r="R524" s="300"/>
      <c r="S524" s="300"/>
      <c r="T524" s="300"/>
      <c r="U524" s="300"/>
      <c r="V524" s="300"/>
      <c r="W524" s="300"/>
      <c r="X524" s="300"/>
      <c r="Y524" s="300"/>
      <c r="Z524" s="300"/>
      <c r="AL524" s="267"/>
      <c r="AM524" s="267"/>
      <c r="AN524" s="267"/>
      <c r="AO524" s="267"/>
      <c r="AP524" s="267"/>
    </row>
    <row r="525" spans="13:42" x14ac:dyDescent="0.2">
      <c r="O525" s="300"/>
      <c r="Q525" s="300"/>
      <c r="R525" s="300"/>
      <c r="S525" s="300"/>
      <c r="T525" s="300"/>
      <c r="U525" s="300"/>
      <c r="V525" s="300"/>
      <c r="W525" s="300"/>
      <c r="X525" s="300"/>
      <c r="Y525" s="300"/>
      <c r="Z525" s="300"/>
      <c r="AL525" s="267"/>
      <c r="AM525" s="267"/>
      <c r="AN525" s="267"/>
      <c r="AO525" s="267"/>
      <c r="AP525" s="267"/>
    </row>
    <row r="526" spans="13:42" x14ac:dyDescent="0.2">
      <c r="O526" s="300"/>
      <c r="Q526" s="300"/>
      <c r="R526" s="300"/>
      <c r="S526" s="300"/>
      <c r="T526" s="300"/>
      <c r="U526" s="300"/>
      <c r="V526" s="300"/>
      <c r="W526" s="300"/>
      <c r="X526" s="300"/>
      <c r="Y526" s="300"/>
      <c r="Z526" s="300"/>
      <c r="AL526" s="267"/>
      <c r="AM526" s="267"/>
      <c r="AN526" s="267"/>
      <c r="AO526" s="267"/>
      <c r="AP526" s="267"/>
    </row>
    <row r="527" spans="13:42" x14ac:dyDescent="0.2">
      <c r="O527" s="300"/>
      <c r="Q527" s="300"/>
      <c r="R527" s="300"/>
      <c r="S527" s="300"/>
      <c r="T527" s="300"/>
      <c r="U527" s="300"/>
      <c r="V527" s="300"/>
      <c r="W527" s="300"/>
      <c r="X527" s="300"/>
      <c r="Y527" s="300"/>
      <c r="Z527" s="300"/>
      <c r="AL527" s="267"/>
      <c r="AM527" s="267"/>
      <c r="AN527" s="267"/>
      <c r="AO527" s="267"/>
      <c r="AP527" s="267"/>
    </row>
    <row r="528" spans="13:42" x14ac:dyDescent="0.2">
      <c r="O528" s="300"/>
      <c r="Q528" s="300"/>
      <c r="R528" s="300"/>
      <c r="S528" s="300"/>
      <c r="T528" s="300"/>
      <c r="U528" s="300"/>
      <c r="V528" s="300"/>
      <c r="W528" s="300"/>
      <c r="X528" s="300"/>
      <c r="Y528" s="300"/>
      <c r="Z528" s="300"/>
      <c r="AL528" s="267"/>
      <c r="AM528" s="267"/>
      <c r="AN528" s="267"/>
      <c r="AO528" s="267"/>
      <c r="AP528" s="267"/>
    </row>
    <row r="529" spans="15:42" x14ac:dyDescent="0.2">
      <c r="O529" s="300"/>
      <c r="Q529" s="300"/>
      <c r="R529" s="300"/>
      <c r="S529" s="300"/>
      <c r="T529" s="300"/>
      <c r="U529" s="300"/>
      <c r="V529" s="300"/>
      <c r="W529" s="300"/>
      <c r="X529" s="300"/>
      <c r="Y529" s="300"/>
      <c r="Z529" s="300"/>
      <c r="AL529" s="267"/>
      <c r="AM529" s="267"/>
      <c r="AN529" s="267"/>
      <c r="AO529" s="267"/>
      <c r="AP529" s="267"/>
    </row>
    <row r="530" spans="15:42" x14ac:dyDescent="0.2">
      <c r="O530" s="300"/>
      <c r="Q530" s="300"/>
      <c r="R530" s="300"/>
      <c r="S530" s="300"/>
      <c r="T530" s="300"/>
      <c r="U530" s="300"/>
      <c r="V530" s="300"/>
      <c r="W530" s="300"/>
      <c r="X530" s="300"/>
      <c r="Y530" s="300"/>
      <c r="Z530" s="300"/>
      <c r="AL530" s="267"/>
      <c r="AM530" s="267"/>
      <c r="AN530" s="267"/>
      <c r="AO530" s="267"/>
      <c r="AP530" s="267"/>
    </row>
    <row r="531" spans="15:42" x14ac:dyDescent="0.2">
      <c r="O531" s="300"/>
      <c r="Q531" s="300"/>
      <c r="R531" s="300"/>
      <c r="S531" s="300"/>
      <c r="T531" s="300"/>
      <c r="U531" s="300"/>
      <c r="V531" s="300"/>
      <c r="W531" s="300"/>
      <c r="X531" s="300"/>
      <c r="Y531" s="300"/>
      <c r="Z531" s="300"/>
      <c r="AL531" s="267"/>
      <c r="AM531" s="267"/>
      <c r="AN531" s="267"/>
      <c r="AO531" s="267"/>
      <c r="AP531" s="267"/>
    </row>
    <row r="532" spans="15:42" x14ac:dyDescent="0.2">
      <c r="O532" s="300"/>
      <c r="Q532" s="300"/>
      <c r="R532" s="300"/>
      <c r="S532" s="300"/>
      <c r="T532" s="300"/>
      <c r="U532" s="300"/>
      <c r="V532" s="300"/>
      <c r="W532" s="300"/>
      <c r="X532" s="300"/>
      <c r="Y532" s="300"/>
      <c r="Z532" s="300"/>
      <c r="AL532" s="267"/>
      <c r="AM532" s="267"/>
      <c r="AN532" s="267"/>
      <c r="AO532" s="267"/>
      <c r="AP532" s="267"/>
    </row>
    <row r="533" spans="15:42" x14ac:dyDescent="0.2">
      <c r="O533" s="300"/>
      <c r="Q533" s="300"/>
      <c r="R533" s="300"/>
      <c r="S533" s="300"/>
      <c r="T533" s="300"/>
      <c r="U533" s="300"/>
      <c r="V533" s="300"/>
      <c r="W533" s="300"/>
      <c r="X533" s="300"/>
      <c r="Y533" s="300"/>
      <c r="Z533" s="300"/>
      <c r="AL533" s="267"/>
      <c r="AM533" s="267"/>
      <c r="AN533" s="267"/>
      <c r="AO533" s="267"/>
      <c r="AP533" s="267"/>
    </row>
    <row r="534" spans="15:42" x14ac:dyDescent="0.2">
      <c r="O534" s="300"/>
      <c r="Q534" s="300"/>
      <c r="R534" s="300"/>
      <c r="S534" s="300"/>
      <c r="T534" s="300"/>
      <c r="U534" s="300"/>
      <c r="V534" s="300"/>
      <c r="W534" s="300"/>
      <c r="X534" s="300"/>
      <c r="Y534" s="300"/>
      <c r="Z534" s="300"/>
      <c r="AL534" s="267"/>
      <c r="AM534" s="267"/>
      <c r="AN534" s="267"/>
      <c r="AO534" s="267"/>
      <c r="AP534" s="267"/>
    </row>
    <row r="535" spans="15:42" x14ac:dyDescent="0.2">
      <c r="O535" s="300"/>
      <c r="Q535" s="300"/>
      <c r="R535" s="300"/>
      <c r="S535" s="300"/>
      <c r="T535" s="300"/>
      <c r="U535" s="300"/>
      <c r="V535" s="300"/>
      <c r="W535" s="300"/>
      <c r="X535" s="300"/>
      <c r="Y535" s="300"/>
      <c r="Z535" s="300"/>
      <c r="AL535" s="267"/>
      <c r="AM535" s="267"/>
      <c r="AN535" s="267"/>
      <c r="AO535" s="267"/>
      <c r="AP535" s="267"/>
    </row>
    <row r="536" spans="15:42" x14ac:dyDescent="0.2">
      <c r="O536" s="300"/>
      <c r="Q536" s="300"/>
      <c r="R536" s="300"/>
      <c r="S536" s="300"/>
      <c r="T536" s="300"/>
      <c r="U536" s="300"/>
      <c r="V536" s="300"/>
      <c r="W536" s="300"/>
      <c r="X536" s="300"/>
      <c r="Y536" s="300"/>
      <c r="Z536" s="300"/>
      <c r="AL536" s="267"/>
      <c r="AM536" s="267"/>
      <c r="AN536" s="267"/>
      <c r="AO536" s="267"/>
      <c r="AP536" s="267"/>
    </row>
    <row r="537" spans="15:42" x14ac:dyDescent="0.2">
      <c r="O537" s="300"/>
      <c r="Q537" s="300"/>
      <c r="R537" s="300"/>
      <c r="S537" s="300"/>
      <c r="T537" s="300"/>
      <c r="U537" s="300"/>
      <c r="V537" s="300"/>
      <c r="W537" s="300"/>
      <c r="X537" s="300"/>
      <c r="Y537" s="300"/>
      <c r="Z537" s="300"/>
      <c r="AL537" s="267"/>
      <c r="AM537" s="267"/>
      <c r="AN537" s="267"/>
      <c r="AO537" s="267"/>
      <c r="AP537" s="267"/>
    </row>
    <row r="538" spans="15:42" x14ac:dyDescent="0.2">
      <c r="O538" s="300"/>
      <c r="Q538" s="300"/>
      <c r="R538" s="300"/>
      <c r="S538" s="300"/>
      <c r="T538" s="300"/>
      <c r="U538" s="300"/>
      <c r="V538" s="300"/>
      <c r="W538" s="300"/>
      <c r="X538" s="300"/>
      <c r="Y538" s="300"/>
      <c r="Z538" s="300"/>
      <c r="AL538" s="267"/>
      <c r="AM538" s="267"/>
      <c r="AN538" s="267"/>
      <c r="AO538" s="267"/>
      <c r="AP538" s="267"/>
    </row>
    <row r="539" spans="15:42" x14ac:dyDescent="0.2">
      <c r="O539" s="300"/>
      <c r="Q539" s="300"/>
      <c r="R539" s="300"/>
      <c r="S539" s="300"/>
      <c r="T539" s="300"/>
      <c r="U539" s="300"/>
      <c r="V539" s="300"/>
      <c r="W539" s="300"/>
      <c r="X539" s="300"/>
      <c r="Y539" s="300"/>
      <c r="Z539" s="300"/>
      <c r="AL539" s="267"/>
      <c r="AM539" s="267"/>
      <c r="AN539" s="267"/>
      <c r="AO539" s="267"/>
      <c r="AP539" s="267"/>
    </row>
    <row r="540" spans="15:42" x14ac:dyDescent="0.2">
      <c r="O540" s="300"/>
      <c r="Q540" s="300"/>
      <c r="R540" s="300"/>
      <c r="S540" s="300"/>
      <c r="T540" s="300"/>
      <c r="U540" s="300"/>
      <c r="V540" s="300"/>
      <c r="W540" s="300"/>
      <c r="X540" s="300"/>
      <c r="Y540" s="300"/>
      <c r="Z540" s="300"/>
      <c r="AL540" s="267"/>
      <c r="AM540" s="267"/>
      <c r="AN540" s="267"/>
      <c r="AO540" s="267"/>
      <c r="AP540" s="267"/>
    </row>
    <row r="541" spans="15:42" x14ac:dyDescent="0.2">
      <c r="O541" s="300"/>
      <c r="Q541" s="300"/>
      <c r="R541" s="300"/>
      <c r="S541" s="300"/>
      <c r="T541" s="300"/>
      <c r="U541" s="300"/>
      <c r="V541" s="300"/>
      <c r="W541" s="300"/>
      <c r="X541" s="300"/>
      <c r="Y541" s="300"/>
      <c r="Z541" s="300"/>
      <c r="AL541" s="267"/>
      <c r="AM541" s="267"/>
      <c r="AN541" s="267"/>
      <c r="AO541" s="267"/>
      <c r="AP541" s="267"/>
    </row>
    <row r="542" spans="15:42" x14ac:dyDescent="0.2">
      <c r="O542" s="300"/>
      <c r="Q542" s="300"/>
      <c r="R542" s="300"/>
      <c r="S542" s="300"/>
      <c r="T542" s="300"/>
      <c r="U542" s="300"/>
      <c r="V542" s="300"/>
      <c r="W542" s="300"/>
      <c r="X542" s="300"/>
      <c r="Y542" s="300"/>
      <c r="Z542" s="300"/>
      <c r="AL542" s="267"/>
      <c r="AM542" s="267"/>
      <c r="AN542" s="267"/>
      <c r="AO542" s="267"/>
      <c r="AP542" s="267"/>
    </row>
    <row r="543" spans="15:42" x14ac:dyDescent="0.2">
      <c r="O543" s="300"/>
      <c r="Q543" s="300"/>
      <c r="R543" s="300"/>
      <c r="S543" s="300"/>
      <c r="T543" s="300"/>
      <c r="U543" s="300"/>
      <c r="V543" s="300"/>
      <c r="W543" s="300"/>
      <c r="X543" s="300"/>
      <c r="Y543" s="300"/>
      <c r="Z543" s="300"/>
      <c r="AL543" s="267"/>
      <c r="AM543" s="267"/>
      <c r="AN543" s="267"/>
      <c r="AO543" s="267"/>
      <c r="AP543" s="267"/>
    </row>
    <row r="544" spans="15:42" x14ac:dyDescent="0.2">
      <c r="O544" s="300"/>
      <c r="Q544" s="300"/>
      <c r="R544" s="300"/>
      <c r="S544" s="300"/>
      <c r="T544" s="300"/>
      <c r="U544" s="300"/>
      <c r="V544" s="300"/>
      <c r="W544" s="300"/>
      <c r="X544" s="300"/>
      <c r="Y544" s="300"/>
      <c r="Z544" s="300"/>
      <c r="AL544" s="267"/>
      <c r="AM544" s="267"/>
      <c r="AN544" s="267"/>
      <c r="AO544" s="267"/>
      <c r="AP544" s="267"/>
    </row>
    <row r="545" spans="15:42" x14ac:dyDescent="0.2">
      <c r="O545" s="300"/>
      <c r="Q545" s="300"/>
      <c r="R545" s="300"/>
      <c r="S545" s="300"/>
      <c r="T545" s="300"/>
      <c r="U545" s="300"/>
      <c r="V545" s="300"/>
      <c r="W545" s="300"/>
      <c r="X545" s="300"/>
      <c r="Y545" s="300"/>
      <c r="Z545" s="300"/>
      <c r="AL545" s="267"/>
      <c r="AM545" s="267"/>
      <c r="AN545" s="267"/>
      <c r="AO545" s="267"/>
      <c r="AP545" s="267"/>
    </row>
    <row r="546" spans="15:42" x14ac:dyDescent="0.2">
      <c r="O546" s="300"/>
      <c r="Q546" s="300"/>
      <c r="R546" s="300"/>
      <c r="S546" s="300"/>
      <c r="T546" s="300"/>
      <c r="U546" s="300"/>
      <c r="V546" s="300"/>
      <c r="W546" s="300"/>
      <c r="X546" s="300"/>
      <c r="Y546" s="300"/>
      <c r="Z546" s="300"/>
      <c r="AL546" s="267"/>
      <c r="AM546" s="267"/>
      <c r="AN546" s="267"/>
      <c r="AO546" s="267"/>
      <c r="AP546" s="267"/>
    </row>
    <row r="547" spans="15:42" x14ac:dyDescent="0.2">
      <c r="O547" s="300"/>
      <c r="Q547" s="300"/>
      <c r="R547" s="300"/>
      <c r="S547" s="300"/>
      <c r="T547" s="300"/>
      <c r="U547" s="300"/>
      <c r="V547" s="300"/>
      <c r="W547" s="300"/>
      <c r="X547" s="300"/>
      <c r="Y547" s="300"/>
      <c r="Z547" s="300"/>
      <c r="AL547" s="267"/>
      <c r="AM547" s="267"/>
      <c r="AN547" s="267"/>
      <c r="AO547" s="267"/>
      <c r="AP547" s="267"/>
    </row>
    <row r="548" spans="15:42" x14ac:dyDescent="0.2">
      <c r="O548" s="300"/>
      <c r="Q548" s="300"/>
      <c r="R548" s="300"/>
      <c r="S548" s="300"/>
      <c r="T548" s="300"/>
      <c r="U548" s="300"/>
      <c r="V548" s="300"/>
      <c r="W548" s="300"/>
      <c r="X548" s="300"/>
      <c r="Y548" s="300"/>
      <c r="Z548" s="300"/>
      <c r="AL548" s="267"/>
      <c r="AM548" s="267"/>
      <c r="AN548" s="267"/>
      <c r="AO548" s="267"/>
      <c r="AP548" s="267"/>
    </row>
    <row r="549" spans="15:42" x14ac:dyDescent="0.2">
      <c r="O549" s="300"/>
      <c r="Q549" s="300"/>
      <c r="R549" s="300"/>
      <c r="S549" s="300"/>
      <c r="T549" s="300"/>
      <c r="U549" s="300"/>
      <c r="V549" s="300"/>
      <c r="W549" s="300"/>
      <c r="X549" s="300"/>
      <c r="Y549" s="300"/>
      <c r="Z549" s="300"/>
      <c r="AL549" s="267"/>
      <c r="AM549" s="267"/>
      <c r="AN549" s="267"/>
      <c r="AO549" s="267"/>
      <c r="AP549" s="267"/>
    </row>
    <row r="550" spans="15:42" x14ac:dyDescent="0.2">
      <c r="O550" s="300"/>
      <c r="Q550" s="300"/>
      <c r="R550" s="300"/>
      <c r="S550" s="300"/>
      <c r="T550" s="300"/>
      <c r="U550" s="300"/>
      <c r="V550" s="300"/>
      <c r="W550" s="300"/>
      <c r="X550" s="300"/>
      <c r="Y550" s="300"/>
      <c r="Z550" s="300"/>
      <c r="AL550" s="267"/>
      <c r="AM550" s="267"/>
      <c r="AN550" s="267"/>
      <c r="AO550" s="267"/>
      <c r="AP550" s="267"/>
    </row>
    <row r="551" spans="15:42" x14ac:dyDescent="0.2">
      <c r="O551" s="300"/>
      <c r="Q551" s="300"/>
      <c r="R551" s="300"/>
      <c r="S551" s="300"/>
      <c r="T551" s="300"/>
      <c r="U551" s="300"/>
      <c r="V551" s="300"/>
      <c r="W551" s="300"/>
      <c r="X551" s="300"/>
      <c r="Y551" s="300"/>
      <c r="Z551" s="300"/>
      <c r="AL551" s="267"/>
      <c r="AM551" s="267"/>
      <c r="AN551" s="267"/>
      <c r="AO551" s="267"/>
      <c r="AP551" s="267"/>
    </row>
    <row r="552" spans="15:42" x14ac:dyDescent="0.2">
      <c r="O552" s="300"/>
      <c r="Q552" s="300"/>
      <c r="R552" s="300"/>
      <c r="S552" s="300"/>
      <c r="T552" s="300"/>
      <c r="U552" s="300"/>
      <c r="V552" s="300"/>
      <c r="W552" s="300"/>
      <c r="X552" s="300"/>
      <c r="Y552" s="300"/>
      <c r="Z552" s="300"/>
      <c r="AL552" s="267"/>
      <c r="AM552" s="267"/>
      <c r="AN552" s="267"/>
      <c r="AO552" s="267"/>
      <c r="AP552" s="267"/>
    </row>
    <row r="553" spans="15:42" x14ac:dyDescent="0.2">
      <c r="O553" s="300"/>
      <c r="Q553" s="300"/>
      <c r="R553" s="300"/>
      <c r="S553" s="300"/>
      <c r="T553" s="300"/>
      <c r="U553" s="300"/>
      <c r="V553" s="300"/>
      <c r="W553" s="300"/>
      <c r="X553" s="300"/>
      <c r="Y553" s="300"/>
      <c r="Z553" s="300"/>
      <c r="AL553" s="267"/>
      <c r="AM553" s="267"/>
      <c r="AN553" s="267"/>
      <c r="AO553" s="267"/>
      <c r="AP553" s="267"/>
    </row>
    <row r="554" spans="15:42" x14ac:dyDescent="0.2">
      <c r="O554" s="300"/>
      <c r="Q554" s="300"/>
      <c r="R554" s="300"/>
      <c r="S554" s="300"/>
      <c r="T554" s="300"/>
      <c r="U554" s="300"/>
      <c r="V554" s="300"/>
      <c r="W554" s="300"/>
      <c r="X554" s="300"/>
      <c r="Y554" s="300"/>
      <c r="Z554" s="300"/>
      <c r="AL554" s="267"/>
      <c r="AM554" s="267"/>
      <c r="AN554" s="267"/>
      <c r="AO554" s="267"/>
      <c r="AP554" s="267"/>
    </row>
    <row r="555" spans="15:42" x14ac:dyDescent="0.2">
      <c r="O555" s="300"/>
      <c r="Q555" s="300"/>
      <c r="R555" s="300"/>
      <c r="S555" s="300"/>
      <c r="T555" s="300"/>
      <c r="U555" s="300"/>
      <c r="V555" s="300"/>
      <c r="W555" s="300"/>
      <c r="X555" s="300"/>
      <c r="Y555" s="300"/>
      <c r="Z555" s="300"/>
      <c r="AL555" s="267"/>
      <c r="AM555" s="267"/>
      <c r="AN555" s="267"/>
      <c r="AO555" s="267"/>
      <c r="AP555" s="267"/>
    </row>
    <row r="556" spans="15:42" x14ac:dyDescent="0.2">
      <c r="O556" s="300"/>
      <c r="Q556" s="300"/>
      <c r="R556" s="300"/>
      <c r="S556" s="300"/>
      <c r="T556" s="300"/>
      <c r="U556" s="300"/>
      <c r="V556" s="300"/>
      <c r="W556" s="300"/>
      <c r="X556" s="300"/>
      <c r="Y556" s="300"/>
      <c r="Z556" s="300"/>
      <c r="AL556" s="267"/>
      <c r="AM556" s="267"/>
      <c r="AN556" s="267"/>
      <c r="AO556" s="267"/>
      <c r="AP556" s="267"/>
    </row>
    <row r="557" spans="15:42" x14ac:dyDescent="0.2">
      <c r="O557" s="300"/>
      <c r="Q557" s="300"/>
      <c r="R557" s="300"/>
      <c r="S557" s="300"/>
      <c r="T557" s="300"/>
      <c r="U557" s="300"/>
      <c r="V557" s="300"/>
      <c r="W557" s="300"/>
      <c r="X557" s="300"/>
      <c r="Y557" s="300"/>
      <c r="Z557" s="300"/>
      <c r="AL557" s="267"/>
      <c r="AM557" s="267"/>
      <c r="AN557" s="267"/>
      <c r="AO557" s="267"/>
      <c r="AP557" s="267"/>
    </row>
    <row r="558" spans="15:42" x14ac:dyDescent="0.2">
      <c r="O558" s="300"/>
      <c r="Q558" s="300"/>
      <c r="R558" s="300"/>
      <c r="S558" s="300"/>
      <c r="T558" s="300"/>
      <c r="U558" s="300"/>
      <c r="V558" s="300"/>
      <c r="W558" s="300"/>
      <c r="X558" s="300"/>
      <c r="Y558" s="300"/>
      <c r="Z558" s="300"/>
      <c r="AL558" s="267"/>
      <c r="AM558" s="267"/>
      <c r="AN558" s="267"/>
      <c r="AO558" s="267"/>
      <c r="AP558" s="267"/>
    </row>
    <row r="559" spans="15:42" x14ac:dyDescent="0.2">
      <c r="O559" s="300"/>
      <c r="Q559" s="300"/>
      <c r="R559" s="300"/>
      <c r="S559" s="300"/>
      <c r="T559" s="300"/>
      <c r="U559" s="300"/>
      <c r="V559" s="300"/>
      <c r="W559" s="300"/>
      <c r="X559" s="300"/>
      <c r="Y559" s="300"/>
      <c r="Z559" s="300"/>
      <c r="AL559" s="267"/>
      <c r="AM559" s="267"/>
      <c r="AN559" s="267"/>
      <c r="AO559" s="267"/>
      <c r="AP559" s="267"/>
    </row>
    <row r="560" spans="15:42" x14ac:dyDescent="0.2">
      <c r="O560" s="300"/>
      <c r="Q560" s="300"/>
      <c r="R560" s="300"/>
      <c r="S560" s="300"/>
      <c r="T560" s="300"/>
      <c r="U560" s="300"/>
      <c r="V560" s="300"/>
      <c r="W560" s="300"/>
      <c r="X560" s="300"/>
      <c r="Y560" s="300"/>
      <c r="Z560" s="300"/>
      <c r="AL560" s="267"/>
      <c r="AM560" s="267"/>
      <c r="AN560" s="267"/>
      <c r="AO560" s="267"/>
      <c r="AP560" s="267"/>
    </row>
    <row r="561" spans="1:42" x14ac:dyDescent="0.2">
      <c r="O561" s="300"/>
      <c r="Q561" s="300"/>
      <c r="R561" s="300"/>
      <c r="S561" s="300"/>
      <c r="T561" s="300"/>
      <c r="U561" s="300"/>
      <c r="V561" s="300"/>
      <c r="W561" s="300"/>
      <c r="X561" s="300"/>
      <c r="Y561" s="300"/>
      <c r="Z561" s="300"/>
      <c r="AL561" s="267"/>
      <c r="AM561" s="267"/>
      <c r="AN561" s="267"/>
      <c r="AO561" s="267"/>
      <c r="AP561" s="267"/>
    </row>
    <row r="562" spans="1:42" x14ac:dyDescent="0.2">
      <c r="O562" s="300"/>
      <c r="Q562" s="300"/>
      <c r="R562" s="300"/>
      <c r="S562" s="300"/>
      <c r="T562" s="300"/>
      <c r="U562" s="300"/>
      <c r="V562" s="300"/>
      <c r="W562" s="300"/>
      <c r="X562" s="300"/>
      <c r="Y562" s="300"/>
      <c r="Z562" s="300"/>
      <c r="AL562" s="267"/>
      <c r="AM562" s="267"/>
      <c r="AN562" s="267"/>
      <c r="AO562" s="267"/>
      <c r="AP562" s="267"/>
    </row>
    <row r="563" spans="1:42" x14ac:dyDescent="0.2">
      <c r="O563" s="300"/>
      <c r="Q563" s="300"/>
      <c r="R563" s="300"/>
      <c r="S563" s="300"/>
      <c r="T563" s="300"/>
      <c r="U563" s="300"/>
      <c r="V563" s="300"/>
      <c r="W563" s="300"/>
      <c r="X563" s="300"/>
      <c r="Y563" s="300"/>
      <c r="Z563" s="300"/>
      <c r="AL563" s="267"/>
      <c r="AM563" s="267"/>
      <c r="AN563" s="267"/>
      <c r="AO563" s="267"/>
      <c r="AP563" s="267"/>
    </row>
    <row r="564" spans="1:42" x14ac:dyDescent="0.2">
      <c r="O564" s="300"/>
      <c r="Q564" s="300"/>
      <c r="R564" s="300"/>
      <c r="S564" s="300"/>
      <c r="T564" s="300"/>
      <c r="U564" s="300"/>
      <c r="V564" s="300"/>
      <c r="W564" s="300"/>
      <c r="X564" s="300"/>
      <c r="Y564" s="300"/>
      <c r="Z564" s="300"/>
      <c r="AL564" s="267"/>
      <c r="AM564" s="267"/>
      <c r="AN564" s="267"/>
      <c r="AO564" s="267"/>
      <c r="AP564" s="267"/>
    </row>
    <row r="565" spans="1:42" x14ac:dyDescent="0.2">
      <c r="O565" s="300"/>
      <c r="Q565" s="300"/>
      <c r="R565" s="300"/>
      <c r="S565" s="300"/>
      <c r="T565" s="300"/>
      <c r="U565" s="300"/>
      <c r="V565" s="300"/>
      <c r="W565" s="300"/>
      <c r="X565" s="300"/>
      <c r="Y565" s="300"/>
      <c r="Z565" s="300"/>
      <c r="AL565" s="267"/>
      <c r="AM565" s="267"/>
      <c r="AN565" s="267"/>
      <c r="AO565" s="267"/>
      <c r="AP565" s="267"/>
    </row>
    <row r="566" spans="1:42" x14ac:dyDescent="0.2">
      <c r="O566" s="300"/>
      <c r="Q566" s="300"/>
      <c r="R566" s="300"/>
      <c r="S566" s="300"/>
      <c r="T566" s="300"/>
      <c r="U566" s="300"/>
      <c r="V566" s="300"/>
      <c r="W566" s="300"/>
      <c r="X566" s="300"/>
      <c r="Y566" s="300"/>
      <c r="Z566" s="300"/>
      <c r="AL566" s="267"/>
      <c r="AM566" s="267"/>
      <c r="AN566" s="267"/>
      <c r="AO566" s="267"/>
      <c r="AP566" s="267"/>
    </row>
    <row r="567" spans="1:42" x14ac:dyDescent="0.2">
      <c r="O567" s="300"/>
      <c r="Q567" s="300"/>
      <c r="R567" s="300"/>
      <c r="S567" s="300"/>
      <c r="T567" s="300"/>
      <c r="U567" s="300"/>
      <c r="V567" s="300"/>
      <c r="W567" s="300"/>
      <c r="X567" s="300"/>
      <c r="Y567" s="300"/>
      <c r="Z567" s="300"/>
      <c r="AL567" s="267"/>
      <c r="AM567" s="267"/>
      <c r="AN567" s="267"/>
      <c r="AO567" s="267"/>
      <c r="AP567" s="267"/>
    </row>
    <row r="568" spans="1:42" x14ac:dyDescent="0.2">
      <c r="O568" s="300"/>
      <c r="Q568" s="300"/>
      <c r="R568" s="300"/>
      <c r="S568" s="300"/>
      <c r="T568" s="300"/>
      <c r="U568" s="300"/>
      <c r="V568" s="300"/>
      <c r="W568" s="300"/>
      <c r="X568" s="300"/>
      <c r="Y568" s="300"/>
      <c r="Z568" s="300"/>
      <c r="AL568" s="267"/>
      <c r="AM568" s="267"/>
      <c r="AN568" s="267"/>
      <c r="AO568" s="267"/>
      <c r="AP568" s="267"/>
    </row>
    <row r="569" spans="1:42" x14ac:dyDescent="0.2">
      <c r="O569" s="300"/>
      <c r="Q569" s="300"/>
      <c r="R569" s="300"/>
      <c r="S569" s="300"/>
      <c r="T569" s="300"/>
      <c r="U569" s="300"/>
      <c r="V569" s="300"/>
      <c r="W569" s="300"/>
      <c r="X569" s="300"/>
      <c r="Y569" s="300"/>
      <c r="Z569" s="300"/>
      <c r="AL569" s="267"/>
      <c r="AM569" s="267"/>
      <c r="AN569" s="267"/>
      <c r="AO569" s="267"/>
      <c r="AP569" s="267"/>
    </row>
    <row r="570" spans="1:42" x14ac:dyDescent="0.2">
      <c r="O570" s="300"/>
      <c r="Q570" s="300"/>
      <c r="R570" s="300"/>
      <c r="S570" s="300"/>
      <c r="T570" s="300"/>
      <c r="U570" s="300"/>
      <c r="V570" s="300"/>
      <c r="W570" s="300"/>
      <c r="X570" s="300"/>
      <c r="Y570" s="300"/>
      <c r="Z570" s="300"/>
      <c r="AL570" s="267"/>
      <c r="AM570" s="267"/>
      <c r="AN570" s="267"/>
      <c r="AO570" s="267"/>
      <c r="AP570" s="267"/>
    </row>
    <row r="571" spans="1:42" x14ac:dyDescent="0.2">
      <c r="A571" s="249"/>
      <c r="O571" s="300"/>
      <c r="Q571" s="300"/>
      <c r="R571" s="300"/>
      <c r="S571" s="300"/>
      <c r="T571" s="300"/>
      <c r="U571" s="300"/>
      <c r="V571" s="300"/>
      <c r="W571" s="300"/>
      <c r="X571" s="300"/>
      <c r="Y571" s="300"/>
      <c r="Z571" s="300"/>
      <c r="AL571" s="267"/>
      <c r="AM571" s="267"/>
      <c r="AN571" s="267"/>
      <c r="AO571" s="267"/>
      <c r="AP571" s="267"/>
    </row>
    <row r="572" spans="1:42" x14ac:dyDescent="0.2">
      <c r="A572" s="249"/>
      <c r="O572" s="300"/>
      <c r="Q572" s="300"/>
      <c r="R572" s="300"/>
      <c r="S572" s="300"/>
      <c r="T572" s="300"/>
      <c r="U572" s="300"/>
      <c r="V572" s="300"/>
      <c r="W572" s="300"/>
      <c r="X572" s="300"/>
      <c r="Y572" s="300"/>
      <c r="Z572" s="300"/>
      <c r="AL572" s="267"/>
      <c r="AM572" s="267"/>
      <c r="AN572" s="267"/>
      <c r="AO572" s="267"/>
      <c r="AP572" s="267"/>
    </row>
    <row r="573" spans="1:42" x14ac:dyDescent="0.2">
      <c r="A573" s="249"/>
      <c r="O573" s="300"/>
      <c r="Q573" s="300"/>
      <c r="R573" s="300"/>
      <c r="S573" s="300"/>
      <c r="T573" s="300"/>
      <c r="U573" s="300"/>
      <c r="V573" s="300"/>
      <c r="W573" s="300"/>
      <c r="X573" s="300"/>
      <c r="Y573" s="300"/>
      <c r="Z573" s="300"/>
      <c r="AL573" s="267"/>
      <c r="AM573" s="267"/>
      <c r="AN573" s="267"/>
      <c r="AO573" s="267"/>
      <c r="AP573" s="267"/>
    </row>
    <row r="574" spans="1:42" x14ac:dyDescent="0.2">
      <c r="A574" s="249"/>
      <c r="O574" s="300"/>
      <c r="Q574" s="300"/>
      <c r="R574" s="300"/>
      <c r="S574" s="300"/>
      <c r="T574" s="300"/>
      <c r="U574" s="300"/>
      <c r="V574" s="300"/>
      <c r="W574" s="300"/>
      <c r="X574" s="300"/>
      <c r="Y574" s="300"/>
      <c r="Z574" s="300"/>
      <c r="AL574" s="267"/>
      <c r="AM574" s="267"/>
      <c r="AN574" s="267"/>
      <c r="AO574" s="267"/>
      <c r="AP574" s="267"/>
    </row>
    <row r="575" spans="1:42" x14ac:dyDescent="0.2">
      <c r="A575" s="249"/>
      <c r="O575" s="300"/>
      <c r="Q575" s="300"/>
      <c r="R575" s="300"/>
      <c r="S575" s="300"/>
      <c r="T575" s="300"/>
      <c r="U575" s="300"/>
      <c r="V575" s="300"/>
      <c r="W575" s="300"/>
      <c r="X575" s="300"/>
      <c r="Y575" s="300"/>
      <c r="Z575" s="300"/>
      <c r="AL575" s="267"/>
      <c r="AM575" s="267"/>
      <c r="AN575" s="267"/>
      <c r="AO575" s="267"/>
      <c r="AP575" s="267"/>
    </row>
    <row r="576" spans="1:42" x14ac:dyDescent="0.2">
      <c r="A576" s="249"/>
      <c r="O576" s="300"/>
      <c r="Q576" s="300"/>
      <c r="R576" s="300"/>
      <c r="S576" s="300"/>
      <c r="T576" s="300"/>
      <c r="U576" s="300"/>
      <c r="V576" s="300"/>
      <c r="W576" s="300"/>
      <c r="X576" s="300"/>
      <c r="Y576" s="300"/>
      <c r="Z576" s="300"/>
      <c r="AL576" s="267"/>
      <c r="AM576" s="267"/>
      <c r="AN576" s="267"/>
      <c r="AO576" s="267"/>
      <c r="AP576" s="267"/>
    </row>
    <row r="577" spans="1:42" x14ac:dyDescent="0.2">
      <c r="A577" s="249"/>
      <c r="O577" s="300"/>
      <c r="Q577" s="300"/>
      <c r="R577" s="300"/>
      <c r="S577" s="300"/>
      <c r="T577" s="300"/>
      <c r="U577" s="300"/>
      <c r="V577" s="300"/>
      <c r="W577" s="300"/>
      <c r="X577" s="300"/>
      <c r="Y577" s="300"/>
      <c r="Z577" s="300"/>
      <c r="AL577" s="267"/>
      <c r="AM577" s="267"/>
      <c r="AN577" s="267"/>
      <c r="AO577" s="267"/>
      <c r="AP577" s="267"/>
    </row>
    <row r="578" spans="1:42" x14ac:dyDescent="0.2">
      <c r="A578" s="249"/>
      <c r="O578" s="300"/>
      <c r="Q578" s="300"/>
      <c r="R578" s="300"/>
      <c r="S578" s="300"/>
      <c r="T578" s="300"/>
      <c r="U578" s="300"/>
      <c r="V578" s="300"/>
      <c r="W578" s="300"/>
      <c r="X578" s="300"/>
      <c r="Y578" s="300"/>
      <c r="Z578" s="300"/>
      <c r="AL578" s="267"/>
      <c r="AM578" s="267"/>
      <c r="AN578" s="267"/>
      <c r="AO578" s="267"/>
      <c r="AP578" s="267"/>
    </row>
    <row r="579" spans="1:42" x14ac:dyDescent="0.2">
      <c r="O579" s="300"/>
      <c r="Q579" s="300"/>
      <c r="R579" s="300"/>
      <c r="S579" s="300"/>
      <c r="T579" s="300"/>
      <c r="U579" s="300"/>
      <c r="V579" s="300"/>
      <c r="W579" s="300"/>
      <c r="X579" s="300"/>
      <c r="Y579" s="300"/>
      <c r="Z579" s="300"/>
      <c r="AL579" s="267"/>
      <c r="AM579" s="267"/>
      <c r="AN579" s="267"/>
      <c r="AO579" s="267"/>
      <c r="AP579" s="267"/>
    </row>
    <row r="580" spans="1:42" x14ac:dyDescent="0.2">
      <c r="O580" s="300"/>
      <c r="Q580" s="300"/>
      <c r="R580" s="300"/>
      <c r="S580" s="300"/>
      <c r="T580" s="300"/>
      <c r="U580" s="300"/>
      <c r="V580" s="300"/>
      <c r="W580" s="300"/>
      <c r="X580" s="300"/>
      <c r="Y580" s="300"/>
      <c r="Z580" s="300"/>
      <c r="AL580" s="267"/>
      <c r="AM580" s="267"/>
      <c r="AN580" s="267"/>
      <c r="AO580" s="267"/>
      <c r="AP580" s="267"/>
    </row>
    <row r="581" spans="1:42" x14ac:dyDescent="0.2">
      <c r="O581" s="300"/>
      <c r="Q581" s="300"/>
      <c r="R581" s="300"/>
      <c r="S581" s="300"/>
      <c r="T581" s="300"/>
      <c r="U581" s="300"/>
      <c r="V581" s="300"/>
      <c r="W581" s="300"/>
      <c r="X581" s="300"/>
      <c r="Y581" s="300"/>
      <c r="Z581" s="300"/>
      <c r="AL581" s="267"/>
      <c r="AM581" s="267"/>
      <c r="AN581" s="267"/>
      <c r="AO581" s="267"/>
      <c r="AP581" s="267"/>
    </row>
    <row r="582" spans="1:42" x14ac:dyDescent="0.2">
      <c r="O582" s="300"/>
      <c r="Q582" s="300"/>
      <c r="R582" s="300"/>
      <c r="S582" s="300"/>
      <c r="T582" s="300"/>
      <c r="U582" s="300"/>
      <c r="V582" s="300"/>
      <c r="W582" s="300"/>
      <c r="X582" s="300"/>
      <c r="Y582" s="300"/>
      <c r="Z582" s="300"/>
      <c r="AL582" s="267"/>
      <c r="AM582" s="267"/>
      <c r="AN582" s="267"/>
      <c r="AO582" s="267"/>
      <c r="AP582" s="267"/>
    </row>
    <row r="583" spans="1:42" x14ac:dyDescent="0.2">
      <c r="O583" s="300"/>
      <c r="Q583" s="300"/>
      <c r="R583" s="300"/>
      <c r="S583" s="300"/>
      <c r="T583" s="300"/>
      <c r="U583" s="300"/>
      <c r="V583" s="300"/>
      <c r="W583" s="300"/>
      <c r="X583" s="300"/>
      <c r="Y583" s="300"/>
      <c r="Z583" s="300"/>
      <c r="AL583" s="267"/>
      <c r="AM583" s="267"/>
      <c r="AN583" s="267"/>
      <c r="AO583" s="267"/>
      <c r="AP583" s="267"/>
    </row>
    <row r="584" spans="1:42" x14ac:dyDescent="0.2">
      <c r="O584" s="300"/>
      <c r="Q584" s="300"/>
      <c r="R584" s="300"/>
      <c r="S584" s="300"/>
      <c r="T584" s="300"/>
      <c r="U584" s="300"/>
      <c r="V584" s="300"/>
      <c r="W584" s="300"/>
      <c r="X584" s="300"/>
      <c r="Y584" s="300"/>
      <c r="Z584" s="300"/>
      <c r="AL584" s="267"/>
      <c r="AM584" s="267"/>
      <c r="AN584" s="267"/>
      <c r="AO584" s="267"/>
      <c r="AP584" s="267"/>
    </row>
    <row r="585" spans="1:42" x14ac:dyDescent="0.2">
      <c r="O585" s="300"/>
      <c r="Q585" s="300"/>
      <c r="R585" s="300"/>
      <c r="S585" s="300"/>
      <c r="T585" s="300"/>
      <c r="U585" s="300"/>
      <c r="V585" s="300"/>
      <c r="W585" s="300"/>
      <c r="X585" s="300"/>
      <c r="Y585" s="300"/>
      <c r="Z585" s="300"/>
      <c r="AL585" s="267"/>
      <c r="AM585" s="267"/>
      <c r="AN585" s="267"/>
      <c r="AO585" s="267"/>
      <c r="AP585" s="267"/>
    </row>
    <row r="586" spans="1:42" x14ac:dyDescent="0.2">
      <c r="O586" s="300"/>
      <c r="Q586" s="300"/>
      <c r="R586" s="300"/>
      <c r="S586" s="300"/>
      <c r="T586" s="300"/>
      <c r="U586" s="300"/>
      <c r="V586" s="300"/>
      <c r="W586" s="300"/>
      <c r="X586" s="300"/>
      <c r="Y586" s="300"/>
      <c r="Z586" s="300"/>
      <c r="AL586" s="267"/>
      <c r="AM586" s="267"/>
      <c r="AN586" s="267"/>
      <c r="AO586" s="267"/>
      <c r="AP586" s="267"/>
    </row>
    <row r="587" spans="1:42" x14ac:dyDescent="0.2">
      <c r="O587" s="300"/>
      <c r="Q587" s="300"/>
      <c r="R587" s="300"/>
      <c r="S587" s="300"/>
      <c r="T587" s="300"/>
      <c r="U587" s="300"/>
      <c r="V587" s="300"/>
      <c r="W587" s="300"/>
      <c r="X587" s="300"/>
      <c r="Y587" s="300"/>
      <c r="Z587" s="300"/>
      <c r="AL587" s="267"/>
      <c r="AM587" s="267"/>
      <c r="AN587" s="267"/>
      <c r="AO587" s="267"/>
      <c r="AP587" s="267"/>
    </row>
    <row r="588" spans="1:42" x14ac:dyDescent="0.2">
      <c r="O588" s="300"/>
      <c r="Q588" s="300"/>
      <c r="R588" s="300"/>
      <c r="S588" s="300"/>
      <c r="T588" s="300"/>
      <c r="U588" s="300"/>
      <c r="V588" s="300"/>
      <c r="W588" s="300"/>
      <c r="X588" s="300"/>
      <c r="Y588" s="300"/>
      <c r="Z588" s="300"/>
      <c r="AL588" s="267"/>
      <c r="AM588" s="267"/>
      <c r="AN588" s="267"/>
      <c r="AO588" s="267"/>
      <c r="AP588" s="267"/>
    </row>
    <row r="589" spans="1:42" x14ac:dyDescent="0.2">
      <c r="O589" s="300"/>
      <c r="Q589" s="300"/>
      <c r="R589" s="300"/>
      <c r="S589" s="300"/>
      <c r="T589" s="300"/>
      <c r="U589" s="300"/>
      <c r="V589" s="300"/>
      <c r="W589" s="300"/>
      <c r="X589" s="300"/>
      <c r="Y589" s="300"/>
      <c r="Z589" s="300"/>
      <c r="AL589" s="267"/>
      <c r="AM589" s="267"/>
      <c r="AN589" s="267"/>
      <c r="AO589" s="267"/>
      <c r="AP589" s="267"/>
    </row>
    <row r="590" spans="1:42" x14ac:dyDescent="0.2">
      <c r="O590" s="300"/>
      <c r="Q590" s="300"/>
      <c r="R590" s="300"/>
      <c r="S590" s="300"/>
      <c r="T590" s="300"/>
      <c r="U590" s="300"/>
      <c r="V590" s="300"/>
      <c r="W590" s="300"/>
      <c r="X590" s="300"/>
      <c r="Y590" s="300"/>
      <c r="Z590" s="300"/>
      <c r="AL590" s="267"/>
      <c r="AM590" s="267"/>
      <c r="AN590" s="267"/>
      <c r="AO590" s="267"/>
      <c r="AP590" s="267"/>
    </row>
    <row r="591" spans="1:42" x14ac:dyDescent="0.2">
      <c r="O591" s="300"/>
      <c r="Q591" s="300"/>
      <c r="R591" s="300"/>
      <c r="S591" s="300"/>
      <c r="T591" s="300"/>
      <c r="U591" s="300"/>
      <c r="V591" s="300"/>
      <c r="W591" s="300"/>
      <c r="X591" s="300"/>
      <c r="Y591" s="300"/>
      <c r="Z591" s="300"/>
      <c r="AL591" s="267"/>
      <c r="AM591" s="267"/>
      <c r="AN591" s="267"/>
      <c r="AO591" s="267"/>
      <c r="AP591" s="267"/>
    </row>
    <row r="592" spans="1:42" x14ac:dyDescent="0.2">
      <c r="O592" s="300"/>
      <c r="Q592" s="300"/>
      <c r="R592" s="300"/>
      <c r="S592" s="300"/>
      <c r="T592" s="300"/>
      <c r="U592" s="300"/>
      <c r="V592" s="300"/>
      <c r="W592" s="300"/>
      <c r="X592" s="300"/>
      <c r="Y592" s="300"/>
      <c r="Z592" s="300"/>
      <c r="AL592" s="267"/>
      <c r="AM592" s="267"/>
      <c r="AN592" s="267"/>
      <c r="AO592" s="267"/>
      <c r="AP592" s="267"/>
    </row>
    <row r="593" spans="13:42" x14ac:dyDescent="0.2">
      <c r="O593" s="300"/>
      <c r="Q593" s="300"/>
      <c r="R593" s="300"/>
      <c r="S593" s="300"/>
      <c r="T593" s="300"/>
      <c r="U593" s="300"/>
      <c r="V593" s="300"/>
      <c r="W593" s="300"/>
      <c r="X593" s="300"/>
      <c r="Y593" s="300"/>
      <c r="Z593" s="300"/>
      <c r="AL593" s="267"/>
      <c r="AM593" s="267"/>
      <c r="AN593" s="267"/>
      <c r="AO593" s="267"/>
      <c r="AP593" s="267"/>
    </row>
    <row r="594" spans="13:42" x14ac:dyDescent="0.2">
      <c r="O594" s="300"/>
      <c r="Q594" s="300"/>
      <c r="R594" s="300"/>
      <c r="S594" s="300"/>
      <c r="T594" s="300"/>
      <c r="U594" s="300"/>
      <c r="V594" s="300"/>
      <c r="W594" s="300"/>
      <c r="X594" s="300"/>
      <c r="Y594" s="300"/>
      <c r="Z594" s="300"/>
      <c r="AL594" s="267"/>
      <c r="AM594" s="267"/>
      <c r="AN594" s="267"/>
      <c r="AO594" s="267"/>
      <c r="AP594" s="267"/>
    </row>
    <row r="595" spans="13:42" x14ac:dyDescent="0.2">
      <c r="O595" s="300"/>
      <c r="Q595" s="300"/>
      <c r="R595" s="300"/>
      <c r="S595" s="300"/>
      <c r="T595" s="300"/>
      <c r="U595" s="300"/>
      <c r="V595" s="300"/>
      <c r="W595" s="300"/>
      <c r="X595" s="300"/>
      <c r="Y595" s="300"/>
      <c r="Z595" s="300"/>
      <c r="AL595" s="267"/>
      <c r="AM595" s="267"/>
      <c r="AN595" s="267"/>
      <c r="AO595" s="267"/>
      <c r="AP595" s="267"/>
    </row>
    <row r="596" spans="13:42" x14ac:dyDescent="0.2">
      <c r="O596" s="300"/>
      <c r="Q596" s="300"/>
      <c r="R596" s="300"/>
      <c r="S596" s="300"/>
      <c r="T596" s="300"/>
      <c r="U596" s="300"/>
      <c r="V596" s="300"/>
      <c r="W596" s="300"/>
      <c r="X596" s="300"/>
      <c r="Y596" s="300"/>
      <c r="Z596" s="300"/>
      <c r="AL596" s="267"/>
      <c r="AM596" s="267"/>
      <c r="AN596" s="267"/>
      <c r="AO596" s="267"/>
      <c r="AP596" s="267"/>
    </row>
    <row r="597" spans="13:42" x14ac:dyDescent="0.2">
      <c r="M597" s="301"/>
      <c r="O597" s="300"/>
      <c r="Q597" s="300"/>
      <c r="R597" s="300"/>
      <c r="S597" s="300"/>
      <c r="T597" s="300"/>
      <c r="U597" s="300"/>
      <c r="V597" s="300"/>
      <c r="W597" s="300"/>
      <c r="X597" s="300"/>
      <c r="Y597" s="300"/>
      <c r="Z597" s="300"/>
      <c r="AL597" s="267"/>
      <c r="AM597" s="267"/>
      <c r="AN597" s="267"/>
      <c r="AO597" s="267"/>
      <c r="AP597" s="267"/>
    </row>
    <row r="598" spans="13:42" x14ac:dyDescent="0.2">
      <c r="M598" s="301"/>
    </row>
    <row r="599" spans="13:42" x14ac:dyDescent="0.2">
      <c r="M599" s="301"/>
      <c r="O599" s="300"/>
      <c r="Q599" s="300"/>
      <c r="R599" s="300"/>
      <c r="S599" s="300"/>
      <c r="T599" s="300"/>
      <c r="U599" s="300"/>
      <c r="V599" s="300"/>
      <c r="W599" s="300"/>
      <c r="X599" s="300"/>
      <c r="Y599" s="300"/>
      <c r="Z599" s="300"/>
      <c r="AL599" s="267"/>
      <c r="AM599" s="267"/>
      <c r="AN599" s="267"/>
      <c r="AO599" s="267"/>
      <c r="AP599" s="267"/>
    </row>
    <row r="600" spans="13:42" x14ac:dyDescent="0.2">
      <c r="M600" s="301"/>
    </row>
    <row r="601" spans="13:42" x14ac:dyDescent="0.2">
      <c r="M601" s="301"/>
      <c r="O601" s="300"/>
      <c r="Q601" s="300"/>
      <c r="R601" s="300"/>
      <c r="S601" s="300"/>
      <c r="T601" s="300"/>
      <c r="U601" s="300"/>
      <c r="V601" s="300"/>
      <c r="W601" s="300"/>
      <c r="X601" s="300"/>
      <c r="Y601" s="300"/>
      <c r="Z601" s="300"/>
      <c r="AL601" s="267"/>
      <c r="AM601" s="267"/>
      <c r="AN601" s="267"/>
      <c r="AO601" s="267"/>
      <c r="AP601" s="267"/>
    </row>
    <row r="602" spans="13:42" x14ac:dyDescent="0.2">
      <c r="M602" s="301"/>
    </row>
    <row r="603" spans="13:42" x14ac:dyDescent="0.2">
      <c r="M603" s="301"/>
      <c r="O603" s="300"/>
      <c r="Q603" s="300"/>
      <c r="R603" s="300"/>
      <c r="S603" s="300"/>
      <c r="T603" s="300"/>
      <c r="U603" s="300"/>
      <c r="V603" s="300"/>
      <c r="W603" s="300"/>
      <c r="X603" s="300"/>
      <c r="Y603" s="300"/>
      <c r="Z603" s="300"/>
      <c r="AL603" s="267"/>
      <c r="AM603" s="267"/>
      <c r="AN603" s="267"/>
      <c r="AO603" s="267"/>
      <c r="AP603" s="267"/>
    </row>
    <row r="604" spans="13:42" x14ac:dyDescent="0.2">
      <c r="M604" s="301"/>
    </row>
    <row r="605" spans="13:42" x14ac:dyDescent="0.2">
      <c r="M605" s="301"/>
      <c r="O605" s="300"/>
      <c r="Q605" s="300"/>
      <c r="R605" s="300"/>
      <c r="S605" s="300"/>
      <c r="T605" s="300"/>
      <c r="U605" s="300"/>
      <c r="V605" s="300"/>
      <c r="W605" s="300"/>
      <c r="X605" s="300"/>
      <c r="Y605" s="300"/>
      <c r="Z605" s="300"/>
      <c r="AL605" s="267"/>
      <c r="AM605" s="267"/>
      <c r="AN605" s="267"/>
      <c r="AO605" s="267"/>
      <c r="AP605" s="267"/>
    </row>
    <row r="606" spans="13:42" x14ac:dyDescent="0.2">
      <c r="M606" s="301"/>
    </row>
    <row r="607" spans="13:42" x14ac:dyDescent="0.2">
      <c r="M607" s="301"/>
      <c r="O607" s="300"/>
      <c r="Q607" s="300"/>
      <c r="R607" s="300"/>
      <c r="S607" s="300"/>
      <c r="T607" s="300"/>
      <c r="U607" s="300"/>
      <c r="V607" s="300"/>
      <c r="W607" s="300"/>
      <c r="X607" s="300"/>
      <c r="Y607" s="300"/>
      <c r="Z607" s="300"/>
      <c r="AL607" s="267"/>
      <c r="AM607" s="267"/>
      <c r="AN607" s="267"/>
      <c r="AO607" s="267"/>
      <c r="AP607" s="267"/>
    </row>
    <row r="608" spans="13:42" x14ac:dyDescent="0.2">
      <c r="M608" s="301"/>
    </row>
    <row r="609" spans="13:42" x14ac:dyDescent="0.2">
      <c r="M609" s="301"/>
      <c r="O609" s="300"/>
      <c r="Q609" s="300"/>
      <c r="R609" s="300"/>
      <c r="S609" s="300"/>
      <c r="T609" s="300"/>
      <c r="U609" s="300"/>
      <c r="V609" s="300"/>
      <c r="W609" s="300"/>
      <c r="X609" s="300"/>
      <c r="Y609" s="300"/>
      <c r="Z609" s="300"/>
      <c r="AL609" s="267"/>
      <c r="AM609" s="267"/>
      <c r="AN609" s="267"/>
      <c r="AO609" s="267"/>
      <c r="AP609" s="267"/>
    </row>
    <row r="610" spans="13:42" x14ac:dyDescent="0.2">
      <c r="M610" s="301"/>
    </row>
    <row r="611" spans="13:42" x14ac:dyDescent="0.2">
      <c r="M611" s="301"/>
      <c r="O611" s="300"/>
      <c r="Q611" s="300"/>
      <c r="R611" s="300"/>
      <c r="S611" s="300"/>
      <c r="T611" s="300"/>
      <c r="U611" s="300"/>
      <c r="V611" s="300"/>
      <c r="W611" s="300"/>
      <c r="X611" s="300"/>
      <c r="Y611" s="300"/>
      <c r="Z611" s="300"/>
      <c r="AL611" s="267"/>
      <c r="AM611" s="267"/>
      <c r="AN611" s="267"/>
      <c r="AO611" s="267"/>
      <c r="AP611" s="267"/>
    </row>
    <row r="612" spans="13:42" x14ac:dyDescent="0.2">
      <c r="M612" s="301"/>
    </row>
    <row r="613" spans="13:42" x14ac:dyDescent="0.2">
      <c r="M613" s="301"/>
      <c r="O613" s="300"/>
      <c r="Q613" s="300"/>
      <c r="R613" s="300"/>
      <c r="S613" s="300"/>
      <c r="T613" s="300"/>
      <c r="U613" s="300"/>
      <c r="V613" s="300"/>
      <c r="W613" s="300"/>
      <c r="X613" s="300"/>
      <c r="Y613" s="300"/>
      <c r="Z613" s="300"/>
      <c r="AL613" s="267"/>
      <c r="AM613" s="267"/>
      <c r="AN613" s="267"/>
      <c r="AO613" s="267"/>
      <c r="AP613" s="267"/>
    </row>
    <row r="614" spans="13:42" x14ac:dyDescent="0.2">
      <c r="M614" s="301"/>
    </row>
    <row r="615" spans="13:42" x14ac:dyDescent="0.2">
      <c r="O615" s="300"/>
      <c r="Q615" s="300"/>
      <c r="R615" s="300"/>
      <c r="S615" s="300"/>
      <c r="T615" s="300"/>
      <c r="U615" s="300"/>
      <c r="V615" s="300"/>
      <c r="W615" s="300"/>
      <c r="X615" s="300"/>
      <c r="Y615" s="300"/>
      <c r="Z615" s="300"/>
      <c r="AL615" s="267"/>
      <c r="AM615" s="267"/>
      <c r="AN615" s="267"/>
      <c r="AO615" s="267"/>
      <c r="AP615" s="267"/>
    </row>
    <row r="616" spans="13:42" x14ac:dyDescent="0.2">
      <c r="O616" s="300"/>
      <c r="Q616" s="300"/>
      <c r="R616" s="300"/>
      <c r="S616" s="300"/>
      <c r="T616" s="300"/>
      <c r="U616" s="300"/>
      <c r="V616" s="300"/>
      <c r="W616" s="300"/>
      <c r="X616" s="300"/>
      <c r="Y616" s="300"/>
      <c r="Z616" s="300"/>
      <c r="AL616" s="267"/>
      <c r="AM616" s="267"/>
      <c r="AN616" s="267"/>
      <c r="AO616" s="267"/>
      <c r="AP616" s="267"/>
    </row>
    <row r="617" spans="13:42" x14ac:dyDescent="0.2">
      <c r="O617" s="300"/>
      <c r="Q617" s="300"/>
      <c r="R617" s="300"/>
      <c r="S617" s="300"/>
      <c r="T617" s="300"/>
      <c r="U617" s="300"/>
      <c r="V617" s="300"/>
      <c r="W617" s="300"/>
      <c r="X617" s="300"/>
      <c r="Y617" s="300"/>
      <c r="Z617" s="300"/>
      <c r="AL617" s="267"/>
      <c r="AM617" s="267"/>
      <c r="AN617" s="267"/>
      <c r="AO617" s="267"/>
      <c r="AP617" s="267"/>
    </row>
    <row r="618" spans="13:42" x14ac:dyDescent="0.2">
      <c r="O618" s="300"/>
      <c r="Q618" s="300"/>
      <c r="R618" s="300"/>
      <c r="S618" s="300"/>
      <c r="T618" s="300"/>
      <c r="U618" s="300"/>
      <c r="V618" s="300"/>
      <c r="W618" s="300"/>
      <c r="X618" s="300"/>
      <c r="Y618" s="300"/>
      <c r="Z618" s="300"/>
      <c r="AL618" s="267"/>
      <c r="AM618" s="267"/>
      <c r="AN618" s="267"/>
      <c r="AO618" s="267"/>
      <c r="AP618" s="267"/>
    </row>
    <row r="619" spans="13:42" x14ac:dyDescent="0.2">
      <c r="O619" s="300"/>
      <c r="Q619" s="300"/>
      <c r="R619" s="300"/>
      <c r="S619" s="300"/>
      <c r="T619" s="300"/>
      <c r="U619" s="300"/>
      <c r="V619" s="300"/>
      <c r="W619" s="300"/>
      <c r="X619" s="300"/>
      <c r="Y619" s="300"/>
      <c r="Z619" s="300"/>
      <c r="AL619" s="267"/>
      <c r="AM619" s="267"/>
      <c r="AN619" s="267"/>
      <c r="AO619" s="267"/>
      <c r="AP619" s="267"/>
    </row>
    <row r="620" spans="13:42" x14ac:dyDescent="0.2">
      <c r="O620" s="300"/>
      <c r="Q620" s="300"/>
      <c r="R620" s="300"/>
      <c r="S620" s="300"/>
      <c r="T620" s="300"/>
      <c r="U620" s="300"/>
      <c r="V620" s="300"/>
      <c r="W620" s="300"/>
      <c r="X620" s="300"/>
      <c r="Y620" s="300"/>
      <c r="Z620" s="300"/>
      <c r="AL620" s="267"/>
      <c r="AM620" s="267"/>
      <c r="AN620" s="267"/>
      <c r="AO620" s="267"/>
      <c r="AP620" s="267"/>
    </row>
    <row r="621" spans="13:42" x14ac:dyDescent="0.2">
      <c r="O621" s="300"/>
      <c r="Q621" s="300"/>
      <c r="R621" s="300"/>
      <c r="S621" s="300"/>
      <c r="T621" s="300"/>
      <c r="U621" s="300"/>
      <c r="V621" s="300"/>
      <c r="W621" s="300"/>
      <c r="X621" s="300"/>
      <c r="Y621" s="300"/>
      <c r="Z621" s="300"/>
      <c r="AL621" s="267"/>
      <c r="AM621" s="267"/>
      <c r="AN621" s="267"/>
      <c r="AO621" s="267"/>
      <c r="AP621" s="267"/>
    </row>
    <row r="622" spans="13:42" x14ac:dyDescent="0.2">
      <c r="O622" s="300"/>
      <c r="Q622" s="300"/>
      <c r="R622" s="300"/>
      <c r="S622" s="300"/>
      <c r="T622" s="300"/>
      <c r="U622" s="300"/>
      <c r="V622" s="300"/>
      <c r="W622" s="300"/>
      <c r="X622" s="300"/>
      <c r="Y622" s="300"/>
      <c r="Z622" s="300"/>
      <c r="AL622" s="267"/>
      <c r="AM622" s="267"/>
      <c r="AN622" s="267"/>
      <c r="AO622" s="267"/>
      <c r="AP622" s="267"/>
    </row>
    <row r="623" spans="13:42" x14ac:dyDescent="0.2">
      <c r="O623" s="300"/>
      <c r="Q623" s="300"/>
      <c r="R623" s="300"/>
      <c r="S623" s="300"/>
      <c r="T623" s="300"/>
      <c r="U623" s="300"/>
      <c r="V623" s="300"/>
      <c r="W623" s="300"/>
      <c r="X623" s="300"/>
      <c r="Y623" s="300"/>
      <c r="Z623" s="300"/>
      <c r="AL623" s="267"/>
      <c r="AM623" s="267"/>
      <c r="AN623" s="267"/>
      <c r="AO623" s="267"/>
      <c r="AP623" s="267"/>
    </row>
    <row r="624" spans="13:42" x14ac:dyDescent="0.2">
      <c r="O624" s="300"/>
      <c r="Q624" s="300"/>
      <c r="R624" s="300"/>
      <c r="S624" s="300"/>
      <c r="T624" s="300"/>
      <c r="U624" s="300"/>
      <c r="V624" s="300"/>
      <c r="W624" s="300"/>
      <c r="X624" s="300"/>
      <c r="Y624" s="300"/>
      <c r="Z624" s="300"/>
      <c r="AL624" s="267"/>
      <c r="AM624" s="267"/>
      <c r="AN624" s="267"/>
      <c r="AO624" s="267"/>
      <c r="AP624" s="267"/>
    </row>
    <row r="625" spans="15:42" x14ac:dyDescent="0.2">
      <c r="O625" s="300"/>
      <c r="Q625" s="300"/>
      <c r="R625" s="300"/>
      <c r="S625" s="300"/>
      <c r="T625" s="300"/>
      <c r="U625" s="300"/>
      <c r="V625" s="300"/>
      <c r="W625" s="300"/>
      <c r="X625" s="300"/>
      <c r="Y625" s="300"/>
      <c r="Z625" s="300"/>
      <c r="AL625" s="267"/>
      <c r="AM625" s="267"/>
      <c r="AN625" s="267"/>
      <c r="AO625" s="267"/>
      <c r="AP625" s="267"/>
    </row>
    <row r="626" spans="15:42" x14ac:dyDescent="0.2">
      <c r="O626" s="300"/>
      <c r="Q626" s="300"/>
      <c r="R626" s="300"/>
      <c r="S626" s="300"/>
      <c r="T626" s="300"/>
      <c r="U626" s="300"/>
      <c r="V626" s="300"/>
      <c r="W626" s="300"/>
      <c r="X626" s="300"/>
      <c r="Y626" s="300"/>
      <c r="Z626" s="300"/>
      <c r="AL626" s="267"/>
      <c r="AM626" s="267"/>
      <c r="AN626" s="267"/>
      <c r="AO626" s="267"/>
      <c r="AP626" s="267"/>
    </row>
    <row r="627" spans="15:42" x14ac:dyDescent="0.2">
      <c r="O627" s="300"/>
      <c r="Q627" s="300"/>
      <c r="R627" s="300"/>
      <c r="S627" s="300"/>
      <c r="T627" s="300"/>
      <c r="U627" s="300"/>
      <c r="V627" s="300"/>
      <c r="W627" s="300"/>
      <c r="X627" s="300"/>
      <c r="Y627" s="300"/>
      <c r="Z627" s="300"/>
      <c r="AL627" s="267"/>
      <c r="AM627" s="267"/>
      <c r="AN627" s="267"/>
      <c r="AO627" s="267"/>
      <c r="AP627" s="267"/>
    </row>
    <row r="628" spans="15:42" x14ac:dyDescent="0.2">
      <c r="O628" s="300"/>
      <c r="Q628" s="300"/>
      <c r="R628" s="300"/>
      <c r="S628" s="300"/>
      <c r="T628" s="300"/>
      <c r="U628" s="300"/>
      <c r="V628" s="300"/>
      <c r="W628" s="300"/>
      <c r="X628" s="300"/>
      <c r="Y628" s="300"/>
      <c r="Z628" s="300"/>
      <c r="AL628" s="267"/>
      <c r="AM628" s="267"/>
      <c r="AN628" s="267"/>
      <c r="AO628" s="267"/>
      <c r="AP628" s="267"/>
    </row>
    <row r="629" spans="15:42" x14ac:dyDescent="0.2">
      <c r="O629" s="300"/>
      <c r="Q629" s="300"/>
      <c r="R629" s="300"/>
      <c r="S629" s="300"/>
      <c r="T629" s="300"/>
      <c r="U629" s="300"/>
      <c r="V629" s="300"/>
      <c r="W629" s="300"/>
      <c r="X629" s="300"/>
      <c r="Y629" s="300"/>
      <c r="Z629" s="300"/>
      <c r="AL629" s="267"/>
      <c r="AM629" s="267"/>
      <c r="AN629" s="267"/>
      <c r="AO629" s="267"/>
      <c r="AP629" s="267"/>
    </row>
    <row r="630" spans="15:42" x14ac:dyDescent="0.2">
      <c r="O630" s="300"/>
      <c r="Q630" s="300"/>
      <c r="R630" s="300"/>
      <c r="S630" s="300"/>
      <c r="T630" s="300"/>
      <c r="U630" s="300"/>
      <c r="V630" s="300"/>
      <c r="W630" s="300"/>
      <c r="X630" s="300"/>
      <c r="Y630" s="300"/>
      <c r="Z630" s="300"/>
      <c r="AL630" s="267"/>
      <c r="AM630" s="267"/>
      <c r="AN630" s="267"/>
      <c r="AO630" s="267"/>
      <c r="AP630" s="267"/>
    </row>
    <row r="631" spans="15:42" x14ac:dyDescent="0.2">
      <c r="O631" s="300"/>
      <c r="Q631" s="300"/>
      <c r="R631" s="300"/>
      <c r="S631" s="300"/>
      <c r="T631" s="300"/>
      <c r="U631" s="300"/>
      <c r="V631" s="300"/>
      <c r="W631" s="300"/>
      <c r="X631" s="300"/>
      <c r="Y631" s="300"/>
      <c r="Z631" s="300"/>
      <c r="AL631" s="267"/>
      <c r="AM631" s="267"/>
      <c r="AN631" s="267"/>
      <c r="AO631" s="267"/>
      <c r="AP631" s="267"/>
    </row>
    <row r="632" spans="15:42" x14ac:dyDescent="0.2">
      <c r="O632" s="300"/>
      <c r="Q632" s="300"/>
      <c r="R632" s="300"/>
      <c r="S632" s="300"/>
      <c r="T632" s="300"/>
      <c r="U632" s="300"/>
      <c r="V632" s="300"/>
      <c r="W632" s="300"/>
      <c r="X632" s="300"/>
      <c r="Y632" s="300"/>
      <c r="Z632" s="300"/>
      <c r="AL632" s="267"/>
      <c r="AM632" s="267"/>
      <c r="AN632" s="267"/>
      <c r="AO632" s="267"/>
      <c r="AP632" s="267"/>
    </row>
    <row r="633" spans="15:42" x14ac:dyDescent="0.2">
      <c r="O633" s="300"/>
      <c r="Q633" s="300"/>
      <c r="R633" s="300"/>
      <c r="S633" s="300"/>
      <c r="T633" s="300"/>
      <c r="U633" s="300"/>
      <c r="V633" s="300"/>
      <c r="W633" s="300"/>
      <c r="X633" s="300"/>
      <c r="Y633" s="300"/>
      <c r="Z633" s="300"/>
      <c r="AL633" s="267"/>
      <c r="AM633" s="267"/>
      <c r="AN633" s="267"/>
      <c r="AO633" s="267"/>
      <c r="AP633" s="267"/>
    </row>
    <row r="634" spans="15:42" x14ac:dyDescent="0.2">
      <c r="O634" s="300"/>
      <c r="Q634" s="300"/>
      <c r="R634" s="300"/>
      <c r="S634" s="300"/>
      <c r="T634" s="300"/>
      <c r="U634" s="300"/>
      <c r="V634" s="300"/>
      <c r="W634" s="300"/>
      <c r="X634" s="300"/>
      <c r="Y634" s="300"/>
      <c r="Z634" s="300"/>
      <c r="AL634" s="267"/>
      <c r="AM634" s="267"/>
      <c r="AN634" s="267"/>
      <c r="AO634" s="267"/>
      <c r="AP634" s="267"/>
    </row>
    <row r="635" spans="15:42" x14ac:dyDescent="0.2">
      <c r="O635" s="300"/>
      <c r="Q635" s="300"/>
      <c r="R635" s="300"/>
      <c r="S635" s="300"/>
      <c r="T635" s="300"/>
      <c r="U635" s="300"/>
      <c r="V635" s="300"/>
      <c r="W635" s="300"/>
      <c r="X635" s="300"/>
      <c r="Y635" s="300"/>
      <c r="Z635" s="300"/>
      <c r="AL635" s="267"/>
      <c r="AM635" s="267"/>
      <c r="AN635" s="267"/>
      <c r="AO635" s="267"/>
      <c r="AP635" s="267"/>
    </row>
    <row r="636" spans="15:42" x14ac:dyDescent="0.2">
      <c r="O636" s="300"/>
      <c r="Q636" s="300"/>
      <c r="R636" s="300"/>
      <c r="S636" s="300"/>
      <c r="T636" s="300"/>
      <c r="U636" s="300"/>
      <c r="V636" s="300"/>
      <c r="W636" s="300"/>
      <c r="X636" s="300"/>
      <c r="Y636" s="300"/>
      <c r="Z636" s="300"/>
      <c r="AL636" s="267"/>
      <c r="AM636" s="267"/>
      <c r="AN636" s="267"/>
      <c r="AO636" s="267"/>
      <c r="AP636" s="267"/>
    </row>
    <row r="637" spans="15:42" x14ac:dyDescent="0.2">
      <c r="O637" s="300"/>
      <c r="Q637" s="300"/>
      <c r="R637" s="300"/>
      <c r="S637" s="300"/>
      <c r="T637" s="300"/>
      <c r="U637" s="300"/>
      <c r="V637" s="300"/>
      <c r="W637" s="300"/>
      <c r="X637" s="300"/>
      <c r="Y637" s="300"/>
      <c r="Z637" s="300"/>
      <c r="AL637" s="267"/>
      <c r="AM637" s="267"/>
      <c r="AN637" s="267"/>
      <c r="AO637" s="267"/>
      <c r="AP637" s="267"/>
    </row>
    <row r="638" spans="15:42" x14ac:dyDescent="0.2">
      <c r="O638" s="300"/>
      <c r="Q638" s="300"/>
      <c r="R638" s="300"/>
      <c r="S638" s="300"/>
      <c r="T638" s="300"/>
      <c r="U638" s="300"/>
      <c r="V638" s="300"/>
      <c r="W638" s="300"/>
      <c r="X638" s="300"/>
      <c r="Y638" s="300"/>
      <c r="Z638" s="300"/>
      <c r="AL638" s="267"/>
      <c r="AM638" s="267"/>
      <c r="AN638" s="267"/>
      <c r="AO638" s="267"/>
      <c r="AP638" s="267"/>
    </row>
    <row r="639" spans="15:42" x14ac:dyDescent="0.2">
      <c r="O639" s="300"/>
      <c r="Q639" s="300"/>
      <c r="R639" s="300"/>
      <c r="S639" s="300"/>
      <c r="T639" s="300"/>
      <c r="U639" s="300"/>
      <c r="V639" s="300"/>
      <c r="W639" s="300"/>
      <c r="X639" s="300"/>
      <c r="Y639" s="300"/>
      <c r="Z639" s="300"/>
      <c r="AL639" s="267"/>
      <c r="AM639" s="267"/>
      <c r="AN639" s="267"/>
      <c r="AO639" s="267"/>
      <c r="AP639" s="267"/>
    </row>
    <row r="640" spans="15:42" x14ac:dyDescent="0.2">
      <c r="O640" s="300"/>
      <c r="Q640" s="300"/>
      <c r="R640" s="300"/>
      <c r="S640" s="300"/>
      <c r="T640" s="300"/>
      <c r="U640" s="300"/>
      <c r="V640" s="300"/>
      <c r="W640" s="300"/>
      <c r="X640" s="300"/>
      <c r="Y640" s="300"/>
      <c r="Z640" s="300"/>
      <c r="AL640" s="267"/>
      <c r="AM640" s="267"/>
      <c r="AN640" s="267"/>
      <c r="AO640" s="267"/>
      <c r="AP640" s="267"/>
    </row>
    <row r="641" spans="15:42" x14ac:dyDescent="0.2">
      <c r="O641" s="300"/>
      <c r="Q641" s="300"/>
      <c r="R641" s="300"/>
      <c r="S641" s="300"/>
      <c r="T641" s="300"/>
      <c r="U641" s="300"/>
      <c r="V641" s="300"/>
      <c r="W641" s="300"/>
      <c r="X641" s="300"/>
      <c r="Y641" s="300"/>
      <c r="Z641" s="300"/>
      <c r="AL641" s="267"/>
      <c r="AM641" s="267"/>
      <c r="AN641" s="267"/>
      <c r="AO641" s="267"/>
      <c r="AP641" s="267"/>
    </row>
    <row r="642" spans="15:42" x14ac:dyDescent="0.2">
      <c r="O642" s="300"/>
      <c r="Q642" s="300"/>
      <c r="R642" s="300"/>
      <c r="S642" s="300"/>
      <c r="T642" s="300"/>
      <c r="U642" s="300"/>
      <c r="V642" s="300"/>
      <c r="W642" s="300"/>
      <c r="X642" s="300"/>
      <c r="Y642" s="300"/>
      <c r="Z642" s="300"/>
      <c r="AL642" s="267"/>
      <c r="AM642" s="267"/>
      <c r="AN642" s="267"/>
      <c r="AO642" s="267"/>
      <c r="AP642" s="267"/>
    </row>
    <row r="643" spans="15:42" x14ac:dyDescent="0.2">
      <c r="O643" s="300"/>
      <c r="Q643" s="300"/>
      <c r="R643" s="300"/>
      <c r="S643" s="300"/>
      <c r="T643" s="300"/>
      <c r="U643" s="300"/>
      <c r="V643" s="300"/>
      <c r="W643" s="300"/>
      <c r="X643" s="300"/>
      <c r="Y643" s="300"/>
      <c r="Z643" s="300"/>
      <c r="AL643" s="267"/>
      <c r="AM643" s="267"/>
      <c r="AN643" s="267"/>
      <c r="AO643" s="267"/>
      <c r="AP643" s="267"/>
    </row>
    <row r="644" spans="15:42" x14ac:dyDescent="0.2">
      <c r="O644" s="300"/>
      <c r="Q644" s="300"/>
      <c r="R644" s="300"/>
      <c r="S644" s="300"/>
      <c r="T644" s="300"/>
      <c r="U644" s="300"/>
      <c r="V644" s="300"/>
      <c r="W644" s="300"/>
      <c r="X644" s="300"/>
      <c r="Y644" s="300"/>
      <c r="Z644" s="300"/>
      <c r="AL644" s="267"/>
      <c r="AM644" s="267"/>
      <c r="AN644" s="267"/>
      <c r="AO644" s="267"/>
      <c r="AP644" s="267"/>
    </row>
    <row r="645" spans="15:42" x14ac:dyDescent="0.2">
      <c r="O645" s="300"/>
      <c r="Q645" s="300"/>
      <c r="R645" s="300"/>
      <c r="S645" s="300"/>
      <c r="T645" s="300"/>
      <c r="U645" s="300"/>
      <c r="V645" s="300"/>
      <c r="W645" s="300"/>
      <c r="X645" s="300"/>
      <c r="Y645" s="300"/>
      <c r="Z645" s="300"/>
      <c r="AL645" s="267"/>
      <c r="AM645" s="267"/>
      <c r="AN645" s="267"/>
      <c r="AO645" s="267"/>
      <c r="AP645" s="267"/>
    </row>
    <row r="646" spans="15:42" x14ac:dyDescent="0.2">
      <c r="O646" s="300"/>
      <c r="Q646" s="300"/>
      <c r="R646" s="300"/>
      <c r="S646" s="300"/>
      <c r="T646" s="300"/>
      <c r="U646" s="300"/>
      <c r="V646" s="300"/>
      <c r="W646" s="300"/>
      <c r="X646" s="300"/>
      <c r="Y646" s="300"/>
      <c r="Z646" s="300"/>
      <c r="AL646" s="267"/>
      <c r="AM646" s="267"/>
      <c r="AN646" s="267"/>
      <c r="AO646" s="267"/>
      <c r="AP646" s="267"/>
    </row>
    <row r="647" spans="15:42" x14ac:dyDescent="0.2">
      <c r="O647" s="300"/>
      <c r="Q647" s="300"/>
      <c r="R647" s="300"/>
      <c r="S647" s="300"/>
      <c r="T647" s="300"/>
      <c r="U647" s="300"/>
      <c r="V647" s="300"/>
      <c r="W647" s="300"/>
      <c r="X647" s="300"/>
      <c r="Y647" s="300"/>
      <c r="Z647" s="300"/>
      <c r="AL647" s="267"/>
      <c r="AM647" s="267"/>
      <c r="AN647" s="267"/>
      <c r="AO647" s="267"/>
      <c r="AP647" s="267"/>
    </row>
    <row r="648" spans="15:42" x14ac:dyDescent="0.2">
      <c r="O648" s="300"/>
      <c r="Q648" s="300"/>
      <c r="R648" s="300"/>
      <c r="S648" s="300"/>
      <c r="T648" s="300"/>
      <c r="U648" s="300"/>
      <c r="V648" s="300"/>
      <c r="W648" s="300"/>
      <c r="X648" s="300"/>
      <c r="Y648" s="300"/>
      <c r="Z648" s="300"/>
      <c r="AL648" s="267"/>
      <c r="AM648" s="267"/>
      <c r="AN648" s="267"/>
      <c r="AO648" s="267"/>
      <c r="AP648" s="267"/>
    </row>
    <row r="649" spans="15:42" x14ac:dyDescent="0.2">
      <c r="O649" s="300"/>
      <c r="Q649" s="300"/>
      <c r="R649" s="300"/>
      <c r="S649" s="300"/>
      <c r="T649" s="300"/>
      <c r="U649" s="300"/>
      <c r="V649" s="300"/>
      <c r="W649" s="300"/>
      <c r="X649" s="300"/>
      <c r="Y649" s="300"/>
      <c r="Z649" s="300"/>
      <c r="AL649" s="267"/>
      <c r="AM649" s="267"/>
      <c r="AN649" s="267"/>
      <c r="AO649" s="267"/>
      <c r="AP649" s="267"/>
    </row>
    <row r="650" spans="15:42" x14ac:dyDescent="0.2">
      <c r="O650" s="300"/>
      <c r="Q650" s="300"/>
      <c r="R650" s="300"/>
      <c r="S650" s="300"/>
      <c r="T650" s="300"/>
      <c r="U650" s="300"/>
      <c r="V650" s="300"/>
      <c r="W650" s="300"/>
      <c r="X650" s="300"/>
      <c r="Y650" s="300"/>
      <c r="Z650" s="300"/>
      <c r="AL650" s="267"/>
      <c r="AM650" s="267"/>
      <c r="AN650" s="267"/>
      <c r="AO650" s="267"/>
      <c r="AP650" s="267"/>
    </row>
    <row r="651" spans="15:42" x14ac:dyDescent="0.2">
      <c r="O651" s="300"/>
      <c r="Q651" s="300"/>
      <c r="R651" s="300"/>
      <c r="S651" s="300"/>
      <c r="T651" s="300"/>
      <c r="U651" s="300"/>
      <c r="V651" s="300"/>
      <c r="W651" s="300"/>
      <c r="X651" s="300"/>
      <c r="Y651" s="300"/>
      <c r="Z651" s="300"/>
      <c r="AL651" s="267"/>
      <c r="AM651" s="267"/>
      <c r="AN651" s="267"/>
      <c r="AO651" s="267"/>
      <c r="AP651" s="267"/>
    </row>
    <row r="652" spans="15:42" x14ac:dyDescent="0.2">
      <c r="O652" s="300"/>
      <c r="Q652" s="300"/>
      <c r="R652" s="300"/>
      <c r="S652" s="300"/>
      <c r="T652" s="300"/>
      <c r="U652" s="300"/>
      <c r="V652" s="300"/>
      <c r="W652" s="300"/>
      <c r="X652" s="300"/>
      <c r="Y652" s="300"/>
      <c r="Z652" s="300"/>
      <c r="AL652" s="267"/>
      <c r="AM652" s="267"/>
      <c r="AN652" s="267"/>
      <c r="AO652" s="267"/>
      <c r="AP652" s="267"/>
    </row>
    <row r="653" spans="15:42" x14ac:dyDescent="0.2">
      <c r="O653" s="300"/>
      <c r="Q653" s="300"/>
      <c r="R653" s="300"/>
      <c r="S653" s="300"/>
      <c r="T653" s="300"/>
      <c r="U653" s="300"/>
      <c r="V653" s="300"/>
      <c r="W653" s="300"/>
      <c r="X653" s="300"/>
      <c r="Y653" s="300"/>
      <c r="Z653" s="300"/>
      <c r="AL653" s="267"/>
      <c r="AM653" s="267"/>
      <c r="AN653" s="267"/>
      <c r="AO653" s="267"/>
      <c r="AP653" s="267"/>
    </row>
    <row r="654" spans="15:42" x14ac:dyDescent="0.2">
      <c r="O654" s="300"/>
      <c r="Q654" s="300"/>
      <c r="R654" s="300"/>
      <c r="S654" s="300"/>
      <c r="T654" s="300"/>
      <c r="U654" s="300"/>
      <c r="V654" s="300"/>
      <c r="W654" s="300"/>
      <c r="X654" s="300"/>
      <c r="Y654" s="300"/>
      <c r="Z654" s="300"/>
      <c r="AL654" s="267"/>
      <c r="AM654" s="267"/>
      <c r="AN654" s="267"/>
      <c r="AO654" s="267"/>
      <c r="AP654" s="267"/>
    </row>
    <row r="655" spans="15:42" x14ac:dyDescent="0.2">
      <c r="O655" s="300"/>
      <c r="Q655" s="300"/>
      <c r="R655" s="300"/>
      <c r="S655" s="300"/>
      <c r="T655" s="300"/>
      <c r="U655" s="300"/>
      <c r="V655" s="300"/>
      <c r="W655" s="300"/>
      <c r="X655" s="300"/>
      <c r="Y655" s="300"/>
      <c r="Z655" s="300"/>
      <c r="AL655" s="267"/>
      <c r="AM655" s="267"/>
      <c r="AN655" s="267"/>
      <c r="AO655" s="267"/>
      <c r="AP655" s="267"/>
    </row>
    <row r="656" spans="15:42" x14ac:dyDescent="0.2">
      <c r="O656" s="300"/>
      <c r="Q656" s="300"/>
      <c r="R656" s="300"/>
      <c r="S656" s="300"/>
      <c r="T656" s="300"/>
      <c r="U656" s="300"/>
      <c r="V656" s="300"/>
      <c r="W656" s="300"/>
      <c r="X656" s="300"/>
      <c r="Y656" s="300"/>
      <c r="Z656" s="300"/>
      <c r="AL656" s="267"/>
      <c r="AM656" s="267"/>
      <c r="AN656" s="267"/>
      <c r="AO656" s="267"/>
      <c r="AP656" s="267"/>
    </row>
    <row r="657" spans="15:42" x14ac:dyDescent="0.2">
      <c r="O657" s="300"/>
      <c r="Q657" s="300"/>
      <c r="R657" s="300"/>
      <c r="S657" s="300"/>
      <c r="T657" s="300"/>
      <c r="U657" s="300"/>
      <c r="V657" s="300"/>
      <c r="W657" s="300"/>
      <c r="X657" s="300"/>
      <c r="Y657" s="300"/>
      <c r="Z657" s="300"/>
      <c r="AL657" s="267"/>
      <c r="AM657" s="267"/>
      <c r="AN657" s="267"/>
      <c r="AO657" s="267"/>
      <c r="AP657" s="267"/>
    </row>
    <row r="658" spans="15:42" x14ac:dyDescent="0.2">
      <c r="O658" s="300"/>
      <c r="Q658" s="300"/>
      <c r="R658" s="300"/>
      <c r="S658" s="300"/>
      <c r="T658" s="300"/>
      <c r="U658" s="300"/>
      <c r="V658" s="300"/>
      <c r="W658" s="300"/>
      <c r="X658" s="300"/>
      <c r="Y658" s="300"/>
      <c r="Z658" s="300"/>
      <c r="AL658" s="267"/>
      <c r="AM658" s="267"/>
      <c r="AN658" s="267"/>
      <c r="AO658" s="267"/>
      <c r="AP658" s="267"/>
    </row>
    <row r="659" spans="15:42" x14ac:dyDescent="0.2">
      <c r="O659" s="300"/>
      <c r="Q659" s="300"/>
      <c r="R659" s="300"/>
      <c r="S659" s="300"/>
      <c r="T659" s="300"/>
      <c r="U659" s="300"/>
      <c r="V659" s="300"/>
      <c r="W659" s="300"/>
      <c r="X659" s="300"/>
      <c r="Y659" s="300"/>
      <c r="Z659" s="300"/>
      <c r="AL659" s="267"/>
      <c r="AM659" s="267"/>
      <c r="AN659" s="267"/>
      <c r="AO659" s="267"/>
      <c r="AP659" s="267"/>
    </row>
    <row r="660" spans="15:42" x14ac:dyDescent="0.2">
      <c r="O660" s="300"/>
      <c r="Q660" s="300"/>
      <c r="R660" s="300"/>
      <c r="S660" s="300"/>
      <c r="T660" s="300"/>
      <c r="U660" s="300"/>
      <c r="V660" s="300"/>
      <c r="W660" s="300"/>
      <c r="X660" s="300"/>
      <c r="Y660" s="300"/>
      <c r="Z660" s="300"/>
      <c r="AL660" s="267"/>
      <c r="AM660" s="267"/>
      <c r="AN660" s="267"/>
      <c r="AO660" s="267"/>
      <c r="AP660" s="267"/>
    </row>
    <row r="661" spans="15:42" x14ac:dyDescent="0.2">
      <c r="O661" s="300"/>
      <c r="Q661" s="300"/>
      <c r="R661" s="300"/>
      <c r="S661" s="300"/>
      <c r="T661" s="300"/>
      <c r="U661" s="300"/>
      <c r="V661" s="300"/>
      <c r="W661" s="300"/>
      <c r="X661" s="300"/>
      <c r="Y661" s="300"/>
      <c r="Z661" s="300"/>
      <c r="AL661" s="267"/>
      <c r="AM661" s="267"/>
      <c r="AN661" s="267"/>
      <c r="AO661" s="267"/>
      <c r="AP661" s="267"/>
    </row>
    <row r="662" spans="15:42" x14ac:dyDescent="0.2">
      <c r="O662" s="300"/>
      <c r="Q662" s="300"/>
      <c r="R662" s="300"/>
      <c r="S662" s="300"/>
      <c r="T662" s="300"/>
      <c r="U662" s="300"/>
      <c r="V662" s="300"/>
      <c r="W662" s="300"/>
      <c r="X662" s="300"/>
      <c r="Y662" s="300"/>
      <c r="Z662" s="300"/>
      <c r="AL662" s="267"/>
      <c r="AM662" s="267"/>
      <c r="AN662" s="267"/>
      <c r="AO662" s="267"/>
      <c r="AP662" s="267"/>
    </row>
    <row r="663" spans="15:42" x14ac:dyDescent="0.2">
      <c r="O663" s="300"/>
      <c r="Q663" s="300"/>
      <c r="R663" s="300"/>
      <c r="S663" s="300"/>
      <c r="T663" s="300"/>
      <c r="U663" s="300"/>
      <c r="V663" s="300"/>
      <c r="W663" s="300"/>
      <c r="X663" s="300"/>
      <c r="Y663" s="300"/>
      <c r="Z663" s="300"/>
      <c r="AL663" s="267"/>
      <c r="AM663" s="267"/>
      <c r="AN663" s="267"/>
      <c r="AO663" s="267"/>
      <c r="AP663" s="267"/>
    </row>
    <row r="664" spans="15:42" x14ac:dyDescent="0.2">
      <c r="O664" s="300"/>
      <c r="Q664" s="300"/>
      <c r="R664" s="300"/>
      <c r="S664" s="300"/>
      <c r="T664" s="300"/>
      <c r="U664" s="300"/>
      <c r="V664" s="300"/>
      <c r="W664" s="300"/>
      <c r="X664" s="300"/>
      <c r="Y664" s="300"/>
      <c r="Z664" s="300"/>
      <c r="AL664" s="267"/>
      <c r="AM664" s="267"/>
      <c r="AN664" s="267"/>
      <c r="AO664" s="267"/>
      <c r="AP664" s="267"/>
    </row>
    <row r="665" spans="15:42" x14ac:dyDescent="0.2">
      <c r="O665" s="300"/>
      <c r="Q665" s="300"/>
      <c r="R665" s="300"/>
      <c r="S665" s="300"/>
      <c r="T665" s="300"/>
      <c r="U665" s="300"/>
      <c r="V665" s="300"/>
      <c r="W665" s="300"/>
      <c r="X665" s="300"/>
      <c r="Y665" s="300"/>
      <c r="Z665" s="300"/>
      <c r="AL665" s="267"/>
      <c r="AM665" s="267"/>
      <c r="AN665" s="267"/>
      <c r="AO665" s="267"/>
      <c r="AP665" s="267"/>
    </row>
    <row r="666" spans="15:42" x14ac:dyDescent="0.2">
      <c r="O666" s="300"/>
      <c r="Q666" s="300"/>
      <c r="R666" s="300"/>
      <c r="S666" s="300"/>
      <c r="T666" s="300"/>
      <c r="U666" s="300"/>
      <c r="V666" s="300"/>
      <c r="W666" s="300"/>
      <c r="X666" s="300"/>
      <c r="Y666" s="300"/>
      <c r="Z666" s="300"/>
      <c r="AL666" s="267"/>
      <c r="AM666" s="267"/>
      <c r="AN666" s="267"/>
      <c r="AO666" s="267"/>
      <c r="AP666" s="267"/>
    </row>
    <row r="667" spans="15:42" x14ac:dyDescent="0.2">
      <c r="O667" s="300"/>
      <c r="Q667" s="300"/>
      <c r="R667" s="300"/>
      <c r="S667" s="300"/>
      <c r="T667" s="300"/>
      <c r="U667" s="300"/>
      <c r="V667" s="300"/>
      <c r="W667" s="300"/>
      <c r="X667" s="300"/>
      <c r="Y667" s="300"/>
      <c r="Z667" s="300"/>
      <c r="AL667" s="267"/>
      <c r="AM667" s="267"/>
      <c r="AN667" s="267"/>
      <c r="AO667" s="267"/>
      <c r="AP667" s="267"/>
    </row>
    <row r="668" spans="15:42" x14ac:dyDescent="0.2">
      <c r="O668" s="300"/>
      <c r="Q668" s="300"/>
      <c r="R668" s="300"/>
      <c r="S668" s="300"/>
      <c r="T668" s="300"/>
      <c r="U668" s="300"/>
      <c r="V668" s="300"/>
      <c r="W668" s="300"/>
      <c r="X668" s="300"/>
      <c r="Y668" s="300"/>
      <c r="Z668" s="300"/>
      <c r="AL668" s="267"/>
      <c r="AM668" s="267"/>
      <c r="AN668" s="267"/>
      <c r="AO668" s="267"/>
      <c r="AP668" s="267"/>
    </row>
    <row r="669" spans="15:42" x14ac:dyDescent="0.2">
      <c r="O669" s="300"/>
      <c r="Q669" s="300"/>
      <c r="R669" s="300"/>
      <c r="S669" s="300"/>
      <c r="T669" s="300"/>
      <c r="U669" s="300"/>
      <c r="V669" s="300"/>
      <c r="W669" s="300"/>
      <c r="X669" s="300"/>
      <c r="Y669" s="300"/>
      <c r="Z669" s="300"/>
      <c r="AL669" s="267"/>
      <c r="AM669" s="267"/>
      <c r="AN669" s="267"/>
      <c r="AO669" s="267"/>
      <c r="AP669" s="267"/>
    </row>
    <row r="670" spans="15:42" x14ac:dyDescent="0.2">
      <c r="O670" s="300"/>
      <c r="Q670" s="300"/>
      <c r="R670" s="300"/>
      <c r="S670" s="300"/>
      <c r="T670" s="300"/>
      <c r="U670" s="300"/>
      <c r="V670" s="300"/>
      <c r="W670" s="300"/>
      <c r="X670" s="300"/>
      <c r="Y670" s="300"/>
      <c r="Z670" s="300"/>
      <c r="AL670" s="267"/>
      <c r="AM670" s="267"/>
      <c r="AN670" s="267"/>
      <c r="AO670" s="267"/>
      <c r="AP670" s="267"/>
    </row>
    <row r="671" spans="15:42" x14ac:dyDescent="0.2">
      <c r="O671" s="300"/>
      <c r="Q671" s="300"/>
      <c r="R671" s="300"/>
      <c r="S671" s="300"/>
      <c r="T671" s="300"/>
      <c r="U671" s="300"/>
      <c r="V671" s="300"/>
      <c r="W671" s="300"/>
      <c r="X671" s="300"/>
      <c r="Y671" s="300"/>
      <c r="Z671" s="300"/>
      <c r="AL671" s="267"/>
      <c r="AM671" s="267"/>
      <c r="AN671" s="267"/>
      <c r="AO671" s="267"/>
      <c r="AP671" s="267"/>
    </row>
    <row r="672" spans="15:42" x14ac:dyDescent="0.2">
      <c r="O672" s="300"/>
      <c r="Q672" s="300"/>
      <c r="R672" s="300"/>
      <c r="S672" s="300"/>
      <c r="T672" s="300"/>
      <c r="U672" s="300"/>
      <c r="V672" s="300"/>
      <c r="W672" s="300"/>
      <c r="X672" s="300"/>
      <c r="Y672" s="300"/>
      <c r="Z672" s="300"/>
      <c r="AL672" s="267"/>
      <c r="AM672" s="267"/>
      <c r="AN672" s="267"/>
      <c r="AO672" s="267"/>
      <c r="AP672" s="267"/>
    </row>
    <row r="673" spans="13:42" x14ac:dyDescent="0.2">
      <c r="M673" s="301"/>
      <c r="O673" s="300"/>
      <c r="Q673" s="300"/>
      <c r="R673" s="300"/>
      <c r="S673" s="300"/>
      <c r="T673" s="300"/>
      <c r="U673" s="300"/>
      <c r="V673" s="300"/>
      <c r="W673" s="300"/>
      <c r="X673" s="300"/>
      <c r="Y673" s="300"/>
      <c r="Z673" s="300"/>
      <c r="AL673" s="267"/>
      <c r="AM673" s="267"/>
      <c r="AN673" s="267"/>
      <c r="AO673" s="267"/>
      <c r="AP673" s="267"/>
    </row>
    <row r="674" spans="13:42" x14ac:dyDescent="0.2">
      <c r="M674" s="301"/>
    </row>
    <row r="675" spans="13:42" x14ac:dyDescent="0.2">
      <c r="M675" s="301"/>
      <c r="O675" s="300"/>
      <c r="Q675" s="300"/>
      <c r="R675" s="300"/>
      <c r="S675" s="300"/>
      <c r="T675" s="300"/>
      <c r="U675" s="300"/>
      <c r="V675" s="300"/>
      <c r="W675" s="300"/>
      <c r="X675" s="300"/>
      <c r="Y675" s="300"/>
      <c r="Z675" s="300"/>
      <c r="AL675" s="267"/>
      <c r="AM675" s="267"/>
      <c r="AN675" s="267"/>
      <c r="AO675" s="267"/>
      <c r="AP675" s="267"/>
    </row>
    <row r="676" spans="13:42" x14ac:dyDescent="0.2">
      <c r="M676" s="301"/>
    </row>
    <row r="677" spans="13:42" x14ac:dyDescent="0.2">
      <c r="M677" s="301"/>
      <c r="O677" s="300"/>
      <c r="Q677" s="300"/>
      <c r="R677" s="300"/>
      <c r="S677" s="300"/>
      <c r="T677" s="300"/>
      <c r="U677" s="300"/>
      <c r="V677" s="300"/>
      <c r="W677" s="300"/>
      <c r="X677" s="300"/>
      <c r="Y677" s="300"/>
      <c r="Z677" s="300"/>
      <c r="AL677" s="267"/>
      <c r="AM677" s="267"/>
      <c r="AN677" s="267"/>
      <c r="AO677" s="267"/>
      <c r="AP677" s="267"/>
    </row>
    <row r="678" spans="13:42" x14ac:dyDescent="0.2">
      <c r="M678" s="301"/>
    </row>
    <row r="679" spans="13:42" x14ac:dyDescent="0.2">
      <c r="M679" s="301"/>
      <c r="O679" s="300"/>
      <c r="Q679" s="300"/>
      <c r="R679" s="300"/>
      <c r="S679" s="300"/>
      <c r="T679" s="300"/>
      <c r="U679" s="300"/>
      <c r="V679" s="300"/>
      <c r="W679" s="300"/>
      <c r="X679" s="300"/>
      <c r="Y679" s="300"/>
      <c r="Z679" s="300"/>
      <c r="AL679" s="267"/>
      <c r="AM679" s="267"/>
      <c r="AN679" s="267"/>
      <c r="AO679" s="267"/>
      <c r="AP679" s="267"/>
    </row>
    <row r="680" spans="13:42" x14ac:dyDescent="0.2">
      <c r="M680" s="301"/>
    </row>
    <row r="681" spans="13:42" x14ac:dyDescent="0.2">
      <c r="M681" s="301"/>
      <c r="O681" s="300"/>
      <c r="Q681" s="300"/>
      <c r="R681" s="300"/>
      <c r="S681" s="300"/>
      <c r="T681" s="300"/>
      <c r="U681" s="300"/>
      <c r="V681" s="300"/>
      <c r="W681" s="300"/>
      <c r="X681" s="300"/>
      <c r="Y681" s="300"/>
      <c r="Z681" s="300"/>
      <c r="AL681" s="267"/>
      <c r="AM681" s="267"/>
      <c r="AN681" s="267"/>
      <c r="AO681" s="267"/>
      <c r="AP681" s="267"/>
    </row>
    <row r="682" spans="13:42" x14ac:dyDescent="0.2">
      <c r="M682" s="301"/>
    </row>
    <row r="683" spans="13:42" x14ac:dyDescent="0.2">
      <c r="M683" s="301"/>
      <c r="O683" s="300"/>
      <c r="Q683" s="300"/>
      <c r="R683" s="300"/>
      <c r="S683" s="300"/>
      <c r="T683" s="300"/>
      <c r="U683" s="300"/>
      <c r="V683" s="300"/>
      <c r="W683" s="300"/>
      <c r="X683" s="300"/>
      <c r="Y683" s="300"/>
      <c r="Z683" s="300"/>
      <c r="AL683" s="267"/>
      <c r="AM683" s="267"/>
      <c r="AN683" s="267"/>
      <c r="AO683" s="267"/>
      <c r="AP683" s="267"/>
    </row>
    <row r="684" spans="13:42" x14ac:dyDescent="0.2">
      <c r="M684" s="301"/>
    </row>
    <row r="685" spans="13:42" x14ac:dyDescent="0.2">
      <c r="M685" s="301"/>
      <c r="O685" s="300"/>
      <c r="Q685" s="300"/>
      <c r="R685" s="300"/>
      <c r="S685" s="300"/>
      <c r="T685" s="300"/>
      <c r="U685" s="300"/>
      <c r="V685" s="300"/>
      <c r="W685" s="300"/>
      <c r="X685" s="300"/>
      <c r="Y685" s="300"/>
      <c r="Z685" s="300"/>
      <c r="AL685" s="267"/>
      <c r="AM685" s="267"/>
      <c r="AN685" s="267"/>
      <c r="AO685" s="267"/>
      <c r="AP685" s="267"/>
    </row>
    <row r="686" spans="13:42" x14ac:dyDescent="0.2">
      <c r="M686" s="301"/>
    </row>
    <row r="687" spans="13:42" x14ac:dyDescent="0.2">
      <c r="M687" s="301"/>
      <c r="O687" s="300"/>
      <c r="Q687" s="300"/>
      <c r="R687" s="300"/>
      <c r="S687" s="300"/>
      <c r="T687" s="300"/>
      <c r="U687" s="300"/>
      <c r="V687" s="300"/>
      <c r="W687" s="300"/>
      <c r="X687" s="300"/>
      <c r="Y687" s="300"/>
      <c r="Z687" s="300"/>
      <c r="AL687" s="267"/>
      <c r="AM687" s="267"/>
      <c r="AN687" s="267"/>
      <c r="AO687" s="267"/>
      <c r="AP687" s="267"/>
    </row>
    <row r="688" spans="13:42" x14ac:dyDescent="0.2">
      <c r="M688" s="301"/>
    </row>
    <row r="689" spans="13:42" x14ac:dyDescent="0.2">
      <c r="M689" s="301"/>
      <c r="O689" s="300"/>
      <c r="Q689" s="300"/>
      <c r="R689" s="300"/>
      <c r="S689" s="300"/>
      <c r="T689" s="300"/>
      <c r="U689" s="300"/>
      <c r="V689" s="300"/>
      <c r="W689" s="300"/>
      <c r="X689" s="300"/>
      <c r="Y689" s="300"/>
      <c r="Z689" s="300"/>
      <c r="AL689" s="267"/>
      <c r="AM689" s="267"/>
      <c r="AN689" s="267"/>
      <c r="AO689" s="267"/>
      <c r="AP689" s="267"/>
    </row>
    <row r="690" spans="13:42" x14ac:dyDescent="0.2">
      <c r="M690" s="301"/>
    </row>
    <row r="691" spans="13:42" x14ac:dyDescent="0.2">
      <c r="O691" s="300"/>
      <c r="Q691" s="300"/>
      <c r="R691" s="300"/>
      <c r="S691" s="300"/>
      <c r="T691" s="300"/>
      <c r="U691" s="300"/>
      <c r="V691" s="300"/>
      <c r="W691" s="300"/>
      <c r="X691" s="300"/>
      <c r="Y691" s="300"/>
      <c r="Z691" s="300"/>
      <c r="AL691" s="267"/>
      <c r="AM691" s="267"/>
      <c r="AN691" s="267"/>
      <c r="AO691" s="267"/>
      <c r="AP691" s="267"/>
    </row>
    <row r="692" spans="13:42" x14ac:dyDescent="0.2">
      <c r="O692" s="300"/>
      <c r="Q692" s="300"/>
      <c r="R692" s="300"/>
      <c r="S692" s="300"/>
      <c r="T692" s="300"/>
      <c r="U692" s="300"/>
      <c r="V692" s="300"/>
      <c r="W692" s="300"/>
      <c r="X692" s="300"/>
      <c r="Y692" s="300"/>
      <c r="Z692" s="300"/>
      <c r="AL692" s="267"/>
      <c r="AM692" s="267"/>
      <c r="AN692" s="267"/>
      <c r="AO692" s="267"/>
      <c r="AP692" s="267"/>
    </row>
    <row r="693" spans="13:42" x14ac:dyDescent="0.2">
      <c r="O693" s="300"/>
      <c r="Q693" s="300"/>
      <c r="R693" s="300"/>
      <c r="S693" s="300"/>
      <c r="T693" s="300"/>
      <c r="U693" s="300"/>
      <c r="V693" s="300"/>
      <c r="W693" s="300"/>
      <c r="X693" s="300"/>
      <c r="Y693" s="300"/>
      <c r="Z693" s="300"/>
      <c r="AL693" s="267"/>
      <c r="AM693" s="267"/>
      <c r="AN693" s="267"/>
      <c r="AO693" s="267"/>
      <c r="AP693" s="267"/>
    </row>
    <row r="694" spans="13:42" x14ac:dyDescent="0.2">
      <c r="O694" s="300"/>
      <c r="Q694" s="300"/>
      <c r="R694" s="300"/>
      <c r="S694" s="300"/>
      <c r="T694" s="300"/>
      <c r="U694" s="300"/>
      <c r="V694" s="300"/>
      <c r="W694" s="300"/>
      <c r="X694" s="300"/>
      <c r="Y694" s="300"/>
      <c r="Z694" s="300"/>
      <c r="AL694" s="267"/>
      <c r="AM694" s="267"/>
      <c r="AN694" s="267"/>
      <c r="AO694" s="267"/>
      <c r="AP694" s="267"/>
    </row>
    <row r="695" spans="13:42" x14ac:dyDescent="0.2">
      <c r="O695" s="300"/>
      <c r="Q695" s="300"/>
      <c r="R695" s="300"/>
      <c r="S695" s="300"/>
      <c r="T695" s="300"/>
      <c r="U695" s="300"/>
      <c r="V695" s="300"/>
      <c r="W695" s="300"/>
      <c r="X695" s="300"/>
      <c r="Y695" s="300"/>
      <c r="Z695" s="300"/>
      <c r="AL695" s="267"/>
      <c r="AM695" s="267"/>
      <c r="AN695" s="267"/>
      <c r="AO695" s="267"/>
      <c r="AP695" s="267"/>
    </row>
    <row r="696" spans="13:42" x14ac:dyDescent="0.2">
      <c r="O696" s="300"/>
      <c r="Q696" s="300"/>
      <c r="R696" s="300"/>
      <c r="S696" s="300"/>
      <c r="T696" s="300"/>
      <c r="U696" s="300"/>
      <c r="V696" s="300"/>
      <c r="W696" s="300"/>
      <c r="X696" s="300"/>
      <c r="Y696" s="300"/>
      <c r="Z696" s="300"/>
      <c r="AL696" s="267"/>
      <c r="AM696" s="267"/>
      <c r="AN696" s="267"/>
      <c r="AO696" s="267"/>
      <c r="AP696" s="267"/>
    </row>
    <row r="697" spans="13:42" x14ac:dyDescent="0.2">
      <c r="O697" s="300"/>
      <c r="Q697" s="300"/>
      <c r="R697" s="300"/>
      <c r="S697" s="300"/>
      <c r="T697" s="300"/>
      <c r="U697" s="300"/>
      <c r="V697" s="300"/>
      <c r="W697" s="300"/>
      <c r="X697" s="300"/>
      <c r="Y697" s="300"/>
      <c r="Z697" s="300"/>
      <c r="AL697" s="267"/>
      <c r="AM697" s="267"/>
      <c r="AN697" s="267"/>
      <c r="AO697" s="267"/>
      <c r="AP697" s="267"/>
    </row>
    <row r="698" spans="13:42" x14ac:dyDescent="0.2">
      <c r="O698" s="300"/>
      <c r="Q698" s="300"/>
      <c r="R698" s="300"/>
      <c r="S698" s="300"/>
      <c r="T698" s="300"/>
      <c r="U698" s="300"/>
      <c r="V698" s="300"/>
      <c r="W698" s="300"/>
      <c r="X698" s="300"/>
      <c r="Y698" s="300"/>
      <c r="Z698" s="300"/>
      <c r="AL698" s="267"/>
      <c r="AM698" s="267"/>
      <c r="AN698" s="267"/>
      <c r="AO698" s="267"/>
      <c r="AP698" s="267"/>
    </row>
    <row r="699" spans="13:42" x14ac:dyDescent="0.2">
      <c r="O699" s="300"/>
      <c r="Q699" s="300"/>
      <c r="R699" s="300"/>
      <c r="S699" s="300"/>
      <c r="T699" s="300"/>
      <c r="U699" s="300"/>
      <c r="V699" s="300"/>
      <c r="W699" s="300"/>
      <c r="X699" s="300"/>
      <c r="Y699" s="300"/>
      <c r="Z699" s="300"/>
      <c r="AL699" s="267"/>
      <c r="AM699" s="267"/>
      <c r="AN699" s="267"/>
      <c r="AO699" s="267"/>
      <c r="AP699" s="267"/>
    </row>
    <row r="700" spans="13:42" x14ac:dyDescent="0.2">
      <c r="O700" s="300"/>
      <c r="Q700" s="300"/>
      <c r="R700" s="300"/>
      <c r="S700" s="300"/>
      <c r="T700" s="300"/>
      <c r="U700" s="300"/>
      <c r="V700" s="300"/>
      <c r="W700" s="300"/>
      <c r="X700" s="300"/>
      <c r="Y700" s="300"/>
      <c r="Z700" s="300"/>
      <c r="AL700" s="267"/>
      <c r="AM700" s="267"/>
      <c r="AN700" s="267"/>
      <c r="AO700" s="267"/>
      <c r="AP700" s="267"/>
    </row>
    <row r="701" spans="13:42" x14ac:dyDescent="0.2">
      <c r="O701" s="300"/>
      <c r="Q701" s="300"/>
      <c r="R701" s="300"/>
      <c r="S701" s="300"/>
      <c r="T701" s="300"/>
      <c r="U701" s="300"/>
      <c r="V701" s="300"/>
      <c r="W701" s="300"/>
      <c r="X701" s="300"/>
      <c r="Y701" s="300"/>
      <c r="Z701" s="300"/>
      <c r="AL701" s="267"/>
      <c r="AM701" s="267"/>
      <c r="AN701" s="267"/>
      <c r="AO701" s="267"/>
      <c r="AP701" s="267"/>
    </row>
    <row r="702" spans="13:42" x14ac:dyDescent="0.2">
      <c r="O702" s="300"/>
      <c r="Q702" s="300"/>
      <c r="R702" s="300"/>
      <c r="S702" s="300"/>
      <c r="T702" s="300"/>
      <c r="U702" s="300"/>
      <c r="V702" s="300"/>
      <c r="W702" s="300"/>
      <c r="X702" s="300"/>
      <c r="Y702" s="300"/>
      <c r="Z702" s="300"/>
      <c r="AL702" s="267"/>
      <c r="AM702" s="267"/>
      <c r="AN702" s="267"/>
      <c r="AO702" s="267"/>
      <c r="AP702" s="267"/>
    </row>
    <row r="703" spans="13:42" x14ac:dyDescent="0.2">
      <c r="O703" s="300"/>
      <c r="Q703" s="300"/>
      <c r="R703" s="300"/>
      <c r="S703" s="300"/>
      <c r="T703" s="300"/>
      <c r="U703" s="300"/>
      <c r="V703" s="300"/>
      <c r="W703" s="300"/>
      <c r="X703" s="300"/>
      <c r="Y703" s="300"/>
      <c r="Z703" s="300"/>
      <c r="AL703" s="267"/>
      <c r="AM703" s="267"/>
      <c r="AN703" s="267"/>
      <c r="AO703" s="267"/>
      <c r="AP703" s="267"/>
    </row>
    <row r="704" spans="13:42" x14ac:dyDescent="0.2">
      <c r="O704" s="300"/>
      <c r="Q704" s="300"/>
      <c r="R704" s="300"/>
      <c r="S704" s="300"/>
      <c r="T704" s="300"/>
      <c r="U704" s="300"/>
      <c r="V704" s="300"/>
      <c r="W704" s="300"/>
      <c r="X704" s="300"/>
      <c r="Y704" s="300"/>
      <c r="Z704" s="300"/>
      <c r="AL704" s="267"/>
      <c r="AM704" s="267"/>
      <c r="AN704" s="267"/>
      <c r="AO704" s="267"/>
      <c r="AP704" s="267"/>
    </row>
    <row r="705" spans="15:42" x14ac:dyDescent="0.2">
      <c r="O705" s="300"/>
      <c r="Q705" s="300"/>
      <c r="R705" s="300"/>
      <c r="S705" s="300"/>
      <c r="T705" s="300"/>
      <c r="U705" s="300"/>
      <c r="V705" s="300"/>
      <c r="W705" s="300"/>
      <c r="X705" s="300"/>
      <c r="Y705" s="300"/>
      <c r="Z705" s="300"/>
      <c r="AL705" s="267"/>
      <c r="AM705" s="267"/>
      <c r="AN705" s="267"/>
      <c r="AO705" s="267"/>
      <c r="AP705" s="267"/>
    </row>
    <row r="706" spans="15:42" x14ac:dyDescent="0.2">
      <c r="O706" s="300"/>
      <c r="Q706" s="300"/>
      <c r="R706" s="300"/>
      <c r="S706" s="300"/>
      <c r="T706" s="300"/>
      <c r="U706" s="300"/>
      <c r="V706" s="300"/>
      <c r="W706" s="300"/>
      <c r="X706" s="300"/>
      <c r="Y706" s="300"/>
      <c r="Z706" s="300"/>
      <c r="AL706" s="267"/>
      <c r="AM706" s="267"/>
      <c r="AN706" s="267"/>
      <c r="AO706" s="267"/>
      <c r="AP706" s="267"/>
    </row>
    <row r="707" spans="15:42" x14ac:dyDescent="0.2">
      <c r="O707" s="300"/>
      <c r="Q707" s="300"/>
      <c r="R707" s="300"/>
      <c r="S707" s="300"/>
      <c r="T707" s="300"/>
      <c r="U707" s="300"/>
      <c r="V707" s="300"/>
      <c r="W707" s="300"/>
      <c r="X707" s="300"/>
      <c r="Y707" s="300"/>
      <c r="Z707" s="300"/>
      <c r="AL707" s="267"/>
      <c r="AM707" s="267"/>
      <c r="AN707" s="267"/>
      <c r="AO707" s="267"/>
      <c r="AP707" s="267"/>
    </row>
    <row r="708" spans="15:42" x14ac:dyDescent="0.2">
      <c r="O708" s="300"/>
      <c r="Q708" s="300"/>
      <c r="R708" s="300"/>
      <c r="S708" s="300"/>
      <c r="T708" s="300"/>
      <c r="U708" s="300"/>
      <c r="V708" s="300"/>
      <c r="W708" s="300"/>
      <c r="X708" s="300"/>
      <c r="Y708" s="300"/>
      <c r="Z708" s="300"/>
      <c r="AL708" s="267"/>
      <c r="AM708" s="267"/>
      <c r="AN708" s="267"/>
      <c r="AO708" s="267"/>
      <c r="AP708" s="267"/>
    </row>
    <row r="709" spans="15:42" x14ac:dyDescent="0.2">
      <c r="O709" s="300"/>
      <c r="Q709" s="300"/>
      <c r="R709" s="300"/>
      <c r="S709" s="300"/>
      <c r="T709" s="300"/>
      <c r="U709" s="300"/>
      <c r="V709" s="300"/>
      <c r="W709" s="300"/>
      <c r="X709" s="300"/>
      <c r="Y709" s="300"/>
      <c r="Z709" s="300"/>
      <c r="AL709" s="267"/>
      <c r="AM709" s="267"/>
      <c r="AN709" s="267"/>
      <c r="AO709" s="267"/>
      <c r="AP709" s="267"/>
    </row>
    <row r="710" spans="15:42" x14ac:dyDescent="0.2">
      <c r="O710" s="300"/>
      <c r="Q710" s="300"/>
      <c r="R710" s="300"/>
      <c r="S710" s="300"/>
      <c r="T710" s="300"/>
      <c r="U710" s="300"/>
      <c r="V710" s="300"/>
      <c r="W710" s="300"/>
      <c r="X710" s="300"/>
      <c r="Y710" s="300"/>
      <c r="Z710" s="300"/>
      <c r="AL710" s="267"/>
      <c r="AM710" s="267"/>
      <c r="AN710" s="267"/>
      <c r="AO710" s="267"/>
      <c r="AP710" s="267"/>
    </row>
    <row r="711" spans="15:42" x14ac:dyDescent="0.2">
      <c r="O711" s="300"/>
      <c r="Q711" s="300"/>
      <c r="R711" s="300"/>
      <c r="S711" s="300"/>
      <c r="T711" s="300"/>
      <c r="U711" s="300"/>
      <c r="V711" s="300"/>
      <c r="W711" s="300"/>
      <c r="X711" s="300"/>
      <c r="Y711" s="300"/>
      <c r="Z711" s="300"/>
      <c r="AL711" s="267"/>
      <c r="AM711" s="267"/>
      <c r="AN711" s="267"/>
      <c r="AO711" s="267"/>
      <c r="AP711" s="267"/>
    </row>
    <row r="712" spans="15:42" x14ac:dyDescent="0.2">
      <c r="O712" s="300"/>
      <c r="Q712" s="300"/>
      <c r="R712" s="300"/>
      <c r="S712" s="300"/>
      <c r="T712" s="300"/>
      <c r="U712" s="300"/>
      <c r="V712" s="300"/>
      <c r="W712" s="300"/>
      <c r="X712" s="300"/>
      <c r="Y712" s="300"/>
      <c r="Z712" s="300"/>
      <c r="AL712" s="267"/>
      <c r="AM712" s="267"/>
      <c r="AN712" s="267"/>
      <c r="AO712" s="267"/>
      <c r="AP712" s="267"/>
    </row>
    <row r="713" spans="15:42" x14ac:dyDescent="0.2">
      <c r="O713" s="300"/>
      <c r="Q713" s="300"/>
      <c r="R713" s="300"/>
      <c r="S713" s="300"/>
      <c r="T713" s="300"/>
      <c r="U713" s="300"/>
      <c r="V713" s="300"/>
      <c r="W713" s="300"/>
      <c r="X713" s="300"/>
      <c r="Y713" s="300"/>
      <c r="Z713" s="300"/>
      <c r="AL713" s="267"/>
      <c r="AM713" s="267"/>
      <c r="AN713" s="267"/>
      <c r="AO713" s="267"/>
      <c r="AP713" s="267"/>
    </row>
    <row r="714" spans="15:42" x14ac:dyDescent="0.2">
      <c r="O714" s="300"/>
      <c r="Q714" s="300"/>
      <c r="R714" s="300"/>
      <c r="S714" s="300"/>
      <c r="T714" s="300"/>
      <c r="U714" s="300"/>
      <c r="V714" s="300"/>
      <c r="W714" s="300"/>
      <c r="X714" s="300"/>
      <c r="Y714" s="300"/>
      <c r="Z714" s="300"/>
      <c r="AL714" s="267"/>
      <c r="AM714" s="267"/>
      <c r="AN714" s="267"/>
      <c r="AO714" s="267"/>
      <c r="AP714" s="267"/>
    </row>
    <row r="715" spans="15:42" x14ac:dyDescent="0.2">
      <c r="O715" s="300"/>
      <c r="Q715" s="300"/>
      <c r="R715" s="300"/>
      <c r="S715" s="300"/>
      <c r="T715" s="300"/>
      <c r="U715" s="300"/>
      <c r="V715" s="300"/>
      <c r="W715" s="300"/>
      <c r="X715" s="300"/>
      <c r="Y715" s="300"/>
      <c r="Z715" s="300"/>
      <c r="AL715" s="267"/>
      <c r="AM715" s="267"/>
      <c r="AN715" s="267"/>
      <c r="AO715" s="267"/>
      <c r="AP715" s="267"/>
    </row>
    <row r="716" spans="15:42" x14ac:dyDescent="0.2">
      <c r="O716" s="300"/>
      <c r="Q716" s="300"/>
      <c r="R716" s="300"/>
      <c r="S716" s="300"/>
      <c r="T716" s="300"/>
      <c r="U716" s="300"/>
      <c r="V716" s="300"/>
      <c r="W716" s="300"/>
      <c r="X716" s="300"/>
      <c r="Y716" s="300"/>
      <c r="Z716" s="300"/>
      <c r="AL716" s="267"/>
      <c r="AM716" s="267"/>
      <c r="AN716" s="267"/>
      <c r="AO716" s="267"/>
      <c r="AP716" s="267"/>
    </row>
    <row r="717" spans="15:42" x14ac:dyDescent="0.2">
      <c r="O717" s="300"/>
      <c r="Q717" s="300"/>
      <c r="R717" s="300"/>
      <c r="S717" s="300"/>
      <c r="T717" s="300"/>
      <c r="U717" s="300"/>
      <c r="V717" s="300"/>
      <c r="W717" s="300"/>
      <c r="X717" s="300"/>
      <c r="Y717" s="300"/>
      <c r="Z717" s="300"/>
      <c r="AL717" s="267"/>
      <c r="AM717" s="267"/>
      <c r="AN717" s="267"/>
      <c r="AO717" s="267"/>
      <c r="AP717" s="267"/>
    </row>
    <row r="718" spans="15:42" x14ac:dyDescent="0.2">
      <c r="O718" s="300"/>
      <c r="Q718" s="300"/>
      <c r="R718" s="300"/>
      <c r="S718" s="300"/>
      <c r="T718" s="300"/>
      <c r="U718" s="300"/>
      <c r="V718" s="300"/>
      <c r="W718" s="300"/>
      <c r="X718" s="300"/>
      <c r="Y718" s="300"/>
      <c r="Z718" s="300"/>
      <c r="AL718" s="267"/>
      <c r="AM718" s="267"/>
      <c r="AN718" s="267"/>
      <c r="AO718" s="267"/>
      <c r="AP718" s="267"/>
    </row>
    <row r="719" spans="15:42" x14ac:dyDescent="0.2">
      <c r="O719" s="300"/>
      <c r="Q719" s="300"/>
      <c r="R719" s="300"/>
      <c r="S719" s="300"/>
      <c r="T719" s="300"/>
      <c r="U719" s="300"/>
      <c r="V719" s="300"/>
      <c r="W719" s="300"/>
      <c r="X719" s="300"/>
      <c r="Y719" s="300"/>
      <c r="Z719" s="300"/>
      <c r="AL719" s="267"/>
      <c r="AM719" s="267"/>
      <c r="AN719" s="267"/>
      <c r="AO719" s="267"/>
      <c r="AP719" s="267"/>
    </row>
    <row r="720" spans="15:42" x14ac:dyDescent="0.2">
      <c r="O720" s="300"/>
      <c r="Q720" s="300"/>
      <c r="R720" s="300"/>
      <c r="S720" s="300"/>
      <c r="T720" s="300"/>
      <c r="U720" s="300"/>
      <c r="V720" s="300"/>
      <c r="W720" s="300"/>
      <c r="X720" s="300"/>
      <c r="Y720" s="300"/>
      <c r="Z720" s="300"/>
      <c r="AL720" s="267"/>
      <c r="AM720" s="267"/>
      <c r="AN720" s="267"/>
      <c r="AO720" s="267"/>
      <c r="AP720" s="267"/>
    </row>
    <row r="721" spans="15:42" x14ac:dyDescent="0.2">
      <c r="O721" s="300"/>
      <c r="Q721" s="300"/>
      <c r="R721" s="300"/>
      <c r="S721" s="300"/>
      <c r="T721" s="300"/>
      <c r="U721" s="300"/>
      <c r="V721" s="300"/>
      <c r="W721" s="300"/>
      <c r="X721" s="300"/>
      <c r="Y721" s="300"/>
      <c r="Z721" s="300"/>
      <c r="AL721" s="267"/>
      <c r="AM721" s="267"/>
      <c r="AN721" s="267"/>
      <c r="AO721" s="267"/>
      <c r="AP721" s="267"/>
    </row>
    <row r="722" spans="15:42" x14ac:dyDescent="0.2">
      <c r="O722" s="300"/>
      <c r="Q722" s="300"/>
      <c r="R722" s="300"/>
      <c r="S722" s="300"/>
      <c r="T722" s="300"/>
      <c r="U722" s="300"/>
      <c r="V722" s="300"/>
      <c r="W722" s="300"/>
      <c r="X722" s="300"/>
      <c r="Y722" s="300"/>
      <c r="Z722" s="300"/>
      <c r="AL722" s="267"/>
      <c r="AM722" s="267"/>
      <c r="AN722" s="267"/>
      <c r="AO722" s="267"/>
      <c r="AP722" s="267"/>
    </row>
    <row r="723" spans="15:42" x14ac:dyDescent="0.2">
      <c r="O723" s="300"/>
      <c r="Q723" s="300"/>
      <c r="R723" s="300"/>
      <c r="S723" s="300"/>
      <c r="T723" s="300"/>
      <c r="U723" s="300"/>
      <c r="V723" s="300"/>
      <c r="W723" s="300"/>
      <c r="X723" s="300"/>
      <c r="Y723" s="300"/>
      <c r="Z723" s="300"/>
      <c r="AL723" s="267"/>
      <c r="AM723" s="267"/>
      <c r="AN723" s="267"/>
      <c r="AO723" s="267"/>
      <c r="AP723" s="267"/>
    </row>
    <row r="724" spans="15:42" x14ac:dyDescent="0.2">
      <c r="O724" s="300"/>
      <c r="Q724" s="300"/>
      <c r="R724" s="300"/>
      <c r="S724" s="300"/>
      <c r="T724" s="300"/>
      <c r="U724" s="300"/>
      <c r="V724" s="300"/>
      <c r="W724" s="300"/>
      <c r="X724" s="300"/>
      <c r="Y724" s="300"/>
      <c r="Z724" s="300"/>
      <c r="AL724" s="267"/>
      <c r="AM724" s="267"/>
      <c r="AN724" s="267"/>
      <c r="AO724" s="267"/>
      <c r="AP724" s="267"/>
    </row>
    <row r="725" spans="15:42" x14ac:dyDescent="0.2">
      <c r="O725" s="300"/>
      <c r="Q725" s="300"/>
      <c r="R725" s="300"/>
      <c r="S725" s="300"/>
      <c r="T725" s="300"/>
      <c r="U725" s="300"/>
      <c r="V725" s="300"/>
      <c r="W725" s="300"/>
      <c r="X725" s="300"/>
      <c r="Y725" s="300"/>
      <c r="Z725" s="300"/>
      <c r="AL725" s="267"/>
      <c r="AM725" s="267"/>
      <c r="AN725" s="267"/>
      <c r="AO725" s="267"/>
      <c r="AP725" s="267"/>
    </row>
    <row r="726" spans="15:42" x14ac:dyDescent="0.2">
      <c r="O726" s="300"/>
      <c r="Q726" s="300"/>
      <c r="R726" s="300"/>
      <c r="S726" s="300"/>
      <c r="T726" s="300"/>
      <c r="U726" s="300"/>
      <c r="V726" s="300"/>
      <c r="W726" s="300"/>
      <c r="X726" s="300"/>
      <c r="Y726" s="300"/>
      <c r="Z726" s="300"/>
      <c r="AL726" s="267"/>
      <c r="AM726" s="267"/>
      <c r="AN726" s="267"/>
      <c r="AO726" s="267"/>
      <c r="AP726" s="267"/>
    </row>
    <row r="727" spans="15:42" x14ac:dyDescent="0.2">
      <c r="O727" s="300"/>
      <c r="Q727" s="300"/>
      <c r="R727" s="300"/>
      <c r="S727" s="300"/>
      <c r="T727" s="300"/>
      <c r="U727" s="300"/>
      <c r="V727" s="300"/>
      <c r="W727" s="300"/>
      <c r="X727" s="300"/>
      <c r="Y727" s="300"/>
      <c r="Z727" s="300"/>
      <c r="AL727" s="267"/>
      <c r="AM727" s="267"/>
      <c r="AN727" s="267"/>
      <c r="AO727" s="267"/>
      <c r="AP727" s="267"/>
    </row>
    <row r="728" spans="15:42" x14ac:dyDescent="0.2">
      <c r="O728" s="300"/>
      <c r="Q728" s="300"/>
      <c r="R728" s="300"/>
      <c r="S728" s="300"/>
      <c r="T728" s="300"/>
      <c r="U728" s="300"/>
      <c r="V728" s="300"/>
      <c r="W728" s="300"/>
      <c r="X728" s="300"/>
      <c r="Y728" s="300"/>
      <c r="Z728" s="300"/>
      <c r="AL728" s="267"/>
      <c r="AM728" s="267"/>
      <c r="AN728" s="267"/>
      <c r="AO728" s="267"/>
      <c r="AP728" s="267"/>
    </row>
    <row r="729" spans="15:42" x14ac:dyDescent="0.2">
      <c r="O729" s="300"/>
      <c r="Q729" s="300"/>
      <c r="R729" s="300"/>
      <c r="S729" s="300"/>
      <c r="T729" s="300"/>
      <c r="U729" s="300"/>
      <c r="V729" s="300"/>
      <c r="W729" s="300"/>
      <c r="X729" s="300"/>
      <c r="Y729" s="300"/>
      <c r="Z729" s="300"/>
      <c r="AL729" s="267"/>
      <c r="AM729" s="267"/>
      <c r="AN729" s="267"/>
      <c r="AO729" s="267"/>
      <c r="AP729" s="267"/>
    </row>
    <row r="730" spans="15:42" x14ac:dyDescent="0.2">
      <c r="O730" s="300"/>
      <c r="Q730" s="300"/>
      <c r="R730" s="300"/>
      <c r="S730" s="300"/>
      <c r="T730" s="300"/>
      <c r="U730" s="300"/>
      <c r="V730" s="300"/>
      <c r="W730" s="300"/>
      <c r="X730" s="300"/>
      <c r="Y730" s="300"/>
      <c r="Z730" s="300"/>
      <c r="AL730" s="267"/>
      <c r="AM730" s="267"/>
      <c r="AN730" s="267"/>
      <c r="AO730" s="267"/>
      <c r="AP730" s="267"/>
    </row>
    <row r="731" spans="15:42" x14ac:dyDescent="0.2">
      <c r="O731" s="300"/>
      <c r="Q731" s="300"/>
      <c r="R731" s="300"/>
      <c r="S731" s="300"/>
      <c r="T731" s="300"/>
      <c r="U731" s="300"/>
      <c r="V731" s="300"/>
      <c r="W731" s="300"/>
      <c r="X731" s="300"/>
      <c r="Y731" s="300"/>
      <c r="Z731" s="300"/>
      <c r="AL731" s="267"/>
      <c r="AM731" s="267"/>
      <c r="AN731" s="267"/>
      <c r="AO731" s="267"/>
      <c r="AP731" s="267"/>
    </row>
    <row r="732" spans="15:42" x14ac:dyDescent="0.2">
      <c r="O732" s="300"/>
      <c r="Q732" s="300"/>
      <c r="R732" s="300"/>
      <c r="S732" s="300"/>
      <c r="T732" s="300"/>
      <c r="U732" s="300"/>
      <c r="V732" s="300"/>
      <c r="W732" s="300"/>
      <c r="X732" s="300"/>
      <c r="Y732" s="300"/>
      <c r="Z732" s="300"/>
      <c r="AL732" s="267"/>
      <c r="AM732" s="267"/>
      <c r="AN732" s="267"/>
      <c r="AO732" s="267"/>
      <c r="AP732" s="267"/>
    </row>
    <row r="733" spans="15:42" x14ac:dyDescent="0.2">
      <c r="O733" s="300"/>
      <c r="Q733" s="300"/>
      <c r="R733" s="300"/>
      <c r="S733" s="300"/>
      <c r="T733" s="300"/>
      <c r="U733" s="300"/>
      <c r="V733" s="300"/>
      <c r="W733" s="300"/>
      <c r="X733" s="300"/>
      <c r="Y733" s="300"/>
      <c r="Z733" s="300"/>
      <c r="AL733" s="267"/>
      <c r="AM733" s="267"/>
      <c r="AN733" s="267"/>
      <c r="AO733" s="267"/>
      <c r="AP733" s="267"/>
    </row>
    <row r="734" spans="15:42" x14ac:dyDescent="0.2">
      <c r="O734" s="300"/>
      <c r="Q734" s="300"/>
      <c r="R734" s="300"/>
      <c r="S734" s="300"/>
      <c r="T734" s="300"/>
      <c r="U734" s="300"/>
      <c r="V734" s="300"/>
      <c r="W734" s="300"/>
      <c r="X734" s="300"/>
      <c r="Y734" s="300"/>
      <c r="Z734" s="300"/>
      <c r="AL734" s="267"/>
      <c r="AM734" s="267"/>
      <c r="AN734" s="267"/>
      <c r="AO734" s="267"/>
      <c r="AP734" s="267"/>
    </row>
    <row r="735" spans="15:42" x14ac:dyDescent="0.2">
      <c r="O735" s="300"/>
      <c r="Q735" s="300"/>
      <c r="R735" s="300"/>
      <c r="S735" s="300"/>
      <c r="T735" s="300"/>
      <c r="U735" s="300"/>
      <c r="V735" s="300"/>
      <c r="W735" s="300"/>
      <c r="X735" s="300"/>
      <c r="Y735" s="300"/>
      <c r="Z735" s="300"/>
      <c r="AL735" s="267"/>
      <c r="AM735" s="267"/>
      <c r="AN735" s="267"/>
      <c r="AO735" s="267"/>
      <c r="AP735" s="267"/>
    </row>
    <row r="736" spans="15:42" x14ac:dyDescent="0.2">
      <c r="O736" s="300"/>
      <c r="Q736" s="300"/>
      <c r="R736" s="300"/>
      <c r="S736" s="300"/>
      <c r="T736" s="300"/>
      <c r="U736" s="300"/>
      <c r="V736" s="300"/>
      <c r="W736" s="300"/>
      <c r="X736" s="300"/>
      <c r="Y736" s="300"/>
      <c r="Z736" s="300"/>
      <c r="AL736" s="267"/>
      <c r="AM736" s="267"/>
      <c r="AN736" s="267"/>
      <c r="AO736" s="267"/>
      <c r="AP736" s="267"/>
    </row>
    <row r="737" spans="15:42" x14ac:dyDescent="0.2">
      <c r="O737" s="300"/>
      <c r="Q737" s="300"/>
      <c r="R737" s="300"/>
      <c r="S737" s="300"/>
      <c r="T737" s="300"/>
      <c r="U737" s="300"/>
      <c r="V737" s="300"/>
      <c r="W737" s="300"/>
      <c r="X737" s="300"/>
      <c r="Y737" s="300"/>
      <c r="Z737" s="300"/>
      <c r="AL737" s="267"/>
      <c r="AM737" s="267"/>
      <c r="AN737" s="267"/>
      <c r="AO737" s="267"/>
      <c r="AP737" s="267"/>
    </row>
    <row r="738" spans="15:42" x14ac:dyDescent="0.2">
      <c r="O738" s="300"/>
      <c r="Q738" s="300"/>
      <c r="R738" s="300"/>
      <c r="S738" s="300"/>
      <c r="T738" s="300"/>
      <c r="U738" s="300"/>
      <c r="V738" s="300"/>
      <c r="W738" s="300"/>
      <c r="X738" s="300"/>
      <c r="Y738" s="300"/>
      <c r="Z738" s="300"/>
      <c r="AL738" s="267"/>
      <c r="AM738" s="267"/>
      <c r="AN738" s="267"/>
      <c r="AO738" s="267"/>
      <c r="AP738" s="267"/>
    </row>
    <row r="739" spans="15:42" x14ac:dyDescent="0.2">
      <c r="O739" s="300"/>
      <c r="Q739" s="300"/>
      <c r="R739" s="300"/>
      <c r="S739" s="300"/>
      <c r="T739" s="300"/>
      <c r="U739" s="300"/>
      <c r="V739" s="300"/>
      <c r="W739" s="300"/>
      <c r="X739" s="300"/>
      <c r="Y739" s="300"/>
      <c r="Z739" s="300"/>
      <c r="AL739" s="267"/>
      <c r="AM739" s="267"/>
      <c r="AN739" s="267"/>
      <c r="AO739" s="267"/>
      <c r="AP739" s="267"/>
    </row>
    <row r="740" spans="15:42" x14ac:dyDescent="0.2">
      <c r="O740" s="300"/>
      <c r="Q740" s="300"/>
      <c r="R740" s="300"/>
      <c r="S740" s="300"/>
      <c r="T740" s="300"/>
      <c r="U740" s="300"/>
      <c r="V740" s="300"/>
      <c r="W740" s="300"/>
      <c r="X740" s="300"/>
      <c r="Y740" s="300"/>
      <c r="Z740" s="300"/>
      <c r="AL740" s="267"/>
      <c r="AM740" s="267"/>
      <c r="AN740" s="267"/>
      <c r="AO740" s="267"/>
      <c r="AP740" s="267"/>
    </row>
    <row r="741" spans="15:42" x14ac:dyDescent="0.2">
      <c r="O741" s="300"/>
      <c r="Q741" s="300"/>
      <c r="R741" s="300"/>
      <c r="S741" s="300"/>
      <c r="T741" s="300"/>
      <c r="U741" s="300"/>
      <c r="V741" s="300"/>
      <c r="W741" s="300"/>
      <c r="X741" s="300"/>
      <c r="Y741" s="300"/>
      <c r="Z741" s="300"/>
      <c r="AL741" s="267"/>
      <c r="AM741" s="267"/>
      <c r="AN741" s="267"/>
      <c r="AO741" s="267"/>
      <c r="AP741" s="267"/>
    </row>
    <row r="742" spans="15:42" x14ac:dyDescent="0.2">
      <c r="O742" s="300"/>
      <c r="Q742" s="300"/>
      <c r="R742" s="300"/>
      <c r="S742" s="300"/>
      <c r="T742" s="300"/>
      <c r="U742" s="300"/>
      <c r="V742" s="300"/>
      <c r="W742" s="300"/>
      <c r="X742" s="300"/>
      <c r="Y742" s="300"/>
      <c r="Z742" s="300"/>
      <c r="AL742" s="267"/>
      <c r="AM742" s="267"/>
      <c r="AN742" s="267"/>
      <c r="AO742" s="267"/>
      <c r="AP742" s="267"/>
    </row>
    <row r="743" spans="15:42" x14ac:dyDescent="0.2">
      <c r="O743" s="300"/>
      <c r="Q743" s="300"/>
      <c r="R743" s="300"/>
      <c r="S743" s="300"/>
      <c r="T743" s="300"/>
      <c r="U743" s="300"/>
      <c r="V743" s="300"/>
      <c r="W743" s="300"/>
      <c r="X743" s="300"/>
      <c r="Y743" s="300"/>
      <c r="Z743" s="300"/>
      <c r="AL743" s="267"/>
      <c r="AM743" s="267"/>
      <c r="AN743" s="267"/>
      <c r="AO743" s="267"/>
      <c r="AP743" s="267"/>
    </row>
    <row r="744" spans="15:42" x14ac:dyDescent="0.2">
      <c r="O744" s="300"/>
      <c r="Q744" s="300"/>
      <c r="R744" s="300"/>
      <c r="S744" s="300"/>
      <c r="T744" s="300"/>
      <c r="U744" s="300"/>
      <c r="V744" s="300"/>
      <c r="W744" s="300"/>
      <c r="X744" s="300"/>
      <c r="Y744" s="300"/>
      <c r="Z744" s="300"/>
      <c r="AL744" s="267"/>
      <c r="AM744" s="267"/>
      <c r="AN744" s="267"/>
      <c r="AO744" s="267"/>
      <c r="AP744" s="267"/>
    </row>
    <row r="745" spans="15:42" x14ac:dyDescent="0.2">
      <c r="O745" s="300"/>
      <c r="Q745" s="300"/>
      <c r="R745" s="300"/>
      <c r="S745" s="300"/>
      <c r="T745" s="300"/>
      <c r="U745" s="300"/>
      <c r="V745" s="300"/>
      <c r="W745" s="300"/>
      <c r="X745" s="300"/>
      <c r="Y745" s="300"/>
      <c r="Z745" s="300"/>
      <c r="AL745" s="267"/>
      <c r="AM745" s="267"/>
      <c r="AN745" s="267"/>
      <c r="AO745" s="267"/>
      <c r="AP745" s="267"/>
    </row>
    <row r="746" spans="15:42" x14ac:dyDescent="0.2">
      <c r="O746" s="300"/>
      <c r="Q746" s="300"/>
      <c r="R746" s="300"/>
      <c r="S746" s="300"/>
      <c r="T746" s="300"/>
      <c r="U746" s="300"/>
      <c r="V746" s="300"/>
      <c r="W746" s="300"/>
      <c r="X746" s="300"/>
      <c r="Y746" s="300"/>
      <c r="Z746" s="300"/>
      <c r="AL746" s="267"/>
      <c r="AM746" s="267"/>
      <c r="AN746" s="267"/>
      <c r="AO746" s="267"/>
      <c r="AP746" s="267"/>
    </row>
    <row r="747" spans="15:42" x14ac:dyDescent="0.2">
      <c r="O747" s="300"/>
      <c r="Q747" s="300"/>
      <c r="R747" s="300"/>
      <c r="S747" s="300"/>
      <c r="T747" s="300"/>
      <c r="U747" s="300"/>
      <c r="V747" s="300"/>
      <c r="W747" s="300"/>
      <c r="X747" s="300"/>
      <c r="Y747" s="300"/>
      <c r="Z747" s="300"/>
      <c r="AL747" s="267"/>
      <c r="AM747" s="267"/>
      <c r="AN747" s="267"/>
      <c r="AO747" s="267"/>
      <c r="AP747" s="267"/>
    </row>
    <row r="748" spans="15:42" x14ac:dyDescent="0.2">
      <c r="O748" s="300"/>
      <c r="Q748" s="300"/>
      <c r="R748" s="300"/>
      <c r="S748" s="300"/>
      <c r="T748" s="300"/>
      <c r="U748" s="300"/>
      <c r="V748" s="300"/>
      <c r="W748" s="300"/>
      <c r="X748" s="300"/>
      <c r="Y748" s="300"/>
      <c r="Z748" s="300"/>
      <c r="AL748" s="267"/>
      <c r="AM748" s="267"/>
      <c r="AN748" s="267"/>
      <c r="AO748" s="267"/>
      <c r="AP748" s="267"/>
    </row>
    <row r="749" spans="15:42" x14ac:dyDescent="0.2">
      <c r="O749" s="300"/>
      <c r="Q749" s="300"/>
      <c r="R749" s="300"/>
      <c r="S749" s="300"/>
      <c r="T749" s="300"/>
      <c r="U749" s="300"/>
      <c r="V749" s="300"/>
      <c r="W749" s="300"/>
      <c r="X749" s="300"/>
      <c r="Y749" s="300"/>
      <c r="Z749" s="300"/>
      <c r="AL749" s="267"/>
      <c r="AM749" s="267"/>
      <c r="AN749" s="267"/>
      <c r="AO749" s="267"/>
      <c r="AP749" s="267"/>
    </row>
    <row r="750" spans="15:42" x14ac:dyDescent="0.2">
      <c r="O750" s="300"/>
      <c r="Q750" s="300"/>
      <c r="R750" s="300"/>
      <c r="S750" s="300"/>
      <c r="T750" s="300"/>
      <c r="U750" s="300"/>
      <c r="V750" s="300"/>
      <c r="W750" s="300"/>
      <c r="X750" s="300"/>
      <c r="Y750" s="300"/>
      <c r="Z750" s="300"/>
      <c r="AL750" s="267"/>
      <c r="AM750" s="267"/>
      <c r="AN750" s="267"/>
      <c r="AO750" s="267"/>
      <c r="AP750" s="267"/>
    </row>
    <row r="751" spans="15:42" x14ac:dyDescent="0.2">
      <c r="O751" s="300"/>
      <c r="Q751" s="300"/>
      <c r="R751" s="300"/>
      <c r="S751" s="300"/>
      <c r="T751" s="300"/>
      <c r="U751" s="300"/>
      <c r="V751" s="300"/>
      <c r="W751" s="300"/>
      <c r="X751" s="300"/>
      <c r="Y751" s="300"/>
      <c r="Z751" s="300"/>
      <c r="AL751" s="267"/>
      <c r="AM751" s="267"/>
      <c r="AN751" s="267"/>
      <c r="AO751" s="267"/>
      <c r="AP751" s="267"/>
    </row>
    <row r="752" spans="15:42" x14ac:dyDescent="0.2">
      <c r="O752" s="300"/>
      <c r="Q752" s="300"/>
      <c r="R752" s="300"/>
      <c r="S752" s="300"/>
      <c r="T752" s="300"/>
      <c r="U752" s="300"/>
      <c r="V752" s="300"/>
      <c r="W752" s="300"/>
      <c r="X752" s="300"/>
      <c r="Y752" s="300"/>
      <c r="Z752" s="300"/>
      <c r="AL752" s="267"/>
      <c r="AM752" s="267"/>
      <c r="AN752" s="267"/>
      <c r="AO752" s="267"/>
      <c r="AP752" s="267"/>
    </row>
    <row r="753" spans="15:42" x14ac:dyDescent="0.2">
      <c r="O753" s="300"/>
      <c r="Q753" s="300"/>
      <c r="R753" s="300"/>
      <c r="S753" s="300"/>
      <c r="T753" s="300"/>
      <c r="U753" s="300"/>
      <c r="V753" s="300"/>
      <c r="W753" s="300"/>
      <c r="X753" s="300"/>
      <c r="Y753" s="300"/>
      <c r="Z753" s="300"/>
      <c r="AL753" s="267"/>
      <c r="AM753" s="267"/>
      <c r="AN753" s="267"/>
      <c r="AO753" s="267"/>
      <c r="AP753" s="267"/>
    </row>
    <row r="754" spans="15:42" x14ac:dyDescent="0.2">
      <c r="O754" s="300"/>
      <c r="Q754" s="300"/>
      <c r="R754" s="300"/>
      <c r="S754" s="300"/>
      <c r="T754" s="300"/>
      <c r="U754" s="300"/>
      <c r="V754" s="300"/>
      <c r="W754" s="300"/>
      <c r="X754" s="300"/>
      <c r="Y754" s="300"/>
      <c r="Z754" s="300"/>
      <c r="AL754" s="267"/>
      <c r="AM754" s="267"/>
      <c r="AN754" s="267"/>
      <c r="AO754" s="267"/>
      <c r="AP754" s="267"/>
    </row>
    <row r="755" spans="15:42" x14ac:dyDescent="0.2">
      <c r="O755" s="300"/>
      <c r="Q755" s="300"/>
      <c r="R755" s="300"/>
      <c r="S755" s="300"/>
      <c r="T755" s="300"/>
      <c r="U755" s="300"/>
      <c r="V755" s="300"/>
      <c r="W755" s="300"/>
      <c r="X755" s="300"/>
      <c r="Y755" s="300"/>
      <c r="Z755" s="300"/>
      <c r="AL755" s="267"/>
      <c r="AM755" s="267"/>
      <c r="AN755" s="267"/>
      <c r="AO755" s="267"/>
      <c r="AP755" s="267"/>
    </row>
    <row r="756" spans="15:42" x14ac:dyDescent="0.2">
      <c r="O756" s="300"/>
      <c r="Q756" s="300"/>
      <c r="R756" s="300"/>
      <c r="S756" s="300"/>
      <c r="T756" s="300"/>
      <c r="U756" s="300"/>
      <c r="V756" s="300"/>
      <c r="W756" s="300"/>
      <c r="X756" s="300"/>
      <c r="Y756" s="300"/>
      <c r="Z756" s="300"/>
      <c r="AL756" s="267"/>
      <c r="AM756" s="267"/>
      <c r="AN756" s="267"/>
      <c r="AO756" s="267"/>
      <c r="AP756" s="267"/>
    </row>
    <row r="757" spans="15:42" x14ac:dyDescent="0.2">
      <c r="O757" s="300"/>
      <c r="Q757" s="300"/>
      <c r="R757" s="300"/>
      <c r="S757" s="300"/>
      <c r="T757" s="300"/>
      <c r="U757" s="300"/>
      <c r="V757" s="300"/>
      <c r="W757" s="300"/>
      <c r="X757" s="300"/>
      <c r="Y757" s="300"/>
      <c r="Z757" s="300"/>
      <c r="AL757" s="267"/>
      <c r="AM757" s="267"/>
      <c r="AN757" s="267"/>
      <c r="AO757" s="267"/>
      <c r="AP757" s="267"/>
    </row>
    <row r="758" spans="15:42" x14ac:dyDescent="0.2">
      <c r="O758" s="300"/>
      <c r="Q758" s="300"/>
      <c r="R758" s="300"/>
      <c r="S758" s="300"/>
      <c r="T758" s="300"/>
      <c r="U758" s="300"/>
      <c r="V758" s="300"/>
      <c r="W758" s="300"/>
      <c r="X758" s="300"/>
      <c r="Y758" s="300"/>
      <c r="Z758" s="300"/>
      <c r="AL758" s="267"/>
      <c r="AM758" s="267"/>
      <c r="AN758" s="267"/>
      <c r="AO758" s="267"/>
      <c r="AP758" s="267"/>
    </row>
    <row r="759" spans="15:42" x14ac:dyDescent="0.2">
      <c r="O759" s="300"/>
      <c r="Q759" s="300"/>
      <c r="R759" s="300"/>
      <c r="S759" s="300"/>
      <c r="T759" s="300"/>
      <c r="U759" s="300"/>
      <c r="V759" s="300"/>
      <c r="W759" s="300"/>
      <c r="X759" s="300"/>
      <c r="Y759" s="300"/>
      <c r="Z759" s="300"/>
      <c r="AL759" s="267"/>
      <c r="AM759" s="267"/>
      <c r="AN759" s="267"/>
      <c r="AO759" s="267"/>
      <c r="AP759" s="267"/>
    </row>
    <row r="760" spans="15:42" x14ac:dyDescent="0.2">
      <c r="O760" s="300"/>
      <c r="Q760" s="300"/>
      <c r="R760" s="300"/>
      <c r="S760" s="300"/>
      <c r="T760" s="300"/>
      <c r="U760" s="300"/>
      <c r="V760" s="300"/>
      <c r="W760" s="300"/>
      <c r="X760" s="300"/>
      <c r="Y760" s="300"/>
      <c r="Z760" s="300"/>
      <c r="AL760" s="267"/>
      <c r="AM760" s="267"/>
      <c r="AN760" s="267"/>
      <c r="AO760" s="267"/>
      <c r="AP760" s="267"/>
    </row>
    <row r="761" spans="15:42" x14ac:dyDescent="0.2">
      <c r="O761" s="300"/>
      <c r="Q761" s="300"/>
      <c r="R761" s="300"/>
      <c r="S761" s="300"/>
      <c r="T761" s="300"/>
      <c r="U761" s="300"/>
      <c r="V761" s="300"/>
      <c r="W761" s="300"/>
      <c r="X761" s="300"/>
      <c r="Y761" s="300"/>
      <c r="Z761" s="300"/>
      <c r="AL761" s="267"/>
      <c r="AM761" s="267"/>
      <c r="AN761" s="267"/>
      <c r="AO761" s="267"/>
      <c r="AP761" s="267"/>
    </row>
    <row r="762" spans="15:42" x14ac:dyDescent="0.2">
      <c r="O762" s="300"/>
      <c r="Q762" s="300"/>
      <c r="R762" s="300"/>
      <c r="S762" s="300"/>
      <c r="T762" s="300"/>
      <c r="U762" s="300"/>
      <c r="V762" s="300"/>
      <c r="W762" s="300"/>
      <c r="X762" s="300"/>
      <c r="Y762" s="300"/>
      <c r="Z762" s="300"/>
      <c r="AL762" s="267"/>
      <c r="AM762" s="267"/>
      <c r="AN762" s="267"/>
      <c r="AO762" s="267"/>
      <c r="AP762" s="267"/>
    </row>
    <row r="763" spans="15:42" x14ac:dyDescent="0.2">
      <c r="O763" s="300"/>
      <c r="Q763" s="300"/>
      <c r="R763" s="300"/>
      <c r="S763" s="300"/>
      <c r="T763" s="300"/>
      <c r="U763" s="300"/>
      <c r="V763" s="300"/>
      <c r="W763" s="300"/>
      <c r="X763" s="300"/>
      <c r="Y763" s="300"/>
      <c r="Z763" s="300"/>
      <c r="AL763" s="267"/>
      <c r="AM763" s="267"/>
      <c r="AN763" s="267"/>
      <c r="AO763" s="267"/>
      <c r="AP763" s="267"/>
    </row>
    <row r="764" spans="15:42" x14ac:dyDescent="0.2">
      <c r="O764" s="300"/>
      <c r="Q764" s="300"/>
      <c r="R764" s="300"/>
      <c r="S764" s="300"/>
      <c r="T764" s="300"/>
      <c r="U764" s="300"/>
      <c r="V764" s="300"/>
      <c r="W764" s="300"/>
      <c r="X764" s="300"/>
      <c r="Y764" s="300"/>
      <c r="Z764" s="300"/>
      <c r="AL764" s="267"/>
      <c r="AM764" s="267"/>
      <c r="AN764" s="267"/>
      <c r="AO764" s="267"/>
      <c r="AP764" s="267"/>
    </row>
    <row r="765" spans="15:42" x14ac:dyDescent="0.2">
      <c r="O765" s="300"/>
      <c r="Q765" s="300"/>
      <c r="R765" s="300"/>
      <c r="S765" s="300"/>
      <c r="T765" s="300"/>
      <c r="U765" s="300"/>
      <c r="V765" s="300"/>
      <c r="W765" s="300"/>
      <c r="X765" s="300"/>
      <c r="Y765" s="300"/>
      <c r="Z765" s="300"/>
      <c r="AL765" s="267"/>
      <c r="AM765" s="267"/>
      <c r="AN765" s="267"/>
      <c r="AO765" s="267"/>
      <c r="AP765" s="267"/>
    </row>
    <row r="766" spans="15:42" x14ac:dyDescent="0.2">
      <c r="O766" s="300"/>
      <c r="Q766" s="300"/>
      <c r="R766" s="300"/>
      <c r="S766" s="300"/>
      <c r="T766" s="300"/>
      <c r="U766" s="300"/>
      <c r="V766" s="300"/>
      <c r="W766" s="300"/>
      <c r="X766" s="300"/>
      <c r="Y766" s="300"/>
      <c r="Z766" s="300"/>
      <c r="AL766" s="267"/>
      <c r="AM766" s="267"/>
      <c r="AN766" s="267"/>
      <c r="AO766" s="267"/>
      <c r="AP766" s="267"/>
    </row>
    <row r="767" spans="15:42" x14ac:dyDescent="0.2">
      <c r="O767" s="300"/>
      <c r="Q767" s="300"/>
      <c r="R767" s="300"/>
      <c r="S767" s="300"/>
      <c r="T767" s="300"/>
      <c r="U767" s="300"/>
      <c r="V767" s="300"/>
      <c r="W767" s="300"/>
      <c r="X767" s="300"/>
      <c r="Y767" s="300"/>
      <c r="Z767" s="300"/>
      <c r="AL767" s="267"/>
      <c r="AM767" s="267"/>
      <c r="AN767" s="267"/>
      <c r="AO767" s="267"/>
      <c r="AP767" s="267"/>
    </row>
    <row r="768" spans="15:42" x14ac:dyDescent="0.2">
      <c r="O768" s="300"/>
      <c r="Q768" s="300"/>
      <c r="R768" s="300"/>
      <c r="S768" s="300"/>
      <c r="T768" s="300"/>
      <c r="U768" s="300"/>
      <c r="V768" s="300"/>
      <c r="W768" s="300"/>
      <c r="X768" s="300"/>
      <c r="Y768" s="300"/>
      <c r="Z768" s="300"/>
      <c r="AL768" s="267"/>
      <c r="AM768" s="267"/>
      <c r="AN768" s="267"/>
      <c r="AO768" s="267"/>
      <c r="AP768" s="267"/>
    </row>
    <row r="769" spans="15:42" x14ac:dyDescent="0.2">
      <c r="O769" s="300"/>
      <c r="Q769" s="300"/>
      <c r="R769" s="300"/>
      <c r="S769" s="300"/>
      <c r="T769" s="300"/>
      <c r="U769" s="300"/>
      <c r="V769" s="300"/>
      <c r="W769" s="300"/>
      <c r="X769" s="300"/>
      <c r="Y769" s="300"/>
      <c r="Z769" s="300"/>
      <c r="AL769" s="267"/>
      <c r="AM769" s="267"/>
      <c r="AN769" s="267"/>
      <c r="AO769" s="267"/>
      <c r="AP769" s="267"/>
    </row>
    <row r="770" spans="15:42" x14ac:dyDescent="0.2">
      <c r="O770" s="300"/>
      <c r="Q770" s="300"/>
      <c r="R770" s="300"/>
      <c r="S770" s="300"/>
      <c r="T770" s="300"/>
      <c r="U770" s="300"/>
      <c r="V770" s="300"/>
      <c r="W770" s="300"/>
      <c r="X770" s="300"/>
      <c r="Y770" s="300"/>
      <c r="Z770" s="300"/>
      <c r="AL770" s="267"/>
      <c r="AM770" s="267"/>
      <c r="AN770" s="267"/>
      <c r="AO770" s="267"/>
      <c r="AP770" s="267"/>
    </row>
    <row r="771" spans="15:42" x14ac:dyDescent="0.2">
      <c r="O771" s="300"/>
      <c r="Q771" s="300"/>
      <c r="R771" s="300"/>
      <c r="S771" s="300"/>
      <c r="T771" s="300"/>
      <c r="U771" s="300"/>
      <c r="V771" s="300"/>
      <c r="W771" s="300"/>
      <c r="X771" s="300"/>
      <c r="Y771" s="300"/>
      <c r="Z771" s="300"/>
      <c r="AL771" s="267"/>
      <c r="AM771" s="267"/>
      <c r="AN771" s="267"/>
      <c r="AO771" s="267"/>
      <c r="AP771" s="267"/>
    </row>
    <row r="772" spans="15:42" x14ac:dyDescent="0.2">
      <c r="O772" s="300"/>
      <c r="Q772" s="300"/>
      <c r="R772" s="300"/>
      <c r="S772" s="300"/>
      <c r="T772" s="300"/>
      <c r="U772" s="300"/>
      <c r="V772" s="300"/>
      <c r="W772" s="300"/>
      <c r="X772" s="300"/>
      <c r="Y772" s="300"/>
      <c r="Z772" s="300"/>
      <c r="AL772" s="267"/>
      <c r="AM772" s="267"/>
      <c r="AN772" s="267"/>
      <c r="AO772" s="267"/>
      <c r="AP772" s="267"/>
    </row>
    <row r="773" spans="15:42" x14ac:dyDescent="0.2">
      <c r="O773" s="300"/>
      <c r="Q773" s="300"/>
      <c r="R773" s="300"/>
      <c r="S773" s="300"/>
      <c r="T773" s="300"/>
      <c r="U773" s="300"/>
      <c r="V773" s="300"/>
      <c r="W773" s="300"/>
      <c r="X773" s="300"/>
      <c r="Y773" s="300"/>
      <c r="Z773" s="300"/>
      <c r="AL773" s="267"/>
      <c r="AM773" s="267"/>
      <c r="AN773" s="267"/>
      <c r="AO773" s="267"/>
      <c r="AP773" s="267"/>
    </row>
    <row r="774" spans="15:42" x14ac:dyDescent="0.2">
      <c r="O774" s="300"/>
      <c r="Q774" s="300"/>
      <c r="R774" s="300"/>
      <c r="S774" s="300"/>
      <c r="T774" s="300"/>
      <c r="U774" s="300"/>
      <c r="V774" s="300"/>
      <c r="W774" s="300"/>
      <c r="X774" s="300"/>
      <c r="Y774" s="300"/>
      <c r="Z774" s="300"/>
      <c r="AL774" s="267"/>
      <c r="AM774" s="267"/>
      <c r="AN774" s="267"/>
      <c r="AO774" s="267"/>
      <c r="AP774" s="267"/>
    </row>
    <row r="775" spans="15:42" x14ac:dyDescent="0.2">
      <c r="O775" s="300"/>
      <c r="Q775" s="300"/>
      <c r="R775" s="300"/>
      <c r="S775" s="300"/>
      <c r="T775" s="300"/>
      <c r="U775" s="300"/>
      <c r="V775" s="300"/>
      <c r="W775" s="300"/>
      <c r="X775" s="300"/>
      <c r="Y775" s="300"/>
      <c r="Z775" s="300"/>
      <c r="AL775" s="267"/>
      <c r="AM775" s="267"/>
      <c r="AN775" s="267"/>
      <c r="AO775" s="267"/>
      <c r="AP775" s="267"/>
    </row>
    <row r="776" spans="15:42" x14ac:dyDescent="0.2">
      <c r="O776" s="300"/>
      <c r="Q776" s="300"/>
      <c r="R776" s="300"/>
      <c r="S776" s="300"/>
      <c r="T776" s="300"/>
      <c r="U776" s="300"/>
      <c r="V776" s="300"/>
      <c r="W776" s="300"/>
      <c r="X776" s="300"/>
      <c r="Y776" s="300"/>
      <c r="Z776" s="300"/>
      <c r="AL776" s="267"/>
      <c r="AM776" s="267"/>
      <c r="AN776" s="267"/>
      <c r="AO776" s="267"/>
      <c r="AP776" s="267"/>
    </row>
    <row r="777" spans="15:42" x14ac:dyDescent="0.2">
      <c r="O777" s="300"/>
      <c r="Q777" s="300"/>
      <c r="R777" s="300"/>
      <c r="S777" s="300"/>
      <c r="T777" s="300"/>
      <c r="U777" s="300"/>
      <c r="V777" s="300"/>
      <c r="W777" s="300"/>
      <c r="X777" s="300"/>
      <c r="Y777" s="300"/>
      <c r="Z777" s="300"/>
      <c r="AL777" s="267"/>
      <c r="AM777" s="267"/>
      <c r="AN777" s="267"/>
      <c r="AO777" s="267"/>
      <c r="AP777" s="267"/>
    </row>
    <row r="778" spans="15:42" x14ac:dyDescent="0.2">
      <c r="O778" s="300"/>
      <c r="Q778" s="300"/>
      <c r="R778" s="300"/>
      <c r="S778" s="300"/>
      <c r="T778" s="300"/>
      <c r="U778" s="300"/>
      <c r="V778" s="300"/>
      <c r="W778" s="300"/>
      <c r="X778" s="300"/>
      <c r="Y778" s="300"/>
      <c r="Z778" s="300"/>
      <c r="AL778" s="267"/>
      <c r="AM778" s="267"/>
      <c r="AN778" s="267"/>
      <c r="AO778" s="267"/>
      <c r="AP778" s="267"/>
    </row>
    <row r="779" spans="15:42" x14ac:dyDescent="0.2">
      <c r="O779" s="300"/>
      <c r="Q779" s="300"/>
      <c r="R779" s="300"/>
      <c r="S779" s="300"/>
      <c r="T779" s="300"/>
      <c r="U779" s="300"/>
      <c r="V779" s="300"/>
      <c r="W779" s="300"/>
      <c r="X779" s="300"/>
      <c r="Y779" s="300"/>
      <c r="Z779" s="300"/>
      <c r="AL779" s="267"/>
      <c r="AM779" s="267"/>
      <c r="AN779" s="267"/>
      <c r="AO779" s="267"/>
      <c r="AP779" s="267"/>
    </row>
    <row r="780" spans="15:42" x14ac:dyDescent="0.2">
      <c r="O780" s="300"/>
      <c r="Q780" s="300"/>
      <c r="R780" s="300"/>
      <c r="S780" s="300"/>
      <c r="T780" s="300"/>
      <c r="U780" s="300"/>
      <c r="V780" s="300"/>
      <c r="W780" s="300"/>
      <c r="X780" s="300"/>
      <c r="Y780" s="300"/>
      <c r="Z780" s="300"/>
      <c r="AL780" s="267"/>
      <c r="AM780" s="267"/>
      <c r="AN780" s="267"/>
      <c r="AO780" s="267"/>
      <c r="AP780" s="267"/>
    </row>
    <row r="781" spans="15:42" x14ac:dyDescent="0.2">
      <c r="O781" s="300"/>
      <c r="Q781" s="300"/>
      <c r="R781" s="300"/>
      <c r="S781" s="300"/>
      <c r="T781" s="300"/>
      <c r="U781" s="300"/>
      <c r="V781" s="300"/>
      <c r="W781" s="300"/>
      <c r="X781" s="300"/>
      <c r="Y781" s="300"/>
      <c r="Z781" s="300"/>
      <c r="AL781" s="267"/>
      <c r="AM781" s="267"/>
      <c r="AN781" s="267"/>
      <c r="AO781" s="267"/>
      <c r="AP781" s="267"/>
    </row>
    <row r="782" spans="15:42" x14ac:dyDescent="0.2">
      <c r="O782" s="300"/>
      <c r="Q782" s="300"/>
      <c r="R782" s="300"/>
      <c r="S782" s="300"/>
      <c r="T782" s="300"/>
      <c r="U782" s="300"/>
      <c r="V782" s="300"/>
      <c r="W782" s="300"/>
      <c r="X782" s="300"/>
      <c r="Y782" s="300"/>
      <c r="Z782" s="300"/>
      <c r="AL782" s="267"/>
      <c r="AM782" s="267"/>
      <c r="AN782" s="267"/>
      <c r="AO782" s="267"/>
      <c r="AP782" s="267"/>
    </row>
    <row r="783" spans="15:42" x14ac:dyDescent="0.2">
      <c r="O783" s="300"/>
      <c r="Q783" s="300"/>
      <c r="R783" s="300"/>
      <c r="S783" s="300"/>
      <c r="T783" s="300"/>
      <c r="U783" s="300"/>
      <c r="V783" s="300"/>
      <c r="W783" s="300"/>
      <c r="X783" s="300"/>
      <c r="Y783" s="300"/>
      <c r="Z783" s="300"/>
      <c r="AL783" s="267"/>
      <c r="AM783" s="267"/>
      <c r="AN783" s="267"/>
      <c r="AO783" s="267"/>
      <c r="AP783" s="267"/>
    </row>
    <row r="784" spans="15:42" x14ac:dyDescent="0.2">
      <c r="O784" s="300"/>
      <c r="Q784" s="300"/>
      <c r="R784" s="300"/>
      <c r="S784" s="300"/>
      <c r="T784" s="300"/>
      <c r="U784" s="300"/>
      <c r="V784" s="300"/>
      <c r="W784" s="300"/>
      <c r="X784" s="300"/>
      <c r="Y784" s="300"/>
      <c r="Z784" s="300"/>
      <c r="AL784" s="267"/>
      <c r="AM784" s="267"/>
      <c r="AN784" s="267"/>
      <c r="AO784" s="267"/>
      <c r="AP784" s="267"/>
    </row>
    <row r="785" spans="15:42" x14ac:dyDescent="0.2">
      <c r="O785" s="300"/>
      <c r="Q785" s="300"/>
      <c r="R785" s="300"/>
      <c r="S785" s="300"/>
      <c r="T785" s="300"/>
      <c r="U785" s="300"/>
      <c r="V785" s="300"/>
      <c r="W785" s="300"/>
      <c r="X785" s="300"/>
      <c r="Y785" s="300"/>
      <c r="Z785" s="300"/>
      <c r="AL785" s="267"/>
      <c r="AM785" s="267"/>
      <c r="AN785" s="267"/>
      <c r="AO785" s="267"/>
      <c r="AP785" s="267"/>
    </row>
    <row r="786" spans="15:42" x14ac:dyDescent="0.2">
      <c r="O786" s="300"/>
      <c r="Q786" s="300"/>
      <c r="R786" s="300"/>
      <c r="S786" s="300"/>
      <c r="T786" s="300"/>
      <c r="U786" s="300"/>
      <c r="V786" s="300"/>
      <c r="W786" s="300"/>
      <c r="X786" s="300"/>
      <c r="Y786" s="300"/>
      <c r="Z786" s="300"/>
      <c r="AL786" s="267"/>
      <c r="AM786" s="267"/>
      <c r="AN786" s="267"/>
      <c r="AO786" s="267"/>
      <c r="AP786" s="267"/>
    </row>
    <row r="787" spans="15:42" x14ac:dyDescent="0.2">
      <c r="O787" s="300"/>
      <c r="Q787" s="300"/>
      <c r="R787" s="300"/>
      <c r="S787" s="300"/>
      <c r="T787" s="300"/>
      <c r="U787" s="300"/>
      <c r="V787" s="300"/>
      <c r="W787" s="300"/>
      <c r="X787" s="300"/>
      <c r="Y787" s="300"/>
      <c r="Z787" s="300"/>
      <c r="AL787" s="267"/>
      <c r="AM787" s="267"/>
      <c r="AN787" s="267"/>
      <c r="AO787" s="267"/>
      <c r="AP787" s="267"/>
    </row>
    <row r="788" spans="15:42" x14ac:dyDescent="0.2">
      <c r="O788" s="300"/>
      <c r="Q788" s="300"/>
      <c r="R788" s="300"/>
      <c r="S788" s="300"/>
      <c r="T788" s="300"/>
      <c r="U788" s="300"/>
      <c r="V788" s="300"/>
      <c r="W788" s="300"/>
      <c r="X788" s="300"/>
      <c r="Y788" s="300"/>
      <c r="Z788" s="300"/>
      <c r="AL788" s="267"/>
      <c r="AM788" s="267"/>
      <c r="AN788" s="267"/>
      <c r="AO788" s="267"/>
      <c r="AP788" s="267"/>
    </row>
    <row r="789" spans="15:42" x14ac:dyDescent="0.2">
      <c r="O789" s="300"/>
      <c r="Q789" s="300"/>
      <c r="R789" s="300"/>
      <c r="S789" s="300"/>
      <c r="T789" s="300"/>
      <c r="U789" s="300"/>
      <c r="V789" s="300"/>
      <c r="W789" s="300"/>
      <c r="X789" s="300"/>
      <c r="Y789" s="300"/>
      <c r="Z789" s="300"/>
      <c r="AL789" s="267"/>
      <c r="AM789" s="267"/>
      <c r="AN789" s="267"/>
      <c r="AO789" s="267"/>
      <c r="AP789" s="267"/>
    </row>
    <row r="790" spans="15:42" x14ac:dyDescent="0.2">
      <c r="O790" s="300"/>
      <c r="Q790" s="300"/>
      <c r="R790" s="300"/>
      <c r="S790" s="300"/>
      <c r="T790" s="300"/>
      <c r="U790" s="300"/>
      <c r="V790" s="300"/>
      <c r="W790" s="300"/>
      <c r="X790" s="300"/>
      <c r="Y790" s="300"/>
      <c r="Z790" s="300"/>
      <c r="AL790" s="267"/>
      <c r="AM790" s="267"/>
      <c r="AN790" s="267"/>
      <c r="AO790" s="267"/>
      <c r="AP790" s="267"/>
    </row>
    <row r="791" spans="15:42" x14ac:dyDescent="0.2">
      <c r="O791" s="300"/>
      <c r="Q791" s="300"/>
      <c r="R791" s="300"/>
      <c r="S791" s="300"/>
      <c r="T791" s="300"/>
      <c r="U791" s="300"/>
      <c r="V791" s="300"/>
      <c r="W791" s="300"/>
      <c r="X791" s="300"/>
      <c r="Y791" s="300"/>
      <c r="Z791" s="300"/>
      <c r="AL791" s="267"/>
      <c r="AM791" s="267"/>
      <c r="AN791" s="267"/>
      <c r="AO791" s="267"/>
      <c r="AP791" s="267"/>
    </row>
    <row r="792" spans="15:42" x14ac:dyDescent="0.2">
      <c r="O792" s="300"/>
      <c r="Q792" s="300"/>
      <c r="R792" s="300"/>
      <c r="S792" s="300"/>
      <c r="T792" s="300"/>
      <c r="U792" s="300"/>
      <c r="V792" s="300"/>
      <c r="W792" s="300"/>
      <c r="X792" s="300"/>
      <c r="Y792" s="300"/>
      <c r="Z792" s="300"/>
      <c r="AL792" s="267"/>
      <c r="AM792" s="267"/>
      <c r="AN792" s="267"/>
      <c r="AO792" s="267"/>
      <c r="AP792" s="267"/>
    </row>
    <row r="793" spans="15:42" x14ac:dyDescent="0.2">
      <c r="O793" s="300"/>
      <c r="Q793" s="300"/>
      <c r="R793" s="300"/>
      <c r="S793" s="300"/>
      <c r="T793" s="300"/>
      <c r="U793" s="300"/>
      <c r="V793" s="300"/>
      <c r="W793" s="300"/>
      <c r="X793" s="300"/>
      <c r="Y793" s="300"/>
      <c r="Z793" s="300"/>
      <c r="AL793" s="267"/>
      <c r="AM793" s="267"/>
      <c r="AN793" s="267"/>
      <c r="AO793" s="267"/>
      <c r="AP793" s="267"/>
    </row>
    <row r="794" spans="15:42" x14ac:dyDescent="0.2">
      <c r="O794" s="300"/>
      <c r="Q794" s="300"/>
      <c r="R794" s="300"/>
      <c r="S794" s="300"/>
      <c r="T794" s="300"/>
      <c r="U794" s="300"/>
      <c r="V794" s="300"/>
      <c r="W794" s="300"/>
      <c r="X794" s="300"/>
      <c r="Y794" s="300"/>
      <c r="Z794" s="300"/>
      <c r="AL794" s="267"/>
      <c r="AM794" s="267"/>
      <c r="AN794" s="267"/>
      <c r="AO794" s="267"/>
      <c r="AP794" s="267"/>
    </row>
    <row r="795" spans="15:42" x14ac:dyDescent="0.2">
      <c r="O795" s="300"/>
      <c r="Q795" s="300"/>
      <c r="R795" s="300"/>
      <c r="S795" s="300"/>
      <c r="T795" s="300"/>
      <c r="U795" s="300"/>
      <c r="V795" s="300"/>
      <c r="W795" s="300"/>
      <c r="X795" s="300"/>
      <c r="Y795" s="300"/>
      <c r="Z795" s="300"/>
      <c r="AL795" s="267"/>
      <c r="AM795" s="267"/>
      <c r="AN795" s="267"/>
      <c r="AO795" s="267"/>
      <c r="AP795" s="267"/>
    </row>
    <row r="796" spans="15:42" x14ac:dyDescent="0.2">
      <c r="O796" s="300"/>
      <c r="Q796" s="300"/>
      <c r="R796" s="300"/>
      <c r="S796" s="300"/>
      <c r="T796" s="300"/>
      <c r="U796" s="300"/>
      <c r="V796" s="300"/>
      <c r="W796" s="300"/>
      <c r="X796" s="300"/>
      <c r="Y796" s="300"/>
      <c r="Z796" s="300"/>
      <c r="AL796" s="267"/>
      <c r="AM796" s="267"/>
      <c r="AN796" s="267"/>
      <c r="AO796" s="267"/>
      <c r="AP796" s="267"/>
    </row>
    <row r="797" spans="15:42" x14ac:dyDescent="0.2">
      <c r="O797" s="300"/>
      <c r="Q797" s="300"/>
      <c r="R797" s="300"/>
      <c r="S797" s="300"/>
      <c r="T797" s="300"/>
      <c r="U797" s="300"/>
      <c r="V797" s="300"/>
      <c r="W797" s="300"/>
      <c r="X797" s="300"/>
      <c r="Y797" s="300"/>
      <c r="Z797" s="300"/>
      <c r="AL797" s="267"/>
      <c r="AM797" s="267"/>
      <c r="AN797" s="267"/>
      <c r="AO797" s="267"/>
      <c r="AP797" s="267"/>
    </row>
    <row r="798" spans="15:42" x14ac:dyDescent="0.2">
      <c r="O798" s="300"/>
      <c r="Q798" s="300"/>
      <c r="R798" s="300"/>
      <c r="S798" s="300"/>
      <c r="T798" s="300"/>
      <c r="U798" s="300"/>
      <c r="V798" s="300"/>
      <c r="W798" s="300"/>
      <c r="X798" s="300"/>
      <c r="Y798" s="300"/>
      <c r="Z798" s="300"/>
      <c r="AL798" s="267"/>
      <c r="AM798" s="267"/>
      <c r="AN798" s="267"/>
      <c r="AO798" s="267"/>
      <c r="AP798" s="267"/>
    </row>
    <row r="799" spans="15:42" x14ac:dyDescent="0.2">
      <c r="O799" s="300"/>
      <c r="Q799" s="300"/>
      <c r="R799" s="300"/>
      <c r="S799" s="300"/>
      <c r="T799" s="300"/>
      <c r="U799" s="300"/>
      <c r="V799" s="300"/>
      <c r="W799" s="300"/>
      <c r="X799" s="300"/>
      <c r="Y799" s="300"/>
      <c r="Z799" s="300"/>
      <c r="AL799" s="267"/>
      <c r="AM799" s="267"/>
      <c r="AN799" s="267"/>
      <c r="AO799" s="267"/>
      <c r="AP799" s="267"/>
    </row>
    <row r="800" spans="15:42" x14ac:dyDescent="0.2">
      <c r="O800" s="300"/>
      <c r="Q800" s="300"/>
      <c r="R800" s="300"/>
      <c r="S800" s="300"/>
      <c r="T800" s="300"/>
      <c r="U800" s="300"/>
      <c r="V800" s="300"/>
      <c r="W800" s="300"/>
      <c r="X800" s="300"/>
      <c r="Y800" s="300"/>
      <c r="Z800" s="300"/>
      <c r="AL800" s="267"/>
      <c r="AM800" s="267"/>
      <c r="AN800" s="267"/>
      <c r="AO800" s="267"/>
      <c r="AP800" s="267"/>
    </row>
    <row r="801" spans="13:42" x14ac:dyDescent="0.2">
      <c r="O801" s="300"/>
      <c r="Q801" s="300"/>
      <c r="R801" s="300"/>
      <c r="S801" s="300"/>
      <c r="T801" s="300"/>
      <c r="U801" s="300"/>
      <c r="V801" s="300"/>
      <c r="W801" s="300"/>
      <c r="X801" s="300"/>
      <c r="Y801" s="300"/>
      <c r="Z801" s="300"/>
      <c r="AL801" s="267"/>
      <c r="AM801" s="267"/>
      <c r="AN801" s="267"/>
      <c r="AO801" s="267"/>
      <c r="AP801" s="267"/>
    </row>
    <row r="802" spans="13:42" x14ac:dyDescent="0.2">
      <c r="O802" s="300"/>
      <c r="Q802" s="300"/>
      <c r="R802" s="300"/>
      <c r="S802" s="300"/>
      <c r="T802" s="300"/>
      <c r="U802" s="300"/>
      <c r="V802" s="300"/>
      <c r="W802" s="300"/>
      <c r="X802" s="300"/>
      <c r="Y802" s="300"/>
      <c r="Z802" s="300"/>
      <c r="AL802" s="267"/>
      <c r="AM802" s="267"/>
      <c r="AN802" s="267"/>
      <c r="AO802" s="267"/>
      <c r="AP802" s="267"/>
    </row>
    <row r="803" spans="13:42" x14ac:dyDescent="0.2">
      <c r="O803" s="300"/>
      <c r="Q803" s="300"/>
      <c r="R803" s="300"/>
      <c r="S803" s="300"/>
      <c r="T803" s="300"/>
      <c r="U803" s="300"/>
      <c r="V803" s="300"/>
      <c r="W803" s="300"/>
      <c r="X803" s="300"/>
      <c r="Y803" s="300"/>
      <c r="Z803" s="300"/>
      <c r="AL803" s="267"/>
      <c r="AM803" s="267"/>
      <c r="AN803" s="267"/>
      <c r="AO803" s="267"/>
      <c r="AP803" s="267"/>
    </row>
    <row r="804" spans="13:42" x14ac:dyDescent="0.2">
      <c r="O804" s="300"/>
      <c r="Q804" s="300"/>
      <c r="R804" s="300"/>
      <c r="S804" s="300"/>
      <c r="T804" s="300"/>
      <c r="U804" s="300"/>
      <c r="V804" s="300"/>
      <c r="W804" s="300"/>
      <c r="X804" s="300"/>
      <c r="Y804" s="300"/>
      <c r="Z804" s="300"/>
      <c r="AL804" s="267"/>
      <c r="AM804" s="267"/>
      <c r="AN804" s="267"/>
      <c r="AO804" s="267"/>
      <c r="AP804" s="267"/>
    </row>
    <row r="805" spans="13:42" x14ac:dyDescent="0.2">
      <c r="O805" s="300"/>
      <c r="Q805" s="300"/>
      <c r="R805" s="300"/>
      <c r="S805" s="300"/>
      <c r="T805" s="300"/>
      <c r="U805" s="300"/>
      <c r="V805" s="300"/>
      <c r="W805" s="300"/>
      <c r="X805" s="300"/>
      <c r="Y805" s="300"/>
      <c r="Z805" s="300"/>
      <c r="AL805" s="267"/>
      <c r="AM805" s="267"/>
      <c r="AN805" s="267"/>
      <c r="AO805" s="267"/>
      <c r="AP805" s="267"/>
    </row>
    <row r="806" spans="13:42" x14ac:dyDescent="0.2">
      <c r="M806" s="301"/>
      <c r="O806" s="300"/>
      <c r="Q806" s="300"/>
      <c r="R806" s="300"/>
      <c r="S806" s="300"/>
      <c r="T806" s="300"/>
      <c r="U806" s="300"/>
      <c r="V806" s="300"/>
      <c r="W806" s="300"/>
      <c r="X806" s="300"/>
      <c r="Y806" s="300"/>
      <c r="Z806" s="300"/>
      <c r="AL806" s="267"/>
      <c r="AM806" s="267"/>
      <c r="AN806" s="267"/>
      <c r="AO806" s="267"/>
      <c r="AP806" s="267"/>
    </row>
    <row r="807" spans="13:42" x14ac:dyDescent="0.2">
      <c r="M807" s="301"/>
    </row>
    <row r="808" spans="13:42" x14ac:dyDescent="0.2">
      <c r="M808" s="301"/>
      <c r="O808" s="300"/>
      <c r="Q808" s="300"/>
      <c r="R808" s="300"/>
      <c r="S808" s="300"/>
      <c r="T808" s="300"/>
      <c r="U808" s="300"/>
      <c r="V808" s="300"/>
      <c r="W808" s="300"/>
      <c r="X808" s="300"/>
      <c r="Y808" s="300"/>
      <c r="Z808" s="300"/>
      <c r="AL808" s="267"/>
      <c r="AM808" s="267"/>
      <c r="AN808" s="267"/>
      <c r="AO808" s="267"/>
      <c r="AP808" s="267"/>
    </row>
    <row r="809" spans="13:42" x14ac:dyDescent="0.2">
      <c r="M809" s="301"/>
    </row>
    <row r="810" spans="13:42" x14ac:dyDescent="0.2">
      <c r="M810" s="301"/>
      <c r="O810" s="300"/>
      <c r="Q810" s="300"/>
      <c r="R810" s="300"/>
      <c r="S810" s="300"/>
      <c r="T810" s="300"/>
      <c r="U810" s="300"/>
      <c r="V810" s="300"/>
      <c r="W810" s="300"/>
      <c r="X810" s="300"/>
      <c r="Y810" s="300"/>
      <c r="Z810" s="300"/>
      <c r="AL810" s="267"/>
      <c r="AM810" s="267"/>
      <c r="AN810" s="267"/>
      <c r="AO810" s="267"/>
      <c r="AP810" s="267"/>
    </row>
    <row r="811" spans="13:42" x14ac:dyDescent="0.2">
      <c r="M811" s="301"/>
    </row>
    <row r="812" spans="13:42" x14ac:dyDescent="0.2">
      <c r="M812" s="301"/>
      <c r="O812" s="300"/>
      <c r="Q812" s="300"/>
      <c r="R812" s="300"/>
      <c r="S812" s="300"/>
      <c r="T812" s="300"/>
      <c r="U812" s="300"/>
      <c r="V812" s="300"/>
      <c r="W812" s="300"/>
      <c r="X812" s="300"/>
      <c r="Y812" s="300"/>
      <c r="Z812" s="300"/>
      <c r="AL812" s="267"/>
      <c r="AM812" s="267"/>
      <c r="AN812" s="267"/>
      <c r="AO812" s="267"/>
      <c r="AP812" s="267"/>
    </row>
    <row r="813" spans="13:42" x14ac:dyDescent="0.2">
      <c r="M813" s="301"/>
    </row>
    <row r="814" spans="13:42" x14ac:dyDescent="0.2">
      <c r="M814" s="301"/>
      <c r="O814" s="300"/>
      <c r="Q814" s="300"/>
      <c r="R814" s="300"/>
      <c r="S814" s="300"/>
      <c r="T814" s="300"/>
      <c r="U814" s="300"/>
      <c r="V814" s="300"/>
      <c r="W814" s="300"/>
      <c r="X814" s="300"/>
      <c r="Y814" s="300"/>
      <c r="Z814" s="300"/>
      <c r="AL814" s="267"/>
      <c r="AM814" s="267"/>
      <c r="AN814" s="267"/>
      <c r="AO814" s="267"/>
      <c r="AP814" s="267"/>
    </row>
    <row r="815" spans="13:42" x14ac:dyDescent="0.2">
      <c r="M815" s="301"/>
    </row>
    <row r="816" spans="13:42" x14ac:dyDescent="0.2">
      <c r="M816" s="301"/>
      <c r="O816" s="300"/>
      <c r="Q816" s="300"/>
      <c r="R816" s="300"/>
      <c r="S816" s="300"/>
      <c r="T816" s="300"/>
      <c r="U816" s="300"/>
      <c r="V816" s="300"/>
      <c r="W816" s="300"/>
      <c r="X816" s="300"/>
      <c r="Y816" s="300"/>
      <c r="Z816" s="300"/>
      <c r="AL816" s="267"/>
      <c r="AM816" s="267"/>
      <c r="AN816" s="267"/>
      <c r="AO816" s="267"/>
      <c r="AP816" s="267"/>
    </row>
    <row r="817" spans="13:42" x14ac:dyDescent="0.2">
      <c r="M817" s="301"/>
    </row>
    <row r="818" spans="13:42" x14ac:dyDescent="0.2">
      <c r="M818" s="301"/>
      <c r="O818" s="300"/>
      <c r="Q818" s="300"/>
      <c r="R818" s="300"/>
      <c r="S818" s="300"/>
      <c r="T818" s="300"/>
      <c r="U818" s="300"/>
      <c r="V818" s="300"/>
      <c r="W818" s="300"/>
      <c r="X818" s="300"/>
      <c r="Y818" s="300"/>
      <c r="Z818" s="300"/>
      <c r="AL818" s="267"/>
      <c r="AM818" s="267"/>
      <c r="AN818" s="267"/>
      <c r="AO818" s="267"/>
      <c r="AP818" s="267"/>
    </row>
    <row r="819" spans="13:42" x14ac:dyDescent="0.2">
      <c r="M819" s="301"/>
    </row>
    <row r="820" spans="13:42" x14ac:dyDescent="0.2">
      <c r="M820" s="301"/>
      <c r="O820" s="300"/>
      <c r="Q820" s="300"/>
      <c r="R820" s="300"/>
      <c r="S820" s="300"/>
      <c r="T820" s="300"/>
      <c r="U820" s="300"/>
      <c r="V820" s="300"/>
      <c r="W820" s="300"/>
      <c r="X820" s="300"/>
      <c r="Y820" s="300"/>
      <c r="Z820" s="300"/>
      <c r="AL820" s="267"/>
      <c r="AM820" s="267"/>
      <c r="AN820" s="267"/>
      <c r="AO820" s="267"/>
      <c r="AP820" s="267"/>
    </row>
    <row r="821" spans="13:42" x14ac:dyDescent="0.2">
      <c r="M821" s="301"/>
    </row>
    <row r="822" spans="13:42" x14ac:dyDescent="0.2">
      <c r="M822" s="301"/>
      <c r="O822" s="300"/>
      <c r="Q822" s="300"/>
      <c r="R822" s="300"/>
      <c r="S822" s="300"/>
      <c r="T822" s="300"/>
      <c r="U822" s="300"/>
      <c r="V822" s="300"/>
      <c r="W822" s="300"/>
      <c r="X822" s="300"/>
      <c r="Y822" s="300"/>
      <c r="Z822" s="300"/>
      <c r="AL822" s="267"/>
      <c r="AM822" s="267"/>
      <c r="AN822" s="267"/>
      <c r="AO822" s="267"/>
      <c r="AP822" s="267"/>
    </row>
    <row r="823" spans="13:42" x14ac:dyDescent="0.2">
      <c r="M823" s="301"/>
    </row>
    <row r="824" spans="13:42" x14ac:dyDescent="0.2">
      <c r="M824" s="301"/>
      <c r="O824" s="300"/>
      <c r="Q824" s="300"/>
      <c r="R824" s="300"/>
      <c r="S824" s="300"/>
      <c r="T824" s="300"/>
      <c r="U824" s="300"/>
      <c r="V824" s="300"/>
      <c r="W824" s="300"/>
      <c r="X824" s="300"/>
      <c r="Y824" s="300"/>
      <c r="Z824" s="300"/>
      <c r="AL824" s="267"/>
      <c r="AM824" s="267"/>
      <c r="AN824" s="267"/>
      <c r="AO824" s="267"/>
      <c r="AP824" s="267"/>
    </row>
    <row r="825" spans="13:42" x14ac:dyDescent="0.2">
      <c r="M825" s="301"/>
    </row>
    <row r="826" spans="13:42" x14ac:dyDescent="0.2">
      <c r="M826" s="301"/>
      <c r="O826" s="300"/>
      <c r="Q826" s="300"/>
      <c r="R826" s="300"/>
      <c r="S826" s="300"/>
      <c r="T826" s="300"/>
      <c r="U826" s="300"/>
      <c r="V826" s="300"/>
      <c r="W826" s="300"/>
      <c r="X826" s="300"/>
      <c r="Y826" s="300"/>
      <c r="Z826" s="300"/>
      <c r="AL826" s="267"/>
      <c r="AM826" s="267"/>
      <c r="AN826" s="267"/>
      <c r="AO826" s="267"/>
      <c r="AP826" s="267"/>
    </row>
    <row r="827" spans="13:42" x14ac:dyDescent="0.2">
      <c r="M827" s="301"/>
    </row>
    <row r="828" spans="13:42" x14ac:dyDescent="0.2">
      <c r="M828" s="301"/>
      <c r="O828" s="300"/>
      <c r="Q828" s="300"/>
      <c r="R828" s="300"/>
      <c r="S828" s="300"/>
      <c r="T828" s="300"/>
      <c r="U828" s="300"/>
      <c r="V828" s="300"/>
      <c r="W828" s="300"/>
      <c r="X828" s="300"/>
      <c r="Y828" s="300"/>
      <c r="Z828" s="300"/>
      <c r="AL828" s="267"/>
      <c r="AM828" s="267"/>
      <c r="AN828" s="267"/>
      <c r="AO828" s="267"/>
      <c r="AP828" s="267"/>
    </row>
    <row r="829" spans="13:42" x14ac:dyDescent="0.2">
      <c r="M829" s="301"/>
    </row>
    <row r="830" spans="13:42" x14ac:dyDescent="0.2">
      <c r="M830" s="301"/>
      <c r="O830" s="300"/>
      <c r="Q830" s="300"/>
      <c r="R830" s="300"/>
      <c r="S830" s="300"/>
      <c r="T830" s="300"/>
      <c r="U830" s="300"/>
      <c r="V830" s="300"/>
      <c r="W830" s="300"/>
      <c r="X830" s="300"/>
      <c r="Y830" s="300"/>
      <c r="Z830" s="300"/>
      <c r="AL830" s="267"/>
      <c r="AM830" s="267"/>
      <c r="AN830" s="267"/>
      <c r="AO830" s="267"/>
      <c r="AP830" s="267"/>
    </row>
    <row r="831" spans="13:42" x14ac:dyDescent="0.2">
      <c r="M831" s="301"/>
    </row>
    <row r="832" spans="13:42" x14ac:dyDescent="0.2">
      <c r="M832" s="301"/>
      <c r="O832" s="300"/>
      <c r="Q832" s="300"/>
      <c r="R832" s="300"/>
      <c r="S832" s="300"/>
      <c r="T832" s="300"/>
      <c r="U832" s="300"/>
      <c r="V832" s="300"/>
      <c r="W832" s="300"/>
      <c r="X832" s="300"/>
      <c r="Y832" s="300"/>
      <c r="Z832" s="300"/>
      <c r="AL832" s="267"/>
      <c r="AM832" s="267"/>
      <c r="AN832" s="267"/>
      <c r="AO832" s="267"/>
      <c r="AP832" s="267"/>
    </row>
    <row r="833" spans="13:42" x14ac:dyDescent="0.2">
      <c r="M833" s="301"/>
    </row>
    <row r="834" spans="13:42" x14ac:dyDescent="0.2">
      <c r="M834" s="301"/>
      <c r="O834" s="300"/>
      <c r="Q834" s="300"/>
      <c r="R834" s="300"/>
      <c r="S834" s="300"/>
      <c r="T834" s="300"/>
      <c r="U834" s="300"/>
      <c r="V834" s="300"/>
      <c r="W834" s="300"/>
      <c r="X834" s="300"/>
      <c r="Y834" s="300"/>
      <c r="Z834" s="300"/>
      <c r="AL834" s="267"/>
      <c r="AM834" s="267"/>
      <c r="AN834" s="267"/>
      <c r="AO834" s="267"/>
      <c r="AP834" s="267"/>
    </row>
    <row r="835" spans="13:42" x14ac:dyDescent="0.2">
      <c r="M835" s="301"/>
    </row>
    <row r="836" spans="13:42" x14ac:dyDescent="0.2">
      <c r="M836" s="301"/>
      <c r="O836" s="300"/>
      <c r="Q836" s="300"/>
      <c r="R836" s="300"/>
      <c r="S836" s="300"/>
      <c r="T836" s="300"/>
      <c r="U836" s="300"/>
      <c r="V836" s="300"/>
      <c r="W836" s="300"/>
      <c r="X836" s="300"/>
      <c r="Y836" s="300"/>
      <c r="Z836" s="300"/>
      <c r="AL836" s="267"/>
      <c r="AM836" s="267"/>
      <c r="AN836" s="267"/>
      <c r="AO836" s="267"/>
      <c r="AP836" s="267"/>
    </row>
    <row r="837" spans="13:42" x14ac:dyDescent="0.2">
      <c r="M837" s="301"/>
    </row>
    <row r="838" spans="13:42" x14ac:dyDescent="0.2">
      <c r="M838" s="301"/>
      <c r="O838" s="300"/>
      <c r="Q838" s="300"/>
      <c r="R838" s="300"/>
      <c r="S838" s="300"/>
      <c r="T838" s="300"/>
      <c r="U838" s="300"/>
      <c r="V838" s="300"/>
      <c r="W838" s="300"/>
      <c r="X838" s="300"/>
      <c r="Y838" s="300"/>
      <c r="Z838" s="300"/>
      <c r="AL838" s="267"/>
      <c r="AM838" s="267"/>
      <c r="AN838" s="267"/>
      <c r="AO838" s="267"/>
      <c r="AP838" s="267"/>
    </row>
    <row r="839" spans="13:42" x14ac:dyDescent="0.2">
      <c r="M839" s="301"/>
    </row>
    <row r="840" spans="13:42" x14ac:dyDescent="0.2">
      <c r="M840" s="301"/>
      <c r="O840" s="300"/>
      <c r="Q840" s="300"/>
      <c r="R840" s="300"/>
      <c r="S840" s="300"/>
      <c r="T840" s="300"/>
      <c r="U840" s="300"/>
      <c r="V840" s="300"/>
      <c r="W840" s="300"/>
      <c r="X840" s="300"/>
      <c r="Y840" s="300"/>
      <c r="Z840" s="300"/>
      <c r="AL840" s="267"/>
      <c r="AM840" s="267"/>
      <c r="AN840" s="267"/>
      <c r="AO840" s="267"/>
      <c r="AP840" s="267"/>
    </row>
    <row r="841" spans="13:42" x14ac:dyDescent="0.2">
      <c r="M841" s="301"/>
    </row>
    <row r="842" spans="13:42" x14ac:dyDescent="0.2">
      <c r="M842" s="301"/>
      <c r="O842" s="300"/>
      <c r="Q842" s="300"/>
      <c r="R842" s="300"/>
      <c r="S842" s="300"/>
      <c r="T842" s="300"/>
      <c r="U842" s="300"/>
      <c r="V842" s="300"/>
      <c r="W842" s="300"/>
      <c r="X842" s="300"/>
      <c r="Y842" s="300"/>
      <c r="Z842" s="300"/>
      <c r="AL842" s="267"/>
      <c r="AM842" s="267"/>
      <c r="AN842" s="267"/>
      <c r="AO842" s="267"/>
      <c r="AP842" s="267"/>
    </row>
    <row r="843" spans="13:42" x14ac:dyDescent="0.2">
      <c r="M843" s="301"/>
    </row>
    <row r="844" spans="13:42" x14ac:dyDescent="0.2">
      <c r="M844" s="301"/>
      <c r="O844" s="300"/>
      <c r="Q844" s="300"/>
      <c r="R844" s="300"/>
      <c r="S844" s="300"/>
      <c r="T844" s="300"/>
      <c r="U844" s="300"/>
      <c r="V844" s="300"/>
      <c r="W844" s="300"/>
      <c r="X844" s="300"/>
      <c r="Y844" s="300"/>
      <c r="Z844" s="300"/>
      <c r="AL844" s="267"/>
      <c r="AM844" s="267"/>
      <c r="AN844" s="267"/>
      <c r="AO844" s="267"/>
      <c r="AP844" s="267"/>
    </row>
    <row r="845" spans="13:42" x14ac:dyDescent="0.2">
      <c r="M845" s="301"/>
    </row>
    <row r="846" spans="13:42" x14ac:dyDescent="0.2">
      <c r="M846" s="301"/>
      <c r="O846" s="300"/>
      <c r="Q846" s="300"/>
      <c r="R846" s="300"/>
      <c r="S846" s="300"/>
      <c r="T846" s="300"/>
      <c r="U846" s="300"/>
      <c r="V846" s="300"/>
      <c r="W846" s="300"/>
      <c r="X846" s="300"/>
      <c r="Y846" s="300"/>
      <c r="Z846" s="300"/>
      <c r="AL846" s="267"/>
      <c r="AM846" s="267"/>
      <c r="AN846" s="267"/>
      <c r="AO846" s="267"/>
      <c r="AP846" s="267"/>
    </row>
    <row r="847" spans="13:42" x14ac:dyDescent="0.2">
      <c r="M847" s="301"/>
    </row>
    <row r="848" spans="13:42" x14ac:dyDescent="0.2">
      <c r="M848" s="301"/>
      <c r="O848" s="300"/>
      <c r="Q848" s="300"/>
      <c r="R848" s="300"/>
      <c r="S848" s="300"/>
      <c r="T848" s="300"/>
      <c r="U848" s="300"/>
      <c r="V848" s="300"/>
      <c r="W848" s="300"/>
      <c r="X848" s="300"/>
      <c r="Y848" s="300"/>
      <c r="Z848" s="300"/>
      <c r="AL848" s="267"/>
      <c r="AM848" s="267"/>
      <c r="AN848" s="267"/>
      <c r="AO848" s="267"/>
      <c r="AP848" s="267"/>
    </row>
    <row r="849" spans="13:42" x14ac:dyDescent="0.2">
      <c r="M849" s="301"/>
    </row>
    <row r="850" spans="13:42" x14ac:dyDescent="0.2">
      <c r="M850" s="301"/>
      <c r="O850" s="300"/>
      <c r="Q850" s="300"/>
      <c r="R850" s="300"/>
      <c r="S850" s="300"/>
      <c r="T850" s="300"/>
      <c r="U850" s="300"/>
      <c r="V850" s="300"/>
      <c r="W850" s="300"/>
      <c r="X850" s="300"/>
      <c r="Y850" s="300"/>
      <c r="Z850" s="300"/>
      <c r="AL850" s="267"/>
      <c r="AM850" s="267"/>
      <c r="AN850" s="267"/>
      <c r="AO850" s="267"/>
      <c r="AP850" s="267"/>
    </row>
    <row r="851" spans="13:42" x14ac:dyDescent="0.2">
      <c r="M851" s="301"/>
    </row>
    <row r="852" spans="13:42" x14ac:dyDescent="0.2">
      <c r="M852" s="301"/>
      <c r="O852" s="300"/>
      <c r="Q852" s="300"/>
      <c r="R852" s="300"/>
      <c r="S852" s="300"/>
      <c r="T852" s="300"/>
      <c r="U852" s="300"/>
      <c r="V852" s="300"/>
      <c r="W852" s="300"/>
      <c r="X852" s="300"/>
      <c r="Y852" s="300"/>
      <c r="Z852" s="300"/>
      <c r="AL852" s="267"/>
      <c r="AM852" s="267"/>
      <c r="AN852" s="267"/>
      <c r="AO852" s="267"/>
      <c r="AP852" s="267"/>
    </row>
    <row r="853" spans="13:42" x14ac:dyDescent="0.2">
      <c r="M853" s="301"/>
    </row>
    <row r="854" spans="13:42" x14ac:dyDescent="0.2">
      <c r="M854" s="301"/>
      <c r="O854" s="300"/>
      <c r="Q854" s="300"/>
      <c r="R854" s="300"/>
      <c r="S854" s="300"/>
      <c r="T854" s="300"/>
      <c r="U854" s="300"/>
      <c r="V854" s="300"/>
      <c r="W854" s="300"/>
      <c r="X854" s="300"/>
      <c r="Y854" s="300"/>
      <c r="Z854" s="300"/>
      <c r="AL854" s="267"/>
      <c r="AM854" s="267"/>
      <c r="AN854" s="267"/>
      <c r="AO854" s="267"/>
      <c r="AP854" s="267"/>
    </row>
    <row r="855" spans="13:42" x14ac:dyDescent="0.2">
      <c r="M855" s="301"/>
    </row>
    <row r="856" spans="13:42" x14ac:dyDescent="0.2">
      <c r="M856" s="301"/>
      <c r="O856" s="300"/>
      <c r="Q856" s="300"/>
      <c r="R856" s="300"/>
      <c r="S856" s="300"/>
      <c r="T856" s="300"/>
      <c r="U856" s="300"/>
      <c r="V856" s="300"/>
      <c r="W856" s="300"/>
      <c r="X856" s="300"/>
      <c r="Y856" s="300"/>
      <c r="Z856" s="300"/>
      <c r="AL856" s="267"/>
      <c r="AM856" s="267"/>
      <c r="AN856" s="267"/>
      <c r="AO856" s="267"/>
      <c r="AP856" s="267"/>
    </row>
    <row r="857" spans="13:42" x14ac:dyDescent="0.2">
      <c r="M857" s="301"/>
    </row>
    <row r="858" spans="13:42" x14ac:dyDescent="0.2">
      <c r="M858" s="301"/>
      <c r="O858" s="300"/>
      <c r="Q858" s="300"/>
      <c r="R858" s="300"/>
      <c r="S858" s="300"/>
      <c r="T858" s="300"/>
      <c r="U858" s="300"/>
      <c r="V858" s="300"/>
      <c r="W858" s="300"/>
      <c r="X858" s="300"/>
      <c r="Y858" s="300"/>
      <c r="Z858" s="300"/>
      <c r="AL858" s="267"/>
      <c r="AM858" s="267"/>
      <c r="AN858" s="267"/>
      <c r="AO858" s="267"/>
      <c r="AP858" s="267"/>
    </row>
    <row r="859" spans="13:42" x14ac:dyDescent="0.2">
      <c r="M859" s="301"/>
    </row>
    <row r="860" spans="13:42" x14ac:dyDescent="0.2">
      <c r="M860" s="301"/>
      <c r="O860" s="300"/>
      <c r="Q860" s="300"/>
      <c r="R860" s="300"/>
      <c r="S860" s="300"/>
      <c r="T860" s="300"/>
      <c r="U860" s="300"/>
      <c r="V860" s="300"/>
      <c r="W860" s="300"/>
      <c r="X860" s="300"/>
      <c r="Y860" s="300"/>
      <c r="Z860" s="300"/>
      <c r="AL860" s="267"/>
      <c r="AM860" s="267"/>
      <c r="AN860" s="267"/>
      <c r="AO860" s="267"/>
      <c r="AP860" s="267"/>
    </row>
    <row r="861" spans="13:42" x14ac:dyDescent="0.2">
      <c r="M861" s="301"/>
    </row>
    <row r="862" spans="13:42" x14ac:dyDescent="0.2">
      <c r="M862" s="301"/>
      <c r="O862" s="300"/>
      <c r="Q862" s="300"/>
      <c r="R862" s="300"/>
      <c r="S862" s="300"/>
      <c r="T862" s="300"/>
      <c r="U862" s="300"/>
      <c r="V862" s="300"/>
      <c r="W862" s="300"/>
      <c r="X862" s="300"/>
      <c r="Y862" s="300"/>
      <c r="Z862" s="300"/>
      <c r="AL862" s="267"/>
      <c r="AM862" s="267"/>
      <c r="AN862" s="267"/>
      <c r="AO862" s="267"/>
      <c r="AP862" s="267"/>
    </row>
    <row r="863" spans="13:42" x14ac:dyDescent="0.2">
      <c r="M863" s="301"/>
    </row>
    <row r="864" spans="13:42" x14ac:dyDescent="0.2">
      <c r="M864" s="301"/>
      <c r="O864" s="300"/>
      <c r="Q864" s="300"/>
      <c r="R864" s="300"/>
      <c r="S864" s="300"/>
      <c r="T864" s="300"/>
      <c r="U864" s="300"/>
      <c r="V864" s="300"/>
      <c r="W864" s="300"/>
      <c r="X864" s="300"/>
      <c r="Y864" s="300"/>
      <c r="Z864" s="300"/>
      <c r="AL864" s="267"/>
      <c r="AM864" s="267"/>
      <c r="AN864" s="267"/>
      <c r="AO864" s="267"/>
      <c r="AP864" s="267"/>
    </row>
    <row r="865" spans="13:42" x14ac:dyDescent="0.2">
      <c r="M865" s="301"/>
    </row>
    <row r="866" spans="13:42" x14ac:dyDescent="0.2">
      <c r="M866" s="301"/>
      <c r="O866" s="300"/>
      <c r="Q866" s="300"/>
      <c r="R866" s="300"/>
      <c r="S866" s="300"/>
      <c r="T866" s="300"/>
      <c r="U866" s="300"/>
      <c r="V866" s="300"/>
      <c r="W866" s="300"/>
      <c r="X866" s="300"/>
      <c r="Y866" s="300"/>
      <c r="Z866" s="300"/>
      <c r="AL866" s="267"/>
      <c r="AM866" s="267"/>
      <c r="AN866" s="267"/>
      <c r="AO866" s="267"/>
      <c r="AP866" s="267"/>
    </row>
    <row r="867" spans="13:42" x14ac:dyDescent="0.2">
      <c r="M867" s="301"/>
    </row>
    <row r="868" spans="13:42" x14ac:dyDescent="0.2">
      <c r="M868" s="301"/>
      <c r="O868" s="300"/>
      <c r="Q868" s="300"/>
      <c r="R868" s="300"/>
      <c r="S868" s="300"/>
      <c r="T868" s="300"/>
      <c r="U868" s="300"/>
      <c r="V868" s="300"/>
      <c r="W868" s="300"/>
      <c r="X868" s="300"/>
      <c r="Y868" s="300"/>
      <c r="Z868" s="300"/>
      <c r="AL868" s="267"/>
      <c r="AM868" s="267"/>
      <c r="AN868" s="267"/>
      <c r="AO868" s="267"/>
      <c r="AP868" s="267"/>
    </row>
    <row r="869" spans="13:42" x14ac:dyDescent="0.2">
      <c r="M869" s="301"/>
    </row>
    <row r="870" spans="13:42" x14ac:dyDescent="0.2">
      <c r="M870" s="301"/>
      <c r="O870" s="300"/>
      <c r="Q870" s="300"/>
      <c r="R870" s="300"/>
      <c r="S870" s="300"/>
      <c r="T870" s="300"/>
      <c r="U870" s="300"/>
      <c r="V870" s="300"/>
      <c r="W870" s="300"/>
      <c r="X870" s="300"/>
      <c r="Y870" s="300"/>
      <c r="Z870" s="300"/>
      <c r="AL870" s="267"/>
      <c r="AM870" s="267"/>
      <c r="AN870" s="267"/>
      <c r="AO870" s="267"/>
      <c r="AP870" s="267"/>
    </row>
    <row r="871" spans="13:42" x14ac:dyDescent="0.2">
      <c r="M871" s="301"/>
    </row>
    <row r="872" spans="13:42" x14ac:dyDescent="0.2">
      <c r="M872" s="301"/>
      <c r="O872" s="300"/>
      <c r="Q872" s="300"/>
      <c r="R872" s="300"/>
      <c r="S872" s="300"/>
      <c r="T872" s="300"/>
      <c r="U872" s="300"/>
      <c r="V872" s="300"/>
      <c r="W872" s="300"/>
      <c r="X872" s="300"/>
      <c r="Y872" s="300"/>
      <c r="Z872" s="300"/>
      <c r="AL872" s="267"/>
      <c r="AM872" s="267"/>
      <c r="AN872" s="267"/>
      <c r="AO872" s="267"/>
      <c r="AP872" s="267"/>
    </row>
    <row r="873" spans="13:42" x14ac:dyDescent="0.2">
      <c r="M873" s="301"/>
    </row>
    <row r="874" spans="13:42" x14ac:dyDescent="0.2">
      <c r="M874" s="301"/>
      <c r="O874" s="300"/>
      <c r="Q874" s="300"/>
      <c r="R874" s="300"/>
      <c r="S874" s="300"/>
      <c r="T874" s="300"/>
      <c r="U874" s="300"/>
      <c r="V874" s="300"/>
      <c r="W874" s="300"/>
      <c r="X874" s="300"/>
      <c r="Y874" s="300"/>
      <c r="Z874" s="300"/>
      <c r="AL874" s="267"/>
      <c r="AM874" s="267"/>
      <c r="AN874" s="267"/>
      <c r="AO874" s="267"/>
      <c r="AP874" s="267"/>
    </row>
    <row r="875" spans="13:42" x14ac:dyDescent="0.2">
      <c r="M875" s="301"/>
    </row>
    <row r="876" spans="13:42" x14ac:dyDescent="0.2">
      <c r="M876" s="301"/>
      <c r="O876" s="300"/>
      <c r="Q876" s="300"/>
      <c r="R876" s="300"/>
      <c r="S876" s="300"/>
      <c r="T876" s="300"/>
      <c r="U876" s="300"/>
      <c r="V876" s="300"/>
      <c r="W876" s="300"/>
      <c r="X876" s="300"/>
      <c r="Y876" s="300"/>
      <c r="Z876" s="300"/>
      <c r="AL876" s="267"/>
      <c r="AM876" s="267"/>
      <c r="AN876" s="267"/>
      <c r="AO876" s="267"/>
      <c r="AP876" s="267"/>
    </row>
    <row r="877" spans="13:42" x14ac:dyDescent="0.2">
      <c r="M877" s="301"/>
    </row>
    <row r="878" spans="13:42" x14ac:dyDescent="0.2">
      <c r="M878" s="301"/>
      <c r="O878" s="300"/>
      <c r="Q878" s="300"/>
      <c r="R878" s="300"/>
      <c r="S878" s="300"/>
      <c r="T878" s="300"/>
      <c r="U878" s="300"/>
      <c r="V878" s="300"/>
      <c r="W878" s="300"/>
      <c r="X878" s="300"/>
      <c r="Y878" s="300"/>
      <c r="Z878" s="300"/>
      <c r="AL878" s="267"/>
      <c r="AM878" s="267"/>
      <c r="AN878" s="267"/>
      <c r="AO878" s="267"/>
      <c r="AP878" s="267"/>
    </row>
    <row r="879" spans="13:42" x14ac:dyDescent="0.2">
      <c r="M879" s="301"/>
    </row>
    <row r="880" spans="13:42" x14ac:dyDescent="0.2">
      <c r="M880" s="301"/>
      <c r="O880" s="300"/>
      <c r="Q880" s="300"/>
      <c r="R880" s="300"/>
      <c r="S880" s="300"/>
      <c r="T880" s="300"/>
      <c r="U880" s="300"/>
      <c r="V880" s="300"/>
      <c r="W880" s="300"/>
      <c r="X880" s="300"/>
      <c r="Y880" s="300"/>
      <c r="Z880" s="300"/>
      <c r="AL880" s="267"/>
      <c r="AM880" s="267"/>
      <c r="AN880" s="267"/>
      <c r="AO880" s="267"/>
      <c r="AP880" s="267"/>
    </row>
    <row r="881" spans="13:42" x14ac:dyDescent="0.2">
      <c r="M881" s="301"/>
    </row>
    <row r="882" spans="13:42" x14ac:dyDescent="0.2">
      <c r="M882" s="301"/>
      <c r="O882" s="300"/>
      <c r="Q882" s="300"/>
      <c r="R882" s="300"/>
      <c r="S882" s="300"/>
      <c r="T882" s="300"/>
      <c r="U882" s="300"/>
      <c r="V882" s="300"/>
      <c r="W882" s="300"/>
      <c r="X882" s="300"/>
      <c r="Y882" s="300"/>
      <c r="Z882" s="300"/>
      <c r="AL882" s="267"/>
      <c r="AM882" s="267"/>
      <c r="AN882" s="267"/>
      <c r="AO882" s="267"/>
      <c r="AP882" s="267"/>
    </row>
    <row r="883" spans="13:42" x14ac:dyDescent="0.2">
      <c r="M883" s="301"/>
    </row>
    <row r="884" spans="13:42" x14ac:dyDescent="0.2">
      <c r="M884" s="301"/>
      <c r="O884" s="300"/>
      <c r="Q884" s="300"/>
      <c r="R884" s="300"/>
      <c r="S884" s="300"/>
      <c r="T884" s="300"/>
      <c r="U884" s="300"/>
      <c r="V884" s="300"/>
      <c r="W884" s="300"/>
      <c r="X884" s="300"/>
      <c r="Y884" s="300"/>
      <c r="Z884" s="300"/>
      <c r="AL884" s="267"/>
      <c r="AM884" s="267"/>
      <c r="AN884" s="267"/>
      <c r="AO884" s="267"/>
      <c r="AP884" s="267"/>
    </row>
    <row r="885" spans="13:42" x14ac:dyDescent="0.2">
      <c r="M885" s="301"/>
    </row>
    <row r="886" spans="13:42" x14ac:dyDescent="0.2">
      <c r="M886" s="301"/>
      <c r="O886" s="300"/>
      <c r="Q886" s="300"/>
      <c r="R886" s="300"/>
      <c r="S886" s="300"/>
      <c r="T886" s="300"/>
      <c r="U886" s="300"/>
      <c r="V886" s="300"/>
      <c r="W886" s="300"/>
      <c r="X886" s="300"/>
      <c r="Y886" s="300"/>
      <c r="Z886" s="300"/>
      <c r="AL886" s="267"/>
      <c r="AM886" s="267"/>
      <c r="AN886" s="267"/>
      <c r="AO886" s="267"/>
      <c r="AP886" s="267"/>
    </row>
    <row r="887" spans="13:42" x14ac:dyDescent="0.2">
      <c r="M887" s="301"/>
    </row>
    <row r="888" spans="13:42" x14ac:dyDescent="0.2">
      <c r="M888" s="301"/>
      <c r="O888" s="300"/>
      <c r="Q888" s="300"/>
      <c r="R888" s="300"/>
      <c r="S888" s="300"/>
      <c r="T888" s="300"/>
      <c r="U888" s="300"/>
      <c r="V888" s="300"/>
      <c r="W888" s="300"/>
      <c r="X888" s="300"/>
      <c r="Y888" s="300"/>
      <c r="Z888" s="300"/>
      <c r="AL888" s="267"/>
      <c r="AM888" s="267"/>
      <c r="AN888" s="267"/>
      <c r="AO888" s="267"/>
      <c r="AP888" s="267"/>
    </row>
    <row r="889" spans="13:42" x14ac:dyDescent="0.2">
      <c r="M889" s="301"/>
    </row>
    <row r="890" spans="13:42" x14ac:dyDescent="0.2">
      <c r="M890" s="301"/>
      <c r="O890" s="300"/>
      <c r="Q890" s="300"/>
      <c r="R890" s="300"/>
      <c r="S890" s="300"/>
      <c r="T890" s="300"/>
      <c r="U890" s="300"/>
      <c r="V890" s="300"/>
      <c r="W890" s="300"/>
      <c r="X890" s="300"/>
      <c r="Y890" s="300"/>
      <c r="Z890" s="300"/>
      <c r="AL890" s="267"/>
      <c r="AM890" s="267"/>
      <c r="AN890" s="267"/>
      <c r="AO890" s="267"/>
      <c r="AP890" s="267"/>
    </row>
    <row r="891" spans="13:42" x14ac:dyDescent="0.2">
      <c r="M891" s="301"/>
    </row>
    <row r="892" spans="13:42" x14ac:dyDescent="0.2">
      <c r="M892" s="301"/>
      <c r="O892" s="300"/>
      <c r="Q892" s="300"/>
      <c r="R892" s="300"/>
      <c r="S892" s="300"/>
      <c r="T892" s="300"/>
      <c r="U892" s="300"/>
      <c r="V892" s="300"/>
      <c r="W892" s="300"/>
      <c r="X892" s="300"/>
      <c r="Y892" s="300"/>
      <c r="Z892" s="300"/>
      <c r="AL892" s="267"/>
      <c r="AM892" s="267"/>
      <c r="AN892" s="267"/>
      <c r="AO892" s="267"/>
      <c r="AP892" s="267"/>
    </row>
    <row r="893" spans="13:42" x14ac:dyDescent="0.2">
      <c r="M893" s="301"/>
    </row>
    <row r="894" spans="13:42" x14ac:dyDescent="0.2">
      <c r="M894" s="301"/>
      <c r="O894" s="300"/>
      <c r="Q894" s="300"/>
      <c r="R894" s="300"/>
      <c r="S894" s="300"/>
      <c r="T894" s="300"/>
      <c r="U894" s="300"/>
      <c r="V894" s="300"/>
      <c r="W894" s="300"/>
      <c r="X894" s="300"/>
      <c r="Y894" s="300"/>
      <c r="Z894" s="300"/>
      <c r="AL894" s="267"/>
      <c r="AM894" s="267"/>
      <c r="AN894" s="267"/>
      <c r="AO894" s="267"/>
      <c r="AP894" s="267"/>
    </row>
    <row r="895" spans="13:42" x14ac:dyDescent="0.2">
      <c r="M895" s="301"/>
    </row>
    <row r="896" spans="13:42" x14ac:dyDescent="0.2">
      <c r="M896" s="301"/>
      <c r="O896" s="300"/>
      <c r="Q896" s="300"/>
      <c r="R896" s="300"/>
      <c r="S896" s="300"/>
      <c r="T896" s="300"/>
      <c r="U896" s="300"/>
      <c r="V896" s="300"/>
      <c r="W896" s="300"/>
      <c r="X896" s="300"/>
      <c r="Y896" s="300"/>
      <c r="Z896" s="300"/>
      <c r="AL896" s="267"/>
      <c r="AM896" s="267"/>
      <c r="AN896" s="267"/>
      <c r="AO896" s="267"/>
      <c r="AP896" s="267"/>
    </row>
    <row r="897" spans="13:42" x14ac:dyDescent="0.2">
      <c r="M897" s="301"/>
    </row>
    <row r="898" spans="13:42" x14ac:dyDescent="0.2">
      <c r="M898" s="301"/>
      <c r="O898" s="300"/>
      <c r="Q898" s="300"/>
      <c r="R898" s="300"/>
      <c r="S898" s="300"/>
      <c r="T898" s="300"/>
      <c r="U898" s="300"/>
      <c r="V898" s="300"/>
      <c r="W898" s="300"/>
      <c r="X898" s="300"/>
      <c r="Y898" s="300"/>
      <c r="Z898" s="300"/>
      <c r="AL898" s="267"/>
      <c r="AM898" s="267"/>
      <c r="AN898" s="267"/>
      <c r="AO898" s="267"/>
      <c r="AP898" s="267"/>
    </row>
    <row r="899" spans="13:42" x14ac:dyDescent="0.2">
      <c r="M899" s="301"/>
    </row>
    <row r="900" spans="13:42" x14ac:dyDescent="0.2">
      <c r="M900" s="301"/>
      <c r="O900" s="300"/>
      <c r="Q900" s="300"/>
      <c r="R900" s="300"/>
      <c r="S900" s="300"/>
      <c r="T900" s="300"/>
      <c r="U900" s="300"/>
      <c r="V900" s="300"/>
      <c r="W900" s="300"/>
      <c r="X900" s="300"/>
      <c r="Y900" s="300"/>
      <c r="Z900" s="300"/>
      <c r="AL900" s="267"/>
      <c r="AM900" s="267"/>
      <c r="AN900" s="267"/>
      <c r="AO900" s="267"/>
      <c r="AP900" s="267"/>
    </row>
    <row r="901" spans="13:42" x14ac:dyDescent="0.2">
      <c r="M901" s="301"/>
    </row>
    <row r="902" spans="13:42" x14ac:dyDescent="0.2">
      <c r="M902" s="301"/>
      <c r="O902" s="300"/>
      <c r="Q902" s="300"/>
      <c r="R902" s="300"/>
      <c r="S902" s="300"/>
      <c r="T902" s="300"/>
      <c r="U902" s="300"/>
      <c r="V902" s="300"/>
      <c r="W902" s="300"/>
      <c r="X902" s="300"/>
      <c r="Y902" s="300"/>
      <c r="Z902" s="300"/>
      <c r="AL902" s="267"/>
      <c r="AM902" s="267"/>
      <c r="AN902" s="267"/>
      <c r="AO902" s="267"/>
      <c r="AP902" s="267"/>
    </row>
    <row r="903" spans="13:42" x14ac:dyDescent="0.2">
      <c r="M903" s="301"/>
    </row>
    <row r="904" spans="13:42" x14ac:dyDescent="0.2">
      <c r="M904" s="301"/>
      <c r="O904" s="300"/>
      <c r="Q904" s="300"/>
      <c r="R904" s="300"/>
      <c r="S904" s="300"/>
      <c r="T904" s="300"/>
      <c r="U904" s="300"/>
      <c r="V904" s="300"/>
      <c r="W904" s="300"/>
      <c r="X904" s="300"/>
      <c r="Y904" s="300"/>
      <c r="Z904" s="300"/>
      <c r="AL904" s="267"/>
      <c r="AM904" s="267"/>
      <c r="AN904" s="267"/>
      <c r="AO904" s="267"/>
      <c r="AP904" s="267"/>
    </row>
    <row r="905" spans="13:42" x14ac:dyDescent="0.2">
      <c r="M905" s="301"/>
    </row>
    <row r="906" spans="13:42" x14ac:dyDescent="0.2">
      <c r="M906" s="301"/>
      <c r="O906" s="300"/>
      <c r="Q906" s="300"/>
      <c r="R906" s="300"/>
      <c r="S906" s="300"/>
      <c r="T906" s="300"/>
      <c r="U906" s="300"/>
      <c r="V906" s="300"/>
      <c r="W906" s="300"/>
      <c r="X906" s="300"/>
      <c r="Y906" s="300"/>
      <c r="Z906" s="300"/>
      <c r="AL906" s="267"/>
      <c r="AM906" s="267"/>
      <c r="AN906" s="267"/>
      <c r="AO906" s="267"/>
      <c r="AP906" s="267"/>
    </row>
    <row r="907" spans="13:42" x14ac:dyDescent="0.2">
      <c r="M907" s="301"/>
    </row>
    <row r="908" spans="13:42" x14ac:dyDescent="0.2">
      <c r="M908" s="301"/>
      <c r="O908" s="300"/>
      <c r="Q908" s="300"/>
      <c r="R908" s="300"/>
      <c r="S908" s="300"/>
      <c r="T908" s="300"/>
      <c r="U908" s="300"/>
      <c r="V908" s="300"/>
      <c r="W908" s="300"/>
      <c r="X908" s="300"/>
      <c r="Y908" s="300"/>
      <c r="Z908" s="300"/>
      <c r="AL908" s="267"/>
      <c r="AM908" s="267"/>
      <c r="AN908" s="267"/>
      <c r="AO908" s="267"/>
      <c r="AP908" s="267"/>
    </row>
    <row r="909" spans="13:42" x14ac:dyDescent="0.2">
      <c r="M909" s="301"/>
    </row>
    <row r="910" spans="13:42" x14ac:dyDescent="0.2">
      <c r="M910" s="301"/>
      <c r="O910" s="300"/>
      <c r="Q910" s="300"/>
      <c r="R910" s="300"/>
      <c r="S910" s="300"/>
      <c r="T910" s="300"/>
      <c r="U910" s="300"/>
      <c r="V910" s="300"/>
      <c r="W910" s="300"/>
      <c r="X910" s="300"/>
      <c r="Y910" s="300"/>
      <c r="Z910" s="300"/>
      <c r="AL910" s="267"/>
      <c r="AM910" s="267"/>
      <c r="AN910" s="267"/>
      <c r="AO910" s="267"/>
      <c r="AP910" s="267"/>
    </row>
    <row r="911" spans="13:42" x14ac:dyDescent="0.2">
      <c r="M911" s="301"/>
    </row>
    <row r="912" spans="13:42" x14ac:dyDescent="0.2">
      <c r="M912" s="301"/>
      <c r="O912" s="300"/>
      <c r="Q912" s="300"/>
      <c r="R912" s="300"/>
      <c r="S912" s="300"/>
      <c r="T912" s="300"/>
      <c r="U912" s="300"/>
      <c r="V912" s="300"/>
      <c r="W912" s="300"/>
      <c r="X912" s="300"/>
      <c r="Y912" s="300"/>
      <c r="Z912" s="300"/>
      <c r="AL912" s="267"/>
      <c r="AM912" s="267"/>
      <c r="AN912" s="267"/>
      <c r="AO912" s="267"/>
      <c r="AP912" s="267"/>
    </row>
    <row r="913" spans="13:42" x14ac:dyDescent="0.2">
      <c r="M913" s="301"/>
    </row>
    <row r="914" spans="13:42" x14ac:dyDescent="0.2">
      <c r="M914" s="301"/>
      <c r="O914" s="300"/>
      <c r="Q914" s="300"/>
      <c r="R914" s="300"/>
      <c r="S914" s="300"/>
      <c r="T914" s="300"/>
      <c r="U914" s="300"/>
      <c r="V914" s="300"/>
      <c r="W914" s="300"/>
      <c r="X914" s="300"/>
      <c r="Y914" s="300"/>
      <c r="Z914" s="300"/>
      <c r="AL914" s="267"/>
      <c r="AM914" s="267"/>
      <c r="AN914" s="267"/>
      <c r="AO914" s="267"/>
      <c r="AP914" s="267"/>
    </row>
    <row r="915" spans="13:42" x14ac:dyDescent="0.2">
      <c r="M915" s="301"/>
    </row>
    <row r="916" spans="13:42" x14ac:dyDescent="0.2">
      <c r="M916" s="301"/>
      <c r="O916" s="300"/>
      <c r="Q916" s="300"/>
      <c r="R916" s="300"/>
      <c r="S916" s="300"/>
      <c r="T916" s="300"/>
      <c r="U916" s="300"/>
      <c r="V916" s="300"/>
      <c r="W916" s="300"/>
      <c r="X916" s="300"/>
      <c r="Y916" s="300"/>
      <c r="Z916" s="300"/>
      <c r="AL916" s="267"/>
      <c r="AM916" s="267"/>
      <c r="AN916" s="267"/>
      <c r="AO916" s="267"/>
      <c r="AP916" s="267"/>
    </row>
    <row r="917" spans="13:42" x14ac:dyDescent="0.2">
      <c r="M917" s="301"/>
    </row>
    <row r="918" spans="13:42" x14ac:dyDescent="0.2">
      <c r="M918" s="301"/>
      <c r="O918" s="300"/>
      <c r="Q918" s="300"/>
      <c r="R918" s="300"/>
      <c r="S918" s="300"/>
      <c r="T918" s="300"/>
      <c r="U918" s="300"/>
      <c r="V918" s="300"/>
      <c r="W918" s="300"/>
      <c r="X918" s="300"/>
      <c r="Y918" s="300"/>
      <c r="Z918" s="300"/>
      <c r="AL918" s="267"/>
      <c r="AM918" s="267"/>
      <c r="AN918" s="267"/>
      <c r="AO918" s="267"/>
      <c r="AP918" s="267"/>
    </row>
    <row r="919" spans="13:42" x14ac:dyDescent="0.2">
      <c r="M919" s="301"/>
    </row>
    <row r="920" spans="13:42" x14ac:dyDescent="0.2">
      <c r="M920" s="301"/>
      <c r="O920" s="300"/>
      <c r="Q920" s="300"/>
      <c r="R920" s="300"/>
      <c r="S920" s="300"/>
      <c r="T920" s="300"/>
      <c r="U920" s="300"/>
      <c r="V920" s="300"/>
      <c r="W920" s="300"/>
      <c r="X920" s="300"/>
      <c r="Y920" s="300"/>
      <c r="Z920" s="300"/>
      <c r="AL920" s="267"/>
      <c r="AM920" s="267"/>
      <c r="AN920" s="267"/>
      <c r="AO920" s="267"/>
      <c r="AP920" s="267"/>
    </row>
    <row r="921" spans="13:42" x14ac:dyDescent="0.2">
      <c r="M921" s="301"/>
    </row>
    <row r="922" spans="13:42" x14ac:dyDescent="0.2">
      <c r="M922" s="301"/>
      <c r="O922" s="300"/>
      <c r="Q922" s="300"/>
      <c r="R922" s="300"/>
      <c r="S922" s="300"/>
      <c r="T922" s="300"/>
      <c r="U922" s="300"/>
      <c r="V922" s="300"/>
      <c r="W922" s="300"/>
      <c r="X922" s="300"/>
      <c r="Y922" s="300"/>
      <c r="Z922" s="300"/>
      <c r="AL922" s="267"/>
      <c r="AM922" s="267"/>
      <c r="AN922" s="267"/>
      <c r="AO922" s="267"/>
      <c r="AP922" s="267"/>
    </row>
    <row r="923" spans="13:42" x14ac:dyDescent="0.2">
      <c r="M923" s="301"/>
    </row>
    <row r="924" spans="13:42" x14ac:dyDescent="0.2">
      <c r="M924" s="301"/>
      <c r="O924" s="300"/>
      <c r="Q924" s="300"/>
      <c r="R924" s="300"/>
      <c r="S924" s="300"/>
      <c r="T924" s="300"/>
      <c r="U924" s="300"/>
      <c r="V924" s="300"/>
      <c r="W924" s="300"/>
      <c r="X924" s="300"/>
      <c r="Y924" s="300"/>
      <c r="Z924" s="300"/>
      <c r="AL924" s="267"/>
      <c r="AM924" s="267"/>
      <c r="AN924" s="267"/>
      <c r="AO924" s="267"/>
      <c r="AP924" s="267"/>
    </row>
    <row r="925" spans="13:42" x14ac:dyDescent="0.2">
      <c r="M925" s="301"/>
    </row>
    <row r="926" spans="13:42" x14ac:dyDescent="0.2">
      <c r="M926" s="301"/>
      <c r="O926" s="300"/>
      <c r="Q926" s="300"/>
      <c r="R926" s="300"/>
      <c r="S926" s="300"/>
      <c r="T926" s="300"/>
      <c r="U926" s="300"/>
      <c r="V926" s="300"/>
      <c r="W926" s="300"/>
      <c r="X926" s="300"/>
      <c r="Y926" s="300"/>
      <c r="Z926" s="300"/>
      <c r="AL926" s="267"/>
      <c r="AM926" s="267"/>
      <c r="AN926" s="267"/>
      <c r="AO926" s="267"/>
      <c r="AP926" s="267"/>
    </row>
    <row r="927" spans="13:42" x14ac:dyDescent="0.2">
      <c r="M927" s="301"/>
    </row>
    <row r="928" spans="13:42" x14ac:dyDescent="0.2">
      <c r="M928" s="301"/>
      <c r="O928" s="300"/>
      <c r="Q928" s="300"/>
      <c r="R928" s="300"/>
      <c r="S928" s="300"/>
      <c r="T928" s="300"/>
      <c r="U928" s="300"/>
      <c r="V928" s="300"/>
      <c r="W928" s="300"/>
      <c r="X928" s="300"/>
      <c r="Y928" s="300"/>
      <c r="Z928" s="300"/>
      <c r="AL928" s="267"/>
      <c r="AM928" s="267"/>
      <c r="AN928" s="267"/>
      <c r="AO928" s="267"/>
      <c r="AP928" s="267"/>
    </row>
    <row r="929" spans="13:42" x14ac:dyDescent="0.2">
      <c r="M929" s="301"/>
    </row>
    <row r="930" spans="13:42" x14ac:dyDescent="0.2">
      <c r="M930" s="301"/>
      <c r="O930" s="300"/>
      <c r="Q930" s="300"/>
      <c r="R930" s="300"/>
      <c r="S930" s="300"/>
      <c r="T930" s="300"/>
      <c r="U930" s="300"/>
      <c r="V930" s="300"/>
      <c r="W930" s="300"/>
      <c r="X930" s="300"/>
      <c r="Y930" s="300"/>
      <c r="Z930" s="300"/>
      <c r="AL930" s="267"/>
      <c r="AM930" s="267"/>
      <c r="AN930" s="267"/>
      <c r="AO930" s="267"/>
      <c r="AP930" s="267"/>
    </row>
    <row r="931" spans="13:42" x14ac:dyDescent="0.2">
      <c r="M931" s="301"/>
    </row>
    <row r="932" spans="13:42" x14ac:dyDescent="0.2">
      <c r="M932" s="301"/>
      <c r="O932" s="300"/>
      <c r="Q932" s="300"/>
      <c r="R932" s="300"/>
      <c r="S932" s="300"/>
      <c r="T932" s="300"/>
      <c r="U932" s="300"/>
      <c r="V932" s="300"/>
      <c r="W932" s="300"/>
      <c r="X932" s="300"/>
      <c r="Y932" s="300"/>
      <c r="Z932" s="300"/>
      <c r="AL932" s="267"/>
      <c r="AM932" s="267"/>
      <c r="AN932" s="267"/>
      <c r="AO932" s="267"/>
      <c r="AP932" s="267"/>
    </row>
    <row r="933" spans="13:42" x14ac:dyDescent="0.2">
      <c r="M933" s="301"/>
    </row>
    <row r="934" spans="13:42" x14ac:dyDescent="0.2">
      <c r="M934" s="301"/>
      <c r="O934" s="300"/>
      <c r="Q934" s="300"/>
      <c r="R934" s="300"/>
      <c r="S934" s="300"/>
      <c r="T934" s="300"/>
      <c r="U934" s="300"/>
      <c r="V934" s="300"/>
      <c r="W934" s="300"/>
      <c r="X934" s="300"/>
      <c r="Y934" s="300"/>
      <c r="Z934" s="300"/>
      <c r="AL934" s="267"/>
      <c r="AM934" s="267"/>
      <c r="AN934" s="267"/>
      <c r="AO934" s="267"/>
      <c r="AP934" s="267"/>
    </row>
    <row r="935" spans="13:42" x14ac:dyDescent="0.2">
      <c r="M935" s="301"/>
    </row>
    <row r="936" spans="13:42" x14ac:dyDescent="0.2">
      <c r="M936" s="301"/>
      <c r="O936" s="300"/>
      <c r="Q936" s="300"/>
      <c r="R936" s="300"/>
      <c r="S936" s="300"/>
      <c r="T936" s="300"/>
      <c r="U936" s="300"/>
      <c r="V936" s="300"/>
      <c r="W936" s="300"/>
      <c r="X936" s="300"/>
      <c r="Y936" s="300"/>
      <c r="Z936" s="300"/>
      <c r="AL936" s="267"/>
      <c r="AM936" s="267"/>
      <c r="AN936" s="267"/>
      <c r="AO936" s="267"/>
      <c r="AP936" s="267"/>
    </row>
    <row r="937" spans="13:42" x14ac:dyDescent="0.2">
      <c r="M937" s="301"/>
    </row>
    <row r="938" spans="13:42" x14ac:dyDescent="0.2">
      <c r="M938" s="301"/>
      <c r="O938" s="300"/>
      <c r="Q938" s="300"/>
      <c r="R938" s="300"/>
      <c r="S938" s="300"/>
      <c r="T938" s="300"/>
      <c r="U938" s="300"/>
      <c r="V938" s="300"/>
      <c r="W938" s="300"/>
      <c r="X938" s="300"/>
      <c r="Y938" s="300"/>
      <c r="Z938" s="300"/>
      <c r="AL938" s="267"/>
      <c r="AM938" s="267"/>
      <c r="AN938" s="267"/>
      <c r="AO938" s="267"/>
      <c r="AP938" s="267"/>
    </row>
    <row r="939" spans="13:42" x14ac:dyDescent="0.2">
      <c r="M939" s="301"/>
    </row>
    <row r="940" spans="13:42" x14ac:dyDescent="0.2">
      <c r="M940" s="301"/>
      <c r="O940" s="300"/>
      <c r="Q940" s="300"/>
      <c r="R940" s="300"/>
      <c r="S940" s="300"/>
      <c r="T940" s="300"/>
      <c r="U940" s="300"/>
      <c r="V940" s="300"/>
      <c r="W940" s="300"/>
      <c r="X940" s="300"/>
      <c r="Y940" s="300"/>
      <c r="Z940" s="300"/>
      <c r="AL940" s="267"/>
      <c r="AM940" s="267"/>
      <c r="AN940" s="267"/>
      <c r="AO940" s="267"/>
      <c r="AP940" s="267"/>
    </row>
    <row r="941" spans="13:42" x14ac:dyDescent="0.2">
      <c r="M941" s="301"/>
    </row>
    <row r="942" spans="13:42" x14ac:dyDescent="0.2">
      <c r="M942" s="301"/>
      <c r="O942" s="300"/>
      <c r="Q942" s="300"/>
      <c r="R942" s="300"/>
      <c r="S942" s="300"/>
      <c r="T942" s="300"/>
      <c r="U942" s="300"/>
      <c r="V942" s="300"/>
      <c r="W942" s="300"/>
      <c r="X942" s="300"/>
      <c r="Y942" s="300"/>
      <c r="Z942" s="300"/>
      <c r="AL942" s="267"/>
      <c r="AM942" s="267"/>
      <c r="AN942" s="267"/>
      <c r="AO942" s="267"/>
      <c r="AP942" s="267"/>
    </row>
    <row r="943" spans="13:42" x14ac:dyDescent="0.2">
      <c r="M943" s="301"/>
    </row>
    <row r="944" spans="13:42" x14ac:dyDescent="0.2">
      <c r="M944" s="301"/>
      <c r="O944" s="300"/>
      <c r="Q944" s="300"/>
      <c r="R944" s="300"/>
      <c r="S944" s="300"/>
      <c r="T944" s="300"/>
      <c r="U944" s="300"/>
      <c r="V944" s="300"/>
      <c r="W944" s="300"/>
      <c r="X944" s="300"/>
      <c r="Y944" s="300"/>
      <c r="Z944" s="300"/>
      <c r="AL944" s="267"/>
      <c r="AM944" s="267"/>
      <c r="AN944" s="267"/>
      <c r="AO944" s="267"/>
      <c r="AP944" s="267"/>
    </row>
    <row r="945" spans="13:42" x14ac:dyDescent="0.2">
      <c r="M945" s="301"/>
    </row>
    <row r="946" spans="13:42" x14ac:dyDescent="0.2">
      <c r="M946" s="301"/>
      <c r="O946" s="300"/>
      <c r="Q946" s="300"/>
      <c r="R946" s="300"/>
      <c r="S946" s="300"/>
      <c r="T946" s="300"/>
      <c r="U946" s="300"/>
      <c r="V946" s="300"/>
      <c r="W946" s="300"/>
      <c r="X946" s="300"/>
      <c r="Y946" s="300"/>
      <c r="Z946" s="300"/>
      <c r="AL946" s="267"/>
      <c r="AM946" s="267"/>
      <c r="AN946" s="267"/>
      <c r="AO946" s="267"/>
      <c r="AP946" s="267"/>
    </row>
    <row r="947" spans="13:42" x14ac:dyDescent="0.2">
      <c r="M947" s="301"/>
    </row>
    <row r="948" spans="13:42" x14ac:dyDescent="0.2">
      <c r="M948" s="301"/>
      <c r="O948" s="300"/>
      <c r="Q948" s="300"/>
      <c r="R948" s="300"/>
      <c r="S948" s="300"/>
      <c r="T948" s="300"/>
      <c r="U948" s="300"/>
      <c r="V948" s="300"/>
      <c r="W948" s="300"/>
      <c r="X948" s="300"/>
      <c r="Y948" s="300"/>
      <c r="Z948" s="300"/>
      <c r="AL948" s="267"/>
      <c r="AM948" s="267"/>
      <c r="AN948" s="267"/>
      <c r="AO948" s="267"/>
      <c r="AP948" s="267"/>
    </row>
    <row r="949" spans="13:42" x14ac:dyDescent="0.2">
      <c r="M949" s="301"/>
    </row>
    <row r="950" spans="13:42" x14ac:dyDescent="0.2">
      <c r="M950" s="301"/>
      <c r="O950" s="300"/>
      <c r="Q950" s="300"/>
      <c r="R950" s="300"/>
      <c r="S950" s="300"/>
      <c r="T950" s="300"/>
      <c r="U950" s="300"/>
      <c r="V950" s="300"/>
      <c r="W950" s="300"/>
      <c r="X950" s="300"/>
      <c r="Y950" s="300"/>
      <c r="Z950" s="300"/>
      <c r="AL950" s="267"/>
      <c r="AM950" s="267"/>
      <c r="AN950" s="267"/>
      <c r="AO950" s="267"/>
      <c r="AP950" s="267"/>
    </row>
    <row r="951" spans="13:42" x14ac:dyDescent="0.2">
      <c r="M951" s="301"/>
    </row>
    <row r="952" spans="13:42" x14ac:dyDescent="0.2">
      <c r="M952" s="301"/>
      <c r="O952" s="300"/>
      <c r="Q952" s="300"/>
      <c r="R952" s="300"/>
      <c r="S952" s="300"/>
      <c r="T952" s="300"/>
      <c r="U952" s="300"/>
      <c r="V952" s="300"/>
      <c r="W952" s="300"/>
      <c r="X952" s="300"/>
      <c r="Y952" s="300"/>
      <c r="Z952" s="300"/>
      <c r="AL952" s="267"/>
      <c r="AM952" s="267"/>
      <c r="AN952" s="267"/>
      <c r="AO952" s="267"/>
      <c r="AP952" s="267"/>
    </row>
    <row r="953" spans="13:42" x14ac:dyDescent="0.2">
      <c r="M953" s="301"/>
    </row>
    <row r="954" spans="13:42" x14ac:dyDescent="0.2">
      <c r="M954" s="301"/>
      <c r="O954" s="300"/>
      <c r="Q954" s="300"/>
      <c r="R954" s="300"/>
      <c r="S954" s="300"/>
      <c r="T954" s="300"/>
      <c r="U954" s="300"/>
      <c r="V954" s="300"/>
      <c r="W954" s="300"/>
      <c r="X954" s="300"/>
      <c r="Y954" s="300"/>
      <c r="Z954" s="300"/>
      <c r="AL954" s="267"/>
      <c r="AM954" s="267"/>
      <c r="AN954" s="267"/>
      <c r="AO954" s="267"/>
      <c r="AP954" s="267"/>
    </row>
    <row r="955" spans="13:42" x14ac:dyDescent="0.2">
      <c r="M955" s="301"/>
    </row>
    <row r="956" spans="13:42" x14ac:dyDescent="0.2">
      <c r="M956" s="301"/>
      <c r="O956" s="300"/>
      <c r="Q956" s="300"/>
      <c r="R956" s="300"/>
      <c r="S956" s="300"/>
      <c r="T956" s="300"/>
      <c r="U956" s="300"/>
      <c r="V956" s="300"/>
      <c r="W956" s="300"/>
      <c r="X956" s="300"/>
      <c r="Y956" s="300"/>
      <c r="Z956" s="300"/>
      <c r="AL956" s="267"/>
      <c r="AM956" s="267"/>
      <c r="AN956" s="267"/>
      <c r="AO956" s="267"/>
      <c r="AP956" s="267"/>
    </row>
    <row r="957" spans="13:42" x14ac:dyDescent="0.2">
      <c r="M957" s="301"/>
    </row>
    <row r="958" spans="13:42" x14ac:dyDescent="0.2">
      <c r="M958" s="301"/>
      <c r="O958" s="300"/>
      <c r="Q958" s="300"/>
      <c r="R958" s="300"/>
      <c r="S958" s="300"/>
      <c r="T958" s="300"/>
      <c r="U958" s="300"/>
      <c r="V958" s="300"/>
      <c r="W958" s="300"/>
      <c r="X958" s="300"/>
      <c r="Y958" s="300"/>
      <c r="Z958" s="300"/>
      <c r="AL958" s="267"/>
      <c r="AM958" s="267"/>
      <c r="AN958" s="267"/>
      <c r="AO958" s="267"/>
      <c r="AP958" s="267"/>
    </row>
    <row r="959" spans="13:42" x14ac:dyDescent="0.2">
      <c r="M959" s="301"/>
    </row>
    <row r="960" spans="13:42" x14ac:dyDescent="0.2">
      <c r="M960" s="301"/>
      <c r="O960" s="300"/>
      <c r="Q960" s="300"/>
      <c r="R960" s="300"/>
      <c r="S960" s="300"/>
      <c r="T960" s="300"/>
      <c r="U960" s="300"/>
      <c r="V960" s="300"/>
      <c r="W960" s="300"/>
      <c r="X960" s="300"/>
      <c r="Y960" s="300"/>
      <c r="Z960" s="300"/>
      <c r="AL960" s="267"/>
      <c r="AM960" s="267"/>
      <c r="AN960" s="267"/>
      <c r="AO960" s="267"/>
      <c r="AP960" s="267"/>
    </row>
    <row r="961" spans="13:42" x14ac:dyDescent="0.2">
      <c r="M961" s="301"/>
    </row>
    <row r="962" spans="13:42" x14ac:dyDescent="0.2">
      <c r="M962" s="301"/>
      <c r="O962" s="300"/>
      <c r="Q962" s="300"/>
      <c r="R962" s="300"/>
      <c r="S962" s="300"/>
      <c r="T962" s="300"/>
      <c r="U962" s="300"/>
      <c r="V962" s="300"/>
      <c r="W962" s="300"/>
      <c r="X962" s="300"/>
      <c r="Y962" s="300"/>
      <c r="Z962" s="300"/>
      <c r="AL962" s="267"/>
      <c r="AM962" s="267"/>
      <c r="AN962" s="267"/>
      <c r="AO962" s="267"/>
      <c r="AP962" s="267"/>
    </row>
    <row r="963" spans="13:42" x14ac:dyDescent="0.2">
      <c r="M963" s="301"/>
    </row>
    <row r="964" spans="13:42" x14ac:dyDescent="0.2">
      <c r="M964" s="301"/>
      <c r="O964" s="300"/>
      <c r="Q964" s="300"/>
      <c r="R964" s="300"/>
      <c r="S964" s="300"/>
      <c r="T964" s="300"/>
      <c r="U964" s="300"/>
      <c r="V964" s="300"/>
      <c r="W964" s="300"/>
      <c r="X964" s="300"/>
      <c r="Y964" s="300"/>
      <c r="Z964" s="300"/>
      <c r="AL964" s="267"/>
      <c r="AM964" s="267"/>
      <c r="AN964" s="267"/>
      <c r="AO964" s="267"/>
      <c r="AP964" s="267"/>
    </row>
    <row r="965" spans="13:42" x14ac:dyDescent="0.2">
      <c r="M965" s="301"/>
    </row>
    <row r="966" spans="13:42" x14ac:dyDescent="0.2">
      <c r="M966" s="301"/>
      <c r="O966" s="300"/>
      <c r="Q966" s="300"/>
      <c r="R966" s="300"/>
      <c r="S966" s="300"/>
      <c r="T966" s="300"/>
      <c r="U966" s="300"/>
      <c r="V966" s="300"/>
      <c r="W966" s="300"/>
      <c r="X966" s="300"/>
      <c r="Y966" s="300"/>
      <c r="Z966" s="300"/>
      <c r="AL966" s="267"/>
      <c r="AM966" s="267"/>
      <c r="AN966" s="267"/>
      <c r="AO966" s="267"/>
      <c r="AP966" s="267"/>
    </row>
    <row r="967" spans="13:42" x14ac:dyDescent="0.2">
      <c r="M967" s="301"/>
    </row>
    <row r="968" spans="13:42" x14ac:dyDescent="0.2">
      <c r="M968" s="301"/>
      <c r="O968" s="300"/>
      <c r="Q968" s="300"/>
      <c r="R968" s="300"/>
      <c r="S968" s="300"/>
      <c r="T968" s="300"/>
      <c r="U968" s="300"/>
      <c r="V968" s="300"/>
      <c r="W968" s="300"/>
      <c r="X968" s="300"/>
      <c r="Y968" s="300"/>
      <c r="Z968" s="300"/>
      <c r="AL968" s="267"/>
      <c r="AM968" s="267"/>
      <c r="AN968" s="267"/>
      <c r="AO968" s="267"/>
      <c r="AP968" s="267"/>
    </row>
    <row r="969" spans="13:42" x14ac:dyDescent="0.2">
      <c r="M969" s="301"/>
    </row>
    <row r="970" spans="13:42" x14ac:dyDescent="0.2">
      <c r="M970" s="301"/>
      <c r="O970" s="300"/>
      <c r="Q970" s="300"/>
      <c r="R970" s="300"/>
      <c r="S970" s="300"/>
      <c r="T970" s="300"/>
      <c r="U970" s="300"/>
      <c r="V970" s="300"/>
      <c r="W970" s="300"/>
      <c r="X970" s="300"/>
      <c r="Y970" s="300"/>
      <c r="Z970" s="300"/>
      <c r="AL970" s="267"/>
      <c r="AM970" s="267"/>
      <c r="AN970" s="267"/>
      <c r="AO970" s="267"/>
      <c r="AP970" s="267"/>
    </row>
    <row r="971" spans="13:42" x14ac:dyDescent="0.2">
      <c r="M971" s="301"/>
    </row>
    <row r="972" spans="13:42" x14ac:dyDescent="0.2">
      <c r="M972" s="301"/>
      <c r="O972" s="300"/>
      <c r="Q972" s="300"/>
      <c r="R972" s="300"/>
      <c r="S972" s="300"/>
      <c r="T972" s="300"/>
      <c r="U972" s="300"/>
      <c r="V972" s="300"/>
      <c r="W972" s="300"/>
      <c r="X972" s="300"/>
      <c r="Y972" s="300"/>
      <c r="Z972" s="300"/>
      <c r="AL972" s="267"/>
      <c r="AM972" s="267"/>
      <c r="AN972" s="267"/>
      <c r="AO972" s="267"/>
      <c r="AP972" s="267"/>
    </row>
    <row r="973" spans="13:42" x14ac:dyDescent="0.2">
      <c r="M973" s="301"/>
    </row>
    <row r="974" spans="13:42" x14ac:dyDescent="0.2">
      <c r="M974" s="301"/>
      <c r="O974" s="300"/>
      <c r="Q974" s="300"/>
      <c r="R974" s="300"/>
      <c r="S974" s="300"/>
      <c r="T974" s="300"/>
      <c r="U974" s="300"/>
      <c r="V974" s="300"/>
      <c r="W974" s="300"/>
      <c r="X974" s="300"/>
      <c r="Y974" s="300"/>
      <c r="Z974" s="300"/>
      <c r="AL974" s="267"/>
      <c r="AM974" s="267"/>
      <c r="AN974" s="267"/>
      <c r="AO974" s="267"/>
      <c r="AP974" s="267"/>
    </row>
    <row r="975" spans="13:42" x14ac:dyDescent="0.2">
      <c r="M975" s="301"/>
    </row>
    <row r="976" spans="13:42" x14ac:dyDescent="0.2">
      <c r="M976" s="301"/>
      <c r="O976" s="300"/>
      <c r="Q976" s="300"/>
      <c r="R976" s="300"/>
      <c r="S976" s="300"/>
      <c r="T976" s="300"/>
      <c r="U976" s="300"/>
      <c r="V976" s="300"/>
      <c r="W976" s="300"/>
      <c r="X976" s="300"/>
      <c r="Y976" s="300"/>
      <c r="Z976" s="300"/>
      <c r="AL976" s="267"/>
      <c r="AM976" s="267"/>
      <c r="AN976" s="267"/>
      <c r="AO976" s="267"/>
      <c r="AP976" s="267"/>
    </row>
    <row r="977" spans="13:42" x14ac:dyDescent="0.2">
      <c r="M977" s="301"/>
    </row>
    <row r="978" spans="13:42" x14ac:dyDescent="0.2">
      <c r="M978" s="301"/>
      <c r="O978" s="300"/>
      <c r="Q978" s="300"/>
      <c r="R978" s="300"/>
      <c r="S978" s="300"/>
      <c r="T978" s="300"/>
      <c r="U978" s="300"/>
      <c r="V978" s="300"/>
      <c r="W978" s="300"/>
      <c r="X978" s="300"/>
      <c r="Y978" s="300"/>
      <c r="Z978" s="300"/>
      <c r="AL978" s="267"/>
      <c r="AM978" s="267"/>
      <c r="AN978" s="267"/>
      <c r="AO978" s="267"/>
      <c r="AP978" s="267"/>
    </row>
    <row r="979" spans="13:42" x14ac:dyDescent="0.2">
      <c r="M979" s="301"/>
    </row>
    <row r="980" spans="13:42" x14ac:dyDescent="0.2">
      <c r="M980" s="301"/>
      <c r="O980" s="300"/>
      <c r="Q980" s="300"/>
      <c r="R980" s="300"/>
      <c r="S980" s="300"/>
      <c r="T980" s="300"/>
      <c r="U980" s="300"/>
      <c r="V980" s="300"/>
      <c r="W980" s="300"/>
      <c r="X980" s="300"/>
      <c r="Y980" s="300"/>
      <c r="Z980" s="300"/>
      <c r="AL980" s="267"/>
      <c r="AM980" s="267"/>
      <c r="AN980" s="267"/>
      <c r="AO980" s="267"/>
      <c r="AP980" s="267"/>
    </row>
    <row r="981" spans="13:42" x14ac:dyDescent="0.2">
      <c r="M981" s="301"/>
    </row>
    <row r="982" spans="13:42" x14ac:dyDescent="0.2">
      <c r="M982" s="301"/>
      <c r="O982" s="300"/>
      <c r="Q982" s="300"/>
      <c r="R982" s="300"/>
      <c r="S982" s="300"/>
      <c r="T982" s="300"/>
      <c r="U982" s="300"/>
      <c r="V982" s="300"/>
      <c r="W982" s="300"/>
      <c r="X982" s="300"/>
      <c r="Y982" s="300"/>
      <c r="Z982" s="300"/>
      <c r="AL982" s="267"/>
      <c r="AM982" s="267"/>
      <c r="AN982" s="267"/>
      <c r="AO982" s="267"/>
      <c r="AP982" s="267"/>
    </row>
    <row r="983" spans="13:42" x14ac:dyDescent="0.2">
      <c r="M983" s="301"/>
    </row>
    <row r="984" spans="13:42" x14ac:dyDescent="0.2">
      <c r="M984" s="301"/>
      <c r="O984" s="300"/>
      <c r="Q984" s="300"/>
      <c r="R984" s="300"/>
      <c r="S984" s="300"/>
      <c r="T984" s="300"/>
      <c r="U984" s="300"/>
      <c r="V984" s="300"/>
      <c r="W984" s="300"/>
      <c r="X984" s="300"/>
      <c r="Y984" s="300"/>
      <c r="Z984" s="300"/>
      <c r="AL984" s="267"/>
      <c r="AM984" s="267"/>
      <c r="AN984" s="267"/>
      <c r="AO984" s="267"/>
      <c r="AP984" s="267"/>
    </row>
    <row r="985" spans="13:42" x14ac:dyDescent="0.2">
      <c r="M985" s="301"/>
    </row>
    <row r="986" spans="13:42" x14ac:dyDescent="0.2">
      <c r="M986" s="301"/>
      <c r="O986" s="300"/>
      <c r="Q986" s="300"/>
      <c r="R986" s="300"/>
      <c r="S986" s="300"/>
      <c r="T986" s="300"/>
      <c r="U986" s="300"/>
      <c r="V986" s="300"/>
      <c r="W986" s="300"/>
      <c r="X986" s="300"/>
      <c r="Y986" s="300"/>
      <c r="Z986" s="300"/>
      <c r="AL986" s="267"/>
      <c r="AM986" s="267"/>
      <c r="AN986" s="267"/>
      <c r="AO986" s="267"/>
      <c r="AP986" s="267"/>
    </row>
    <row r="987" spans="13:42" x14ac:dyDescent="0.2">
      <c r="M987" s="301"/>
    </row>
    <row r="988" spans="13:42" x14ac:dyDescent="0.2">
      <c r="M988" s="301"/>
      <c r="O988" s="300"/>
      <c r="Q988" s="300"/>
      <c r="R988" s="300"/>
      <c r="S988" s="300"/>
      <c r="T988" s="300"/>
      <c r="U988" s="300"/>
      <c r="V988" s="300"/>
      <c r="W988" s="300"/>
      <c r="X988" s="300"/>
      <c r="Y988" s="300"/>
      <c r="Z988" s="300"/>
      <c r="AL988" s="267"/>
      <c r="AM988" s="267"/>
      <c r="AN988" s="267"/>
      <c r="AO988" s="267"/>
      <c r="AP988" s="267"/>
    </row>
    <row r="989" spans="13:42" x14ac:dyDescent="0.2">
      <c r="M989" s="301"/>
    </row>
    <row r="990" spans="13:42" x14ac:dyDescent="0.2">
      <c r="M990" s="301"/>
      <c r="O990" s="300"/>
      <c r="Q990" s="300"/>
      <c r="R990" s="300"/>
      <c r="S990" s="300"/>
      <c r="T990" s="300"/>
      <c r="U990" s="300"/>
      <c r="V990" s="300"/>
      <c r="W990" s="300"/>
      <c r="X990" s="300"/>
      <c r="Y990" s="300"/>
      <c r="Z990" s="300"/>
      <c r="AL990" s="267"/>
      <c r="AM990" s="267"/>
      <c r="AN990" s="267"/>
      <c r="AO990" s="267"/>
      <c r="AP990" s="267"/>
    </row>
    <row r="991" spans="13:42" x14ac:dyDescent="0.2">
      <c r="M991" s="301"/>
    </row>
    <row r="992" spans="13:42" x14ac:dyDescent="0.2">
      <c r="M992" s="301"/>
      <c r="O992" s="300"/>
      <c r="Q992" s="300"/>
      <c r="R992" s="300"/>
      <c r="S992" s="300"/>
      <c r="T992" s="300"/>
      <c r="U992" s="300"/>
      <c r="V992" s="300"/>
      <c r="W992" s="300"/>
      <c r="X992" s="300"/>
      <c r="Y992" s="300"/>
      <c r="Z992" s="300"/>
      <c r="AL992" s="267"/>
      <c r="AM992" s="267"/>
      <c r="AN992" s="267"/>
      <c r="AO992" s="267"/>
      <c r="AP992" s="267"/>
    </row>
    <row r="993" spans="13:42" x14ac:dyDescent="0.2">
      <c r="M993" s="301"/>
    </row>
    <row r="994" spans="13:42" x14ac:dyDescent="0.2">
      <c r="M994" s="301"/>
      <c r="O994" s="300"/>
      <c r="Q994" s="300"/>
      <c r="R994" s="300"/>
      <c r="S994" s="300"/>
      <c r="T994" s="300"/>
      <c r="U994" s="300"/>
      <c r="V994" s="300"/>
      <c r="W994" s="300"/>
      <c r="X994" s="300"/>
      <c r="Y994" s="300"/>
      <c r="Z994" s="300"/>
      <c r="AL994" s="267"/>
      <c r="AM994" s="267"/>
      <c r="AN994" s="267"/>
      <c r="AO994" s="267"/>
      <c r="AP994" s="267"/>
    </row>
    <row r="995" spans="13:42" x14ac:dyDescent="0.2">
      <c r="M995" s="301"/>
    </row>
    <row r="996" spans="13:42" x14ac:dyDescent="0.2">
      <c r="M996" s="301"/>
      <c r="O996" s="300"/>
      <c r="Q996" s="300"/>
      <c r="R996" s="300"/>
      <c r="S996" s="300"/>
      <c r="T996" s="300"/>
      <c r="U996" s="300"/>
      <c r="V996" s="300"/>
      <c r="W996" s="300"/>
      <c r="X996" s="300"/>
      <c r="Y996" s="300"/>
      <c r="Z996" s="300"/>
      <c r="AL996" s="267"/>
      <c r="AM996" s="267"/>
      <c r="AN996" s="267"/>
      <c r="AO996" s="267"/>
      <c r="AP996" s="267"/>
    </row>
    <row r="997" spans="13:42" x14ac:dyDescent="0.2">
      <c r="M997" s="301"/>
    </row>
    <row r="998" spans="13:42" x14ac:dyDescent="0.2">
      <c r="M998" s="301"/>
      <c r="O998" s="300"/>
      <c r="Q998" s="300"/>
      <c r="R998" s="300"/>
      <c r="S998" s="300"/>
      <c r="T998" s="300"/>
      <c r="U998" s="300"/>
      <c r="V998" s="300"/>
      <c r="W998" s="300"/>
      <c r="X998" s="300"/>
      <c r="Y998" s="300"/>
      <c r="Z998" s="300"/>
      <c r="AL998" s="267"/>
      <c r="AM998" s="267"/>
      <c r="AN998" s="267"/>
      <c r="AO998" s="267"/>
      <c r="AP998" s="267"/>
    </row>
    <row r="999" spans="13:42" x14ac:dyDescent="0.2">
      <c r="M999" s="301"/>
    </row>
    <row r="1000" spans="13:42" x14ac:dyDescent="0.2">
      <c r="M1000" s="301"/>
      <c r="O1000" s="300"/>
      <c r="Q1000" s="300"/>
      <c r="R1000" s="300"/>
      <c r="S1000" s="300"/>
      <c r="T1000" s="300"/>
      <c r="U1000" s="300"/>
      <c r="V1000" s="300"/>
      <c r="W1000" s="300"/>
      <c r="X1000" s="300"/>
      <c r="Y1000" s="300"/>
      <c r="Z1000" s="300"/>
      <c r="AL1000" s="267"/>
      <c r="AM1000" s="267"/>
      <c r="AN1000" s="267"/>
      <c r="AO1000" s="267"/>
      <c r="AP1000" s="267"/>
    </row>
    <row r="1001" spans="13:42" x14ac:dyDescent="0.2">
      <c r="M1001" s="301"/>
    </row>
    <row r="1002" spans="13:42" x14ac:dyDescent="0.2">
      <c r="M1002" s="301"/>
      <c r="O1002" s="300"/>
      <c r="Q1002" s="300"/>
      <c r="R1002" s="300"/>
      <c r="S1002" s="300"/>
      <c r="T1002" s="300"/>
      <c r="U1002" s="300"/>
      <c r="V1002" s="300"/>
      <c r="W1002" s="300"/>
      <c r="X1002" s="300"/>
      <c r="Y1002" s="300"/>
      <c r="Z1002" s="300"/>
      <c r="AL1002" s="267"/>
      <c r="AM1002" s="267"/>
      <c r="AN1002" s="267"/>
      <c r="AO1002" s="267"/>
      <c r="AP1002" s="267"/>
    </row>
    <row r="1003" spans="13:42" x14ac:dyDescent="0.2">
      <c r="M1003" s="301"/>
    </row>
    <row r="1004" spans="13:42" x14ac:dyDescent="0.2">
      <c r="M1004" s="301"/>
      <c r="O1004" s="300"/>
      <c r="Q1004" s="300"/>
      <c r="R1004" s="300"/>
      <c r="S1004" s="300"/>
      <c r="T1004" s="300"/>
      <c r="U1004" s="300"/>
      <c r="V1004" s="300"/>
      <c r="W1004" s="300"/>
      <c r="X1004" s="300"/>
      <c r="Y1004" s="300"/>
      <c r="Z1004" s="300"/>
      <c r="AL1004" s="267"/>
      <c r="AM1004" s="267"/>
      <c r="AN1004" s="267"/>
      <c r="AO1004" s="267"/>
      <c r="AP1004" s="267"/>
    </row>
    <row r="1005" spans="13:42" x14ac:dyDescent="0.2">
      <c r="M1005" s="301"/>
    </row>
    <row r="1006" spans="13:42" x14ac:dyDescent="0.2">
      <c r="M1006" s="301"/>
      <c r="O1006" s="300"/>
      <c r="Q1006" s="300"/>
      <c r="R1006" s="300"/>
      <c r="S1006" s="300"/>
      <c r="T1006" s="300"/>
      <c r="U1006" s="300"/>
      <c r="V1006" s="300"/>
      <c r="W1006" s="300"/>
      <c r="X1006" s="300"/>
      <c r="Y1006" s="300"/>
      <c r="Z1006" s="300"/>
      <c r="AL1006" s="267"/>
      <c r="AM1006" s="267"/>
      <c r="AN1006" s="267"/>
      <c r="AO1006" s="267"/>
      <c r="AP1006" s="267"/>
    </row>
    <row r="1007" spans="13:42" x14ac:dyDescent="0.2">
      <c r="M1007" s="301"/>
    </row>
    <row r="1008" spans="13:42" x14ac:dyDescent="0.2">
      <c r="M1008" s="301"/>
      <c r="O1008" s="300"/>
      <c r="Q1008" s="300"/>
      <c r="R1008" s="300"/>
      <c r="S1008" s="300"/>
      <c r="T1008" s="300"/>
      <c r="U1008" s="300"/>
      <c r="V1008" s="300"/>
      <c r="W1008" s="300"/>
      <c r="X1008" s="300"/>
      <c r="Y1008" s="300"/>
      <c r="Z1008" s="300"/>
      <c r="AL1008" s="267"/>
      <c r="AM1008" s="267"/>
      <c r="AN1008" s="267"/>
      <c r="AO1008" s="267"/>
      <c r="AP1008" s="267"/>
    </row>
    <row r="1009" spans="13:42" x14ac:dyDescent="0.2">
      <c r="M1009" s="301"/>
    </row>
    <row r="1010" spans="13:42" x14ac:dyDescent="0.2">
      <c r="M1010" s="301"/>
      <c r="O1010" s="300"/>
      <c r="Q1010" s="300"/>
      <c r="R1010" s="300"/>
      <c r="S1010" s="300"/>
      <c r="T1010" s="300"/>
      <c r="U1010" s="300"/>
      <c r="V1010" s="300"/>
      <c r="W1010" s="300"/>
      <c r="X1010" s="300"/>
      <c r="Y1010" s="300"/>
      <c r="Z1010" s="300"/>
      <c r="AL1010" s="267"/>
      <c r="AM1010" s="267"/>
      <c r="AN1010" s="267"/>
      <c r="AO1010" s="267"/>
      <c r="AP1010" s="267"/>
    </row>
    <row r="1011" spans="13:42" x14ac:dyDescent="0.2">
      <c r="M1011" s="301"/>
    </row>
    <row r="1012" spans="13:42" x14ac:dyDescent="0.2">
      <c r="M1012" s="301"/>
      <c r="O1012" s="300"/>
      <c r="Q1012" s="300"/>
      <c r="R1012" s="300"/>
      <c r="S1012" s="300"/>
      <c r="T1012" s="300"/>
      <c r="U1012" s="300"/>
      <c r="V1012" s="300"/>
      <c r="W1012" s="300"/>
      <c r="X1012" s="300"/>
      <c r="Y1012" s="300"/>
      <c r="Z1012" s="300"/>
      <c r="AL1012" s="267"/>
      <c r="AM1012" s="267"/>
      <c r="AN1012" s="267"/>
      <c r="AO1012" s="267"/>
      <c r="AP1012" s="267"/>
    </row>
    <row r="1013" spans="13:42" x14ac:dyDescent="0.2">
      <c r="M1013" s="301"/>
    </row>
    <row r="1014" spans="13:42" x14ac:dyDescent="0.2">
      <c r="M1014" s="301"/>
      <c r="O1014" s="300"/>
      <c r="Q1014" s="300"/>
      <c r="R1014" s="300"/>
      <c r="S1014" s="300"/>
      <c r="T1014" s="300"/>
      <c r="U1014" s="300"/>
      <c r="V1014" s="300"/>
      <c r="W1014" s="300"/>
      <c r="X1014" s="300"/>
      <c r="Y1014" s="300"/>
      <c r="Z1014" s="300"/>
      <c r="AL1014" s="267"/>
      <c r="AM1014" s="267"/>
      <c r="AN1014" s="267"/>
      <c r="AO1014" s="267"/>
      <c r="AP1014" s="267"/>
    </row>
    <row r="1015" spans="13:42" x14ac:dyDescent="0.2">
      <c r="M1015" s="301"/>
    </row>
    <row r="1016" spans="13:42" x14ac:dyDescent="0.2">
      <c r="M1016" s="301"/>
      <c r="O1016" s="300"/>
      <c r="Q1016" s="300"/>
      <c r="R1016" s="300"/>
      <c r="S1016" s="300"/>
      <c r="T1016" s="300"/>
      <c r="U1016" s="300"/>
      <c r="V1016" s="300"/>
      <c r="W1016" s="300"/>
      <c r="X1016" s="300"/>
      <c r="Y1016" s="300"/>
      <c r="Z1016" s="300"/>
      <c r="AL1016" s="267"/>
      <c r="AM1016" s="267"/>
      <c r="AN1016" s="267"/>
      <c r="AO1016" s="267"/>
      <c r="AP1016" s="267"/>
    </row>
    <row r="1017" spans="13:42" x14ac:dyDescent="0.2">
      <c r="M1017" s="301"/>
    </row>
    <row r="1018" spans="13:42" x14ac:dyDescent="0.2">
      <c r="M1018" s="301"/>
      <c r="O1018" s="300"/>
      <c r="Q1018" s="300"/>
      <c r="R1018" s="300"/>
      <c r="S1018" s="300"/>
      <c r="T1018" s="300"/>
      <c r="U1018" s="300"/>
      <c r="V1018" s="300"/>
      <c r="W1018" s="300"/>
      <c r="X1018" s="300"/>
      <c r="Y1018" s="300"/>
      <c r="Z1018" s="300"/>
      <c r="AL1018" s="267"/>
      <c r="AM1018" s="267"/>
      <c r="AN1018" s="267"/>
      <c r="AO1018" s="267"/>
      <c r="AP1018" s="267"/>
    </row>
    <row r="1019" spans="13:42" x14ac:dyDescent="0.2">
      <c r="M1019" s="301"/>
    </row>
    <row r="1020" spans="13:42" x14ac:dyDescent="0.2">
      <c r="M1020" s="301"/>
      <c r="O1020" s="300"/>
      <c r="Q1020" s="300"/>
      <c r="R1020" s="300"/>
      <c r="S1020" s="300"/>
      <c r="T1020" s="300"/>
      <c r="U1020" s="300"/>
      <c r="V1020" s="300"/>
      <c r="W1020" s="300"/>
      <c r="X1020" s="300"/>
      <c r="Y1020" s="300"/>
      <c r="Z1020" s="300"/>
      <c r="AL1020" s="267"/>
      <c r="AM1020" s="267"/>
      <c r="AN1020" s="267"/>
      <c r="AO1020" s="267"/>
      <c r="AP1020" s="267"/>
    </row>
    <row r="1021" spans="13:42" x14ac:dyDescent="0.2">
      <c r="M1021" s="301"/>
    </row>
    <row r="1022" spans="13:42" x14ac:dyDescent="0.2">
      <c r="M1022" s="301"/>
      <c r="O1022" s="300"/>
      <c r="Q1022" s="300"/>
      <c r="R1022" s="300"/>
      <c r="S1022" s="300"/>
      <c r="T1022" s="300"/>
      <c r="U1022" s="300"/>
      <c r="V1022" s="300"/>
      <c r="W1022" s="300"/>
      <c r="X1022" s="300"/>
      <c r="Y1022" s="300"/>
      <c r="Z1022" s="300"/>
      <c r="AL1022" s="267"/>
      <c r="AM1022" s="267"/>
      <c r="AN1022" s="267"/>
      <c r="AO1022" s="267"/>
      <c r="AP1022" s="267"/>
    </row>
    <row r="1023" spans="13:42" x14ac:dyDescent="0.2">
      <c r="M1023" s="301"/>
    </row>
    <row r="1024" spans="13:42" x14ac:dyDescent="0.2">
      <c r="M1024" s="301"/>
      <c r="O1024" s="300"/>
      <c r="Q1024" s="300"/>
      <c r="R1024" s="300"/>
      <c r="S1024" s="300"/>
      <c r="T1024" s="300"/>
      <c r="U1024" s="300"/>
      <c r="V1024" s="300"/>
      <c r="W1024" s="300"/>
      <c r="X1024" s="300"/>
      <c r="Y1024" s="300"/>
      <c r="Z1024" s="300"/>
      <c r="AL1024" s="267"/>
      <c r="AM1024" s="267"/>
      <c r="AN1024" s="267"/>
      <c r="AO1024" s="267"/>
      <c r="AP1024" s="267"/>
    </row>
    <row r="1025" spans="13:42" x14ac:dyDescent="0.2">
      <c r="M1025" s="301"/>
    </row>
    <row r="1026" spans="13:42" x14ac:dyDescent="0.2">
      <c r="M1026" s="301"/>
      <c r="O1026" s="300"/>
      <c r="Q1026" s="300"/>
      <c r="R1026" s="300"/>
      <c r="S1026" s="300"/>
      <c r="T1026" s="300"/>
      <c r="U1026" s="300"/>
      <c r="V1026" s="300"/>
      <c r="W1026" s="300"/>
      <c r="X1026" s="300"/>
      <c r="Y1026" s="300"/>
      <c r="Z1026" s="300"/>
      <c r="AL1026" s="267"/>
      <c r="AM1026" s="267"/>
      <c r="AN1026" s="267"/>
      <c r="AO1026" s="267"/>
      <c r="AP1026" s="267"/>
    </row>
    <row r="1027" spans="13:42" x14ac:dyDescent="0.2">
      <c r="M1027" s="301"/>
    </row>
    <row r="1028" spans="13:42" x14ac:dyDescent="0.2">
      <c r="M1028" s="301"/>
      <c r="O1028" s="300"/>
      <c r="Q1028" s="300"/>
      <c r="R1028" s="300"/>
      <c r="S1028" s="300"/>
      <c r="T1028" s="300"/>
      <c r="U1028" s="300"/>
      <c r="V1028" s="300"/>
      <c r="W1028" s="300"/>
      <c r="X1028" s="300"/>
      <c r="Y1028" s="300"/>
      <c r="Z1028" s="300"/>
      <c r="AL1028" s="267"/>
      <c r="AM1028" s="267"/>
      <c r="AN1028" s="267"/>
      <c r="AO1028" s="267"/>
      <c r="AP1028" s="267"/>
    </row>
    <row r="1029" spans="13:42" x14ac:dyDescent="0.2">
      <c r="M1029" s="301"/>
    </row>
    <row r="1030" spans="13:42" x14ac:dyDescent="0.2">
      <c r="M1030" s="301"/>
      <c r="O1030" s="300"/>
      <c r="Q1030" s="300"/>
      <c r="R1030" s="300"/>
      <c r="S1030" s="300"/>
      <c r="T1030" s="300"/>
      <c r="U1030" s="300"/>
      <c r="V1030" s="300"/>
      <c r="W1030" s="300"/>
      <c r="X1030" s="300"/>
      <c r="Y1030" s="300"/>
      <c r="Z1030" s="300"/>
      <c r="AL1030" s="267"/>
      <c r="AM1030" s="267"/>
      <c r="AN1030" s="267"/>
      <c r="AO1030" s="267"/>
      <c r="AP1030" s="267"/>
    </row>
    <row r="1031" spans="13:42" x14ac:dyDescent="0.2">
      <c r="M1031" s="301"/>
    </row>
    <row r="1032" spans="13:42" x14ac:dyDescent="0.2">
      <c r="M1032" s="301"/>
      <c r="O1032" s="300"/>
      <c r="Q1032" s="300"/>
      <c r="R1032" s="300"/>
      <c r="S1032" s="300"/>
      <c r="T1032" s="300"/>
      <c r="U1032" s="300"/>
      <c r="V1032" s="300"/>
      <c r="W1032" s="300"/>
      <c r="X1032" s="300"/>
      <c r="Y1032" s="300"/>
      <c r="Z1032" s="300"/>
      <c r="AL1032" s="267"/>
      <c r="AM1032" s="267"/>
      <c r="AN1032" s="267"/>
      <c r="AO1032" s="267"/>
      <c r="AP1032" s="267"/>
    </row>
    <row r="1033" spans="13:42" x14ac:dyDescent="0.2">
      <c r="M1033" s="301"/>
    </row>
    <row r="1034" spans="13:42" x14ac:dyDescent="0.2">
      <c r="M1034" s="301"/>
      <c r="O1034" s="300"/>
      <c r="Q1034" s="300"/>
      <c r="R1034" s="300"/>
      <c r="S1034" s="300"/>
      <c r="T1034" s="300"/>
      <c r="U1034" s="300"/>
      <c r="V1034" s="300"/>
      <c r="W1034" s="300"/>
      <c r="X1034" s="300"/>
      <c r="Y1034" s="300"/>
      <c r="Z1034" s="300"/>
      <c r="AL1034" s="267"/>
      <c r="AM1034" s="267"/>
      <c r="AN1034" s="267"/>
      <c r="AO1034" s="267"/>
      <c r="AP1034" s="267"/>
    </row>
    <row r="1035" spans="13:42" x14ac:dyDescent="0.2">
      <c r="M1035" s="301"/>
    </row>
    <row r="1036" spans="13:42" x14ac:dyDescent="0.2">
      <c r="M1036" s="301"/>
      <c r="O1036" s="300"/>
      <c r="Q1036" s="300"/>
      <c r="R1036" s="300"/>
      <c r="S1036" s="300"/>
      <c r="T1036" s="300"/>
      <c r="U1036" s="300"/>
      <c r="V1036" s="300"/>
      <c r="W1036" s="300"/>
      <c r="X1036" s="300"/>
      <c r="Y1036" s="300"/>
      <c r="Z1036" s="300"/>
      <c r="AL1036" s="267"/>
      <c r="AM1036" s="267"/>
      <c r="AN1036" s="267"/>
      <c r="AO1036" s="267"/>
      <c r="AP1036" s="267"/>
    </row>
    <row r="1037" spans="13:42" x14ac:dyDescent="0.2">
      <c r="M1037" s="301"/>
    </row>
    <row r="1038" spans="13:42" x14ac:dyDescent="0.2">
      <c r="M1038" s="301"/>
      <c r="O1038" s="300"/>
      <c r="Q1038" s="300"/>
      <c r="R1038" s="300"/>
      <c r="S1038" s="300"/>
      <c r="T1038" s="300"/>
      <c r="U1038" s="300"/>
      <c r="V1038" s="300"/>
      <c r="W1038" s="300"/>
      <c r="X1038" s="300"/>
      <c r="Y1038" s="300"/>
      <c r="Z1038" s="300"/>
      <c r="AL1038" s="267"/>
      <c r="AM1038" s="267"/>
      <c r="AN1038" s="267"/>
      <c r="AO1038" s="267"/>
      <c r="AP1038" s="267"/>
    </row>
    <row r="1039" spans="13:42" x14ac:dyDescent="0.2">
      <c r="M1039" s="301"/>
    </row>
    <row r="1040" spans="13:42" x14ac:dyDescent="0.2">
      <c r="M1040" s="301"/>
      <c r="O1040" s="300"/>
      <c r="Q1040" s="300"/>
      <c r="R1040" s="300"/>
      <c r="S1040" s="300"/>
      <c r="T1040" s="300"/>
      <c r="U1040" s="300"/>
      <c r="V1040" s="300"/>
      <c r="W1040" s="300"/>
      <c r="X1040" s="300"/>
      <c r="Y1040" s="300"/>
      <c r="Z1040" s="300"/>
      <c r="AL1040" s="267"/>
      <c r="AM1040" s="267"/>
      <c r="AN1040" s="267"/>
      <c r="AO1040" s="267"/>
      <c r="AP1040" s="267"/>
    </row>
    <row r="1041" spans="13:42" x14ac:dyDescent="0.2">
      <c r="M1041" s="301"/>
    </row>
    <row r="1042" spans="13:42" x14ac:dyDescent="0.2">
      <c r="M1042" s="301"/>
      <c r="O1042" s="300"/>
      <c r="Q1042" s="300"/>
      <c r="R1042" s="300"/>
      <c r="S1042" s="300"/>
      <c r="T1042" s="300"/>
      <c r="U1042" s="300"/>
      <c r="V1042" s="300"/>
      <c r="W1042" s="300"/>
      <c r="X1042" s="300"/>
      <c r="Y1042" s="300"/>
      <c r="Z1042" s="300"/>
      <c r="AL1042" s="267"/>
      <c r="AM1042" s="267"/>
      <c r="AN1042" s="267"/>
      <c r="AO1042" s="267"/>
      <c r="AP1042" s="267"/>
    </row>
    <row r="1043" spans="13:42" x14ac:dyDescent="0.2">
      <c r="M1043" s="301"/>
    </row>
    <row r="1044" spans="13:42" x14ac:dyDescent="0.2">
      <c r="M1044" s="301"/>
      <c r="O1044" s="300"/>
      <c r="Q1044" s="300"/>
      <c r="R1044" s="300"/>
      <c r="S1044" s="300"/>
      <c r="T1044" s="300"/>
      <c r="U1044" s="300"/>
      <c r="V1044" s="300"/>
      <c r="W1044" s="300"/>
      <c r="X1044" s="300"/>
      <c r="Y1044" s="300"/>
      <c r="Z1044" s="300"/>
      <c r="AL1044" s="267"/>
      <c r="AM1044" s="267"/>
      <c r="AN1044" s="267"/>
      <c r="AO1044" s="267"/>
      <c r="AP1044" s="267"/>
    </row>
    <row r="1045" spans="13:42" x14ac:dyDescent="0.2">
      <c r="M1045" s="301"/>
    </row>
    <row r="1046" spans="13:42" x14ac:dyDescent="0.2">
      <c r="M1046" s="301"/>
      <c r="O1046" s="300"/>
      <c r="Q1046" s="300"/>
      <c r="R1046" s="300"/>
      <c r="S1046" s="300"/>
      <c r="T1046" s="300"/>
      <c r="U1046" s="300"/>
      <c r="V1046" s="300"/>
      <c r="W1046" s="300"/>
      <c r="X1046" s="300"/>
      <c r="Y1046" s="300"/>
      <c r="Z1046" s="300"/>
      <c r="AL1046" s="267"/>
      <c r="AM1046" s="267"/>
      <c r="AN1046" s="267"/>
      <c r="AO1046" s="267"/>
      <c r="AP1046" s="267"/>
    </row>
    <row r="1047" spans="13:42" x14ac:dyDescent="0.2">
      <c r="M1047" s="301"/>
    </row>
    <row r="1048" spans="13:42" x14ac:dyDescent="0.2">
      <c r="M1048" s="301"/>
      <c r="O1048" s="300"/>
      <c r="Q1048" s="300"/>
      <c r="R1048" s="300"/>
      <c r="S1048" s="300"/>
      <c r="T1048" s="300"/>
      <c r="U1048" s="300"/>
      <c r="V1048" s="300"/>
      <c r="W1048" s="300"/>
      <c r="X1048" s="300"/>
      <c r="Y1048" s="300"/>
      <c r="Z1048" s="300"/>
      <c r="AL1048" s="267"/>
      <c r="AM1048" s="267"/>
      <c r="AN1048" s="267"/>
      <c r="AO1048" s="267"/>
      <c r="AP1048" s="267"/>
    </row>
    <row r="1049" spans="13:42" x14ac:dyDescent="0.2">
      <c r="M1049" s="301"/>
    </row>
    <row r="1050" spans="13:42" x14ac:dyDescent="0.2">
      <c r="M1050" s="301"/>
      <c r="O1050" s="300"/>
      <c r="Q1050" s="300"/>
      <c r="R1050" s="300"/>
      <c r="S1050" s="300"/>
      <c r="T1050" s="300"/>
      <c r="U1050" s="300"/>
      <c r="V1050" s="300"/>
      <c r="W1050" s="300"/>
      <c r="X1050" s="300"/>
      <c r="Y1050" s="300"/>
      <c r="Z1050" s="300"/>
      <c r="AL1050" s="267"/>
      <c r="AM1050" s="267"/>
      <c r="AN1050" s="267"/>
      <c r="AO1050" s="267"/>
      <c r="AP1050" s="267"/>
    </row>
    <row r="1051" spans="13:42" x14ac:dyDescent="0.2">
      <c r="M1051" s="301"/>
    </row>
    <row r="1052" spans="13:42" x14ac:dyDescent="0.2">
      <c r="M1052" s="301"/>
      <c r="O1052" s="300"/>
      <c r="Q1052" s="300"/>
      <c r="R1052" s="300"/>
      <c r="S1052" s="300"/>
      <c r="T1052" s="300"/>
      <c r="U1052" s="300"/>
      <c r="V1052" s="300"/>
      <c r="W1052" s="300"/>
      <c r="X1052" s="300"/>
      <c r="Y1052" s="300"/>
      <c r="Z1052" s="300"/>
      <c r="AL1052" s="267"/>
      <c r="AM1052" s="267"/>
      <c r="AN1052" s="267"/>
      <c r="AO1052" s="267"/>
      <c r="AP1052" s="267"/>
    </row>
    <row r="1053" spans="13:42" x14ac:dyDescent="0.2">
      <c r="M1053" s="301"/>
    </row>
    <row r="1054" spans="13:42" x14ac:dyDescent="0.2">
      <c r="M1054" s="301"/>
      <c r="O1054" s="300"/>
      <c r="Q1054" s="300"/>
      <c r="R1054" s="300"/>
      <c r="S1054" s="300"/>
      <c r="T1054" s="300"/>
      <c r="U1054" s="300"/>
      <c r="V1054" s="300"/>
      <c r="W1054" s="300"/>
      <c r="X1054" s="300"/>
      <c r="Y1054" s="300"/>
      <c r="Z1054" s="300"/>
      <c r="AL1054" s="267"/>
      <c r="AM1054" s="267"/>
      <c r="AN1054" s="267"/>
      <c r="AO1054" s="267"/>
      <c r="AP1054" s="267"/>
    </row>
    <row r="1055" spans="13:42" x14ac:dyDescent="0.2">
      <c r="M1055" s="301"/>
    </row>
    <row r="1056" spans="13:42" x14ac:dyDescent="0.2">
      <c r="M1056" s="301"/>
      <c r="O1056" s="300"/>
      <c r="Q1056" s="300"/>
      <c r="R1056" s="300"/>
      <c r="S1056" s="300"/>
      <c r="T1056" s="300"/>
      <c r="U1056" s="300"/>
      <c r="V1056" s="300"/>
      <c r="W1056" s="300"/>
      <c r="X1056" s="300"/>
      <c r="Y1056" s="300"/>
      <c r="Z1056" s="300"/>
      <c r="AL1056" s="267"/>
      <c r="AM1056" s="267"/>
      <c r="AN1056" s="267"/>
      <c r="AO1056" s="267"/>
      <c r="AP1056" s="267"/>
    </row>
    <row r="1057" spans="13:42" x14ac:dyDescent="0.2">
      <c r="M1057" s="301"/>
    </row>
    <row r="1058" spans="13:42" x14ac:dyDescent="0.2">
      <c r="M1058" s="301"/>
      <c r="O1058" s="300"/>
      <c r="Q1058" s="300"/>
      <c r="R1058" s="300"/>
      <c r="S1058" s="300"/>
      <c r="T1058" s="300"/>
      <c r="U1058" s="300"/>
      <c r="V1058" s="300"/>
      <c r="W1058" s="300"/>
      <c r="X1058" s="300"/>
      <c r="Y1058" s="300"/>
      <c r="Z1058" s="300"/>
      <c r="AL1058" s="267"/>
      <c r="AM1058" s="267"/>
      <c r="AN1058" s="267"/>
      <c r="AO1058" s="267"/>
      <c r="AP1058" s="267"/>
    </row>
    <row r="1059" spans="13:42" x14ac:dyDescent="0.2">
      <c r="M1059" s="301"/>
    </row>
    <row r="1060" spans="13:42" x14ac:dyDescent="0.2">
      <c r="M1060" s="301"/>
      <c r="O1060" s="300"/>
      <c r="Q1060" s="300"/>
      <c r="R1060" s="300"/>
      <c r="S1060" s="300"/>
      <c r="T1060" s="300"/>
      <c r="U1060" s="300"/>
      <c r="V1060" s="300"/>
      <c r="W1060" s="300"/>
      <c r="X1060" s="300"/>
      <c r="Y1060" s="300"/>
      <c r="Z1060" s="300"/>
      <c r="AL1060" s="267"/>
      <c r="AM1060" s="267"/>
      <c r="AN1060" s="267"/>
      <c r="AO1060" s="267"/>
      <c r="AP1060" s="267"/>
    </row>
    <row r="1061" spans="13:42" x14ac:dyDescent="0.2">
      <c r="M1061" s="301"/>
    </row>
    <row r="1062" spans="13:42" x14ac:dyDescent="0.2">
      <c r="M1062" s="301"/>
      <c r="O1062" s="300"/>
      <c r="Q1062" s="300"/>
      <c r="R1062" s="300"/>
      <c r="S1062" s="300"/>
      <c r="T1062" s="300"/>
      <c r="U1062" s="300"/>
      <c r="V1062" s="300"/>
      <c r="W1062" s="300"/>
      <c r="X1062" s="300"/>
      <c r="Y1062" s="300"/>
      <c r="Z1062" s="300"/>
      <c r="AL1062" s="267"/>
      <c r="AM1062" s="267"/>
      <c r="AN1062" s="267"/>
      <c r="AO1062" s="267"/>
      <c r="AP1062" s="267"/>
    </row>
    <row r="1063" spans="13:42" x14ac:dyDescent="0.2">
      <c r="M1063" s="301"/>
    </row>
    <row r="1064" spans="13:42" x14ac:dyDescent="0.2">
      <c r="M1064" s="301"/>
      <c r="O1064" s="300"/>
      <c r="Q1064" s="300"/>
      <c r="R1064" s="300"/>
      <c r="S1064" s="300"/>
      <c r="T1064" s="300"/>
      <c r="U1064" s="300"/>
      <c r="V1064" s="300"/>
      <c r="W1064" s="300"/>
      <c r="X1064" s="300"/>
      <c r="Y1064" s="300"/>
      <c r="Z1064" s="300"/>
      <c r="AL1064" s="267"/>
      <c r="AM1064" s="267"/>
      <c r="AN1064" s="267"/>
      <c r="AO1064" s="267"/>
      <c r="AP1064" s="267"/>
    </row>
    <row r="1065" spans="13:42" x14ac:dyDescent="0.2">
      <c r="M1065" s="301"/>
    </row>
    <row r="1066" spans="13:42" x14ac:dyDescent="0.2">
      <c r="M1066" s="301"/>
      <c r="O1066" s="300"/>
      <c r="Q1066" s="300"/>
      <c r="R1066" s="300"/>
      <c r="S1066" s="300"/>
      <c r="T1066" s="300"/>
      <c r="U1066" s="300"/>
      <c r="V1066" s="300"/>
      <c r="W1066" s="300"/>
      <c r="X1066" s="300"/>
      <c r="Y1066" s="300"/>
      <c r="Z1066" s="300"/>
      <c r="AL1066" s="267"/>
      <c r="AM1066" s="267"/>
      <c r="AN1066" s="267"/>
      <c r="AO1066" s="267"/>
      <c r="AP1066" s="267"/>
    </row>
    <row r="1067" spans="13:42" x14ac:dyDescent="0.2">
      <c r="M1067" s="301"/>
    </row>
    <row r="1068" spans="13:42" x14ac:dyDescent="0.2">
      <c r="M1068" s="301"/>
      <c r="O1068" s="300"/>
      <c r="Q1068" s="300"/>
      <c r="R1068" s="300"/>
      <c r="S1068" s="300"/>
      <c r="T1068" s="300"/>
      <c r="U1068" s="300"/>
      <c r="V1068" s="300"/>
      <c r="W1068" s="300"/>
      <c r="X1068" s="300"/>
      <c r="Y1068" s="300"/>
      <c r="Z1068" s="300"/>
      <c r="AL1068" s="267"/>
      <c r="AM1068" s="267"/>
      <c r="AN1068" s="267"/>
      <c r="AO1068" s="267"/>
      <c r="AP1068" s="267"/>
    </row>
    <row r="1069" spans="13:42" x14ac:dyDescent="0.2">
      <c r="M1069" s="301"/>
    </row>
    <row r="1070" spans="13:42" x14ac:dyDescent="0.2">
      <c r="M1070" s="301"/>
      <c r="O1070" s="300"/>
      <c r="Q1070" s="300"/>
      <c r="R1070" s="300"/>
      <c r="S1070" s="300"/>
      <c r="T1070" s="300"/>
      <c r="U1070" s="300"/>
      <c r="V1070" s="300"/>
      <c r="W1070" s="300"/>
      <c r="X1070" s="300"/>
      <c r="Y1070" s="300"/>
      <c r="Z1070" s="300"/>
      <c r="AL1070" s="267"/>
      <c r="AM1070" s="267"/>
      <c r="AN1070" s="267"/>
      <c r="AO1070" s="267"/>
      <c r="AP1070" s="267"/>
    </row>
    <row r="1071" spans="13:42" x14ac:dyDescent="0.2">
      <c r="M1071" s="301"/>
    </row>
    <row r="1072" spans="13:42" x14ac:dyDescent="0.2">
      <c r="M1072" s="301"/>
      <c r="O1072" s="300"/>
      <c r="Q1072" s="300"/>
      <c r="R1072" s="300"/>
      <c r="S1072" s="300"/>
      <c r="T1072" s="300"/>
      <c r="U1072" s="300"/>
      <c r="V1072" s="300"/>
      <c r="W1072" s="300"/>
      <c r="X1072" s="300"/>
      <c r="Y1072" s="300"/>
      <c r="Z1072" s="300"/>
      <c r="AL1072" s="267"/>
      <c r="AM1072" s="267"/>
      <c r="AN1072" s="267"/>
      <c r="AO1072" s="267"/>
      <c r="AP1072" s="267"/>
    </row>
    <row r="1073" spans="13:42" x14ac:dyDescent="0.2">
      <c r="M1073" s="301"/>
    </row>
    <row r="1074" spans="13:42" x14ac:dyDescent="0.2">
      <c r="M1074" s="301"/>
      <c r="O1074" s="300"/>
      <c r="Q1074" s="300"/>
      <c r="R1074" s="300"/>
      <c r="S1074" s="300"/>
      <c r="T1074" s="300"/>
      <c r="U1074" s="300"/>
      <c r="V1074" s="300"/>
      <c r="W1074" s="300"/>
      <c r="X1074" s="300"/>
      <c r="Y1074" s="300"/>
      <c r="Z1074" s="300"/>
      <c r="AL1074" s="267"/>
      <c r="AM1074" s="267"/>
      <c r="AN1074" s="267"/>
      <c r="AO1074" s="267"/>
      <c r="AP1074" s="267"/>
    </row>
    <row r="1075" spans="13:42" x14ac:dyDescent="0.2">
      <c r="M1075" s="301"/>
    </row>
    <row r="1076" spans="13:42" x14ac:dyDescent="0.2">
      <c r="M1076" s="301"/>
      <c r="O1076" s="300"/>
      <c r="Q1076" s="300"/>
      <c r="R1076" s="300"/>
      <c r="S1076" s="300"/>
      <c r="T1076" s="300"/>
      <c r="U1076" s="300"/>
      <c r="V1076" s="300"/>
      <c r="W1076" s="300"/>
      <c r="X1076" s="300"/>
      <c r="Y1076" s="300"/>
      <c r="Z1076" s="300"/>
      <c r="AL1076" s="267"/>
      <c r="AM1076" s="267"/>
      <c r="AN1076" s="267"/>
      <c r="AO1076" s="267"/>
      <c r="AP1076" s="267"/>
    </row>
    <row r="1077" spans="13:42" x14ac:dyDescent="0.2">
      <c r="M1077" s="301"/>
    </row>
    <row r="1078" spans="13:42" x14ac:dyDescent="0.2">
      <c r="M1078" s="301"/>
      <c r="O1078" s="300"/>
      <c r="Q1078" s="300"/>
      <c r="R1078" s="300"/>
      <c r="S1078" s="300"/>
      <c r="T1078" s="300"/>
      <c r="U1078" s="300"/>
      <c r="V1078" s="300"/>
      <c r="W1078" s="300"/>
      <c r="X1078" s="300"/>
      <c r="Y1078" s="300"/>
      <c r="Z1078" s="300"/>
      <c r="AL1078" s="267"/>
      <c r="AM1078" s="267"/>
      <c r="AN1078" s="267"/>
      <c r="AO1078" s="267"/>
      <c r="AP1078" s="267"/>
    </row>
    <row r="1079" spans="13:42" x14ac:dyDescent="0.2">
      <c r="M1079" s="301"/>
    </row>
    <row r="1080" spans="13:42" x14ac:dyDescent="0.2">
      <c r="M1080" s="301"/>
      <c r="O1080" s="300"/>
      <c r="Q1080" s="300"/>
      <c r="R1080" s="300"/>
      <c r="S1080" s="300"/>
      <c r="T1080" s="300"/>
      <c r="U1080" s="300"/>
      <c r="V1080" s="300"/>
      <c r="W1080" s="300"/>
      <c r="X1080" s="300"/>
      <c r="Y1080" s="300"/>
      <c r="Z1080" s="300"/>
      <c r="AL1080" s="267"/>
      <c r="AM1080" s="267"/>
      <c r="AN1080" s="267"/>
      <c r="AO1080" s="267"/>
      <c r="AP1080" s="267"/>
    </row>
    <row r="1081" spans="13:42" x14ac:dyDescent="0.2">
      <c r="M1081" s="301"/>
    </row>
    <row r="1082" spans="13:42" x14ac:dyDescent="0.2">
      <c r="M1082" s="301"/>
      <c r="O1082" s="300"/>
      <c r="Q1082" s="300"/>
      <c r="R1082" s="300"/>
      <c r="S1082" s="300"/>
      <c r="T1082" s="300"/>
      <c r="U1082" s="300"/>
      <c r="V1082" s="300"/>
      <c r="W1082" s="300"/>
      <c r="X1082" s="300"/>
      <c r="Y1082" s="300"/>
      <c r="Z1082" s="300"/>
      <c r="AL1082" s="267"/>
      <c r="AM1082" s="267"/>
      <c r="AN1082" s="267"/>
      <c r="AO1082" s="267"/>
      <c r="AP1082" s="267"/>
    </row>
    <row r="1083" spans="13:42" x14ac:dyDescent="0.2">
      <c r="M1083" s="301"/>
    </row>
    <row r="1084" spans="13:42" x14ac:dyDescent="0.2">
      <c r="M1084" s="301"/>
      <c r="O1084" s="300"/>
      <c r="Q1084" s="300"/>
      <c r="R1084" s="300"/>
      <c r="S1084" s="300"/>
      <c r="T1084" s="300"/>
      <c r="U1084" s="300"/>
      <c r="V1084" s="300"/>
      <c r="W1084" s="300"/>
      <c r="X1084" s="300"/>
      <c r="Y1084" s="300"/>
      <c r="Z1084" s="300"/>
      <c r="AL1084" s="267"/>
      <c r="AM1084" s="267"/>
      <c r="AN1084" s="267"/>
      <c r="AO1084" s="267"/>
      <c r="AP1084" s="267"/>
    </row>
    <row r="1085" spans="13:42" x14ac:dyDescent="0.2">
      <c r="M1085" s="301"/>
    </row>
    <row r="1086" spans="13:42" x14ac:dyDescent="0.2">
      <c r="M1086" s="301"/>
      <c r="O1086" s="300"/>
      <c r="Q1086" s="300"/>
      <c r="R1086" s="300"/>
      <c r="S1086" s="300"/>
      <c r="T1086" s="300"/>
      <c r="U1086" s="300"/>
      <c r="V1086" s="300"/>
      <c r="W1086" s="300"/>
      <c r="X1086" s="300"/>
      <c r="Y1086" s="300"/>
      <c r="Z1086" s="300"/>
      <c r="AL1086" s="267"/>
      <c r="AM1086" s="267"/>
      <c r="AN1086" s="267"/>
      <c r="AO1086" s="267"/>
      <c r="AP1086" s="267"/>
    </row>
    <row r="1087" spans="13:42" x14ac:dyDescent="0.2">
      <c r="M1087" s="301"/>
    </row>
    <row r="1088" spans="13:42" x14ac:dyDescent="0.2">
      <c r="M1088" s="301"/>
      <c r="O1088" s="300"/>
      <c r="Q1088" s="300"/>
      <c r="R1088" s="300"/>
      <c r="S1088" s="300"/>
      <c r="T1088" s="300"/>
      <c r="U1088" s="300"/>
      <c r="V1088" s="300"/>
      <c r="W1088" s="300"/>
      <c r="X1088" s="300"/>
      <c r="Y1088" s="300"/>
      <c r="Z1088" s="300"/>
      <c r="AL1088" s="267"/>
      <c r="AM1088" s="267"/>
      <c r="AN1088" s="267"/>
      <c r="AO1088" s="267"/>
      <c r="AP1088" s="267"/>
    </row>
    <row r="1089" spans="13:42" x14ac:dyDescent="0.2">
      <c r="M1089" s="301"/>
    </row>
    <row r="1090" spans="13:42" x14ac:dyDescent="0.2">
      <c r="M1090" s="301"/>
      <c r="O1090" s="300"/>
      <c r="Q1090" s="300"/>
      <c r="R1090" s="300"/>
      <c r="S1090" s="300"/>
      <c r="T1090" s="300"/>
      <c r="U1090" s="300"/>
      <c r="V1090" s="300"/>
      <c r="W1090" s="300"/>
      <c r="X1090" s="300"/>
      <c r="Y1090" s="300"/>
      <c r="Z1090" s="300"/>
      <c r="AL1090" s="267"/>
      <c r="AM1090" s="267"/>
      <c r="AN1090" s="267"/>
      <c r="AO1090" s="267"/>
      <c r="AP1090" s="267"/>
    </row>
    <row r="1091" spans="13:42" x14ac:dyDescent="0.2">
      <c r="M1091" s="301"/>
    </row>
    <row r="1092" spans="13:42" x14ac:dyDescent="0.2">
      <c r="M1092" s="301"/>
      <c r="O1092" s="300"/>
      <c r="Q1092" s="300"/>
      <c r="R1092" s="300"/>
      <c r="S1092" s="300"/>
      <c r="T1092" s="300"/>
      <c r="U1092" s="300"/>
      <c r="V1092" s="300"/>
      <c r="W1092" s="300"/>
      <c r="X1092" s="300"/>
      <c r="Y1092" s="300"/>
      <c r="Z1092" s="300"/>
      <c r="AL1092" s="267"/>
      <c r="AM1092" s="267"/>
      <c r="AN1092" s="267"/>
      <c r="AO1092" s="267"/>
      <c r="AP1092" s="267"/>
    </row>
    <row r="1093" spans="13:42" x14ac:dyDescent="0.2">
      <c r="M1093" s="301"/>
    </row>
    <row r="1094" spans="13:42" x14ac:dyDescent="0.2">
      <c r="M1094" s="301"/>
      <c r="O1094" s="300"/>
      <c r="Q1094" s="300"/>
      <c r="R1094" s="300"/>
      <c r="S1094" s="300"/>
      <c r="T1094" s="300"/>
      <c r="U1094" s="300"/>
      <c r="V1094" s="300"/>
      <c r="W1094" s="300"/>
      <c r="X1094" s="300"/>
      <c r="Y1094" s="300"/>
      <c r="Z1094" s="300"/>
      <c r="AL1094" s="267"/>
      <c r="AM1094" s="267"/>
      <c r="AN1094" s="267"/>
      <c r="AO1094" s="267"/>
      <c r="AP1094" s="267"/>
    </row>
    <row r="1095" spans="13:42" x14ac:dyDescent="0.2">
      <c r="M1095" s="301"/>
    </row>
    <row r="1096" spans="13:42" x14ac:dyDescent="0.2">
      <c r="M1096" s="301"/>
      <c r="O1096" s="300"/>
      <c r="Q1096" s="300"/>
      <c r="R1096" s="300"/>
      <c r="S1096" s="300"/>
      <c r="T1096" s="300"/>
      <c r="U1096" s="300"/>
      <c r="V1096" s="300"/>
      <c r="W1096" s="300"/>
      <c r="X1096" s="300"/>
      <c r="Y1096" s="300"/>
      <c r="Z1096" s="300"/>
      <c r="AL1096" s="267"/>
      <c r="AM1096" s="267"/>
      <c r="AN1096" s="267"/>
      <c r="AO1096" s="267"/>
      <c r="AP1096" s="267"/>
    </row>
    <row r="1097" spans="13:42" x14ac:dyDescent="0.2">
      <c r="M1097" s="301"/>
    </row>
    <row r="1098" spans="13:42" x14ac:dyDescent="0.2">
      <c r="M1098" s="301"/>
      <c r="O1098" s="300"/>
      <c r="Q1098" s="300"/>
      <c r="R1098" s="300"/>
      <c r="S1098" s="300"/>
      <c r="T1098" s="300"/>
      <c r="U1098" s="300"/>
      <c r="V1098" s="300"/>
      <c r="W1098" s="300"/>
      <c r="X1098" s="300"/>
      <c r="Y1098" s="300"/>
      <c r="Z1098" s="300"/>
      <c r="AL1098" s="267"/>
      <c r="AM1098" s="267"/>
      <c r="AN1098" s="267"/>
      <c r="AO1098" s="267"/>
      <c r="AP1098" s="267"/>
    </row>
    <row r="1099" spans="13:42" x14ac:dyDescent="0.2">
      <c r="M1099" s="301"/>
    </row>
    <row r="1100" spans="13:42" x14ac:dyDescent="0.2">
      <c r="M1100" s="301"/>
      <c r="O1100" s="300"/>
      <c r="Q1100" s="300"/>
      <c r="R1100" s="300"/>
      <c r="S1100" s="300"/>
      <c r="T1100" s="300"/>
      <c r="U1100" s="300"/>
      <c r="V1100" s="300"/>
      <c r="W1100" s="300"/>
      <c r="X1100" s="300"/>
      <c r="Y1100" s="300"/>
      <c r="Z1100" s="300"/>
      <c r="AL1100" s="267"/>
      <c r="AM1100" s="267"/>
      <c r="AN1100" s="267"/>
      <c r="AO1100" s="267"/>
      <c r="AP1100" s="267"/>
    </row>
    <row r="1101" spans="13:42" x14ac:dyDescent="0.2">
      <c r="M1101" s="301"/>
    </row>
    <row r="1102" spans="13:42" x14ac:dyDescent="0.2">
      <c r="M1102" s="301"/>
      <c r="O1102" s="300"/>
      <c r="Q1102" s="300"/>
      <c r="R1102" s="300"/>
      <c r="S1102" s="300"/>
      <c r="T1102" s="300"/>
      <c r="U1102" s="300"/>
      <c r="V1102" s="300"/>
      <c r="W1102" s="300"/>
      <c r="X1102" s="300"/>
      <c r="Y1102" s="300"/>
      <c r="Z1102" s="300"/>
      <c r="AL1102" s="267"/>
      <c r="AM1102" s="267"/>
      <c r="AN1102" s="267"/>
      <c r="AO1102" s="267"/>
      <c r="AP1102" s="267"/>
    </row>
    <row r="1103" spans="13:42" x14ac:dyDescent="0.2">
      <c r="M1103" s="301"/>
    </row>
    <row r="1104" spans="13:42" x14ac:dyDescent="0.2">
      <c r="M1104" s="301"/>
      <c r="O1104" s="300"/>
      <c r="Q1104" s="300"/>
      <c r="R1104" s="300"/>
      <c r="S1104" s="300"/>
      <c r="T1104" s="300"/>
      <c r="U1104" s="300"/>
      <c r="V1104" s="300"/>
      <c r="W1104" s="300"/>
      <c r="X1104" s="300"/>
      <c r="Y1104" s="300"/>
      <c r="Z1104" s="300"/>
      <c r="AL1104" s="267"/>
      <c r="AM1104" s="267"/>
      <c r="AN1104" s="267"/>
      <c r="AO1104" s="267"/>
      <c r="AP1104" s="267"/>
    </row>
    <row r="1105" spans="13:42" x14ac:dyDescent="0.2">
      <c r="M1105" s="301"/>
    </row>
    <row r="1106" spans="13:42" x14ac:dyDescent="0.2">
      <c r="M1106" s="301"/>
      <c r="O1106" s="300"/>
      <c r="Q1106" s="300"/>
      <c r="R1106" s="300"/>
      <c r="S1106" s="300"/>
      <c r="T1106" s="300"/>
      <c r="U1106" s="300"/>
      <c r="V1106" s="300"/>
      <c r="W1106" s="300"/>
      <c r="X1106" s="300"/>
      <c r="Y1106" s="300"/>
      <c r="Z1106" s="300"/>
      <c r="AL1106" s="267"/>
      <c r="AM1106" s="267"/>
      <c r="AN1106" s="267"/>
      <c r="AO1106" s="267"/>
      <c r="AP1106" s="267"/>
    </row>
    <row r="1107" spans="13:42" x14ac:dyDescent="0.2">
      <c r="M1107" s="301"/>
    </row>
    <row r="1108" spans="13:42" x14ac:dyDescent="0.2">
      <c r="M1108" s="301"/>
      <c r="O1108" s="300"/>
      <c r="Q1108" s="300"/>
      <c r="R1108" s="300"/>
      <c r="S1108" s="300"/>
      <c r="T1108" s="300"/>
      <c r="U1108" s="300"/>
      <c r="V1108" s="300"/>
      <c r="W1108" s="300"/>
      <c r="X1108" s="300"/>
      <c r="Y1108" s="300"/>
      <c r="Z1108" s="300"/>
      <c r="AL1108" s="267"/>
      <c r="AM1108" s="267"/>
      <c r="AN1108" s="267"/>
      <c r="AO1108" s="267"/>
      <c r="AP1108" s="267"/>
    </row>
    <row r="1109" spans="13:42" x14ac:dyDescent="0.2">
      <c r="M1109" s="301"/>
    </row>
    <row r="1110" spans="13:42" x14ac:dyDescent="0.2">
      <c r="M1110" s="301"/>
      <c r="O1110" s="300"/>
      <c r="Q1110" s="300"/>
      <c r="R1110" s="300"/>
      <c r="S1110" s="300"/>
      <c r="T1110" s="300"/>
      <c r="U1110" s="300"/>
      <c r="V1110" s="300"/>
      <c r="W1110" s="300"/>
      <c r="X1110" s="300"/>
      <c r="Y1110" s="300"/>
      <c r="Z1110" s="300"/>
      <c r="AL1110" s="267"/>
      <c r="AM1110" s="267"/>
      <c r="AN1110" s="267"/>
      <c r="AO1110" s="267"/>
      <c r="AP1110" s="267"/>
    </row>
    <row r="1111" spans="13:42" x14ac:dyDescent="0.2">
      <c r="M1111" s="301"/>
    </row>
    <row r="1112" spans="13:42" x14ac:dyDescent="0.2">
      <c r="M1112" s="301"/>
      <c r="O1112" s="300"/>
      <c r="Q1112" s="300"/>
      <c r="R1112" s="300"/>
      <c r="S1112" s="300"/>
      <c r="T1112" s="300"/>
      <c r="U1112" s="300"/>
      <c r="V1112" s="300"/>
      <c r="W1112" s="300"/>
      <c r="X1112" s="300"/>
      <c r="Y1112" s="300"/>
      <c r="Z1112" s="300"/>
      <c r="AL1112" s="267"/>
      <c r="AM1112" s="267"/>
      <c r="AN1112" s="267"/>
      <c r="AO1112" s="267"/>
      <c r="AP1112" s="267"/>
    </row>
    <row r="1113" spans="13:42" x14ac:dyDescent="0.2">
      <c r="M1113" s="301"/>
    </row>
    <row r="1114" spans="13:42" x14ac:dyDescent="0.2">
      <c r="M1114" s="301"/>
      <c r="O1114" s="300"/>
      <c r="Q1114" s="300"/>
      <c r="R1114" s="300"/>
      <c r="S1114" s="300"/>
      <c r="T1114" s="300"/>
      <c r="U1114" s="300"/>
      <c r="V1114" s="300"/>
      <c r="W1114" s="300"/>
      <c r="X1114" s="300"/>
      <c r="Y1114" s="300"/>
      <c r="Z1114" s="300"/>
      <c r="AL1114" s="267"/>
      <c r="AM1114" s="267"/>
      <c r="AN1114" s="267"/>
      <c r="AO1114" s="267"/>
      <c r="AP1114" s="267"/>
    </row>
    <row r="1115" spans="13:42" x14ac:dyDescent="0.2">
      <c r="M1115" s="301"/>
    </row>
    <row r="1116" spans="13:42" x14ac:dyDescent="0.2">
      <c r="M1116" s="301"/>
      <c r="O1116" s="300"/>
      <c r="Q1116" s="300"/>
      <c r="R1116" s="300"/>
      <c r="S1116" s="300"/>
      <c r="T1116" s="300"/>
      <c r="U1116" s="300"/>
      <c r="V1116" s="300"/>
      <c r="W1116" s="300"/>
      <c r="X1116" s="300"/>
      <c r="Y1116" s="300"/>
      <c r="Z1116" s="300"/>
      <c r="AL1116" s="267"/>
      <c r="AM1116" s="267"/>
      <c r="AN1116" s="267"/>
      <c r="AO1116" s="267"/>
      <c r="AP1116" s="267"/>
    </row>
    <row r="1117" spans="13:42" x14ac:dyDescent="0.2">
      <c r="M1117" s="301"/>
    </row>
    <row r="1118" spans="13:42" x14ac:dyDescent="0.2">
      <c r="M1118" s="301"/>
      <c r="O1118" s="300"/>
      <c r="Q1118" s="300"/>
      <c r="R1118" s="300"/>
      <c r="S1118" s="300"/>
      <c r="T1118" s="300"/>
      <c r="U1118" s="300"/>
      <c r="V1118" s="300"/>
      <c r="W1118" s="300"/>
      <c r="X1118" s="300"/>
      <c r="Y1118" s="300"/>
      <c r="Z1118" s="300"/>
      <c r="AL1118" s="267"/>
      <c r="AM1118" s="267"/>
      <c r="AN1118" s="267"/>
      <c r="AO1118" s="267"/>
      <c r="AP1118" s="267"/>
    </row>
    <row r="1119" spans="13:42" x14ac:dyDescent="0.2">
      <c r="M1119" s="301"/>
    </row>
    <row r="1120" spans="13:42" x14ac:dyDescent="0.2">
      <c r="M1120" s="301"/>
      <c r="O1120" s="300"/>
      <c r="Q1120" s="300"/>
      <c r="R1120" s="300"/>
      <c r="S1120" s="300"/>
      <c r="T1120" s="300"/>
      <c r="U1120" s="300"/>
      <c r="V1120" s="300"/>
      <c r="W1120" s="300"/>
      <c r="X1120" s="300"/>
      <c r="Y1120" s="300"/>
      <c r="Z1120" s="300"/>
      <c r="AL1120" s="267"/>
      <c r="AM1120" s="267"/>
      <c r="AN1120" s="267"/>
      <c r="AO1120" s="267"/>
      <c r="AP1120" s="267"/>
    </row>
    <row r="1121" spans="13:42" x14ac:dyDescent="0.2">
      <c r="M1121" s="301"/>
    </row>
    <row r="1122" spans="13:42" x14ac:dyDescent="0.2">
      <c r="M1122" s="301"/>
      <c r="O1122" s="300"/>
      <c r="Q1122" s="300"/>
      <c r="R1122" s="300"/>
      <c r="S1122" s="300"/>
      <c r="T1122" s="300"/>
      <c r="U1122" s="300"/>
      <c r="V1122" s="300"/>
      <c r="W1122" s="300"/>
      <c r="X1122" s="300"/>
      <c r="Y1122" s="300"/>
      <c r="Z1122" s="300"/>
      <c r="AL1122" s="267"/>
      <c r="AM1122" s="267"/>
      <c r="AN1122" s="267"/>
      <c r="AO1122" s="267"/>
      <c r="AP1122" s="267"/>
    </row>
    <row r="1123" spans="13:42" x14ac:dyDescent="0.2">
      <c r="M1123" s="301"/>
    </row>
    <row r="1124" spans="13:42" x14ac:dyDescent="0.2">
      <c r="M1124" s="301"/>
    </row>
    <row r="1125" spans="13:42" x14ac:dyDescent="0.2">
      <c r="O1125" s="300"/>
      <c r="Q1125" s="300"/>
      <c r="R1125" s="300"/>
      <c r="S1125" s="300"/>
      <c r="T1125" s="300"/>
      <c r="U1125" s="300"/>
      <c r="V1125" s="300"/>
      <c r="W1125" s="300"/>
      <c r="X1125" s="300"/>
      <c r="Y1125" s="300"/>
      <c r="Z1125" s="300"/>
      <c r="AL1125" s="267"/>
      <c r="AM1125" s="267"/>
      <c r="AN1125" s="267"/>
      <c r="AO1125" s="267"/>
      <c r="AP1125" s="267"/>
    </row>
    <row r="1126" spans="13:42" x14ac:dyDescent="0.2">
      <c r="O1126" s="300"/>
      <c r="Q1126" s="300"/>
      <c r="R1126" s="300"/>
      <c r="S1126" s="300"/>
      <c r="T1126" s="300"/>
      <c r="U1126" s="300"/>
      <c r="V1126" s="300"/>
      <c r="W1126" s="300"/>
      <c r="X1126" s="300"/>
      <c r="Y1126" s="300"/>
      <c r="Z1126" s="300"/>
      <c r="AL1126" s="267"/>
      <c r="AM1126" s="267"/>
      <c r="AN1126" s="267"/>
      <c r="AO1126" s="267"/>
      <c r="AP1126" s="267"/>
    </row>
    <row r="1127" spans="13:42" x14ac:dyDescent="0.2">
      <c r="O1127" s="300"/>
      <c r="Q1127" s="300"/>
      <c r="R1127" s="300"/>
      <c r="S1127" s="300"/>
      <c r="T1127" s="300"/>
      <c r="U1127" s="300"/>
      <c r="V1127" s="300"/>
      <c r="W1127" s="300"/>
      <c r="X1127" s="300"/>
      <c r="Y1127" s="300"/>
      <c r="Z1127" s="300"/>
      <c r="AL1127" s="267"/>
      <c r="AM1127" s="267"/>
      <c r="AN1127" s="267"/>
      <c r="AO1127" s="267"/>
      <c r="AP1127" s="267"/>
    </row>
    <row r="1128" spans="13:42" x14ac:dyDescent="0.2">
      <c r="O1128" s="300"/>
      <c r="Q1128" s="300"/>
      <c r="R1128" s="300"/>
      <c r="S1128" s="300"/>
      <c r="T1128" s="300"/>
      <c r="U1128" s="300"/>
      <c r="V1128" s="300"/>
      <c r="W1128" s="300"/>
      <c r="X1128" s="300"/>
      <c r="Y1128" s="300"/>
      <c r="Z1128" s="300"/>
      <c r="AL1128" s="267"/>
      <c r="AM1128" s="267"/>
      <c r="AN1128" s="267"/>
      <c r="AO1128" s="267"/>
      <c r="AP1128" s="267"/>
    </row>
    <row r="1129" spans="13:42" x14ac:dyDescent="0.2">
      <c r="O1129" s="300"/>
      <c r="Q1129" s="300"/>
      <c r="R1129" s="300"/>
      <c r="S1129" s="300"/>
      <c r="T1129" s="300"/>
      <c r="U1129" s="300"/>
      <c r="V1129" s="300"/>
      <c r="W1129" s="300"/>
      <c r="X1129" s="300"/>
      <c r="Y1129" s="300"/>
      <c r="Z1129" s="300"/>
      <c r="AL1129" s="267"/>
      <c r="AM1129" s="267"/>
      <c r="AN1129" s="267"/>
      <c r="AO1129" s="267"/>
      <c r="AP1129" s="267"/>
    </row>
    <row r="1130" spans="13:42" x14ac:dyDescent="0.2">
      <c r="O1130" s="300"/>
      <c r="Q1130" s="300"/>
      <c r="R1130" s="300"/>
      <c r="S1130" s="300"/>
      <c r="T1130" s="300"/>
      <c r="U1130" s="300"/>
      <c r="V1130" s="300"/>
      <c r="W1130" s="300"/>
      <c r="X1130" s="300"/>
      <c r="Y1130" s="300"/>
      <c r="Z1130" s="300"/>
      <c r="AL1130" s="267"/>
      <c r="AM1130" s="267"/>
      <c r="AN1130" s="267"/>
      <c r="AO1130" s="267"/>
      <c r="AP1130" s="267"/>
    </row>
    <row r="1131" spans="13:42" x14ac:dyDescent="0.2">
      <c r="O1131" s="300"/>
      <c r="Q1131" s="300"/>
      <c r="R1131" s="300"/>
      <c r="S1131" s="300"/>
      <c r="T1131" s="300"/>
      <c r="U1131" s="300"/>
      <c r="V1131" s="300"/>
      <c r="W1131" s="300"/>
      <c r="X1131" s="300"/>
      <c r="Y1131" s="300"/>
      <c r="Z1131" s="300"/>
      <c r="AL1131" s="267"/>
      <c r="AM1131" s="267"/>
      <c r="AN1131" s="267"/>
      <c r="AO1131" s="267"/>
      <c r="AP1131" s="267"/>
    </row>
    <row r="1132" spans="13:42" x14ac:dyDescent="0.2">
      <c r="O1132" s="300"/>
      <c r="Q1132" s="300"/>
      <c r="R1132" s="300"/>
      <c r="S1132" s="300"/>
      <c r="T1132" s="300"/>
      <c r="U1132" s="300"/>
      <c r="V1132" s="300"/>
      <c r="W1132" s="300"/>
      <c r="X1132" s="300"/>
      <c r="Y1132" s="300"/>
      <c r="Z1132" s="300"/>
      <c r="AL1132" s="267"/>
      <c r="AM1132" s="267"/>
      <c r="AN1132" s="267"/>
      <c r="AO1132" s="267"/>
      <c r="AP1132" s="267"/>
    </row>
    <row r="1133" spans="13:42" x14ac:dyDescent="0.2">
      <c r="O1133" s="300"/>
      <c r="Q1133" s="300"/>
      <c r="R1133" s="300"/>
      <c r="S1133" s="300"/>
      <c r="T1133" s="300"/>
      <c r="U1133" s="300"/>
      <c r="V1133" s="300"/>
      <c r="W1133" s="300"/>
      <c r="X1133" s="300"/>
      <c r="Y1133" s="300"/>
      <c r="Z1133" s="300"/>
      <c r="AL1133" s="267"/>
      <c r="AM1133" s="267"/>
      <c r="AN1133" s="267"/>
      <c r="AO1133" s="267"/>
      <c r="AP1133" s="267"/>
    </row>
    <row r="1134" spans="13:42" x14ac:dyDescent="0.2">
      <c r="O1134" s="300"/>
      <c r="Q1134" s="300"/>
      <c r="R1134" s="300"/>
      <c r="S1134" s="300"/>
      <c r="T1134" s="300"/>
      <c r="U1134" s="300"/>
      <c r="V1134" s="300"/>
      <c r="W1134" s="300"/>
      <c r="X1134" s="300"/>
      <c r="Y1134" s="300"/>
      <c r="Z1134" s="300"/>
      <c r="AL1134" s="267"/>
      <c r="AM1134" s="267"/>
      <c r="AN1134" s="267"/>
      <c r="AO1134" s="267"/>
      <c r="AP1134" s="267"/>
    </row>
    <row r="1135" spans="13:42" x14ac:dyDescent="0.2">
      <c r="O1135" s="300"/>
      <c r="Q1135" s="300"/>
      <c r="R1135" s="300"/>
      <c r="S1135" s="300"/>
      <c r="T1135" s="300"/>
      <c r="U1135" s="300"/>
      <c r="V1135" s="300"/>
      <c r="W1135" s="300"/>
      <c r="X1135" s="300"/>
      <c r="Y1135" s="300"/>
      <c r="Z1135" s="300"/>
      <c r="AL1135" s="267"/>
      <c r="AM1135" s="267"/>
      <c r="AN1135" s="267"/>
      <c r="AO1135" s="267"/>
      <c r="AP1135" s="267"/>
    </row>
    <row r="1136" spans="13:42" x14ac:dyDescent="0.2">
      <c r="O1136" s="300"/>
      <c r="Q1136" s="300"/>
      <c r="R1136" s="300"/>
      <c r="S1136" s="300"/>
      <c r="T1136" s="300"/>
      <c r="U1136" s="300"/>
      <c r="V1136" s="300"/>
      <c r="W1136" s="300"/>
      <c r="X1136" s="300"/>
      <c r="Y1136" s="300"/>
      <c r="Z1136" s="300"/>
      <c r="AL1136" s="267"/>
      <c r="AM1136" s="267"/>
      <c r="AN1136" s="267"/>
      <c r="AO1136" s="267"/>
      <c r="AP1136" s="267"/>
    </row>
    <row r="1137" spans="15:42" x14ac:dyDescent="0.2">
      <c r="O1137" s="300"/>
      <c r="Q1137" s="300"/>
      <c r="R1137" s="300"/>
      <c r="S1137" s="300"/>
      <c r="T1137" s="300"/>
      <c r="U1137" s="300"/>
      <c r="V1137" s="300"/>
      <c r="W1137" s="300"/>
      <c r="X1137" s="300"/>
      <c r="Y1137" s="300"/>
      <c r="Z1137" s="300"/>
      <c r="AL1137" s="267"/>
      <c r="AM1137" s="267"/>
      <c r="AN1137" s="267"/>
      <c r="AO1137" s="267"/>
      <c r="AP1137" s="267"/>
    </row>
    <row r="1138" spans="15:42" x14ac:dyDescent="0.2">
      <c r="O1138" s="300"/>
      <c r="Q1138" s="300"/>
      <c r="R1138" s="300"/>
      <c r="S1138" s="300"/>
      <c r="T1138" s="300"/>
      <c r="U1138" s="300"/>
      <c r="V1138" s="300"/>
      <c r="W1138" s="300"/>
      <c r="X1138" s="300"/>
      <c r="Y1138" s="300"/>
      <c r="Z1138" s="300"/>
      <c r="AL1138" s="267"/>
      <c r="AM1138" s="267"/>
      <c r="AN1138" s="267"/>
      <c r="AO1138" s="267"/>
      <c r="AP1138" s="267"/>
    </row>
    <row r="1139" spans="15:42" x14ac:dyDescent="0.2">
      <c r="O1139" s="300"/>
      <c r="Q1139" s="300"/>
      <c r="R1139" s="300"/>
      <c r="S1139" s="300"/>
      <c r="T1139" s="300"/>
      <c r="U1139" s="300"/>
      <c r="V1139" s="300"/>
      <c r="W1139" s="300"/>
      <c r="X1139" s="300"/>
      <c r="Y1139" s="300"/>
      <c r="Z1139" s="300"/>
      <c r="AL1139" s="267"/>
      <c r="AM1139" s="267"/>
      <c r="AN1139" s="267"/>
      <c r="AO1139" s="267"/>
      <c r="AP1139" s="267"/>
    </row>
    <row r="1140" spans="15:42" x14ac:dyDescent="0.2">
      <c r="O1140" s="300"/>
      <c r="Q1140" s="300"/>
      <c r="R1140" s="300"/>
      <c r="S1140" s="300"/>
      <c r="T1140" s="300"/>
      <c r="U1140" s="300"/>
      <c r="V1140" s="300"/>
      <c r="W1140" s="300"/>
      <c r="X1140" s="300"/>
      <c r="Y1140" s="300"/>
      <c r="Z1140" s="300"/>
      <c r="AL1140" s="267"/>
      <c r="AM1140" s="267"/>
      <c r="AN1140" s="267"/>
      <c r="AO1140" s="267"/>
      <c r="AP1140" s="267"/>
    </row>
    <row r="1141" spans="15:42" x14ac:dyDescent="0.2">
      <c r="O1141" s="300"/>
      <c r="Q1141" s="300"/>
      <c r="R1141" s="300"/>
      <c r="S1141" s="300"/>
      <c r="T1141" s="300"/>
      <c r="U1141" s="300"/>
      <c r="V1141" s="300"/>
      <c r="W1141" s="300"/>
      <c r="X1141" s="300"/>
      <c r="Y1141" s="300"/>
      <c r="Z1141" s="300"/>
      <c r="AL1141" s="267"/>
      <c r="AM1141" s="267"/>
      <c r="AN1141" s="267"/>
      <c r="AO1141" s="267"/>
      <c r="AP1141" s="267"/>
    </row>
    <row r="1142" spans="15:42" x14ac:dyDescent="0.2">
      <c r="O1142" s="300"/>
      <c r="Q1142" s="300"/>
      <c r="R1142" s="300"/>
      <c r="S1142" s="300"/>
      <c r="T1142" s="300"/>
      <c r="U1142" s="300"/>
      <c r="V1142" s="300"/>
      <c r="W1142" s="300"/>
      <c r="X1142" s="300"/>
      <c r="Y1142" s="300"/>
      <c r="Z1142" s="300"/>
      <c r="AL1142" s="267"/>
      <c r="AM1142" s="267"/>
      <c r="AN1142" s="267"/>
      <c r="AO1142" s="267"/>
      <c r="AP1142" s="267"/>
    </row>
    <row r="1143" spans="15:42" x14ac:dyDescent="0.2">
      <c r="O1143" s="300"/>
      <c r="Q1143" s="300"/>
      <c r="R1143" s="300"/>
      <c r="S1143" s="300"/>
      <c r="T1143" s="300"/>
      <c r="U1143" s="300"/>
      <c r="V1143" s="300"/>
      <c r="W1143" s="300"/>
      <c r="X1143" s="300"/>
      <c r="Y1143" s="300"/>
      <c r="Z1143" s="300"/>
      <c r="AL1143" s="267"/>
      <c r="AM1143" s="267"/>
      <c r="AN1143" s="267"/>
      <c r="AO1143" s="267"/>
      <c r="AP1143" s="267"/>
    </row>
    <row r="1144" spans="15:42" x14ac:dyDescent="0.2">
      <c r="O1144" s="300"/>
      <c r="Q1144" s="300"/>
      <c r="R1144" s="300"/>
      <c r="S1144" s="300"/>
      <c r="T1144" s="300"/>
      <c r="U1144" s="300"/>
      <c r="V1144" s="300"/>
      <c r="W1144" s="300"/>
      <c r="X1144" s="300"/>
      <c r="Y1144" s="300"/>
      <c r="Z1144" s="300"/>
      <c r="AL1144" s="267"/>
      <c r="AM1144" s="267"/>
      <c r="AN1144" s="267"/>
      <c r="AO1144" s="267"/>
      <c r="AP1144" s="267"/>
    </row>
    <row r="1145" spans="15:42" x14ac:dyDescent="0.2">
      <c r="O1145" s="300"/>
      <c r="Q1145" s="300"/>
      <c r="R1145" s="300"/>
      <c r="S1145" s="300"/>
      <c r="T1145" s="300"/>
      <c r="U1145" s="300"/>
      <c r="V1145" s="300"/>
      <c r="W1145" s="300"/>
      <c r="X1145" s="300"/>
      <c r="Y1145" s="300"/>
      <c r="Z1145" s="300"/>
      <c r="AL1145" s="267"/>
      <c r="AM1145" s="267"/>
      <c r="AN1145" s="267"/>
      <c r="AO1145" s="267"/>
      <c r="AP1145" s="267"/>
    </row>
    <row r="1146" spans="15:42" x14ac:dyDescent="0.2">
      <c r="O1146" s="300"/>
      <c r="Q1146" s="300"/>
      <c r="R1146" s="300"/>
      <c r="S1146" s="300"/>
      <c r="T1146" s="300"/>
      <c r="U1146" s="300"/>
      <c r="V1146" s="300"/>
      <c r="W1146" s="300"/>
      <c r="X1146" s="300"/>
      <c r="Y1146" s="300"/>
      <c r="Z1146" s="300"/>
      <c r="AL1146" s="267"/>
      <c r="AM1146" s="267"/>
      <c r="AN1146" s="267"/>
      <c r="AO1146" s="267"/>
      <c r="AP1146" s="267"/>
    </row>
    <row r="1147" spans="15:42" x14ac:dyDescent="0.2">
      <c r="O1147" s="300"/>
      <c r="Q1147" s="300"/>
      <c r="R1147" s="300"/>
      <c r="S1147" s="300"/>
      <c r="T1147" s="300"/>
      <c r="U1147" s="300"/>
      <c r="V1147" s="300"/>
      <c r="W1147" s="300"/>
      <c r="X1147" s="300"/>
      <c r="Y1147" s="300"/>
      <c r="Z1147" s="300"/>
      <c r="AL1147" s="267"/>
      <c r="AM1147" s="267"/>
      <c r="AN1147" s="267"/>
      <c r="AO1147" s="267"/>
      <c r="AP1147" s="267"/>
    </row>
    <row r="1148" spans="15:42" x14ac:dyDescent="0.2">
      <c r="O1148" s="300"/>
      <c r="Q1148" s="300"/>
      <c r="R1148" s="300"/>
      <c r="S1148" s="300"/>
      <c r="T1148" s="300"/>
      <c r="U1148" s="300"/>
      <c r="V1148" s="300"/>
      <c r="W1148" s="300"/>
      <c r="X1148" s="300"/>
      <c r="Y1148" s="300"/>
      <c r="Z1148" s="300"/>
      <c r="AL1148" s="267"/>
      <c r="AM1148" s="267"/>
      <c r="AN1148" s="267"/>
      <c r="AO1148" s="267"/>
      <c r="AP1148" s="267"/>
    </row>
    <row r="1149" spans="15:42" x14ac:dyDescent="0.2">
      <c r="O1149" s="300"/>
      <c r="Q1149" s="300"/>
      <c r="R1149" s="300"/>
      <c r="S1149" s="300"/>
      <c r="T1149" s="300"/>
      <c r="U1149" s="300"/>
      <c r="V1149" s="300"/>
      <c r="W1149" s="300"/>
      <c r="X1149" s="300"/>
      <c r="Y1149" s="300"/>
      <c r="Z1149" s="300"/>
      <c r="AL1149" s="267"/>
      <c r="AM1149" s="267"/>
      <c r="AN1149" s="267"/>
      <c r="AO1149" s="267"/>
      <c r="AP1149" s="267"/>
    </row>
    <row r="1150" spans="15:42" x14ac:dyDescent="0.2">
      <c r="O1150" s="300"/>
      <c r="Q1150" s="300"/>
      <c r="R1150" s="300"/>
      <c r="S1150" s="300"/>
      <c r="T1150" s="300"/>
      <c r="U1150" s="300"/>
      <c r="V1150" s="300"/>
      <c r="W1150" s="300"/>
      <c r="X1150" s="300"/>
      <c r="Y1150" s="300"/>
      <c r="Z1150" s="300"/>
      <c r="AL1150" s="267"/>
      <c r="AM1150" s="267"/>
      <c r="AN1150" s="267"/>
      <c r="AO1150" s="267"/>
      <c r="AP1150" s="267"/>
    </row>
    <row r="1151" spans="15:42" x14ac:dyDescent="0.2">
      <c r="O1151" s="300"/>
      <c r="Q1151" s="300"/>
      <c r="R1151" s="300"/>
      <c r="S1151" s="300"/>
      <c r="T1151" s="300"/>
      <c r="U1151" s="300"/>
      <c r="V1151" s="300"/>
      <c r="W1151" s="300"/>
      <c r="X1151" s="300"/>
      <c r="Y1151" s="300"/>
      <c r="Z1151" s="300"/>
      <c r="AL1151" s="267"/>
      <c r="AM1151" s="267"/>
      <c r="AN1151" s="267"/>
      <c r="AO1151" s="267"/>
      <c r="AP1151" s="267"/>
    </row>
    <row r="1152" spans="15:42" x14ac:dyDescent="0.2">
      <c r="O1152" s="300"/>
      <c r="Q1152" s="300"/>
      <c r="R1152" s="300"/>
      <c r="S1152" s="300"/>
      <c r="T1152" s="300"/>
      <c r="U1152" s="300"/>
      <c r="V1152" s="300"/>
      <c r="W1152" s="300"/>
      <c r="X1152" s="300"/>
      <c r="Y1152" s="300"/>
      <c r="Z1152" s="300"/>
      <c r="AL1152" s="267"/>
      <c r="AM1152" s="267"/>
      <c r="AN1152" s="267"/>
      <c r="AO1152" s="267"/>
      <c r="AP1152" s="267"/>
    </row>
    <row r="1153" spans="15:42" x14ac:dyDescent="0.2">
      <c r="O1153" s="300"/>
      <c r="Q1153" s="300"/>
      <c r="R1153" s="300"/>
      <c r="S1153" s="300"/>
      <c r="T1153" s="300"/>
      <c r="U1153" s="300"/>
      <c r="V1153" s="300"/>
      <c r="W1153" s="300"/>
      <c r="X1153" s="300"/>
      <c r="Y1153" s="300"/>
      <c r="Z1153" s="300"/>
      <c r="AL1153" s="267"/>
      <c r="AM1153" s="267"/>
      <c r="AN1153" s="267"/>
      <c r="AO1153" s="267"/>
      <c r="AP1153" s="267"/>
    </row>
    <row r="1154" spans="15:42" x14ac:dyDescent="0.2">
      <c r="O1154" s="300"/>
      <c r="Q1154" s="300"/>
      <c r="R1154" s="300"/>
      <c r="S1154" s="300"/>
      <c r="T1154" s="300"/>
      <c r="U1154" s="300"/>
      <c r="V1154" s="300"/>
      <c r="W1154" s="300"/>
      <c r="X1154" s="300"/>
      <c r="Y1154" s="300"/>
      <c r="Z1154" s="300"/>
      <c r="AL1154" s="267"/>
      <c r="AM1154" s="267"/>
      <c r="AN1154" s="267"/>
      <c r="AO1154" s="267"/>
      <c r="AP1154" s="267"/>
    </row>
    <row r="1155" spans="15:42" x14ac:dyDescent="0.2">
      <c r="O1155" s="300"/>
      <c r="Q1155" s="300"/>
      <c r="R1155" s="300"/>
      <c r="S1155" s="300"/>
      <c r="T1155" s="300"/>
      <c r="U1155" s="300"/>
      <c r="V1155" s="300"/>
      <c r="W1155" s="300"/>
      <c r="X1155" s="300"/>
      <c r="Y1155" s="300"/>
      <c r="Z1155" s="300"/>
      <c r="AL1155" s="267"/>
      <c r="AM1155" s="267"/>
      <c r="AN1155" s="267"/>
      <c r="AO1155" s="267"/>
      <c r="AP1155" s="267"/>
    </row>
    <row r="1156" spans="15:42" x14ac:dyDescent="0.2">
      <c r="O1156" s="300"/>
      <c r="Q1156" s="300"/>
      <c r="R1156" s="300"/>
      <c r="S1156" s="300"/>
      <c r="T1156" s="300"/>
      <c r="U1156" s="300"/>
      <c r="V1156" s="300"/>
      <c r="W1156" s="300"/>
      <c r="X1156" s="300"/>
      <c r="Y1156" s="300"/>
      <c r="Z1156" s="300"/>
      <c r="AL1156" s="267"/>
      <c r="AM1156" s="267"/>
      <c r="AN1156" s="267"/>
      <c r="AO1156" s="267"/>
      <c r="AP1156" s="267"/>
    </row>
    <row r="1157" spans="15:42" x14ac:dyDescent="0.2">
      <c r="O1157" s="300"/>
      <c r="Q1157" s="300"/>
      <c r="R1157" s="300"/>
      <c r="S1157" s="300"/>
      <c r="T1157" s="300"/>
      <c r="U1157" s="300"/>
      <c r="V1157" s="300"/>
      <c r="W1157" s="300"/>
      <c r="X1157" s="300"/>
      <c r="Y1157" s="300"/>
      <c r="Z1157" s="300"/>
      <c r="AL1157" s="267"/>
      <c r="AM1157" s="267"/>
      <c r="AN1157" s="267"/>
      <c r="AO1157" s="267"/>
      <c r="AP1157" s="267"/>
    </row>
    <row r="1158" spans="15:42" x14ac:dyDescent="0.2">
      <c r="O1158" s="300"/>
      <c r="Q1158" s="300"/>
      <c r="R1158" s="300"/>
      <c r="S1158" s="300"/>
      <c r="T1158" s="300"/>
      <c r="U1158" s="300"/>
      <c r="V1158" s="300"/>
      <c r="W1158" s="300"/>
      <c r="X1158" s="300"/>
      <c r="Y1158" s="300"/>
      <c r="Z1158" s="300"/>
      <c r="AL1158" s="267"/>
      <c r="AM1158" s="267"/>
      <c r="AN1158" s="267"/>
      <c r="AO1158" s="267"/>
      <c r="AP1158" s="267"/>
    </row>
    <row r="1159" spans="15:42" x14ac:dyDescent="0.2">
      <c r="O1159" s="300"/>
      <c r="Q1159" s="300"/>
      <c r="R1159" s="300"/>
      <c r="S1159" s="300"/>
      <c r="T1159" s="300"/>
      <c r="U1159" s="300"/>
      <c r="V1159" s="300"/>
      <c r="W1159" s="300"/>
      <c r="X1159" s="300"/>
      <c r="Y1159" s="300"/>
      <c r="Z1159" s="300"/>
      <c r="AL1159" s="267"/>
      <c r="AM1159" s="267"/>
      <c r="AN1159" s="267"/>
      <c r="AO1159" s="267"/>
      <c r="AP1159" s="267"/>
    </row>
    <row r="1160" spans="15:42" x14ac:dyDescent="0.2">
      <c r="O1160" s="300"/>
      <c r="Q1160" s="300"/>
      <c r="R1160" s="300"/>
      <c r="S1160" s="300"/>
      <c r="T1160" s="300"/>
      <c r="U1160" s="300"/>
      <c r="V1160" s="300"/>
      <c r="W1160" s="300"/>
      <c r="X1160" s="300"/>
      <c r="Y1160" s="300"/>
      <c r="Z1160" s="300"/>
      <c r="AL1160" s="267"/>
      <c r="AM1160" s="267"/>
      <c r="AN1160" s="267"/>
      <c r="AO1160" s="267"/>
      <c r="AP1160" s="267"/>
    </row>
    <row r="1161" spans="15:42" x14ac:dyDescent="0.2">
      <c r="O1161" s="300"/>
      <c r="Q1161" s="300"/>
      <c r="R1161" s="300"/>
      <c r="S1161" s="300"/>
      <c r="T1161" s="300"/>
      <c r="U1161" s="300"/>
      <c r="V1161" s="300"/>
      <c r="W1161" s="300"/>
      <c r="X1161" s="300"/>
      <c r="Y1161" s="300"/>
      <c r="Z1161" s="300"/>
      <c r="AL1161" s="267"/>
      <c r="AM1161" s="267"/>
      <c r="AN1161" s="267"/>
      <c r="AO1161" s="267"/>
      <c r="AP1161" s="267"/>
    </row>
    <row r="1162" spans="15:42" x14ac:dyDescent="0.2">
      <c r="O1162" s="300"/>
      <c r="Q1162" s="300"/>
      <c r="R1162" s="300"/>
      <c r="S1162" s="300"/>
      <c r="T1162" s="300"/>
      <c r="U1162" s="300"/>
      <c r="V1162" s="300"/>
      <c r="W1162" s="300"/>
      <c r="X1162" s="300"/>
      <c r="Y1162" s="300"/>
      <c r="Z1162" s="300"/>
      <c r="AL1162" s="267"/>
      <c r="AM1162" s="267"/>
      <c r="AN1162" s="267"/>
      <c r="AO1162" s="267"/>
      <c r="AP1162" s="267"/>
    </row>
    <row r="1163" spans="15:42" x14ac:dyDescent="0.2">
      <c r="O1163" s="300"/>
      <c r="Q1163" s="300"/>
      <c r="R1163" s="300"/>
      <c r="S1163" s="300"/>
      <c r="T1163" s="300"/>
      <c r="U1163" s="300"/>
      <c r="V1163" s="300"/>
      <c r="W1163" s="300"/>
      <c r="X1163" s="300"/>
      <c r="Y1163" s="300"/>
      <c r="Z1163" s="300"/>
      <c r="AL1163" s="267"/>
      <c r="AM1163" s="267"/>
      <c r="AN1163" s="267"/>
      <c r="AO1163" s="267"/>
      <c r="AP1163" s="267"/>
    </row>
    <row r="1164" spans="15:42" x14ac:dyDescent="0.2">
      <c r="O1164" s="300"/>
      <c r="Q1164" s="300"/>
      <c r="R1164" s="300"/>
      <c r="S1164" s="300"/>
      <c r="T1164" s="300"/>
      <c r="U1164" s="300"/>
      <c r="V1164" s="300"/>
      <c r="W1164" s="300"/>
      <c r="X1164" s="300"/>
      <c r="Y1164" s="300"/>
      <c r="Z1164" s="300"/>
      <c r="AL1164" s="267"/>
      <c r="AM1164" s="267"/>
      <c r="AN1164" s="267"/>
      <c r="AO1164" s="267"/>
      <c r="AP1164" s="267"/>
    </row>
    <row r="1165" spans="15:42" x14ac:dyDescent="0.2">
      <c r="O1165" s="300"/>
      <c r="Q1165" s="300"/>
      <c r="R1165" s="300"/>
      <c r="S1165" s="300"/>
      <c r="T1165" s="300"/>
      <c r="U1165" s="300"/>
      <c r="V1165" s="300"/>
      <c r="W1165" s="300"/>
      <c r="X1165" s="300"/>
      <c r="Y1165" s="300"/>
      <c r="Z1165" s="300"/>
      <c r="AL1165" s="267"/>
      <c r="AM1165" s="267"/>
      <c r="AN1165" s="267"/>
      <c r="AO1165" s="267"/>
      <c r="AP1165" s="267"/>
    </row>
    <row r="1166" spans="15:42" x14ac:dyDescent="0.2">
      <c r="O1166" s="300"/>
      <c r="Q1166" s="300"/>
      <c r="R1166" s="300"/>
      <c r="S1166" s="300"/>
      <c r="T1166" s="300"/>
      <c r="U1166" s="300"/>
      <c r="V1166" s="300"/>
      <c r="W1166" s="300"/>
      <c r="X1166" s="300"/>
      <c r="Y1166" s="300"/>
      <c r="Z1166" s="300"/>
      <c r="AL1166" s="267"/>
      <c r="AM1166" s="267"/>
      <c r="AN1166" s="267"/>
      <c r="AO1166" s="267"/>
      <c r="AP1166" s="267"/>
    </row>
    <row r="1167" spans="15:42" x14ac:dyDescent="0.2">
      <c r="O1167" s="300"/>
      <c r="Q1167" s="300"/>
      <c r="R1167" s="300"/>
      <c r="S1167" s="300"/>
      <c r="T1167" s="300"/>
      <c r="U1167" s="300"/>
      <c r="V1167" s="300"/>
      <c r="W1167" s="300"/>
      <c r="X1167" s="300"/>
      <c r="Y1167" s="300"/>
      <c r="Z1167" s="300"/>
      <c r="AL1167" s="267"/>
      <c r="AM1167" s="267"/>
      <c r="AN1167" s="267"/>
      <c r="AO1167" s="267"/>
      <c r="AP1167" s="267"/>
    </row>
    <row r="1168" spans="15:42" x14ac:dyDescent="0.2">
      <c r="O1168" s="300"/>
      <c r="Q1168" s="300"/>
      <c r="R1168" s="300"/>
      <c r="S1168" s="300"/>
      <c r="T1168" s="300"/>
      <c r="U1168" s="300"/>
      <c r="V1168" s="300"/>
      <c r="W1168" s="300"/>
      <c r="X1168" s="300"/>
      <c r="Y1168" s="300"/>
      <c r="Z1168" s="300"/>
      <c r="AL1168" s="267"/>
      <c r="AM1168" s="267"/>
      <c r="AN1168" s="267"/>
      <c r="AO1168" s="267"/>
      <c r="AP1168" s="267"/>
    </row>
    <row r="1169" spans="15:42" x14ac:dyDescent="0.2">
      <c r="O1169" s="300"/>
      <c r="Q1169" s="300"/>
      <c r="R1169" s="300"/>
      <c r="S1169" s="300"/>
      <c r="T1169" s="300"/>
      <c r="U1169" s="300"/>
      <c r="V1169" s="300"/>
      <c r="W1169" s="300"/>
      <c r="X1169" s="300"/>
      <c r="Y1169" s="300"/>
      <c r="Z1169" s="300"/>
      <c r="AL1169" s="267"/>
      <c r="AM1169" s="267"/>
      <c r="AN1169" s="267"/>
      <c r="AO1169" s="267"/>
      <c r="AP1169" s="267"/>
    </row>
    <row r="1170" spans="15:42" x14ac:dyDescent="0.2">
      <c r="O1170" s="300"/>
      <c r="Q1170" s="300"/>
      <c r="R1170" s="300"/>
      <c r="S1170" s="300"/>
      <c r="T1170" s="300"/>
      <c r="U1170" s="300"/>
      <c r="V1170" s="300"/>
      <c r="W1170" s="300"/>
      <c r="X1170" s="300"/>
      <c r="Y1170" s="300"/>
      <c r="Z1170" s="300"/>
      <c r="AL1170" s="267"/>
      <c r="AM1170" s="267"/>
      <c r="AN1170" s="267"/>
      <c r="AO1170" s="267"/>
      <c r="AP1170" s="267"/>
    </row>
    <row r="1171" spans="15:42" x14ac:dyDescent="0.2">
      <c r="O1171" s="300"/>
      <c r="Q1171" s="300"/>
      <c r="R1171" s="300"/>
      <c r="S1171" s="300"/>
      <c r="T1171" s="300"/>
      <c r="U1171" s="300"/>
      <c r="V1171" s="300"/>
      <c r="W1171" s="300"/>
      <c r="X1171" s="300"/>
      <c r="Y1171" s="300"/>
      <c r="Z1171" s="300"/>
      <c r="AL1171" s="267"/>
      <c r="AM1171" s="267"/>
      <c r="AN1171" s="267"/>
      <c r="AO1171" s="267"/>
      <c r="AP1171" s="267"/>
    </row>
    <row r="1172" spans="15:42" x14ac:dyDescent="0.2">
      <c r="O1172" s="300"/>
      <c r="Q1172" s="300"/>
      <c r="R1172" s="300"/>
      <c r="S1172" s="300"/>
      <c r="T1172" s="300"/>
      <c r="U1172" s="300"/>
      <c r="V1172" s="300"/>
      <c r="W1172" s="300"/>
      <c r="X1172" s="300"/>
      <c r="Y1172" s="300"/>
      <c r="Z1172" s="300"/>
      <c r="AL1172" s="267"/>
      <c r="AM1172" s="267"/>
      <c r="AN1172" s="267"/>
      <c r="AO1172" s="267"/>
      <c r="AP1172" s="267"/>
    </row>
    <row r="1173" spans="15:42" x14ac:dyDescent="0.2">
      <c r="O1173" s="300"/>
      <c r="Q1173" s="300"/>
      <c r="R1173" s="300"/>
      <c r="S1173" s="300"/>
      <c r="T1173" s="300"/>
      <c r="U1173" s="300"/>
      <c r="V1173" s="300"/>
      <c r="W1173" s="300"/>
      <c r="X1173" s="300"/>
      <c r="Y1173" s="300"/>
      <c r="Z1173" s="300"/>
      <c r="AL1173" s="267"/>
      <c r="AM1173" s="267"/>
      <c r="AN1173" s="267"/>
      <c r="AO1173" s="267"/>
      <c r="AP1173" s="267"/>
    </row>
    <row r="1174" spans="15:42" x14ac:dyDescent="0.2">
      <c r="O1174" s="300"/>
      <c r="Q1174" s="300"/>
      <c r="R1174" s="300"/>
      <c r="S1174" s="300"/>
      <c r="T1174" s="300"/>
      <c r="U1174" s="300"/>
      <c r="V1174" s="300"/>
      <c r="W1174" s="300"/>
      <c r="X1174" s="300"/>
      <c r="Y1174" s="300"/>
      <c r="Z1174" s="300"/>
      <c r="AL1174" s="267"/>
      <c r="AM1174" s="267"/>
      <c r="AN1174" s="267"/>
      <c r="AO1174" s="267"/>
      <c r="AP1174" s="267"/>
    </row>
    <row r="1175" spans="15:42" x14ac:dyDescent="0.2">
      <c r="O1175" s="300"/>
      <c r="Q1175" s="300"/>
      <c r="R1175" s="300"/>
      <c r="S1175" s="300"/>
      <c r="T1175" s="300"/>
      <c r="U1175" s="300"/>
      <c r="V1175" s="300"/>
      <c r="W1175" s="300"/>
      <c r="X1175" s="300"/>
      <c r="Y1175" s="300"/>
      <c r="Z1175" s="300"/>
      <c r="AL1175" s="267"/>
      <c r="AM1175" s="267"/>
      <c r="AN1175" s="267"/>
      <c r="AO1175" s="267"/>
      <c r="AP1175" s="267"/>
    </row>
    <row r="1176" spans="15:42" x14ac:dyDescent="0.2">
      <c r="O1176" s="300"/>
      <c r="Q1176" s="300"/>
      <c r="R1176" s="300"/>
      <c r="S1176" s="300"/>
      <c r="T1176" s="300"/>
      <c r="U1176" s="300"/>
      <c r="V1176" s="300"/>
      <c r="W1176" s="300"/>
      <c r="X1176" s="300"/>
      <c r="Y1176" s="300"/>
      <c r="Z1176" s="300"/>
      <c r="AL1176" s="267"/>
      <c r="AM1176" s="267"/>
      <c r="AN1176" s="267"/>
      <c r="AO1176" s="267"/>
      <c r="AP1176" s="267"/>
    </row>
    <row r="1177" spans="15:42" x14ac:dyDescent="0.2">
      <c r="O1177" s="300"/>
      <c r="Q1177" s="300"/>
      <c r="R1177" s="300"/>
      <c r="S1177" s="300"/>
      <c r="T1177" s="300"/>
      <c r="U1177" s="300"/>
      <c r="V1177" s="300"/>
      <c r="W1177" s="300"/>
      <c r="X1177" s="300"/>
      <c r="Y1177" s="300"/>
      <c r="Z1177" s="300"/>
      <c r="AL1177" s="267"/>
      <c r="AM1177" s="267"/>
      <c r="AN1177" s="267"/>
      <c r="AO1177" s="267"/>
      <c r="AP1177" s="267"/>
    </row>
    <row r="1178" spans="15:42" x14ac:dyDescent="0.2">
      <c r="O1178" s="300"/>
      <c r="Q1178" s="300"/>
      <c r="R1178" s="300"/>
      <c r="S1178" s="300"/>
      <c r="T1178" s="300"/>
      <c r="U1178" s="300"/>
      <c r="V1178" s="300"/>
      <c r="W1178" s="300"/>
      <c r="X1178" s="300"/>
      <c r="Y1178" s="300"/>
      <c r="Z1178" s="300"/>
      <c r="AL1178" s="267"/>
      <c r="AM1178" s="267"/>
      <c r="AN1178" s="267"/>
      <c r="AO1178" s="267"/>
      <c r="AP1178" s="267"/>
    </row>
    <row r="1179" spans="15:42" x14ac:dyDescent="0.2">
      <c r="O1179" s="300"/>
      <c r="Q1179" s="300"/>
      <c r="R1179" s="300"/>
      <c r="S1179" s="300"/>
      <c r="T1179" s="300"/>
      <c r="U1179" s="300"/>
      <c r="V1179" s="300"/>
      <c r="W1179" s="300"/>
      <c r="X1179" s="300"/>
      <c r="Y1179" s="300"/>
      <c r="Z1179" s="300"/>
      <c r="AL1179" s="267"/>
      <c r="AM1179" s="267"/>
      <c r="AN1179" s="267"/>
      <c r="AO1179" s="267"/>
      <c r="AP1179" s="267"/>
    </row>
    <row r="1180" spans="15:42" x14ac:dyDescent="0.2">
      <c r="O1180" s="300"/>
      <c r="Q1180" s="300"/>
      <c r="R1180" s="300"/>
      <c r="S1180" s="300"/>
      <c r="T1180" s="300"/>
      <c r="U1180" s="300"/>
      <c r="V1180" s="300"/>
      <c r="W1180" s="300"/>
      <c r="X1180" s="300"/>
      <c r="Y1180" s="300"/>
      <c r="Z1180" s="300"/>
      <c r="AL1180" s="267"/>
      <c r="AM1180" s="267"/>
      <c r="AN1180" s="267"/>
      <c r="AO1180" s="267"/>
      <c r="AP1180" s="267"/>
    </row>
    <row r="1181" spans="15:42" x14ac:dyDescent="0.2">
      <c r="O1181" s="300"/>
      <c r="Q1181" s="300"/>
      <c r="R1181" s="300"/>
      <c r="S1181" s="300"/>
      <c r="T1181" s="300"/>
      <c r="U1181" s="300"/>
      <c r="V1181" s="300"/>
      <c r="W1181" s="300"/>
      <c r="X1181" s="300"/>
      <c r="Y1181" s="300"/>
      <c r="Z1181" s="300"/>
      <c r="AL1181" s="267"/>
      <c r="AM1181" s="267"/>
      <c r="AN1181" s="267"/>
      <c r="AO1181" s="267"/>
      <c r="AP1181" s="267"/>
    </row>
    <row r="1182" spans="15:42" x14ac:dyDescent="0.2">
      <c r="O1182" s="300"/>
      <c r="Q1182" s="300"/>
      <c r="R1182" s="300"/>
      <c r="S1182" s="300"/>
      <c r="T1182" s="300"/>
      <c r="U1182" s="300"/>
      <c r="V1182" s="300"/>
      <c r="W1182" s="300"/>
      <c r="X1182" s="300"/>
      <c r="Y1182" s="300"/>
      <c r="Z1182" s="300"/>
      <c r="AL1182" s="267"/>
      <c r="AM1182" s="267"/>
      <c r="AN1182" s="267"/>
      <c r="AO1182" s="267"/>
      <c r="AP1182" s="267"/>
    </row>
    <row r="1183" spans="15:42" x14ac:dyDescent="0.2">
      <c r="O1183" s="300"/>
      <c r="Q1183" s="300"/>
      <c r="R1183" s="300"/>
      <c r="S1183" s="300"/>
      <c r="T1183" s="300"/>
      <c r="U1183" s="300"/>
      <c r="V1183" s="300"/>
      <c r="W1183" s="300"/>
      <c r="X1183" s="300"/>
      <c r="Y1183" s="300"/>
      <c r="Z1183" s="300"/>
      <c r="AL1183" s="267"/>
      <c r="AM1183" s="267"/>
      <c r="AN1183" s="267"/>
      <c r="AO1183" s="267"/>
      <c r="AP1183" s="267"/>
    </row>
    <row r="1184" spans="15:42" x14ac:dyDescent="0.2">
      <c r="O1184" s="300"/>
      <c r="Q1184" s="300"/>
      <c r="R1184" s="300"/>
      <c r="S1184" s="300"/>
      <c r="T1184" s="300"/>
      <c r="U1184" s="300"/>
      <c r="V1184" s="300"/>
      <c r="W1184" s="300"/>
      <c r="X1184" s="300"/>
      <c r="Y1184" s="300"/>
      <c r="Z1184" s="300"/>
      <c r="AL1184" s="267"/>
      <c r="AM1184" s="267"/>
      <c r="AN1184" s="267"/>
      <c r="AO1184" s="267"/>
      <c r="AP1184" s="267"/>
    </row>
    <row r="1185" spans="15:42" x14ac:dyDescent="0.2">
      <c r="O1185" s="300"/>
      <c r="Q1185" s="300"/>
      <c r="R1185" s="300"/>
      <c r="S1185" s="300"/>
      <c r="T1185" s="300"/>
      <c r="U1185" s="300"/>
      <c r="V1185" s="300"/>
      <c r="W1185" s="300"/>
      <c r="X1185" s="300"/>
      <c r="Y1185" s="300"/>
      <c r="Z1185" s="300"/>
      <c r="AL1185" s="267"/>
      <c r="AM1185" s="267"/>
      <c r="AN1185" s="267"/>
      <c r="AO1185" s="267"/>
      <c r="AP1185" s="267"/>
    </row>
    <row r="1186" spans="15:42" x14ac:dyDescent="0.2">
      <c r="O1186" s="300"/>
      <c r="Q1186" s="300"/>
      <c r="R1186" s="300"/>
      <c r="S1186" s="300"/>
      <c r="T1186" s="300"/>
      <c r="U1186" s="300"/>
      <c r="V1186" s="300"/>
      <c r="W1186" s="300"/>
      <c r="X1186" s="300"/>
      <c r="Y1186" s="300"/>
      <c r="Z1186" s="300"/>
      <c r="AL1186" s="267"/>
      <c r="AM1186" s="267"/>
      <c r="AN1186" s="267"/>
      <c r="AO1186" s="267"/>
      <c r="AP1186" s="267"/>
    </row>
    <row r="1187" spans="15:42" x14ac:dyDescent="0.2">
      <c r="O1187" s="300"/>
      <c r="Q1187" s="300"/>
      <c r="R1187" s="300"/>
      <c r="S1187" s="300"/>
      <c r="T1187" s="300"/>
      <c r="U1187" s="300"/>
      <c r="V1187" s="300"/>
      <c r="W1187" s="300"/>
      <c r="X1187" s="300"/>
      <c r="Y1187" s="300"/>
      <c r="Z1187" s="300"/>
      <c r="AL1187" s="267"/>
      <c r="AM1187" s="267"/>
      <c r="AN1187" s="267"/>
      <c r="AO1187" s="267"/>
      <c r="AP1187" s="267"/>
    </row>
    <row r="1188" spans="15:42" x14ac:dyDescent="0.2">
      <c r="O1188" s="300"/>
      <c r="Q1188" s="300"/>
      <c r="R1188" s="300"/>
      <c r="S1188" s="300"/>
      <c r="T1188" s="300"/>
      <c r="U1188" s="300"/>
      <c r="V1188" s="300"/>
      <c r="W1188" s="300"/>
      <c r="X1188" s="300"/>
      <c r="Y1188" s="300"/>
      <c r="Z1188" s="300"/>
      <c r="AL1188" s="267"/>
      <c r="AM1188" s="267"/>
      <c r="AN1188" s="267"/>
      <c r="AO1188" s="267"/>
      <c r="AP1188" s="267"/>
    </row>
    <row r="1189" spans="15:42" x14ac:dyDescent="0.2">
      <c r="O1189" s="300"/>
      <c r="Q1189" s="300"/>
      <c r="R1189" s="300"/>
      <c r="S1189" s="300"/>
      <c r="T1189" s="300"/>
      <c r="U1189" s="300"/>
      <c r="V1189" s="300"/>
      <c r="W1189" s="300"/>
      <c r="X1189" s="300"/>
      <c r="Y1189" s="300"/>
      <c r="Z1189" s="300"/>
      <c r="AL1189" s="267"/>
      <c r="AM1189" s="267"/>
      <c r="AN1189" s="267"/>
      <c r="AO1189" s="267"/>
      <c r="AP1189" s="267"/>
    </row>
    <row r="1190" spans="15:42" x14ac:dyDescent="0.2">
      <c r="O1190" s="300"/>
      <c r="Q1190" s="300"/>
      <c r="R1190" s="300"/>
      <c r="S1190" s="300"/>
      <c r="T1190" s="300"/>
      <c r="U1190" s="300"/>
      <c r="V1190" s="300"/>
      <c r="W1190" s="300"/>
      <c r="X1190" s="300"/>
      <c r="Y1190" s="300"/>
      <c r="Z1190" s="300"/>
      <c r="AL1190" s="267"/>
      <c r="AM1190" s="267"/>
      <c r="AN1190" s="267"/>
      <c r="AO1190" s="267"/>
      <c r="AP1190" s="267"/>
    </row>
    <row r="1191" spans="15:42" x14ac:dyDescent="0.2">
      <c r="O1191" s="300"/>
      <c r="Q1191" s="300"/>
      <c r="R1191" s="300"/>
      <c r="S1191" s="300"/>
      <c r="T1191" s="300"/>
      <c r="U1191" s="300"/>
      <c r="V1191" s="300"/>
      <c r="W1191" s="300"/>
      <c r="X1191" s="300"/>
      <c r="Y1191" s="300"/>
      <c r="Z1191" s="300"/>
      <c r="AL1191" s="267"/>
      <c r="AM1191" s="267"/>
      <c r="AN1191" s="267"/>
      <c r="AO1191" s="267"/>
      <c r="AP1191" s="267"/>
    </row>
    <row r="1192" spans="15:42" x14ac:dyDescent="0.2">
      <c r="O1192" s="300"/>
      <c r="Q1192" s="300"/>
      <c r="R1192" s="300"/>
      <c r="S1192" s="300"/>
      <c r="T1192" s="300"/>
      <c r="U1192" s="300"/>
      <c r="V1192" s="300"/>
      <c r="W1192" s="300"/>
      <c r="X1192" s="300"/>
      <c r="Y1192" s="300"/>
      <c r="Z1192" s="300"/>
      <c r="AL1192" s="267"/>
      <c r="AM1192" s="267"/>
      <c r="AN1192" s="267"/>
      <c r="AO1192" s="267"/>
      <c r="AP1192" s="267"/>
    </row>
    <row r="1193" spans="15:42" x14ac:dyDescent="0.2">
      <c r="O1193" s="300"/>
      <c r="Q1193" s="300"/>
      <c r="R1193" s="300"/>
      <c r="S1193" s="300"/>
      <c r="T1193" s="300"/>
      <c r="U1193" s="300"/>
      <c r="V1193" s="300"/>
      <c r="W1193" s="300"/>
      <c r="X1193" s="300"/>
      <c r="Y1193" s="300"/>
      <c r="Z1193" s="300"/>
      <c r="AL1193" s="267"/>
      <c r="AM1193" s="267"/>
      <c r="AN1193" s="267"/>
      <c r="AO1193" s="267"/>
      <c r="AP1193" s="267"/>
    </row>
    <row r="1194" spans="15:42" x14ac:dyDescent="0.2">
      <c r="O1194" s="300"/>
      <c r="Q1194" s="300"/>
      <c r="R1194" s="300"/>
      <c r="S1194" s="300"/>
      <c r="T1194" s="300"/>
      <c r="U1194" s="300"/>
      <c r="V1194" s="300"/>
      <c r="W1194" s="300"/>
      <c r="X1194" s="300"/>
      <c r="Y1194" s="300"/>
      <c r="Z1194" s="300"/>
      <c r="AL1194" s="267"/>
      <c r="AM1194" s="267"/>
      <c r="AN1194" s="267"/>
      <c r="AO1194" s="267"/>
      <c r="AP1194" s="267"/>
    </row>
    <row r="1195" spans="15:42" x14ac:dyDescent="0.2">
      <c r="O1195" s="300"/>
      <c r="Q1195" s="300"/>
      <c r="R1195" s="300"/>
      <c r="S1195" s="300"/>
      <c r="T1195" s="300"/>
      <c r="U1195" s="300"/>
      <c r="V1195" s="300"/>
      <c r="W1195" s="300"/>
      <c r="X1195" s="300"/>
      <c r="Y1195" s="300"/>
      <c r="Z1195" s="300"/>
      <c r="AL1195" s="267"/>
      <c r="AM1195" s="267"/>
      <c r="AN1195" s="267"/>
      <c r="AO1195" s="267"/>
      <c r="AP1195" s="267"/>
    </row>
    <row r="1196" spans="15:42" x14ac:dyDescent="0.2">
      <c r="O1196" s="300"/>
      <c r="Q1196" s="300"/>
      <c r="R1196" s="300"/>
      <c r="S1196" s="300"/>
      <c r="T1196" s="300"/>
      <c r="U1196" s="300"/>
      <c r="V1196" s="300"/>
      <c r="W1196" s="300"/>
      <c r="X1196" s="300"/>
      <c r="Y1196" s="300"/>
      <c r="Z1196" s="300"/>
      <c r="AL1196" s="267"/>
      <c r="AM1196" s="267"/>
      <c r="AN1196" s="267"/>
      <c r="AO1196" s="267"/>
      <c r="AP1196" s="267"/>
    </row>
    <row r="1197" spans="15:42" x14ac:dyDescent="0.2">
      <c r="O1197" s="300"/>
      <c r="Q1197" s="300"/>
      <c r="R1197" s="300"/>
      <c r="S1197" s="300"/>
      <c r="T1197" s="300"/>
      <c r="U1197" s="300"/>
      <c r="V1197" s="300"/>
      <c r="W1197" s="300"/>
      <c r="X1197" s="300"/>
      <c r="Y1197" s="300"/>
      <c r="Z1197" s="300"/>
      <c r="AL1197" s="267"/>
      <c r="AM1197" s="267"/>
      <c r="AN1197" s="267"/>
      <c r="AO1197" s="267"/>
      <c r="AP1197" s="267"/>
    </row>
    <row r="1198" spans="15:42" x14ac:dyDescent="0.2">
      <c r="O1198" s="300"/>
      <c r="Q1198" s="300"/>
      <c r="R1198" s="300"/>
      <c r="S1198" s="300"/>
      <c r="T1198" s="300"/>
      <c r="U1198" s="300"/>
      <c r="V1198" s="300"/>
      <c r="W1198" s="300"/>
      <c r="X1198" s="300"/>
      <c r="Y1198" s="300"/>
      <c r="Z1198" s="300"/>
      <c r="AL1198" s="267"/>
      <c r="AM1198" s="267"/>
      <c r="AN1198" s="267"/>
      <c r="AO1198" s="267"/>
      <c r="AP1198" s="267"/>
    </row>
    <row r="1199" spans="15:42" x14ac:dyDescent="0.2">
      <c r="O1199" s="300"/>
      <c r="Q1199" s="300"/>
      <c r="R1199" s="300"/>
      <c r="S1199" s="300"/>
      <c r="T1199" s="300"/>
      <c r="U1199" s="300"/>
      <c r="V1199" s="300"/>
      <c r="W1199" s="300"/>
      <c r="X1199" s="300"/>
      <c r="Y1199" s="300"/>
      <c r="Z1199" s="300"/>
      <c r="AL1199" s="267"/>
      <c r="AM1199" s="267"/>
      <c r="AN1199" s="267"/>
      <c r="AO1199" s="267"/>
      <c r="AP1199" s="267"/>
    </row>
    <row r="1200" spans="15:42" x14ac:dyDescent="0.2">
      <c r="O1200" s="300"/>
      <c r="Q1200" s="300"/>
      <c r="R1200" s="300"/>
      <c r="S1200" s="300"/>
      <c r="T1200" s="300"/>
      <c r="U1200" s="300"/>
      <c r="V1200" s="300"/>
      <c r="W1200" s="300"/>
      <c r="X1200" s="300"/>
      <c r="Y1200" s="300"/>
      <c r="Z1200" s="300"/>
      <c r="AL1200" s="267"/>
      <c r="AM1200" s="267"/>
      <c r="AN1200" s="267"/>
      <c r="AO1200" s="267"/>
      <c r="AP1200" s="267"/>
    </row>
    <row r="1201" spans="15:42" x14ac:dyDescent="0.2">
      <c r="O1201" s="300"/>
      <c r="Q1201" s="300"/>
      <c r="R1201" s="300"/>
      <c r="S1201" s="300"/>
      <c r="T1201" s="300"/>
      <c r="U1201" s="300"/>
      <c r="V1201" s="300"/>
      <c r="W1201" s="300"/>
      <c r="X1201" s="300"/>
      <c r="Y1201" s="300"/>
      <c r="Z1201" s="300"/>
      <c r="AL1201" s="267"/>
      <c r="AM1201" s="267"/>
      <c r="AN1201" s="267"/>
      <c r="AO1201" s="267"/>
      <c r="AP1201" s="267"/>
    </row>
    <row r="1202" spans="15:42" x14ac:dyDescent="0.2">
      <c r="O1202" s="300"/>
      <c r="Q1202" s="300"/>
      <c r="R1202" s="300"/>
      <c r="S1202" s="300"/>
      <c r="T1202" s="300"/>
      <c r="U1202" s="300"/>
      <c r="V1202" s="300"/>
      <c r="W1202" s="300"/>
      <c r="X1202" s="300"/>
      <c r="Y1202" s="300"/>
      <c r="Z1202" s="300"/>
      <c r="AL1202" s="267"/>
      <c r="AM1202" s="267"/>
      <c r="AN1202" s="267"/>
      <c r="AO1202" s="267"/>
      <c r="AP1202" s="267"/>
    </row>
    <row r="1203" spans="15:42" x14ac:dyDescent="0.2">
      <c r="O1203" s="300"/>
      <c r="Q1203" s="300"/>
      <c r="R1203" s="300"/>
      <c r="S1203" s="300"/>
      <c r="T1203" s="300"/>
      <c r="U1203" s="300"/>
      <c r="V1203" s="300"/>
      <c r="W1203" s="300"/>
      <c r="X1203" s="300"/>
      <c r="Y1203" s="300"/>
      <c r="Z1203" s="300"/>
      <c r="AL1203" s="267"/>
      <c r="AM1203" s="267"/>
      <c r="AN1203" s="267"/>
      <c r="AO1203" s="267"/>
      <c r="AP1203" s="267"/>
    </row>
    <row r="1204" spans="15:42" x14ac:dyDescent="0.2">
      <c r="O1204" s="300"/>
      <c r="Q1204" s="300"/>
      <c r="R1204" s="300"/>
      <c r="S1204" s="300"/>
      <c r="T1204" s="300"/>
      <c r="U1204" s="300"/>
      <c r="V1204" s="300"/>
      <c r="W1204" s="300"/>
      <c r="X1204" s="300"/>
      <c r="Y1204" s="300"/>
      <c r="Z1204" s="300"/>
      <c r="AL1204" s="267"/>
      <c r="AM1204" s="267"/>
      <c r="AN1204" s="267"/>
      <c r="AO1204" s="267"/>
      <c r="AP1204" s="267"/>
    </row>
    <row r="1205" spans="15:42" x14ac:dyDescent="0.2">
      <c r="O1205" s="300"/>
      <c r="Q1205" s="300"/>
      <c r="R1205" s="300"/>
      <c r="S1205" s="300"/>
      <c r="T1205" s="300"/>
      <c r="U1205" s="300"/>
      <c r="V1205" s="300"/>
      <c r="W1205" s="300"/>
      <c r="X1205" s="300"/>
      <c r="Y1205" s="300"/>
      <c r="Z1205" s="300"/>
      <c r="AL1205" s="267"/>
      <c r="AM1205" s="267"/>
      <c r="AN1205" s="267"/>
      <c r="AO1205" s="267"/>
      <c r="AP1205" s="267"/>
    </row>
    <row r="1206" spans="15:42" x14ac:dyDescent="0.2">
      <c r="O1206" s="300"/>
      <c r="Q1206" s="300"/>
      <c r="R1206" s="300"/>
      <c r="S1206" s="300"/>
      <c r="T1206" s="300"/>
      <c r="U1206" s="300"/>
      <c r="V1206" s="300"/>
      <c r="W1206" s="300"/>
      <c r="X1206" s="300"/>
      <c r="Y1206" s="300"/>
      <c r="Z1206" s="300"/>
      <c r="AL1206" s="267"/>
      <c r="AM1206" s="267"/>
      <c r="AN1206" s="267"/>
      <c r="AO1206" s="267"/>
      <c r="AP1206" s="267"/>
    </row>
    <row r="1207" spans="15:42" x14ac:dyDescent="0.2">
      <c r="O1207" s="300"/>
      <c r="Q1207" s="300"/>
      <c r="R1207" s="300"/>
      <c r="S1207" s="300"/>
      <c r="T1207" s="300"/>
      <c r="U1207" s="300"/>
      <c r="V1207" s="300"/>
      <c r="W1207" s="300"/>
      <c r="X1207" s="300"/>
      <c r="Y1207" s="300"/>
      <c r="Z1207" s="300"/>
      <c r="AL1207" s="267"/>
      <c r="AM1207" s="267"/>
      <c r="AN1207" s="267"/>
      <c r="AO1207" s="267"/>
      <c r="AP1207" s="267"/>
    </row>
    <row r="1208" spans="15:42" x14ac:dyDescent="0.2">
      <c r="O1208" s="300"/>
      <c r="Q1208" s="300"/>
      <c r="R1208" s="300"/>
      <c r="S1208" s="300"/>
      <c r="T1208" s="300"/>
      <c r="U1208" s="300"/>
      <c r="V1208" s="300"/>
      <c r="W1208" s="300"/>
      <c r="X1208" s="300"/>
      <c r="Y1208" s="300"/>
      <c r="Z1208" s="300"/>
      <c r="AL1208" s="267"/>
      <c r="AM1208" s="267"/>
      <c r="AN1208" s="267"/>
      <c r="AO1208" s="267"/>
      <c r="AP1208" s="267"/>
    </row>
    <row r="1209" spans="15:42" x14ac:dyDescent="0.2">
      <c r="O1209" s="300"/>
      <c r="Q1209" s="300"/>
      <c r="R1209" s="300"/>
      <c r="S1209" s="300"/>
      <c r="T1209" s="300"/>
      <c r="U1209" s="300"/>
      <c r="V1209" s="300"/>
      <c r="W1209" s="300"/>
      <c r="X1209" s="300"/>
      <c r="Y1209" s="300"/>
      <c r="Z1209" s="300"/>
      <c r="AL1209" s="267"/>
      <c r="AM1209" s="267"/>
      <c r="AN1209" s="267"/>
      <c r="AO1209" s="267"/>
      <c r="AP1209" s="267"/>
    </row>
    <row r="1210" spans="15:42" x14ac:dyDescent="0.2">
      <c r="O1210" s="300"/>
      <c r="Q1210" s="300"/>
      <c r="R1210" s="300"/>
      <c r="S1210" s="300"/>
      <c r="T1210" s="300"/>
      <c r="U1210" s="300"/>
      <c r="V1210" s="300"/>
      <c r="W1210" s="300"/>
      <c r="X1210" s="300"/>
      <c r="Y1210" s="300"/>
      <c r="Z1210" s="300"/>
      <c r="AL1210" s="267"/>
      <c r="AM1210" s="267"/>
      <c r="AN1210" s="267"/>
      <c r="AO1210" s="267"/>
      <c r="AP1210" s="267"/>
    </row>
    <row r="1211" spans="15:42" x14ac:dyDescent="0.2">
      <c r="O1211" s="300"/>
      <c r="Q1211" s="300"/>
      <c r="R1211" s="300"/>
      <c r="S1211" s="300"/>
      <c r="T1211" s="300"/>
      <c r="U1211" s="300"/>
      <c r="V1211" s="300"/>
      <c r="W1211" s="300"/>
      <c r="X1211" s="300"/>
      <c r="Y1211" s="300"/>
      <c r="Z1211" s="300"/>
      <c r="AL1211" s="267"/>
      <c r="AM1211" s="267"/>
      <c r="AN1211" s="267"/>
      <c r="AO1211" s="267"/>
      <c r="AP1211" s="267"/>
    </row>
    <row r="1212" spans="15:42" x14ac:dyDescent="0.2">
      <c r="O1212" s="300"/>
      <c r="Q1212" s="300"/>
      <c r="R1212" s="300"/>
      <c r="S1212" s="300"/>
      <c r="T1212" s="300"/>
      <c r="U1212" s="300"/>
      <c r="V1212" s="300"/>
      <c r="W1212" s="300"/>
      <c r="X1212" s="300"/>
      <c r="Y1212" s="300"/>
      <c r="Z1212" s="300"/>
      <c r="AL1212" s="267"/>
      <c r="AM1212" s="267"/>
      <c r="AN1212" s="267"/>
      <c r="AO1212" s="267"/>
      <c r="AP1212" s="267"/>
    </row>
    <row r="1213" spans="15:42" x14ac:dyDescent="0.2">
      <c r="O1213" s="300"/>
      <c r="Q1213" s="300"/>
      <c r="R1213" s="300"/>
      <c r="S1213" s="300"/>
      <c r="T1213" s="300"/>
      <c r="U1213" s="300"/>
      <c r="V1213" s="300"/>
      <c r="W1213" s="300"/>
      <c r="X1213" s="300"/>
      <c r="Y1213" s="300"/>
      <c r="Z1213" s="300"/>
      <c r="AL1213" s="267"/>
      <c r="AM1213" s="267"/>
      <c r="AN1213" s="267"/>
      <c r="AO1213" s="267"/>
      <c r="AP1213" s="267"/>
    </row>
    <row r="1214" spans="15:42" x14ac:dyDescent="0.2">
      <c r="O1214" s="300"/>
      <c r="Q1214" s="300"/>
      <c r="R1214" s="300"/>
      <c r="S1214" s="300"/>
      <c r="T1214" s="300"/>
      <c r="U1214" s="300"/>
      <c r="V1214" s="300"/>
      <c r="W1214" s="300"/>
      <c r="X1214" s="300"/>
      <c r="Y1214" s="300"/>
      <c r="Z1214" s="300"/>
      <c r="AL1214" s="267"/>
      <c r="AM1214" s="267"/>
      <c r="AN1214" s="267"/>
      <c r="AO1214" s="267"/>
      <c r="AP1214" s="267"/>
    </row>
    <row r="1215" spans="15:42" x14ac:dyDescent="0.2">
      <c r="O1215" s="300"/>
      <c r="Q1215" s="300"/>
      <c r="R1215" s="300"/>
      <c r="S1215" s="300"/>
      <c r="T1215" s="300"/>
      <c r="U1215" s="300"/>
      <c r="V1215" s="300"/>
      <c r="W1215" s="300"/>
      <c r="X1215" s="300"/>
      <c r="Y1215" s="300"/>
      <c r="Z1215" s="300"/>
      <c r="AL1215" s="267"/>
      <c r="AM1215" s="267"/>
      <c r="AN1215" s="267"/>
      <c r="AO1215" s="267"/>
      <c r="AP1215" s="267"/>
    </row>
    <row r="1216" spans="15:42" x14ac:dyDescent="0.2">
      <c r="O1216" s="300"/>
      <c r="Q1216" s="300"/>
      <c r="R1216" s="300"/>
      <c r="S1216" s="300"/>
      <c r="T1216" s="300"/>
      <c r="U1216" s="300"/>
      <c r="V1216" s="300"/>
      <c r="W1216" s="300"/>
      <c r="X1216" s="300"/>
      <c r="Y1216" s="300"/>
      <c r="Z1216" s="300"/>
      <c r="AL1216" s="267"/>
      <c r="AM1216" s="267"/>
      <c r="AN1216" s="267"/>
      <c r="AO1216" s="267"/>
      <c r="AP1216" s="267"/>
    </row>
    <row r="1217" spans="15:42" x14ac:dyDescent="0.2">
      <c r="O1217" s="300"/>
      <c r="Q1217" s="300"/>
      <c r="R1217" s="300"/>
      <c r="S1217" s="300"/>
      <c r="T1217" s="300"/>
      <c r="U1217" s="300"/>
      <c r="V1217" s="300"/>
      <c r="W1217" s="300"/>
      <c r="X1217" s="300"/>
      <c r="Y1217" s="300"/>
      <c r="Z1217" s="300"/>
      <c r="AL1217" s="267"/>
      <c r="AM1217" s="267"/>
      <c r="AN1217" s="267"/>
      <c r="AO1217" s="267"/>
      <c r="AP1217" s="267"/>
    </row>
    <row r="1218" spans="15:42" x14ac:dyDescent="0.2">
      <c r="O1218" s="300"/>
      <c r="Q1218" s="300"/>
      <c r="R1218" s="300"/>
      <c r="S1218" s="300"/>
      <c r="T1218" s="300"/>
      <c r="U1218" s="300"/>
      <c r="V1218" s="300"/>
      <c r="W1218" s="300"/>
      <c r="X1218" s="300"/>
      <c r="Y1218" s="300"/>
      <c r="Z1218" s="300"/>
      <c r="AL1218" s="267"/>
      <c r="AM1218" s="267"/>
      <c r="AN1218" s="267"/>
      <c r="AO1218" s="267"/>
      <c r="AP1218" s="267"/>
    </row>
    <row r="1219" spans="15:42" x14ac:dyDescent="0.2">
      <c r="O1219" s="300"/>
      <c r="Q1219" s="300"/>
      <c r="R1219" s="300"/>
      <c r="S1219" s="300"/>
      <c r="T1219" s="300"/>
      <c r="U1219" s="300"/>
      <c r="V1219" s="300"/>
      <c r="W1219" s="300"/>
      <c r="X1219" s="300"/>
      <c r="Y1219" s="300"/>
      <c r="Z1219" s="300"/>
      <c r="AL1219" s="267"/>
      <c r="AM1219" s="267"/>
      <c r="AN1219" s="267"/>
      <c r="AO1219" s="267"/>
      <c r="AP1219" s="267"/>
    </row>
    <row r="1220" spans="15:42" x14ac:dyDescent="0.2">
      <c r="O1220" s="300"/>
      <c r="Q1220" s="300"/>
      <c r="R1220" s="300"/>
      <c r="S1220" s="300"/>
      <c r="T1220" s="300"/>
      <c r="U1220" s="300"/>
      <c r="V1220" s="300"/>
      <c r="W1220" s="300"/>
      <c r="X1220" s="300"/>
      <c r="Y1220" s="300"/>
      <c r="Z1220" s="300"/>
      <c r="AL1220" s="267"/>
      <c r="AM1220" s="267"/>
      <c r="AN1220" s="267"/>
      <c r="AO1220" s="267"/>
      <c r="AP1220" s="267"/>
    </row>
    <row r="1221" spans="15:42" x14ac:dyDescent="0.2">
      <c r="O1221" s="300"/>
      <c r="Q1221" s="300"/>
      <c r="R1221" s="300"/>
      <c r="S1221" s="300"/>
      <c r="T1221" s="300"/>
      <c r="U1221" s="300"/>
      <c r="V1221" s="300"/>
      <c r="W1221" s="300"/>
      <c r="X1221" s="300"/>
      <c r="Y1221" s="300"/>
      <c r="Z1221" s="300"/>
      <c r="AL1221" s="267"/>
      <c r="AM1221" s="267"/>
      <c r="AN1221" s="267"/>
      <c r="AO1221" s="267"/>
      <c r="AP1221" s="267"/>
    </row>
    <row r="1222" spans="15:42" x14ac:dyDescent="0.2">
      <c r="O1222" s="300"/>
      <c r="Q1222" s="300"/>
      <c r="R1222" s="300"/>
      <c r="S1222" s="300"/>
      <c r="T1222" s="300"/>
      <c r="U1222" s="300"/>
      <c r="V1222" s="300"/>
      <c r="W1222" s="300"/>
      <c r="X1222" s="300"/>
      <c r="Y1222" s="300"/>
      <c r="Z1222" s="300"/>
      <c r="AL1222" s="267"/>
      <c r="AM1222" s="267"/>
      <c r="AN1222" s="267"/>
      <c r="AO1222" s="267"/>
      <c r="AP1222" s="267"/>
    </row>
    <row r="1223" spans="15:42" x14ac:dyDescent="0.2">
      <c r="O1223" s="300"/>
      <c r="Q1223" s="300"/>
      <c r="R1223" s="300"/>
      <c r="S1223" s="300"/>
      <c r="T1223" s="300"/>
      <c r="U1223" s="300"/>
      <c r="V1223" s="300"/>
      <c r="W1223" s="300"/>
      <c r="X1223" s="300"/>
      <c r="Y1223" s="300"/>
      <c r="Z1223" s="300"/>
      <c r="AL1223" s="267"/>
      <c r="AM1223" s="267"/>
      <c r="AN1223" s="267"/>
      <c r="AO1223" s="267"/>
      <c r="AP1223" s="267"/>
    </row>
    <row r="1224" spans="15:42" x14ac:dyDescent="0.2">
      <c r="O1224" s="300"/>
      <c r="Q1224" s="300"/>
      <c r="R1224" s="300"/>
      <c r="S1224" s="300"/>
      <c r="T1224" s="300"/>
      <c r="U1224" s="300"/>
      <c r="V1224" s="300"/>
      <c r="W1224" s="300"/>
      <c r="X1224" s="300"/>
      <c r="Y1224" s="300"/>
      <c r="Z1224" s="300"/>
      <c r="AL1224" s="267"/>
      <c r="AM1224" s="267"/>
      <c r="AN1224" s="267"/>
      <c r="AO1224" s="267"/>
      <c r="AP1224" s="267"/>
    </row>
    <row r="1225" spans="15:42" x14ac:dyDescent="0.2">
      <c r="O1225" s="300"/>
      <c r="Q1225" s="300"/>
      <c r="R1225" s="300"/>
      <c r="S1225" s="300"/>
      <c r="T1225" s="300"/>
      <c r="U1225" s="300"/>
      <c r="V1225" s="300"/>
      <c r="W1225" s="300"/>
      <c r="X1225" s="300"/>
      <c r="Y1225" s="300"/>
      <c r="Z1225" s="300"/>
      <c r="AL1225" s="267"/>
      <c r="AM1225" s="267"/>
      <c r="AN1225" s="267"/>
      <c r="AO1225" s="267"/>
      <c r="AP1225" s="267"/>
    </row>
    <row r="1226" spans="15:42" x14ac:dyDescent="0.2">
      <c r="O1226" s="300"/>
      <c r="Q1226" s="300"/>
      <c r="R1226" s="300"/>
      <c r="S1226" s="300"/>
      <c r="T1226" s="300"/>
      <c r="U1226" s="300"/>
      <c r="V1226" s="300"/>
      <c r="W1226" s="300"/>
      <c r="X1226" s="300"/>
      <c r="Y1226" s="300"/>
      <c r="Z1226" s="300"/>
      <c r="AL1226" s="267"/>
      <c r="AM1226" s="267"/>
      <c r="AN1226" s="267"/>
      <c r="AO1226" s="267"/>
      <c r="AP1226" s="267"/>
    </row>
    <row r="1227" spans="15:42" x14ac:dyDescent="0.2">
      <c r="O1227" s="300"/>
      <c r="Q1227" s="300"/>
      <c r="R1227" s="300"/>
      <c r="S1227" s="300"/>
      <c r="T1227" s="300"/>
      <c r="U1227" s="300"/>
      <c r="V1227" s="300"/>
      <c r="W1227" s="300"/>
      <c r="X1227" s="300"/>
      <c r="Y1227" s="300"/>
      <c r="Z1227" s="300"/>
      <c r="AL1227" s="267"/>
      <c r="AM1227" s="267"/>
      <c r="AN1227" s="267"/>
      <c r="AO1227" s="267"/>
      <c r="AP1227" s="267"/>
    </row>
    <row r="1228" spans="15:42" x14ac:dyDescent="0.2">
      <c r="O1228" s="300"/>
      <c r="Q1228" s="300"/>
      <c r="R1228" s="300"/>
      <c r="S1228" s="300"/>
      <c r="T1228" s="300"/>
      <c r="U1228" s="300"/>
      <c r="V1228" s="300"/>
      <c r="W1228" s="300"/>
      <c r="X1228" s="300"/>
      <c r="Y1228" s="300"/>
      <c r="Z1228" s="300"/>
      <c r="AL1228" s="267"/>
      <c r="AM1228" s="267"/>
      <c r="AN1228" s="267"/>
      <c r="AO1228" s="267"/>
      <c r="AP1228" s="267"/>
    </row>
    <row r="1229" spans="15:42" x14ac:dyDescent="0.2">
      <c r="O1229" s="300"/>
      <c r="Q1229" s="300"/>
      <c r="R1229" s="300"/>
      <c r="S1229" s="300"/>
      <c r="T1229" s="300"/>
      <c r="U1229" s="300"/>
      <c r="V1229" s="300"/>
      <c r="W1229" s="300"/>
      <c r="X1229" s="300"/>
      <c r="Y1229" s="300"/>
      <c r="Z1229" s="300"/>
      <c r="AL1229" s="267"/>
      <c r="AM1229" s="267"/>
      <c r="AN1229" s="267"/>
      <c r="AO1229" s="267"/>
      <c r="AP1229" s="267"/>
    </row>
    <row r="1230" spans="15:42" x14ac:dyDescent="0.2">
      <c r="O1230" s="300"/>
      <c r="Q1230" s="300"/>
      <c r="R1230" s="300"/>
      <c r="S1230" s="300"/>
      <c r="T1230" s="300"/>
      <c r="U1230" s="300"/>
      <c r="V1230" s="300"/>
      <c r="W1230" s="300"/>
      <c r="X1230" s="300"/>
      <c r="Y1230" s="300"/>
      <c r="Z1230" s="300"/>
      <c r="AL1230" s="267"/>
      <c r="AM1230" s="267"/>
      <c r="AN1230" s="267"/>
      <c r="AO1230" s="267"/>
      <c r="AP1230" s="267"/>
    </row>
    <row r="1231" spans="15:42" x14ac:dyDescent="0.2">
      <c r="O1231" s="300"/>
      <c r="Q1231" s="300"/>
      <c r="R1231" s="300"/>
      <c r="S1231" s="300"/>
      <c r="T1231" s="300"/>
      <c r="U1231" s="300"/>
      <c r="V1231" s="300"/>
      <c r="W1231" s="300"/>
      <c r="X1231" s="300"/>
      <c r="Y1231" s="300"/>
      <c r="Z1231" s="300"/>
      <c r="AL1231" s="267"/>
      <c r="AM1231" s="267"/>
      <c r="AN1231" s="267"/>
      <c r="AO1231" s="267"/>
      <c r="AP1231" s="267"/>
    </row>
    <row r="1232" spans="15:42" x14ac:dyDescent="0.2">
      <c r="O1232" s="300"/>
      <c r="Q1232" s="300"/>
      <c r="R1232" s="300"/>
      <c r="S1232" s="300"/>
      <c r="T1232" s="300"/>
      <c r="U1232" s="300"/>
      <c r="V1232" s="300"/>
      <c r="W1232" s="300"/>
      <c r="X1232" s="300"/>
      <c r="Y1232" s="300"/>
      <c r="Z1232" s="300"/>
      <c r="AL1232" s="267"/>
      <c r="AM1232" s="267"/>
      <c r="AN1232" s="267"/>
      <c r="AO1232" s="267"/>
      <c r="AP1232" s="267"/>
    </row>
    <row r="1233" spans="15:42" x14ac:dyDescent="0.2">
      <c r="O1233" s="300"/>
      <c r="Q1233" s="300"/>
      <c r="R1233" s="300"/>
      <c r="S1233" s="300"/>
      <c r="T1233" s="300"/>
      <c r="U1233" s="300"/>
      <c r="V1233" s="300"/>
      <c r="W1233" s="300"/>
      <c r="X1233" s="300"/>
      <c r="Y1233" s="300"/>
      <c r="Z1233" s="300"/>
      <c r="AL1233" s="267"/>
      <c r="AM1233" s="267"/>
      <c r="AN1233" s="267"/>
      <c r="AO1233" s="267"/>
      <c r="AP1233" s="267"/>
    </row>
    <row r="1234" spans="15:42" x14ac:dyDescent="0.2">
      <c r="O1234" s="300"/>
      <c r="Q1234" s="300"/>
      <c r="R1234" s="300"/>
      <c r="S1234" s="300"/>
      <c r="T1234" s="300"/>
      <c r="U1234" s="300"/>
      <c r="V1234" s="300"/>
      <c r="W1234" s="300"/>
      <c r="X1234" s="300"/>
      <c r="Y1234" s="300"/>
      <c r="Z1234" s="300"/>
      <c r="AL1234" s="267"/>
      <c r="AM1234" s="267"/>
      <c r="AN1234" s="267"/>
      <c r="AO1234" s="267"/>
      <c r="AP1234" s="267"/>
    </row>
    <row r="1235" spans="15:42" x14ac:dyDescent="0.2">
      <c r="O1235" s="300"/>
      <c r="Q1235" s="300"/>
      <c r="R1235" s="300"/>
      <c r="S1235" s="300"/>
      <c r="T1235" s="300"/>
      <c r="U1235" s="300"/>
      <c r="V1235" s="300"/>
      <c r="W1235" s="300"/>
      <c r="X1235" s="300"/>
      <c r="Y1235" s="300"/>
      <c r="Z1235" s="300"/>
      <c r="AL1235" s="267"/>
      <c r="AM1235" s="267"/>
      <c r="AN1235" s="267"/>
      <c r="AO1235" s="267"/>
      <c r="AP1235" s="267"/>
    </row>
    <row r="1236" spans="15:42" x14ac:dyDescent="0.2">
      <c r="O1236" s="300"/>
      <c r="Q1236" s="300"/>
      <c r="R1236" s="300"/>
      <c r="S1236" s="300"/>
      <c r="T1236" s="300"/>
      <c r="U1236" s="300"/>
      <c r="V1236" s="300"/>
      <c r="W1236" s="300"/>
      <c r="X1236" s="300"/>
      <c r="Y1236" s="300"/>
      <c r="Z1236" s="300"/>
      <c r="AL1236" s="267"/>
      <c r="AM1236" s="267"/>
      <c r="AN1236" s="267"/>
      <c r="AO1236" s="267"/>
      <c r="AP1236" s="267"/>
    </row>
    <row r="1237" spans="15:42" x14ac:dyDescent="0.2">
      <c r="O1237" s="300"/>
      <c r="Q1237" s="300"/>
      <c r="R1237" s="300"/>
      <c r="S1237" s="300"/>
      <c r="T1237" s="300"/>
      <c r="U1237" s="300"/>
      <c r="V1237" s="300"/>
      <c r="W1237" s="300"/>
      <c r="X1237" s="300"/>
      <c r="Y1237" s="300"/>
      <c r="Z1237" s="300"/>
      <c r="AL1237" s="267"/>
      <c r="AM1237" s="267"/>
      <c r="AN1237" s="267"/>
      <c r="AO1237" s="267"/>
      <c r="AP1237" s="267"/>
    </row>
    <row r="1238" spans="15:42" x14ac:dyDescent="0.2">
      <c r="O1238" s="300"/>
      <c r="Q1238" s="300"/>
      <c r="R1238" s="300"/>
      <c r="S1238" s="300"/>
      <c r="T1238" s="300"/>
      <c r="U1238" s="300"/>
      <c r="V1238" s="300"/>
      <c r="W1238" s="300"/>
      <c r="X1238" s="300"/>
      <c r="Y1238" s="300"/>
      <c r="Z1238" s="300"/>
      <c r="AL1238" s="267"/>
      <c r="AM1238" s="267"/>
      <c r="AN1238" s="267"/>
      <c r="AO1238" s="267"/>
      <c r="AP1238" s="267"/>
    </row>
    <row r="1239" spans="15:42" x14ac:dyDescent="0.2">
      <c r="O1239" s="300"/>
      <c r="Q1239" s="300"/>
      <c r="R1239" s="300"/>
      <c r="S1239" s="300"/>
      <c r="T1239" s="300"/>
      <c r="U1239" s="300"/>
      <c r="V1239" s="300"/>
      <c r="W1239" s="300"/>
      <c r="X1239" s="300"/>
      <c r="Y1239" s="300"/>
      <c r="Z1239" s="300"/>
      <c r="AL1239" s="267"/>
      <c r="AM1239" s="267"/>
      <c r="AN1239" s="267"/>
      <c r="AO1239" s="267"/>
      <c r="AP1239" s="267"/>
    </row>
    <row r="1240" spans="15:42" x14ac:dyDescent="0.2">
      <c r="O1240" s="300"/>
      <c r="Q1240" s="300"/>
      <c r="R1240" s="300"/>
      <c r="S1240" s="300"/>
      <c r="T1240" s="300"/>
      <c r="U1240" s="300"/>
      <c r="V1240" s="300"/>
      <c r="W1240" s="300"/>
      <c r="X1240" s="300"/>
      <c r="Y1240" s="300"/>
      <c r="Z1240" s="300"/>
      <c r="AL1240" s="267"/>
      <c r="AM1240" s="267"/>
      <c r="AN1240" s="267"/>
      <c r="AO1240" s="267"/>
      <c r="AP1240" s="267"/>
    </row>
    <row r="1241" spans="15:42" x14ac:dyDescent="0.2">
      <c r="O1241" s="300"/>
      <c r="Q1241" s="300"/>
      <c r="R1241" s="300"/>
      <c r="S1241" s="300"/>
      <c r="T1241" s="300"/>
      <c r="U1241" s="300"/>
      <c r="V1241" s="300"/>
      <c r="W1241" s="300"/>
      <c r="X1241" s="300"/>
      <c r="Y1241" s="300"/>
      <c r="Z1241" s="300"/>
      <c r="AL1241" s="267"/>
      <c r="AM1241" s="267"/>
      <c r="AN1241" s="267"/>
      <c r="AO1241" s="267"/>
      <c r="AP1241" s="267"/>
    </row>
    <row r="1242" spans="15:42" x14ac:dyDescent="0.2">
      <c r="O1242" s="300"/>
      <c r="Q1242" s="300"/>
      <c r="R1242" s="300"/>
      <c r="S1242" s="300"/>
      <c r="T1242" s="300"/>
      <c r="U1242" s="300"/>
      <c r="V1242" s="300"/>
      <c r="W1242" s="300"/>
      <c r="X1242" s="300"/>
      <c r="Y1242" s="300"/>
      <c r="Z1242" s="300"/>
      <c r="AL1242" s="267"/>
      <c r="AM1242" s="267"/>
      <c r="AN1242" s="267"/>
      <c r="AO1242" s="267"/>
      <c r="AP1242" s="267"/>
    </row>
    <row r="1243" spans="15:42" x14ac:dyDescent="0.2">
      <c r="O1243" s="300"/>
      <c r="Q1243" s="300"/>
      <c r="R1243" s="300"/>
      <c r="S1243" s="300"/>
      <c r="T1243" s="300"/>
      <c r="U1243" s="300"/>
      <c r="V1243" s="300"/>
      <c r="W1243" s="300"/>
      <c r="X1243" s="300"/>
      <c r="Y1243" s="300"/>
      <c r="Z1243" s="300"/>
      <c r="AL1243" s="267"/>
      <c r="AM1243" s="267"/>
      <c r="AN1243" s="267"/>
      <c r="AO1243" s="267"/>
      <c r="AP1243" s="267"/>
    </row>
    <row r="1244" spans="15:42" x14ac:dyDescent="0.2">
      <c r="O1244" s="300"/>
      <c r="Q1244" s="300"/>
      <c r="R1244" s="300"/>
      <c r="S1244" s="300"/>
      <c r="T1244" s="300"/>
      <c r="U1244" s="300"/>
      <c r="V1244" s="300"/>
      <c r="W1244" s="300"/>
      <c r="X1244" s="300"/>
      <c r="Y1244" s="300"/>
      <c r="Z1244" s="300"/>
      <c r="AL1244" s="267"/>
      <c r="AM1244" s="267"/>
      <c r="AN1244" s="267"/>
      <c r="AO1244" s="267"/>
      <c r="AP1244" s="267"/>
    </row>
    <row r="1245" spans="15:42" x14ac:dyDescent="0.2">
      <c r="O1245" s="300"/>
      <c r="Q1245" s="300"/>
      <c r="R1245" s="300"/>
      <c r="S1245" s="300"/>
      <c r="T1245" s="300"/>
      <c r="U1245" s="300"/>
      <c r="V1245" s="300"/>
      <c r="W1245" s="300"/>
      <c r="X1245" s="300"/>
      <c r="Y1245" s="300"/>
      <c r="Z1245" s="300"/>
      <c r="AL1245" s="267"/>
      <c r="AM1245" s="267"/>
      <c r="AN1245" s="267"/>
      <c r="AO1245" s="267"/>
      <c r="AP1245" s="267"/>
    </row>
    <row r="1246" spans="15:42" x14ac:dyDescent="0.2">
      <c r="O1246" s="300"/>
      <c r="Q1246" s="300"/>
      <c r="R1246" s="300"/>
      <c r="S1246" s="300"/>
      <c r="T1246" s="300"/>
      <c r="U1246" s="300"/>
      <c r="V1246" s="300"/>
      <c r="W1246" s="300"/>
      <c r="X1246" s="300"/>
      <c r="Y1246" s="300"/>
      <c r="Z1246" s="300"/>
      <c r="AL1246" s="267"/>
      <c r="AM1246" s="267"/>
      <c r="AN1246" s="267"/>
      <c r="AO1246" s="267"/>
      <c r="AP1246" s="267"/>
    </row>
    <row r="1247" spans="15:42" x14ac:dyDescent="0.2">
      <c r="O1247" s="300"/>
      <c r="Q1247" s="300"/>
      <c r="R1247" s="300"/>
      <c r="S1247" s="300"/>
      <c r="T1247" s="300"/>
      <c r="U1247" s="300"/>
      <c r="V1247" s="300"/>
      <c r="W1247" s="300"/>
      <c r="X1247" s="300"/>
      <c r="Y1247" s="300"/>
      <c r="Z1247" s="300"/>
      <c r="AL1247" s="267"/>
      <c r="AM1247" s="267"/>
      <c r="AN1247" s="267"/>
      <c r="AO1247" s="267"/>
      <c r="AP1247" s="267"/>
    </row>
    <row r="1248" spans="15:42" x14ac:dyDescent="0.2">
      <c r="O1248" s="300"/>
      <c r="Q1248" s="300"/>
      <c r="R1248" s="300"/>
      <c r="S1248" s="300"/>
      <c r="T1248" s="300"/>
      <c r="U1248" s="300"/>
      <c r="V1248" s="300"/>
      <c r="W1248" s="300"/>
      <c r="X1248" s="300"/>
      <c r="Y1248" s="300"/>
      <c r="Z1248" s="300"/>
      <c r="AL1248" s="267"/>
      <c r="AM1248" s="267"/>
      <c r="AN1248" s="267"/>
      <c r="AO1248" s="267"/>
      <c r="AP1248" s="267"/>
    </row>
    <row r="1249" spans="15:42" x14ac:dyDescent="0.2">
      <c r="O1249" s="300"/>
      <c r="Q1249" s="300"/>
      <c r="R1249" s="300"/>
      <c r="S1249" s="300"/>
      <c r="T1249" s="300"/>
      <c r="U1249" s="300"/>
      <c r="V1249" s="300"/>
      <c r="W1249" s="300"/>
      <c r="X1249" s="300"/>
      <c r="Y1249" s="300"/>
      <c r="Z1249" s="300"/>
      <c r="AL1249" s="267"/>
      <c r="AM1249" s="267"/>
      <c r="AN1249" s="267"/>
      <c r="AO1249" s="267"/>
      <c r="AP1249" s="267"/>
    </row>
    <row r="1250" spans="15:42" x14ac:dyDescent="0.2">
      <c r="O1250" s="300"/>
      <c r="Q1250" s="300"/>
      <c r="R1250" s="300"/>
      <c r="S1250" s="300"/>
      <c r="T1250" s="300"/>
      <c r="U1250" s="300"/>
      <c r="V1250" s="300"/>
      <c r="W1250" s="300"/>
      <c r="X1250" s="300"/>
      <c r="Y1250" s="300"/>
      <c r="Z1250" s="300"/>
      <c r="AL1250" s="267"/>
      <c r="AM1250" s="267"/>
      <c r="AN1250" s="267"/>
      <c r="AO1250" s="267"/>
      <c r="AP1250" s="267"/>
    </row>
  </sheetData>
  <phoneticPr fontId="0" type="noConversion"/>
  <pageMargins left="0.75" right="0.75" top="1" bottom="1" header="0.5" footer="0.5"/>
  <pageSetup paperSize="9" orientation="landscape" horizont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AV128"/>
  <sheetViews>
    <sheetView zoomScale="80" zoomScaleNormal="80" workbookViewId="0">
      <selection activeCell="D55" sqref="D55"/>
    </sheetView>
  </sheetViews>
  <sheetFormatPr defaultColWidth="9.140625" defaultRowHeight="12.75" x14ac:dyDescent="0.2"/>
  <cols>
    <col min="1" max="1" width="27.85546875" style="15" customWidth="1"/>
    <col min="2" max="2" width="23.42578125" style="15" customWidth="1"/>
    <col min="3" max="3" width="33.28515625" style="15" customWidth="1"/>
    <col min="4" max="4" width="13.140625" style="15" customWidth="1"/>
    <col min="5" max="5" width="11.28515625" style="15" customWidth="1"/>
    <col min="6" max="6" width="9.5703125" style="15" bestFit="1" customWidth="1"/>
    <col min="7" max="7" width="11" style="15" customWidth="1"/>
    <col min="8" max="8" width="14.42578125" style="15" customWidth="1"/>
    <col min="9" max="9" width="10" style="15" bestFit="1" customWidth="1"/>
    <col min="10" max="10" width="9.140625" style="15"/>
    <col min="11" max="11" width="10.42578125" style="15" customWidth="1"/>
    <col min="12" max="12" width="11.5703125" style="15" bestFit="1" customWidth="1"/>
    <col min="13" max="13" width="9.140625" style="15"/>
    <col min="14" max="14" width="20.42578125" style="15" customWidth="1"/>
    <col min="15" max="15" width="9.140625" style="15" customWidth="1"/>
    <col min="16" max="16" width="12" style="15" bestFit="1" customWidth="1"/>
    <col min="17" max="17" width="10.5703125" style="15" customWidth="1"/>
    <col min="18" max="18" width="37" style="15" bestFit="1" customWidth="1"/>
    <col min="19" max="19" width="22.42578125" style="15" bestFit="1" customWidth="1"/>
    <col min="20" max="20" width="13.85546875" style="15" bestFit="1" customWidth="1"/>
    <col min="21" max="21" width="10.7109375" style="15" bestFit="1" customWidth="1"/>
    <col min="22" max="22" width="10.140625" style="15" customWidth="1"/>
    <col min="23" max="23" width="9.5703125" style="15" bestFit="1" customWidth="1"/>
    <col min="24" max="28" width="9.140625" style="15"/>
    <col min="29" max="29" width="10.7109375" style="15" customWidth="1"/>
    <col min="30" max="43" width="9.140625" style="15"/>
    <col min="44" max="44" width="10.7109375" style="15" customWidth="1"/>
    <col min="45" max="16384" width="9.140625" style="15"/>
  </cols>
  <sheetData>
    <row r="1" spans="1:24" s="19" customFormat="1" x14ac:dyDescent="0.2">
      <c r="A1" s="18" t="s">
        <v>293</v>
      </c>
      <c r="G1" s="153"/>
    </row>
    <row r="2" spans="1:24" s="19" customFormat="1" x14ac:dyDescent="0.2">
      <c r="A2" s="18" t="s">
        <v>294</v>
      </c>
      <c r="G2" s="153"/>
    </row>
    <row r="3" spans="1:24" s="19" customFormat="1" x14ac:dyDescent="0.2">
      <c r="A3" s="18" t="s">
        <v>295</v>
      </c>
      <c r="G3" s="153"/>
    </row>
    <row r="4" spans="1:24" s="19" customFormat="1" x14ac:dyDescent="0.2">
      <c r="A4" s="18" t="s">
        <v>296</v>
      </c>
      <c r="G4" s="153"/>
    </row>
    <row r="6" spans="1:24" x14ac:dyDescent="0.2">
      <c r="A6" s="18" t="s">
        <v>297</v>
      </c>
      <c r="N6" s="15" t="s">
        <v>298</v>
      </c>
    </row>
    <row r="8" spans="1:24" x14ac:dyDescent="0.2">
      <c r="B8" s="103"/>
      <c r="C8" s="103"/>
      <c r="D8" s="103"/>
      <c r="E8" s="103"/>
      <c r="F8" s="103"/>
      <c r="G8" s="103"/>
      <c r="H8" s="103"/>
      <c r="I8" s="103"/>
      <c r="J8" s="103"/>
      <c r="K8" s="103"/>
      <c r="N8" s="395" t="s">
        <v>299</v>
      </c>
      <c r="O8" s="395"/>
      <c r="P8" s="395"/>
      <c r="R8" s="15" t="s">
        <v>300</v>
      </c>
    </row>
    <row r="9" spans="1:24" x14ac:dyDescent="0.2">
      <c r="A9" s="15" t="s">
        <v>301</v>
      </c>
      <c r="B9" s="18" t="s">
        <v>302</v>
      </c>
      <c r="C9" s="103"/>
      <c r="D9" s="103" t="s">
        <v>303</v>
      </c>
      <c r="E9" s="149" t="s">
        <v>304</v>
      </c>
      <c r="F9" s="103" t="s">
        <v>303</v>
      </c>
      <c r="H9" s="103"/>
      <c r="I9" s="103"/>
      <c r="J9" s="103"/>
      <c r="K9" s="103"/>
      <c r="N9" s="18" t="s">
        <v>305</v>
      </c>
      <c r="R9" s="18" t="s">
        <v>306</v>
      </c>
      <c r="S9" s="18"/>
      <c r="T9" s="18"/>
      <c r="U9" s="18"/>
    </row>
    <row r="10" spans="1:24" x14ac:dyDescent="0.2">
      <c r="A10" s="15" t="s">
        <v>307</v>
      </c>
      <c r="B10" s="15" t="s">
        <v>308</v>
      </c>
      <c r="C10" s="151">
        <f>('VMT NYC'!X26+'VMT NYC'!X34)/1000000000</f>
        <v>0.81164633238639994</v>
      </c>
      <c r="D10" s="31">
        <f>C10/(C11+C10)</f>
        <v>0.92669581295226833</v>
      </c>
      <c r="E10" s="39">
        <f>C10*(0.982)^5</f>
        <v>0.74118098585771708</v>
      </c>
      <c r="F10" s="31">
        <f>E10/(E10+E11)</f>
        <v>0.92669581295226833</v>
      </c>
      <c r="O10" s="15" t="s">
        <v>309</v>
      </c>
      <c r="P10" s="15" t="s">
        <v>310</v>
      </c>
      <c r="R10" s="15" t="s">
        <v>311</v>
      </c>
      <c r="T10" s="15" t="s">
        <v>312</v>
      </c>
    </row>
    <row r="11" spans="1:24" x14ac:dyDescent="0.2">
      <c r="B11" s="15" t="s">
        <v>313</v>
      </c>
      <c r="C11" s="151">
        <f>('VMT NYC'!X24+'VMT NYC'!X33)/1000000000</f>
        <v>6.4203456770039996E-2</v>
      </c>
      <c r="D11" s="31">
        <f>C11/(C11+C10)</f>
        <v>7.3304187047731645E-2</v>
      </c>
      <c r="E11" s="39">
        <f>C11*(0.982)^5</f>
        <v>5.8629454092866087E-2</v>
      </c>
      <c r="F11" s="31">
        <f>E11/(E10+E11)</f>
        <v>7.3304187047731645E-2</v>
      </c>
      <c r="N11" s="15" t="s">
        <v>314</v>
      </c>
      <c r="O11" s="154" t="e">
        <f>#REF!+#REF!</f>
        <v>#REF!</v>
      </c>
      <c r="P11" s="39" t="e">
        <f t="shared" ref="P11:P16" si="0">O11/(SUM(O$11:O$15))</f>
        <v>#REF!</v>
      </c>
      <c r="R11" s="15" t="s">
        <v>315</v>
      </c>
      <c r="T11" s="15">
        <f>S11/(SUM(S$11:S$15))</f>
        <v>0</v>
      </c>
    </row>
    <row r="12" spans="1:24" x14ac:dyDescent="0.2">
      <c r="B12" s="18" t="s">
        <v>316</v>
      </c>
      <c r="C12" s="26">
        <f>R33</f>
        <v>19.638588278690499</v>
      </c>
      <c r="D12" s="39"/>
      <c r="E12" s="39">
        <f>E77</f>
        <v>19.657033168520002</v>
      </c>
      <c r="F12" s="39"/>
      <c r="G12" s="39"/>
      <c r="N12" s="15" t="s">
        <v>317</v>
      </c>
      <c r="O12" s="154" t="e">
        <f>#REF!</f>
        <v>#REF!</v>
      </c>
      <c r="P12" s="39" t="e">
        <f t="shared" si="0"/>
        <v>#REF!</v>
      </c>
      <c r="R12" s="15" t="s">
        <v>318</v>
      </c>
      <c r="S12" s="60">
        <f>'TED10'!T19</f>
        <v>5219</v>
      </c>
      <c r="T12" s="15">
        <f>S12/(SUM(S$11:S$15))</f>
        <v>1.3369470267722425E-2</v>
      </c>
    </row>
    <row r="13" spans="1:24" x14ac:dyDescent="0.2">
      <c r="A13" s="149" t="s">
        <v>319</v>
      </c>
      <c r="B13" s="18" t="s">
        <v>320</v>
      </c>
      <c r="C13" s="18" t="s">
        <v>321</v>
      </c>
      <c r="D13" s="103" t="s">
        <v>322</v>
      </c>
      <c r="E13" s="15" t="s">
        <v>323</v>
      </c>
      <c r="F13" s="15" t="s">
        <v>324</v>
      </c>
      <c r="G13" s="15" t="s">
        <v>325</v>
      </c>
      <c r="H13" s="15" t="s">
        <v>326</v>
      </c>
      <c r="I13" s="15" t="s">
        <v>327</v>
      </c>
      <c r="J13" s="15" t="s">
        <v>328</v>
      </c>
      <c r="K13" s="15" t="s">
        <v>329</v>
      </c>
      <c r="L13" s="15" t="s">
        <v>330</v>
      </c>
      <c r="N13" s="15" t="s">
        <v>331</v>
      </c>
      <c r="O13" s="154" t="e">
        <f>#REF!</f>
        <v>#REF!</v>
      </c>
      <c r="P13" s="39" t="e">
        <f t="shared" si="0"/>
        <v>#REF!</v>
      </c>
      <c r="R13" s="15" t="s">
        <v>332</v>
      </c>
      <c r="S13" s="60">
        <f>'TED10'!T18</f>
        <v>38074</v>
      </c>
      <c r="T13" s="15">
        <f>S13/(SUM(S$11:S$15))</f>
        <v>9.7533859163300179E-2</v>
      </c>
    </row>
    <row r="14" spans="1:24" x14ac:dyDescent="0.2">
      <c r="A14" s="103"/>
      <c r="B14" s="103"/>
      <c r="C14" s="155"/>
      <c r="D14" s="39"/>
      <c r="E14" s="39"/>
      <c r="F14" s="39"/>
      <c r="G14" s="39"/>
      <c r="H14" s="39"/>
      <c r="I14" s="39"/>
      <c r="J14" s="39"/>
      <c r="K14" s="39"/>
      <c r="L14" s="39"/>
      <c r="N14" s="15" t="s">
        <v>333</v>
      </c>
      <c r="O14" s="154" t="e">
        <f>#REF!+#REF!</f>
        <v>#REF!</v>
      </c>
      <c r="P14" s="39" t="e">
        <f t="shared" si="0"/>
        <v>#REF!</v>
      </c>
      <c r="R14" s="15" t="s">
        <v>334</v>
      </c>
      <c r="S14" s="60">
        <f>'TED10'!S16</f>
        <v>158903</v>
      </c>
      <c r="T14" s="15">
        <f>S14/(SUM(S$11:S$15))</f>
        <v>0.40706053534238296</v>
      </c>
    </row>
    <row r="15" spans="1:24" x14ac:dyDescent="0.2">
      <c r="A15" s="103" t="s">
        <v>335</v>
      </c>
      <c r="B15" s="15" t="s">
        <v>336</v>
      </c>
      <c r="C15" s="156">
        <f>'VMT NYC'!C69/'VMT NYC'!D$77</f>
        <v>0.2212249205734749</v>
      </c>
      <c r="D15" s="39">
        <f>N86</f>
        <v>2.7631647076330233E-2</v>
      </c>
      <c r="E15" s="39">
        <f t="shared" ref="D15:F19" si="1">O86</f>
        <v>0.46605378068743653</v>
      </c>
      <c r="F15" s="39">
        <f t="shared" si="1"/>
        <v>0.3866755945408879</v>
      </c>
      <c r="G15" s="39">
        <f>I86</f>
        <v>0.88036102230465485</v>
      </c>
      <c r="H15" s="39">
        <f t="shared" ref="H15:K19" si="2">Q86</f>
        <v>1.8764479066224755E-2</v>
      </c>
      <c r="I15" s="39">
        <f t="shared" si="2"/>
        <v>1.5986613919485339E-2</v>
      </c>
      <c r="J15" s="39">
        <f t="shared" si="2"/>
        <v>1.1583697661903362E-2</v>
      </c>
      <c r="K15" s="39">
        <f t="shared" si="2"/>
        <v>7.3304187047731645E-2</v>
      </c>
      <c r="L15" s="39">
        <f>J86</f>
        <v>0.11963897769534509</v>
      </c>
      <c r="N15" s="15" t="s">
        <v>337</v>
      </c>
      <c r="O15" s="154" t="e">
        <f>#REF!+#REF!</f>
        <v>#REF!</v>
      </c>
      <c r="P15" s="39" t="e">
        <f t="shared" si="0"/>
        <v>#REF!</v>
      </c>
      <c r="R15" s="15" t="s">
        <v>338</v>
      </c>
      <c r="S15" s="60">
        <f>'TED10'!T15</f>
        <v>188171</v>
      </c>
      <c r="T15" s="15">
        <f>S15/(SUM(S$11:S$15))</f>
        <v>0.48203613522659444</v>
      </c>
      <c r="X15" s="151"/>
    </row>
    <row r="16" spans="1:24" x14ac:dyDescent="0.2">
      <c r="A16" s="103" t="s">
        <v>339</v>
      </c>
      <c r="B16" s="15" t="s">
        <v>340</v>
      </c>
      <c r="C16" s="156">
        <f>'VMT NYC'!C70/'VMT NYC'!D$77</f>
        <v>0.15312078758012737</v>
      </c>
      <c r="D16" s="39">
        <f t="shared" si="1"/>
        <v>2.7631647076330233E-2</v>
      </c>
      <c r="E16" s="39">
        <f t="shared" si="1"/>
        <v>0.46605378068743653</v>
      </c>
      <c r="F16" s="39">
        <f>P87</f>
        <v>0.3866755945408879</v>
      </c>
      <c r="G16" s="39">
        <f>I87</f>
        <v>0.88036102230465485</v>
      </c>
      <c r="H16" s="39">
        <f t="shared" si="2"/>
        <v>1.8764479066224766E-2</v>
      </c>
      <c r="I16" s="39">
        <f t="shared" si="2"/>
        <v>1.5986613919485349E-2</v>
      </c>
      <c r="J16" s="39">
        <f t="shared" si="2"/>
        <v>1.1583697661903371E-2</v>
      </c>
      <c r="K16" s="39">
        <f t="shared" si="2"/>
        <v>7.3304187047731645E-2</v>
      </c>
      <c r="L16" s="39">
        <f>J87</f>
        <v>0.11963897769534512</v>
      </c>
      <c r="N16" s="15" t="s">
        <v>341</v>
      </c>
      <c r="O16" s="154" t="e">
        <f>#REF!</f>
        <v>#REF!</v>
      </c>
      <c r="P16" s="39" t="e">
        <f t="shared" si="0"/>
        <v>#REF!</v>
      </c>
      <c r="W16" s="151"/>
    </row>
    <row r="17" spans="1:23" x14ac:dyDescent="0.2">
      <c r="A17" s="103" t="s">
        <v>342</v>
      </c>
      <c r="B17" s="15" t="s">
        <v>343</v>
      </c>
      <c r="C17" s="156">
        <f>'VMT NYC'!C71/'VMT NYC'!D$77</f>
        <v>0.158052954900851</v>
      </c>
      <c r="D17" s="39">
        <f t="shared" si="1"/>
        <v>2.7631647076330233E-2</v>
      </c>
      <c r="E17" s="39">
        <f t="shared" si="1"/>
        <v>0.46605378068743653</v>
      </c>
      <c r="F17" s="39">
        <f t="shared" si="1"/>
        <v>0.3866755945408879</v>
      </c>
      <c r="G17" s="39">
        <f>I88</f>
        <v>0.88036102230465485</v>
      </c>
      <c r="H17" s="39">
        <f t="shared" si="2"/>
        <v>1.8764479066224759E-2</v>
      </c>
      <c r="I17" s="39">
        <f t="shared" si="2"/>
        <v>1.5986613919485342E-2</v>
      </c>
      <c r="J17" s="39">
        <f t="shared" si="2"/>
        <v>1.1583697661903368E-2</v>
      </c>
      <c r="K17" s="39">
        <f t="shared" si="2"/>
        <v>7.3304187047731645E-2</v>
      </c>
      <c r="L17" s="39">
        <f>J88</f>
        <v>0.11963897769534512</v>
      </c>
      <c r="N17" s="15" t="s">
        <v>344</v>
      </c>
      <c r="O17" s="154" t="e">
        <f>SUM(O11:O16)</f>
        <v>#REF!</v>
      </c>
      <c r="P17" s="39" t="e">
        <f>SUM(P13:P16)</f>
        <v>#REF!</v>
      </c>
    </row>
    <row r="18" spans="1:23" x14ac:dyDescent="0.2">
      <c r="A18" s="103"/>
      <c r="B18" s="15" t="s">
        <v>345</v>
      </c>
      <c r="C18" s="156">
        <f>'VMT NYC'!C72/'VMT NYC'!D$77</f>
        <v>0.10328357342046898</v>
      </c>
      <c r="D18" s="39">
        <f t="shared" si="1"/>
        <v>2.7631647076330236E-2</v>
      </c>
      <c r="E18" s="39">
        <f t="shared" si="1"/>
        <v>0.46605378068743658</v>
      </c>
      <c r="F18" s="39">
        <f t="shared" si="1"/>
        <v>0.38667559454088796</v>
      </c>
      <c r="G18" s="39">
        <f>I89</f>
        <v>0.88036102230465496</v>
      </c>
      <c r="H18" s="39">
        <f t="shared" si="2"/>
        <v>1.8764479066224742E-2</v>
      </c>
      <c r="I18" s="39">
        <f t="shared" si="2"/>
        <v>1.5986613919485325E-2</v>
      </c>
      <c r="J18" s="39">
        <f t="shared" si="2"/>
        <v>1.1583697661903354E-2</v>
      </c>
      <c r="K18" s="39">
        <f t="shared" si="2"/>
        <v>7.3304187047731645E-2</v>
      </c>
      <c r="L18" s="39">
        <f>J89</f>
        <v>0.11963897769534507</v>
      </c>
      <c r="T18" s="151"/>
    </row>
    <row r="19" spans="1:23" x14ac:dyDescent="0.2">
      <c r="A19" s="103"/>
      <c r="B19" s="15" t="s">
        <v>346</v>
      </c>
      <c r="C19" s="156">
        <f>'VMT NYC'!C73/'VMT NYC'!D$77</f>
        <v>0.36431776352507778</v>
      </c>
      <c r="D19" s="39">
        <f t="shared" si="1"/>
        <v>2.9085944290873932E-2</v>
      </c>
      <c r="E19" s="39">
        <f t="shared" si="1"/>
        <v>0.49058292703940692</v>
      </c>
      <c r="F19" s="39">
        <f t="shared" si="1"/>
        <v>0.40702694162198733</v>
      </c>
      <c r="G19" s="39">
        <f>I90</f>
        <v>0.92669581295226833</v>
      </c>
      <c r="H19" s="39">
        <f t="shared" si="2"/>
        <v>-3.5787506532090699E-18</v>
      </c>
      <c r="I19" s="39">
        <f t="shared" si="2"/>
        <v>-3.0489578103949955E-18</v>
      </c>
      <c r="J19" s="39">
        <f t="shared" si="2"/>
        <v>0</v>
      </c>
      <c r="K19" s="39">
        <f t="shared" si="2"/>
        <v>7.3304187047731645E-2</v>
      </c>
      <c r="L19" s="39">
        <f>J90</f>
        <v>7.3304187047731645E-2</v>
      </c>
    </row>
    <row r="20" spans="1:23" x14ac:dyDescent="0.2">
      <c r="A20" s="103"/>
      <c r="C20" s="155"/>
      <c r="D20" s="39"/>
      <c r="E20" s="39"/>
      <c r="F20" s="39"/>
      <c r="G20" s="39"/>
      <c r="H20" s="39"/>
      <c r="I20" s="39"/>
      <c r="J20" s="39"/>
      <c r="K20" s="39"/>
      <c r="L20" s="39"/>
      <c r="N20" s="15" t="s">
        <v>347</v>
      </c>
      <c r="O20" s="15" t="s">
        <v>348</v>
      </c>
      <c r="Q20" s="15" t="s">
        <v>349</v>
      </c>
    </row>
    <row r="21" spans="1:23" x14ac:dyDescent="0.2">
      <c r="A21" s="103"/>
      <c r="C21" s="155"/>
      <c r="D21" s="39"/>
      <c r="E21" s="39"/>
      <c r="F21" s="39"/>
      <c r="G21" s="39"/>
      <c r="H21" s="39"/>
      <c r="I21" s="39"/>
      <c r="J21" s="39"/>
      <c r="K21" s="39"/>
      <c r="L21" s="39"/>
      <c r="N21" s="15" t="s">
        <v>350</v>
      </c>
      <c r="O21" s="31">
        <v>0.25</v>
      </c>
      <c r="P21" s="31">
        <f>1-O21</f>
        <v>0.75</v>
      </c>
      <c r="Q21" s="31">
        <v>0.3</v>
      </c>
      <c r="R21" s="31">
        <f>1-Q21</f>
        <v>0.7</v>
      </c>
    </row>
    <row r="22" spans="1:23" x14ac:dyDescent="0.2">
      <c r="A22" s="103"/>
      <c r="C22" s="155">
        <f>'VMT NYC'!C76</f>
        <v>0</v>
      </c>
      <c r="D22" s="39">
        <f>N93</f>
        <v>0.13961253259619488</v>
      </c>
      <c r="E22" s="39">
        <f>O93</f>
        <v>2.354798049789153</v>
      </c>
      <c r="F22" s="39">
        <f>P93</f>
        <v>1.953729319785539</v>
      </c>
      <c r="G22" s="39">
        <f>I93</f>
        <v>4.4481399021708885</v>
      </c>
      <c r="H22" s="39">
        <f>Q93</f>
        <v>7.5057916264899022E-2</v>
      </c>
      <c r="I22" s="39">
        <f>R93</f>
        <v>6.3946455677941355E-2</v>
      </c>
      <c r="J22" s="39">
        <f>S93</f>
        <v>4.6334790647613457E-2</v>
      </c>
      <c r="K22" s="39">
        <f>T93</f>
        <v>0.36652093523865825</v>
      </c>
      <c r="L22" s="39">
        <f>J93</f>
        <v>0.55186009782911205</v>
      </c>
      <c r="N22" s="15" t="s">
        <v>351</v>
      </c>
      <c r="O22" s="31">
        <v>0.5</v>
      </c>
      <c r="P22" s="31">
        <f>1-O22</f>
        <v>0.5</v>
      </c>
      <c r="Q22" s="31">
        <v>0.59</v>
      </c>
      <c r="R22" s="31">
        <f>1-Q22</f>
        <v>0.41000000000000003</v>
      </c>
    </row>
    <row r="23" spans="1:23" x14ac:dyDescent="0.2">
      <c r="A23" s="149" t="s">
        <v>352</v>
      </c>
      <c r="C23" s="157">
        <f>SUM(C13:C22)</f>
        <v>1</v>
      </c>
      <c r="D23" s="157">
        <f t="shared" ref="D23:L23" si="3">SUM(D15:D19)</f>
        <v>0.13961253259619488</v>
      </c>
      <c r="E23" s="157">
        <f t="shared" si="3"/>
        <v>2.354798049789153</v>
      </c>
      <c r="F23" s="157">
        <f t="shared" si="3"/>
        <v>1.953729319785539</v>
      </c>
      <c r="G23" s="157">
        <f t="shared" si="3"/>
        <v>4.4481399021708885</v>
      </c>
      <c r="H23" s="157">
        <f t="shared" si="3"/>
        <v>7.5057916264899022E-2</v>
      </c>
      <c r="I23" s="157">
        <f t="shared" si="3"/>
        <v>6.3946455677941355E-2</v>
      </c>
      <c r="J23" s="157">
        <f t="shared" si="3"/>
        <v>4.6334790647613457E-2</v>
      </c>
      <c r="K23" s="157">
        <f t="shared" si="3"/>
        <v>0.36652093523865825</v>
      </c>
      <c r="L23" s="157">
        <f t="shared" si="3"/>
        <v>0.55186009782911205</v>
      </c>
      <c r="N23" s="15" t="s">
        <v>353</v>
      </c>
      <c r="O23" s="31">
        <v>0.75</v>
      </c>
      <c r="P23" s="31">
        <f>1-O23</f>
        <v>0.25</v>
      </c>
      <c r="Q23" s="31">
        <v>0.84</v>
      </c>
      <c r="R23" s="31">
        <f>1-Q23</f>
        <v>0.16000000000000003</v>
      </c>
    </row>
    <row r="24" spans="1:23" x14ac:dyDescent="0.2">
      <c r="A24" s="103"/>
      <c r="N24" s="15" t="s">
        <v>354</v>
      </c>
      <c r="O24" s="31">
        <v>0.95</v>
      </c>
      <c r="P24" s="31">
        <f>1-O24</f>
        <v>5.0000000000000044E-2</v>
      </c>
      <c r="Q24" s="31">
        <v>0.92</v>
      </c>
      <c r="R24" s="31">
        <f>1-Q24</f>
        <v>7.999999999999996E-2</v>
      </c>
    </row>
    <row r="25" spans="1:23" x14ac:dyDescent="0.2">
      <c r="A25" s="103"/>
      <c r="O25" s="31"/>
      <c r="P25" s="31"/>
      <c r="Q25" s="31"/>
      <c r="R25" s="31"/>
    </row>
    <row r="26" spans="1:23" x14ac:dyDescent="0.2">
      <c r="A26" s="103"/>
      <c r="D26" s="395" t="s">
        <v>355</v>
      </c>
      <c r="E26" s="395"/>
      <c r="F26" s="395"/>
      <c r="G26" s="395"/>
      <c r="H26" s="395" t="s">
        <v>356</v>
      </c>
      <c r="I26" s="395"/>
      <c r="J26" s="395"/>
      <c r="K26" s="395"/>
      <c r="L26" s="395"/>
      <c r="N26" s="26">
        <f>'GHG Reports'!C105</f>
        <v>198.37530432325434</v>
      </c>
      <c r="O26" s="26">
        <f>'GHG Reports'!C101</f>
        <v>2.0419384084569474</v>
      </c>
    </row>
    <row r="27" spans="1:23" x14ac:dyDescent="0.2">
      <c r="A27" s="103"/>
      <c r="D27" s="395" t="s">
        <v>315</v>
      </c>
      <c r="E27" s="395"/>
      <c r="F27" s="395"/>
      <c r="G27" s="15" t="s">
        <v>357</v>
      </c>
      <c r="H27" s="395" t="s">
        <v>315</v>
      </c>
      <c r="I27" s="395"/>
      <c r="J27" s="395"/>
      <c r="K27" s="395"/>
      <c r="L27" s="15" t="s">
        <v>357</v>
      </c>
      <c r="N27" s="396" t="s">
        <v>358</v>
      </c>
      <c r="O27" s="396"/>
      <c r="P27" s="395" t="s">
        <v>359</v>
      </c>
      <c r="Q27" s="395"/>
      <c r="R27" s="395"/>
      <c r="S27" s="395"/>
      <c r="T27" s="395"/>
      <c r="U27" s="395"/>
      <c r="V27" s="395"/>
    </row>
    <row r="28" spans="1:23" x14ac:dyDescent="0.2">
      <c r="A28" s="103"/>
      <c r="D28" s="103" t="s">
        <v>322</v>
      </c>
      <c r="E28" s="15" t="s">
        <v>323</v>
      </c>
      <c r="F28" s="15" t="s">
        <v>324</v>
      </c>
      <c r="G28" s="15" t="s">
        <v>324</v>
      </c>
      <c r="H28" s="15" t="s">
        <v>326</v>
      </c>
      <c r="I28" s="15" t="s">
        <v>327</v>
      </c>
      <c r="J28" s="15" t="s">
        <v>328</v>
      </c>
      <c r="K28" s="15" t="s">
        <v>329</v>
      </c>
      <c r="L28" s="15" t="s">
        <v>329</v>
      </c>
      <c r="N28" s="15" t="s">
        <v>315</v>
      </c>
      <c r="O28" s="15" t="s">
        <v>357</v>
      </c>
      <c r="P28" s="15" t="s">
        <v>315</v>
      </c>
      <c r="Q28" s="15" t="s">
        <v>357</v>
      </c>
    </row>
    <row r="29" spans="1:23" x14ac:dyDescent="0.2">
      <c r="A29" s="103"/>
      <c r="D29" s="39">
        <f>D15</f>
        <v>2.7631647076330233E-2</v>
      </c>
      <c r="E29" s="39">
        <f t="shared" ref="E29" si="4">E15</f>
        <v>0.46605378068743653</v>
      </c>
      <c r="F29" s="39">
        <f>F15/2</f>
        <v>0.19333779727044395</v>
      </c>
      <c r="G29" s="39">
        <f>F29</f>
        <v>0.19333779727044395</v>
      </c>
      <c r="H29" s="39">
        <f>H15</f>
        <v>1.8764479066224755E-2</v>
      </c>
      <c r="I29" s="39">
        <f t="shared" ref="I29:J29" si="5">I15</f>
        <v>1.5986613919485339E-2</v>
      </c>
      <c r="J29" s="39">
        <f t="shared" si="5"/>
        <v>1.1583697661903362E-2</v>
      </c>
      <c r="K29" s="15">
        <f>K15/2</f>
        <v>3.6652093523865822E-2</v>
      </c>
      <c r="L29" s="39">
        <f>K29</f>
        <v>3.6652093523865822E-2</v>
      </c>
      <c r="N29" s="207">
        <f>N26*N30/(N30+P30)</f>
        <v>176.90891894115998</v>
      </c>
      <c r="O29" s="208">
        <f>O26*O30/(O30+Q30)</f>
        <v>0.58555665677469848</v>
      </c>
      <c r="P29" s="208">
        <f>N26-N29</f>
        <v>21.466385382094359</v>
      </c>
      <c r="Q29" s="207">
        <f>O26-O29</f>
        <v>1.4563817516822488</v>
      </c>
      <c r="R29" s="26">
        <f>O29+Q29</f>
        <v>2.0419384084569474</v>
      </c>
      <c r="S29" s="26"/>
      <c r="T29" s="26"/>
      <c r="U29" s="26"/>
    </row>
    <row r="30" spans="1:23" x14ac:dyDescent="0.2">
      <c r="A30" s="103"/>
      <c r="C30" s="15" t="s">
        <v>360</v>
      </c>
      <c r="D30" s="200">
        <f>$D$29/SUM($D$29:$F$29)</f>
        <v>4.0219378427787937E-2</v>
      </c>
      <c r="E30" s="200">
        <f>$E$29/SUM($D$29:$F$29)</f>
        <v>0.67836684948202308</v>
      </c>
      <c r="F30" s="200">
        <f>$F$29/SUM($D$29:$F$29)</f>
        <v>0.28141377209018892</v>
      </c>
      <c r="G30" s="200">
        <v>1</v>
      </c>
      <c r="H30" s="200">
        <f>H29/SUM($H$29:$K$29)</f>
        <v>0.22611379199935888</v>
      </c>
      <c r="I30" s="200">
        <f t="shared" ref="I30:K30" si="6">I29/SUM($H$29:$K$29)</f>
        <v>0.19264024766192603</v>
      </c>
      <c r="J30" s="200">
        <f t="shared" si="6"/>
        <v>0.13958467988709494</v>
      </c>
      <c r="K30" s="200">
        <f t="shared" si="6"/>
        <v>0.44166128045162006</v>
      </c>
      <c r="L30" s="200">
        <v>1</v>
      </c>
      <c r="N30" s="223">
        <v>122.351394</v>
      </c>
      <c r="O30" s="223">
        <v>0.54525400000000002</v>
      </c>
      <c r="P30" s="223">
        <v>14.846296000000001</v>
      </c>
      <c r="Q30" s="224">
        <v>1.356142</v>
      </c>
      <c r="R30" s="159" t="s">
        <v>361</v>
      </c>
      <c r="S30" s="26"/>
      <c r="T30" s="26"/>
      <c r="U30" s="26"/>
      <c r="V30" s="26"/>
    </row>
    <row r="31" spans="1:23" x14ac:dyDescent="0.2">
      <c r="A31" s="103"/>
      <c r="C31" s="361" t="s">
        <v>3260</v>
      </c>
      <c r="D31" s="362">
        <f>ConsolidatedVehData!AF8</f>
        <v>0.1477</v>
      </c>
      <c r="E31" s="362">
        <f>ConsolidatedVehData!AF9</f>
        <v>0.18210000000000001</v>
      </c>
      <c r="F31" s="362">
        <f>ConsolidatedVehData!AF11</f>
        <v>0.15840000000000001</v>
      </c>
      <c r="G31" s="363">
        <f>ConsolidatedVehData!AF10</f>
        <v>0.17519999999999999</v>
      </c>
      <c r="H31" s="362">
        <f>ConsolidatedVehData!AF12</f>
        <v>0.1452</v>
      </c>
      <c r="I31" s="362">
        <f>ConsolidatedVehData!AF13</f>
        <v>0.12130000000000001</v>
      </c>
      <c r="J31" s="362">
        <f>ConsolidatedVehData!AF14</f>
        <v>0.15759999999999999</v>
      </c>
      <c r="K31" s="362">
        <f>ConsolidatedVehData!AF15</f>
        <v>0.13009999999999999</v>
      </c>
      <c r="L31" s="362">
        <f>ConsolidatedVehData!AF16</f>
        <v>0.13639999999999999</v>
      </c>
      <c r="N31" s="245" t="s">
        <v>362</v>
      </c>
      <c r="O31" s="245"/>
      <c r="P31" s="15" t="s">
        <v>363</v>
      </c>
      <c r="R31" s="159"/>
      <c r="S31" s="26"/>
      <c r="T31" s="26"/>
      <c r="U31" s="26"/>
      <c r="V31" s="26"/>
    </row>
    <row r="32" spans="1:23" x14ac:dyDescent="0.2">
      <c r="A32" s="103"/>
      <c r="C32" s="351" t="s">
        <v>71</v>
      </c>
      <c r="D32" s="352">
        <f>$N$29*D30</f>
        <v>7.1151667581453744</v>
      </c>
      <c r="E32" s="352">
        <f>$N$29*E30</f>
        <v>120.0091459873853</v>
      </c>
      <c r="F32" s="352">
        <f t="shared" ref="F32" si="7">$N$29*F30</f>
        <v>49.784606195629301</v>
      </c>
      <c r="G32" s="353">
        <f>G30*O29</f>
        <v>0.58555665677469848</v>
      </c>
      <c r="H32" s="352">
        <f>H30*$P$29</f>
        <v>4.8538457992649615</v>
      </c>
      <c r="I32" s="352">
        <f t="shared" ref="I32:K32" si="8">I30*$P$29</f>
        <v>4.135289796413006</v>
      </c>
      <c r="J32" s="352">
        <f t="shared" si="8"/>
        <v>2.9963785318926552</v>
      </c>
      <c r="K32" s="352">
        <f t="shared" si="8"/>
        <v>9.4808712545237341</v>
      </c>
      <c r="L32" s="352">
        <f>L30*Q29</f>
        <v>1.4563817516822488</v>
      </c>
      <c r="N32" s="15" t="s">
        <v>315</v>
      </c>
      <c r="O32" s="15" t="s">
        <v>357</v>
      </c>
      <c r="P32" s="15" t="s">
        <v>315</v>
      </c>
      <c r="Q32" s="15" t="s">
        <v>357</v>
      </c>
      <c r="R32" s="159"/>
      <c r="S32" s="352" t="s">
        <v>3266</v>
      </c>
      <c r="T32" s="352" t="s">
        <v>3261</v>
      </c>
      <c r="U32" s="352" t="s">
        <v>315</v>
      </c>
      <c r="V32" s="352" t="s">
        <v>357</v>
      </c>
      <c r="W32" s="351" t="s">
        <v>743</v>
      </c>
    </row>
    <row r="33" spans="1:42" x14ac:dyDescent="0.2">
      <c r="A33" s="103"/>
      <c r="B33" s="360">
        <f>S33/T33</f>
        <v>0.57754138121590615</v>
      </c>
      <c r="C33" s="351" t="s">
        <v>3262</v>
      </c>
      <c r="D33" s="352">
        <f t="shared" ref="D33:I33" si="9">D31*$B$33</f>
        <v>8.5302862005589342E-2</v>
      </c>
      <c r="E33" s="352">
        <f>E31*$B$33</f>
        <v>0.10517028551941651</v>
      </c>
      <c r="F33" s="352">
        <f t="shared" si="9"/>
        <v>9.1482554784599546E-2</v>
      </c>
      <c r="G33" s="352">
        <f t="shared" si="9"/>
        <v>0.10118524998902675</v>
      </c>
      <c r="H33" s="352">
        <f t="shared" si="9"/>
        <v>8.3859008552549574E-2</v>
      </c>
      <c r="I33" s="352">
        <f t="shared" si="9"/>
        <v>7.0055769541489413E-2</v>
      </c>
      <c r="J33" s="352">
        <f t="shared" ref="J33:L33" si="10">J31*$B$33</f>
        <v>9.1020521679626806E-2</v>
      </c>
      <c r="K33" s="352">
        <f t="shared" si="10"/>
        <v>7.513813369618938E-2</v>
      </c>
      <c r="L33" s="352">
        <f t="shared" si="10"/>
        <v>7.8776644397849593E-2</v>
      </c>
      <c r="N33" s="39">
        <f>N29*(D33*D30+E33*E30+F33*F30)</f>
        <v>17.782763200272854</v>
      </c>
      <c r="O33" s="368">
        <f>G33*O29</f>
        <v>5.9249696698486599E-2</v>
      </c>
      <c r="P33" s="35">
        <f>P29*(H33*H30+I33*I30+J33*J30+K33*K30)</f>
        <v>1.6818465143593662</v>
      </c>
      <c r="Q33" s="151">
        <f>L33*Q29</f>
        <v>0.11472886735978981</v>
      </c>
      <c r="R33" s="359">
        <f>SUM(N33:Q33)</f>
        <v>19.638588278690499</v>
      </c>
      <c r="S33" s="364">
        <f>'VMT NYC'!D77-SUM(D55,I55,N55,S55,X55)</f>
        <v>19.638588278690495</v>
      </c>
      <c r="T33" s="351">
        <v>34.003776902262992</v>
      </c>
      <c r="U33" s="366">
        <f>S33*(D114+D115)</f>
        <v>19.460833574514929</v>
      </c>
      <c r="V33" s="366">
        <f>S33*(D116+D117)</f>
        <v>0.16928503913280105</v>
      </c>
      <c r="W33" s="366">
        <f>R33*D119</f>
        <v>8.4672151922278414E-3</v>
      </c>
    </row>
    <row r="34" spans="1:42" x14ac:dyDescent="0.2">
      <c r="A34" s="158"/>
      <c r="C34" s="351" t="s">
        <v>3267</v>
      </c>
      <c r="D34" s="357">
        <f>D32*D33</f>
        <v>0.60694408811683132</v>
      </c>
      <c r="E34" s="357">
        <f t="shared" ref="E34:L34" si="11">E32*E33</f>
        <v>12.62139614843465</v>
      </c>
      <c r="F34" s="357">
        <f t="shared" si="11"/>
        <v>4.5544229637213718</v>
      </c>
      <c r="G34" s="357">
        <f t="shared" si="11"/>
        <v>5.9249696698486599E-2</v>
      </c>
      <c r="H34" s="357">
        <f t="shared" si="11"/>
        <v>0.40703869639331725</v>
      </c>
      <c r="I34" s="357">
        <f t="shared" si="11"/>
        <v>0.28970090896478223</v>
      </c>
      <c r="J34" s="357">
        <f t="shared" si="11"/>
        <v>0.27273193712250376</v>
      </c>
      <c r="K34" s="357">
        <f t="shared" si="11"/>
        <v>0.71237497187876309</v>
      </c>
      <c r="L34" s="357">
        <f t="shared" si="11"/>
        <v>0.11472886735978981</v>
      </c>
      <c r="N34" s="39">
        <f>D46+D47+D49+I46+I47+I49+N46+N47+N49+S46+S47+S49+X46+X47+X49</f>
        <v>17.782763200272854</v>
      </c>
      <c r="P34" s="39">
        <f>D50+D51+D52+D53+I50+I51+I52+I53+N50+N51+N52+N53+S50+S51+S52+S53+X50+X51+X52+X53</f>
        <v>1.6818465143593666</v>
      </c>
      <c r="Q34" s="31"/>
      <c r="R34" s="31"/>
      <c r="U34" s="372">
        <f>1-(N33+P33)/U33</f>
        <v>-1.9403794307337741E-4</v>
      </c>
      <c r="V34" s="372">
        <f>1-(O33+Q33)/V33</f>
        <v>-2.7725574271175724E-2</v>
      </c>
      <c r="W34" s="372">
        <f>X55+S55+N55+I55+D55</f>
        <v>1.8444889829506362E-2</v>
      </c>
    </row>
    <row r="35" spans="1:42" x14ac:dyDescent="0.2">
      <c r="A35" s="158"/>
      <c r="Q35" s="31"/>
      <c r="R35" s="31"/>
    </row>
    <row r="36" spans="1:42" x14ac:dyDescent="0.2">
      <c r="A36" s="158"/>
      <c r="B36" s="15" t="s">
        <v>336</v>
      </c>
      <c r="C36" s="18" t="s">
        <v>364</v>
      </c>
      <c r="Q36" s="31"/>
      <c r="R36" s="31"/>
    </row>
    <row r="37" spans="1:42" x14ac:dyDescent="0.2">
      <c r="A37" s="158"/>
      <c r="B37" s="15" t="s">
        <v>340</v>
      </c>
      <c r="C37" s="156">
        <f>C15</f>
        <v>0.2212249205734749</v>
      </c>
      <c r="O37" s="31"/>
      <c r="P37" s="31"/>
      <c r="Q37" s="31"/>
      <c r="R37" s="31"/>
    </row>
    <row r="38" spans="1:42" x14ac:dyDescent="0.2">
      <c r="A38" s="158"/>
      <c r="B38" s="15" t="s">
        <v>343</v>
      </c>
      <c r="C38" s="156">
        <f>C16</f>
        <v>0.15312078758012737</v>
      </c>
      <c r="O38" s="365"/>
      <c r="P38" s="365"/>
      <c r="Q38" s="31"/>
      <c r="R38" s="31"/>
    </row>
    <row r="39" spans="1:42" x14ac:dyDescent="0.2">
      <c r="A39" s="158"/>
      <c r="B39" s="15" t="s">
        <v>345</v>
      </c>
      <c r="C39" s="156">
        <f>C17</f>
        <v>0.158052954900851</v>
      </c>
      <c r="O39" s="31"/>
      <c r="P39" s="31"/>
      <c r="Q39" s="31"/>
      <c r="R39" s="31"/>
    </row>
    <row r="40" spans="1:42" x14ac:dyDescent="0.2">
      <c r="A40" s="158"/>
      <c r="B40" s="15" t="s">
        <v>346</v>
      </c>
      <c r="C40" s="156">
        <f>C18</f>
        <v>0.10328357342046898</v>
      </c>
    </row>
    <row r="41" spans="1:42" x14ac:dyDescent="0.2">
      <c r="A41" s="158"/>
      <c r="C41" s="156">
        <f>C19</f>
        <v>0.36431776352507778</v>
      </c>
    </row>
    <row r="42" spans="1:42" x14ac:dyDescent="0.2">
      <c r="A42" s="158"/>
    </row>
    <row r="43" spans="1:42" ht="13.5" thickBot="1" x14ac:dyDescent="0.25">
      <c r="A43" s="149" t="s">
        <v>365</v>
      </c>
    </row>
    <row r="44" spans="1:42" x14ac:dyDescent="0.2">
      <c r="A44" s="160" t="s">
        <v>366</v>
      </c>
      <c r="B44" s="18" t="s">
        <v>367</v>
      </c>
      <c r="C44" s="229">
        <v>2005</v>
      </c>
      <c r="D44" s="230">
        <v>2010</v>
      </c>
      <c r="E44" s="230">
        <v>2015</v>
      </c>
      <c r="F44" s="230">
        <v>2020</v>
      </c>
      <c r="G44" s="231">
        <v>2025</v>
      </c>
      <c r="H44" s="229">
        <v>2005</v>
      </c>
      <c r="I44" s="230">
        <v>2010</v>
      </c>
      <c r="J44" s="230">
        <v>2015</v>
      </c>
      <c r="K44" s="230">
        <v>2020</v>
      </c>
      <c r="L44" s="231">
        <v>2025</v>
      </c>
      <c r="M44" s="229">
        <v>2005</v>
      </c>
      <c r="N44" s="230">
        <v>2010</v>
      </c>
      <c r="O44" s="230">
        <v>2015</v>
      </c>
      <c r="P44" s="230">
        <v>2020</v>
      </c>
      <c r="Q44" s="231">
        <v>2025</v>
      </c>
      <c r="R44" s="230">
        <v>2005</v>
      </c>
      <c r="S44" s="230">
        <v>2010</v>
      </c>
      <c r="T44" s="230">
        <v>2015</v>
      </c>
      <c r="U44" s="230">
        <v>2020</v>
      </c>
      <c r="V44" s="231">
        <v>2025</v>
      </c>
      <c r="W44" s="230">
        <v>2005</v>
      </c>
      <c r="X44" s="230">
        <v>2010</v>
      </c>
      <c r="Y44" s="230">
        <v>2015</v>
      </c>
      <c r="Z44" s="230">
        <v>2020</v>
      </c>
      <c r="AA44" s="231">
        <v>2025</v>
      </c>
      <c r="AB44" s="149"/>
      <c r="AC44" s="149"/>
      <c r="AD44" s="149"/>
      <c r="AE44" s="149"/>
      <c r="AF44" s="149"/>
      <c r="AG44" s="149"/>
      <c r="AH44" s="149"/>
      <c r="AI44" s="149"/>
      <c r="AJ44" s="149"/>
      <c r="AK44" s="149"/>
      <c r="AL44" s="149"/>
      <c r="AM44" s="149"/>
      <c r="AN44" s="149"/>
      <c r="AO44" s="149"/>
      <c r="AP44" s="149"/>
    </row>
    <row r="45" spans="1:42" x14ac:dyDescent="0.2">
      <c r="A45" s="160"/>
      <c r="B45" s="18"/>
      <c r="C45" s="243"/>
      <c r="D45" s="149" t="s">
        <v>336</v>
      </c>
      <c r="E45" s="149"/>
      <c r="F45" s="149"/>
      <c r="G45" s="233"/>
      <c r="H45" s="243"/>
      <c r="I45" s="149" t="s">
        <v>340</v>
      </c>
      <c r="J45" s="149"/>
      <c r="K45" s="149"/>
      <c r="L45" s="233"/>
      <c r="M45" s="243"/>
      <c r="N45" s="149" t="s">
        <v>343</v>
      </c>
      <c r="O45" s="149"/>
      <c r="P45" s="149"/>
      <c r="Q45" s="244"/>
      <c r="S45" s="232" t="s">
        <v>345</v>
      </c>
      <c r="T45" s="149"/>
      <c r="U45" s="149"/>
      <c r="V45" s="233"/>
      <c r="X45" s="232" t="s">
        <v>346</v>
      </c>
      <c r="Y45" s="149"/>
      <c r="Z45" s="149"/>
      <c r="AA45" s="233"/>
      <c r="AB45" s="149"/>
      <c r="AC45" s="149"/>
      <c r="AD45" s="149"/>
      <c r="AE45" s="149"/>
      <c r="AF45" s="149"/>
      <c r="AG45" s="149"/>
      <c r="AH45" s="149"/>
      <c r="AI45" s="149"/>
      <c r="AJ45" s="149"/>
      <c r="AK45" s="149"/>
      <c r="AL45" s="149"/>
    </row>
    <row r="46" spans="1:42" s="204" customFormat="1" x14ac:dyDescent="0.2">
      <c r="A46" s="203" t="s">
        <v>368</v>
      </c>
      <c r="B46" s="204" t="s">
        <v>369</v>
      </c>
      <c r="C46" s="234">
        <f>D46</f>
        <v>0.13427115768618617</v>
      </c>
      <c r="D46" s="369">
        <f>$D$34*$C$37</f>
        <v>0.13427115768618617</v>
      </c>
      <c r="E46" s="199">
        <f>D46*$P$21</f>
        <v>0.10070336826463963</v>
      </c>
      <c r="F46" s="199">
        <f>D46*$P$22</f>
        <v>6.7135578843093083E-2</v>
      </c>
      <c r="G46" s="235">
        <f>D46*$P$23</f>
        <v>3.3567789421546541E-2</v>
      </c>
      <c r="H46" s="234">
        <f>I46</f>
        <v>9.2935756789551432E-2</v>
      </c>
      <c r="I46" s="369">
        <f>$D$34*$C$38</f>
        <v>9.2935756789551432E-2</v>
      </c>
      <c r="J46" s="199">
        <f>I46*$P$21</f>
        <v>6.9701817592163567E-2</v>
      </c>
      <c r="K46" s="199">
        <f>I46*$P$22</f>
        <v>4.6467878394775716E-2</v>
      </c>
      <c r="L46" s="235">
        <f>I46*$P$23</f>
        <v>2.3233939197387858E-2</v>
      </c>
      <c r="M46" s="234">
        <f>N46</f>
        <v>9.5929306586467672E-2</v>
      </c>
      <c r="N46" s="369">
        <f>$D$34*$C$39</f>
        <v>9.5929306586467672E-2</v>
      </c>
      <c r="O46" s="199">
        <f>N46*$P$21</f>
        <v>7.1946979939850747E-2</v>
      </c>
      <c r="P46" s="199">
        <f>N46*$P$22</f>
        <v>4.7964653293233836E-2</v>
      </c>
      <c r="Q46" s="235">
        <f>N46*$P$23</f>
        <v>2.3982326646616918E-2</v>
      </c>
      <c r="R46" s="199">
        <f>S46</f>
        <v>6.2687354287134345E-2</v>
      </c>
      <c r="S46" s="369">
        <f>$D$34*$C$40</f>
        <v>6.2687354287134345E-2</v>
      </c>
      <c r="T46" s="199">
        <f>S46*$P$21</f>
        <v>4.7015515715350759E-2</v>
      </c>
      <c r="U46" s="199">
        <f>S46*$P$22</f>
        <v>3.1343677143567172E-2</v>
      </c>
      <c r="V46" s="235">
        <f>S46*$P$23</f>
        <v>1.5671838571783586E-2</v>
      </c>
      <c r="W46" s="199">
        <f>X46</f>
        <v>0.22112051276749173</v>
      </c>
      <c r="X46" s="369">
        <f>$D$34*$C$41</f>
        <v>0.22112051276749173</v>
      </c>
      <c r="Y46" s="199">
        <f>X46*$P$21</f>
        <v>0.16584038457561878</v>
      </c>
      <c r="Z46" s="199">
        <f>X46*$P$22</f>
        <v>0.11056025638374586</v>
      </c>
      <c r="AA46" s="235">
        <f>X46*$P$23</f>
        <v>5.5280128191872932E-2</v>
      </c>
      <c r="AB46" s="199"/>
      <c r="AC46" s="199"/>
      <c r="AD46" s="199"/>
      <c r="AE46" s="199"/>
      <c r="AF46" s="199"/>
      <c r="AG46" s="199"/>
      <c r="AH46" s="199"/>
      <c r="AI46" s="199"/>
      <c r="AJ46" s="199"/>
      <c r="AK46" s="199"/>
      <c r="AL46" s="199"/>
      <c r="AM46" s="199"/>
      <c r="AN46" s="199"/>
      <c r="AO46" s="199"/>
      <c r="AP46" s="199"/>
    </row>
    <row r="47" spans="1:42" s="204" customFormat="1" x14ac:dyDescent="0.2">
      <c r="A47" s="205" t="s">
        <v>370</v>
      </c>
      <c r="B47" s="204" t="s">
        <v>371</v>
      </c>
      <c r="C47" s="234">
        <f>D47</f>
        <v>2.7921673604638175</v>
      </c>
      <c r="D47" s="369">
        <f>$E$34*$C$37</f>
        <v>2.7921673604638175</v>
      </c>
      <c r="E47" s="199">
        <f t="shared" ref="E47:E54" si="12">D47*$P$21</f>
        <v>2.094125520347863</v>
      </c>
      <c r="F47" s="199">
        <f t="shared" ref="F47:F54" si="13">D47*$P$22</f>
        <v>1.3960836802319088</v>
      </c>
      <c r="G47" s="235">
        <f t="shared" ref="G47:G54" si="14">D47*$P$23</f>
        <v>0.69804184011595438</v>
      </c>
      <c r="H47" s="234">
        <f t="shared" ref="H47:H54" si="15">I47</f>
        <v>1.9325981186090999</v>
      </c>
      <c r="I47" s="369">
        <f>$E$34*$C$38</f>
        <v>1.9325981186090999</v>
      </c>
      <c r="J47" s="199">
        <f t="shared" ref="J47:J54" si="16">I47*$P$21</f>
        <v>1.4494485889568249</v>
      </c>
      <c r="K47" s="199">
        <f t="shared" ref="K47:K54" si="17">I47*$P$22</f>
        <v>0.96629905930454996</v>
      </c>
      <c r="L47" s="235">
        <f t="shared" ref="L47:L54" si="18">I47*$P$23</f>
        <v>0.48314952965227498</v>
      </c>
      <c r="M47" s="234">
        <f t="shared" ref="M47:M54" si="19">N47</f>
        <v>1.9948489562343164</v>
      </c>
      <c r="N47" s="369">
        <f>$E$34*$C$39</f>
        <v>1.9948489562343164</v>
      </c>
      <c r="O47" s="199">
        <f t="shared" ref="O47:O54" si="20">N47*$P$21</f>
        <v>1.4961367171757374</v>
      </c>
      <c r="P47" s="199">
        <f t="shared" ref="P47:P54" si="21">N47*$P$22</f>
        <v>0.99742447811715818</v>
      </c>
      <c r="Q47" s="235">
        <f t="shared" ref="Q47:Q54" si="22">N47*$P$23</f>
        <v>0.49871223905857909</v>
      </c>
      <c r="R47" s="199">
        <f t="shared" ref="R47:R54" si="23">S47</f>
        <v>1.3035828957656745</v>
      </c>
      <c r="S47" s="369">
        <f>$E$34*$C$40</f>
        <v>1.3035828957656745</v>
      </c>
      <c r="T47" s="199">
        <f t="shared" ref="T47:T54" si="24">S47*$P$21</f>
        <v>0.97768717182425591</v>
      </c>
      <c r="U47" s="199">
        <f t="shared" ref="U47:U54" si="25">S47*$P$22</f>
        <v>0.65179144788283727</v>
      </c>
      <c r="V47" s="235">
        <f t="shared" ref="V47:V54" si="26">S47*$P$23</f>
        <v>0.32589572394141864</v>
      </c>
      <c r="W47" s="199">
        <f t="shared" ref="W47:W54" si="27">X47</f>
        <v>4.5981988173617427</v>
      </c>
      <c r="X47" s="369">
        <f>$E$34*$C$41</f>
        <v>4.5981988173617427</v>
      </c>
      <c r="Y47" s="199">
        <f t="shared" ref="Y47:Y54" si="28">X47*$P$21</f>
        <v>3.4486491130213071</v>
      </c>
      <c r="Z47" s="199">
        <f t="shared" ref="Z47:Z54" si="29">X47*$P$22</f>
        <v>2.2990994086808714</v>
      </c>
      <c r="AA47" s="235">
        <f t="shared" ref="AA47:AA54" si="30">X47*$P$23</f>
        <v>1.1495497043404357</v>
      </c>
      <c r="AB47" s="199"/>
      <c r="AC47" s="199"/>
      <c r="AD47" s="199"/>
      <c r="AE47" s="199"/>
      <c r="AF47" s="199"/>
      <c r="AG47" s="199"/>
      <c r="AH47" s="199"/>
      <c r="AI47" s="199"/>
      <c r="AJ47" s="199"/>
      <c r="AK47" s="199"/>
      <c r="AL47" s="199"/>
      <c r="AM47" s="199"/>
      <c r="AN47" s="199"/>
      <c r="AO47" s="199"/>
      <c r="AP47" s="199"/>
    </row>
    <row r="48" spans="1:42" s="214" customFormat="1" x14ac:dyDescent="0.2">
      <c r="A48" s="213" t="s">
        <v>372</v>
      </c>
      <c r="B48" s="214" t="s">
        <v>373</v>
      </c>
      <c r="C48" s="236">
        <f>D48</f>
        <v>1.3107509446125177E-2</v>
      </c>
      <c r="D48" s="369">
        <f>$G$34*$C$37</f>
        <v>1.3107509446125177E-2</v>
      </c>
      <c r="E48" s="212">
        <f t="shared" si="12"/>
        <v>9.8306320845938829E-3</v>
      </c>
      <c r="F48" s="212">
        <f t="shared" si="13"/>
        <v>6.5537547230625883E-3</v>
      </c>
      <c r="G48" s="237">
        <f t="shared" si="14"/>
        <v>3.2768773615312941E-3</v>
      </c>
      <c r="H48" s="236">
        <f t="shared" si="15"/>
        <v>9.0723602223559408E-3</v>
      </c>
      <c r="I48" s="369">
        <f>$G$34*$C$38</f>
        <v>9.0723602223559408E-3</v>
      </c>
      <c r="J48" s="212">
        <f t="shared" si="16"/>
        <v>6.8042701667669556E-3</v>
      </c>
      <c r="K48" s="212">
        <f t="shared" si="17"/>
        <v>4.5361801111779704E-3</v>
      </c>
      <c r="L48" s="237">
        <f t="shared" si="18"/>
        <v>2.2680900555889852E-3</v>
      </c>
      <c r="M48" s="236">
        <f t="shared" si="19"/>
        <v>9.3645896401750028E-3</v>
      </c>
      <c r="N48" s="369">
        <f>$G$34*$C$39</f>
        <v>9.3645896401750028E-3</v>
      </c>
      <c r="O48" s="212">
        <f t="shared" si="20"/>
        <v>7.0234422301312521E-3</v>
      </c>
      <c r="P48" s="212">
        <f t="shared" si="21"/>
        <v>4.6822948200875014E-3</v>
      </c>
      <c r="Q48" s="237">
        <f t="shared" si="22"/>
        <v>2.3411474100437507E-3</v>
      </c>
      <c r="R48" s="212">
        <f t="shared" si="23"/>
        <v>6.1195203990986593E-3</v>
      </c>
      <c r="S48" s="369">
        <f>$G$34*$C$40</f>
        <v>6.1195203990986593E-3</v>
      </c>
      <c r="T48" s="212">
        <f t="shared" si="24"/>
        <v>4.5896402993239943E-3</v>
      </c>
      <c r="U48" s="212">
        <f t="shared" si="25"/>
        <v>3.0597601995493297E-3</v>
      </c>
      <c r="V48" s="237">
        <f t="shared" si="26"/>
        <v>1.5298800997746648E-3</v>
      </c>
      <c r="W48" s="212">
        <f t="shared" si="27"/>
        <v>2.1585716990731821E-2</v>
      </c>
      <c r="X48" s="369">
        <f>$G$34*$C$41</f>
        <v>2.1585716990731821E-2</v>
      </c>
      <c r="Y48" s="212">
        <f t="shared" si="28"/>
        <v>1.6189287743048866E-2</v>
      </c>
      <c r="Z48" s="212">
        <f t="shared" si="29"/>
        <v>1.079285849536591E-2</v>
      </c>
      <c r="AA48" s="237">
        <f t="shared" si="30"/>
        <v>5.3964292476829552E-3</v>
      </c>
      <c r="AB48" s="212"/>
      <c r="AC48" s="212"/>
      <c r="AD48" s="212"/>
      <c r="AE48" s="212"/>
      <c r="AF48" s="212"/>
      <c r="AG48" s="212"/>
      <c r="AH48" s="212"/>
      <c r="AI48" s="212"/>
      <c r="AJ48" s="212"/>
      <c r="AK48" s="212"/>
      <c r="AL48" s="212"/>
      <c r="AM48" s="212"/>
      <c r="AN48" s="212"/>
      <c r="AO48" s="212"/>
      <c r="AP48" s="212"/>
    </row>
    <row r="49" spans="1:48" s="204" customFormat="1" x14ac:dyDescent="0.2">
      <c r="A49" s="205" t="s">
        <v>374</v>
      </c>
      <c r="B49" s="204" t="s">
        <v>375</v>
      </c>
      <c r="C49" s="234">
        <f t="shared" ref="C49:C54" si="31">D49</f>
        <v>1.0075518584072707</v>
      </c>
      <c r="D49" s="369">
        <f>$F$34*$C$37</f>
        <v>1.0075518584072707</v>
      </c>
      <c r="E49" s="199">
        <f t="shared" si="12"/>
        <v>0.75566389380545296</v>
      </c>
      <c r="F49" s="199">
        <f t="shared" si="13"/>
        <v>0.50377592920363534</v>
      </c>
      <c r="G49" s="235">
        <f t="shared" si="14"/>
        <v>0.25188796460181767</v>
      </c>
      <c r="H49" s="234">
        <f t="shared" si="15"/>
        <v>0.69737683117803428</v>
      </c>
      <c r="I49" s="369">
        <f>$F$34*$C$38</f>
        <v>0.69737683117803428</v>
      </c>
      <c r="J49" s="199">
        <f t="shared" si="16"/>
        <v>0.52303262338352574</v>
      </c>
      <c r="K49" s="199">
        <f t="shared" si="17"/>
        <v>0.34868841558901714</v>
      </c>
      <c r="L49" s="235">
        <f t="shared" si="18"/>
        <v>0.17434420779450857</v>
      </c>
      <c r="M49" s="234">
        <f t="shared" si="19"/>
        <v>0.71984000728445408</v>
      </c>
      <c r="N49" s="369">
        <f>$F$34*$C$39</f>
        <v>0.71984000728445408</v>
      </c>
      <c r="O49" s="199">
        <f t="shared" si="20"/>
        <v>0.53988000546334058</v>
      </c>
      <c r="P49" s="199">
        <f t="shared" si="21"/>
        <v>0.35992000364222704</v>
      </c>
      <c r="Q49" s="235">
        <f t="shared" si="22"/>
        <v>0.17996000182111352</v>
      </c>
      <c r="R49" s="199">
        <f t="shared" si="23"/>
        <v>0.47039707856138624</v>
      </c>
      <c r="S49" s="369">
        <f>$F$34*$C$40</f>
        <v>0.47039707856138624</v>
      </c>
      <c r="T49" s="199">
        <f t="shared" si="24"/>
        <v>0.35279780892103968</v>
      </c>
      <c r="U49" s="199">
        <f t="shared" si="25"/>
        <v>0.23519853928069312</v>
      </c>
      <c r="V49" s="235">
        <f t="shared" si="26"/>
        <v>0.11759926964034656</v>
      </c>
      <c r="W49" s="199">
        <f t="shared" si="27"/>
        <v>1.6592571882902265</v>
      </c>
      <c r="X49" s="369">
        <f>$F$34*$C$41</f>
        <v>1.6592571882902265</v>
      </c>
      <c r="Y49" s="199">
        <f t="shared" si="28"/>
        <v>1.2444428912176699</v>
      </c>
      <c r="Z49" s="199">
        <f t="shared" si="29"/>
        <v>0.82962859414511325</v>
      </c>
      <c r="AA49" s="235">
        <f t="shared" si="30"/>
        <v>0.41481429707255663</v>
      </c>
      <c r="AB49" s="199"/>
      <c r="AC49" s="199"/>
      <c r="AD49" s="199"/>
      <c r="AE49" s="199"/>
      <c r="AF49" s="199"/>
      <c r="AG49" s="199"/>
      <c r="AH49" s="199"/>
      <c r="AI49" s="199"/>
      <c r="AJ49" s="199"/>
      <c r="AK49" s="199"/>
      <c r="AL49" s="199"/>
      <c r="AM49" s="199"/>
      <c r="AN49" s="199"/>
      <c r="AO49" s="199"/>
      <c r="AP49" s="199"/>
    </row>
    <row r="50" spans="1:48" s="206" customFormat="1" x14ac:dyDescent="0.2">
      <c r="A50" s="205" t="s">
        <v>376</v>
      </c>
      <c r="B50" s="204" t="s">
        <v>377</v>
      </c>
      <c r="C50" s="234">
        <f t="shared" si="31"/>
        <v>6.4089060575797427E-2</v>
      </c>
      <c r="D50" s="369">
        <f>$I$34*$C$37</f>
        <v>6.4089060575797427E-2</v>
      </c>
      <c r="E50" s="199">
        <f>D50*$P$21</f>
        <v>4.8066795431848067E-2</v>
      </c>
      <c r="F50" s="199">
        <f t="shared" si="13"/>
        <v>3.2044530287898713E-2</v>
      </c>
      <c r="G50" s="235">
        <f t="shared" si="14"/>
        <v>1.6022265143949357E-2</v>
      </c>
      <c r="H50" s="234">
        <f t="shared" si="15"/>
        <v>4.4359231343366237E-2</v>
      </c>
      <c r="I50" s="369">
        <f>$I$34*$C$38</f>
        <v>4.4359231343366237E-2</v>
      </c>
      <c r="J50" s="199">
        <f t="shared" si="16"/>
        <v>3.3269423507524681E-2</v>
      </c>
      <c r="K50" s="199">
        <f t="shared" si="17"/>
        <v>2.2179615671683119E-2</v>
      </c>
      <c r="L50" s="235">
        <f t="shared" si="18"/>
        <v>1.1089807835841559E-2</v>
      </c>
      <c r="M50" s="234">
        <f t="shared" si="19"/>
        <v>4.5788084699346268E-2</v>
      </c>
      <c r="N50" s="369">
        <f>$I$34*$C$39</f>
        <v>4.5788084699346268E-2</v>
      </c>
      <c r="O50" s="199">
        <f>N50*$P$21</f>
        <v>3.4341063524509705E-2</v>
      </c>
      <c r="P50" s="199">
        <f t="shared" si="21"/>
        <v>2.2894042349673134E-2</v>
      </c>
      <c r="Q50" s="235">
        <f t="shared" si="22"/>
        <v>1.1447021174836567E-2</v>
      </c>
      <c r="R50" s="199">
        <f t="shared" si="23"/>
        <v>2.9921345101040688E-2</v>
      </c>
      <c r="S50" s="369">
        <f>$I$34*$C$40</f>
        <v>2.9921345101040688E-2</v>
      </c>
      <c r="T50" s="199">
        <f t="shared" si="24"/>
        <v>2.2441008825780515E-2</v>
      </c>
      <c r="U50" s="199">
        <f t="shared" si="25"/>
        <v>1.4960672550520344E-2</v>
      </c>
      <c r="V50" s="235">
        <f t="shared" si="26"/>
        <v>7.4803362752601721E-3</v>
      </c>
      <c r="W50" s="199">
        <f t="shared" si="27"/>
        <v>0.10554318724523162</v>
      </c>
      <c r="X50" s="369">
        <f>$I$34*$C$41</f>
        <v>0.10554318724523162</v>
      </c>
      <c r="Y50" s="199">
        <f t="shared" si="28"/>
        <v>7.9157390433923724E-2</v>
      </c>
      <c r="Z50" s="199">
        <f t="shared" si="29"/>
        <v>5.2771593622615812E-2</v>
      </c>
      <c r="AA50" s="235">
        <f t="shared" si="30"/>
        <v>2.6385796811307906E-2</v>
      </c>
      <c r="AB50" s="199"/>
      <c r="AC50" s="199"/>
      <c r="AD50" s="199"/>
      <c r="AE50" s="199"/>
      <c r="AF50" s="199"/>
      <c r="AG50" s="199"/>
      <c r="AH50" s="199"/>
      <c r="AI50" s="199"/>
      <c r="AJ50" s="199"/>
      <c r="AK50" s="199"/>
      <c r="AL50" s="199"/>
      <c r="AM50" s="199"/>
      <c r="AN50" s="199"/>
      <c r="AO50" s="199"/>
      <c r="AP50" s="199"/>
      <c r="AQ50" s="204"/>
      <c r="AR50" s="204"/>
      <c r="AS50" s="204"/>
      <c r="AT50" s="204"/>
      <c r="AU50" s="204"/>
      <c r="AV50" s="204"/>
    </row>
    <row r="51" spans="1:48" s="204" customFormat="1" x14ac:dyDescent="0.2">
      <c r="A51" s="205" t="s">
        <v>378</v>
      </c>
      <c r="B51" s="204" t="s">
        <v>379</v>
      </c>
      <c r="C51" s="234">
        <f t="shared" si="31"/>
        <v>9.0047103279942364E-2</v>
      </c>
      <c r="D51" s="369">
        <f>$H$34*$C$37</f>
        <v>9.0047103279942364E-2</v>
      </c>
      <c r="E51" s="199">
        <f t="shared" si="12"/>
        <v>6.7535327459956773E-2</v>
      </c>
      <c r="F51" s="199">
        <f t="shared" si="13"/>
        <v>4.5023551639971182E-2</v>
      </c>
      <c r="G51" s="235">
        <f t="shared" si="14"/>
        <v>2.2511775819985591E-2</v>
      </c>
      <c r="H51" s="234">
        <f t="shared" si="15"/>
        <v>6.2326085767333089E-2</v>
      </c>
      <c r="I51" s="369">
        <f>$H$34*$C$38</f>
        <v>6.2326085767333089E-2</v>
      </c>
      <c r="J51" s="199">
        <f t="shared" si="16"/>
        <v>4.6744564325499817E-2</v>
      </c>
      <c r="K51" s="199">
        <f t="shared" si="17"/>
        <v>3.1163042883666545E-2</v>
      </c>
      <c r="L51" s="235">
        <f t="shared" si="18"/>
        <v>1.5581521441833272E-2</v>
      </c>
      <c r="M51" s="234">
        <f t="shared" si="19"/>
        <v>6.4333668723954157E-2</v>
      </c>
      <c r="N51" s="369">
        <f>$H$34*$C$39</f>
        <v>6.4333668723954157E-2</v>
      </c>
      <c r="O51" s="199">
        <f t="shared" si="20"/>
        <v>4.8250251542965618E-2</v>
      </c>
      <c r="P51" s="199">
        <f t="shared" si="21"/>
        <v>3.2166834361977079E-2</v>
      </c>
      <c r="Q51" s="235">
        <f t="shared" si="22"/>
        <v>1.6083417180988539E-2</v>
      </c>
      <c r="R51" s="199">
        <f t="shared" si="23"/>
        <v>4.2040411083911162E-2</v>
      </c>
      <c r="S51" s="369">
        <f>$H$34*$C$40</f>
        <v>4.2040411083911162E-2</v>
      </c>
      <c r="T51" s="199">
        <f t="shared" si="24"/>
        <v>3.1530308312933374E-2</v>
      </c>
      <c r="U51" s="199">
        <f t="shared" si="25"/>
        <v>2.1020205541955581E-2</v>
      </c>
      <c r="V51" s="235">
        <f t="shared" si="26"/>
        <v>1.0510102770977791E-2</v>
      </c>
      <c r="W51" s="199">
        <f t="shared" si="27"/>
        <v>0.14829142753817648</v>
      </c>
      <c r="X51" s="369">
        <f>$H$34*$C$41</f>
        <v>0.14829142753817648</v>
      </c>
      <c r="Y51" s="199">
        <f t="shared" si="28"/>
        <v>0.11121857065363236</v>
      </c>
      <c r="Z51" s="199">
        <f t="shared" si="29"/>
        <v>7.414571376908824E-2</v>
      </c>
      <c r="AA51" s="235">
        <f t="shared" si="30"/>
        <v>3.707285688454412E-2</v>
      </c>
      <c r="AB51" s="199"/>
      <c r="AC51" s="199"/>
      <c r="AD51" s="199"/>
      <c r="AE51" s="199"/>
      <c r="AF51" s="199"/>
      <c r="AG51" s="199"/>
      <c r="AH51" s="199"/>
      <c r="AI51" s="199"/>
      <c r="AJ51" s="199"/>
      <c r="AK51" s="199"/>
      <c r="AL51" s="199"/>
      <c r="AM51" s="199"/>
      <c r="AN51" s="199"/>
      <c r="AO51" s="199"/>
      <c r="AP51" s="199"/>
      <c r="AQ51" s="206"/>
      <c r="AR51" s="206"/>
      <c r="AS51" s="206"/>
      <c r="AT51" s="206"/>
      <c r="AU51" s="206"/>
      <c r="AV51" s="206"/>
    </row>
    <row r="52" spans="1:48" s="204" customFormat="1" x14ac:dyDescent="0.2">
      <c r="A52" s="205" t="s">
        <v>380</v>
      </c>
      <c r="B52" s="204" t="s">
        <v>381</v>
      </c>
      <c r="C52" s="234">
        <f t="shared" si="31"/>
        <v>6.0335101127775848E-2</v>
      </c>
      <c r="D52" s="369">
        <f>$J$34*$C$37</f>
        <v>6.0335101127775848E-2</v>
      </c>
      <c r="E52" s="199">
        <f t="shared" si="12"/>
        <v>4.5251325845831886E-2</v>
      </c>
      <c r="F52" s="199">
        <f t="shared" si="13"/>
        <v>3.0167550563887924E-2</v>
      </c>
      <c r="G52" s="235">
        <f t="shared" si="14"/>
        <v>1.5083775281943962E-2</v>
      </c>
      <c r="H52" s="234">
        <f t="shared" si="15"/>
        <v>4.1760929010451552E-2</v>
      </c>
      <c r="I52" s="369">
        <f>$J$34*$C$38</f>
        <v>4.1760929010451552E-2</v>
      </c>
      <c r="J52" s="199">
        <f t="shared" si="16"/>
        <v>3.1320696757838662E-2</v>
      </c>
      <c r="K52" s="199">
        <f t="shared" si="17"/>
        <v>2.0880464505225776E-2</v>
      </c>
      <c r="L52" s="235">
        <f t="shared" si="18"/>
        <v>1.0440232252612888E-2</v>
      </c>
      <c r="M52" s="234">
        <f t="shared" si="19"/>
        <v>4.3106088558044819E-2</v>
      </c>
      <c r="N52" s="369">
        <f>$J$34*$C$39</f>
        <v>4.3106088558044819E-2</v>
      </c>
      <c r="O52" s="199">
        <f t="shared" si="20"/>
        <v>3.2329566418533615E-2</v>
      </c>
      <c r="P52" s="199">
        <f t="shared" si="21"/>
        <v>2.155304427902241E-2</v>
      </c>
      <c r="Q52" s="235">
        <f t="shared" si="22"/>
        <v>1.0776522139511205E-2</v>
      </c>
      <c r="R52" s="199">
        <f t="shared" si="23"/>
        <v>2.8168729051898846E-2</v>
      </c>
      <c r="S52" s="369">
        <f>$J$34*$C$40</f>
        <v>2.8168729051898846E-2</v>
      </c>
      <c r="T52" s="199">
        <f t="shared" si="24"/>
        <v>2.1126546788924134E-2</v>
      </c>
      <c r="U52" s="199">
        <f t="shared" si="25"/>
        <v>1.4084364525949423E-2</v>
      </c>
      <c r="V52" s="235">
        <f t="shared" si="26"/>
        <v>7.0421822629747116E-3</v>
      </c>
      <c r="W52" s="199">
        <f t="shared" si="27"/>
        <v>9.9361089374332703E-2</v>
      </c>
      <c r="X52" s="369">
        <f>$J$34*$C$41</f>
        <v>9.9361089374332703E-2</v>
      </c>
      <c r="Y52" s="199">
        <f t="shared" si="28"/>
        <v>7.4520817030749531E-2</v>
      </c>
      <c r="Z52" s="199">
        <f t="shared" si="29"/>
        <v>4.9680544687166352E-2</v>
      </c>
      <c r="AA52" s="235">
        <f t="shared" si="30"/>
        <v>2.4840272343583176E-2</v>
      </c>
      <c r="AB52" s="199"/>
      <c r="AC52" s="199"/>
      <c r="AD52" s="199"/>
      <c r="AE52" s="199"/>
      <c r="AF52" s="199"/>
      <c r="AG52" s="199"/>
      <c r="AH52" s="199"/>
      <c r="AI52" s="199"/>
      <c r="AJ52" s="199"/>
      <c r="AK52" s="199"/>
      <c r="AL52" s="199"/>
      <c r="AM52" s="199"/>
      <c r="AN52" s="199"/>
      <c r="AO52" s="199"/>
      <c r="AP52" s="199"/>
    </row>
    <row r="53" spans="1:48" s="204" customFormat="1" x14ac:dyDescent="0.2">
      <c r="A53" s="205" t="s">
        <v>382</v>
      </c>
      <c r="B53" s="204" t="s">
        <v>383</v>
      </c>
      <c r="C53" s="234">
        <f t="shared" si="31"/>
        <v>0.15759509657241078</v>
      </c>
      <c r="D53" s="369">
        <f>$K$34*$C$37</f>
        <v>0.15759509657241078</v>
      </c>
      <c r="E53" s="199">
        <f t="shared" si="12"/>
        <v>0.11819632242930808</v>
      </c>
      <c r="F53" s="199">
        <f t="shared" si="13"/>
        <v>7.8797548286205388E-2</v>
      </c>
      <c r="G53" s="235">
        <f t="shared" si="14"/>
        <v>3.9398774143102694E-2</v>
      </c>
      <c r="H53" s="234">
        <f t="shared" si="15"/>
        <v>0.10907941674644729</v>
      </c>
      <c r="I53" s="369">
        <f>$K$34*$C$38</f>
        <v>0.10907941674644729</v>
      </c>
      <c r="J53" s="199">
        <f t="shared" si="16"/>
        <v>8.1809562559835472E-2</v>
      </c>
      <c r="K53" s="199">
        <f t="shared" si="17"/>
        <v>5.4539708373223646E-2</v>
      </c>
      <c r="L53" s="235">
        <f t="shared" si="18"/>
        <v>2.7269854186611823E-2</v>
      </c>
      <c r="M53" s="234">
        <f t="shared" si="19"/>
        <v>0.11259296930284914</v>
      </c>
      <c r="N53" s="369">
        <f>$K$34*$C$39</f>
        <v>0.11259296930284914</v>
      </c>
      <c r="O53" s="199">
        <f t="shared" si="20"/>
        <v>8.4444726977136855E-2</v>
      </c>
      <c r="P53" s="199">
        <f t="shared" si="21"/>
        <v>5.6296484651424568E-2</v>
      </c>
      <c r="Q53" s="235">
        <f t="shared" si="22"/>
        <v>2.8148242325712284E-2</v>
      </c>
      <c r="R53" s="199">
        <f t="shared" si="23"/>
        <v>7.357663271094475E-2</v>
      </c>
      <c r="S53" s="369">
        <f>$K$34*$C$40</f>
        <v>7.357663271094475E-2</v>
      </c>
      <c r="T53" s="199">
        <f t="shared" si="24"/>
        <v>5.5182474533208563E-2</v>
      </c>
      <c r="U53" s="199">
        <f t="shared" si="25"/>
        <v>3.6788316355472375E-2</v>
      </c>
      <c r="V53" s="235">
        <f t="shared" si="26"/>
        <v>1.8394158177736188E-2</v>
      </c>
      <c r="W53" s="199">
        <f t="shared" si="27"/>
        <v>0.25953085654611113</v>
      </c>
      <c r="X53" s="369">
        <f>$K$34*$C$41</f>
        <v>0.25953085654611113</v>
      </c>
      <c r="Y53" s="199">
        <f t="shared" si="28"/>
        <v>0.19464814240958334</v>
      </c>
      <c r="Z53" s="199">
        <f t="shared" si="29"/>
        <v>0.12976542827305557</v>
      </c>
      <c r="AA53" s="235">
        <f t="shared" si="30"/>
        <v>6.4882714136527783E-2</v>
      </c>
      <c r="AB53" s="199"/>
      <c r="AC53" s="199"/>
      <c r="AD53" s="199"/>
      <c r="AE53" s="199"/>
      <c r="AF53" s="199"/>
      <c r="AG53" s="199"/>
      <c r="AH53" s="199"/>
      <c r="AI53" s="199"/>
      <c r="AJ53" s="199"/>
      <c r="AK53" s="199"/>
      <c r="AL53" s="199"/>
      <c r="AM53" s="199"/>
      <c r="AN53" s="199"/>
      <c r="AO53" s="199"/>
      <c r="AP53" s="199"/>
    </row>
    <row r="54" spans="1:48" s="214" customFormat="1" x14ac:dyDescent="0.2">
      <c r="A54" s="213" t="s">
        <v>384</v>
      </c>
      <c r="B54" s="214" t="s">
        <v>385</v>
      </c>
      <c r="C54" s="236">
        <f t="shared" si="31"/>
        <v>2.5380884569154237E-2</v>
      </c>
      <c r="D54" s="369">
        <f>$L$34*$C$37</f>
        <v>2.5380884569154237E-2</v>
      </c>
      <c r="E54" s="212">
        <f t="shared" si="12"/>
        <v>1.9035663426865676E-2</v>
      </c>
      <c r="F54" s="212">
        <f t="shared" si="13"/>
        <v>1.2690442284577119E-2</v>
      </c>
      <c r="G54" s="237">
        <f t="shared" si="14"/>
        <v>6.3452211422885593E-3</v>
      </c>
      <c r="H54" s="236">
        <f t="shared" si="15"/>
        <v>1.7567374528306985E-2</v>
      </c>
      <c r="I54" s="369">
        <f>$L$34*$C$38</f>
        <v>1.7567374528306985E-2</v>
      </c>
      <c r="J54" s="212">
        <f t="shared" si="16"/>
        <v>1.3175530896230239E-2</v>
      </c>
      <c r="K54" s="212">
        <f t="shared" si="17"/>
        <v>8.7836872641534926E-3</v>
      </c>
      <c r="L54" s="237">
        <f t="shared" si="18"/>
        <v>4.3918436320767463E-3</v>
      </c>
      <c r="M54" s="236">
        <f t="shared" si="19"/>
        <v>1.8133236498642576E-2</v>
      </c>
      <c r="N54" s="369">
        <f>$L$34*$C$39</f>
        <v>1.8133236498642576E-2</v>
      </c>
      <c r="O54" s="212">
        <f t="shared" si="20"/>
        <v>1.3599927373981932E-2</v>
      </c>
      <c r="P54" s="212">
        <f t="shared" si="21"/>
        <v>9.0666182493212878E-3</v>
      </c>
      <c r="Q54" s="237">
        <f t="shared" si="22"/>
        <v>4.5333091246606439E-3</v>
      </c>
      <c r="R54" s="212">
        <f t="shared" si="23"/>
        <v>1.1849607395402098E-2</v>
      </c>
      <c r="S54" s="369">
        <f>$L$34*$C$40</f>
        <v>1.1849607395402098E-2</v>
      </c>
      <c r="T54" s="212">
        <f t="shared" si="24"/>
        <v>8.8872055465515735E-3</v>
      </c>
      <c r="U54" s="212">
        <f t="shared" si="25"/>
        <v>5.924803697701049E-3</v>
      </c>
      <c r="V54" s="237">
        <f t="shared" si="26"/>
        <v>2.9624018488505245E-3</v>
      </c>
      <c r="W54" s="212">
        <f t="shared" si="27"/>
        <v>4.1797764368283918E-2</v>
      </c>
      <c r="X54" s="369">
        <f>$L$34*$C$41</f>
        <v>4.1797764368283918E-2</v>
      </c>
      <c r="Y54" s="212">
        <f t="shared" si="28"/>
        <v>3.1348323276212939E-2</v>
      </c>
      <c r="Z54" s="212">
        <f t="shared" si="29"/>
        <v>2.0898882184141959E-2</v>
      </c>
      <c r="AA54" s="237">
        <f t="shared" si="30"/>
        <v>1.044944109207098E-2</v>
      </c>
      <c r="AB54" s="212"/>
      <c r="AC54" s="212"/>
      <c r="AD54" s="212"/>
      <c r="AE54" s="212"/>
      <c r="AF54" s="212"/>
      <c r="AG54" s="212"/>
      <c r="AH54" s="212"/>
      <c r="AI54" s="212"/>
      <c r="AJ54" s="212"/>
      <c r="AK54" s="212"/>
      <c r="AL54" s="212"/>
      <c r="AM54" s="212"/>
      <c r="AN54" s="212"/>
      <c r="AO54" s="212"/>
      <c r="AP54" s="212"/>
    </row>
    <row r="55" spans="1:48" s="228" customFormat="1" x14ac:dyDescent="0.2">
      <c r="A55" s="226" t="str">
        <f>TechData_existing!B19</f>
        <v>TLEELC</v>
      </c>
      <c r="B55" s="226" t="str">
        <f>TechData_existing!C19</f>
        <v>TL.ELC.F.Existing fleet</v>
      </c>
      <c r="C55" s="238"/>
      <c r="D55" s="227">
        <f>'GHG Reports'!$C$103*TechData_existing!$I$19*C37*1.1</f>
        <v>4.0804692875190396E-3</v>
      </c>
      <c r="E55" s="227">
        <f>'GHG Reports'!$D$103*TechData_existing!$I$19*C37</f>
        <v>9.1717701771001775E-3</v>
      </c>
      <c r="F55" s="227">
        <f>E55*P21</f>
        <v>6.8788276328251331E-3</v>
      </c>
      <c r="G55" s="239">
        <f>P22*F55</f>
        <v>3.4394138164125666E-3</v>
      </c>
      <c r="H55" s="238"/>
      <c r="I55" s="227">
        <f>'GHG Reports'!$C$103*TechData_existing!$I$19*C38*1.1</f>
        <v>2.824296057522695E-3</v>
      </c>
      <c r="J55" s="227">
        <f>'GHG Reports'!$D$103*TechData_existing!$I$19*C38</f>
        <v>6.3482390201833848E-3</v>
      </c>
      <c r="K55" s="227">
        <f>J55*P21</f>
        <v>4.7611792651375386E-3</v>
      </c>
      <c r="L55" s="239">
        <f>J55*P22</f>
        <v>3.1741195100916924E-3</v>
      </c>
      <c r="M55" s="238"/>
      <c r="N55" s="227">
        <f>'GHG Reports'!$C$103*TechData_existing!$I$19*C39*1.1</f>
        <v>2.9152693403741341E-3</v>
      </c>
      <c r="O55" s="227">
        <f>'GHG Reports'!$D$103*TechData_existing!$I$19*C39</f>
        <v>6.5527218832505986E-3</v>
      </c>
      <c r="P55" s="227">
        <f>O55*P21</f>
        <v>4.9145414124379489E-3</v>
      </c>
      <c r="Q55" s="239">
        <f>O55*P22</f>
        <v>3.2763609416252993E-3</v>
      </c>
      <c r="R55" s="227"/>
      <c r="S55" s="227">
        <f>'GHG Reports'!$C$103*TechData_existing!$I$19*C40*1.1</f>
        <v>1.9050541329382819E-3</v>
      </c>
      <c r="T55" s="227">
        <f>'GHG Reports'!$D$103*TechData_existing!$I$19*C40</f>
        <v>4.282036562727895E-3</v>
      </c>
      <c r="U55" s="227">
        <f>T55*P21</f>
        <v>3.2115274220459213E-3</v>
      </c>
      <c r="V55" s="239">
        <f>T55*P22</f>
        <v>2.1410182813639475E-3</v>
      </c>
      <c r="W55" s="227"/>
      <c r="X55" s="227">
        <f>'GHG Reports'!$C$103*TechData_existing!$I$19*C41*1.1</f>
        <v>6.7198010111522103E-3</v>
      </c>
      <c r="Y55" s="227">
        <f>'GHG Reports'!$D$103*TechData_existing!$I$19*C41</f>
        <v>1.5104260360113269E-2</v>
      </c>
      <c r="Z55" s="227">
        <f>Y55*P21</f>
        <v>1.1328195270084952E-2</v>
      </c>
      <c r="AA55" s="239">
        <f>Y55*P22</f>
        <v>7.5521301800566343E-3</v>
      </c>
      <c r="AB55" s="227"/>
      <c r="AC55" s="227"/>
      <c r="AD55" s="227"/>
      <c r="AE55" s="227"/>
      <c r="AF55" s="227"/>
      <c r="AG55" s="227"/>
      <c r="AH55" s="227"/>
      <c r="AI55" s="227"/>
      <c r="AJ55" s="227"/>
      <c r="AK55" s="227"/>
      <c r="AL55" s="227"/>
      <c r="AM55" s="227"/>
      <c r="AN55" s="227"/>
      <c r="AO55" s="227"/>
      <c r="AP55" s="227"/>
    </row>
    <row r="56" spans="1:48" ht="13.5" thickBot="1" x14ac:dyDescent="0.25">
      <c r="A56" s="103"/>
      <c r="C56" s="240"/>
      <c r="D56" s="241">
        <f>SUM(D46:D55)+SUM(I46:I55)+SUM(N46:N55)+SUM(S46:S55)+SUM(X46:X55)</f>
        <v>19.657033168520005</v>
      </c>
      <c r="E56" s="241"/>
      <c r="F56" s="241"/>
      <c r="G56" s="242"/>
      <c r="H56" s="240"/>
      <c r="I56" s="241"/>
      <c r="J56" s="241"/>
      <c r="K56" s="241"/>
      <c r="L56" s="242"/>
      <c r="M56" s="240"/>
      <c r="N56" s="241"/>
      <c r="O56" s="241"/>
      <c r="P56" s="241"/>
      <c r="Q56" s="242"/>
      <c r="R56" s="241"/>
      <c r="S56" s="241"/>
      <c r="T56" s="241"/>
      <c r="U56" s="241"/>
      <c r="V56" s="242"/>
      <c r="W56" s="241"/>
      <c r="X56" s="241"/>
      <c r="Y56" s="241"/>
      <c r="Z56" s="241"/>
      <c r="AA56" s="242"/>
      <c r="AB56" s="39"/>
      <c r="AC56" s="39"/>
      <c r="AD56" s="39"/>
      <c r="AE56" s="39"/>
      <c r="AF56" s="39"/>
      <c r="AG56" s="39"/>
      <c r="AH56" s="39"/>
      <c r="AI56" s="39"/>
      <c r="AJ56" s="39"/>
      <c r="AK56" s="39"/>
      <c r="AL56" s="39"/>
      <c r="AM56" s="39"/>
      <c r="AN56" s="39"/>
      <c r="AO56" s="39"/>
      <c r="AP56" s="39"/>
    </row>
    <row r="57" spans="1:48" x14ac:dyDescent="0.2">
      <c r="A57" s="103"/>
      <c r="C57" s="39"/>
      <c r="D57" s="39"/>
      <c r="E57" s="39">
        <f>E55/SUM(E46:E55)</f>
        <v>2.8068994298110087E-3</v>
      </c>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row>
    <row r="58" spans="1:48" x14ac:dyDescent="0.2">
      <c r="A58" s="103"/>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row>
    <row r="59" spans="1:48" x14ac:dyDescent="0.2">
      <c r="A59" s="103"/>
      <c r="B59" s="103" t="s">
        <v>386</v>
      </c>
      <c r="C59" s="39">
        <f>SUM(C46:C49)</f>
        <v>3.9470978860033998</v>
      </c>
      <c r="D59" s="39"/>
      <c r="E59" s="39"/>
      <c r="F59" s="39"/>
      <c r="G59" s="39"/>
      <c r="H59" s="39">
        <f>SUM(H46:H49)</f>
        <v>2.7319830667990415</v>
      </c>
      <c r="I59" s="39"/>
      <c r="J59" s="39"/>
      <c r="K59" s="39"/>
      <c r="L59" s="39"/>
      <c r="M59" s="39">
        <f>SUM(M46:M49)</f>
        <v>2.8199828597454131</v>
      </c>
      <c r="N59" s="39"/>
      <c r="O59" s="39"/>
      <c r="P59" s="39"/>
      <c r="Q59" s="39"/>
      <c r="R59" s="39">
        <f>SUM(R46:R49)</f>
        <v>1.8427868490132937</v>
      </c>
      <c r="S59" s="39"/>
      <c r="T59" s="39"/>
      <c r="U59" s="39"/>
      <c r="V59" s="39"/>
      <c r="W59" s="39">
        <f>SUM(W46:W49)</f>
        <v>6.5001622354101922</v>
      </c>
      <c r="X59" s="39"/>
      <c r="Y59" s="39"/>
      <c r="Z59" s="39"/>
      <c r="AA59" s="39"/>
      <c r="AB59" s="39"/>
      <c r="AC59" s="39"/>
      <c r="AD59" s="39"/>
      <c r="AE59" s="39"/>
      <c r="AF59" s="39"/>
      <c r="AG59" s="39"/>
      <c r="AH59" s="39"/>
      <c r="AI59" s="39"/>
      <c r="AJ59" s="39"/>
      <c r="AK59" s="39"/>
      <c r="AL59" s="39"/>
      <c r="AM59" s="39"/>
      <c r="AN59" s="39"/>
      <c r="AO59" s="39"/>
      <c r="AP59" s="39"/>
    </row>
    <row r="60" spans="1:48" x14ac:dyDescent="0.2">
      <c r="A60" s="103"/>
      <c r="B60" s="103"/>
      <c r="C60" s="150">
        <f>C15*D10</f>
        <v>0.20500820761613731</v>
      </c>
      <c r="D60" s="150"/>
      <c r="E60" s="150"/>
      <c r="F60" s="150"/>
      <c r="G60" s="150"/>
      <c r="H60" s="150">
        <f>C16*D10</f>
        <v>0.14189639272645774</v>
      </c>
      <c r="I60" s="150"/>
      <c r="J60" s="150"/>
      <c r="K60" s="150"/>
      <c r="L60" s="150"/>
      <c r="M60" s="150">
        <f>D10*C17</f>
        <v>0.14646701153135233</v>
      </c>
      <c r="N60" s="150"/>
      <c r="O60" s="150"/>
      <c r="P60" s="150"/>
      <c r="Q60" s="150"/>
      <c r="R60" s="150">
        <f>D10*C18</f>
        <v>9.5712455035496802E-2</v>
      </c>
      <c r="S60" s="150"/>
      <c r="T60" s="150"/>
      <c r="U60" s="150"/>
      <c r="V60" s="150"/>
      <c r="W60" s="150">
        <f>D10*C19</f>
        <v>0.33761174604282418</v>
      </c>
      <c r="X60" s="150"/>
      <c r="Y60" s="150"/>
      <c r="Z60" s="150"/>
      <c r="AA60" s="150"/>
      <c r="AB60" s="150"/>
      <c r="AC60" s="150"/>
      <c r="AD60" s="150"/>
      <c r="AE60" s="150"/>
      <c r="AF60" s="150"/>
      <c r="AG60" s="150"/>
      <c r="AH60" s="150"/>
      <c r="AI60" s="150"/>
      <c r="AJ60" s="150"/>
      <c r="AK60" s="150"/>
      <c r="AL60" s="150"/>
      <c r="AM60" s="150"/>
      <c r="AN60" s="39"/>
      <c r="AO60" s="39"/>
      <c r="AP60" s="39"/>
    </row>
    <row r="61" spans="1:48" x14ac:dyDescent="0.2">
      <c r="A61" s="103"/>
      <c r="B61" s="103" t="s">
        <v>387</v>
      </c>
      <c r="C61" s="39">
        <f>SUM(C50:C54)</f>
        <v>0.39744724612508064</v>
      </c>
      <c r="D61" s="39"/>
      <c r="E61" s="39"/>
      <c r="F61" s="39"/>
      <c r="G61" s="39"/>
      <c r="H61" s="39">
        <f>SUM(H50:H54)</f>
        <v>0.27509303739590513</v>
      </c>
      <c r="I61" s="39"/>
      <c r="J61" s="39"/>
      <c r="K61" s="39"/>
      <c r="L61" s="39"/>
      <c r="M61" s="39">
        <f>SUM(M50:M54)</f>
        <v>0.28395404778283695</v>
      </c>
      <c r="N61" s="39"/>
      <c r="O61" s="39"/>
      <c r="P61" s="39"/>
      <c r="Q61" s="39"/>
      <c r="R61" s="39">
        <f>SUM(R50:R54)</f>
        <v>0.18555672534319756</v>
      </c>
      <c r="S61" s="39"/>
      <c r="T61" s="39"/>
      <c r="U61" s="39"/>
      <c r="V61" s="39"/>
      <c r="W61" s="39">
        <f>SUM(W50:W54)</f>
        <v>0.65452432507213576</v>
      </c>
      <c r="X61" s="39"/>
      <c r="Y61" s="39"/>
      <c r="Z61" s="39"/>
      <c r="AA61" s="39"/>
      <c r="AB61" s="39"/>
      <c r="AC61" s="39"/>
      <c r="AD61" s="39"/>
      <c r="AE61" s="39"/>
      <c r="AF61" s="39"/>
      <c r="AG61" s="39"/>
      <c r="AH61" s="39"/>
      <c r="AI61" s="39"/>
      <c r="AJ61" s="39"/>
      <c r="AK61" s="39"/>
      <c r="AL61" s="39"/>
      <c r="AM61" s="39"/>
      <c r="AN61" s="39"/>
      <c r="AO61" s="39"/>
      <c r="AP61" s="39"/>
    </row>
    <row r="62" spans="1:48" x14ac:dyDescent="0.2">
      <c r="A62" s="103"/>
      <c r="B62" s="103"/>
      <c r="C62" s="150">
        <f>C15*D11</f>
        <v>1.6216712957337582E-2</v>
      </c>
      <c r="D62" s="150"/>
      <c r="E62" s="150"/>
      <c r="F62" s="150"/>
      <c r="G62" s="150"/>
      <c r="H62" s="150">
        <f>C16*D11</f>
        <v>1.1224394853669641E-2</v>
      </c>
      <c r="I62" s="150"/>
      <c r="J62" s="150"/>
      <c r="K62" s="150"/>
      <c r="L62" s="150"/>
      <c r="M62" s="150">
        <f>D11*C17</f>
        <v>1.1585943369498676E-2</v>
      </c>
      <c r="N62" s="150"/>
      <c r="O62" s="150"/>
      <c r="P62" s="150"/>
      <c r="Q62" s="150"/>
      <c r="R62" s="150">
        <f>D11*C18</f>
        <v>7.5711183849721825E-3</v>
      </c>
      <c r="S62" s="150"/>
      <c r="T62" s="150"/>
      <c r="U62" s="150"/>
      <c r="V62" s="150"/>
      <c r="W62" s="150">
        <f>D11*C19</f>
        <v>2.6706017482253566E-2</v>
      </c>
      <c r="X62" s="150"/>
      <c r="Y62" s="150"/>
      <c r="Z62" s="150"/>
      <c r="AA62" s="150"/>
      <c r="AB62" s="150"/>
      <c r="AC62" s="150"/>
      <c r="AD62" s="150"/>
      <c r="AE62" s="150"/>
      <c r="AF62" s="150"/>
      <c r="AG62" s="150"/>
      <c r="AH62" s="150"/>
      <c r="AI62" s="150"/>
      <c r="AJ62" s="150"/>
      <c r="AK62" s="150"/>
      <c r="AL62" s="150"/>
      <c r="AM62" s="39"/>
      <c r="AN62" s="39"/>
      <c r="AO62" s="39"/>
      <c r="AP62" s="39"/>
    </row>
    <row r="63" spans="1:48" x14ac:dyDescent="0.2">
      <c r="A63" s="103"/>
      <c r="B63" s="103"/>
      <c r="C63" s="39">
        <f>SUM(C46:C58)</f>
        <v>4.3445451321284807</v>
      </c>
      <c r="D63" s="39"/>
      <c r="E63" s="39"/>
      <c r="F63" s="39"/>
      <c r="G63" s="39"/>
      <c r="H63" s="39">
        <f>SUM(H46:H58)</f>
        <v>3.007076104194947</v>
      </c>
      <c r="I63" s="39"/>
      <c r="J63" s="39"/>
      <c r="K63" s="39"/>
      <c r="L63" s="39"/>
      <c r="M63" s="39">
        <f>SUM(M46:M58)</f>
        <v>3.1039369075282499</v>
      </c>
      <c r="N63" s="39"/>
      <c r="O63" s="39"/>
      <c r="P63" s="39"/>
      <c r="Q63" s="39"/>
      <c r="R63" s="39">
        <f>SUM(R46:R58)</f>
        <v>2.0283435743564913</v>
      </c>
      <c r="S63" s="39"/>
      <c r="T63" s="39"/>
      <c r="U63" s="39"/>
      <c r="V63" s="39"/>
      <c r="W63" s="39">
        <f>SUM(W46:W58)</f>
        <v>7.1546865604823289</v>
      </c>
      <c r="X63" s="39"/>
      <c r="Y63" s="39"/>
      <c r="Z63" s="39"/>
      <c r="AA63" s="39"/>
      <c r="AB63" s="39"/>
      <c r="AC63" s="39"/>
      <c r="AD63" s="39"/>
      <c r="AE63" s="39"/>
      <c r="AF63" s="39"/>
      <c r="AG63" s="39"/>
      <c r="AH63" s="39"/>
      <c r="AI63" s="39"/>
      <c r="AJ63" s="39"/>
      <c r="AK63" s="39"/>
      <c r="AL63" s="39"/>
      <c r="AM63" s="39"/>
      <c r="AN63" s="39"/>
      <c r="AO63" s="39"/>
      <c r="AP63" s="39"/>
    </row>
    <row r="64" spans="1:48" x14ac:dyDescent="0.2">
      <c r="A64" s="103"/>
      <c r="B64" s="103"/>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39"/>
      <c r="AN64" s="39"/>
      <c r="AO64" s="39"/>
      <c r="AP64" s="39"/>
    </row>
    <row r="65" spans="1:12" x14ac:dyDescent="0.2">
      <c r="A65" s="103"/>
      <c r="B65" s="103"/>
      <c r="C65" s="151"/>
      <c r="D65" s="151"/>
      <c r="E65" s="151"/>
      <c r="F65" s="151"/>
      <c r="G65" s="151"/>
      <c r="H65" s="151"/>
      <c r="I65" s="151"/>
      <c r="J65" s="151"/>
    </row>
    <row r="66" spans="1:12" x14ac:dyDescent="0.2">
      <c r="A66" s="103"/>
      <c r="B66" s="103"/>
      <c r="C66" s="151"/>
      <c r="D66" s="395" t="s">
        <v>388</v>
      </c>
      <c r="E66" s="395"/>
      <c r="F66" s="151"/>
      <c r="G66" s="151"/>
      <c r="H66" s="151"/>
      <c r="I66" s="151"/>
      <c r="J66" s="151"/>
      <c r="K66" s="151"/>
    </row>
    <row r="67" spans="1:12" x14ac:dyDescent="0.2">
      <c r="A67" s="103"/>
      <c r="B67" s="103" t="s">
        <v>389</v>
      </c>
      <c r="C67" s="103"/>
      <c r="D67" s="15">
        <v>2005</v>
      </c>
      <c r="E67" s="15">
        <v>2010</v>
      </c>
      <c r="F67" s="151"/>
      <c r="G67" s="151"/>
      <c r="H67" s="151"/>
      <c r="J67" s="151"/>
      <c r="K67" s="151"/>
    </row>
    <row r="68" spans="1:12" x14ac:dyDescent="0.2">
      <c r="A68" s="103" t="s">
        <v>390</v>
      </c>
      <c r="B68" s="103" t="s">
        <v>391</v>
      </c>
      <c r="C68" s="103"/>
      <c r="D68" s="26">
        <v>0</v>
      </c>
      <c r="E68" s="26">
        <v>0</v>
      </c>
      <c r="F68" s="151"/>
      <c r="G68" s="151"/>
      <c r="H68" s="151"/>
      <c r="J68" s="151"/>
      <c r="K68" s="151"/>
      <c r="L68" s="151"/>
    </row>
    <row r="69" spans="1:12" x14ac:dyDescent="0.2">
      <c r="A69" s="15" t="s">
        <v>392</v>
      </c>
      <c r="B69" s="15" t="s">
        <v>393</v>
      </c>
      <c r="D69" s="26">
        <f>'VMT NYC'!C69</f>
        <v>4.348625601415999</v>
      </c>
      <c r="E69" s="26">
        <f>'VMT NYC'!D69</f>
        <v>4.348625601415999</v>
      </c>
      <c r="H69" s="15" t="s">
        <v>372</v>
      </c>
      <c r="I69" s="15">
        <v>1.93</v>
      </c>
      <c r="L69" s="151"/>
    </row>
    <row r="70" spans="1:12" x14ac:dyDescent="0.2">
      <c r="A70" s="15" t="s">
        <v>394</v>
      </c>
      <c r="B70" s="15" t="s">
        <v>395</v>
      </c>
      <c r="D70" s="26">
        <f>'VMT NYC'!C70</f>
        <v>3.0099004002524694</v>
      </c>
      <c r="E70" s="26">
        <f>'VMT NYC'!D70</f>
        <v>3.0099004002524694</v>
      </c>
      <c r="H70" s="15" t="s">
        <v>374</v>
      </c>
      <c r="I70" s="15">
        <v>0.61</v>
      </c>
    </row>
    <row r="71" spans="1:12" x14ac:dyDescent="0.2">
      <c r="A71" s="15" t="s">
        <v>396</v>
      </c>
      <c r="B71" s="15" t="s">
        <v>397</v>
      </c>
      <c r="D71" s="26">
        <f>'VMT NYC'!C71</f>
        <v>3.1068521768686241</v>
      </c>
      <c r="E71" s="26">
        <f>'VMT NYC'!D71</f>
        <v>3.1068521768686241</v>
      </c>
      <c r="H71" s="15" t="s">
        <v>368</v>
      </c>
      <c r="I71" s="15">
        <v>0.26</v>
      </c>
    </row>
    <row r="72" spans="1:12" x14ac:dyDescent="0.2">
      <c r="A72" s="15" t="s">
        <v>398</v>
      </c>
      <c r="B72" s="15" t="s">
        <v>399</v>
      </c>
      <c r="D72" s="26">
        <f>'VMT NYC'!C72</f>
        <v>2.0302486284894297</v>
      </c>
      <c r="E72" s="26">
        <f>'VMT NYC'!D72</f>
        <v>2.0302486284894297</v>
      </c>
    </row>
    <row r="73" spans="1:12" x14ac:dyDescent="0.2">
      <c r="A73" s="15" t="s">
        <v>400</v>
      </c>
      <c r="B73" s="15" t="s">
        <v>401</v>
      </c>
      <c r="D73" s="26">
        <f>'VMT NYC'!C73</f>
        <v>7.16140636149348</v>
      </c>
      <c r="E73" s="26">
        <f>'VMT NYC'!D73</f>
        <v>7.16140636149348</v>
      </c>
    </row>
    <row r="74" spans="1:12" x14ac:dyDescent="0.2">
      <c r="A74" s="15" t="s">
        <v>402</v>
      </c>
      <c r="D74" s="26"/>
      <c r="E74" s="26"/>
    </row>
    <row r="75" spans="1:12" x14ac:dyDescent="0.2">
      <c r="A75" s="15" t="s">
        <v>403</v>
      </c>
      <c r="D75" s="26"/>
      <c r="E75" s="26"/>
    </row>
    <row r="76" spans="1:12" x14ac:dyDescent="0.2">
      <c r="A76" s="15" t="s">
        <v>404</v>
      </c>
      <c r="D76" s="26" t="e">
        <f>#REF!</f>
        <v>#REF!</v>
      </c>
      <c r="E76" s="26" t="e">
        <f>#REF!</f>
        <v>#REF!</v>
      </c>
    </row>
    <row r="77" spans="1:12" x14ac:dyDescent="0.2">
      <c r="B77" s="15" t="s">
        <v>405</v>
      </c>
      <c r="D77" s="26">
        <f>SUM(D68:D73)</f>
        <v>19.657033168520002</v>
      </c>
      <c r="E77" s="26">
        <f>SUM(E68:E73)</f>
        <v>19.657033168520002</v>
      </c>
    </row>
    <row r="78" spans="1:12" x14ac:dyDescent="0.2">
      <c r="D78" s="26"/>
      <c r="E78" s="26"/>
    </row>
    <row r="79" spans="1:12" x14ac:dyDescent="0.2">
      <c r="A79" s="161" t="s">
        <v>406</v>
      </c>
      <c r="B79" s="162"/>
      <c r="C79" s="162"/>
      <c r="D79" s="163">
        <f>D10+D11</f>
        <v>1</v>
      </c>
      <c r="E79" s="163">
        <f>E10+E11</f>
        <v>0.79981043995058321</v>
      </c>
    </row>
    <row r="80" spans="1:12" x14ac:dyDescent="0.2">
      <c r="A80" s="161"/>
      <c r="B80" s="162"/>
      <c r="C80" s="162" t="s">
        <v>407</v>
      </c>
      <c r="D80" s="164">
        <f>(D79-D77)/D77</f>
        <v>-0.94912762310431142</v>
      </c>
      <c r="E80" s="164">
        <f>(E79-E77)/E77</f>
        <v>-0.95931174185372747</v>
      </c>
    </row>
    <row r="82" spans="2:30" x14ac:dyDescent="0.2">
      <c r="C82" s="18" t="s">
        <v>408</v>
      </c>
      <c r="D82" s="18"/>
      <c r="E82" s="18"/>
      <c r="F82" s="18"/>
      <c r="G82" s="18"/>
      <c r="H82" s="18"/>
      <c r="V82" s="18" t="s">
        <v>409</v>
      </c>
    </row>
    <row r="83" spans="2:30" x14ac:dyDescent="0.2">
      <c r="C83" s="15" t="s">
        <v>410</v>
      </c>
      <c r="D83" s="15" t="s">
        <v>411</v>
      </c>
      <c r="V83" s="18" t="s">
        <v>412</v>
      </c>
    </row>
    <row r="84" spans="2:30" x14ac:dyDescent="0.2">
      <c r="C84" s="15" t="s">
        <v>413</v>
      </c>
      <c r="D84" s="15" t="s">
        <v>414</v>
      </c>
      <c r="I84" s="395" t="s">
        <v>415</v>
      </c>
      <c r="J84" s="395"/>
      <c r="K84" s="395"/>
      <c r="L84" s="395"/>
      <c r="N84" s="395" t="s">
        <v>416</v>
      </c>
      <c r="O84" s="395"/>
      <c r="P84" s="395"/>
      <c r="Q84" s="395"/>
      <c r="R84" s="395"/>
      <c r="S84" s="395"/>
      <c r="T84" s="395"/>
      <c r="V84" s="395" t="s">
        <v>417</v>
      </c>
      <c r="W84" s="395"/>
      <c r="X84" s="395"/>
      <c r="Y84" s="395"/>
      <c r="Z84" s="395"/>
      <c r="AA84" s="395" t="s">
        <v>418</v>
      </c>
      <c r="AB84" s="395"/>
      <c r="AC84" s="395"/>
      <c r="AD84" s="395"/>
    </row>
    <row r="85" spans="2:30" x14ac:dyDescent="0.2">
      <c r="C85" s="18" t="s">
        <v>419</v>
      </c>
      <c r="D85" s="18" t="s">
        <v>405</v>
      </c>
      <c r="E85" s="18" t="s">
        <v>420</v>
      </c>
      <c r="F85" s="18" t="s">
        <v>421</v>
      </c>
      <c r="G85" s="18" t="s">
        <v>422</v>
      </c>
      <c r="H85" s="18" t="s">
        <v>423</v>
      </c>
      <c r="I85" s="18" t="s">
        <v>420</v>
      </c>
      <c r="J85" s="18" t="s">
        <v>423</v>
      </c>
      <c r="K85" s="18" t="s">
        <v>421</v>
      </c>
      <c r="L85" s="18" t="s">
        <v>422</v>
      </c>
      <c r="M85" s="18" t="s">
        <v>423</v>
      </c>
      <c r="N85" s="202" t="s">
        <v>322</v>
      </c>
      <c r="O85" s="202" t="s">
        <v>323</v>
      </c>
      <c r="P85" s="202" t="s">
        <v>324</v>
      </c>
      <c r="Q85" s="202" t="s">
        <v>424</v>
      </c>
      <c r="R85" s="202" t="s">
        <v>327</v>
      </c>
      <c r="S85" s="202" t="s">
        <v>422</v>
      </c>
      <c r="T85" s="202" t="s">
        <v>329</v>
      </c>
      <c r="V85" s="15" t="s">
        <v>334</v>
      </c>
      <c r="W85" s="15" t="s">
        <v>332</v>
      </c>
      <c r="X85" s="15" t="s">
        <v>338</v>
      </c>
      <c r="Y85" s="15" t="s">
        <v>318</v>
      </c>
      <c r="Z85" s="15" t="s">
        <v>425</v>
      </c>
      <c r="AA85" s="15" t="s">
        <v>334</v>
      </c>
      <c r="AB85" s="15" t="s">
        <v>338</v>
      </c>
      <c r="AC85" s="15" t="s">
        <v>332</v>
      </c>
      <c r="AD85" s="15" t="s">
        <v>318</v>
      </c>
    </row>
    <row r="86" spans="2:30" x14ac:dyDescent="0.2">
      <c r="B86" s="15" t="s">
        <v>426</v>
      </c>
      <c r="C86" s="165">
        <f>'VMT NYC'!D38</f>
        <v>0</v>
      </c>
      <c r="D86" s="166">
        <f>'VMT NYC'!X40/1000000</f>
        <v>0.60613740000000005</v>
      </c>
      <c r="E86" s="26">
        <f>D$10*D86*0.95</f>
        <v>0.53361974112108557</v>
      </c>
      <c r="F86" s="26">
        <f>0.75*(D86-E86-H86)</f>
        <v>2.1063937149516557E-2</v>
      </c>
      <c r="G86" s="26">
        <f>D86-E86-F86-H86</f>
        <v>7.0213123831721833E-3</v>
      </c>
      <c r="H86" s="26">
        <f t="shared" ref="H86:H92" si="32">D$11*D86</f>
        <v>4.4432409346225742E-2</v>
      </c>
      <c r="I86" s="31">
        <f>E86/D86</f>
        <v>0.88036102230465485</v>
      </c>
      <c r="J86" s="31">
        <f>SUM(K86:M86)</f>
        <v>0.11963897769534509</v>
      </c>
      <c r="K86" s="31">
        <f t="shared" ref="K86:K90" si="33">F86/D86</f>
        <v>3.4751092985710094E-2</v>
      </c>
      <c r="L86" s="31">
        <f t="shared" ref="L86:L90" si="34">G86/D86</f>
        <v>1.1583697661903362E-2</v>
      </c>
      <c r="M86" s="31">
        <f>H86/D86</f>
        <v>7.3304187047731645E-2</v>
      </c>
      <c r="N86" s="31">
        <f>F$97*I86</f>
        <v>2.7631647076330233E-2</v>
      </c>
      <c r="O86" s="31">
        <f>F$98*I86</f>
        <v>0.46605378068743653</v>
      </c>
      <c r="P86" s="31">
        <f>I86*F$99</f>
        <v>0.3866755945408879</v>
      </c>
      <c r="Q86" s="31">
        <f>K86*F$100</f>
        <v>1.8764479066224755E-2</v>
      </c>
      <c r="R86" s="31">
        <f>K86*F$101</f>
        <v>1.5986613919485339E-2</v>
      </c>
      <c r="S86" s="31">
        <f>L86</f>
        <v>1.1583697661903362E-2</v>
      </c>
      <c r="T86" s="31">
        <f t="shared" ref="T86:T90" si="35">M86</f>
        <v>7.3304187047731645E-2</v>
      </c>
      <c r="U86" s="15" t="s">
        <v>392</v>
      </c>
      <c r="V86" s="60">
        <f>SUM('TED10'!AB16:AB18)</f>
        <v>141</v>
      </c>
      <c r="W86" s="60">
        <f>SUM('TED10'!AC16:AC18)</f>
        <v>66</v>
      </c>
      <c r="X86" s="60">
        <f>SUM('TED10'!AD16:AD18)</f>
        <v>94</v>
      </c>
      <c r="Y86" s="60">
        <f>SUM('TED10'!AE16:AE18)</f>
        <v>4</v>
      </c>
      <c r="Z86" s="15">
        <f t="shared" ref="Z86:Z90" si="36">SUM(V86:Y86)</f>
        <v>305</v>
      </c>
      <c r="AA86" s="31">
        <f t="shared" ref="AA86:AA90" si="37">V86/$Z86</f>
        <v>0.46229508196721314</v>
      </c>
      <c r="AB86" s="31">
        <f t="shared" ref="AB86:AB90" si="38">X86/$Z86</f>
        <v>0.30819672131147541</v>
      </c>
      <c r="AC86" s="31">
        <f t="shared" ref="AC86:AC90" si="39">W86/$Z86</f>
        <v>0.21639344262295082</v>
      </c>
      <c r="AD86" s="26">
        <f t="shared" ref="AD86:AD90" si="40">Y86/$Z86</f>
        <v>1.3114754098360656E-2</v>
      </c>
    </row>
    <row r="87" spans="2:30" x14ac:dyDescent="0.2">
      <c r="B87" s="15" t="s">
        <v>427</v>
      </c>
      <c r="C87" s="165">
        <f>'VMT NYC'!D39</f>
        <v>0</v>
      </c>
      <c r="D87" s="166">
        <f>'VMT NYC'!X41/1000000</f>
        <v>0.35043232400000002</v>
      </c>
      <c r="E87" s="26">
        <f>D$10*D87*0.95</f>
        <v>0.30850695900523606</v>
      </c>
      <c r="F87" s="26">
        <f>0.75*(D87-E87-H87)</f>
        <v>1.2177906276522495E-2</v>
      </c>
      <c r="G87" s="26">
        <f>D87-E87-F87-H87</f>
        <v>4.0593020921741649E-3</v>
      </c>
      <c r="H87" s="26">
        <f t="shared" si="32"/>
        <v>2.5688156626067299E-2</v>
      </c>
      <c r="I87" s="31">
        <f t="shared" ref="I87:I90" si="41">E87/D87</f>
        <v>0.88036102230465485</v>
      </c>
      <c r="J87" s="31">
        <f>SUM(K87:M87)</f>
        <v>0.11963897769534512</v>
      </c>
      <c r="K87" s="31">
        <f t="shared" si="33"/>
        <v>3.4751092985710115E-2</v>
      </c>
      <c r="L87" s="31">
        <f t="shared" si="34"/>
        <v>1.1583697661903371E-2</v>
      </c>
      <c r="M87" s="31">
        <f>H87/D87</f>
        <v>7.3304187047731645E-2</v>
      </c>
      <c r="N87" s="31">
        <f>F$97*I87</f>
        <v>2.7631647076330233E-2</v>
      </c>
      <c r="O87" s="31">
        <f>F$98*I87</f>
        <v>0.46605378068743653</v>
      </c>
      <c r="P87" s="31">
        <f>I87*F$99</f>
        <v>0.3866755945408879</v>
      </c>
      <c r="Q87" s="31">
        <f>K87*F$100</f>
        <v>1.8764479066224766E-2</v>
      </c>
      <c r="R87" s="31">
        <f>K87*F$101</f>
        <v>1.5986613919485349E-2</v>
      </c>
      <c r="S87" s="31">
        <f>L87</f>
        <v>1.1583697661903371E-2</v>
      </c>
      <c r="T87" s="31">
        <f t="shared" si="35"/>
        <v>7.3304187047731645E-2</v>
      </c>
      <c r="U87" s="15" t="s">
        <v>394</v>
      </c>
      <c r="V87" s="60">
        <f>SUM('TED10'!AB31:AB39)</f>
        <v>70</v>
      </c>
      <c r="W87" s="60">
        <f>SUM('TED10'!AC31:AC39)</f>
        <v>203</v>
      </c>
      <c r="X87" s="60">
        <f>SUM('TED10'!AD31:AD39)</f>
        <v>237</v>
      </c>
      <c r="Y87" s="60">
        <f>SUM('TED10'!AE31:AE39)</f>
        <v>12</v>
      </c>
      <c r="Z87" s="15">
        <f t="shared" si="36"/>
        <v>522</v>
      </c>
      <c r="AA87" s="31">
        <f t="shared" si="37"/>
        <v>0.13409961685823754</v>
      </c>
      <c r="AB87" s="31">
        <f t="shared" si="38"/>
        <v>0.45402298850574713</v>
      </c>
      <c r="AC87" s="31">
        <f t="shared" si="39"/>
        <v>0.3888888888888889</v>
      </c>
      <c r="AD87" s="26">
        <f t="shared" si="40"/>
        <v>2.2988505747126436E-2</v>
      </c>
    </row>
    <row r="88" spans="2:30" x14ac:dyDescent="0.2">
      <c r="B88" s="15" t="s">
        <v>428</v>
      </c>
      <c r="C88" s="165">
        <f>'VMT NYC'!D40</f>
        <v>0</v>
      </c>
      <c r="D88" s="166">
        <f>'VMT NYC'!X42/1000000</f>
        <v>0.20933523600000001</v>
      </c>
      <c r="E88" s="26">
        <f>D$10*D88*0.95</f>
        <v>0.1842905823693462</v>
      </c>
      <c r="F88" s="26">
        <f>0.75*(D88-E88-H88)</f>
        <v>7.2746282514215693E-3</v>
      </c>
      <c r="G88" s="26">
        <f>D88-E88-F88-H88</f>
        <v>2.4248760838071898E-3</v>
      </c>
      <c r="H88" s="26">
        <f t="shared" si="32"/>
        <v>1.5345149295425048E-2</v>
      </c>
      <c r="I88" s="31">
        <f t="shared" si="41"/>
        <v>0.88036102230465485</v>
      </c>
      <c r="J88" s="31">
        <f>SUM(K88:M88)</f>
        <v>0.11963897769534512</v>
      </c>
      <c r="K88" s="31">
        <f t="shared" si="33"/>
        <v>3.4751092985710101E-2</v>
      </c>
      <c r="L88" s="31">
        <f t="shared" si="34"/>
        <v>1.1583697661903368E-2</v>
      </c>
      <c r="M88" s="31">
        <f>H88/D88</f>
        <v>7.3304187047731645E-2</v>
      </c>
      <c r="N88" s="31">
        <f>F$97*I88</f>
        <v>2.7631647076330233E-2</v>
      </c>
      <c r="O88" s="31">
        <f>F$98*I88</f>
        <v>0.46605378068743653</v>
      </c>
      <c r="P88" s="31">
        <f>I88*F$99</f>
        <v>0.3866755945408879</v>
      </c>
      <c r="Q88" s="31">
        <f>K88*F$100</f>
        <v>1.8764479066224759E-2</v>
      </c>
      <c r="R88" s="31">
        <f>K88*F$101</f>
        <v>1.5986613919485342E-2</v>
      </c>
      <c r="S88" s="31">
        <f>L88</f>
        <v>1.1583697661903368E-2</v>
      </c>
      <c r="T88" s="31">
        <f t="shared" si="35"/>
        <v>7.3304187047731645E-2</v>
      </c>
      <c r="U88" s="15" t="s">
        <v>396</v>
      </c>
      <c r="V88" s="60">
        <f>SUM('TED10'!AB40:AB43)</f>
        <v>11</v>
      </c>
      <c r="W88" s="60">
        <f>SUM('TED10'!AC40:AC43)</f>
        <v>64</v>
      </c>
      <c r="X88" s="60">
        <f>SUM('TED10'!AD40:AD43)</f>
        <v>260</v>
      </c>
      <c r="Y88" s="60">
        <f>SUM('TED10'!AE40:AE43)</f>
        <v>2</v>
      </c>
      <c r="Z88" s="15">
        <f t="shared" si="36"/>
        <v>337</v>
      </c>
      <c r="AA88" s="31">
        <f t="shared" si="37"/>
        <v>3.2640949554896145E-2</v>
      </c>
      <c r="AB88" s="31">
        <f t="shared" si="38"/>
        <v>0.771513353115727</v>
      </c>
      <c r="AC88" s="31">
        <f t="shared" si="39"/>
        <v>0.18991097922848665</v>
      </c>
      <c r="AD88" s="26">
        <f t="shared" si="40"/>
        <v>5.9347181008902079E-3</v>
      </c>
    </row>
    <row r="89" spans="2:30" x14ac:dyDescent="0.2">
      <c r="B89" s="15" t="s">
        <v>429</v>
      </c>
      <c r="C89" s="165">
        <f>'VMT NYC'!D41</f>
        <v>0</v>
      </c>
      <c r="D89" s="166">
        <f>'VMT NYC'!X43/1000000</f>
        <v>0.21655325999999997</v>
      </c>
      <c r="E89" s="26">
        <f>D$10*D89*0.95</f>
        <v>0.19064504935700571</v>
      </c>
      <c r="F89" s="26">
        <f>0.75*(D89-E89-H89)</f>
        <v>7.5254624746186466E-3</v>
      </c>
      <c r="G89" s="26">
        <f>D89-E89-F89-H89</f>
        <v>2.5084874915395489E-3</v>
      </c>
      <c r="H89" s="26">
        <f t="shared" si="32"/>
        <v>1.5874260676836061E-2</v>
      </c>
      <c r="I89" s="31">
        <f t="shared" si="41"/>
        <v>0.88036102230465496</v>
      </c>
      <c r="J89" s="31">
        <f>SUM(K89:M89)</f>
        <v>0.11963897769534507</v>
      </c>
      <c r="K89" s="31">
        <f t="shared" si="33"/>
        <v>3.4751092985710066E-2</v>
      </c>
      <c r="L89" s="31">
        <f t="shared" si="34"/>
        <v>1.1583697661903354E-2</v>
      </c>
      <c r="M89" s="31">
        <f>H89/D89</f>
        <v>7.3304187047731645E-2</v>
      </c>
      <c r="N89" s="31">
        <f>F$97*I89</f>
        <v>2.7631647076330236E-2</v>
      </c>
      <c r="O89" s="31">
        <f>F$98*I89</f>
        <v>0.46605378068743658</v>
      </c>
      <c r="P89" s="31">
        <f>I89*F$99</f>
        <v>0.38667559454088796</v>
      </c>
      <c r="Q89" s="31">
        <f>K89*F$100</f>
        <v>1.8764479066224742E-2</v>
      </c>
      <c r="R89" s="31">
        <f>K89*F$101</f>
        <v>1.5986613919485325E-2</v>
      </c>
      <c r="S89" s="31">
        <f>L89</f>
        <v>1.1583697661903354E-2</v>
      </c>
      <c r="T89" s="31">
        <f t="shared" si="35"/>
        <v>7.3304187047731645E-2</v>
      </c>
      <c r="U89" s="15" t="s">
        <v>398</v>
      </c>
      <c r="V89" s="60">
        <f>SUM('TED10'!AB19:AB23)</f>
        <v>72</v>
      </c>
      <c r="W89" s="60">
        <f>SUM('TED10'!AC19:AC23)</f>
        <v>598</v>
      </c>
      <c r="X89" s="60">
        <f>SUM('TED10'!AD19:AD23)</f>
        <v>297</v>
      </c>
      <c r="Y89" s="60">
        <f>SUM('TED10'!AE19:AE23)</f>
        <v>12</v>
      </c>
      <c r="Z89" s="15">
        <f t="shared" si="36"/>
        <v>979</v>
      </c>
      <c r="AA89" s="31">
        <f t="shared" si="37"/>
        <v>7.3544433094994893E-2</v>
      </c>
      <c r="AB89" s="31">
        <f t="shared" si="38"/>
        <v>0.30337078651685395</v>
      </c>
      <c r="AC89" s="31">
        <f t="shared" si="39"/>
        <v>0.61082737487231864</v>
      </c>
      <c r="AD89" s="26">
        <f t="shared" si="40"/>
        <v>1.2257405515832482E-2</v>
      </c>
    </row>
    <row r="90" spans="2:30" x14ac:dyDescent="0.2">
      <c r="B90" s="15" t="s">
        <v>430</v>
      </c>
      <c r="C90" s="165">
        <f>'VMT NYC'!D42</f>
        <v>0</v>
      </c>
      <c r="D90" s="166">
        <f>'VMT NYC'!X44/1000000</f>
        <v>0.785214144</v>
      </c>
      <c r="E90" s="26">
        <f>D$10*D90</f>
        <v>0.72765465951569952</v>
      </c>
      <c r="F90" s="26">
        <f>0.75*(D90-E90-H90)</f>
        <v>-5.2041704279304213E-18</v>
      </c>
      <c r="G90" s="26">
        <f>D90-E90-F90-H90</f>
        <v>0</v>
      </c>
      <c r="H90" s="26">
        <f t="shared" si="32"/>
        <v>5.755948448430049E-2</v>
      </c>
      <c r="I90" s="31">
        <f t="shared" si="41"/>
        <v>0.92669581295226833</v>
      </c>
      <c r="J90" s="31">
        <f>SUM(K90:M90)</f>
        <v>7.3304187047731645E-2</v>
      </c>
      <c r="K90" s="31">
        <f t="shared" si="33"/>
        <v>-6.6277084636040651E-18</v>
      </c>
      <c r="L90" s="31">
        <f t="shared" si="34"/>
        <v>0</v>
      </c>
      <c r="M90" s="31">
        <f>H90/D90</f>
        <v>7.3304187047731645E-2</v>
      </c>
      <c r="N90" s="31">
        <f>F$97*I90</f>
        <v>2.9085944290873932E-2</v>
      </c>
      <c r="O90" s="31">
        <f>F$98*I90</f>
        <v>0.49058292703940692</v>
      </c>
      <c r="P90" s="31">
        <f>I90*F$99</f>
        <v>0.40702694162198733</v>
      </c>
      <c r="Q90" s="31">
        <f>K90*F$100</f>
        <v>-3.5787506532090699E-18</v>
      </c>
      <c r="R90" s="31">
        <f>K90*F$101</f>
        <v>-3.0489578103949955E-18</v>
      </c>
      <c r="S90" s="31">
        <f>L90</f>
        <v>0</v>
      </c>
      <c r="T90" s="31">
        <f t="shared" si="35"/>
        <v>7.3304187047731645E-2</v>
      </c>
      <c r="U90" s="15" t="s">
        <v>400</v>
      </c>
      <c r="V90" s="60">
        <f>SUM('TED10'!AB44:AB47)</f>
        <v>83</v>
      </c>
      <c r="W90" s="60">
        <f>SUM('TED10'!AC44:AC47)</f>
        <v>68</v>
      </c>
      <c r="X90" s="60">
        <f>SUM('TED10'!AD44:AD47)</f>
        <v>648</v>
      </c>
      <c r="Y90" s="60">
        <f>SUM('TED10'!AE44:AE47)</f>
        <v>6</v>
      </c>
      <c r="Z90" s="15">
        <f t="shared" si="36"/>
        <v>805</v>
      </c>
      <c r="AA90" s="31">
        <f t="shared" si="37"/>
        <v>0.1031055900621118</v>
      </c>
      <c r="AB90" s="31">
        <f t="shared" si="38"/>
        <v>0.80496894409937891</v>
      </c>
      <c r="AC90" s="31">
        <f t="shared" si="39"/>
        <v>8.4472049689440998E-2</v>
      </c>
      <c r="AD90" s="26">
        <f t="shared" si="40"/>
        <v>7.4534161490683228E-3</v>
      </c>
    </row>
    <row r="91" spans="2:30" x14ac:dyDescent="0.2">
      <c r="C91" s="165">
        <f>'VMT NYC'!D43</f>
        <v>0</v>
      </c>
      <c r="D91" s="166"/>
      <c r="E91" s="26">
        <f>D$10*D91</f>
        <v>0</v>
      </c>
      <c r="F91" s="26">
        <f>E$10*E91</f>
        <v>0</v>
      </c>
      <c r="G91" s="26">
        <f>F$10*F91</f>
        <v>0</v>
      </c>
      <c r="H91" s="39">
        <f t="shared" si="32"/>
        <v>0</v>
      </c>
      <c r="I91" s="26"/>
      <c r="J91" s="26"/>
      <c r="K91" s="26"/>
      <c r="L91" s="26"/>
      <c r="M91" s="26"/>
      <c r="N91" s="39"/>
      <c r="O91" s="39"/>
      <c r="P91" s="39"/>
      <c r="Q91" s="39"/>
      <c r="R91" s="39"/>
      <c r="S91" s="39"/>
      <c r="T91" s="39"/>
      <c r="V91" s="60"/>
      <c r="W91" s="60"/>
      <c r="X91" s="60"/>
      <c r="Y91" s="60"/>
      <c r="AA91" s="26"/>
      <c r="AB91" s="26"/>
      <c r="AC91" s="26"/>
      <c r="AD91" s="26"/>
    </row>
    <row r="92" spans="2:30" x14ac:dyDescent="0.2">
      <c r="C92" s="165">
        <f>'VMT NYC'!D44</f>
        <v>0</v>
      </c>
      <c r="E92" s="26">
        <f>D$10*D92</f>
        <v>0</v>
      </c>
      <c r="F92" s="26">
        <f>E$10*E92</f>
        <v>0</v>
      </c>
      <c r="G92" s="26">
        <f>F$10*F92</f>
        <v>0</v>
      </c>
      <c r="H92" s="39">
        <f t="shared" si="32"/>
        <v>0</v>
      </c>
      <c r="I92" s="26"/>
      <c r="J92" s="26"/>
      <c r="K92" s="26"/>
      <c r="L92" s="26"/>
      <c r="M92" s="26"/>
      <c r="N92" s="39"/>
      <c r="O92" s="39"/>
      <c r="P92" s="39"/>
      <c r="Q92" s="39"/>
      <c r="R92" s="39"/>
      <c r="S92" s="39"/>
      <c r="T92" s="39"/>
      <c r="V92" s="60"/>
      <c r="W92" s="60"/>
      <c r="X92" s="60"/>
      <c r="Y92" s="60"/>
      <c r="AA92" s="26"/>
      <c r="AB92" s="26"/>
      <c r="AC92" s="26"/>
      <c r="AD92" s="26"/>
    </row>
    <row r="93" spans="2:30" x14ac:dyDescent="0.2">
      <c r="C93" s="165">
        <f>'VMT NYC'!D45</f>
        <v>0</v>
      </c>
      <c r="D93" s="26">
        <f>SUM(D86:D90)</f>
        <v>2.167672364</v>
      </c>
      <c r="E93" s="26">
        <f>SUM(E86:E90)</f>
        <v>1.9447169913683733</v>
      </c>
      <c r="F93" s="26">
        <f>SUM(F86:F90)</f>
        <v>4.804193415207926E-2</v>
      </c>
      <c r="G93" s="26">
        <f>SUM(G86:G90)</f>
        <v>1.6013978050693087E-2</v>
      </c>
      <c r="H93" s="39">
        <f>SUM(H86:H92)</f>
        <v>0.15889946042885464</v>
      </c>
      <c r="I93" s="26">
        <f>SUM(I86:I90)</f>
        <v>4.4481399021708885</v>
      </c>
      <c r="J93" s="26">
        <f t="shared" ref="J93:AD93" si="42">SUM(J86:J90)</f>
        <v>0.55186009782911205</v>
      </c>
      <c r="K93" s="26">
        <f t="shared" si="42"/>
        <v>0.13900437194284038</v>
      </c>
      <c r="L93" s="26">
        <f t="shared" si="42"/>
        <v>4.6334790647613457E-2</v>
      </c>
      <c r="M93" s="26">
        <f t="shared" si="42"/>
        <v>0.36652093523865825</v>
      </c>
      <c r="N93" s="26">
        <f t="shared" si="42"/>
        <v>0.13961253259619488</v>
      </c>
      <c r="O93" s="26">
        <f t="shared" si="42"/>
        <v>2.354798049789153</v>
      </c>
      <c r="P93" s="26">
        <f t="shared" si="42"/>
        <v>1.953729319785539</v>
      </c>
      <c r="Q93" s="26">
        <f t="shared" si="42"/>
        <v>7.5057916264899022E-2</v>
      </c>
      <c r="R93" s="26">
        <f t="shared" si="42"/>
        <v>6.3946455677941355E-2</v>
      </c>
      <c r="S93" s="26">
        <f t="shared" si="42"/>
        <v>4.6334790647613457E-2</v>
      </c>
      <c r="T93" s="26">
        <f t="shared" si="42"/>
        <v>0.36652093523865825</v>
      </c>
      <c r="U93" s="15">
        <f t="shared" si="42"/>
        <v>0</v>
      </c>
      <c r="V93" s="60">
        <f t="shared" si="42"/>
        <v>377</v>
      </c>
      <c r="W93" s="60">
        <f t="shared" si="42"/>
        <v>999</v>
      </c>
      <c r="X93" s="60">
        <f t="shared" si="42"/>
        <v>1536</v>
      </c>
      <c r="Y93" s="60">
        <f t="shared" si="42"/>
        <v>36</v>
      </c>
      <c r="Z93" s="15">
        <f t="shared" si="42"/>
        <v>2948</v>
      </c>
      <c r="AA93" s="26">
        <f t="shared" si="42"/>
        <v>0.80568567153745363</v>
      </c>
      <c r="AB93" s="26">
        <f t="shared" si="42"/>
        <v>2.6420727935491826</v>
      </c>
      <c r="AC93" s="26">
        <f t="shared" si="42"/>
        <v>1.490492735302086</v>
      </c>
      <c r="AD93" s="26">
        <f t="shared" si="42"/>
        <v>6.1748799611278105E-2</v>
      </c>
    </row>
    <row r="94" spans="2:30" x14ac:dyDescent="0.2">
      <c r="V94" s="15">
        <f>SUM(V86:V93)</f>
        <v>754</v>
      </c>
      <c r="W94" s="15">
        <f>SUM(W86:W93)</f>
        <v>1998</v>
      </c>
      <c r="X94" s="15">
        <f>SUM(X86:X93)</f>
        <v>3072</v>
      </c>
      <c r="Y94" s="15">
        <f>SUM(Y86:Y93)</f>
        <v>72</v>
      </c>
      <c r="Z94" s="15">
        <f>SUM(Z86:Z93)</f>
        <v>5896</v>
      </c>
    </row>
    <row r="96" spans="2:30" x14ac:dyDescent="0.2">
      <c r="C96" s="15" t="s">
        <v>431</v>
      </c>
      <c r="F96" s="15" t="s">
        <v>432</v>
      </c>
      <c r="I96" s="39"/>
      <c r="K96" s="15" t="s">
        <v>433</v>
      </c>
    </row>
    <row r="97" spans="1:30" x14ac:dyDescent="0.2">
      <c r="C97" s="15" t="s">
        <v>322</v>
      </c>
      <c r="E97" s="201">
        <v>1.6500000000000001E-2</v>
      </c>
      <c r="F97" s="167">
        <f>E97/SUM(E$97:E$99)</f>
        <v>3.1386722465284379E-2</v>
      </c>
      <c r="I97" s="39"/>
      <c r="K97" s="15" t="s">
        <v>391</v>
      </c>
      <c r="L97" s="15" t="s">
        <v>275</v>
      </c>
      <c r="M97" s="15" t="s">
        <v>276</v>
      </c>
      <c r="N97" s="15" t="s">
        <v>277</v>
      </c>
      <c r="O97" s="15" t="s">
        <v>278</v>
      </c>
      <c r="P97" s="15" t="s">
        <v>279</v>
      </c>
      <c r="Q97" s="15" t="s">
        <v>434</v>
      </c>
      <c r="R97" s="15" t="s">
        <v>435</v>
      </c>
      <c r="S97" s="15" t="s">
        <v>436</v>
      </c>
      <c r="T97" s="15" t="s">
        <v>437</v>
      </c>
    </row>
    <row r="98" spans="1:30" x14ac:dyDescent="0.2">
      <c r="C98" s="15" t="s">
        <v>323</v>
      </c>
      <c r="E98" s="201">
        <v>0.27829999999999999</v>
      </c>
      <c r="F98" s="167">
        <f>E98/SUM(E$97:E$99)</f>
        <v>0.5293893855811298</v>
      </c>
      <c r="I98" s="39"/>
      <c r="J98" s="15" t="s">
        <v>438</v>
      </c>
      <c r="K98" s="39">
        <v>2.0732513922022709E-2</v>
      </c>
      <c r="L98" s="39">
        <v>2.0732513922022709E-2</v>
      </c>
      <c r="M98" s="39">
        <v>2.0732513922022709E-2</v>
      </c>
      <c r="N98" s="39">
        <v>2.0732513922022709E-2</v>
      </c>
      <c r="O98" s="39">
        <v>2.0732513922022709E-2</v>
      </c>
      <c r="P98" s="39">
        <v>2.0732513922022709E-2</v>
      </c>
      <c r="Q98" s="39">
        <v>2.0732513922022709E-2</v>
      </c>
      <c r="R98" s="39">
        <v>2.0732513922022709E-2</v>
      </c>
      <c r="S98" s="39">
        <v>2.0732513922022709E-2</v>
      </c>
      <c r="T98" s="39">
        <v>1.9800000000000002E-2</v>
      </c>
    </row>
    <row r="99" spans="1:30" x14ac:dyDescent="0.2">
      <c r="C99" s="15" t="s">
        <v>324</v>
      </c>
      <c r="E99" s="201">
        <v>0.23089999999999999</v>
      </c>
      <c r="F99" s="167">
        <f>E99/SUM(E$97:E$99)</f>
        <v>0.43922389195358563</v>
      </c>
      <c r="I99" s="39"/>
      <c r="J99" s="15" t="s">
        <v>439</v>
      </c>
      <c r="K99" s="39">
        <v>0.34968840148478303</v>
      </c>
      <c r="L99" s="39">
        <v>0.34968840148478303</v>
      </c>
      <c r="M99" s="39">
        <v>0.34968840148478303</v>
      </c>
      <c r="N99" s="39">
        <v>0.34968840148478303</v>
      </c>
      <c r="O99" s="39">
        <v>0.34968840148478303</v>
      </c>
      <c r="P99" s="39">
        <v>0.34968840148478303</v>
      </c>
      <c r="Q99" s="39">
        <v>0.34968840148478303</v>
      </c>
      <c r="R99" s="39">
        <v>0.34968840148478303</v>
      </c>
      <c r="S99" s="39">
        <v>0.34968840148478303</v>
      </c>
      <c r="T99" s="39">
        <v>0.182</v>
      </c>
    </row>
    <row r="100" spans="1:30" x14ac:dyDescent="0.2">
      <c r="C100" s="15" t="s">
        <v>424</v>
      </c>
      <c r="E100" s="201">
        <v>0.1351</v>
      </c>
      <c r="F100" s="167">
        <f>E100/(E$100+E$101)</f>
        <v>0.53996802557953638</v>
      </c>
      <c r="I100" s="39"/>
      <c r="J100" s="15" t="s">
        <v>440</v>
      </c>
      <c r="K100" s="39">
        <v>0.29012954330879054</v>
      </c>
      <c r="L100" s="39">
        <v>0.29012954330879054</v>
      </c>
      <c r="M100" s="39">
        <v>0.29012954330879054</v>
      </c>
      <c r="N100" s="39">
        <v>0.29012954330879054</v>
      </c>
      <c r="O100" s="39">
        <v>0.29012954330879054</v>
      </c>
      <c r="P100" s="39">
        <v>0.29012954330879054</v>
      </c>
      <c r="Q100" s="39">
        <v>0.29012954330879054</v>
      </c>
      <c r="R100" s="39">
        <v>0.29012954330879054</v>
      </c>
      <c r="S100" s="39">
        <v>0.29012954330879054</v>
      </c>
      <c r="T100" s="39">
        <v>0.29599999999999999</v>
      </c>
    </row>
    <row r="101" spans="1:30" x14ac:dyDescent="0.2">
      <c r="C101" s="15" t="s">
        <v>327</v>
      </c>
      <c r="E101" s="201">
        <v>0.11509999999999999</v>
      </c>
      <c r="F101" s="167">
        <f>E101/(E$100+E$101)</f>
        <v>0.46003197442046362</v>
      </c>
      <c r="I101" s="39"/>
      <c r="J101" s="15" t="s">
        <v>441</v>
      </c>
      <c r="K101" s="39">
        <v>6.9353691358839523E-2</v>
      </c>
      <c r="L101" s="39">
        <v>6.9353691358839523E-2</v>
      </c>
      <c r="M101" s="39">
        <v>6.9353691358839523E-2</v>
      </c>
      <c r="N101" s="39">
        <v>6.9353691358839523E-2</v>
      </c>
      <c r="O101" s="39">
        <v>6.9353691358839523E-2</v>
      </c>
      <c r="P101" s="39">
        <v>6.9353691358839523E-2</v>
      </c>
      <c r="Q101" s="39">
        <v>6.9353691358839523E-2</v>
      </c>
      <c r="R101" s="39">
        <v>6.9353691358839523E-2</v>
      </c>
      <c r="S101" s="39">
        <v>6.9353691358839523E-2</v>
      </c>
      <c r="T101" s="39">
        <v>0.14299999999999999</v>
      </c>
    </row>
    <row r="102" spans="1:30" x14ac:dyDescent="0.2">
      <c r="C102" s="15" t="s">
        <v>422</v>
      </c>
      <c r="E102" s="201">
        <v>7.9799999999999996E-2</v>
      </c>
      <c r="I102" s="39"/>
      <c r="J102" s="15" t="s">
        <v>442</v>
      </c>
      <c r="K102" s="39">
        <v>5.9086675613637521E-2</v>
      </c>
      <c r="L102" s="39">
        <v>5.9086675613637521E-2</v>
      </c>
      <c r="M102" s="39">
        <v>5.9086675613637521E-2</v>
      </c>
      <c r="N102" s="39">
        <v>5.9086675613637521E-2</v>
      </c>
      <c r="O102" s="39">
        <v>5.9086675613637521E-2</v>
      </c>
      <c r="P102" s="39">
        <v>5.9086675613637521E-2</v>
      </c>
      <c r="Q102" s="39">
        <v>5.9086675613637521E-2</v>
      </c>
      <c r="R102" s="39">
        <v>5.9086675613637521E-2</v>
      </c>
      <c r="S102" s="39">
        <v>5.9086675613637521E-2</v>
      </c>
      <c r="T102" s="39">
        <v>0.14599999999999999</v>
      </c>
    </row>
    <row r="103" spans="1:30" x14ac:dyDescent="0.2">
      <c r="C103" s="15" t="s">
        <v>443</v>
      </c>
      <c r="E103" s="201">
        <v>0.14410000000000001</v>
      </c>
      <c r="I103" s="39"/>
      <c r="J103" s="15" t="s">
        <v>444</v>
      </c>
      <c r="K103" s="39">
        <v>0.10550458715596329</v>
      </c>
      <c r="L103" s="39">
        <v>0.10550458715596329</v>
      </c>
      <c r="M103" s="39">
        <v>0.10550458715596329</v>
      </c>
      <c r="N103" s="39">
        <v>0.10550458715596329</v>
      </c>
      <c r="O103" s="39">
        <v>0.10550458715596329</v>
      </c>
      <c r="P103" s="39">
        <v>0.10550458715596329</v>
      </c>
      <c r="Q103" s="39">
        <v>0.10550458715596329</v>
      </c>
      <c r="R103" s="39">
        <v>0.10550458715596329</v>
      </c>
      <c r="S103" s="39">
        <v>0.10550458715596329</v>
      </c>
      <c r="T103" s="39">
        <v>7.5999999999999998E-2</v>
      </c>
    </row>
    <row r="104" spans="1:30" x14ac:dyDescent="0.2">
      <c r="D104" s="15" t="s">
        <v>405</v>
      </c>
      <c r="E104" s="167">
        <f>SUM(E97:E103)</f>
        <v>0.99980000000000002</v>
      </c>
      <c r="F104" s="167">
        <f>SUM(F97:F101)</f>
        <v>2</v>
      </c>
      <c r="I104" s="39"/>
      <c r="J104" s="15" t="s">
        <v>445</v>
      </c>
      <c r="K104" s="39">
        <v>0.10550458715596329</v>
      </c>
      <c r="L104" s="39">
        <v>0.10550458715596329</v>
      </c>
      <c r="M104" s="39">
        <v>0.10550458715596329</v>
      </c>
      <c r="N104" s="39">
        <v>0.10550458715596329</v>
      </c>
      <c r="O104" s="39">
        <v>0.10550458715596329</v>
      </c>
      <c r="P104" s="39">
        <v>0.10550458715596329</v>
      </c>
      <c r="Q104" s="39">
        <v>0.10550458715596329</v>
      </c>
      <c r="R104" s="39">
        <v>0.10550458715596329</v>
      </c>
      <c r="S104" s="39">
        <v>0.10550458715596329</v>
      </c>
      <c r="T104" s="39">
        <v>0.13700000000000001</v>
      </c>
    </row>
    <row r="105" spans="1:30" x14ac:dyDescent="0.2">
      <c r="I105" s="39"/>
      <c r="T105" s="151">
        <f>SUM(T98:T104)</f>
        <v>0.99980000000000002</v>
      </c>
    </row>
    <row r="106" spans="1:30" x14ac:dyDescent="0.2">
      <c r="C106" s="15" t="s">
        <v>446</v>
      </c>
      <c r="K106" s="15" t="s">
        <v>447</v>
      </c>
    </row>
    <row r="107" spans="1:30" x14ac:dyDescent="0.2">
      <c r="C107" s="15" t="s">
        <v>448</v>
      </c>
    </row>
    <row r="110" spans="1:30" x14ac:dyDescent="0.2">
      <c r="AC110" s="15" t="s">
        <v>449</v>
      </c>
      <c r="AD110" s="15">
        <v>1</v>
      </c>
    </row>
    <row r="111" spans="1:30" x14ac:dyDescent="0.2">
      <c r="A111" s="351" t="s">
        <v>3263</v>
      </c>
      <c r="B111" s="351"/>
      <c r="C111" s="351"/>
      <c r="D111" s="351"/>
    </row>
    <row r="112" spans="1:30" x14ac:dyDescent="0.2">
      <c r="A112" s="351"/>
      <c r="B112" s="351"/>
      <c r="C112" s="351"/>
      <c r="D112" s="351"/>
    </row>
    <row r="113" spans="1:4" x14ac:dyDescent="0.2">
      <c r="A113" s="351" t="s">
        <v>481</v>
      </c>
      <c r="B113" s="351" t="s">
        <v>3264</v>
      </c>
      <c r="C113" s="351" t="s">
        <v>509</v>
      </c>
      <c r="D113" s="351">
        <v>2010</v>
      </c>
    </row>
    <row r="114" spans="1:4" x14ac:dyDescent="0.2">
      <c r="A114" s="351" t="s">
        <v>490</v>
      </c>
      <c r="B114" s="351" t="s">
        <v>3265</v>
      </c>
      <c r="C114" s="351" t="s">
        <v>315</v>
      </c>
      <c r="D114" s="357">
        <v>0.98907580122978678</v>
      </c>
    </row>
    <row r="115" spans="1:4" x14ac:dyDescent="0.2">
      <c r="A115" s="351" t="s">
        <v>490</v>
      </c>
      <c r="B115" s="351" t="s">
        <v>3265</v>
      </c>
      <c r="C115" s="351" t="s">
        <v>484</v>
      </c>
      <c r="D115" s="357">
        <v>1.8729013117067266E-3</v>
      </c>
    </row>
    <row r="116" spans="1:4" x14ac:dyDescent="0.2">
      <c r="A116" s="351" t="s">
        <v>490</v>
      </c>
      <c r="B116" s="351" t="s">
        <v>3265</v>
      </c>
      <c r="C116" s="351" t="s">
        <v>357</v>
      </c>
      <c r="D116" s="357">
        <v>8.6199584843389201E-3</v>
      </c>
    </row>
    <row r="117" spans="1:4" x14ac:dyDescent="0.2">
      <c r="A117" s="351" t="s">
        <v>490</v>
      </c>
      <c r="B117" s="351" t="s">
        <v>3265</v>
      </c>
      <c r="C117" s="351" t="s">
        <v>485</v>
      </c>
      <c r="D117" s="357">
        <v>6.2299766494880991E-8</v>
      </c>
    </row>
    <row r="118" spans="1:4" x14ac:dyDescent="0.2">
      <c r="A118" s="351" t="s">
        <v>490</v>
      </c>
      <c r="B118" s="351" t="s">
        <v>3265</v>
      </c>
      <c r="C118" s="351" t="s">
        <v>334</v>
      </c>
      <c r="D118" s="357">
        <v>6.2373386950844918E-8</v>
      </c>
    </row>
    <row r="119" spans="1:4" x14ac:dyDescent="0.2">
      <c r="A119" s="351" t="s">
        <v>490</v>
      </c>
      <c r="B119" s="351" t="s">
        <v>3265</v>
      </c>
      <c r="C119" s="351" t="s">
        <v>70</v>
      </c>
      <c r="D119" s="357">
        <v>4.3115192762686888E-4</v>
      </c>
    </row>
    <row r="120" spans="1:4" x14ac:dyDescent="0.2">
      <c r="A120" s="351" t="s">
        <v>490</v>
      </c>
      <c r="B120" s="351" t="s">
        <v>3265</v>
      </c>
      <c r="C120" s="351" t="s">
        <v>486</v>
      </c>
      <c r="D120" s="357">
        <v>6.2373386950844918E-8</v>
      </c>
    </row>
    <row r="121" spans="1:4" x14ac:dyDescent="0.2">
      <c r="A121" s="351" t="s">
        <v>495</v>
      </c>
      <c r="B121" s="351" t="s">
        <v>3265</v>
      </c>
      <c r="C121" s="351" t="s">
        <v>315</v>
      </c>
      <c r="D121" s="357">
        <v>0.9461247796279767</v>
      </c>
    </row>
    <row r="122" spans="1:4" x14ac:dyDescent="0.2">
      <c r="A122" s="351" t="s">
        <v>495</v>
      </c>
      <c r="B122" s="351" t="s">
        <v>3265</v>
      </c>
      <c r="C122" s="351" t="s">
        <v>484</v>
      </c>
      <c r="D122" s="357">
        <v>4.6400383816626367E-2</v>
      </c>
    </row>
    <row r="123" spans="1:4" x14ac:dyDescent="0.2">
      <c r="A123" s="351" t="s">
        <v>495</v>
      </c>
      <c r="B123" s="351" t="s">
        <v>3265</v>
      </c>
      <c r="C123" s="351" t="s">
        <v>357</v>
      </c>
      <c r="D123" s="357">
        <v>5.5555555555555595E-10</v>
      </c>
    </row>
    <row r="124" spans="1:4" x14ac:dyDescent="0.2">
      <c r="A124" s="351" t="s">
        <v>495</v>
      </c>
      <c r="B124" s="351" t="s">
        <v>3265</v>
      </c>
      <c r="C124" s="351" t="s">
        <v>485</v>
      </c>
      <c r="D124" s="357">
        <v>5.5555555555555595E-10</v>
      </c>
    </row>
    <row r="125" spans="1:4" x14ac:dyDescent="0.2">
      <c r="A125" s="351" t="s">
        <v>495</v>
      </c>
      <c r="B125" s="351" t="s">
        <v>3265</v>
      </c>
      <c r="C125" s="351" t="s">
        <v>334</v>
      </c>
      <c r="D125" s="357">
        <v>5.5555555555555595E-10</v>
      </c>
    </row>
    <row r="126" spans="1:4" x14ac:dyDescent="0.2">
      <c r="A126" s="351" t="s">
        <v>495</v>
      </c>
      <c r="B126" s="351" t="s">
        <v>3265</v>
      </c>
      <c r="C126" s="351" t="s">
        <v>70</v>
      </c>
      <c r="D126" s="357">
        <v>7.4748343331748658E-3</v>
      </c>
    </row>
    <row r="127" spans="1:4" x14ac:dyDescent="0.2">
      <c r="A127" s="351" t="s">
        <v>495</v>
      </c>
      <c r="B127" s="351" t="s">
        <v>3265</v>
      </c>
      <c r="C127" s="351" t="s">
        <v>486</v>
      </c>
      <c r="D127" s="357">
        <v>5.5555555555555595E-10</v>
      </c>
    </row>
    <row r="128" spans="1:4" x14ac:dyDescent="0.2">
      <c r="A128" s="351"/>
      <c r="B128" s="351"/>
      <c r="C128" s="351"/>
      <c r="D128" s="351"/>
    </row>
  </sheetData>
  <mergeCells count="13">
    <mergeCell ref="AA84:AD84"/>
    <mergeCell ref="N8:P8"/>
    <mergeCell ref="D66:E66"/>
    <mergeCell ref="I84:L84"/>
    <mergeCell ref="N84:T84"/>
    <mergeCell ref="D27:F27"/>
    <mergeCell ref="D26:G26"/>
    <mergeCell ref="H27:K27"/>
    <mergeCell ref="H26:L26"/>
    <mergeCell ref="R27:V27"/>
    <mergeCell ref="N27:O27"/>
    <mergeCell ref="P27:Q27"/>
    <mergeCell ref="V84:Z84"/>
  </mergeCells>
  <phoneticPr fontId="0" type="noConversion"/>
  <pageMargins left="0.25" right="0.25" top="1" bottom="1" header="0.5" footer="0.5"/>
  <pageSetup scale="50" orientation="landscape" horizontalDpi="4294967293"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tabColor indexed="47"/>
  </sheetPr>
  <dimension ref="A1:AJ858"/>
  <sheetViews>
    <sheetView zoomScale="80" zoomScaleNormal="80" workbookViewId="0">
      <selection activeCell="E22" sqref="E22"/>
    </sheetView>
  </sheetViews>
  <sheetFormatPr defaultColWidth="9.140625" defaultRowHeight="12.75" x14ac:dyDescent="0.2"/>
  <cols>
    <col min="1" max="1" width="18.5703125" style="40" customWidth="1"/>
    <col min="2" max="2" width="22.140625" style="40" customWidth="1"/>
    <col min="3" max="3" width="15" style="40" customWidth="1"/>
    <col min="4" max="4" width="10.5703125" style="40" customWidth="1"/>
    <col min="5" max="15" width="10.5703125" style="79" customWidth="1"/>
    <col min="16" max="22" width="9.42578125" style="40" bestFit="1" customWidth="1"/>
    <col min="23" max="26" width="9.28515625" style="40" customWidth="1"/>
    <col min="27" max="28" width="16.7109375" style="40" customWidth="1"/>
    <col min="29" max="31" width="14.7109375" style="40" customWidth="1"/>
    <col min="32" max="33" width="13" style="40" customWidth="1"/>
    <col min="34" max="34" width="19.85546875" style="40" customWidth="1"/>
    <col min="35" max="35" width="12.42578125" style="40" bestFit="1" customWidth="1"/>
    <col min="36" max="16384" width="9.140625" style="40"/>
  </cols>
  <sheetData>
    <row r="1" spans="1:36" x14ac:dyDescent="0.2">
      <c r="A1" s="44" t="s">
        <v>744</v>
      </c>
    </row>
    <row r="2" spans="1:36" x14ac:dyDescent="0.2">
      <c r="A2" s="44" t="s">
        <v>745</v>
      </c>
    </row>
    <row r="3" spans="1:36" x14ac:dyDescent="0.2">
      <c r="A3" s="47"/>
      <c r="F3" s="79">
        <f>GDPdeflator!C38</f>
        <v>0.87608807451286641</v>
      </c>
    </row>
    <row r="4" spans="1:36" x14ac:dyDescent="0.2">
      <c r="A4" s="47" t="s">
        <v>746</v>
      </c>
    </row>
    <row r="5" spans="1:36" x14ac:dyDescent="0.2">
      <c r="A5" s="44" t="s">
        <v>747</v>
      </c>
      <c r="E5" s="398"/>
      <c r="F5" s="398"/>
      <c r="G5" s="398"/>
      <c r="H5" s="398"/>
      <c r="I5" s="398"/>
      <c r="J5" s="398"/>
      <c r="K5" s="398"/>
      <c r="L5" s="247"/>
      <c r="M5" s="247"/>
      <c r="N5" s="247"/>
      <c r="O5" s="247"/>
      <c r="P5" s="397"/>
      <c r="Q5" s="397"/>
      <c r="R5" s="397"/>
      <c r="S5" s="397"/>
      <c r="T5" s="397"/>
      <c r="U5" s="397"/>
      <c r="V5" s="397"/>
      <c r="W5" s="246"/>
      <c r="X5" s="246"/>
      <c r="Y5" s="246"/>
      <c r="Z5" s="246"/>
      <c r="AA5" s="246" t="s">
        <v>748</v>
      </c>
      <c r="AB5" s="246" t="s">
        <v>285</v>
      </c>
      <c r="AC5" s="246" t="s">
        <v>749</v>
      </c>
      <c r="AD5" s="246" t="s">
        <v>284</v>
      </c>
      <c r="AE5" s="246" t="s">
        <v>284</v>
      </c>
      <c r="AF5" s="246" t="s">
        <v>284</v>
      </c>
      <c r="AG5" s="246" t="s">
        <v>750</v>
      </c>
    </row>
    <row r="6" spans="1:36" ht="13.5" customHeight="1" x14ac:dyDescent="0.2">
      <c r="E6" s="398" t="s">
        <v>751</v>
      </c>
      <c r="F6" s="398"/>
      <c r="G6" s="398"/>
      <c r="H6" s="398"/>
      <c r="I6" s="398"/>
      <c r="J6" s="398"/>
      <c r="K6" s="398"/>
      <c r="L6" s="398"/>
      <c r="M6" s="398"/>
      <c r="N6" s="398"/>
      <c r="O6" s="398"/>
      <c r="P6" s="397" t="s">
        <v>752</v>
      </c>
      <c r="Q6" s="397"/>
      <c r="R6" s="397"/>
      <c r="S6" s="397"/>
      <c r="T6" s="397"/>
      <c r="U6" s="397"/>
      <c r="V6" s="397"/>
      <c r="W6" s="397"/>
      <c r="X6" s="397"/>
      <c r="Y6" s="397"/>
      <c r="Z6" s="397"/>
      <c r="AA6" s="246" t="s">
        <v>753</v>
      </c>
      <c r="AB6" s="246" t="s">
        <v>754</v>
      </c>
      <c r="AC6" s="45" t="s">
        <v>755</v>
      </c>
      <c r="AD6" s="45" t="s">
        <v>755</v>
      </c>
      <c r="AE6" s="45" t="s">
        <v>756</v>
      </c>
      <c r="AF6" s="45" t="s">
        <v>756</v>
      </c>
      <c r="AG6" s="45" t="s">
        <v>757</v>
      </c>
    </row>
    <row r="7" spans="1:36" s="84" customFormat="1" x14ac:dyDescent="0.2">
      <c r="D7" s="57" t="s">
        <v>758</v>
      </c>
      <c r="E7" s="85">
        <v>2005</v>
      </c>
      <c r="F7" s="85">
        <v>2010</v>
      </c>
      <c r="G7" s="85">
        <v>2015</v>
      </c>
      <c r="H7" s="85">
        <v>2020</v>
      </c>
      <c r="I7" s="85">
        <v>2025</v>
      </c>
      <c r="J7" s="85">
        <v>2030</v>
      </c>
      <c r="K7" s="85">
        <v>2035</v>
      </c>
      <c r="L7" s="85">
        <v>2040</v>
      </c>
      <c r="M7" s="85">
        <v>2045</v>
      </c>
      <c r="N7" s="85">
        <v>2050</v>
      </c>
      <c r="O7" s="85">
        <v>2055</v>
      </c>
      <c r="P7" s="83">
        <v>2005</v>
      </c>
      <c r="Q7" s="83">
        <v>2010</v>
      </c>
      <c r="R7" s="83">
        <v>2015</v>
      </c>
      <c r="S7" s="83">
        <v>2020</v>
      </c>
      <c r="T7" s="83">
        <v>2025</v>
      </c>
      <c r="U7" s="83">
        <v>2030</v>
      </c>
      <c r="V7" s="83">
        <v>2035</v>
      </c>
      <c r="W7" s="83">
        <v>2040</v>
      </c>
      <c r="X7" s="83">
        <v>2045</v>
      </c>
      <c r="Y7" s="83">
        <v>2050</v>
      </c>
      <c r="Z7" s="83">
        <v>2055</v>
      </c>
      <c r="AA7" s="83"/>
      <c r="AB7" s="83"/>
      <c r="AC7" s="83" t="s">
        <v>759</v>
      </c>
      <c r="AD7" s="83" t="s">
        <v>760</v>
      </c>
      <c r="AE7" s="83" t="s">
        <v>759</v>
      </c>
      <c r="AF7" s="83" t="s">
        <v>760</v>
      </c>
      <c r="AG7" s="83"/>
    </row>
    <row r="8" spans="1:36" x14ac:dyDescent="0.2">
      <c r="A8" s="40" t="s">
        <v>368</v>
      </c>
      <c r="B8" s="40" t="s">
        <v>761</v>
      </c>
      <c r="C8" s="40" t="s">
        <v>762</v>
      </c>
      <c r="D8" s="40">
        <v>2005</v>
      </c>
      <c r="E8" s="86">
        <f>GDPdeflator!$C$32*LOOKUP($C8,Costs!$C$7:$C$89,Costs!E$7:E$89)</f>
        <v>0</v>
      </c>
      <c r="F8" s="86">
        <f>GDPdeflator!$C$36*LOOKUP($C8,Costs!$C$7:$C$89,Costs!F$7:F$89)</f>
        <v>0</v>
      </c>
      <c r="G8" s="86">
        <f>GDPdeflator!$C$38*LOOKUP($C8,Costs!$C$7:$C$89,Costs!G$7:G$89)</f>
        <v>0</v>
      </c>
      <c r="H8" s="86">
        <f>GDPdeflator!$C$38*LOOKUP($C8,Costs!$C$7:$C$89,Costs!H$7:H$89)</f>
        <v>0</v>
      </c>
      <c r="I8" s="86">
        <f>GDPdeflator!$C$38*LOOKUP($C8,Costs!$C$7:$C$89,Costs!I$7:I$89)</f>
        <v>0</v>
      </c>
      <c r="J8" s="86">
        <f>GDPdeflator!$C$38*LOOKUP($C8,Costs!$C$7:$C$89,Costs!J$7:J$89)</f>
        <v>0</v>
      </c>
      <c r="K8" s="86">
        <f>GDPdeflator!$C$38*LOOKUP($C8,Costs!$C$7:$C$89,Costs!K$7:K$89)</f>
        <v>0</v>
      </c>
      <c r="L8" s="86">
        <f>GDPdeflator!$C$38*LOOKUP($C8,Costs!$C$7:$C$89,Costs!L$7:L$89)</f>
        <v>0</v>
      </c>
      <c r="M8" s="86">
        <f>GDPdeflator!$C$38*L8</f>
        <v>0</v>
      </c>
      <c r="N8" s="86">
        <f>GDPdeflator!$C$38*M8</f>
        <v>0</v>
      </c>
      <c r="O8" s="86">
        <f>GDPdeflator!$C$38*N8</f>
        <v>0</v>
      </c>
      <c r="P8" s="87">
        <f t="shared" ref="P8:P21" si="0">E8*1/$AI$18*10^6</f>
        <v>0</v>
      </c>
      <c r="Q8" s="87">
        <f t="shared" ref="Q8:Q21" si="1">F8*1/$AI$18*10^6</f>
        <v>0</v>
      </c>
      <c r="R8" s="87">
        <f t="shared" ref="R8:R21" si="2">G8*1/$AI$18*10^6</f>
        <v>0</v>
      </c>
      <c r="S8" s="87">
        <f t="shared" ref="S8:S21" si="3">H8*1/$AI$18*10^6</f>
        <v>0</v>
      </c>
      <c r="T8" s="87">
        <f t="shared" ref="T8:T21" si="4">I8*1/$AI$18*10^6</f>
        <v>0</v>
      </c>
      <c r="U8" s="87">
        <f t="shared" ref="U8:U21" si="5">J8*1/$AI$18*10^6</f>
        <v>0</v>
      </c>
      <c r="V8" s="87">
        <f t="shared" ref="V8:V21" si="6">K8*1/$AI$18*10^6</f>
        <v>0</v>
      </c>
      <c r="W8" s="87">
        <f t="shared" ref="W8:W21" si="7">L8*1/$AI$18*10^6</f>
        <v>0</v>
      </c>
      <c r="X8" s="87">
        <f t="shared" ref="X8:Y21" si="8">W8</f>
        <v>0</v>
      </c>
      <c r="Y8" s="87">
        <f t="shared" si="8"/>
        <v>0</v>
      </c>
      <c r="Z8" s="87">
        <f t="shared" ref="Z8:Z21" si="9">Y8</f>
        <v>0</v>
      </c>
      <c r="AA8" s="88">
        <v>400</v>
      </c>
      <c r="AB8" s="89">
        <f>AA8*GDPdeflator!$C$25/$AI$18*10^3</f>
        <v>38.459799414932235</v>
      </c>
      <c r="AC8" s="90" t="e">
        <f>AF8/AF22*AC22</f>
        <v>#REF!</v>
      </c>
      <c r="AD8" s="90" t="e">
        <f>AC8/($AI$11*$AI$15*10 ^ 9)</f>
        <v>#REF!</v>
      </c>
      <c r="AE8" s="90" t="e">
        <f>AF8/AD8*AC8</f>
        <v>#REF!</v>
      </c>
      <c r="AF8" s="90">
        <v>0.1477</v>
      </c>
      <c r="AG8" s="90">
        <v>0</v>
      </c>
      <c r="AH8" s="91" t="s">
        <v>763</v>
      </c>
    </row>
    <row r="9" spans="1:36" x14ac:dyDescent="0.2">
      <c r="A9" s="92" t="s">
        <v>370</v>
      </c>
      <c r="B9" s="248" t="s">
        <v>764</v>
      </c>
      <c r="C9" s="40" t="s">
        <v>765</v>
      </c>
      <c r="D9" s="40">
        <v>2005</v>
      </c>
      <c r="E9" s="86">
        <f>GDPdeflator!$C$32*LOOKUP($C9,Costs!$C$7:$C$89,Costs!E$7:E$89)</f>
        <v>0</v>
      </c>
      <c r="F9" s="86">
        <f>GDPdeflator!$C$36*LOOKUP($C9,Costs!$C$7:$C$89,Costs!F$7:F$89)</f>
        <v>0</v>
      </c>
      <c r="G9" s="86">
        <f>GDPdeflator!$C$38*LOOKUP($C9,Costs!$C$7:$C$89,Costs!G$7:G$89)</f>
        <v>0</v>
      </c>
      <c r="H9" s="86">
        <f>GDPdeflator!$C$38*LOOKUP($C9,Costs!$C$7:$C$89,Costs!H$7:H$89)</f>
        <v>0</v>
      </c>
      <c r="I9" s="86">
        <f>GDPdeflator!$C$38*LOOKUP($C9,Costs!$C$7:$C$89,Costs!I$7:I$89)</f>
        <v>0</v>
      </c>
      <c r="J9" s="86">
        <f>GDPdeflator!$C$38*LOOKUP($C9,Costs!$C$7:$C$89,Costs!J$7:J$89)</f>
        <v>0</v>
      </c>
      <c r="K9" s="86">
        <f>GDPdeflator!$C$38*LOOKUP($C9,Costs!$C$7:$C$89,Costs!K$7:K$89)</f>
        <v>0</v>
      </c>
      <c r="L9" s="86">
        <f>GDPdeflator!$C$38*LOOKUP($C9,Costs!$C$7:$C$89,Costs!L$7:L$89)</f>
        <v>0</v>
      </c>
      <c r="M9" s="86">
        <f>GDPdeflator!$C$38*L9</f>
        <v>0</v>
      </c>
      <c r="N9" s="86">
        <f>GDPdeflator!$C$38*M9</f>
        <v>0</v>
      </c>
      <c r="O9" s="86">
        <f>GDPdeflator!$C$38*N9</f>
        <v>0</v>
      </c>
      <c r="P9" s="87">
        <f t="shared" si="0"/>
        <v>0</v>
      </c>
      <c r="Q9" s="87">
        <f t="shared" si="1"/>
        <v>0</v>
      </c>
      <c r="R9" s="87">
        <f t="shared" si="2"/>
        <v>0</v>
      </c>
      <c r="S9" s="87">
        <f t="shared" si="3"/>
        <v>0</v>
      </c>
      <c r="T9" s="87">
        <f t="shared" si="4"/>
        <v>0</v>
      </c>
      <c r="U9" s="87">
        <f t="shared" si="5"/>
        <v>0</v>
      </c>
      <c r="V9" s="87">
        <f t="shared" si="6"/>
        <v>0</v>
      </c>
      <c r="W9" s="87">
        <f t="shared" si="7"/>
        <v>0</v>
      </c>
      <c r="X9" s="87">
        <f t="shared" si="8"/>
        <v>0</v>
      </c>
      <c r="Y9" s="87">
        <f t="shared" si="8"/>
        <v>0</v>
      </c>
      <c r="Z9" s="87">
        <f t="shared" si="9"/>
        <v>0</v>
      </c>
      <c r="AA9" s="88">
        <v>400</v>
      </c>
      <c r="AB9" s="89">
        <f>AA9*GDPdeflator!$C$25/$AI$18*10^3</f>
        <v>38.459799414932235</v>
      </c>
      <c r="AC9" s="90" t="e">
        <f>AF9/AF42*AC42</f>
        <v>#REF!</v>
      </c>
      <c r="AD9" s="90" t="e">
        <f t="shared" ref="AD9:AD53" si="10">AC9/($AI$11*$AI$15*10 ^ 9)</f>
        <v>#REF!</v>
      </c>
      <c r="AE9" s="90" t="e">
        <f t="shared" ref="AE9:AE21" si="11">AF9/AD9*AC9</f>
        <v>#REF!</v>
      </c>
      <c r="AF9" s="90">
        <v>0.18210000000000001</v>
      </c>
      <c r="AG9" s="90">
        <v>0</v>
      </c>
    </row>
    <row r="10" spans="1:36" x14ac:dyDescent="0.2">
      <c r="A10" s="92" t="s">
        <v>372</v>
      </c>
      <c r="B10" s="248" t="s">
        <v>766</v>
      </c>
      <c r="C10" s="40" t="s">
        <v>767</v>
      </c>
      <c r="D10" s="40">
        <v>2005</v>
      </c>
      <c r="E10" s="86">
        <f>GDPdeflator!$C$32*LOOKUP($C10,Costs!$C$7:$C$89,Costs!E$7:E$89)</f>
        <v>0</v>
      </c>
      <c r="F10" s="86">
        <f>GDPdeflator!$C$36*LOOKUP($C10,Costs!$C$7:$C$89,Costs!F$7:F$89)</f>
        <v>0</v>
      </c>
      <c r="G10" s="86">
        <f>GDPdeflator!$C$38*LOOKUP($C10,Costs!$C$7:$C$89,Costs!G$7:G$89)</f>
        <v>0</v>
      </c>
      <c r="H10" s="86">
        <f>GDPdeflator!$C$38*LOOKUP($C10,Costs!$C$7:$C$89,Costs!H$7:H$89)</f>
        <v>0</v>
      </c>
      <c r="I10" s="86">
        <f>GDPdeflator!$C$38*LOOKUP($C10,Costs!$C$7:$C$89,Costs!I$7:I$89)</f>
        <v>0</v>
      </c>
      <c r="J10" s="86">
        <f>GDPdeflator!$C$38*LOOKUP($C10,Costs!$C$7:$C$89,Costs!J$7:J$89)</f>
        <v>0</v>
      </c>
      <c r="K10" s="86">
        <f>GDPdeflator!$C$38*LOOKUP($C10,Costs!$C$7:$C$89,Costs!K$7:K$89)</f>
        <v>0</v>
      </c>
      <c r="L10" s="86">
        <f>GDPdeflator!$C$38*LOOKUP($C10,Costs!$C$7:$C$89,Costs!L$7:L$89)</f>
        <v>0</v>
      </c>
      <c r="M10" s="86">
        <f>GDPdeflator!$C$38*L10</f>
        <v>0</v>
      </c>
      <c r="N10" s="86">
        <f>GDPdeflator!$C$38*M10</f>
        <v>0</v>
      </c>
      <c r="O10" s="86">
        <f>GDPdeflator!$C$38*N10</f>
        <v>0</v>
      </c>
      <c r="P10" s="87">
        <f t="shared" si="0"/>
        <v>0</v>
      </c>
      <c r="Q10" s="87">
        <f t="shared" si="1"/>
        <v>0</v>
      </c>
      <c r="R10" s="87">
        <f t="shared" si="2"/>
        <v>0</v>
      </c>
      <c r="S10" s="87">
        <f t="shared" si="3"/>
        <v>0</v>
      </c>
      <c r="T10" s="87">
        <f t="shared" si="4"/>
        <v>0</v>
      </c>
      <c r="U10" s="87">
        <f t="shared" si="5"/>
        <v>0</v>
      </c>
      <c r="V10" s="87">
        <f t="shared" si="6"/>
        <v>0</v>
      </c>
      <c r="W10" s="87">
        <f t="shared" si="7"/>
        <v>0</v>
      </c>
      <c r="X10" s="87">
        <f t="shared" si="8"/>
        <v>0</v>
      </c>
      <c r="Y10" s="87">
        <f t="shared" si="8"/>
        <v>0</v>
      </c>
      <c r="Z10" s="87">
        <f t="shared" si="9"/>
        <v>0</v>
      </c>
      <c r="AA10" s="88">
        <v>450</v>
      </c>
      <c r="AB10" s="89">
        <f>AA10*GDPdeflator!$C$25/$AI$18*10^3</f>
        <v>43.267274341798768</v>
      </c>
      <c r="AC10" s="90" t="e">
        <f>AF10/AF186*AC186</f>
        <v>#REF!</v>
      </c>
      <c r="AD10" s="90" t="e">
        <f t="shared" si="10"/>
        <v>#REF!</v>
      </c>
      <c r="AE10" s="90" t="e">
        <f t="shared" si="11"/>
        <v>#REF!</v>
      </c>
      <c r="AF10" s="90">
        <v>0.17519999999999999</v>
      </c>
      <c r="AG10" s="90">
        <v>0</v>
      </c>
    </row>
    <row r="11" spans="1:36" x14ac:dyDescent="0.2">
      <c r="A11" s="92" t="s">
        <v>374</v>
      </c>
      <c r="B11" s="248" t="s">
        <v>768</v>
      </c>
      <c r="C11" s="40" t="s">
        <v>769</v>
      </c>
      <c r="D11" s="40">
        <v>2005</v>
      </c>
      <c r="E11" s="86">
        <f>GDPdeflator!$C$32*LOOKUP($C11,Costs!$C$7:$C$89,Costs!E$7:E$89)</f>
        <v>0</v>
      </c>
      <c r="F11" s="86">
        <f>GDPdeflator!$C$36*LOOKUP($C11,Costs!$C$7:$C$89,Costs!F$7:F$89)</f>
        <v>0</v>
      </c>
      <c r="G11" s="86">
        <f>GDPdeflator!$C$38*LOOKUP($C11,Costs!$C$7:$C$89,Costs!G$7:G$89)</f>
        <v>0</v>
      </c>
      <c r="H11" s="86">
        <f>GDPdeflator!$C$38*LOOKUP($C11,Costs!$C$7:$C$89,Costs!H$7:H$89)</f>
        <v>0</v>
      </c>
      <c r="I11" s="86">
        <f>GDPdeflator!$C$38*LOOKUP($C11,Costs!$C$7:$C$89,Costs!I$7:I$89)</f>
        <v>0</v>
      </c>
      <c r="J11" s="86">
        <f>GDPdeflator!$C$38*LOOKUP($C11,Costs!$C$7:$C$89,Costs!J$7:J$89)</f>
        <v>0</v>
      </c>
      <c r="K11" s="86">
        <f>GDPdeflator!$C$38*LOOKUP($C11,Costs!$C$7:$C$89,Costs!K$7:K$89)</f>
        <v>0</v>
      </c>
      <c r="L11" s="86">
        <f>GDPdeflator!$C$38*LOOKUP($C11,Costs!$C$7:$C$89,Costs!L$7:L$89)</f>
        <v>0</v>
      </c>
      <c r="M11" s="86">
        <f>GDPdeflator!$C$38*L11</f>
        <v>0</v>
      </c>
      <c r="N11" s="86">
        <f>GDPdeflator!$C$38*M11</f>
        <v>0</v>
      </c>
      <c r="O11" s="86">
        <f>GDPdeflator!$C$38*N11</f>
        <v>0</v>
      </c>
      <c r="P11" s="87">
        <f t="shared" si="0"/>
        <v>0</v>
      </c>
      <c r="Q11" s="87">
        <f t="shared" si="1"/>
        <v>0</v>
      </c>
      <c r="R11" s="87">
        <f t="shared" si="2"/>
        <v>0</v>
      </c>
      <c r="S11" s="87">
        <f t="shared" si="3"/>
        <v>0</v>
      </c>
      <c r="T11" s="87">
        <f t="shared" si="4"/>
        <v>0</v>
      </c>
      <c r="U11" s="87">
        <f t="shared" si="5"/>
        <v>0</v>
      </c>
      <c r="V11" s="87">
        <f t="shared" si="6"/>
        <v>0</v>
      </c>
      <c r="W11" s="87">
        <f t="shared" si="7"/>
        <v>0</v>
      </c>
      <c r="X11" s="87">
        <f t="shared" si="8"/>
        <v>0</v>
      </c>
      <c r="Y11" s="87">
        <f t="shared" si="8"/>
        <v>0</v>
      </c>
      <c r="Z11" s="87">
        <f t="shared" si="9"/>
        <v>0</v>
      </c>
      <c r="AA11" s="88">
        <v>450</v>
      </c>
      <c r="AB11" s="89">
        <f>AA11*GDPdeflator!$C$25/$AI$18*10^3</f>
        <v>43.267274341798768</v>
      </c>
      <c r="AC11" s="90" t="e">
        <f>AF11/AF145*AC145</f>
        <v>#REF!</v>
      </c>
      <c r="AD11" s="90" t="e">
        <f t="shared" si="10"/>
        <v>#REF!</v>
      </c>
      <c r="AE11" s="90" t="e">
        <f t="shared" si="11"/>
        <v>#REF!</v>
      </c>
      <c r="AF11" s="90">
        <v>0.15840000000000001</v>
      </c>
      <c r="AG11" s="90">
        <v>0</v>
      </c>
      <c r="AH11" s="40" t="s">
        <v>770</v>
      </c>
      <c r="AI11" s="40">
        <v>0.125</v>
      </c>
      <c r="AJ11" s="40" t="s">
        <v>771</v>
      </c>
    </row>
    <row r="12" spans="1:36" x14ac:dyDescent="0.2">
      <c r="A12" s="92" t="s">
        <v>378</v>
      </c>
      <c r="B12" s="248" t="s">
        <v>772</v>
      </c>
      <c r="C12" s="40" t="s">
        <v>773</v>
      </c>
      <c r="D12" s="40">
        <v>2005</v>
      </c>
      <c r="E12" s="86">
        <f>GDPdeflator!$C$32*LOOKUP($C12,Costs!$C$7:$C$89,Costs!E$7:E$89)</f>
        <v>0</v>
      </c>
      <c r="F12" s="86">
        <f>GDPdeflator!$C$36*LOOKUP($C12,Costs!$C$7:$C$89,Costs!F$7:F$89)</f>
        <v>0</v>
      </c>
      <c r="G12" s="86">
        <f>GDPdeflator!$C$38*LOOKUP($C12,Costs!$C$7:$C$89,Costs!G$7:G$89)</f>
        <v>0</v>
      </c>
      <c r="H12" s="86">
        <f>GDPdeflator!$C$38*LOOKUP($C12,Costs!$C$7:$C$89,Costs!H$7:H$89)</f>
        <v>0</v>
      </c>
      <c r="I12" s="86">
        <f>GDPdeflator!$C$38*LOOKUP($C12,Costs!$C$7:$C$89,Costs!I$7:I$89)</f>
        <v>0</v>
      </c>
      <c r="J12" s="86">
        <f>GDPdeflator!$C$38*LOOKUP($C12,Costs!$C$7:$C$89,Costs!J$7:J$89)</f>
        <v>0</v>
      </c>
      <c r="K12" s="86">
        <f>GDPdeflator!$C$38*LOOKUP($C12,Costs!$C$7:$C$89,Costs!K$7:K$89)</f>
        <v>0</v>
      </c>
      <c r="L12" s="86">
        <f>GDPdeflator!$C$38*LOOKUP($C12,Costs!$C$7:$C$89,Costs!L$7:L$89)</f>
        <v>0</v>
      </c>
      <c r="M12" s="86">
        <f>GDPdeflator!$C$38*L12</f>
        <v>0</v>
      </c>
      <c r="N12" s="86">
        <f>GDPdeflator!$C$38*M12</f>
        <v>0</v>
      </c>
      <c r="O12" s="86">
        <f>GDPdeflator!$C$38*N12</f>
        <v>0</v>
      </c>
      <c r="P12" s="87">
        <f t="shared" si="0"/>
        <v>0</v>
      </c>
      <c r="Q12" s="87">
        <f t="shared" si="1"/>
        <v>0</v>
      </c>
      <c r="R12" s="87">
        <f t="shared" si="2"/>
        <v>0</v>
      </c>
      <c r="S12" s="87">
        <f t="shared" si="3"/>
        <v>0</v>
      </c>
      <c r="T12" s="87">
        <f t="shared" si="4"/>
        <v>0</v>
      </c>
      <c r="U12" s="87">
        <f t="shared" si="5"/>
        <v>0</v>
      </c>
      <c r="V12" s="87">
        <f t="shared" si="6"/>
        <v>0</v>
      </c>
      <c r="W12" s="87">
        <f t="shared" si="7"/>
        <v>0</v>
      </c>
      <c r="X12" s="87">
        <f t="shared" si="8"/>
        <v>0</v>
      </c>
      <c r="Y12" s="87">
        <f t="shared" si="8"/>
        <v>0</v>
      </c>
      <c r="Z12" s="87">
        <f t="shared" si="9"/>
        <v>0</v>
      </c>
      <c r="AA12" s="88">
        <v>450</v>
      </c>
      <c r="AB12" s="89">
        <f>AA12*GDPdeflator!$C$25/$AI$18*10^3</f>
        <v>43.267274341798768</v>
      </c>
      <c r="AC12" s="90" t="e">
        <f>AF12/AF483*AC483</f>
        <v>#REF!</v>
      </c>
      <c r="AD12" s="90" t="e">
        <f t="shared" si="10"/>
        <v>#REF!</v>
      </c>
      <c r="AE12" s="90" t="e">
        <f t="shared" si="11"/>
        <v>#REF!</v>
      </c>
      <c r="AF12" s="90">
        <v>0.1452</v>
      </c>
      <c r="AG12" s="90">
        <v>0</v>
      </c>
      <c r="AH12" s="40" t="s">
        <v>774</v>
      </c>
      <c r="AI12" s="40">
        <v>0.13800000000000001</v>
      </c>
      <c r="AJ12" s="40" t="s">
        <v>775</v>
      </c>
    </row>
    <row r="13" spans="1:36" x14ac:dyDescent="0.2">
      <c r="A13" s="92" t="s">
        <v>376</v>
      </c>
      <c r="B13" s="248" t="s">
        <v>776</v>
      </c>
      <c r="C13" s="40" t="s">
        <v>777</v>
      </c>
      <c r="D13" s="40">
        <v>2005</v>
      </c>
      <c r="E13" s="86">
        <f>GDPdeflator!$C$32*LOOKUP($C13,Costs!$C$7:$C$89,Costs!E$7:E$89)</f>
        <v>0</v>
      </c>
      <c r="F13" s="86">
        <f>GDPdeflator!$C$36*LOOKUP($C13,Costs!$C$7:$C$89,Costs!F$7:F$89)</f>
        <v>0</v>
      </c>
      <c r="G13" s="86">
        <f>GDPdeflator!$C$38*LOOKUP($C13,Costs!$C$7:$C$89,Costs!G$7:G$89)</f>
        <v>0</v>
      </c>
      <c r="H13" s="86">
        <f>GDPdeflator!$C$38*LOOKUP($C13,Costs!$C$7:$C$89,Costs!H$7:H$89)</f>
        <v>0</v>
      </c>
      <c r="I13" s="86">
        <f>GDPdeflator!$C$38*LOOKUP($C13,Costs!$C$7:$C$89,Costs!I$7:I$89)</f>
        <v>0</v>
      </c>
      <c r="J13" s="86">
        <f>GDPdeflator!$C$38*LOOKUP($C13,Costs!$C$7:$C$89,Costs!J$7:J$89)</f>
        <v>0</v>
      </c>
      <c r="K13" s="86">
        <f>GDPdeflator!$C$38*LOOKUP($C13,Costs!$C$7:$C$89,Costs!K$7:K$89)</f>
        <v>0</v>
      </c>
      <c r="L13" s="86">
        <f>GDPdeflator!$C$38*LOOKUP($C13,Costs!$C$7:$C$89,Costs!L$7:L$89)</f>
        <v>0</v>
      </c>
      <c r="M13" s="86">
        <f>GDPdeflator!$C$38*L13</f>
        <v>0</v>
      </c>
      <c r="N13" s="86">
        <f>GDPdeflator!$C$38*M13</f>
        <v>0</v>
      </c>
      <c r="O13" s="86">
        <f>GDPdeflator!$C$38*N13</f>
        <v>0</v>
      </c>
      <c r="P13" s="87">
        <f t="shared" si="0"/>
        <v>0</v>
      </c>
      <c r="Q13" s="87">
        <f t="shared" si="1"/>
        <v>0</v>
      </c>
      <c r="R13" s="87">
        <f t="shared" si="2"/>
        <v>0</v>
      </c>
      <c r="S13" s="87">
        <f t="shared" si="3"/>
        <v>0</v>
      </c>
      <c r="T13" s="87">
        <f t="shared" si="4"/>
        <v>0</v>
      </c>
      <c r="U13" s="87">
        <f t="shared" si="5"/>
        <v>0</v>
      </c>
      <c r="V13" s="87">
        <f t="shared" si="6"/>
        <v>0</v>
      </c>
      <c r="W13" s="87">
        <f t="shared" si="7"/>
        <v>0</v>
      </c>
      <c r="X13" s="87">
        <f t="shared" si="8"/>
        <v>0</v>
      </c>
      <c r="Y13" s="87">
        <f t="shared" si="8"/>
        <v>0</v>
      </c>
      <c r="Z13" s="87">
        <f t="shared" si="9"/>
        <v>0</v>
      </c>
      <c r="AA13" s="88">
        <v>450</v>
      </c>
      <c r="AB13" s="89">
        <f>AA13*GDPdeflator!$C$25/$AI$18*10^3</f>
        <v>43.267274341798768</v>
      </c>
      <c r="AC13" s="90" t="e">
        <f>AF13/AF568*AC568</f>
        <v>#REF!</v>
      </c>
      <c r="AD13" s="90" t="e">
        <f t="shared" si="10"/>
        <v>#REF!</v>
      </c>
      <c r="AE13" s="90" t="e">
        <f t="shared" si="11"/>
        <v>#REF!</v>
      </c>
      <c r="AF13" s="90">
        <v>0.12130000000000001</v>
      </c>
      <c r="AG13" s="90">
        <v>0</v>
      </c>
      <c r="AH13" s="40" t="s">
        <v>778</v>
      </c>
      <c r="AI13" s="40">
        <v>9.4E-2</v>
      </c>
      <c r="AJ13" s="40" t="s">
        <v>775</v>
      </c>
    </row>
    <row r="14" spans="1:36" x14ac:dyDescent="0.2">
      <c r="A14" s="92" t="s">
        <v>380</v>
      </c>
      <c r="B14" s="248" t="s">
        <v>779</v>
      </c>
      <c r="C14" s="40" t="s">
        <v>780</v>
      </c>
      <c r="D14" s="40">
        <v>2005</v>
      </c>
      <c r="E14" s="86">
        <f>GDPdeflator!$C$32*LOOKUP($C14,Costs!$C$7:$C$89,Costs!E$7:E$89)</f>
        <v>0</v>
      </c>
      <c r="F14" s="86">
        <f>GDPdeflator!$C$36*LOOKUP($C14,Costs!$C$7:$C$89,Costs!F$7:F$89)</f>
        <v>0</v>
      </c>
      <c r="G14" s="86">
        <f>GDPdeflator!$C$38*LOOKUP($C14,Costs!$C$7:$C$89,Costs!G$7:G$89)</f>
        <v>0</v>
      </c>
      <c r="H14" s="86">
        <f>GDPdeflator!$C$38*LOOKUP($C14,Costs!$C$7:$C$89,Costs!H$7:H$89)</f>
        <v>0</v>
      </c>
      <c r="I14" s="86">
        <f>GDPdeflator!$C$38*LOOKUP($C14,Costs!$C$7:$C$89,Costs!I$7:I$89)</f>
        <v>0</v>
      </c>
      <c r="J14" s="86">
        <f>GDPdeflator!$C$38*LOOKUP($C14,Costs!$C$7:$C$89,Costs!J$7:J$89)</f>
        <v>0</v>
      </c>
      <c r="K14" s="86">
        <f>GDPdeflator!$C$38*LOOKUP($C14,Costs!$C$7:$C$89,Costs!K$7:K$89)</f>
        <v>0</v>
      </c>
      <c r="L14" s="86">
        <f>GDPdeflator!$C$38*LOOKUP($C14,Costs!$C$7:$C$89,Costs!L$7:L$89)</f>
        <v>0</v>
      </c>
      <c r="M14" s="86">
        <f>GDPdeflator!$C$38*L14</f>
        <v>0</v>
      </c>
      <c r="N14" s="86">
        <f>GDPdeflator!$C$38*M14</f>
        <v>0</v>
      </c>
      <c r="O14" s="86">
        <f>GDPdeflator!$C$38*N14</f>
        <v>0</v>
      </c>
      <c r="P14" s="87">
        <f t="shared" si="0"/>
        <v>0</v>
      </c>
      <c r="Q14" s="87">
        <f t="shared" si="1"/>
        <v>0</v>
      </c>
      <c r="R14" s="87">
        <f t="shared" si="2"/>
        <v>0</v>
      </c>
      <c r="S14" s="87">
        <f t="shared" si="3"/>
        <v>0</v>
      </c>
      <c r="T14" s="87">
        <f t="shared" si="4"/>
        <v>0</v>
      </c>
      <c r="U14" s="87">
        <f t="shared" si="5"/>
        <v>0</v>
      </c>
      <c r="V14" s="87">
        <f t="shared" si="6"/>
        <v>0</v>
      </c>
      <c r="W14" s="87">
        <f t="shared" si="7"/>
        <v>0</v>
      </c>
      <c r="X14" s="87">
        <f t="shared" si="8"/>
        <v>0</v>
      </c>
      <c r="Y14" s="87">
        <f t="shared" si="8"/>
        <v>0</v>
      </c>
      <c r="Z14" s="87">
        <f t="shared" si="9"/>
        <v>0</v>
      </c>
      <c r="AA14" s="88">
        <v>450</v>
      </c>
      <c r="AB14" s="89">
        <f>AA14*GDPdeflator!$C$25/$AI$18*10^3</f>
        <v>43.267274341798768</v>
      </c>
      <c r="AC14" s="90" t="e">
        <f>AF14/AF262*AC262</f>
        <v>#REF!</v>
      </c>
      <c r="AD14" s="90" t="e">
        <f t="shared" si="10"/>
        <v>#REF!</v>
      </c>
      <c r="AE14" s="90" t="e">
        <f t="shared" si="11"/>
        <v>#REF!</v>
      </c>
      <c r="AF14" s="90">
        <v>0.15759999999999999</v>
      </c>
      <c r="AG14" s="90">
        <v>0</v>
      </c>
    </row>
    <row r="15" spans="1:36" x14ac:dyDescent="0.2">
      <c r="A15" s="92" t="s">
        <v>382</v>
      </c>
      <c r="B15" s="248" t="s">
        <v>781</v>
      </c>
      <c r="C15" s="40" t="s">
        <v>782</v>
      </c>
      <c r="D15" s="40">
        <v>2005</v>
      </c>
      <c r="E15" s="86">
        <f>GDPdeflator!$C$32*LOOKUP($C15,Costs!$C$7:$C$89,Costs!E$7:E$89)</f>
        <v>0</v>
      </c>
      <c r="F15" s="86">
        <f>GDPdeflator!$C$36*LOOKUP($C15,Costs!$C$7:$C$89,Costs!F$7:F$89)</f>
        <v>0</v>
      </c>
      <c r="G15" s="86">
        <f>GDPdeflator!$C$38*LOOKUP($C15,Costs!$C$7:$C$89,Costs!G$7:G$89)</f>
        <v>0</v>
      </c>
      <c r="H15" s="86">
        <f>GDPdeflator!$C$38*LOOKUP($C15,Costs!$C$7:$C$89,Costs!H$7:H$89)</f>
        <v>0</v>
      </c>
      <c r="I15" s="86">
        <f>GDPdeflator!$C$38*LOOKUP($C15,Costs!$C$7:$C$89,Costs!I$7:I$89)</f>
        <v>0</v>
      </c>
      <c r="J15" s="86">
        <f>GDPdeflator!$C$38*LOOKUP($C15,Costs!$C$7:$C$89,Costs!J$7:J$89)</f>
        <v>0</v>
      </c>
      <c r="K15" s="86">
        <f>GDPdeflator!$C$38*LOOKUP($C15,Costs!$C$7:$C$89,Costs!K$7:K$89)</f>
        <v>0</v>
      </c>
      <c r="L15" s="86">
        <f>GDPdeflator!$C$38*LOOKUP($C15,Costs!$C$7:$C$89,Costs!L$7:L$89)</f>
        <v>0</v>
      </c>
      <c r="M15" s="86">
        <f>GDPdeflator!$C$38*L15</f>
        <v>0</v>
      </c>
      <c r="N15" s="86">
        <f>GDPdeflator!$C$38*M15</f>
        <v>0</v>
      </c>
      <c r="O15" s="86">
        <f>GDPdeflator!$C$38*N15</f>
        <v>0</v>
      </c>
      <c r="P15" s="87">
        <f t="shared" si="0"/>
        <v>0</v>
      </c>
      <c r="Q15" s="87">
        <f t="shared" si="1"/>
        <v>0</v>
      </c>
      <c r="R15" s="87">
        <f t="shared" si="2"/>
        <v>0</v>
      </c>
      <c r="S15" s="87">
        <f t="shared" si="3"/>
        <v>0</v>
      </c>
      <c r="T15" s="87">
        <f t="shared" si="4"/>
        <v>0</v>
      </c>
      <c r="U15" s="87">
        <f t="shared" si="5"/>
        <v>0</v>
      </c>
      <c r="V15" s="87">
        <f t="shared" si="6"/>
        <v>0</v>
      </c>
      <c r="W15" s="87">
        <f t="shared" si="7"/>
        <v>0</v>
      </c>
      <c r="X15" s="87">
        <f t="shared" si="8"/>
        <v>0</v>
      </c>
      <c r="Y15" s="87">
        <f t="shared" si="8"/>
        <v>0</v>
      </c>
      <c r="Z15" s="87">
        <f t="shared" si="9"/>
        <v>0</v>
      </c>
      <c r="AA15" s="88">
        <v>500</v>
      </c>
      <c r="AB15" s="89">
        <f>AA15*GDPdeflator!$C$25/$AI$18*10^3</f>
        <v>48.0747492686653</v>
      </c>
      <c r="AC15" s="90" t="e">
        <f>AF15/AF389*AC389</f>
        <v>#REF!</v>
      </c>
      <c r="AD15" s="90" t="e">
        <f t="shared" si="10"/>
        <v>#REF!</v>
      </c>
      <c r="AE15" s="90" t="e">
        <f t="shared" si="11"/>
        <v>#REF!</v>
      </c>
      <c r="AF15" s="90">
        <v>0.13009999999999999</v>
      </c>
      <c r="AG15" s="90">
        <v>0</v>
      </c>
      <c r="AH15" s="40" t="s">
        <v>783</v>
      </c>
      <c r="AI15" s="40">
        <f>1055.056*10 ^ 6/10 ^15</f>
        <v>1.0550559999999999E-6</v>
      </c>
      <c r="AJ15" s="40" t="s">
        <v>784</v>
      </c>
    </row>
    <row r="16" spans="1:36" x14ac:dyDescent="0.2">
      <c r="A16" s="92" t="s">
        <v>384</v>
      </c>
      <c r="B16" s="248" t="s">
        <v>785</v>
      </c>
      <c r="C16" s="40" t="s">
        <v>786</v>
      </c>
      <c r="D16" s="40">
        <v>2005</v>
      </c>
      <c r="E16" s="86">
        <f>GDPdeflator!$C$32*LOOKUP($C16,Costs!$C$7:$C$89,Costs!E$7:E$89)</f>
        <v>0</v>
      </c>
      <c r="F16" s="86">
        <f>GDPdeflator!$C$36*LOOKUP($C16,Costs!$C$7:$C$89,Costs!F$7:F$89)</f>
        <v>0</v>
      </c>
      <c r="G16" s="86">
        <f>GDPdeflator!$C$38*LOOKUP($C16,Costs!$C$7:$C$89,Costs!G$7:G$89)</f>
        <v>0</v>
      </c>
      <c r="H16" s="86">
        <f>GDPdeflator!$C$38*LOOKUP($C16,Costs!$C$7:$C$89,Costs!H$7:H$89)</f>
        <v>0</v>
      </c>
      <c r="I16" s="86">
        <f>GDPdeflator!$C$38*LOOKUP($C16,Costs!$C$7:$C$89,Costs!I$7:I$89)</f>
        <v>0</v>
      </c>
      <c r="J16" s="86">
        <f>GDPdeflator!$C$38*LOOKUP($C16,Costs!$C$7:$C$89,Costs!J$7:J$89)</f>
        <v>0</v>
      </c>
      <c r="K16" s="86">
        <f>GDPdeflator!$C$38*LOOKUP($C16,Costs!$C$7:$C$89,Costs!K$7:K$89)</f>
        <v>0</v>
      </c>
      <c r="L16" s="86">
        <f>GDPdeflator!$C$38*LOOKUP($C16,Costs!$C$7:$C$89,Costs!L$7:L$89)</f>
        <v>0</v>
      </c>
      <c r="M16" s="86">
        <f>GDPdeflator!$C$38*L16</f>
        <v>0</v>
      </c>
      <c r="N16" s="86">
        <f>GDPdeflator!$C$38*M16</f>
        <v>0</v>
      </c>
      <c r="O16" s="86">
        <f>GDPdeflator!$C$38*N16</f>
        <v>0</v>
      </c>
      <c r="P16" s="87">
        <f t="shared" si="0"/>
        <v>0</v>
      </c>
      <c r="Q16" s="87">
        <f t="shared" si="1"/>
        <v>0</v>
      </c>
      <c r="R16" s="87">
        <f t="shared" si="2"/>
        <v>0</v>
      </c>
      <c r="S16" s="87">
        <f t="shared" si="3"/>
        <v>0</v>
      </c>
      <c r="T16" s="87">
        <f t="shared" si="4"/>
        <v>0</v>
      </c>
      <c r="U16" s="87">
        <f t="shared" si="5"/>
        <v>0</v>
      </c>
      <c r="V16" s="87">
        <f t="shared" si="6"/>
        <v>0</v>
      </c>
      <c r="W16" s="87">
        <f t="shared" si="7"/>
        <v>0</v>
      </c>
      <c r="X16" s="87">
        <f t="shared" si="8"/>
        <v>0</v>
      </c>
      <c r="Y16" s="87">
        <f t="shared" si="8"/>
        <v>0</v>
      </c>
      <c r="Z16" s="87">
        <f t="shared" si="9"/>
        <v>0</v>
      </c>
      <c r="AA16" s="88">
        <v>500</v>
      </c>
      <c r="AB16" s="89">
        <f>AA16*GDPdeflator!$C$25/$AI$18*10^3</f>
        <v>48.0747492686653</v>
      </c>
      <c r="AC16" s="90" t="e">
        <f>AF16/AF422*AC422</f>
        <v>#REF!</v>
      </c>
      <c r="AD16" s="90" t="e">
        <f t="shared" si="10"/>
        <v>#REF!</v>
      </c>
      <c r="AE16" s="90" t="e">
        <f t="shared" si="11"/>
        <v>#REF!</v>
      </c>
      <c r="AF16" s="90">
        <v>0.13639999999999999</v>
      </c>
      <c r="AG16" s="90">
        <v>0</v>
      </c>
    </row>
    <row r="17" spans="1:36" x14ac:dyDescent="0.2">
      <c r="A17" s="92" t="s">
        <v>787</v>
      </c>
      <c r="B17" s="248" t="s">
        <v>788</v>
      </c>
      <c r="C17" s="52" t="s">
        <v>789</v>
      </c>
      <c r="D17" s="40">
        <v>2005</v>
      </c>
      <c r="E17" s="86">
        <f>GDPdeflator!$C$32*LOOKUP($C17,Costs!$C$7:$C$89,Costs!E$7:E$89)</f>
        <v>0</v>
      </c>
      <c r="F17" s="86">
        <f>GDPdeflator!$C$36*LOOKUP($C17,Costs!$C$7:$C$89,Costs!F$7:F$89)</f>
        <v>0</v>
      </c>
      <c r="G17" s="86">
        <f>GDPdeflator!$C$38*LOOKUP($C17,Costs!$C$7:$C$89,Costs!G$7:G$89)</f>
        <v>0</v>
      </c>
      <c r="H17" s="86">
        <f>GDPdeflator!$C$38*LOOKUP($C17,Costs!$C$7:$C$89,Costs!H$7:H$89)</f>
        <v>0</v>
      </c>
      <c r="I17" s="86">
        <f>GDPdeflator!$C$38*LOOKUP($C17,Costs!$C$7:$C$89,Costs!I$7:I$89)</f>
        <v>0</v>
      </c>
      <c r="J17" s="86">
        <f>GDPdeflator!$C$38*LOOKUP($C17,Costs!$C$7:$C$89,Costs!J$7:J$89)</f>
        <v>0</v>
      </c>
      <c r="K17" s="86">
        <f>GDPdeflator!$C$38*LOOKUP($C17,Costs!$C$7:$C$89,Costs!K$7:K$89)</f>
        <v>0</v>
      </c>
      <c r="L17" s="86">
        <f>GDPdeflator!$C$38*LOOKUP($C17,Costs!$C$7:$C$89,Costs!L$7:L$89)</f>
        <v>0</v>
      </c>
      <c r="M17" s="86">
        <f>GDPdeflator!$C$38*L17</f>
        <v>0</v>
      </c>
      <c r="N17" s="86">
        <f>GDPdeflator!$C$38*M17</f>
        <v>0</v>
      </c>
      <c r="O17" s="86">
        <f>GDPdeflator!$C$38*N17</f>
        <v>0</v>
      </c>
      <c r="P17" s="87">
        <f t="shared" si="0"/>
        <v>0</v>
      </c>
      <c r="Q17" s="87">
        <f t="shared" si="1"/>
        <v>0</v>
      </c>
      <c r="R17" s="87">
        <f t="shared" si="2"/>
        <v>0</v>
      </c>
      <c r="S17" s="87">
        <f t="shared" si="3"/>
        <v>0</v>
      </c>
      <c r="T17" s="87">
        <f t="shared" si="4"/>
        <v>0</v>
      </c>
      <c r="U17" s="87">
        <f t="shared" si="5"/>
        <v>0</v>
      </c>
      <c r="V17" s="87">
        <f t="shared" si="6"/>
        <v>0</v>
      </c>
      <c r="W17" s="87">
        <f t="shared" si="7"/>
        <v>0</v>
      </c>
      <c r="X17" s="87">
        <f t="shared" si="8"/>
        <v>0</v>
      </c>
      <c r="Y17" s="87">
        <f t="shared" si="8"/>
        <v>0</v>
      </c>
      <c r="Z17" s="87">
        <f t="shared" si="9"/>
        <v>0</v>
      </c>
      <c r="AA17" s="88">
        <v>450</v>
      </c>
      <c r="AB17" s="89">
        <f>AA17*GDPdeflator!$C$25/$AI$18*10^3</f>
        <v>43.267274341798768</v>
      </c>
      <c r="AC17" s="90" t="e">
        <f>AF17/#REF!*#REF!</f>
        <v>#REF!</v>
      </c>
      <c r="AD17" s="90" t="e">
        <f t="shared" si="10"/>
        <v>#REF!</v>
      </c>
      <c r="AE17" s="90" t="e">
        <f t="shared" si="11"/>
        <v>#REF!</v>
      </c>
      <c r="AF17" s="90">
        <v>0.15959999999999999</v>
      </c>
      <c r="AG17" s="90">
        <v>0</v>
      </c>
      <c r="AH17" s="91" t="s">
        <v>790</v>
      </c>
    </row>
    <row r="18" spans="1:36" x14ac:dyDescent="0.2">
      <c r="A18" s="92" t="s">
        <v>791</v>
      </c>
      <c r="B18" s="248" t="s">
        <v>792</v>
      </c>
      <c r="C18" s="52" t="s">
        <v>793</v>
      </c>
      <c r="D18" s="40">
        <v>2005</v>
      </c>
      <c r="E18" s="86">
        <f>GDPdeflator!$C$32*LOOKUP($C18,Costs!$C$7:$C$89,Costs!E$7:E$89)</f>
        <v>0</v>
      </c>
      <c r="F18" s="86">
        <f>GDPdeflator!$C$36*LOOKUP($C18,Costs!$C$7:$C$89,Costs!F$7:F$89)</f>
        <v>0</v>
      </c>
      <c r="G18" s="86">
        <f>GDPdeflator!$C$38*LOOKUP($C18,Costs!$C$7:$C$89,Costs!G$7:G$89)</f>
        <v>0</v>
      </c>
      <c r="H18" s="86">
        <f>GDPdeflator!$C$38*LOOKUP($C18,Costs!$C$7:$C$89,Costs!H$7:H$89)</f>
        <v>0</v>
      </c>
      <c r="I18" s="86">
        <f>GDPdeflator!$C$38*LOOKUP($C18,Costs!$C$7:$C$89,Costs!I$7:I$89)</f>
        <v>0</v>
      </c>
      <c r="J18" s="86">
        <f>GDPdeflator!$C$38*LOOKUP($C18,Costs!$C$7:$C$89,Costs!J$7:J$89)</f>
        <v>0</v>
      </c>
      <c r="K18" s="86">
        <f>GDPdeflator!$C$38*LOOKUP($C18,Costs!$C$7:$C$89,Costs!K$7:K$89)</f>
        <v>0</v>
      </c>
      <c r="L18" s="86">
        <f>GDPdeflator!$C$38*LOOKUP($C18,Costs!$C$7:$C$89,Costs!L$7:L$89)</f>
        <v>0</v>
      </c>
      <c r="M18" s="86">
        <f>GDPdeflator!$C$38*L18</f>
        <v>0</v>
      </c>
      <c r="N18" s="86">
        <f>GDPdeflator!$C$38*M18</f>
        <v>0</v>
      </c>
      <c r="O18" s="86">
        <f>GDPdeflator!$C$38*N18</f>
        <v>0</v>
      </c>
      <c r="P18" s="87">
        <f t="shared" si="0"/>
        <v>0</v>
      </c>
      <c r="Q18" s="87">
        <f t="shared" si="1"/>
        <v>0</v>
      </c>
      <c r="R18" s="87">
        <f t="shared" si="2"/>
        <v>0</v>
      </c>
      <c r="S18" s="87">
        <f t="shared" si="3"/>
        <v>0</v>
      </c>
      <c r="T18" s="87">
        <f t="shared" si="4"/>
        <v>0</v>
      </c>
      <c r="U18" s="87">
        <f t="shared" si="5"/>
        <v>0</v>
      </c>
      <c r="V18" s="87">
        <f t="shared" si="6"/>
        <v>0</v>
      </c>
      <c r="W18" s="87">
        <f t="shared" si="7"/>
        <v>0</v>
      </c>
      <c r="X18" s="87">
        <f t="shared" si="8"/>
        <v>0</v>
      </c>
      <c r="Y18" s="87">
        <f t="shared" si="8"/>
        <v>0</v>
      </c>
      <c r="Z18" s="87">
        <f t="shared" si="9"/>
        <v>0</v>
      </c>
      <c r="AA18" s="88">
        <v>450</v>
      </c>
      <c r="AB18" s="89">
        <f>AA18*GDPdeflator!$C$25/$AI$18*10^3</f>
        <v>43.267274341798768</v>
      </c>
      <c r="AC18" s="90" t="e">
        <f>AF18/AF145*AC145</f>
        <v>#REF!</v>
      </c>
      <c r="AD18" s="90" t="e">
        <f t="shared" si="10"/>
        <v>#REF!</v>
      </c>
      <c r="AE18" s="90" t="e">
        <f t="shared" si="11"/>
        <v>#REF!</v>
      </c>
      <c r="AF18" s="90">
        <v>0.15959999999999999</v>
      </c>
      <c r="AG18" s="90">
        <v>0</v>
      </c>
      <c r="AH18" s="40" t="s">
        <v>794</v>
      </c>
      <c r="AI18" s="93">
        <f>(1600287*10^6)/(133621*10^3)</f>
        <v>11976.313603400664</v>
      </c>
      <c r="AJ18" s="40" t="s">
        <v>795</v>
      </c>
    </row>
    <row r="19" spans="1:36" x14ac:dyDescent="0.2">
      <c r="A19" s="92" t="s">
        <v>796</v>
      </c>
      <c r="B19" s="248" t="s">
        <v>797</v>
      </c>
      <c r="C19" s="52" t="s">
        <v>798</v>
      </c>
      <c r="D19" s="40">
        <v>2005</v>
      </c>
      <c r="E19" s="86">
        <f>GDPdeflator!$C$32*LOOKUP($C19,Costs!$C$7:$C$89,Costs!E$7:E$89)</f>
        <v>0</v>
      </c>
      <c r="F19" s="86">
        <f>GDPdeflator!$C$36*LOOKUP($C19,Costs!$C$7:$C$89,Costs!F$7:F$89)</f>
        <v>0</v>
      </c>
      <c r="G19" s="86">
        <f>GDPdeflator!$C$38*LOOKUP($C19,Costs!$C$7:$C$89,Costs!G$7:G$89)</f>
        <v>0</v>
      </c>
      <c r="H19" s="86">
        <f>GDPdeflator!$C$38*LOOKUP($C19,Costs!$C$7:$C$89,Costs!H$7:H$89)</f>
        <v>0</v>
      </c>
      <c r="I19" s="86">
        <f>GDPdeflator!$C$38*LOOKUP($C19,Costs!$C$7:$C$89,Costs!I$7:I$89)</f>
        <v>0</v>
      </c>
      <c r="J19" s="86">
        <f>GDPdeflator!$C$38*LOOKUP($C19,Costs!$C$7:$C$89,Costs!J$7:J$89)</f>
        <v>0</v>
      </c>
      <c r="K19" s="86">
        <f>GDPdeflator!$C$38*LOOKUP($C19,Costs!$C$7:$C$89,Costs!K$7:K$89)</f>
        <v>0</v>
      </c>
      <c r="L19" s="86">
        <f>GDPdeflator!$C$38*LOOKUP($C19,Costs!$C$7:$C$89,Costs!L$7:L$89)</f>
        <v>0</v>
      </c>
      <c r="M19" s="86">
        <f>GDPdeflator!$C$38*L19</f>
        <v>0</v>
      </c>
      <c r="N19" s="86">
        <f>GDPdeflator!$C$38*M19</f>
        <v>0</v>
      </c>
      <c r="O19" s="86">
        <f>GDPdeflator!$C$38*N19</f>
        <v>0</v>
      </c>
      <c r="P19" s="87">
        <f t="shared" si="0"/>
        <v>0</v>
      </c>
      <c r="Q19" s="87">
        <f t="shared" si="1"/>
        <v>0</v>
      </c>
      <c r="R19" s="87">
        <f t="shared" si="2"/>
        <v>0</v>
      </c>
      <c r="S19" s="87">
        <f t="shared" si="3"/>
        <v>0</v>
      </c>
      <c r="T19" s="87">
        <f t="shared" si="4"/>
        <v>0</v>
      </c>
      <c r="U19" s="87">
        <f t="shared" si="5"/>
        <v>0</v>
      </c>
      <c r="V19" s="87">
        <f t="shared" si="6"/>
        <v>0</v>
      </c>
      <c r="W19" s="87">
        <f t="shared" si="7"/>
        <v>0</v>
      </c>
      <c r="X19" s="87">
        <f t="shared" si="8"/>
        <v>0</v>
      </c>
      <c r="Y19" s="87">
        <f t="shared" si="8"/>
        <v>0</v>
      </c>
      <c r="Z19" s="87">
        <f t="shared" si="9"/>
        <v>0</v>
      </c>
      <c r="AA19" s="88">
        <v>405</v>
      </c>
      <c r="AB19" s="89">
        <f>AA19*GDPdeflator!$C$25/$AI$18*10^3</f>
        <v>38.940546907618888</v>
      </c>
      <c r="AC19" s="90" t="e">
        <f>AF19/AF167*AC167</f>
        <v>#REF!</v>
      </c>
      <c r="AD19" s="90" t="e">
        <f t="shared" si="10"/>
        <v>#REF!</v>
      </c>
      <c r="AE19" s="90" t="e">
        <f t="shared" si="11"/>
        <v>#REF!</v>
      </c>
      <c r="AF19" s="90">
        <v>0.17119999999999999</v>
      </c>
      <c r="AG19" s="90">
        <v>0</v>
      </c>
      <c r="AH19" s="40" t="s">
        <v>799</v>
      </c>
      <c r="AI19" s="93">
        <f>(1708421*10^6)/(133621*10^3)</f>
        <v>12785.572627057125</v>
      </c>
      <c r="AJ19" s="40" t="s">
        <v>800</v>
      </c>
    </row>
    <row r="20" spans="1:36" x14ac:dyDescent="0.2">
      <c r="A20" s="92" t="s">
        <v>801</v>
      </c>
      <c r="B20" s="248" t="s">
        <v>802</v>
      </c>
      <c r="C20" s="52" t="s">
        <v>803</v>
      </c>
      <c r="D20" s="40">
        <v>2005</v>
      </c>
      <c r="E20" s="86">
        <f>GDPdeflator!$C$32*LOOKUP($C20,Costs!$C$7:$C$89,Costs!E$7:E$89)</f>
        <v>0</v>
      </c>
      <c r="F20" s="86">
        <f>GDPdeflator!$C$36*LOOKUP($C20,Costs!$C$7:$C$89,Costs!F$7:F$89)</f>
        <v>0</v>
      </c>
      <c r="G20" s="86">
        <f>GDPdeflator!$C$38*LOOKUP($C20,Costs!$C$7:$C$89,Costs!G$7:G$89)</f>
        <v>0</v>
      </c>
      <c r="H20" s="86">
        <f>GDPdeflator!$C$38*LOOKUP($C20,Costs!$C$7:$C$89,Costs!H$7:H$89)</f>
        <v>0</v>
      </c>
      <c r="I20" s="86">
        <f>GDPdeflator!$C$38*LOOKUP($C20,Costs!$C$7:$C$89,Costs!I$7:I$89)</f>
        <v>0</v>
      </c>
      <c r="J20" s="86">
        <f>GDPdeflator!$C$38*LOOKUP($C20,Costs!$C$7:$C$89,Costs!J$7:J$89)</f>
        <v>0</v>
      </c>
      <c r="K20" s="86">
        <f>GDPdeflator!$C$38*LOOKUP($C20,Costs!$C$7:$C$89,Costs!K$7:K$89)</f>
        <v>0</v>
      </c>
      <c r="L20" s="86">
        <f>GDPdeflator!$C$38*LOOKUP($C20,Costs!$C$7:$C$89,Costs!L$7:L$89)</f>
        <v>0</v>
      </c>
      <c r="M20" s="86">
        <f>GDPdeflator!$C$38*L20</f>
        <v>0</v>
      </c>
      <c r="N20" s="86">
        <f>GDPdeflator!$C$38*M20</f>
        <v>0</v>
      </c>
      <c r="O20" s="86">
        <f>GDPdeflator!$C$38*N20</f>
        <v>0</v>
      </c>
      <c r="P20" s="87">
        <f t="shared" si="0"/>
        <v>0</v>
      </c>
      <c r="Q20" s="87">
        <f t="shared" si="1"/>
        <v>0</v>
      </c>
      <c r="R20" s="87">
        <f t="shared" si="2"/>
        <v>0</v>
      </c>
      <c r="S20" s="87">
        <f t="shared" si="3"/>
        <v>0</v>
      </c>
      <c r="T20" s="87">
        <f t="shared" si="4"/>
        <v>0</v>
      </c>
      <c r="U20" s="87">
        <f t="shared" si="5"/>
        <v>0</v>
      </c>
      <c r="V20" s="87">
        <f t="shared" si="6"/>
        <v>0</v>
      </c>
      <c r="W20" s="87">
        <f t="shared" si="7"/>
        <v>0</v>
      </c>
      <c r="X20" s="87">
        <f t="shared" si="8"/>
        <v>0</v>
      </c>
      <c r="Y20" s="87">
        <f t="shared" si="8"/>
        <v>0</v>
      </c>
      <c r="Z20" s="87">
        <f t="shared" si="9"/>
        <v>0</v>
      </c>
      <c r="AA20" s="88">
        <v>405</v>
      </c>
      <c r="AB20" s="89">
        <f>AA20*GDPdeflator!$C$25/$AI$18*10^3</f>
        <v>38.940546907618888</v>
      </c>
      <c r="AC20" s="90" t="e">
        <f>AF20/AF369*AC369</f>
        <v>#REF!</v>
      </c>
      <c r="AD20" s="90" t="e">
        <f t="shared" si="10"/>
        <v>#REF!</v>
      </c>
      <c r="AE20" s="90" t="e">
        <f t="shared" si="11"/>
        <v>#REF!</v>
      </c>
      <c r="AF20" s="90">
        <v>0.17030000000000001</v>
      </c>
      <c r="AG20" s="90">
        <v>0</v>
      </c>
    </row>
    <row r="21" spans="1:36" x14ac:dyDescent="0.2">
      <c r="A21" s="92" t="s">
        <v>804</v>
      </c>
      <c r="B21" s="248" t="s">
        <v>805</v>
      </c>
      <c r="C21" s="52" t="s">
        <v>806</v>
      </c>
      <c r="D21" s="40">
        <v>2005</v>
      </c>
      <c r="E21" s="86">
        <f>GDPdeflator!$C$32*LOOKUP($C21,Costs!$C$7:$C$89,Costs!E$7:E$89)</f>
        <v>0</v>
      </c>
      <c r="F21" s="86">
        <f>GDPdeflator!$C$36*LOOKUP($C21,Costs!$C$7:$C$89,Costs!F$7:F$89)</f>
        <v>0</v>
      </c>
      <c r="G21" s="86">
        <f>GDPdeflator!$C$38*LOOKUP($C21,Costs!$C$7:$C$89,Costs!G$7:G$89)</f>
        <v>0</v>
      </c>
      <c r="H21" s="86">
        <f>GDPdeflator!$C$38*LOOKUP($C21,Costs!$C$7:$C$89,Costs!H$7:H$89)</f>
        <v>0</v>
      </c>
      <c r="I21" s="86">
        <f>GDPdeflator!$C$38*LOOKUP($C21,Costs!$C$7:$C$89,Costs!I$7:I$89)</f>
        <v>0</v>
      </c>
      <c r="J21" s="86">
        <f>GDPdeflator!$C$38*LOOKUP($C21,Costs!$C$7:$C$89,Costs!J$7:J$89)</f>
        <v>0</v>
      </c>
      <c r="K21" s="86">
        <f>GDPdeflator!$C$38*LOOKUP($C21,Costs!$C$7:$C$89,Costs!K$7:K$89)</f>
        <v>0</v>
      </c>
      <c r="L21" s="86">
        <f>GDPdeflator!$C$38*LOOKUP($C21,Costs!$C$7:$C$89,Costs!L$7:L$89)</f>
        <v>0</v>
      </c>
      <c r="M21" s="86">
        <f>GDPdeflator!$C$38*L21</f>
        <v>0</v>
      </c>
      <c r="N21" s="86">
        <f>GDPdeflator!$C$38*M21</f>
        <v>0</v>
      </c>
      <c r="O21" s="86">
        <f>GDPdeflator!$C$38*N21</f>
        <v>0</v>
      </c>
      <c r="P21" s="87">
        <f t="shared" si="0"/>
        <v>0</v>
      </c>
      <c r="Q21" s="87">
        <f t="shared" si="1"/>
        <v>0</v>
      </c>
      <c r="R21" s="87">
        <f t="shared" si="2"/>
        <v>0</v>
      </c>
      <c r="S21" s="87">
        <f t="shared" si="3"/>
        <v>0</v>
      </c>
      <c r="T21" s="87">
        <f t="shared" si="4"/>
        <v>0</v>
      </c>
      <c r="U21" s="87">
        <f t="shared" si="5"/>
        <v>0</v>
      </c>
      <c r="V21" s="87">
        <f t="shared" si="6"/>
        <v>0</v>
      </c>
      <c r="W21" s="87">
        <f t="shared" si="7"/>
        <v>0</v>
      </c>
      <c r="X21" s="87">
        <f t="shared" si="8"/>
        <v>0</v>
      </c>
      <c r="Y21" s="87">
        <f t="shared" si="8"/>
        <v>0</v>
      </c>
      <c r="Z21" s="87">
        <f t="shared" si="9"/>
        <v>0</v>
      </c>
      <c r="AA21" s="88">
        <v>270</v>
      </c>
      <c r="AB21" s="89">
        <f>AA21*GDPdeflator!$C$25/$AI$18*10^3</f>
        <v>25.96036460507926</v>
      </c>
      <c r="AC21" s="90" t="e">
        <f>AF21/#REF!*#REF!</f>
        <v>#REF!</v>
      </c>
      <c r="AD21" s="90" t="e">
        <f t="shared" si="10"/>
        <v>#REF!</v>
      </c>
      <c r="AE21" s="90" t="e">
        <f t="shared" si="11"/>
        <v>#REF!</v>
      </c>
      <c r="AF21" s="90">
        <v>0.72250000000000003</v>
      </c>
      <c r="AG21" s="90">
        <v>1</v>
      </c>
    </row>
    <row r="22" spans="1:36" x14ac:dyDescent="0.2">
      <c r="A22" s="92" t="s">
        <v>807</v>
      </c>
      <c r="B22" s="248" t="s">
        <v>808</v>
      </c>
      <c r="C22" s="40" t="s">
        <v>809</v>
      </c>
      <c r="D22" s="40">
        <v>2060</v>
      </c>
      <c r="E22" s="86">
        <f>GDPdeflator!$C$32*INDEX(Costs!$E$7:$O$89,MATCH($C22,Costs!$C$7:$C$89,0),MATCH(E$7,Costs!$E$6:$O$6,0))</f>
        <v>37.866899157221738</v>
      </c>
      <c r="F22" s="86">
        <f>GDPdeflator!$C$36*INDEX(Costs!$E$7:$O$89,MATCH($C22,Costs!$C$7:$C$89,0),MATCH(F$7,Costs!$E$6:$O$6,0))</f>
        <v>38.74222902964231</v>
      </c>
      <c r="G22" s="86">
        <f>GDPdeflator!$C$38*INDEX(Costs!$E$7:$O$89,MATCH($C22,Costs!$C$7:$C$89,0),MATCH(G$7,Costs!$E$6:$O$6,0))</f>
        <v>39.502811279785149</v>
      </c>
      <c r="H22" s="86">
        <f>GDPdeflator!$C$38*INDEX(Costs!$E$7:$O$89,MATCH($C22,Costs!$C$7:$C$89,0),MATCH(H$7,Costs!$E$6:$O$6,0))</f>
        <v>40.081029408963637</v>
      </c>
      <c r="I22" s="86">
        <f>GDPdeflator!$C$38*INDEX(Costs!$E$7:$O$89,MATCH($C22,Costs!$C$7:$C$89,0),MATCH(I$7,Costs!$E$6:$O$6,0))</f>
        <v>41.360117997752425</v>
      </c>
      <c r="J22" s="86">
        <f>GDPdeflator!$C$38*INDEX(Costs!$E$7:$O$89,MATCH($C22,Costs!$C$7:$C$89,0),MATCH(J$7,Costs!$E$6:$O$6,0))</f>
        <v>41.386400639987812</v>
      </c>
      <c r="K22" s="86">
        <f>GDPdeflator!$C$38*INDEX(Costs!$E$7:$O$89,MATCH($C22,Costs!$C$7:$C$89,0),MATCH(K$7,Costs!$E$6:$O$6,0))</f>
        <v>41.395161520732941</v>
      </c>
      <c r="L22" s="86">
        <f>GDPdeflator!$C$38*INDEX(Costs!$E$7:$O$89,MATCH($C22,Costs!$C$7:$C$89,0),MATCH(L$7,Costs!$E$6:$O$6,0))</f>
        <v>41.377639759242676</v>
      </c>
      <c r="M22" s="86">
        <f>GDPdeflator!$C$38*INDEX(Costs!$E$7:$O$89,MATCH($C22,Costs!$C$7:$C$89,0),MATCH(M$7,Costs!$E$6:$O$6,0))</f>
        <v>41.377639759242676</v>
      </c>
      <c r="N22" s="86">
        <f>GDPdeflator!$C$38*INDEX(Costs!$E$7:$O$89,MATCH($C22,Costs!$C$7:$C$89,0),MATCH(N$7,Costs!$E$6:$O$6,0))</f>
        <v>41.377639759242676</v>
      </c>
      <c r="O22" s="86">
        <f>GDPdeflator!$C$38*INDEX(Costs!$E$7:$O$89,MATCH($C22,Costs!$C$7:$C$89,0),MATCH(O$7,Costs!$E$6:$O$6,0))</f>
        <v>41.377639759242676</v>
      </c>
      <c r="P22" s="87">
        <f>E22/$AI$18*10^6</f>
        <v>3161.8159319466604</v>
      </c>
      <c r="Q22" s="87">
        <f t="shared" ref="Q22:Z22" si="12">F22/$AI$18*10^6</f>
        <v>3234.9043547625115</v>
      </c>
      <c r="R22" s="87">
        <f t="shared" si="12"/>
        <v>3298.411563685871</v>
      </c>
      <c r="S22" s="87">
        <f t="shared" si="12"/>
        <v>3346.6917063346323</v>
      </c>
      <c r="T22" s="87">
        <f t="shared" si="12"/>
        <v>3453.4932340121968</v>
      </c>
      <c r="U22" s="87">
        <f t="shared" si="12"/>
        <v>3455.6877859507767</v>
      </c>
      <c r="V22" s="87">
        <f t="shared" si="12"/>
        <v>3456.4193032636367</v>
      </c>
      <c r="W22" s="87">
        <f t="shared" si="12"/>
        <v>3454.9562686379163</v>
      </c>
      <c r="X22" s="87">
        <f t="shared" si="12"/>
        <v>3454.9562686379163</v>
      </c>
      <c r="Y22" s="87">
        <f t="shared" si="12"/>
        <v>3454.9562686379163</v>
      </c>
      <c r="Z22" s="87">
        <f t="shared" si="12"/>
        <v>3454.9562686379163</v>
      </c>
      <c r="AA22" s="88">
        <v>400</v>
      </c>
      <c r="AB22" s="89">
        <f>AA22*GDPdeflator!$C$25/$AI$18*10^3</f>
        <v>38.459799414932235</v>
      </c>
      <c r="AC22" s="90" t="e">
        <f>INDEX(Efficiencies!$D$8:$M$89,MATCH(C22,Efficiencies!$C$8:$C$89),MATCH(D22,Efficiencies!$D$7:$M$7))</f>
        <v>#REF!</v>
      </c>
      <c r="AD22" s="90" t="e">
        <f>AC22/($AI$11*$AI$15*10 ^ 9)</f>
        <v>#REF!</v>
      </c>
      <c r="AE22" s="90" t="e">
        <f>INDEX(Efficiencies!$P$8:$Y$89,MATCH(C22,Efficiencies!$C$8:$C$89),MATCH(D22,Efficiencies!$P$7:$Y$7))</f>
        <v>#REF!</v>
      </c>
      <c r="AF22" s="90" t="e">
        <f>AE22/($AI$11*$AI$15*10 ^ 9)</f>
        <v>#REF!</v>
      </c>
      <c r="AG22" s="90">
        <v>0</v>
      </c>
    </row>
    <row r="23" spans="1:36" x14ac:dyDescent="0.2">
      <c r="A23" s="92" t="s">
        <v>810</v>
      </c>
      <c r="B23" s="248" t="s">
        <v>811</v>
      </c>
      <c r="C23" s="40" t="s">
        <v>809</v>
      </c>
      <c r="D23" s="40">
        <v>2005</v>
      </c>
      <c r="E23" s="86">
        <f>GDPdeflator!$C$32*INDEX(Costs!$E$7:$O$89,MATCH($C23,Costs!$C$7:$C$89,0),MATCH(E$7,Costs!$E$6:$O$6,0))</f>
        <v>37.866899157221738</v>
      </c>
      <c r="F23" s="86">
        <f>GDPdeflator!$C$36*INDEX(Costs!$E$7:$O$89,MATCH($C23,Costs!$C$7:$C$89,0),MATCH(F$7,Costs!$E$6:$O$6,0))</f>
        <v>38.74222902964231</v>
      </c>
      <c r="G23" s="86">
        <f>GDPdeflator!$C$38*INDEX(Costs!$E$7:$O$89,MATCH($C23,Costs!$C$7:$C$89,0),MATCH(G$7,Costs!$E$6:$O$6,0))</f>
        <v>39.502811279785149</v>
      </c>
      <c r="H23" s="86">
        <f>GDPdeflator!$C$38*INDEX(Costs!$E$7:$O$89,MATCH($C23,Costs!$C$7:$C$89,0),MATCH(H$7,Costs!$E$6:$O$6,0))</f>
        <v>40.081029408963637</v>
      </c>
      <c r="I23" s="86">
        <f>GDPdeflator!$C$38*INDEX(Costs!$E$7:$O$89,MATCH($C23,Costs!$C$7:$C$89,0),MATCH(I$7,Costs!$E$6:$O$6,0))</f>
        <v>41.360117997752425</v>
      </c>
      <c r="J23" s="86">
        <f>GDPdeflator!$C$38*INDEX(Costs!$E$7:$O$89,MATCH($C23,Costs!$C$7:$C$89,0),MATCH(J$7,Costs!$E$6:$O$6,0))</f>
        <v>41.386400639987812</v>
      </c>
      <c r="K23" s="86">
        <f>GDPdeflator!$C$38*INDEX(Costs!$E$7:$O$89,MATCH($C23,Costs!$C$7:$C$89,0),MATCH(K$7,Costs!$E$6:$O$6,0))</f>
        <v>41.395161520732941</v>
      </c>
      <c r="L23" s="86">
        <f>GDPdeflator!$C$38*INDEX(Costs!$E$7:$O$89,MATCH($C23,Costs!$C$7:$C$89,0),MATCH(L$7,Costs!$E$6:$O$6,0))</f>
        <v>41.377639759242676</v>
      </c>
      <c r="M23" s="86">
        <f>GDPdeflator!$C$38*INDEX(Costs!$E$7:$O$89,MATCH($C23,Costs!$C$7:$C$89,0),MATCH(M$7,Costs!$E$6:$O$6,0))</f>
        <v>41.377639759242676</v>
      </c>
      <c r="N23" s="86">
        <f>GDPdeflator!$C$38*INDEX(Costs!$E$7:$O$89,MATCH($C23,Costs!$C$7:$C$89,0),MATCH(N$7,Costs!$E$6:$O$6,0))</f>
        <v>41.377639759242676</v>
      </c>
      <c r="O23" s="86">
        <f>GDPdeflator!$C$38*INDEX(Costs!$E$7:$O$89,MATCH($C23,Costs!$C$7:$C$89,0),MATCH(O$7,Costs!$E$6:$O$6,0))</f>
        <v>41.377639759242676</v>
      </c>
      <c r="P23" s="87">
        <f t="shared" ref="P23:P32" si="13">E23/$AI$18*10^6</f>
        <v>3161.8159319466604</v>
      </c>
      <c r="Q23" s="87">
        <f t="shared" ref="Q23:Q42" si="14">F23/$AI$18*10^6</f>
        <v>3234.9043547625115</v>
      </c>
      <c r="R23" s="87">
        <f t="shared" ref="R23:R42" si="15">G23/$AI$18*10^6</f>
        <v>3298.411563685871</v>
      </c>
      <c r="S23" s="87">
        <f t="shared" ref="S23:S42" si="16">H23/$AI$18*10^6</f>
        <v>3346.6917063346323</v>
      </c>
      <c r="T23" s="87">
        <f t="shared" ref="T23:T42" si="17">I23/$AI$18*10^6</f>
        <v>3453.4932340121968</v>
      </c>
      <c r="U23" s="87">
        <f t="shared" ref="U23:U42" si="18">J23/$AI$18*10^6</f>
        <v>3455.6877859507767</v>
      </c>
      <c r="V23" s="87">
        <f t="shared" ref="V23:V42" si="19">K23/$AI$18*10^6</f>
        <v>3456.4193032636367</v>
      </c>
      <c r="W23" s="87">
        <f t="shared" ref="W23:W42" si="20">L23/$AI$18*10^6</f>
        <v>3454.9562686379163</v>
      </c>
      <c r="X23" s="87">
        <f t="shared" ref="X23:X42" si="21">M23/$AI$18*10^6</f>
        <v>3454.9562686379163</v>
      </c>
      <c r="Y23" s="87">
        <f t="shared" ref="Y23:Y42" si="22">N23/$AI$18*10^6</f>
        <v>3454.9562686379163</v>
      </c>
      <c r="Z23" s="87">
        <f t="shared" ref="Z23:Z42" si="23">O23/$AI$18*10^6</f>
        <v>3454.9562686379163</v>
      </c>
      <c r="AA23" s="88">
        <v>400</v>
      </c>
      <c r="AB23" s="89">
        <f>AA23*GDPdeflator!$C$25/$AI$18*10^3</f>
        <v>38.459799414932235</v>
      </c>
      <c r="AC23" s="90" t="e">
        <f>INDEX(Efficiencies!$D$8:$M$89,MATCH(C23,Efficiencies!$C$8:$C$89),MATCH(D23,Efficiencies!$D$7:$M$7))</f>
        <v>#REF!</v>
      </c>
      <c r="AD23" s="90" t="e">
        <f t="shared" si="10"/>
        <v>#REF!</v>
      </c>
      <c r="AE23" s="90" t="e">
        <f>INDEX(Efficiencies!$P$8:$Y$89,MATCH(C23,Efficiencies!$C$8:$C$89),MATCH(D23,Efficiencies!$P$7:$Y$7))</f>
        <v>#REF!</v>
      </c>
      <c r="AF23" s="90" t="e">
        <f t="shared" ref="AF23:AF67" si="24">AE23/($AI$11*$AI$15*10 ^ 9)</f>
        <v>#REF!</v>
      </c>
      <c r="AG23" s="90">
        <v>0</v>
      </c>
    </row>
    <row r="24" spans="1:36" x14ac:dyDescent="0.2">
      <c r="A24" s="92" t="s">
        <v>812</v>
      </c>
      <c r="B24" s="248" t="s">
        <v>813</v>
      </c>
      <c r="C24" s="40" t="s">
        <v>809</v>
      </c>
      <c r="D24" s="40">
        <v>2010</v>
      </c>
      <c r="E24" s="86">
        <f>GDPdeflator!$C$32*INDEX(Costs!$E$7:$O$89,MATCH($C24,Costs!$C$7:$C$89,0),MATCH(E$7,Costs!$E$6:$O$6,0))</f>
        <v>37.866899157221738</v>
      </c>
      <c r="F24" s="86">
        <f>GDPdeflator!$C$36*INDEX(Costs!$E$7:$O$89,MATCH($C24,Costs!$C$7:$C$89,0),MATCH(F$7,Costs!$E$6:$O$6,0))</f>
        <v>38.74222902964231</v>
      </c>
      <c r="G24" s="86">
        <f>GDPdeflator!$C$38*INDEX(Costs!$E$7:$O$89,MATCH($C24,Costs!$C$7:$C$89,0),MATCH(G$7,Costs!$E$6:$O$6,0))</f>
        <v>39.502811279785149</v>
      </c>
      <c r="H24" s="86">
        <f>GDPdeflator!$C$38*INDEX(Costs!$E$7:$O$89,MATCH($C24,Costs!$C$7:$C$89,0),MATCH(H$7,Costs!$E$6:$O$6,0))</f>
        <v>40.081029408963637</v>
      </c>
      <c r="I24" s="86">
        <f>GDPdeflator!$C$38*INDEX(Costs!$E$7:$O$89,MATCH($C24,Costs!$C$7:$C$89,0),MATCH(I$7,Costs!$E$6:$O$6,0))</f>
        <v>41.360117997752425</v>
      </c>
      <c r="J24" s="86">
        <f>GDPdeflator!$C$38*INDEX(Costs!$E$7:$O$89,MATCH($C24,Costs!$C$7:$C$89,0),MATCH(J$7,Costs!$E$6:$O$6,0))</f>
        <v>41.386400639987812</v>
      </c>
      <c r="K24" s="86">
        <f>GDPdeflator!$C$38*INDEX(Costs!$E$7:$O$89,MATCH($C24,Costs!$C$7:$C$89,0),MATCH(K$7,Costs!$E$6:$O$6,0))</f>
        <v>41.395161520732941</v>
      </c>
      <c r="L24" s="86">
        <f>GDPdeflator!$C$38*INDEX(Costs!$E$7:$O$89,MATCH($C24,Costs!$C$7:$C$89,0),MATCH(L$7,Costs!$E$6:$O$6,0))</f>
        <v>41.377639759242676</v>
      </c>
      <c r="M24" s="86">
        <f>GDPdeflator!$C$38*INDEX(Costs!$E$7:$O$89,MATCH($C24,Costs!$C$7:$C$89,0),MATCH(M$7,Costs!$E$6:$O$6,0))</f>
        <v>41.377639759242676</v>
      </c>
      <c r="N24" s="86">
        <f>GDPdeflator!$C$38*INDEX(Costs!$E$7:$O$89,MATCH($C24,Costs!$C$7:$C$89,0),MATCH(N$7,Costs!$E$6:$O$6,0))</f>
        <v>41.377639759242676</v>
      </c>
      <c r="O24" s="86">
        <f>GDPdeflator!$C$38*INDEX(Costs!$E$7:$O$89,MATCH($C24,Costs!$C$7:$C$89,0),MATCH(O$7,Costs!$E$6:$O$6,0))</f>
        <v>41.377639759242676</v>
      </c>
      <c r="P24" s="87">
        <f t="shared" si="13"/>
        <v>3161.8159319466604</v>
      </c>
      <c r="Q24" s="87">
        <f t="shared" si="14"/>
        <v>3234.9043547625115</v>
      </c>
      <c r="R24" s="87">
        <f t="shared" si="15"/>
        <v>3298.411563685871</v>
      </c>
      <c r="S24" s="87">
        <f t="shared" si="16"/>
        <v>3346.6917063346323</v>
      </c>
      <c r="T24" s="87">
        <f t="shared" si="17"/>
        <v>3453.4932340121968</v>
      </c>
      <c r="U24" s="87">
        <f t="shared" si="18"/>
        <v>3455.6877859507767</v>
      </c>
      <c r="V24" s="87">
        <f t="shared" si="19"/>
        <v>3456.4193032636367</v>
      </c>
      <c r="W24" s="87">
        <f t="shared" si="20"/>
        <v>3454.9562686379163</v>
      </c>
      <c r="X24" s="87">
        <f t="shared" si="21"/>
        <v>3454.9562686379163</v>
      </c>
      <c r="Y24" s="87">
        <f t="shared" si="22"/>
        <v>3454.9562686379163</v>
      </c>
      <c r="Z24" s="87">
        <f t="shared" si="23"/>
        <v>3454.9562686379163</v>
      </c>
      <c r="AA24" s="88">
        <v>400</v>
      </c>
      <c r="AB24" s="89">
        <f>AA24*GDPdeflator!$C$25/$AI$18*10^3</f>
        <v>38.459799414932235</v>
      </c>
      <c r="AC24" s="90" t="e">
        <f>INDEX(Efficiencies!$D$8:$M$89,MATCH(C24,Efficiencies!$C$8:$C$89),MATCH(D24,Efficiencies!$D$7:$M$7))</f>
        <v>#REF!</v>
      </c>
      <c r="AD24" s="90" t="e">
        <f t="shared" si="10"/>
        <v>#REF!</v>
      </c>
      <c r="AE24" s="90" t="e">
        <f>INDEX(Efficiencies!$P$8:$Y$89,MATCH(C24,Efficiencies!$C$8:$C$89),MATCH(D24,Efficiencies!$P$7:$Y$7))</f>
        <v>#REF!</v>
      </c>
      <c r="AF24" s="90" t="e">
        <f t="shared" si="24"/>
        <v>#REF!</v>
      </c>
      <c r="AG24" s="90">
        <v>0</v>
      </c>
    </row>
    <row r="25" spans="1:36" x14ac:dyDescent="0.2">
      <c r="A25" s="92" t="s">
        <v>814</v>
      </c>
      <c r="B25" s="248" t="s">
        <v>815</v>
      </c>
      <c r="C25" s="40" t="s">
        <v>809</v>
      </c>
      <c r="D25" s="40">
        <v>2015</v>
      </c>
      <c r="E25" s="86">
        <f>GDPdeflator!$C$32*INDEX(Costs!$E$7:$O$89,MATCH($C25,Costs!$C$7:$C$89,0),MATCH(E$7,Costs!$E$6:$O$6,0))</f>
        <v>37.866899157221738</v>
      </c>
      <c r="F25" s="86">
        <f>GDPdeflator!$C$36*INDEX(Costs!$E$7:$O$89,MATCH($C25,Costs!$C$7:$C$89,0),MATCH(F$7,Costs!$E$6:$O$6,0))</f>
        <v>38.74222902964231</v>
      </c>
      <c r="G25" s="86">
        <f>GDPdeflator!$C$38*INDEX(Costs!$E$7:$O$89,MATCH($C25,Costs!$C$7:$C$89,0),MATCH(G$7,Costs!$E$6:$O$6,0))</f>
        <v>39.502811279785149</v>
      </c>
      <c r="H25" s="86">
        <f>GDPdeflator!$C$38*INDEX(Costs!$E$7:$O$89,MATCH($C25,Costs!$C$7:$C$89,0),MATCH(H$7,Costs!$E$6:$O$6,0))</f>
        <v>40.081029408963637</v>
      </c>
      <c r="I25" s="86">
        <f>GDPdeflator!$C$38*INDEX(Costs!$E$7:$O$89,MATCH($C25,Costs!$C$7:$C$89,0),MATCH(I$7,Costs!$E$6:$O$6,0))</f>
        <v>41.360117997752425</v>
      </c>
      <c r="J25" s="86">
        <f>GDPdeflator!$C$38*INDEX(Costs!$E$7:$O$89,MATCH($C25,Costs!$C$7:$C$89,0),MATCH(J$7,Costs!$E$6:$O$6,0))</f>
        <v>41.386400639987812</v>
      </c>
      <c r="K25" s="86">
        <f>GDPdeflator!$C$38*INDEX(Costs!$E$7:$O$89,MATCH($C25,Costs!$C$7:$C$89,0),MATCH(K$7,Costs!$E$6:$O$6,0))</f>
        <v>41.395161520732941</v>
      </c>
      <c r="L25" s="86">
        <f>GDPdeflator!$C$38*INDEX(Costs!$E$7:$O$89,MATCH($C25,Costs!$C$7:$C$89,0),MATCH(L$7,Costs!$E$6:$O$6,0))</f>
        <v>41.377639759242676</v>
      </c>
      <c r="M25" s="86">
        <f>GDPdeflator!$C$38*INDEX(Costs!$E$7:$O$89,MATCH($C25,Costs!$C$7:$C$89,0),MATCH(M$7,Costs!$E$6:$O$6,0))</f>
        <v>41.377639759242676</v>
      </c>
      <c r="N25" s="86">
        <f>GDPdeflator!$C$38*INDEX(Costs!$E$7:$O$89,MATCH($C25,Costs!$C$7:$C$89,0),MATCH(N$7,Costs!$E$6:$O$6,0))</f>
        <v>41.377639759242676</v>
      </c>
      <c r="O25" s="86">
        <f>GDPdeflator!$C$38*INDEX(Costs!$E$7:$O$89,MATCH($C25,Costs!$C$7:$C$89,0),MATCH(O$7,Costs!$E$6:$O$6,0))</f>
        <v>41.377639759242676</v>
      </c>
      <c r="P25" s="87">
        <f t="shared" si="13"/>
        <v>3161.8159319466604</v>
      </c>
      <c r="Q25" s="87">
        <f t="shared" si="14"/>
        <v>3234.9043547625115</v>
      </c>
      <c r="R25" s="87">
        <f t="shared" si="15"/>
        <v>3298.411563685871</v>
      </c>
      <c r="S25" s="87">
        <f t="shared" si="16"/>
        <v>3346.6917063346323</v>
      </c>
      <c r="T25" s="87">
        <f t="shared" si="17"/>
        <v>3453.4932340121968</v>
      </c>
      <c r="U25" s="87">
        <f t="shared" si="18"/>
        <v>3455.6877859507767</v>
      </c>
      <c r="V25" s="87">
        <f t="shared" si="19"/>
        <v>3456.4193032636367</v>
      </c>
      <c r="W25" s="87">
        <f t="shared" si="20"/>
        <v>3454.9562686379163</v>
      </c>
      <c r="X25" s="87">
        <f t="shared" si="21"/>
        <v>3454.9562686379163</v>
      </c>
      <c r="Y25" s="87">
        <f t="shared" si="22"/>
        <v>3454.9562686379163</v>
      </c>
      <c r="Z25" s="87">
        <f t="shared" si="23"/>
        <v>3454.9562686379163</v>
      </c>
      <c r="AA25" s="88">
        <v>400</v>
      </c>
      <c r="AB25" s="89">
        <f>AA25*GDPdeflator!$C$25/$AI$18*10^3</f>
        <v>38.459799414932235</v>
      </c>
      <c r="AC25" s="90" t="e">
        <f>INDEX(Efficiencies!$D$8:$M$89,MATCH(C25,Efficiencies!$C$8:$C$89),MATCH(D25,Efficiencies!$D$7:$M$7))</f>
        <v>#REF!</v>
      </c>
      <c r="AD25" s="90" t="e">
        <f t="shared" si="10"/>
        <v>#REF!</v>
      </c>
      <c r="AE25" s="90" t="e">
        <f>INDEX(Efficiencies!$P$8:$Y$89,MATCH(C25,Efficiencies!$C$8:$C$89),MATCH(D25,Efficiencies!$P$7:$Y$7))</f>
        <v>#REF!</v>
      </c>
      <c r="AF25" s="90" t="e">
        <f t="shared" si="24"/>
        <v>#REF!</v>
      </c>
      <c r="AG25" s="90">
        <v>0</v>
      </c>
      <c r="AH25" s="40" t="s">
        <v>816</v>
      </c>
      <c r="AI25" s="93">
        <f>(923059*10^6)/(79085*10^3)</f>
        <v>11671.732945564898</v>
      </c>
      <c r="AJ25" s="40" t="s">
        <v>817</v>
      </c>
    </row>
    <row r="26" spans="1:36" x14ac:dyDescent="0.2">
      <c r="A26" s="92" t="s">
        <v>818</v>
      </c>
      <c r="B26" s="248" t="s">
        <v>819</v>
      </c>
      <c r="C26" s="40" t="s">
        <v>809</v>
      </c>
      <c r="D26" s="40">
        <v>2020</v>
      </c>
      <c r="E26" s="86">
        <f>GDPdeflator!$C$32*INDEX(Costs!$E$7:$O$89,MATCH($C26,Costs!$C$7:$C$89,0),MATCH(E$7,Costs!$E$6:$O$6,0))</f>
        <v>37.866899157221738</v>
      </c>
      <c r="F26" s="86">
        <f>GDPdeflator!$C$36*INDEX(Costs!$E$7:$O$89,MATCH($C26,Costs!$C$7:$C$89,0),MATCH(F$7,Costs!$E$6:$O$6,0))</f>
        <v>38.74222902964231</v>
      </c>
      <c r="G26" s="86">
        <f>GDPdeflator!$C$38*INDEX(Costs!$E$7:$O$89,MATCH($C26,Costs!$C$7:$C$89,0),MATCH(G$7,Costs!$E$6:$O$6,0))</f>
        <v>39.502811279785149</v>
      </c>
      <c r="H26" s="86">
        <f>GDPdeflator!$C$38*INDEX(Costs!$E$7:$O$89,MATCH($C26,Costs!$C$7:$C$89,0),MATCH(H$7,Costs!$E$6:$O$6,0))</f>
        <v>40.081029408963637</v>
      </c>
      <c r="I26" s="86">
        <f>GDPdeflator!$C$38*INDEX(Costs!$E$7:$O$89,MATCH($C26,Costs!$C$7:$C$89,0),MATCH(I$7,Costs!$E$6:$O$6,0))</f>
        <v>41.360117997752425</v>
      </c>
      <c r="J26" s="86">
        <f>GDPdeflator!$C$38*INDEX(Costs!$E$7:$O$89,MATCH($C26,Costs!$C$7:$C$89,0),MATCH(J$7,Costs!$E$6:$O$6,0))</f>
        <v>41.386400639987812</v>
      </c>
      <c r="K26" s="86">
        <f>GDPdeflator!$C$38*INDEX(Costs!$E$7:$O$89,MATCH($C26,Costs!$C$7:$C$89,0),MATCH(K$7,Costs!$E$6:$O$6,0))</f>
        <v>41.395161520732941</v>
      </c>
      <c r="L26" s="86">
        <f>GDPdeflator!$C$38*INDEX(Costs!$E$7:$O$89,MATCH($C26,Costs!$C$7:$C$89,0),MATCH(L$7,Costs!$E$6:$O$6,0))</f>
        <v>41.377639759242676</v>
      </c>
      <c r="M26" s="86">
        <f>GDPdeflator!$C$38*INDEX(Costs!$E$7:$O$89,MATCH($C26,Costs!$C$7:$C$89,0),MATCH(M$7,Costs!$E$6:$O$6,0))</f>
        <v>41.377639759242676</v>
      </c>
      <c r="N26" s="86">
        <f>GDPdeflator!$C$38*INDEX(Costs!$E$7:$O$89,MATCH($C26,Costs!$C$7:$C$89,0),MATCH(N$7,Costs!$E$6:$O$6,0))</f>
        <v>41.377639759242676</v>
      </c>
      <c r="O26" s="86">
        <f>GDPdeflator!$C$38*INDEX(Costs!$E$7:$O$89,MATCH($C26,Costs!$C$7:$C$89,0),MATCH(O$7,Costs!$E$6:$O$6,0))</f>
        <v>41.377639759242676</v>
      </c>
      <c r="P26" s="87">
        <f t="shared" si="13"/>
        <v>3161.8159319466604</v>
      </c>
      <c r="Q26" s="87">
        <f t="shared" si="14"/>
        <v>3234.9043547625115</v>
      </c>
      <c r="R26" s="87">
        <f t="shared" si="15"/>
        <v>3298.411563685871</v>
      </c>
      <c r="S26" s="87">
        <f t="shared" si="16"/>
        <v>3346.6917063346323</v>
      </c>
      <c r="T26" s="87">
        <f t="shared" si="17"/>
        <v>3453.4932340121968</v>
      </c>
      <c r="U26" s="87">
        <f t="shared" si="18"/>
        <v>3455.6877859507767</v>
      </c>
      <c r="V26" s="87">
        <f t="shared" si="19"/>
        <v>3456.4193032636367</v>
      </c>
      <c r="W26" s="87">
        <f t="shared" si="20"/>
        <v>3454.9562686379163</v>
      </c>
      <c r="X26" s="87">
        <f t="shared" si="21"/>
        <v>3454.9562686379163</v>
      </c>
      <c r="Y26" s="87">
        <f t="shared" si="22"/>
        <v>3454.9562686379163</v>
      </c>
      <c r="Z26" s="87">
        <f t="shared" si="23"/>
        <v>3454.9562686379163</v>
      </c>
      <c r="AA26" s="88">
        <v>400</v>
      </c>
      <c r="AB26" s="89">
        <f>AA26*GDPdeflator!$C$25/$AI$18*10^3</f>
        <v>38.459799414932235</v>
      </c>
      <c r="AC26" s="90" t="e">
        <f>INDEX(Efficiencies!$D$8:$M$89,MATCH(C26,Efficiencies!$C$8:$C$89),MATCH(D26,Efficiencies!$D$7:$M$7))</f>
        <v>#REF!</v>
      </c>
      <c r="AD26" s="90" t="e">
        <f t="shared" si="10"/>
        <v>#REF!</v>
      </c>
      <c r="AE26" s="90" t="e">
        <f>INDEX(Efficiencies!$P$8:$Y$89,MATCH(C26,Efficiencies!$C$8:$C$89),MATCH(D26,Efficiencies!$P$7:$Y$7))</f>
        <v>#REF!</v>
      </c>
      <c r="AF26" s="90" t="e">
        <f t="shared" si="24"/>
        <v>#REF!</v>
      </c>
      <c r="AG26" s="90">
        <v>0</v>
      </c>
      <c r="AH26" s="40" t="s">
        <v>820</v>
      </c>
      <c r="AI26" s="93">
        <f>(1041051*10^6)/(79085*10^3)</f>
        <v>13163.697287728393</v>
      </c>
      <c r="AJ26" s="40" t="s">
        <v>821</v>
      </c>
    </row>
    <row r="27" spans="1:36" x14ac:dyDescent="0.2">
      <c r="A27" s="92" t="s">
        <v>822</v>
      </c>
      <c r="B27" s="248" t="s">
        <v>823</v>
      </c>
      <c r="C27" s="40" t="s">
        <v>809</v>
      </c>
      <c r="D27" s="40">
        <v>2025</v>
      </c>
      <c r="E27" s="86">
        <f>GDPdeflator!$C$32*INDEX(Costs!$E$7:$O$89,MATCH($C27,Costs!$C$7:$C$89,0),MATCH(E$7,Costs!$E$6:$O$6,0))</f>
        <v>37.866899157221738</v>
      </c>
      <c r="F27" s="86">
        <f>GDPdeflator!$C$36*INDEX(Costs!$E$7:$O$89,MATCH($C27,Costs!$C$7:$C$89,0),MATCH(F$7,Costs!$E$6:$O$6,0))</f>
        <v>38.74222902964231</v>
      </c>
      <c r="G27" s="86">
        <f>GDPdeflator!$C$38*INDEX(Costs!$E$7:$O$89,MATCH($C27,Costs!$C$7:$C$89,0),MATCH(G$7,Costs!$E$6:$O$6,0))</f>
        <v>39.502811279785149</v>
      </c>
      <c r="H27" s="86">
        <f>GDPdeflator!$C$38*INDEX(Costs!$E$7:$O$89,MATCH($C27,Costs!$C$7:$C$89,0),MATCH(H$7,Costs!$E$6:$O$6,0))</f>
        <v>40.081029408963637</v>
      </c>
      <c r="I27" s="86">
        <f>GDPdeflator!$C$38*INDEX(Costs!$E$7:$O$89,MATCH($C27,Costs!$C$7:$C$89,0),MATCH(I$7,Costs!$E$6:$O$6,0))</f>
        <v>41.360117997752425</v>
      </c>
      <c r="J27" s="86">
        <f>GDPdeflator!$C$38*INDEX(Costs!$E$7:$O$89,MATCH($C27,Costs!$C$7:$C$89,0),MATCH(J$7,Costs!$E$6:$O$6,0))</f>
        <v>41.386400639987812</v>
      </c>
      <c r="K27" s="86">
        <f>GDPdeflator!$C$38*INDEX(Costs!$E$7:$O$89,MATCH($C27,Costs!$C$7:$C$89,0),MATCH(K$7,Costs!$E$6:$O$6,0))</f>
        <v>41.395161520732941</v>
      </c>
      <c r="L27" s="86">
        <f>GDPdeflator!$C$38*INDEX(Costs!$E$7:$O$89,MATCH($C27,Costs!$C$7:$C$89,0),MATCH(L$7,Costs!$E$6:$O$6,0))</f>
        <v>41.377639759242676</v>
      </c>
      <c r="M27" s="86">
        <f>GDPdeflator!$C$38*INDEX(Costs!$E$7:$O$89,MATCH($C27,Costs!$C$7:$C$89,0),MATCH(M$7,Costs!$E$6:$O$6,0))</f>
        <v>41.377639759242676</v>
      </c>
      <c r="N27" s="86">
        <f>GDPdeflator!$C$38*INDEX(Costs!$E$7:$O$89,MATCH($C27,Costs!$C$7:$C$89,0),MATCH(N$7,Costs!$E$6:$O$6,0))</f>
        <v>41.377639759242676</v>
      </c>
      <c r="O27" s="86">
        <f>GDPdeflator!$C$38*INDEX(Costs!$E$7:$O$89,MATCH($C27,Costs!$C$7:$C$89,0),MATCH(O$7,Costs!$E$6:$O$6,0))</f>
        <v>41.377639759242676</v>
      </c>
      <c r="P27" s="87">
        <f t="shared" si="13"/>
        <v>3161.8159319466604</v>
      </c>
      <c r="Q27" s="87">
        <f t="shared" si="14"/>
        <v>3234.9043547625115</v>
      </c>
      <c r="R27" s="87">
        <f t="shared" si="15"/>
        <v>3298.411563685871</v>
      </c>
      <c r="S27" s="87">
        <f t="shared" si="16"/>
        <v>3346.6917063346323</v>
      </c>
      <c r="T27" s="87">
        <f t="shared" si="17"/>
        <v>3453.4932340121968</v>
      </c>
      <c r="U27" s="87">
        <f t="shared" si="18"/>
        <v>3455.6877859507767</v>
      </c>
      <c r="V27" s="87">
        <f t="shared" si="19"/>
        <v>3456.4193032636367</v>
      </c>
      <c r="W27" s="87">
        <f t="shared" si="20"/>
        <v>3454.9562686379163</v>
      </c>
      <c r="X27" s="87">
        <f t="shared" si="21"/>
        <v>3454.9562686379163</v>
      </c>
      <c r="Y27" s="87">
        <f t="shared" si="22"/>
        <v>3454.9562686379163</v>
      </c>
      <c r="Z27" s="87">
        <f t="shared" si="23"/>
        <v>3454.9562686379163</v>
      </c>
      <c r="AA27" s="88">
        <v>400</v>
      </c>
      <c r="AB27" s="89">
        <f>AA27*GDPdeflator!$C$25/$AI$18*10^3</f>
        <v>38.459799414932235</v>
      </c>
      <c r="AC27" s="90" t="e">
        <f>INDEX(Efficiencies!$D$8:$M$89,MATCH(C27,Efficiencies!$C$8:$C$89),MATCH(D27,Efficiencies!$D$7:$M$7))</f>
        <v>#REF!</v>
      </c>
      <c r="AD27" s="90" t="e">
        <f t="shared" si="10"/>
        <v>#REF!</v>
      </c>
      <c r="AE27" s="90" t="e">
        <f>INDEX(Efficiencies!$P$8:$Y$89,MATCH(C27,Efficiencies!$C$8:$C$89),MATCH(D27,Efficiencies!$P$7:$Y$7))</f>
        <v>#REF!</v>
      </c>
      <c r="AF27" s="90" t="e">
        <f t="shared" si="24"/>
        <v>#REF!</v>
      </c>
      <c r="AG27" s="90">
        <v>0</v>
      </c>
      <c r="AI27" s="93"/>
    </row>
    <row r="28" spans="1:36" x14ac:dyDescent="0.2">
      <c r="A28" s="92" t="s">
        <v>824</v>
      </c>
      <c r="B28" s="248" t="s">
        <v>825</v>
      </c>
      <c r="C28" s="40" t="s">
        <v>809</v>
      </c>
      <c r="D28" s="40">
        <v>2030</v>
      </c>
      <c r="E28" s="86">
        <f>GDPdeflator!$C$32*INDEX(Costs!$E$7:$O$89,MATCH($C28,Costs!$C$7:$C$89,0),MATCH(E$7,Costs!$E$6:$O$6,0))</f>
        <v>37.866899157221738</v>
      </c>
      <c r="F28" s="86">
        <f>GDPdeflator!$C$36*INDEX(Costs!$E$7:$O$89,MATCH($C28,Costs!$C$7:$C$89,0),MATCH(F$7,Costs!$E$6:$O$6,0))</f>
        <v>38.74222902964231</v>
      </c>
      <c r="G28" s="86">
        <f>GDPdeflator!$C$38*INDEX(Costs!$E$7:$O$89,MATCH($C28,Costs!$C$7:$C$89,0),MATCH(G$7,Costs!$E$6:$O$6,0))</f>
        <v>39.502811279785149</v>
      </c>
      <c r="H28" s="86">
        <f>GDPdeflator!$C$38*INDEX(Costs!$E$7:$O$89,MATCH($C28,Costs!$C$7:$C$89,0),MATCH(H$7,Costs!$E$6:$O$6,0))</f>
        <v>40.081029408963637</v>
      </c>
      <c r="I28" s="86">
        <f>GDPdeflator!$C$38*INDEX(Costs!$E$7:$O$89,MATCH($C28,Costs!$C$7:$C$89,0),MATCH(I$7,Costs!$E$6:$O$6,0))</f>
        <v>41.360117997752425</v>
      </c>
      <c r="J28" s="86">
        <f>GDPdeflator!$C$38*INDEX(Costs!$E$7:$O$89,MATCH($C28,Costs!$C$7:$C$89,0),MATCH(J$7,Costs!$E$6:$O$6,0))</f>
        <v>41.386400639987812</v>
      </c>
      <c r="K28" s="86">
        <f>GDPdeflator!$C$38*INDEX(Costs!$E$7:$O$89,MATCH($C28,Costs!$C$7:$C$89,0),MATCH(K$7,Costs!$E$6:$O$6,0))</f>
        <v>41.395161520732941</v>
      </c>
      <c r="L28" s="86">
        <f>GDPdeflator!$C$38*INDEX(Costs!$E$7:$O$89,MATCH($C28,Costs!$C$7:$C$89,0),MATCH(L$7,Costs!$E$6:$O$6,0))</f>
        <v>41.377639759242676</v>
      </c>
      <c r="M28" s="86">
        <f>GDPdeflator!$C$38*INDEX(Costs!$E$7:$O$89,MATCH($C28,Costs!$C$7:$C$89,0),MATCH(M$7,Costs!$E$6:$O$6,0))</f>
        <v>41.377639759242676</v>
      </c>
      <c r="N28" s="86">
        <f>GDPdeflator!$C$38*INDEX(Costs!$E$7:$O$89,MATCH($C28,Costs!$C$7:$C$89,0),MATCH(N$7,Costs!$E$6:$O$6,0))</f>
        <v>41.377639759242676</v>
      </c>
      <c r="O28" s="86">
        <f>GDPdeflator!$C$38*INDEX(Costs!$E$7:$O$89,MATCH($C28,Costs!$C$7:$C$89,0),MATCH(O$7,Costs!$E$6:$O$6,0))</f>
        <v>41.377639759242676</v>
      </c>
      <c r="P28" s="87">
        <f t="shared" si="13"/>
        <v>3161.8159319466604</v>
      </c>
      <c r="Q28" s="87">
        <f t="shared" si="14"/>
        <v>3234.9043547625115</v>
      </c>
      <c r="R28" s="87">
        <f t="shared" si="15"/>
        <v>3298.411563685871</v>
      </c>
      <c r="S28" s="87">
        <f t="shared" si="16"/>
        <v>3346.6917063346323</v>
      </c>
      <c r="T28" s="87">
        <f t="shared" si="17"/>
        <v>3453.4932340121968</v>
      </c>
      <c r="U28" s="87">
        <f t="shared" si="18"/>
        <v>3455.6877859507767</v>
      </c>
      <c r="V28" s="87">
        <f t="shared" si="19"/>
        <v>3456.4193032636367</v>
      </c>
      <c r="W28" s="87">
        <f t="shared" si="20"/>
        <v>3454.9562686379163</v>
      </c>
      <c r="X28" s="87">
        <f t="shared" si="21"/>
        <v>3454.9562686379163</v>
      </c>
      <c r="Y28" s="87">
        <f t="shared" si="22"/>
        <v>3454.9562686379163</v>
      </c>
      <c r="Z28" s="87">
        <f t="shared" si="23"/>
        <v>3454.9562686379163</v>
      </c>
      <c r="AA28" s="88">
        <v>400</v>
      </c>
      <c r="AB28" s="89">
        <f>AA28*GDPdeflator!$C$25/$AI$18*10^3</f>
        <v>38.459799414932235</v>
      </c>
      <c r="AC28" s="90" t="e">
        <f>INDEX(Efficiencies!$D$8:$M$89,MATCH(C28,Efficiencies!$C$8:$C$89),MATCH(D28,Efficiencies!$D$7:$M$7))</f>
        <v>#REF!</v>
      </c>
      <c r="AD28" s="90" t="e">
        <f t="shared" si="10"/>
        <v>#REF!</v>
      </c>
      <c r="AE28" s="90" t="e">
        <f>INDEX(Efficiencies!$P$8:$Y$89,MATCH(C28,Efficiencies!$C$8:$C$89),MATCH(D28,Efficiencies!$P$7:$Y$7))</f>
        <v>#REF!</v>
      </c>
      <c r="AF28" s="90" t="e">
        <f t="shared" si="24"/>
        <v>#REF!</v>
      </c>
      <c r="AG28" s="90">
        <v>0</v>
      </c>
      <c r="AI28" s="93"/>
    </row>
    <row r="29" spans="1:36" x14ac:dyDescent="0.2">
      <c r="A29" s="92" t="s">
        <v>826</v>
      </c>
      <c r="B29" s="248" t="s">
        <v>827</v>
      </c>
      <c r="C29" s="40" t="s">
        <v>809</v>
      </c>
      <c r="D29" s="40">
        <v>2035</v>
      </c>
      <c r="E29" s="86">
        <f>GDPdeflator!$C$32*INDEX(Costs!$E$7:$O$89,MATCH($C29,Costs!$C$7:$C$89,0),MATCH(E$7,Costs!$E$6:$O$6,0))</f>
        <v>37.866899157221738</v>
      </c>
      <c r="F29" s="86">
        <f>GDPdeflator!$C$36*INDEX(Costs!$E$7:$O$89,MATCH($C29,Costs!$C$7:$C$89,0),MATCH(F$7,Costs!$E$6:$O$6,0))</f>
        <v>38.74222902964231</v>
      </c>
      <c r="G29" s="86">
        <f>GDPdeflator!$C$38*INDEX(Costs!$E$7:$O$89,MATCH($C29,Costs!$C$7:$C$89,0),MATCH(G$7,Costs!$E$6:$O$6,0))</f>
        <v>39.502811279785149</v>
      </c>
      <c r="H29" s="86">
        <f>GDPdeflator!$C$38*INDEX(Costs!$E$7:$O$89,MATCH($C29,Costs!$C$7:$C$89,0),MATCH(H$7,Costs!$E$6:$O$6,0))</f>
        <v>40.081029408963637</v>
      </c>
      <c r="I29" s="86">
        <f>GDPdeflator!$C$38*INDEX(Costs!$E$7:$O$89,MATCH($C29,Costs!$C$7:$C$89,0),MATCH(I$7,Costs!$E$6:$O$6,0))</f>
        <v>41.360117997752425</v>
      </c>
      <c r="J29" s="86">
        <f>GDPdeflator!$C$38*INDEX(Costs!$E$7:$O$89,MATCH($C29,Costs!$C$7:$C$89,0),MATCH(J$7,Costs!$E$6:$O$6,0))</f>
        <v>41.386400639987812</v>
      </c>
      <c r="K29" s="86">
        <f>GDPdeflator!$C$38*INDEX(Costs!$E$7:$O$89,MATCH($C29,Costs!$C$7:$C$89,0),MATCH(K$7,Costs!$E$6:$O$6,0))</f>
        <v>41.395161520732941</v>
      </c>
      <c r="L29" s="86">
        <f>GDPdeflator!$C$38*INDEX(Costs!$E$7:$O$89,MATCH($C29,Costs!$C$7:$C$89,0),MATCH(L$7,Costs!$E$6:$O$6,0))</f>
        <v>41.377639759242676</v>
      </c>
      <c r="M29" s="86">
        <f>GDPdeflator!$C$38*INDEX(Costs!$E$7:$O$89,MATCH($C29,Costs!$C$7:$C$89,0),MATCH(M$7,Costs!$E$6:$O$6,0))</f>
        <v>41.377639759242676</v>
      </c>
      <c r="N29" s="86">
        <f>GDPdeflator!$C$38*INDEX(Costs!$E$7:$O$89,MATCH($C29,Costs!$C$7:$C$89,0),MATCH(N$7,Costs!$E$6:$O$6,0))</f>
        <v>41.377639759242676</v>
      </c>
      <c r="O29" s="86">
        <f>GDPdeflator!$C$38*INDEX(Costs!$E$7:$O$89,MATCH($C29,Costs!$C$7:$C$89,0),MATCH(O$7,Costs!$E$6:$O$6,0))</f>
        <v>41.377639759242676</v>
      </c>
      <c r="P29" s="87">
        <f t="shared" si="13"/>
        <v>3161.8159319466604</v>
      </c>
      <c r="Q29" s="87">
        <f t="shared" si="14"/>
        <v>3234.9043547625115</v>
      </c>
      <c r="R29" s="87">
        <f t="shared" si="15"/>
        <v>3298.411563685871</v>
      </c>
      <c r="S29" s="87">
        <f t="shared" si="16"/>
        <v>3346.6917063346323</v>
      </c>
      <c r="T29" s="87">
        <f t="shared" si="17"/>
        <v>3453.4932340121968</v>
      </c>
      <c r="U29" s="87">
        <f t="shared" si="18"/>
        <v>3455.6877859507767</v>
      </c>
      <c r="V29" s="87">
        <f t="shared" si="19"/>
        <v>3456.4193032636367</v>
      </c>
      <c r="W29" s="87">
        <f t="shared" si="20"/>
        <v>3454.9562686379163</v>
      </c>
      <c r="X29" s="87">
        <f t="shared" si="21"/>
        <v>3454.9562686379163</v>
      </c>
      <c r="Y29" s="87">
        <f t="shared" si="22"/>
        <v>3454.9562686379163</v>
      </c>
      <c r="Z29" s="87">
        <f t="shared" si="23"/>
        <v>3454.9562686379163</v>
      </c>
      <c r="AA29" s="88">
        <v>400</v>
      </c>
      <c r="AB29" s="89">
        <f>AA29*GDPdeflator!$C$25/$AI$18*10^3</f>
        <v>38.459799414932235</v>
      </c>
      <c r="AC29" s="90" t="e">
        <f>INDEX(Efficiencies!$D$8:$M$89,MATCH(C29,Efficiencies!$C$8:$C$89),MATCH(D29,Efficiencies!$D$7:$M$7))</f>
        <v>#REF!</v>
      </c>
      <c r="AD29" s="90" t="e">
        <f t="shared" si="10"/>
        <v>#REF!</v>
      </c>
      <c r="AE29" s="90" t="e">
        <f>INDEX(Efficiencies!$P$8:$Y$89,MATCH(C29,Efficiencies!$C$8:$C$89),MATCH(D29,Efficiencies!$P$7:$Y$7))</f>
        <v>#REF!</v>
      </c>
      <c r="AF29" s="90" t="e">
        <f t="shared" si="24"/>
        <v>#REF!</v>
      </c>
      <c r="AG29" s="90">
        <v>0</v>
      </c>
      <c r="AI29" s="93"/>
    </row>
    <row r="30" spans="1:36" x14ac:dyDescent="0.2">
      <c r="A30" s="92" t="s">
        <v>828</v>
      </c>
      <c r="B30" s="248" t="s">
        <v>829</v>
      </c>
      <c r="C30" s="40" t="s">
        <v>809</v>
      </c>
      <c r="D30" s="40">
        <v>2040</v>
      </c>
      <c r="E30" s="86">
        <f>GDPdeflator!$C$32*INDEX(Costs!$E$7:$O$89,MATCH($C30,Costs!$C$7:$C$89,0),MATCH(E$7,Costs!$E$6:$O$6,0))</f>
        <v>37.866899157221738</v>
      </c>
      <c r="F30" s="86">
        <f>GDPdeflator!$C$36*INDEX(Costs!$E$7:$O$89,MATCH($C30,Costs!$C$7:$C$89,0),MATCH(F$7,Costs!$E$6:$O$6,0))</f>
        <v>38.74222902964231</v>
      </c>
      <c r="G30" s="86">
        <f>GDPdeflator!$C$38*INDEX(Costs!$E$7:$O$89,MATCH($C30,Costs!$C$7:$C$89,0),MATCH(G$7,Costs!$E$6:$O$6,0))</f>
        <v>39.502811279785149</v>
      </c>
      <c r="H30" s="86">
        <f>GDPdeflator!$C$38*INDEX(Costs!$E$7:$O$89,MATCH($C30,Costs!$C$7:$C$89,0),MATCH(H$7,Costs!$E$6:$O$6,0))</f>
        <v>40.081029408963637</v>
      </c>
      <c r="I30" s="86">
        <f>GDPdeflator!$C$38*INDEX(Costs!$E$7:$O$89,MATCH($C30,Costs!$C$7:$C$89,0),MATCH(I$7,Costs!$E$6:$O$6,0))</f>
        <v>41.360117997752425</v>
      </c>
      <c r="J30" s="86">
        <f>GDPdeflator!$C$38*INDEX(Costs!$E$7:$O$89,MATCH($C30,Costs!$C$7:$C$89,0),MATCH(J$7,Costs!$E$6:$O$6,0))</f>
        <v>41.386400639987812</v>
      </c>
      <c r="K30" s="86">
        <f>GDPdeflator!$C$38*INDEX(Costs!$E$7:$O$89,MATCH($C30,Costs!$C$7:$C$89,0),MATCH(K$7,Costs!$E$6:$O$6,0))</f>
        <v>41.395161520732941</v>
      </c>
      <c r="L30" s="86">
        <f>GDPdeflator!$C$38*INDEX(Costs!$E$7:$O$89,MATCH($C30,Costs!$C$7:$C$89,0),MATCH(L$7,Costs!$E$6:$O$6,0))</f>
        <v>41.377639759242676</v>
      </c>
      <c r="M30" s="86">
        <f>GDPdeflator!$C$38*INDEX(Costs!$E$7:$O$89,MATCH($C30,Costs!$C$7:$C$89,0),MATCH(M$7,Costs!$E$6:$O$6,0))</f>
        <v>41.377639759242676</v>
      </c>
      <c r="N30" s="86">
        <f>GDPdeflator!$C$38*INDEX(Costs!$E$7:$O$89,MATCH($C30,Costs!$C$7:$C$89,0),MATCH(N$7,Costs!$E$6:$O$6,0))</f>
        <v>41.377639759242676</v>
      </c>
      <c r="O30" s="86">
        <f>GDPdeflator!$C$38*INDEX(Costs!$E$7:$O$89,MATCH($C30,Costs!$C$7:$C$89,0),MATCH(O$7,Costs!$E$6:$O$6,0))</f>
        <v>41.377639759242676</v>
      </c>
      <c r="P30" s="87">
        <f t="shared" si="13"/>
        <v>3161.8159319466604</v>
      </c>
      <c r="Q30" s="87">
        <f t="shared" si="14"/>
        <v>3234.9043547625115</v>
      </c>
      <c r="R30" s="87">
        <f t="shared" si="15"/>
        <v>3298.411563685871</v>
      </c>
      <c r="S30" s="87">
        <f t="shared" si="16"/>
        <v>3346.6917063346323</v>
      </c>
      <c r="T30" s="87">
        <f t="shared" si="17"/>
        <v>3453.4932340121968</v>
      </c>
      <c r="U30" s="87">
        <f t="shared" si="18"/>
        <v>3455.6877859507767</v>
      </c>
      <c r="V30" s="87">
        <f t="shared" si="19"/>
        <v>3456.4193032636367</v>
      </c>
      <c r="W30" s="87">
        <f t="shared" si="20"/>
        <v>3454.9562686379163</v>
      </c>
      <c r="X30" s="87">
        <f t="shared" si="21"/>
        <v>3454.9562686379163</v>
      </c>
      <c r="Y30" s="87">
        <f t="shared" si="22"/>
        <v>3454.9562686379163</v>
      </c>
      <c r="Z30" s="87">
        <f t="shared" si="23"/>
        <v>3454.9562686379163</v>
      </c>
      <c r="AA30" s="88">
        <v>400</v>
      </c>
      <c r="AB30" s="89">
        <f>AA30*GDPdeflator!$C$25/$AI$18*10^3</f>
        <v>38.459799414932235</v>
      </c>
      <c r="AC30" s="90" t="e">
        <f>INDEX(Efficiencies!$D$8:$M$89,MATCH(C30,Efficiencies!$C$8:$C$89),MATCH(D30,Efficiencies!$D$7:$M$7))</f>
        <v>#REF!</v>
      </c>
      <c r="AD30" s="90" t="e">
        <f t="shared" si="10"/>
        <v>#REF!</v>
      </c>
      <c r="AE30" s="90" t="e">
        <f>INDEX(Efficiencies!$P$8:$Y$89,MATCH(C30,Efficiencies!$C$8:$C$89),MATCH(D30,Efficiencies!$P$7:$Y$7))</f>
        <v>#REF!</v>
      </c>
      <c r="AF30" s="90" t="e">
        <f t="shared" si="24"/>
        <v>#REF!</v>
      </c>
      <c r="AG30" s="90">
        <v>0</v>
      </c>
      <c r="AI30" s="93"/>
    </row>
    <row r="31" spans="1:36" x14ac:dyDescent="0.2">
      <c r="A31" s="92" t="s">
        <v>830</v>
      </c>
      <c r="B31" s="248" t="s">
        <v>831</v>
      </c>
      <c r="C31" s="40" t="s">
        <v>809</v>
      </c>
      <c r="D31" s="40">
        <v>2045</v>
      </c>
      <c r="E31" s="86">
        <f>GDPdeflator!$C$32*INDEX(Costs!$E$7:$O$89,MATCH($C31,Costs!$C$7:$C$89,0),MATCH(E$7,Costs!$E$6:$O$6,0))</f>
        <v>37.866899157221738</v>
      </c>
      <c r="F31" s="86">
        <f>GDPdeflator!$C$36*INDEX(Costs!$E$7:$O$89,MATCH($C31,Costs!$C$7:$C$89,0),MATCH(F$7,Costs!$E$6:$O$6,0))</f>
        <v>38.74222902964231</v>
      </c>
      <c r="G31" s="86">
        <f>GDPdeflator!$C$38*INDEX(Costs!$E$7:$O$89,MATCH($C31,Costs!$C$7:$C$89,0),MATCH(G$7,Costs!$E$6:$O$6,0))</f>
        <v>39.502811279785149</v>
      </c>
      <c r="H31" s="86">
        <f>GDPdeflator!$C$38*INDEX(Costs!$E$7:$O$89,MATCH($C31,Costs!$C$7:$C$89,0),MATCH(H$7,Costs!$E$6:$O$6,0))</f>
        <v>40.081029408963637</v>
      </c>
      <c r="I31" s="86">
        <f>GDPdeflator!$C$38*INDEX(Costs!$E$7:$O$89,MATCH($C31,Costs!$C$7:$C$89,0),MATCH(I$7,Costs!$E$6:$O$6,0))</f>
        <v>41.360117997752425</v>
      </c>
      <c r="J31" s="86">
        <f>GDPdeflator!$C$38*INDEX(Costs!$E$7:$O$89,MATCH($C31,Costs!$C$7:$C$89,0),MATCH(J$7,Costs!$E$6:$O$6,0))</f>
        <v>41.386400639987812</v>
      </c>
      <c r="K31" s="86">
        <f>GDPdeflator!$C$38*INDEX(Costs!$E$7:$O$89,MATCH($C31,Costs!$C$7:$C$89,0),MATCH(K$7,Costs!$E$6:$O$6,0))</f>
        <v>41.395161520732941</v>
      </c>
      <c r="L31" s="86">
        <f>GDPdeflator!$C$38*INDEX(Costs!$E$7:$O$89,MATCH($C31,Costs!$C$7:$C$89,0),MATCH(L$7,Costs!$E$6:$O$6,0))</f>
        <v>41.377639759242676</v>
      </c>
      <c r="M31" s="86">
        <f>GDPdeflator!$C$38*INDEX(Costs!$E$7:$O$89,MATCH($C31,Costs!$C$7:$C$89,0),MATCH(M$7,Costs!$E$6:$O$6,0))</f>
        <v>41.377639759242676</v>
      </c>
      <c r="N31" s="86">
        <f>GDPdeflator!$C$38*INDEX(Costs!$E$7:$O$89,MATCH($C31,Costs!$C$7:$C$89,0),MATCH(N$7,Costs!$E$6:$O$6,0))</f>
        <v>41.377639759242676</v>
      </c>
      <c r="O31" s="86">
        <f>GDPdeflator!$C$38*INDEX(Costs!$E$7:$O$89,MATCH($C31,Costs!$C$7:$C$89,0),MATCH(O$7,Costs!$E$6:$O$6,0))</f>
        <v>41.377639759242676</v>
      </c>
      <c r="P31" s="87">
        <f t="shared" si="13"/>
        <v>3161.8159319466604</v>
      </c>
      <c r="Q31" s="87">
        <f t="shared" si="14"/>
        <v>3234.9043547625115</v>
      </c>
      <c r="R31" s="87">
        <f t="shared" si="15"/>
        <v>3298.411563685871</v>
      </c>
      <c r="S31" s="87">
        <f t="shared" si="16"/>
        <v>3346.6917063346323</v>
      </c>
      <c r="T31" s="87">
        <f t="shared" si="17"/>
        <v>3453.4932340121968</v>
      </c>
      <c r="U31" s="87">
        <f t="shared" si="18"/>
        <v>3455.6877859507767</v>
      </c>
      <c r="V31" s="87">
        <f t="shared" si="19"/>
        <v>3456.4193032636367</v>
      </c>
      <c r="W31" s="87">
        <f t="shared" si="20"/>
        <v>3454.9562686379163</v>
      </c>
      <c r="X31" s="87">
        <f t="shared" si="21"/>
        <v>3454.9562686379163</v>
      </c>
      <c r="Y31" s="87">
        <f t="shared" si="22"/>
        <v>3454.9562686379163</v>
      </c>
      <c r="Z31" s="87">
        <f t="shared" si="23"/>
        <v>3454.9562686379163</v>
      </c>
      <c r="AA31" s="88">
        <v>400</v>
      </c>
      <c r="AB31" s="89">
        <f>AA31*GDPdeflator!$C$25/$AI$18*10^3</f>
        <v>38.459799414932235</v>
      </c>
      <c r="AC31" s="90" t="e">
        <f>INDEX(Efficiencies!$D$8:$M$89,MATCH(C31,Efficiencies!$C$8:$C$89),MATCH(D31,Efficiencies!$D$7:$M$7))</f>
        <v>#REF!</v>
      </c>
      <c r="AD31" s="90" t="e">
        <f t="shared" si="10"/>
        <v>#REF!</v>
      </c>
      <c r="AE31" s="90" t="e">
        <f>INDEX(Efficiencies!$P$8:$Y$89,MATCH(C31,Efficiencies!$C$8:$C$89),MATCH(D31,Efficiencies!$P$7:$Y$7))</f>
        <v>#REF!</v>
      </c>
      <c r="AF31" s="90" t="e">
        <f t="shared" si="24"/>
        <v>#REF!</v>
      </c>
      <c r="AG31" s="90">
        <v>0</v>
      </c>
      <c r="AI31" s="93"/>
    </row>
    <row r="32" spans="1:36" x14ac:dyDescent="0.2">
      <c r="A32" s="92" t="s">
        <v>832</v>
      </c>
      <c r="B32" s="248" t="s">
        <v>833</v>
      </c>
      <c r="C32" s="40" t="s">
        <v>809</v>
      </c>
      <c r="D32" s="40">
        <v>2050</v>
      </c>
      <c r="E32" s="86">
        <f>GDPdeflator!$C$32*INDEX(Costs!$E$7:$O$89,MATCH($C32,Costs!$C$7:$C$89,0),MATCH(E$7,Costs!$E$6:$O$6,0))</f>
        <v>37.866899157221738</v>
      </c>
      <c r="F32" s="86">
        <f>GDPdeflator!$C$36*INDEX(Costs!$E$7:$O$89,MATCH($C32,Costs!$C$7:$C$89,0),MATCH(F$7,Costs!$E$6:$O$6,0))</f>
        <v>38.74222902964231</v>
      </c>
      <c r="G32" s="86">
        <f>GDPdeflator!$C$38*INDEX(Costs!$E$7:$O$89,MATCH($C32,Costs!$C$7:$C$89,0),MATCH(G$7,Costs!$E$6:$O$6,0))</f>
        <v>39.502811279785149</v>
      </c>
      <c r="H32" s="86">
        <f>GDPdeflator!$C$38*INDEX(Costs!$E$7:$O$89,MATCH($C32,Costs!$C$7:$C$89,0),MATCH(H$7,Costs!$E$6:$O$6,0))</f>
        <v>40.081029408963637</v>
      </c>
      <c r="I32" s="86">
        <f>GDPdeflator!$C$38*INDEX(Costs!$E$7:$O$89,MATCH($C32,Costs!$C$7:$C$89,0),MATCH(I$7,Costs!$E$6:$O$6,0))</f>
        <v>41.360117997752425</v>
      </c>
      <c r="J32" s="86">
        <f>GDPdeflator!$C$38*INDEX(Costs!$E$7:$O$89,MATCH($C32,Costs!$C$7:$C$89,0),MATCH(J$7,Costs!$E$6:$O$6,0))</f>
        <v>41.386400639987812</v>
      </c>
      <c r="K32" s="86">
        <f>GDPdeflator!$C$38*INDEX(Costs!$E$7:$O$89,MATCH($C32,Costs!$C$7:$C$89,0),MATCH(K$7,Costs!$E$6:$O$6,0))</f>
        <v>41.395161520732941</v>
      </c>
      <c r="L32" s="86">
        <f>GDPdeflator!$C$38*INDEX(Costs!$E$7:$O$89,MATCH($C32,Costs!$C$7:$C$89,0),MATCH(L$7,Costs!$E$6:$O$6,0))</f>
        <v>41.377639759242676</v>
      </c>
      <c r="M32" s="86">
        <f>GDPdeflator!$C$38*INDEX(Costs!$E$7:$O$89,MATCH($C32,Costs!$C$7:$C$89,0),MATCH(M$7,Costs!$E$6:$O$6,0))</f>
        <v>41.377639759242676</v>
      </c>
      <c r="N32" s="86">
        <f>GDPdeflator!$C$38*INDEX(Costs!$E$7:$O$89,MATCH($C32,Costs!$C$7:$C$89,0),MATCH(N$7,Costs!$E$6:$O$6,0))</f>
        <v>41.377639759242676</v>
      </c>
      <c r="O32" s="86">
        <f>GDPdeflator!$C$38*INDEX(Costs!$E$7:$O$89,MATCH($C32,Costs!$C$7:$C$89,0),MATCH(O$7,Costs!$E$6:$O$6,0))</f>
        <v>41.377639759242676</v>
      </c>
      <c r="P32" s="87">
        <f t="shared" si="13"/>
        <v>3161.8159319466604</v>
      </c>
      <c r="Q32" s="87">
        <f t="shared" si="14"/>
        <v>3234.9043547625115</v>
      </c>
      <c r="R32" s="87">
        <f t="shared" si="15"/>
        <v>3298.411563685871</v>
      </c>
      <c r="S32" s="87">
        <f t="shared" si="16"/>
        <v>3346.6917063346323</v>
      </c>
      <c r="T32" s="87">
        <f t="shared" si="17"/>
        <v>3453.4932340121968</v>
      </c>
      <c r="U32" s="87">
        <f t="shared" si="18"/>
        <v>3455.6877859507767</v>
      </c>
      <c r="V32" s="87">
        <f t="shared" si="19"/>
        <v>3456.4193032636367</v>
      </c>
      <c r="W32" s="87">
        <f t="shared" si="20"/>
        <v>3454.9562686379163</v>
      </c>
      <c r="X32" s="87">
        <f t="shared" si="21"/>
        <v>3454.9562686379163</v>
      </c>
      <c r="Y32" s="87">
        <f t="shared" si="22"/>
        <v>3454.9562686379163</v>
      </c>
      <c r="Z32" s="87">
        <f t="shared" si="23"/>
        <v>3454.9562686379163</v>
      </c>
      <c r="AA32" s="88">
        <v>400</v>
      </c>
      <c r="AB32" s="89">
        <f>AA32*GDPdeflator!$C$25/$AI$18*10^3</f>
        <v>38.459799414932235</v>
      </c>
      <c r="AC32" s="90" t="e">
        <f>INDEX(Efficiencies!$D$8:$M$89,MATCH(C32,Efficiencies!$C$8:$C$89),MATCH(D32,Efficiencies!$D$7:$M$7))</f>
        <v>#REF!</v>
      </c>
      <c r="AD32" s="90" t="e">
        <f t="shared" si="10"/>
        <v>#REF!</v>
      </c>
      <c r="AE32" s="90" t="e">
        <f>INDEX(Efficiencies!$P$8:$Y$89,MATCH(C32,Efficiencies!$C$8:$C$89),MATCH(D32,Efficiencies!$P$7:$Y$7))</f>
        <v>#REF!</v>
      </c>
      <c r="AF32" s="90" t="e">
        <f t="shared" si="24"/>
        <v>#REF!</v>
      </c>
      <c r="AG32" s="90">
        <v>0</v>
      </c>
      <c r="AI32" s="93"/>
    </row>
    <row r="33" spans="1:35" x14ac:dyDescent="0.2">
      <c r="A33" s="92" t="s">
        <v>834</v>
      </c>
      <c r="B33" s="248" t="s">
        <v>835</v>
      </c>
      <c r="C33" s="40" t="s">
        <v>836</v>
      </c>
      <c r="D33" s="40">
        <v>2010</v>
      </c>
      <c r="E33" s="86">
        <f>GDPdeflator!$C$32*INDEX(Costs!$E$7:$O$89,MATCH($C33,Costs!$C$7:$C$89,0),MATCH(E$7,Costs!$E$6:$O$6,0))</f>
        <v>49.743291678775549</v>
      </c>
      <c r="F33" s="86">
        <f>GDPdeflator!$C$36*INDEX(Costs!$E$7:$O$89,MATCH($C33,Costs!$C$7:$C$89,0),MATCH(F$7,Costs!$E$6:$O$6,0))</f>
        <v>46.265429317956574</v>
      </c>
      <c r="G33" s="86">
        <f>GDPdeflator!$C$38*INDEX(Costs!$E$7:$O$89,MATCH($C33,Costs!$C$7:$C$89,0),MATCH(G$7,Costs!$E$6:$O$6,0))</f>
        <v>44.987122626235688</v>
      </c>
      <c r="H33" s="86">
        <f>GDPdeflator!$C$38*INDEX(Costs!$E$7:$O$89,MATCH($C33,Costs!$C$7:$C$89,0),MATCH(H$7,Costs!$E$6:$O$6,0))</f>
        <v>44.987122626235688</v>
      </c>
      <c r="I33" s="86">
        <f>GDPdeflator!$C$38*INDEX(Costs!$E$7:$O$89,MATCH($C33,Costs!$C$7:$C$89,0),MATCH(I$7,Costs!$E$6:$O$6,0))</f>
        <v>44.987122626235688</v>
      </c>
      <c r="J33" s="86">
        <f>GDPdeflator!$C$38*INDEX(Costs!$E$7:$O$89,MATCH($C33,Costs!$C$7:$C$89,0),MATCH(J$7,Costs!$E$6:$O$6,0))</f>
        <v>44.987122626235688</v>
      </c>
      <c r="K33" s="86">
        <f>GDPdeflator!$C$38*INDEX(Costs!$E$7:$O$89,MATCH($C33,Costs!$C$7:$C$89,0),MATCH(K$7,Costs!$E$6:$O$6,0))</f>
        <v>44.987122626235688</v>
      </c>
      <c r="L33" s="86">
        <f>GDPdeflator!$C$38*INDEX(Costs!$E$7:$O$89,MATCH($C33,Costs!$C$7:$C$89,0),MATCH(L$7,Costs!$E$6:$O$6,0))</f>
        <v>44.987122626235688</v>
      </c>
      <c r="M33" s="86">
        <f>GDPdeflator!$C$38*INDEX(Costs!$E$7:$O$89,MATCH($C33,Costs!$C$7:$C$89,0),MATCH(M$7,Costs!$E$6:$O$6,0))</f>
        <v>44.987122626235688</v>
      </c>
      <c r="N33" s="86">
        <f>GDPdeflator!$C$38*INDEX(Costs!$E$7:$O$89,MATCH($C33,Costs!$C$7:$C$89,0),MATCH(N$7,Costs!$E$6:$O$6,0))</f>
        <v>44.987122626235688</v>
      </c>
      <c r="O33" s="86">
        <f>GDPdeflator!$C$38*INDEX(Costs!$E$7:$O$89,MATCH($C33,Costs!$C$7:$C$89,0),MATCH(O$7,Costs!$E$6:$O$6,0))</f>
        <v>44.987122626235688</v>
      </c>
      <c r="P33" s="87">
        <f>E33/$AI$18*10^6</f>
        <v>4153.4727067142749</v>
      </c>
      <c r="Q33" s="87">
        <f t="shared" si="14"/>
        <v>3863.0776422570921</v>
      </c>
      <c r="R33" s="87">
        <f t="shared" si="15"/>
        <v>3756.3414015362487</v>
      </c>
      <c r="S33" s="87">
        <f t="shared" si="16"/>
        <v>3756.3414015362487</v>
      </c>
      <c r="T33" s="87">
        <f t="shared" si="17"/>
        <v>3756.3414015362487</v>
      </c>
      <c r="U33" s="87">
        <f t="shared" si="18"/>
        <v>3756.3414015362487</v>
      </c>
      <c r="V33" s="87">
        <f t="shared" si="19"/>
        <v>3756.3414015362487</v>
      </c>
      <c r="W33" s="87">
        <f t="shared" si="20"/>
        <v>3756.3414015362487</v>
      </c>
      <c r="X33" s="87">
        <f t="shared" si="21"/>
        <v>3756.3414015362487</v>
      </c>
      <c r="Y33" s="87">
        <f t="shared" si="22"/>
        <v>3756.3414015362487</v>
      </c>
      <c r="Z33" s="87">
        <f t="shared" si="23"/>
        <v>3756.3414015362487</v>
      </c>
      <c r="AA33" s="88">
        <v>420</v>
      </c>
      <c r="AB33" s="89">
        <f>AA33*GDPdeflator!$C$25/$AI$18*10^3</f>
        <v>40.382789385678855</v>
      </c>
      <c r="AC33" s="90" t="e">
        <f>INDEX(Efficiencies!$D$8:$M$89,MATCH(C33,Efficiencies!$C$8:$C$89),MATCH(D33,Efficiencies!$D$7:$M$7))</f>
        <v>#REF!</v>
      </c>
      <c r="AD33" s="90" t="e">
        <f t="shared" si="10"/>
        <v>#REF!</v>
      </c>
      <c r="AE33" s="90" t="e">
        <f>INDEX(Efficiencies!$P$8:$Y$89,MATCH(C33,Efficiencies!$C$8:$C$89),MATCH(D33,Efficiencies!$P$7:$Y$7))</f>
        <v>#REF!</v>
      </c>
      <c r="AF33" s="90" t="e">
        <f t="shared" si="24"/>
        <v>#REF!</v>
      </c>
      <c r="AG33" s="90">
        <v>0</v>
      </c>
    </row>
    <row r="34" spans="1:35" x14ac:dyDescent="0.2">
      <c r="A34" s="92" t="s">
        <v>837</v>
      </c>
      <c r="B34" s="248" t="s">
        <v>838</v>
      </c>
      <c r="C34" s="40" t="s">
        <v>836</v>
      </c>
      <c r="D34" s="40">
        <v>2015</v>
      </c>
      <c r="E34" s="86">
        <f>GDPdeflator!$C$32*INDEX(Costs!$E$7:$O$89,MATCH($C34,Costs!$C$7:$C$89,0),MATCH(E$7,Costs!$E$6:$O$6,0))</f>
        <v>49.743291678775549</v>
      </c>
      <c r="F34" s="86">
        <f>GDPdeflator!$C$36*INDEX(Costs!$E$7:$O$89,MATCH($C34,Costs!$C$7:$C$89,0),MATCH(F$7,Costs!$E$6:$O$6,0))</f>
        <v>46.265429317956574</v>
      </c>
      <c r="G34" s="86">
        <f>GDPdeflator!$C$38*INDEX(Costs!$E$7:$O$89,MATCH($C34,Costs!$C$7:$C$89,0),MATCH(G$7,Costs!$E$6:$O$6,0))</f>
        <v>44.987122626235688</v>
      </c>
      <c r="H34" s="86">
        <f>GDPdeflator!$C$38*INDEX(Costs!$E$7:$O$89,MATCH($C34,Costs!$C$7:$C$89,0),MATCH(H$7,Costs!$E$6:$O$6,0))</f>
        <v>44.987122626235688</v>
      </c>
      <c r="I34" s="86">
        <f>GDPdeflator!$C$38*INDEX(Costs!$E$7:$O$89,MATCH($C34,Costs!$C$7:$C$89,0),MATCH(I$7,Costs!$E$6:$O$6,0))</f>
        <v>44.987122626235688</v>
      </c>
      <c r="J34" s="86">
        <f>GDPdeflator!$C$38*INDEX(Costs!$E$7:$O$89,MATCH($C34,Costs!$C$7:$C$89,0),MATCH(J$7,Costs!$E$6:$O$6,0))</f>
        <v>44.987122626235688</v>
      </c>
      <c r="K34" s="86">
        <f>GDPdeflator!$C$38*INDEX(Costs!$E$7:$O$89,MATCH($C34,Costs!$C$7:$C$89,0),MATCH(K$7,Costs!$E$6:$O$6,0))</f>
        <v>44.987122626235688</v>
      </c>
      <c r="L34" s="86">
        <f>GDPdeflator!$C$38*INDEX(Costs!$E$7:$O$89,MATCH($C34,Costs!$C$7:$C$89,0),MATCH(L$7,Costs!$E$6:$O$6,0))</f>
        <v>44.987122626235688</v>
      </c>
      <c r="M34" s="86">
        <f>GDPdeflator!$C$38*INDEX(Costs!$E$7:$O$89,MATCH($C34,Costs!$C$7:$C$89,0),MATCH(M$7,Costs!$E$6:$O$6,0))</f>
        <v>44.987122626235688</v>
      </c>
      <c r="N34" s="86">
        <f>GDPdeflator!$C$38*INDEX(Costs!$E$7:$O$89,MATCH($C34,Costs!$C$7:$C$89,0),MATCH(N$7,Costs!$E$6:$O$6,0))</f>
        <v>44.987122626235688</v>
      </c>
      <c r="O34" s="86">
        <f>GDPdeflator!$C$38*INDEX(Costs!$E$7:$O$89,MATCH($C34,Costs!$C$7:$C$89,0),MATCH(O$7,Costs!$E$6:$O$6,0))</f>
        <v>44.987122626235688</v>
      </c>
      <c r="P34" s="87">
        <f t="shared" ref="P34:P41" si="25">E34/$AI$18*10^6</f>
        <v>4153.4727067142749</v>
      </c>
      <c r="Q34" s="87">
        <f t="shared" si="14"/>
        <v>3863.0776422570921</v>
      </c>
      <c r="R34" s="87">
        <f t="shared" si="15"/>
        <v>3756.3414015362487</v>
      </c>
      <c r="S34" s="87">
        <f t="shared" si="16"/>
        <v>3756.3414015362487</v>
      </c>
      <c r="T34" s="87">
        <f t="shared" si="17"/>
        <v>3756.3414015362487</v>
      </c>
      <c r="U34" s="87">
        <f t="shared" si="18"/>
        <v>3756.3414015362487</v>
      </c>
      <c r="V34" s="87">
        <f t="shared" si="19"/>
        <v>3756.3414015362487</v>
      </c>
      <c r="W34" s="87">
        <f t="shared" si="20"/>
        <v>3756.3414015362487</v>
      </c>
      <c r="X34" s="87">
        <f t="shared" si="21"/>
        <v>3756.3414015362487</v>
      </c>
      <c r="Y34" s="87">
        <f t="shared" si="22"/>
        <v>3756.3414015362487</v>
      </c>
      <c r="Z34" s="87">
        <f t="shared" si="23"/>
        <v>3756.3414015362487</v>
      </c>
      <c r="AA34" s="88">
        <v>420</v>
      </c>
      <c r="AB34" s="89">
        <f>AA34*GDPdeflator!$C$25/$AI$18*10^3</f>
        <v>40.382789385678855</v>
      </c>
      <c r="AC34" s="90" t="e">
        <f>INDEX(Efficiencies!$D$8:$M$89,MATCH(C34,Efficiencies!$C$8:$C$89),MATCH(D34,Efficiencies!$D$7:$M$7))</f>
        <v>#REF!</v>
      </c>
      <c r="AD34" s="90" t="e">
        <f t="shared" si="10"/>
        <v>#REF!</v>
      </c>
      <c r="AE34" s="90" t="e">
        <f>INDEX(Efficiencies!$P$8:$Y$89,MATCH(C34,Efficiencies!$C$8:$C$89),MATCH(D34,Efficiencies!$P$7:$Y$7))</f>
        <v>#REF!</v>
      </c>
      <c r="AF34" s="90" t="e">
        <f t="shared" si="24"/>
        <v>#REF!</v>
      </c>
      <c r="AG34" s="90">
        <v>0</v>
      </c>
    </row>
    <row r="35" spans="1:35" x14ac:dyDescent="0.2">
      <c r="A35" s="92" t="s">
        <v>839</v>
      </c>
      <c r="B35" s="248" t="s">
        <v>840</v>
      </c>
      <c r="C35" s="40" t="s">
        <v>836</v>
      </c>
      <c r="D35" s="40">
        <v>2020</v>
      </c>
      <c r="E35" s="86">
        <f>GDPdeflator!$C$32*INDEX(Costs!$E$7:$O$89,MATCH($C35,Costs!$C$7:$C$89,0),MATCH(E$7,Costs!$E$6:$O$6,0))</f>
        <v>49.743291678775549</v>
      </c>
      <c r="F35" s="86">
        <f>GDPdeflator!$C$36*INDEX(Costs!$E$7:$O$89,MATCH($C35,Costs!$C$7:$C$89,0),MATCH(F$7,Costs!$E$6:$O$6,0))</f>
        <v>46.265429317956574</v>
      </c>
      <c r="G35" s="86">
        <f>GDPdeflator!$C$38*INDEX(Costs!$E$7:$O$89,MATCH($C35,Costs!$C$7:$C$89,0),MATCH(G$7,Costs!$E$6:$O$6,0))</f>
        <v>44.987122626235688</v>
      </c>
      <c r="H35" s="86">
        <f>GDPdeflator!$C$38*INDEX(Costs!$E$7:$O$89,MATCH($C35,Costs!$C$7:$C$89,0),MATCH(H$7,Costs!$E$6:$O$6,0))</f>
        <v>44.987122626235688</v>
      </c>
      <c r="I35" s="86">
        <f>GDPdeflator!$C$38*INDEX(Costs!$E$7:$O$89,MATCH($C35,Costs!$C$7:$C$89,0),MATCH(I$7,Costs!$E$6:$O$6,0))</f>
        <v>44.987122626235688</v>
      </c>
      <c r="J35" s="86">
        <f>GDPdeflator!$C$38*INDEX(Costs!$E$7:$O$89,MATCH($C35,Costs!$C$7:$C$89,0),MATCH(J$7,Costs!$E$6:$O$6,0))</f>
        <v>44.987122626235688</v>
      </c>
      <c r="K35" s="86">
        <f>GDPdeflator!$C$38*INDEX(Costs!$E$7:$O$89,MATCH($C35,Costs!$C$7:$C$89,0),MATCH(K$7,Costs!$E$6:$O$6,0))</f>
        <v>44.987122626235688</v>
      </c>
      <c r="L35" s="86">
        <f>GDPdeflator!$C$38*INDEX(Costs!$E$7:$O$89,MATCH($C35,Costs!$C$7:$C$89,0),MATCH(L$7,Costs!$E$6:$O$6,0))</f>
        <v>44.987122626235688</v>
      </c>
      <c r="M35" s="86">
        <f>GDPdeflator!$C$38*INDEX(Costs!$E$7:$O$89,MATCH($C35,Costs!$C$7:$C$89,0),MATCH(M$7,Costs!$E$6:$O$6,0))</f>
        <v>44.987122626235688</v>
      </c>
      <c r="N35" s="86">
        <f>GDPdeflator!$C$38*INDEX(Costs!$E$7:$O$89,MATCH($C35,Costs!$C$7:$C$89,0),MATCH(N$7,Costs!$E$6:$O$6,0))</f>
        <v>44.987122626235688</v>
      </c>
      <c r="O35" s="86">
        <f>GDPdeflator!$C$38*INDEX(Costs!$E$7:$O$89,MATCH($C35,Costs!$C$7:$C$89,0),MATCH(O$7,Costs!$E$6:$O$6,0))</f>
        <v>44.987122626235688</v>
      </c>
      <c r="P35" s="87">
        <f t="shared" si="25"/>
        <v>4153.4727067142749</v>
      </c>
      <c r="Q35" s="87">
        <f t="shared" si="14"/>
        <v>3863.0776422570921</v>
      </c>
      <c r="R35" s="87">
        <f t="shared" si="15"/>
        <v>3756.3414015362487</v>
      </c>
      <c r="S35" s="87">
        <f t="shared" si="16"/>
        <v>3756.3414015362487</v>
      </c>
      <c r="T35" s="87">
        <f t="shared" si="17"/>
        <v>3756.3414015362487</v>
      </c>
      <c r="U35" s="87">
        <f t="shared" si="18"/>
        <v>3756.3414015362487</v>
      </c>
      <c r="V35" s="87">
        <f t="shared" si="19"/>
        <v>3756.3414015362487</v>
      </c>
      <c r="W35" s="87">
        <f t="shared" si="20"/>
        <v>3756.3414015362487</v>
      </c>
      <c r="X35" s="87">
        <f t="shared" si="21"/>
        <v>3756.3414015362487</v>
      </c>
      <c r="Y35" s="87">
        <f t="shared" si="22"/>
        <v>3756.3414015362487</v>
      </c>
      <c r="Z35" s="87">
        <f t="shared" si="23"/>
        <v>3756.3414015362487</v>
      </c>
      <c r="AA35" s="88">
        <v>420</v>
      </c>
      <c r="AB35" s="89">
        <f>AA35*GDPdeflator!$C$25/$AI$18*10^3</f>
        <v>40.382789385678855</v>
      </c>
      <c r="AC35" s="90" t="e">
        <f>INDEX(Efficiencies!$D$8:$M$89,MATCH(C35,Efficiencies!$C$8:$C$89),MATCH(D35,Efficiencies!$D$7:$M$7))</f>
        <v>#REF!</v>
      </c>
      <c r="AD35" s="90" t="e">
        <f t="shared" si="10"/>
        <v>#REF!</v>
      </c>
      <c r="AE35" s="90" t="e">
        <f>INDEX(Efficiencies!$P$8:$Y$89,MATCH(C35,Efficiencies!$C$8:$C$89),MATCH(D35,Efficiencies!$P$7:$Y$7))</f>
        <v>#REF!</v>
      </c>
      <c r="AF35" s="90" t="e">
        <f t="shared" si="24"/>
        <v>#REF!</v>
      </c>
      <c r="AG35" s="90">
        <v>0</v>
      </c>
    </row>
    <row r="36" spans="1:35" x14ac:dyDescent="0.2">
      <c r="A36" s="92" t="s">
        <v>841</v>
      </c>
      <c r="B36" s="248" t="s">
        <v>842</v>
      </c>
      <c r="C36" s="40" t="s">
        <v>836</v>
      </c>
      <c r="D36" s="40">
        <v>2025</v>
      </c>
      <c r="E36" s="86">
        <f>GDPdeflator!$C$32*INDEX(Costs!$E$7:$O$89,MATCH($C36,Costs!$C$7:$C$89,0),MATCH(E$7,Costs!$E$6:$O$6,0))</f>
        <v>49.743291678775549</v>
      </c>
      <c r="F36" s="86">
        <f>GDPdeflator!$C$36*INDEX(Costs!$E$7:$O$89,MATCH($C36,Costs!$C$7:$C$89,0),MATCH(F$7,Costs!$E$6:$O$6,0))</f>
        <v>46.265429317956574</v>
      </c>
      <c r="G36" s="86">
        <f>GDPdeflator!$C$38*INDEX(Costs!$E$7:$O$89,MATCH($C36,Costs!$C$7:$C$89,0),MATCH(G$7,Costs!$E$6:$O$6,0))</f>
        <v>44.987122626235688</v>
      </c>
      <c r="H36" s="86">
        <f>GDPdeflator!$C$38*INDEX(Costs!$E$7:$O$89,MATCH($C36,Costs!$C$7:$C$89,0),MATCH(H$7,Costs!$E$6:$O$6,0))</f>
        <v>44.987122626235688</v>
      </c>
      <c r="I36" s="86">
        <f>GDPdeflator!$C$38*INDEX(Costs!$E$7:$O$89,MATCH($C36,Costs!$C$7:$C$89,0),MATCH(I$7,Costs!$E$6:$O$6,0))</f>
        <v>44.987122626235688</v>
      </c>
      <c r="J36" s="86">
        <f>GDPdeflator!$C$38*INDEX(Costs!$E$7:$O$89,MATCH($C36,Costs!$C$7:$C$89,0),MATCH(J$7,Costs!$E$6:$O$6,0))</f>
        <v>44.987122626235688</v>
      </c>
      <c r="K36" s="86">
        <f>GDPdeflator!$C$38*INDEX(Costs!$E$7:$O$89,MATCH($C36,Costs!$C$7:$C$89,0),MATCH(K$7,Costs!$E$6:$O$6,0))</f>
        <v>44.987122626235688</v>
      </c>
      <c r="L36" s="86">
        <f>GDPdeflator!$C$38*INDEX(Costs!$E$7:$O$89,MATCH($C36,Costs!$C$7:$C$89,0),MATCH(L$7,Costs!$E$6:$O$6,0))</f>
        <v>44.987122626235688</v>
      </c>
      <c r="M36" s="86">
        <f>GDPdeflator!$C$38*INDEX(Costs!$E$7:$O$89,MATCH($C36,Costs!$C$7:$C$89,0),MATCH(M$7,Costs!$E$6:$O$6,0))</f>
        <v>44.987122626235688</v>
      </c>
      <c r="N36" s="86">
        <f>GDPdeflator!$C$38*INDEX(Costs!$E$7:$O$89,MATCH($C36,Costs!$C$7:$C$89,0),MATCH(N$7,Costs!$E$6:$O$6,0))</f>
        <v>44.987122626235688</v>
      </c>
      <c r="O36" s="86">
        <f>GDPdeflator!$C$38*INDEX(Costs!$E$7:$O$89,MATCH($C36,Costs!$C$7:$C$89,0),MATCH(O$7,Costs!$E$6:$O$6,0))</f>
        <v>44.987122626235688</v>
      </c>
      <c r="P36" s="87">
        <f t="shared" si="25"/>
        <v>4153.4727067142749</v>
      </c>
      <c r="Q36" s="87">
        <f t="shared" si="14"/>
        <v>3863.0776422570921</v>
      </c>
      <c r="R36" s="87">
        <f t="shared" si="15"/>
        <v>3756.3414015362487</v>
      </c>
      <c r="S36" s="87">
        <f t="shared" si="16"/>
        <v>3756.3414015362487</v>
      </c>
      <c r="T36" s="87">
        <f t="shared" si="17"/>
        <v>3756.3414015362487</v>
      </c>
      <c r="U36" s="87">
        <f t="shared" si="18"/>
        <v>3756.3414015362487</v>
      </c>
      <c r="V36" s="87">
        <f t="shared" si="19"/>
        <v>3756.3414015362487</v>
      </c>
      <c r="W36" s="87">
        <f t="shared" si="20"/>
        <v>3756.3414015362487</v>
      </c>
      <c r="X36" s="87">
        <f t="shared" si="21"/>
        <v>3756.3414015362487</v>
      </c>
      <c r="Y36" s="87">
        <f t="shared" si="22"/>
        <v>3756.3414015362487</v>
      </c>
      <c r="Z36" s="87">
        <f t="shared" si="23"/>
        <v>3756.3414015362487</v>
      </c>
      <c r="AA36" s="88">
        <v>420</v>
      </c>
      <c r="AB36" s="89">
        <f>AA36*GDPdeflator!$C$25/$AI$18*10^3</f>
        <v>40.382789385678855</v>
      </c>
      <c r="AC36" s="90" t="e">
        <f>INDEX(Efficiencies!$D$8:$M$89,MATCH(C36,Efficiencies!$C$8:$C$89),MATCH(D36,Efficiencies!$D$7:$M$7))</f>
        <v>#REF!</v>
      </c>
      <c r="AD36" s="90" t="e">
        <f t="shared" si="10"/>
        <v>#REF!</v>
      </c>
      <c r="AE36" s="90" t="e">
        <f>INDEX(Efficiencies!$P$8:$Y$89,MATCH(C36,Efficiencies!$C$8:$C$89),MATCH(D36,Efficiencies!$P$7:$Y$7))</f>
        <v>#REF!</v>
      </c>
      <c r="AF36" s="90" t="e">
        <f t="shared" si="24"/>
        <v>#REF!</v>
      </c>
      <c r="AG36" s="90">
        <v>0</v>
      </c>
    </row>
    <row r="37" spans="1:35" x14ac:dyDescent="0.2">
      <c r="A37" s="92" t="s">
        <v>843</v>
      </c>
      <c r="B37" s="248" t="s">
        <v>844</v>
      </c>
      <c r="C37" s="40" t="s">
        <v>836</v>
      </c>
      <c r="D37" s="40">
        <v>2030</v>
      </c>
      <c r="E37" s="86">
        <f>GDPdeflator!$C$32*INDEX(Costs!$E$7:$O$89,MATCH($C37,Costs!$C$7:$C$89,0),MATCH(E$7,Costs!$E$6:$O$6,0))</f>
        <v>49.743291678775549</v>
      </c>
      <c r="F37" s="86">
        <f>GDPdeflator!$C$36*INDEX(Costs!$E$7:$O$89,MATCH($C37,Costs!$C$7:$C$89,0),MATCH(F$7,Costs!$E$6:$O$6,0))</f>
        <v>46.265429317956574</v>
      </c>
      <c r="G37" s="86">
        <f>GDPdeflator!$C$38*INDEX(Costs!$E$7:$O$89,MATCH($C37,Costs!$C$7:$C$89,0),MATCH(G$7,Costs!$E$6:$O$6,0))</f>
        <v>44.987122626235688</v>
      </c>
      <c r="H37" s="86">
        <f>GDPdeflator!$C$38*INDEX(Costs!$E$7:$O$89,MATCH($C37,Costs!$C$7:$C$89,0),MATCH(H$7,Costs!$E$6:$O$6,0))</f>
        <v>44.987122626235688</v>
      </c>
      <c r="I37" s="86">
        <f>GDPdeflator!$C$38*INDEX(Costs!$E$7:$O$89,MATCH($C37,Costs!$C$7:$C$89,0),MATCH(I$7,Costs!$E$6:$O$6,0))</f>
        <v>44.987122626235688</v>
      </c>
      <c r="J37" s="86">
        <f>GDPdeflator!$C$38*INDEX(Costs!$E$7:$O$89,MATCH($C37,Costs!$C$7:$C$89,0),MATCH(J$7,Costs!$E$6:$O$6,0))</f>
        <v>44.987122626235688</v>
      </c>
      <c r="K37" s="86">
        <f>GDPdeflator!$C$38*INDEX(Costs!$E$7:$O$89,MATCH($C37,Costs!$C$7:$C$89,0),MATCH(K$7,Costs!$E$6:$O$6,0))</f>
        <v>44.987122626235688</v>
      </c>
      <c r="L37" s="86">
        <f>GDPdeflator!$C$38*INDEX(Costs!$E$7:$O$89,MATCH($C37,Costs!$C$7:$C$89,0),MATCH(L$7,Costs!$E$6:$O$6,0))</f>
        <v>44.987122626235688</v>
      </c>
      <c r="M37" s="86">
        <f>GDPdeflator!$C$38*INDEX(Costs!$E$7:$O$89,MATCH($C37,Costs!$C$7:$C$89,0),MATCH(M$7,Costs!$E$6:$O$6,0))</f>
        <v>44.987122626235688</v>
      </c>
      <c r="N37" s="86">
        <f>GDPdeflator!$C$38*INDEX(Costs!$E$7:$O$89,MATCH($C37,Costs!$C$7:$C$89,0),MATCH(N$7,Costs!$E$6:$O$6,0))</f>
        <v>44.987122626235688</v>
      </c>
      <c r="O37" s="86">
        <f>GDPdeflator!$C$38*INDEX(Costs!$E$7:$O$89,MATCH($C37,Costs!$C$7:$C$89,0),MATCH(O$7,Costs!$E$6:$O$6,0))</f>
        <v>44.987122626235688</v>
      </c>
      <c r="P37" s="87">
        <f t="shared" si="25"/>
        <v>4153.4727067142749</v>
      </c>
      <c r="Q37" s="87">
        <f t="shared" si="14"/>
        <v>3863.0776422570921</v>
      </c>
      <c r="R37" s="87">
        <f t="shared" si="15"/>
        <v>3756.3414015362487</v>
      </c>
      <c r="S37" s="87">
        <f t="shared" si="16"/>
        <v>3756.3414015362487</v>
      </c>
      <c r="T37" s="87">
        <f t="shared" si="17"/>
        <v>3756.3414015362487</v>
      </c>
      <c r="U37" s="87">
        <f t="shared" si="18"/>
        <v>3756.3414015362487</v>
      </c>
      <c r="V37" s="87">
        <f t="shared" si="19"/>
        <v>3756.3414015362487</v>
      </c>
      <c r="W37" s="87">
        <f t="shared" si="20"/>
        <v>3756.3414015362487</v>
      </c>
      <c r="X37" s="87">
        <f t="shared" si="21"/>
        <v>3756.3414015362487</v>
      </c>
      <c r="Y37" s="87">
        <f t="shared" si="22"/>
        <v>3756.3414015362487</v>
      </c>
      <c r="Z37" s="87">
        <f t="shared" si="23"/>
        <v>3756.3414015362487</v>
      </c>
      <c r="AA37" s="88">
        <v>420</v>
      </c>
      <c r="AB37" s="89">
        <f>AA37*GDPdeflator!$C$25/$AI$18*10^3</f>
        <v>40.382789385678855</v>
      </c>
      <c r="AC37" s="90" t="e">
        <f>INDEX(Efficiencies!$D$8:$M$89,MATCH(C37,Efficiencies!$C$8:$C$89),MATCH(D37,Efficiencies!$D$7:$M$7))</f>
        <v>#REF!</v>
      </c>
      <c r="AD37" s="90" t="e">
        <f t="shared" si="10"/>
        <v>#REF!</v>
      </c>
      <c r="AE37" s="90" t="e">
        <f>INDEX(Efficiencies!$P$8:$Y$89,MATCH(C37,Efficiencies!$C$8:$C$89),MATCH(D37,Efficiencies!$P$7:$Y$7))</f>
        <v>#REF!</v>
      </c>
      <c r="AF37" s="90" t="e">
        <f t="shared" si="24"/>
        <v>#REF!</v>
      </c>
      <c r="AG37" s="90">
        <v>0</v>
      </c>
    </row>
    <row r="38" spans="1:35" x14ac:dyDescent="0.2">
      <c r="A38" s="92" t="s">
        <v>845</v>
      </c>
      <c r="B38" s="248" t="s">
        <v>846</v>
      </c>
      <c r="C38" s="40" t="s">
        <v>836</v>
      </c>
      <c r="D38" s="40">
        <v>2035</v>
      </c>
      <c r="E38" s="86">
        <f>GDPdeflator!$C$32*INDEX(Costs!$E$7:$O$89,MATCH($C38,Costs!$C$7:$C$89,0),MATCH(E$7,Costs!$E$6:$O$6,0))</f>
        <v>49.743291678775549</v>
      </c>
      <c r="F38" s="86">
        <f>GDPdeflator!$C$36*INDEX(Costs!$E$7:$O$89,MATCH($C38,Costs!$C$7:$C$89,0),MATCH(F$7,Costs!$E$6:$O$6,0))</f>
        <v>46.265429317956574</v>
      </c>
      <c r="G38" s="86">
        <f>GDPdeflator!$C$38*INDEX(Costs!$E$7:$O$89,MATCH($C38,Costs!$C$7:$C$89,0),MATCH(G$7,Costs!$E$6:$O$6,0))</f>
        <v>44.987122626235688</v>
      </c>
      <c r="H38" s="86">
        <f>GDPdeflator!$C$38*INDEX(Costs!$E$7:$O$89,MATCH($C38,Costs!$C$7:$C$89,0),MATCH(H$7,Costs!$E$6:$O$6,0))</f>
        <v>44.987122626235688</v>
      </c>
      <c r="I38" s="86">
        <f>GDPdeflator!$C$38*INDEX(Costs!$E$7:$O$89,MATCH($C38,Costs!$C$7:$C$89,0),MATCH(I$7,Costs!$E$6:$O$6,0))</f>
        <v>44.987122626235688</v>
      </c>
      <c r="J38" s="86">
        <f>GDPdeflator!$C$38*INDEX(Costs!$E$7:$O$89,MATCH($C38,Costs!$C$7:$C$89,0),MATCH(J$7,Costs!$E$6:$O$6,0))</f>
        <v>44.987122626235688</v>
      </c>
      <c r="K38" s="86">
        <f>GDPdeflator!$C$38*INDEX(Costs!$E$7:$O$89,MATCH($C38,Costs!$C$7:$C$89,0),MATCH(K$7,Costs!$E$6:$O$6,0))</f>
        <v>44.987122626235688</v>
      </c>
      <c r="L38" s="86">
        <f>GDPdeflator!$C$38*INDEX(Costs!$E$7:$O$89,MATCH($C38,Costs!$C$7:$C$89,0),MATCH(L$7,Costs!$E$6:$O$6,0))</f>
        <v>44.987122626235688</v>
      </c>
      <c r="M38" s="86">
        <f>GDPdeflator!$C$38*INDEX(Costs!$E$7:$O$89,MATCH($C38,Costs!$C$7:$C$89,0),MATCH(M$7,Costs!$E$6:$O$6,0))</f>
        <v>44.987122626235688</v>
      </c>
      <c r="N38" s="86">
        <f>GDPdeflator!$C$38*INDEX(Costs!$E$7:$O$89,MATCH($C38,Costs!$C$7:$C$89,0),MATCH(N$7,Costs!$E$6:$O$6,0))</f>
        <v>44.987122626235688</v>
      </c>
      <c r="O38" s="86">
        <f>GDPdeflator!$C$38*INDEX(Costs!$E$7:$O$89,MATCH($C38,Costs!$C$7:$C$89,0),MATCH(O$7,Costs!$E$6:$O$6,0))</f>
        <v>44.987122626235688</v>
      </c>
      <c r="P38" s="87">
        <f t="shared" si="25"/>
        <v>4153.4727067142749</v>
      </c>
      <c r="Q38" s="87">
        <f t="shared" si="14"/>
        <v>3863.0776422570921</v>
      </c>
      <c r="R38" s="87">
        <f t="shared" si="15"/>
        <v>3756.3414015362487</v>
      </c>
      <c r="S38" s="87">
        <f t="shared" si="16"/>
        <v>3756.3414015362487</v>
      </c>
      <c r="T38" s="87">
        <f t="shared" si="17"/>
        <v>3756.3414015362487</v>
      </c>
      <c r="U38" s="87">
        <f t="shared" si="18"/>
        <v>3756.3414015362487</v>
      </c>
      <c r="V38" s="87">
        <f t="shared" si="19"/>
        <v>3756.3414015362487</v>
      </c>
      <c r="W38" s="87">
        <f t="shared" si="20"/>
        <v>3756.3414015362487</v>
      </c>
      <c r="X38" s="87">
        <f t="shared" si="21"/>
        <v>3756.3414015362487</v>
      </c>
      <c r="Y38" s="87">
        <f t="shared" si="22"/>
        <v>3756.3414015362487</v>
      </c>
      <c r="Z38" s="87">
        <f t="shared" si="23"/>
        <v>3756.3414015362487</v>
      </c>
      <c r="AA38" s="88">
        <v>420</v>
      </c>
      <c r="AB38" s="89">
        <f>AA38*GDPdeflator!$C$25/$AI$18*10^3</f>
        <v>40.382789385678855</v>
      </c>
      <c r="AC38" s="90" t="e">
        <f>INDEX(Efficiencies!$D$8:$M$89,MATCH(C38,Efficiencies!$C$8:$C$89),MATCH(D38,Efficiencies!$D$7:$M$7))</f>
        <v>#REF!</v>
      </c>
      <c r="AD38" s="90" t="e">
        <f t="shared" si="10"/>
        <v>#REF!</v>
      </c>
      <c r="AE38" s="90" t="e">
        <f>INDEX(Efficiencies!$P$8:$Y$89,MATCH(C38,Efficiencies!$C$8:$C$89),MATCH(D38,Efficiencies!$P$7:$Y$7))</f>
        <v>#REF!</v>
      </c>
      <c r="AF38" s="90" t="e">
        <f t="shared" si="24"/>
        <v>#REF!</v>
      </c>
      <c r="AG38" s="90">
        <v>0</v>
      </c>
    </row>
    <row r="39" spans="1:35" x14ac:dyDescent="0.2">
      <c r="A39" s="92" t="s">
        <v>847</v>
      </c>
      <c r="B39" s="248" t="s">
        <v>848</v>
      </c>
      <c r="C39" s="40" t="s">
        <v>836</v>
      </c>
      <c r="D39" s="40">
        <v>2040</v>
      </c>
      <c r="E39" s="86">
        <f>GDPdeflator!$C$32*INDEX(Costs!$E$7:$O$89,MATCH($C39,Costs!$C$7:$C$89,0),MATCH(E$7,Costs!$E$6:$O$6,0))</f>
        <v>49.743291678775549</v>
      </c>
      <c r="F39" s="86">
        <f>GDPdeflator!$C$36*INDEX(Costs!$E$7:$O$89,MATCH($C39,Costs!$C$7:$C$89,0),MATCH(F$7,Costs!$E$6:$O$6,0))</f>
        <v>46.265429317956574</v>
      </c>
      <c r="G39" s="86">
        <f>GDPdeflator!$C$38*INDEX(Costs!$E$7:$O$89,MATCH($C39,Costs!$C$7:$C$89,0),MATCH(G$7,Costs!$E$6:$O$6,0))</f>
        <v>44.987122626235688</v>
      </c>
      <c r="H39" s="86">
        <f>GDPdeflator!$C$38*INDEX(Costs!$E$7:$O$89,MATCH($C39,Costs!$C$7:$C$89,0),MATCH(H$7,Costs!$E$6:$O$6,0))</f>
        <v>44.987122626235688</v>
      </c>
      <c r="I39" s="86">
        <f>GDPdeflator!$C$38*INDEX(Costs!$E$7:$O$89,MATCH($C39,Costs!$C$7:$C$89,0),MATCH(I$7,Costs!$E$6:$O$6,0))</f>
        <v>44.987122626235688</v>
      </c>
      <c r="J39" s="86">
        <f>GDPdeflator!$C$38*INDEX(Costs!$E$7:$O$89,MATCH($C39,Costs!$C$7:$C$89,0),MATCH(J$7,Costs!$E$6:$O$6,0))</f>
        <v>44.987122626235688</v>
      </c>
      <c r="K39" s="86">
        <f>GDPdeflator!$C$38*INDEX(Costs!$E$7:$O$89,MATCH($C39,Costs!$C$7:$C$89,0),MATCH(K$7,Costs!$E$6:$O$6,0))</f>
        <v>44.987122626235688</v>
      </c>
      <c r="L39" s="86">
        <f>GDPdeflator!$C$38*INDEX(Costs!$E$7:$O$89,MATCH($C39,Costs!$C$7:$C$89,0),MATCH(L$7,Costs!$E$6:$O$6,0))</f>
        <v>44.987122626235688</v>
      </c>
      <c r="M39" s="86">
        <f>GDPdeflator!$C$38*INDEX(Costs!$E$7:$O$89,MATCH($C39,Costs!$C$7:$C$89,0),MATCH(M$7,Costs!$E$6:$O$6,0))</f>
        <v>44.987122626235688</v>
      </c>
      <c r="N39" s="86">
        <f>GDPdeflator!$C$38*INDEX(Costs!$E$7:$O$89,MATCH($C39,Costs!$C$7:$C$89,0),MATCH(N$7,Costs!$E$6:$O$6,0))</f>
        <v>44.987122626235688</v>
      </c>
      <c r="O39" s="86">
        <f>GDPdeflator!$C$38*INDEX(Costs!$E$7:$O$89,MATCH($C39,Costs!$C$7:$C$89,0),MATCH(O$7,Costs!$E$6:$O$6,0))</f>
        <v>44.987122626235688</v>
      </c>
      <c r="P39" s="87">
        <f t="shared" si="25"/>
        <v>4153.4727067142749</v>
      </c>
      <c r="Q39" s="87">
        <f t="shared" si="14"/>
        <v>3863.0776422570921</v>
      </c>
      <c r="R39" s="87">
        <f t="shared" si="15"/>
        <v>3756.3414015362487</v>
      </c>
      <c r="S39" s="87">
        <f t="shared" si="16"/>
        <v>3756.3414015362487</v>
      </c>
      <c r="T39" s="87">
        <f t="shared" si="17"/>
        <v>3756.3414015362487</v>
      </c>
      <c r="U39" s="87">
        <f t="shared" si="18"/>
        <v>3756.3414015362487</v>
      </c>
      <c r="V39" s="87">
        <f t="shared" si="19"/>
        <v>3756.3414015362487</v>
      </c>
      <c r="W39" s="87">
        <f t="shared" si="20"/>
        <v>3756.3414015362487</v>
      </c>
      <c r="X39" s="87">
        <f t="shared" si="21"/>
        <v>3756.3414015362487</v>
      </c>
      <c r="Y39" s="87">
        <f t="shared" si="22"/>
        <v>3756.3414015362487</v>
      </c>
      <c r="Z39" s="87">
        <f t="shared" si="23"/>
        <v>3756.3414015362487</v>
      </c>
      <c r="AA39" s="88">
        <v>420</v>
      </c>
      <c r="AB39" s="89">
        <f>AA39*GDPdeflator!$C$25/$AI$18*10^3</f>
        <v>40.382789385678855</v>
      </c>
      <c r="AC39" s="90" t="e">
        <f>INDEX(Efficiencies!$D$8:$M$89,MATCH(C39,Efficiencies!$C$8:$C$89),MATCH(D39,Efficiencies!$D$7:$M$7))</f>
        <v>#REF!</v>
      </c>
      <c r="AD39" s="90" t="e">
        <f t="shared" si="10"/>
        <v>#REF!</v>
      </c>
      <c r="AE39" s="90" t="e">
        <f>INDEX(Efficiencies!$P$8:$Y$89,MATCH(C39,Efficiencies!$C$8:$C$89),MATCH(D39,Efficiencies!$P$7:$Y$7))</f>
        <v>#REF!</v>
      </c>
      <c r="AF39" s="90" t="e">
        <f t="shared" si="24"/>
        <v>#REF!</v>
      </c>
      <c r="AG39" s="90">
        <v>0</v>
      </c>
    </row>
    <row r="40" spans="1:35" x14ac:dyDescent="0.2">
      <c r="A40" s="92" t="s">
        <v>849</v>
      </c>
      <c r="B40" s="248" t="s">
        <v>850</v>
      </c>
      <c r="C40" s="40" t="s">
        <v>836</v>
      </c>
      <c r="D40" s="40">
        <v>2045</v>
      </c>
      <c r="E40" s="86">
        <f>GDPdeflator!$C$32*INDEX(Costs!$E$7:$O$89,MATCH($C40,Costs!$C$7:$C$89,0),MATCH(E$7,Costs!$E$6:$O$6,0))</f>
        <v>49.743291678775549</v>
      </c>
      <c r="F40" s="86">
        <f>GDPdeflator!$C$36*INDEX(Costs!$E$7:$O$89,MATCH($C40,Costs!$C$7:$C$89,0),MATCH(F$7,Costs!$E$6:$O$6,0))</f>
        <v>46.265429317956574</v>
      </c>
      <c r="G40" s="86">
        <f>GDPdeflator!$C$38*INDEX(Costs!$E$7:$O$89,MATCH($C40,Costs!$C$7:$C$89,0),MATCH(G$7,Costs!$E$6:$O$6,0))</f>
        <v>44.987122626235688</v>
      </c>
      <c r="H40" s="86">
        <f>GDPdeflator!$C$38*INDEX(Costs!$E$7:$O$89,MATCH($C40,Costs!$C$7:$C$89,0),MATCH(H$7,Costs!$E$6:$O$6,0))</f>
        <v>44.987122626235688</v>
      </c>
      <c r="I40" s="86">
        <f>GDPdeflator!$C$38*INDEX(Costs!$E$7:$O$89,MATCH($C40,Costs!$C$7:$C$89,0),MATCH(I$7,Costs!$E$6:$O$6,0))</f>
        <v>44.987122626235688</v>
      </c>
      <c r="J40" s="86">
        <f>GDPdeflator!$C$38*INDEX(Costs!$E$7:$O$89,MATCH($C40,Costs!$C$7:$C$89,0),MATCH(J$7,Costs!$E$6:$O$6,0))</f>
        <v>44.987122626235688</v>
      </c>
      <c r="K40" s="86">
        <f>GDPdeflator!$C$38*INDEX(Costs!$E$7:$O$89,MATCH($C40,Costs!$C$7:$C$89,0),MATCH(K$7,Costs!$E$6:$O$6,0))</f>
        <v>44.987122626235688</v>
      </c>
      <c r="L40" s="86">
        <f>GDPdeflator!$C$38*INDEX(Costs!$E$7:$O$89,MATCH($C40,Costs!$C$7:$C$89,0),MATCH(L$7,Costs!$E$6:$O$6,0))</f>
        <v>44.987122626235688</v>
      </c>
      <c r="M40" s="86">
        <f>GDPdeflator!$C$38*INDEX(Costs!$E$7:$O$89,MATCH($C40,Costs!$C$7:$C$89,0),MATCH(M$7,Costs!$E$6:$O$6,0))</f>
        <v>44.987122626235688</v>
      </c>
      <c r="N40" s="86">
        <f>GDPdeflator!$C$38*INDEX(Costs!$E$7:$O$89,MATCH($C40,Costs!$C$7:$C$89,0),MATCH(N$7,Costs!$E$6:$O$6,0))</f>
        <v>44.987122626235688</v>
      </c>
      <c r="O40" s="86">
        <f>GDPdeflator!$C$38*INDEX(Costs!$E$7:$O$89,MATCH($C40,Costs!$C$7:$C$89,0),MATCH(O$7,Costs!$E$6:$O$6,0))</f>
        <v>44.987122626235688</v>
      </c>
      <c r="P40" s="87">
        <f t="shared" si="25"/>
        <v>4153.4727067142749</v>
      </c>
      <c r="Q40" s="87">
        <f t="shared" si="14"/>
        <v>3863.0776422570921</v>
      </c>
      <c r="R40" s="87">
        <f t="shared" si="15"/>
        <v>3756.3414015362487</v>
      </c>
      <c r="S40" s="87">
        <f t="shared" si="16"/>
        <v>3756.3414015362487</v>
      </c>
      <c r="T40" s="87">
        <f t="shared" si="17"/>
        <v>3756.3414015362487</v>
      </c>
      <c r="U40" s="87">
        <f t="shared" si="18"/>
        <v>3756.3414015362487</v>
      </c>
      <c r="V40" s="87">
        <f t="shared" si="19"/>
        <v>3756.3414015362487</v>
      </c>
      <c r="W40" s="87">
        <f t="shared" si="20"/>
        <v>3756.3414015362487</v>
      </c>
      <c r="X40" s="87">
        <f t="shared" si="21"/>
        <v>3756.3414015362487</v>
      </c>
      <c r="Y40" s="87">
        <f t="shared" si="22"/>
        <v>3756.3414015362487</v>
      </c>
      <c r="Z40" s="87">
        <f t="shared" si="23"/>
        <v>3756.3414015362487</v>
      </c>
      <c r="AA40" s="88">
        <v>420</v>
      </c>
      <c r="AB40" s="89">
        <f>AA40*GDPdeflator!$C$25/$AI$18*10^3</f>
        <v>40.382789385678855</v>
      </c>
      <c r="AC40" s="90" t="e">
        <f>INDEX(Efficiencies!$D$8:$M$89,MATCH(C40,Efficiencies!$C$8:$C$89),MATCH(D40,Efficiencies!$D$7:$M$7))</f>
        <v>#REF!</v>
      </c>
      <c r="AD40" s="90" t="e">
        <f t="shared" si="10"/>
        <v>#REF!</v>
      </c>
      <c r="AE40" s="90" t="e">
        <f>INDEX(Efficiencies!$P$8:$Y$89,MATCH(C40,Efficiencies!$C$8:$C$89),MATCH(D40,Efficiencies!$P$7:$Y$7))</f>
        <v>#REF!</v>
      </c>
      <c r="AF40" s="90" t="e">
        <f t="shared" si="24"/>
        <v>#REF!</v>
      </c>
      <c r="AG40" s="90">
        <v>0</v>
      </c>
    </row>
    <row r="41" spans="1:35" x14ac:dyDescent="0.2">
      <c r="A41" s="92" t="s">
        <v>851</v>
      </c>
      <c r="B41" s="248" t="s">
        <v>852</v>
      </c>
      <c r="C41" s="40" t="s">
        <v>836</v>
      </c>
      <c r="D41" s="40">
        <v>2050</v>
      </c>
      <c r="E41" s="86">
        <f>GDPdeflator!$C$32*INDEX(Costs!$E$7:$O$89,MATCH($C41,Costs!$C$7:$C$89,0),MATCH(E$7,Costs!$E$6:$O$6,0))</f>
        <v>49.743291678775549</v>
      </c>
      <c r="F41" s="86">
        <f>GDPdeflator!$C$36*INDEX(Costs!$E$7:$O$89,MATCH($C41,Costs!$C$7:$C$89,0),MATCH(F$7,Costs!$E$6:$O$6,0))</f>
        <v>46.265429317956574</v>
      </c>
      <c r="G41" s="86">
        <f>GDPdeflator!$C$38*INDEX(Costs!$E$7:$O$89,MATCH($C41,Costs!$C$7:$C$89,0),MATCH(G$7,Costs!$E$6:$O$6,0))</f>
        <v>44.987122626235688</v>
      </c>
      <c r="H41" s="86">
        <f>GDPdeflator!$C$38*INDEX(Costs!$E$7:$O$89,MATCH($C41,Costs!$C$7:$C$89,0),MATCH(H$7,Costs!$E$6:$O$6,0))</f>
        <v>44.987122626235688</v>
      </c>
      <c r="I41" s="86">
        <f>GDPdeflator!$C$38*INDEX(Costs!$E$7:$O$89,MATCH($C41,Costs!$C$7:$C$89,0),MATCH(I$7,Costs!$E$6:$O$6,0))</f>
        <v>44.987122626235688</v>
      </c>
      <c r="J41" s="86">
        <f>GDPdeflator!$C$38*INDEX(Costs!$E$7:$O$89,MATCH($C41,Costs!$C$7:$C$89,0),MATCH(J$7,Costs!$E$6:$O$6,0))</f>
        <v>44.987122626235688</v>
      </c>
      <c r="K41" s="86">
        <f>GDPdeflator!$C$38*INDEX(Costs!$E$7:$O$89,MATCH($C41,Costs!$C$7:$C$89,0),MATCH(K$7,Costs!$E$6:$O$6,0))</f>
        <v>44.987122626235688</v>
      </c>
      <c r="L41" s="86">
        <f>GDPdeflator!$C$38*INDEX(Costs!$E$7:$O$89,MATCH($C41,Costs!$C$7:$C$89,0),MATCH(L$7,Costs!$E$6:$O$6,0))</f>
        <v>44.987122626235688</v>
      </c>
      <c r="M41" s="86">
        <f>GDPdeflator!$C$38*INDEX(Costs!$E$7:$O$89,MATCH($C41,Costs!$C$7:$C$89,0),MATCH(M$7,Costs!$E$6:$O$6,0))</f>
        <v>44.987122626235688</v>
      </c>
      <c r="N41" s="86">
        <f>GDPdeflator!$C$38*INDEX(Costs!$E$7:$O$89,MATCH($C41,Costs!$C$7:$C$89,0),MATCH(N$7,Costs!$E$6:$O$6,0))</f>
        <v>44.987122626235688</v>
      </c>
      <c r="O41" s="86">
        <f>GDPdeflator!$C$38*INDEX(Costs!$E$7:$O$89,MATCH($C41,Costs!$C$7:$C$89,0),MATCH(O$7,Costs!$E$6:$O$6,0))</f>
        <v>44.987122626235688</v>
      </c>
      <c r="P41" s="87">
        <f t="shared" si="25"/>
        <v>4153.4727067142749</v>
      </c>
      <c r="Q41" s="87">
        <f t="shared" si="14"/>
        <v>3863.0776422570921</v>
      </c>
      <c r="R41" s="87">
        <f t="shared" si="15"/>
        <v>3756.3414015362487</v>
      </c>
      <c r="S41" s="87">
        <f t="shared" si="16"/>
        <v>3756.3414015362487</v>
      </c>
      <c r="T41" s="87">
        <f t="shared" si="17"/>
        <v>3756.3414015362487</v>
      </c>
      <c r="U41" s="87">
        <f t="shared" si="18"/>
        <v>3756.3414015362487</v>
      </c>
      <c r="V41" s="87">
        <f t="shared" si="19"/>
        <v>3756.3414015362487</v>
      </c>
      <c r="W41" s="87">
        <f t="shared" si="20"/>
        <v>3756.3414015362487</v>
      </c>
      <c r="X41" s="87">
        <f t="shared" si="21"/>
        <v>3756.3414015362487</v>
      </c>
      <c r="Y41" s="87">
        <f t="shared" si="22"/>
        <v>3756.3414015362487</v>
      </c>
      <c r="Z41" s="87">
        <f t="shared" si="23"/>
        <v>3756.3414015362487</v>
      </c>
      <c r="AA41" s="88">
        <v>420</v>
      </c>
      <c r="AB41" s="89">
        <f>AA41*GDPdeflator!$C$25/$AI$18*10^3</f>
        <v>40.382789385678855</v>
      </c>
      <c r="AC41" s="90" t="e">
        <f>INDEX(Efficiencies!$D$8:$M$89,MATCH(C41,Efficiencies!$C$8:$C$89),MATCH(D41,Efficiencies!$D$7:$M$7))</f>
        <v>#REF!</v>
      </c>
      <c r="AD41" s="90" t="e">
        <f t="shared" si="10"/>
        <v>#REF!</v>
      </c>
      <c r="AE41" s="90" t="e">
        <f>INDEX(Efficiencies!$P$8:$Y$89,MATCH(C41,Efficiencies!$C$8:$C$89),MATCH(D41,Efficiencies!$P$7:$Y$7))</f>
        <v>#REF!</v>
      </c>
      <c r="AF41" s="90" t="e">
        <f t="shared" si="24"/>
        <v>#REF!</v>
      </c>
      <c r="AG41" s="90">
        <v>0</v>
      </c>
    </row>
    <row r="42" spans="1:35" x14ac:dyDescent="0.2">
      <c r="A42" s="92" t="s">
        <v>853</v>
      </c>
      <c r="B42" s="248" t="s">
        <v>854</v>
      </c>
      <c r="C42" s="40" t="s">
        <v>855</v>
      </c>
      <c r="D42" s="40">
        <v>2060</v>
      </c>
      <c r="E42" s="86">
        <f>GDPdeflator!$C$32*INDEX(Costs!$E$7:$O$89,MATCH($C42,Costs!$C$7:$C$89,0),MATCH(E$7,Costs!$E$6:$O$6,0))</f>
        <v>17.756466143562914</v>
      </c>
      <c r="F42" s="86">
        <f>GDPdeflator!$C$36*INDEX(Costs!$E$7:$O$89,MATCH($C42,Costs!$C$7:$C$89,0),MATCH(F$7,Costs!$E$6:$O$6,0))</f>
        <v>19.506261825389672</v>
      </c>
      <c r="G42" s="86">
        <f>GDPdeflator!$C$38*INDEX(Costs!$E$7:$O$89,MATCH($C42,Costs!$C$7:$C$89,0),MATCH(G$7,Costs!$E$6:$O$6,0))</f>
        <v>18.248914592103006</v>
      </c>
      <c r="H42" s="86">
        <f>GDPdeflator!$C$38*INDEX(Costs!$E$7:$O$89,MATCH($C42,Costs!$C$7:$C$89,0),MATCH(H$7,Costs!$E$6:$O$6,0))</f>
        <v>19.081198262890233</v>
      </c>
      <c r="I42" s="86">
        <f>GDPdeflator!$C$38*INDEX(Costs!$E$7:$O$89,MATCH($C42,Costs!$C$7:$C$89,0),MATCH(I$7,Costs!$E$6:$O$6,0))</f>
        <v>20.456656539875432</v>
      </c>
      <c r="J42" s="86">
        <f>GDPdeflator!$C$38*INDEX(Costs!$E$7:$O$89,MATCH($C42,Costs!$C$7:$C$89,0),MATCH(J$7,Costs!$E$6:$O$6,0))</f>
        <v>20.482939182110815</v>
      </c>
      <c r="K42" s="86">
        <f>GDPdeflator!$C$38*INDEX(Costs!$E$7:$O$89,MATCH($C42,Costs!$C$7:$C$89,0),MATCH(K$7,Costs!$E$6:$O$6,0))</f>
        <v>20.500460943601073</v>
      </c>
      <c r="L42" s="86">
        <f>GDPdeflator!$C$38*INDEX(Costs!$E$7:$O$89,MATCH($C42,Costs!$C$7:$C$89,0),MATCH(L$7,Costs!$E$6:$O$6,0))</f>
        <v>20.509221824346202</v>
      </c>
      <c r="M42" s="86">
        <f>GDPdeflator!$C$38*INDEX(Costs!$E$7:$O$89,MATCH($C42,Costs!$C$7:$C$89,0),MATCH(M$7,Costs!$E$6:$O$6,0))</f>
        <v>20.509221824346202</v>
      </c>
      <c r="N42" s="86">
        <f>GDPdeflator!$C$38*INDEX(Costs!$E$7:$O$89,MATCH($C42,Costs!$C$7:$C$89,0),MATCH(N$7,Costs!$E$6:$O$6,0))</f>
        <v>20.509221824346202</v>
      </c>
      <c r="O42" s="86">
        <f>GDPdeflator!$C$38*INDEX(Costs!$E$7:$O$89,MATCH($C42,Costs!$C$7:$C$89,0),MATCH(O$7,Costs!$E$6:$O$6,0))</f>
        <v>20.509221824346202</v>
      </c>
      <c r="P42" s="87">
        <f>E42/$AI$18*10^6</f>
        <v>1482.6320294853485</v>
      </c>
      <c r="Q42" s="87">
        <f t="shared" si="14"/>
        <v>1628.7367274560083</v>
      </c>
      <c r="R42" s="87">
        <f t="shared" si="15"/>
        <v>1523.7505626874402</v>
      </c>
      <c r="S42" s="87">
        <f t="shared" si="16"/>
        <v>1593.2447074091431</v>
      </c>
      <c r="T42" s="87">
        <f t="shared" si="17"/>
        <v>1708.0929255281678</v>
      </c>
      <c r="U42" s="87">
        <f t="shared" si="18"/>
        <v>1710.2874774667475</v>
      </c>
      <c r="V42" s="87">
        <f t="shared" si="19"/>
        <v>1711.7505120924677</v>
      </c>
      <c r="W42" s="87">
        <f t="shared" si="20"/>
        <v>1712.4820294053277</v>
      </c>
      <c r="X42" s="87">
        <f t="shared" si="21"/>
        <v>1712.4820294053277</v>
      </c>
      <c r="Y42" s="87">
        <f t="shared" si="22"/>
        <v>1712.4820294053277</v>
      </c>
      <c r="Z42" s="87">
        <f t="shared" si="23"/>
        <v>1712.4820294053277</v>
      </c>
      <c r="AA42" s="88">
        <v>400</v>
      </c>
      <c r="AB42" s="89">
        <f>AA42*GDPdeflator!$C$25/$AI$18*10^3</f>
        <v>38.459799414932235</v>
      </c>
      <c r="AC42" s="90" t="e">
        <f>INDEX(Efficiencies!$D$8:$M$89,MATCH(C42,Efficiencies!$C$8:$C$89),MATCH(D42,Efficiencies!$D$7:$M$7))</f>
        <v>#REF!</v>
      </c>
      <c r="AD42" s="90" t="e">
        <f t="shared" si="10"/>
        <v>#REF!</v>
      </c>
      <c r="AE42" s="90" t="e">
        <f>INDEX(Efficiencies!$P$8:$Y$89,MATCH(C42,Efficiencies!$C$8:$C$89),MATCH(D42,Efficiencies!$P$7:$Y$7))</f>
        <v>#REF!</v>
      </c>
      <c r="AF42" s="90" t="e">
        <f t="shared" si="24"/>
        <v>#REF!</v>
      </c>
      <c r="AG42" s="90">
        <v>0</v>
      </c>
    </row>
    <row r="43" spans="1:35" x14ac:dyDescent="0.2">
      <c r="A43" s="92" t="s">
        <v>856</v>
      </c>
      <c r="B43" s="248" t="s">
        <v>857</v>
      </c>
      <c r="C43" s="40" t="s">
        <v>855</v>
      </c>
      <c r="D43" s="40">
        <v>2005</v>
      </c>
      <c r="E43" s="86">
        <f>GDPdeflator!$C$32*INDEX(Costs!$E$7:$O$89,MATCH($C43,Costs!$C$7:$C$89,0),MATCH(E$7,Costs!$E$6:$O$6,0))</f>
        <v>17.756466143562914</v>
      </c>
      <c r="F43" s="86">
        <f>GDPdeflator!$C$36*INDEX(Costs!$E$7:$O$89,MATCH($C43,Costs!$C$7:$C$89,0),MATCH(F$7,Costs!$E$6:$O$6,0))</f>
        <v>19.506261825389672</v>
      </c>
      <c r="G43" s="86">
        <f>GDPdeflator!$C$38*INDEX(Costs!$E$7:$O$89,MATCH($C43,Costs!$C$7:$C$89,0),MATCH(G$7,Costs!$E$6:$O$6,0))</f>
        <v>18.248914592103006</v>
      </c>
      <c r="H43" s="86">
        <f>GDPdeflator!$C$38*INDEX(Costs!$E$7:$O$89,MATCH($C43,Costs!$C$7:$C$89,0),MATCH(H$7,Costs!$E$6:$O$6,0))</f>
        <v>19.081198262890233</v>
      </c>
      <c r="I43" s="86">
        <f>GDPdeflator!$C$38*INDEX(Costs!$E$7:$O$89,MATCH($C43,Costs!$C$7:$C$89,0),MATCH(I$7,Costs!$E$6:$O$6,0))</f>
        <v>20.456656539875432</v>
      </c>
      <c r="J43" s="86">
        <f>GDPdeflator!$C$38*INDEX(Costs!$E$7:$O$89,MATCH($C43,Costs!$C$7:$C$89,0),MATCH(J$7,Costs!$E$6:$O$6,0))</f>
        <v>20.482939182110815</v>
      </c>
      <c r="K43" s="86">
        <f>GDPdeflator!$C$38*INDEX(Costs!$E$7:$O$89,MATCH($C43,Costs!$C$7:$C$89,0),MATCH(K$7,Costs!$E$6:$O$6,0))</f>
        <v>20.500460943601073</v>
      </c>
      <c r="L43" s="86">
        <f>GDPdeflator!$C$38*INDEX(Costs!$E$7:$O$89,MATCH($C43,Costs!$C$7:$C$89,0),MATCH(L$7,Costs!$E$6:$O$6,0))</f>
        <v>20.509221824346202</v>
      </c>
      <c r="M43" s="86">
        <f>GDPdeflator!$C$38*INDEX(Costs!$E$7:$O$89,MATCH($C43,Costs!$C$7:$C$89,0),MATCH(M$7,Costs!$E$6:$O$6,0))</f>
        <v>20.509221824346202</v>
      </c>
      <c r="N43" s="86">
        <f>GDPdeflator!$C$38*INDEX(Costs!$E$7:$O$89,MATCH($C43,Costs!$C$7:$C$89,0),MATCH(N$7,Costs!$E$6:$O$6,0))</f>
        <v>20.509221824346202</v>
      </c>
      <c r="O43" s="86">
        <f>GDPdeflator!$C$38*INDEX(Costs!$E$7:$O$89,MATCH($C43,Costs!$C$7:$C$89,0),MATCH(O$7,Costs!$E$6:$O$6,0))</f>
        <v>20.509221824346202</v>
      </c>
      <c r="P43" s="87">
        <f t="shared" ref="P43:P52" si="26">E43/$AI$18*10^6</f>
        <v>1482.6320294853485</v>
      </c>
      <c r="Q43" s="87">
        <f t="shared" ref="Q43:Q64" si="27">F43/$AI$18*10^6</f>
        <v>1628.7367274560083</v>
      </c>
      <c r="R43" s="87">
        <f t="shared" ref="R43:R64" si="28">G43/$AI$18*10^6</f>
        <v>1523.7505626874402</v>
      </c>
      <c r="S43" s="87">
        <f t="shared" ref="S43:S64" si="29">H43/$AI$18*10^6</f>
        <v>1593.2447074091431</v>
      </c>
      <c r="T43" s="87">
        <f t="shared" ref="T43:T64" si="30">I43/$AI$18*10^6</f>
        <v>1708.0929255281678</v>
      </c>
      <c r="U43" s="87">
        <f t="shared" ref="U43:U64" si="31">J43/$AI$18*10^6</f>
        <v>1710.2874774667475</v>
      </c>
      <c r="V43" s="87">
        <f t="shared" ref="V43:V64" si="32">K43/$AI$18*10^6</f>
        <v>1711.7505120924677</v>
      </c>
      <c r="W43" s="87">
        <f t="shared" ref="W43:W64" si="33">L43/$AI$18*10^6</f>
        <v>1712.4820294053277</v>
      </c>
      <c r="X43" s="87">
        <f t="shared" ref="X43:X64" si="34">M43/$AI$18*10^6</f>
        <v>1712.4820294053277</v>
      </c>
      <c r="Y43" s="87">
        <f t="shared" ref="Y43:Y64" si="35">N43/$AI$18*10^6</f>
        <v>1712.4820294053277</v>
      </c>
      <c r="Z43" s="87">
        <f t="shared" ref="Z43:Z64" si="36">O43/$AI$18*10^6</f>
        <v>1712.4820294053277</v>
      </c>
      <c r="AA43" s="88">
        <v>400</v>
      </c>
      <c r="AB43" s="89">
        <f>AA43*GDPdeflator!$C$25/$AI$18*10^3</f>
        <v>38.459799414932235</v>
      </c>
      <c r="AC43" s="90" t="e">
        <f>INDEX(Efficiencies!$D$8:$M$89,MATCH(C43,Efficiencies!$C$8:$C$89),MATCH(D43,Efficiencies!$D$7:$M$7))</f>
        <v>#REF!</v>
      </c>
      <c r="AD43" s="90" t="e">
        <f t="shared" si="10"/>
        <v>#REF!</v>
      </c>
      <c r="AE43" s="90" t="e">
        <f>INDEX(Efficiencies!$P$8:$Y$89,MATCH(C43,Efficiencies!$C$8:$C$89),MATCH(D43,Efficiencies!$P$7:$Y$7))</f>
        <v>#REF!</v>
      </c>
      <c r="AF43" s="90" t="e">
        <f t="shared" si="24"/>
        <v>#REF!</v>
      </c>
      <c r="AG43" s="90">
        <v>0</v>
      </c>
    </row>
    <row r="44" spans="1:35" x14ac:dyDescent="0.2">
      <c r="A44" s="92" t="s">
        <v>858</v>
      </c>
      <c r="B44" s="248" t="s">
        <v>859</v>
      </c>
      <c r="C44" s="40" t="s">
        <v>855</v>
      </c>
      <c r="D44" s="40">
        <v>2010</v>
      </c>
      <c r="E44" s="86">
        <f>GDPdeflator!$C$32*INDEX(Costs!$E$7:$O$89,MATCH($C44,Costs!$C$7:$C$89,0),MATCH(E$7,Costs!$E$6:$O$6,0))</f>
        <v>17.756466143562914</v>
      </c>
      <c r="F44" s="86">
        <f>GDPdeflator!$C$36*INDEX(Costs!$E$7:$O$89,MATCH($C44,Costs!$C$7:$C$89,0),MATCH(F$7,Costs!$E$6:$O$6,0))</f>
        <v>19.506261825389672</v>
      </c>
      <c r="G44" s="86">
        <f>GDPdeflator!$C$38*INDEX(Costs!$E$7:$O$89,MATCH($C44,Costs!$C$7:$C$89,0),MATCH(G$7,Costs!$E$6:$O$6,0))</f>
        <v>18.248914592103006</v>
      </c>
      <c r="H44" s="86">
        <f>GDPdeflator!$C$38*INDEX(Costs!$E$7:$O$89,MATCH($C44,Costs!$C$7:$C$89,0),MATCH(H$7,Costs!$E$6:$O$6,0))</f>
        <v>19.081198262890233</v>
      </c>
      <c r="I44" s="86">
        <f>GDPdeflator!$C$38*INDEX(Costs!$E$7:$O$89,MATCH($C44,Costs!$C$7:$C$89,0),MATCH(I$7,Costs!$E$6:$O$6,0))</f>
        <v>20.456656539875432</v>
      </c>
      <c r="J44" s="86">
        <f>GDPdeflator!$C$38*INDEX(Costs!$E$7:$O$89,MATCH($C44,Costs!$C$7:$C$89,0),MATCH(J$7,Costs!$E$6:$O$6,0))</f>
        <v>20.482939182110815</v>
      </c>
      <c r="K44" s="86">
        <f>GDPdeflator!$C$38*INDEX(Costs!$E$7:$O$89,MATCH($C44,Costs!$C$7:$C$89,0),MATCH(K$7,Costs!$E$6:$O$6,0))</f>
        <v>20.500460943601073</v>
      </c>
      <c r="L44" s="86">
        <f>GDPdeflator!$C$38*INDEX(Costs!$E$7:$O$89,MATCH($C44,Costs!$C$7:$C$89,0),MATCH(L$7,Costs!$E$6:$O$6,0))</f>
        <v>20.509221824346202</v>
      </c>
      <c r="M44" s="86">
        <f>GDPdeflator!$C$38*INDEX(Costs!$E$7:$O$89,MATCH($C44,Costs!$C$7:$C$89,0),MATCH(M$7,Costs!$E$6:$O$6,0))</f>
        <v>20.509221824346202</v>
      </c>
      <c r="N44" s="86">
        <f>GDPdeflator!$C$38*INDEX(Costs!$E$7:$O$89,MATCH($C44,Costs!$C$7:$C$89,0),MATCH(N$7,Costs!$E$6:$O$6,0))</f>
        <v>20.509221824346202</v>
      </c>
      <c r="O44" s="86">
        <f>GDPdeflator!$C$38*INDEX(Costs!$E$7:$O$89,MATCH($C44,Costs!$C$7:$C$89,0),MATCH(O$7,Costs!$E$6:$O$6,0))</f>
        <v>20.509221824346202</v>
      </c>
      <c r="P44" s="87">
        <f t="shared" si="26"/>
        <v>1482.6320294853485</v>
      </c>
      <c r="Q44" s="87">
        <f t="shared" si="27"/>
        <v>1628.7367274560083</v>
      </c>
      <c r="R44" s="87">
        <f t="shared" si="28"/>
        <v>1523.7505626874402</v>
      </c>
      <c r="S44" s="87">
        <f t="shared" si="29"/>
        <v>1593.2447074091431</v>
      </c>
      <c r="T44" s="87">
        <f t="shared" si="30"/>
        <v>1708.0929255281678</v>
      </c>
      <c r="U44" s="87">
        <f t="shared" si="31"/>
        <v>1710.2874774667475</v>
      </c>
      <c r="V44" s="87">
        <f t="shared" si="32"/>
        <v>1711.7505120924677</v>
      </c>
      <c r="W44" s="87">
        <f t="shared" si="33"/>
        <v>1712.4820294053277</v>
      </c>
      <c r="X44" s="87">
        <f t="shared" si="34"/>
        <v>1712.4820294053277</v>
      </c>
      <c r="Y44" s="87">
        <f t="shared" si="35"/>
        <v>1712.4820294053277</v>
      </c>
      <c r="Z44" s="87">
        <f t="shared" si="36"/>
        <v>1712.4820294053277</v>
      </c>
      <c r="AA44" s="88">
        <v>400</v>
      </c>
      <c r="AB44" s="89">
        <f>AA44*GDPdeflator!$C$25/$AI$18*10^3</f>
        <v>38.459799414932235</v>
      </c>
      <c r="AC44" s="90" t="e">
        <f>INDEX(Efficiencies!$D$8:$M$89,MATCH(C44,Efficiencies!$C$8:$C$89),MATCH(D44,Efficiencies!$D$7:$M$7))</f>
        <v>#REF!</v>
      </c>
      <c r="AD44" s="90" t="e">
        <f t="shared" si="10"/>
        <v>#REF!</v>
      </c>
      <c r="AE44" s="90" t="e">
        <f>INDEX(Efficiencies!$P$8:$Y$89,MATCH(C44,Efficiencies!$C$8:$C$89),MATCH(D44,Efficiencies!$P$7:$Y$7))</f>
        <v>#REF!</v>
      </c>
      <c r="AF44" s="90" t="e">
        <f t="shared" si="24"/>
        <v>#REF!</v>
      </c>
      <c r="AG44" s="90">
        <v>0</v>
      </c>
    </row>
    <row r="45" spans="1:35" x14ac:dyDescent="0.2">
      <c r="A45" s="92" t="s">
        <v>860</v>
      </c>
      <c r="B45" s="248" t="s">
        <v>861</v>
      </c>
      <c r="C45" s="40" t="s">
        <v>855</v>
      </c>
      <c r="D45" s="40">
        <v>2015</v>
      </c>
      <c r="E45" s="86">
        <f>GDPdeflator!$C$32*INDEX(Costs!$E$7:$O$89,MATCH($C45,Costs!$C$7:$C$89,0),MATCH(E$7,Costs!$E$6:$O$6,0))</f>
        <v>17.756466143562914</v>
      </c>
      <c r="F45" s="86">
        <f>GDPdeflator!$C$36*INDEX(Costs!$E$7:$O$89,MATCH($C45,Costs!$C$7:$C$89,0),MATCH(F$7,Costs!$E$6:$O$6,0))</f>
        <v>19.506261825389672</v>
      </c>
      <c r="G45" s="86">
        <f>GDPdeflator!$C$38*INDEX(Costs!$E$7:$O$89,MATCH($C45,Costs!$C$7:$C$89,0),MATCH(G$7,Costs!$E$6:$O$6,0))</f>
        <v>18.248914592103006</v>
      </c>
      <c r="H45" s="86">
        <f>GDPdeflator!$C$38*INDEX(Costs!$E$7:$O$89,MATCH($C45,Costs!$C$7:$C$89,0),MATCH(H$7,Costs!$E$6:$O$6,0))</f>
        <v>19.081198262890233</v>
      </c>
      <c r="I45" s="86">
        <f>GDPdeflator!$C$38*INDEX(Costs!$E$7:$O$89,MATCH($C45,Costs!$C$7:$C$89,0),MATCH(I$7,Costs!$E$6:$O$6,0))</f>
        <v>20.456656539875432</v>
      </c>
      <c r="J45" s="86">
        <f>GDPdeflator!$C$38*INDEX(Costs!$E$7:$O$89,MATCH($C45,Costs!$C$7:$C$89,0),MATCH(J$7,Costs!$E$6:$O$6,0))</f>
        <v>20.482939182110815</v>
      </c>
      <c r="K45" s="86">
        <f>GDPdeflator!$C$38*INDEX(Costs!$E$7:$O$89,MATCH($C45,Costs!$C$7:$C$89,0),MATCH(K$7,Costs!$E$6:$O$6,0))</f>
        <v>20.500460943601073</v>
      </c>
      <c r="L45" s="86">
        <f>GDPdeflator!$C$38*INDEX(Costs!$E$7:$O$89,MATCH($C45,Costs!$C$7:$C$89,0),MATCH(L$7,Costs!$E$6:$O$6,0))</f>
        <v>20.509221824346202</v>
      </c>
      <c r="M45" s="86">
        <f>GDPdeflator!$C$38*INDEX(Costs!$E$7:$O$89,MATCH($C45,Costs!$C$7:$C$89,0),MATCH(M$7,Costs!$E$6:$O$6,0))</f>
        <v>20.509221824346202</v>
      </c>
      <c r="N45" s="86">
        <f>GDPdeflator!$C$38*INDEX(Costs!$E$7:$O$89,MATCH($C45,Costs!$C$7:$C$89,0),MATCH(N$7,Costs!$E$6:$O$6,0))</f>
        <v>20.509221824346202</v>
      </c>
      <c r="O45" s="86">
        <f>GDPdeflator!$C$38*INDEX(Costs!$E$7:$O$89,MATCH($C45,Costs!$C$7:$C$89,0),MATCH(O$7,Costs!$E$6:$O$6,0))</f>
        <v>20.509221824346202</v>
      </c>
      <c r="P45" s="87">
        <f t="shared" si="26"/>
        <v>1482.6320294853485</v>
      </c>
      <c r="Q45" s="87">
        <f t="shared" si="27"/>
        <v>1628.7367274560083</v>
      </c>
      <c r="R45" s="87">
        <f t="shared" si="28"/>
        <v>1523.7505626874402</v>
      </c>
      <c r="S45" s="87">
        <f t="shared" si="29"/>
        <v>1593.2447074091431</v>
      </c>
      <c r="T45" s="87">
        <f t="shared" si="30"/>
        <v>1708.0929255281678</v>
      </c>
      <c r="U45" s="87">
        <f t="shared" si="31"/>
        <v>1710.2874774667475</v>
      </c>
      <c r="V45" s="87">
        <f t="shared" si="32"/>
        <v>1711.7505120924677</v>
      </c>
      <c r="W45" s="87">
        <f t="shared" si="33"/>
        <v>1712.4820294053277</v>
      </c>
      <c r="X45" s="87">
        <f t="shared" si="34"/>
        <v>1712.4820294053277</v>
      </c>
      <c r="Y45" s="87">
        <f t="shared" si="35"/>
        <v>1712.4820294053277</v>
      </c>
      <c r="Z45" s="87">
        <f t="shared" si="36"/>
        <v>1712.4820294053277</v>
      </c>
      <c r="AA45" s="88">
        <v>400</v>
      </c>
      <c r="AB45" s="89">
        <f>AA45*GDPdeflator!$C$25/$AI$18*10^3</f>
        <v>38.459799414932235</v>
      </c>
      <c r="AC45" s="90" t="e">
        <f>INDEX(Efficiencies!$D$8:$M$89,MATCH(C45,Efficiencies!$C$8:$C$89),MATCH(D45,Efficiencies!$D$7:$M$7))</f>
        <v>#REF!</v>
      </c>
      <c r="AD45" s="90" t="e">
        <f t="shared" si="10"/>
        <v>#REF!</v>
      </c>
      <c r="AE45" s="90" t="e">
        <f>INDEX(Efficiencies!$P$8:$Y$89,MATCH(C45,Efficiencies!$C$8:$C$89),MATCH(D45,Efficiencies!$P$7:$Y$7))</f>
        <v>#REF!</v>
      </c>
      <c r="AF45" s="90" t="e">
        <f t="shared" si="24"/>
        <v>#REF!</v>
      </c>
      <c r="AG45" s="90">
        <v>0</v>
      </c>
      <c r="AI45" s="93"/>
    </row>
    <row r="46" spans="1:35" x14ac:dyDescent="0.2">
      <c r="A46" s="92" t="s">
        <v>862</v>
      </c>
      <c r="B46" s="248" t="s">
        <v>863</v>
      </c>
      <c r="C46" s="40" t="s">
        <v>855</v>
      </c>
      <c r="D46" s="40">
        <v>2020</v>
      </c>
      <c r="E46" s="86">
        <f>GDPdeflator!$C$32*INDEX(Costs!$E$7:$O$89,MATCH($C46,Costs!$C$7:$C$89,0),MATCH(E$7,Costs!$E$6:$O$6,0))</f>
        <v>17.756466143562914</v>
      </c>
      <c r="F46" s="86">
        <f>GDPdeflator!$C$36*INDEX(Costs!$E$7:$O$89,MATCH($C46,Costs!$C$7:$C$89,0),MATCH(F$7,Costs!$E$6:$O$6,0))</f>
        <v>19.506261825389672</v>
      </c>
      <c r="G46" s="86">
        <f>GDPdeflator!$C$38*INDEX(Costs!$E$7:$O$89,MATCH($C46,Costs!$C$7:$C$89,0),MATCH(G$7,Costs!$E$6:$O$6,0))</f>
        <v>18.248914592103006</v>
      </c>
      <c r="H46" s="86">
        <f>GDPdeflator!$C$38*INDEX(Costs!$E$7:$O$89,MATCH($C46,Costs!$C$7:$C$89,0),MATCH(H$7,Costs!$E$6:$O$6,0))</f>
        <v>19.081198262890233</v>
      </c>
      <c r="I46" s="86">
        <f>GDPdeflator!$C$38*INDEX(Costs!$E$7:$O$89,MATCH($C46,Costs!$C$7:$C$89,0),MATCH(I$7,Costs!$E$6:$O$6,0))</f>
        <v>20.456656539875432</v>
      </c>
      <c r="J46" s="86">
        <f>GDPdeflator!$C$38*INDEX(Costs!$E$7:$O$89,MATCH($C46,Costs!$C$7:$C$89,0),MATCH(J$7,Costs!$E$6:$O$6,0))</f>
        <v>20.482939182110815</v>
      </c>
      <c r="K46" s="86">
        <f>GDPdeflator!$C$38*INDEX(Costs!$E$7:$O$89,MATCH($C46,Costs!$C$7:$C$89,0),MATCH(K$7,Costs!$E$6:$O$6,0))</f>
        <v>20.500460943601073</v>
      </c>
      <c r="L46" s="86">
        <f>GDPdeflator!$C$38*INDEX(Costs!$E$7:$O$89,MATCH($C46,Costs!$C$7:$C$89,0),MATCH(L$7,Costs!$E$6:$O$6,0))</f>
        <v>20.509221824346202</v>
      </c>
      <c r="M46" s="86">
        <f>GDPdeflator!$C$38*INDEX(Costs!$E$7:$O$89,MATCH($C46,Costs!$C$7:$C$89,0),MATCH(M$7,Costs!$E$6:$O$6,0))</f>
        <v>20.509221824346202</v>
      </c>
      <c r="N46" s="86">
        <f>GDPdeflator!$C$38*INDEX(Costs!$E$7:$O$89,MATCH($C46,Costs!$C$7:$C$89,0),MATCH(N$7,Costs!$E$6:$O$6,0))</f>
        <v>20.509221824346202</v>
      </c>
      <c r="O46" s="86">
        <f>GDPdeflator!$C$38*INDEX(Costs!$E$7:$O$89,MATCH($C46,Costs!$C$7:$C$89,0),MATCH(O$7,Costs!$E$6:$O$6,0))</f>
        <v>20.509221824346202</v>
      </c>
      <c r="P46" s="87">
        <f t="shared" si="26"/>
        <v>1482.6320294853485</v>
      </c>
      <c r="Q46" s="87">
        <f t="shared" si="27"/>
        <v>1628.7367274560083</v>
      </c>
      <c r="R46" s="87">
        <f t="shared" si="28"/>
        <v>1523.7505626874402</v>
      </c>
      <c r="S46" s="87">
        <f t="shared" si="29"/>
        <v>1593.2447074091431</v>
      </c>
      <c r="T46" s="87">
        <f t="shared" si="30"/>
        <v>1708.0929255281678</v>
      </c>
      <c r="U46" s="87">
        <f t="shared" si="31"/>
        <v>1710.2874774667475</v>
      </c>
      <c r="V46" s="87">
        <f t="shared" si="32"/>
        <v>1711.7505120924677</v>
      </c>
      <c r="W46" s="87">
        <f t="shared" si="33"/>
        <v>1712.4820294053277</v>
      </c>
      <c r="X46" s="87">
        <f t="shared" si="34"/>
        <v>1712.4820294053277</v>
      </c>
      <c r="Y46" s="87">
        <f t="shared" si="35"/>
        <v>1712.4820294053277</v>
      </c>
      <c r="Z46" s="87">
        <f t="shared" si="36"/>
        <v>1712.4820294053277</v>
      </c>
      <c r="AA46" s="88">
        <v>400</v>
      </c>
      <c r="AB46" s="89">
        <f>AA46*GDPdeflator!$C$25/$AI$18*10^3</f>
        <v>38.459799414932235</v>
      </c>
      <c r="AC46" s="90" t="e">
        <f>INDEX(Efficiencies!$D$8:$M$89,MATCH(C46,Efficiencies!$C$8:$C$89),MATCH(D46,Efficiencies!$D$7:$M$7))</f>
        <v>#REF!</v>
      </c>
      <c r="AD46" s="90" t="e">
        <f t="shared" si="10"/>
        <v>#REF!</v>
      </c>
      <c r="AE46" s="90" t="e">
        <f>INDEX(Efficiencies!$P$8:$Y$89,MATCH(C46,Efficiencies!$C$8:$C$89),MATCH(D46,Efficiencies!$P$7:$Y$7))</f>
        <v>#REF!</v>
      </c>
      <c r="AF46" s="90" t="e">
        <f t="shared" si="24"/>
        <v>#REF!</v>
      </c>
      <c r="AG46" s="90">
        <v>0</v>
      </c>
      <c r="AI46" s="93"/>
    </row>
    <row r="47" spans="1:35" x14ac:dyDescent="0.2">
      <c r="A47" s="92" t="s">
        <v>864</v>
      </c>
      <c r="B47" s="248" t="s">
        <v>865</v>
      </c>
      <c r="C47" s="40" t="s">
        <v>855</v>
      </c>
      <c r="D47" s="40">
        <v>2025</v>
      </c>
      <c r="E47" s="86">
        <f>GDPdeflator!$C$32*INDEX(Costs!$E$7:$O$89,MATCH($C47,Costs!$C$7:$C$89,0),MATCH(E$7,Costs!$E$6:$O$6,0))</f>
        <v>17.756466143562914</v>
      </c>
      <c r="F47" s="86">
        <f>GDPdeflator!$C$36*INDEX(Costs!$E$7:$O$89,MATCH($C47,Costs!$C$7:$C$89,0),MATCH(F$7,Costs!$E$6:$O$6,0))</f>
        <v>19.506261825389672</v>
      </c>
      <c r="G47" s="86">
        <f>GDPdeflator!$C$38*INDEX(Costs!$E$7:$O$89,MATCH($C47,Costs!$C$7:$C$89,0),MATCH(G$7,Costs!$E$6:$O$6,0))</f>
        <v>18.248914592103006</v>
      </c>
      <c r="H47" s="86">
        <f>GDPdeflator!$C$38*INDEX(Costs!$E$7:$O$89,MATCH($C47,Costs!$C$7:$C$89,0),MATCH(H$7,Costs!$E$6:$O$6,0))</f>
        <v>19.081198262890233</v>
      </c>
      <c r="I47" s="86">
        <f>GDPdeflator!$C$38*INDEX(Costs!$E$7:$O$89,MATCH($C47,Costs!$C$7:$C$89,0),MATCH(I$7,Costs!$E$6:$O$6,0))</f>
        <v>20.456656539875432</v>
      </c>
      <c r="J47" s="86">
        <f>GDPdeflator!$C$38*INDEX(Costs!$E$7:$O$89,MATCH($C47,Costs!$C$7:$C$89,0),MATCH(J$7,Costs!$E$6:$O$6,0))</f>
        <v>20.482939182110815</v>
      </c>
      <c r="K47" s="86">
        <f>GDPdeflator!$C$38*INDEX(Costs!$E$7:$O$89,MATCH($C47,Costs!$C$7:$C$89,0),MATCH(K$7,Costs!$E$6:$O$6,0))</f>
        <v>20.500460943601073</v>
      </c>
      <c r="L47" s="86">
        <f>GDPdeflator!$C$38*INDEX(Costs!$E$7:$O$89,MATCH($C47,Costs!$C$7:$C$89,0),MATCH(L$7,Costs!$E$6:$O$6,0))</f>
        <v>20.509221824346202</v>
      </c>
      <c r="M47" s="86">
        <f>GDPdeflator!$C$38*INDEX(Costs!$E$7:$O$89,MATCH($C47,Costs!$C$7:$C$89,0),MATCH(M$7,Costs!$E$6:$O$6,0))</f>
        <v>20.509221824346202</v>
      </c>
      <c r="N47" s="86">
        <f>GDPdeflator!$C$38*INDEX(Costs!$E$7:$O$89,MATCH($C47,Costs!$C$7:$C$89,0),MATCH(N$7,Costs!$E$6:$O$6,0))</f>
        <v>20.509221824346202</v>
      </c>
      <c r="O47" s="86">
        <f>GDPdeflator!$C$38*INDEX(Costs!$E$7:$O$89,MATCH($C47,Costs!$C$7:$C$89,0),MATCH(O$7,Costs!$E$6:$O$6,0))</f>
        <v>20.509221824346202</v>
      </c>
      <c r="P47" s="87">
        <f t="shared" si="26"/>
        <v>1482.6320294853485</v>
      </c>
      <c r="Q47" s="87">
        <f t="shared" si="27"/>
        <v>1628.7367274560083</v>
      </c>
      <c r="R47" s="87">
        <f t="shared" si="28"/>
        <v>1523.7505626874402</v>
      </c>
      <c r="S47" s="87">
        <f t="shared" si="29"/>
        <v>1593.2447074091431</v>
      </c>
      <c r="T47" s="87">
        <f t="shared" si="30"/>
        <v>1708.0929255281678</v>
      </c>
      <c r="U47" s="87">
        <f t="shared" si="31"/>
        <v>1710.2874774667475</v>
      </c>
      <c r="V47" s="87">
        <f t="shared" si="32"/>
        <v>1711.7505120924677</v>
      </c>
      <c r="W47" s="87">
        <f t="shared" si="33"/>
        <v>1712.4820294053277</v>
      </c>
      <c r="X47" s="87">
        <f t="shared" si="34"/>
        <v>1712.4820294053277</v>
      </c>
      <c r="Y47" s="87">
        <f t="shared" si="35"/>
        <v>1712.4820294053277</v>
      </c>
      <c r="Z47" s="87">
        <f t="shared" si="36"/>
        <v>1712.4820294053277</v>
      </c>
      <c r="AA47" s="88">
        <v>400</v>
      </c>
      <c r="AB47" s="89">
        <f>AA47*GDPdeflator!$C$25/$AI$18*10^3</f>
        <v>38.459799414932235</v>
      </c>
      <c r="AC47" s="90" t="e">
        <f>INDEX(Efficiencies!$D$8:$M$89,MATCH(C47,Efficiencies!$C$8:$C$89),MATCH(D47,Efficiencies!$D$7:$M$7))</f>
        <v>#REF!</v>
      </c>
      <c r="AD47" s="90" t="e">
        <f t="shared" si="10"/>
        <v>#REF!</v>
      </c>
      <c r="AE47" s="90" t="e">
        <f>INDEX(Efficiencies!$P$8:$Y$89,MATCH(C47,Efficiencies!$C$8:$C$89),MATCH(D47,Efficiencies!$P$7:$Y$7))</f>
        <v>#REF!</v>
      </c>
      <c r="AF47" s="90" t="e">
        <f t="shared" si="24"/>
        <v>#REF!</v>
      </c>
      <c r="AG47" s="90">
        <v>0</v>
      </c>
      <c r="AI47" s="93"/>
    </row>
    <row r="48" spans="1:35" x14ac:dyDescent="0.2">
      <c r="A48" s="92" t="s">
        <v>866</v>
      </c>
      <c r="B48" s="248" t="s">
        <v>867</v>
      </c>
      <c r="C48" s="40" t="s">
        <v>855</v>
      </c>
      <c r="D48" s="40">
        <v>2030</v>
      </c>
      <c r="E48" s="86">
        <f>GDPdeflator!$C$32*INDEX(Costs!$E$7:$O$89,MATCH($C48,Costs!$C$7:$C$89,0),MATCH(E$7,Costs!$E$6:$O$6,0))</f>
        <v>17.756466143562914</v>
      </c>
      <c r="F48" s="86">
        <f>GDPdeflator!$C$36*INDEX(Costs!$E$7:$O$89,MATCH($C48,Costs!$C$7:$C$89,0),MATCH(F$7,Costs!$E$6:$O$6,0))</f>
        <v>19.506261825389672</v>
      </c>
      <c r="G48" s="86">
        <f>GDPdeflator!$C$38*INDEX(Costs!$E$7:$O$89,MATCH($C48,Costs!$C$7:$C$89,0),MATCH(G$7,Costs!$E$6:$O$6,0))</f>
        <v>18.248914592103006</v>
      </c>
      <c r="H48" s="86">
        <f>GDPdeflator!$C$38*INDEX(Costs!$E$7:$O$89,MATCH($C48,Costs!$C$7:$C$89,0),MATCH(H$7,Costs!$E$6:$O$6,0))</f>
        <v>19.081198262890233</v>
      </c>
      <c r="I48" s="86">
        <f>GDPdeflator!$C$38*INDEX(Costs!$E$7:$O$89,MATCH($C48,Costs!$C$7:$C$89,0),MATCH(I$7,Costs!$E$6:$O$6,0))</f>
        <v>20.456656539875432</v>
      </c>
      <c r="J48" s="86">
        <f>GDPdeflator!$C$38*INDEX(Costs!$E$7:$O$89,MATCH($C48,Costs!$C$7:$C$89,0),MATCH(J$7,Costs!$E$6:$O$6,0))</f>
        <v>20.482939182110815</v>
      </c>
      <c r="K48" s="86">
        <f>GDPdeflator!$C$38*INDEX(Costs!$E$7:$O$89,MATCH($C48,Costs!$C$7:$C$89,0),MATCH(K$7,Costs!$E$6:$O$6,0))</f>
        <v>20.500460943601073</v>
      </c>
      <c r="L48" s="86">
        <f>GDPdeflator!$C$38*INDEX(Costs!$E$7:$O$89,MATCH($C48,Costs!$C$7:$C$89,0),MATCH(L$7,Costs!$E$6:$O$6,0))</f>
        <v>20.509221824346202</v>
      </c>
      <c r="M48" s="86">
        <f>GDPdeflator!$C$38*INDEX(Costs!$E$7:$O$89,MATCH($C48,Costs!$C$7:$C$89,0),MATCH(M$7,Costs!$E$6:$O$6,0))</f>
        <v>20.509221824346202</v>
      </c>
      <c r="N48" s="86">
        <f>GDPdeflator!$C$38*INDEX(Costs!$E$7:$O$89,MATCH($C48,Costs!$C$7:$C$89,0),MATCH(N$7,Costs!$E$6:$O$6,0))</f>
        <v>20.509221824346202</v>
      </c>
      <c r="O48" s="86">
        <f>GDPdeflator!$C$38*INDEX(Costs!$E$7:$O$89,MATCH($C48,Costs!$C$7:$C$89,0),MATCH(O$7,Costs!$E$6:$O$6,0))</f>
        <v>20.509221824346202</v>
      </c>
      <c r="P48" s="87">
        <f t="shared" si="26"/>
        <v>1482.6320294853485</v>
      </c>
      <c r="Q48" s="87">
        <f t="shared" si="27"/>
        <v>1628.7367274560083</v>
      </c>
      <c r="R48" s="87">
        <f t="shared" si="28"/>
        <v>1523.7505626874402</v>
      </c>
      <c r="S48" s="87">
        <f t="shared" si="29"/>
        <v>1593.2447074091431</v>
      </c>
      <c r="T48" s="87">
        <f t="shared" si="30"/>
        <v>1708.0929255281678</v>
      </c>
      <c r="U48" s="87">
        <f t="shared" si="31"/>
        <v>1710.2874774667475</v>
      </c>
      <c r="V48" s="87">
        <f t="shared" si="32"/>
        <v>1711.7505120924677</v>
      </c>
      <c r="W48" s="87">
        <f t="shared" si="33"/>
        <v>1712.4820294053277</v>
      </c>
      <c r="X48" s="87">
        <f t="shared" si="34"/>
        <v>1712.4820294053277</v>
      </c>
      <c r="Y48" s="87">
        <f t="shared" si="35"/>
        <v>1712.4820294053277</v>
      </c>
      <c r="Z48" s="87">
        <f t="shared" si="36"/>
        <v>1712.4820294053277</v>
      </c>
      <c r="AA48" s="88">
        <v>400</v>
      </c>
      <c r="AB48" s="89">
        <f>AA48*GDPdeflator!$C$25/$AI$18*10^3</f>
        <v>38.459799414932235</v>
      </c>
      <c r="AC48" s="90" t="e">
        <f>INDEX(Efficiencies!$D$8:$M$89,MATCH(C48,Efficiencies!$C$8:$C$89),MATCH(D48,Efficiencies!$D$7:$M$7))</f>
        <v>#REF!</v>
      </c>
      <c r="AD48" s="90" t="e">
        <f t="shared" si="10"/>
        <v>#REF!</v>
      </c>
      <c r="AE48" s="90" t="e">
        <f>INDEX(Efficiencies!$P$8:$Y$89,MATCH(C48,Efficiencies!$C$8:$C$89),MATCH(D48,Efficiencies!$P$7:$Y$7))</f>
        <v>#REF!</v>
      </c>
      <c r="AF48" s="90" t="e">
        <f t="shared" si="24"/>
        <v>#REF!</v>
      </c>
      <c r="AG48" s="90">
        <v>0</v>
      </c>
      <c r="AI48" s="93"/>
    </row>
    <row r="49" spans="1:35" x14ac:dyDescent="0.2">
      <c r="A49" s="92" t="s">
        <v>868</v>
      </c>
      <c r="B49" s="248" t="s">
        <v>869</v>
      </c>
      <c r="C49" s="40" t="s">
        <v>855</v>
      </c>
      <c r="D49" s="40">
        <v>2035</v>
      </c>
      <c r="E49" s="86">
        <f>GDPdeflator!$C$32*INDEX(Costs!$E$7:$O$89,MATCH($C49,Costs!$C$7:$C$89,0),MATCH(E$7,Costs!$E$6:$O$6,0))</f>
        <v>17.756466143562914</v>
      </c>
      <c r="F49" s="86">
        <f>GDPdeflator!$C$36*INDEX(Costs!$E$7:$O$89,MATCH($C49,Costs!$C$7:$C$89,0),MATCH(F$7,Costs!$E$6:$O$6,0))</f>
        <v>19.506261825389672</v>
      </c>
      <c r="G49" s="86">
        <f>GDPdeflator!$C$38*INDEX(Costs!$E$7:$O$89,MATCH($C49,Costs!$C$7:$C$89,0),MATCH(G$7,Costs!$E$6:$O$6,0))</f>
        <v>18.248914592103006</v>
      </c>
      <c r="H49" s="86">
        <f>GDPdeflator!$C$38*INDEX(Costs!$E$7:$O$89,MATCH($C49,Costs!$C$7:$C$89,0),MATCH(H$7,Costs!$E$6:$O$6,0))</f>
        <v>19.081198262890233</v>
      </c>
      <c r="I49" s="86">
        <f>GDPdeflator!$C$38*INDEX(Costs!$E$7:$O$89,MATCH($C49,Costs!$C$7:$C$89,0),MATCH(I$7,Costs!$E$6:$O$6,0))</f>
        <v>20.456656539875432</v>
      </c>
      <c r="J49" s="86">
        <f>GDPdeflator!$C$38*INDEX(Costs!$E$7:$O$89,MATCH($C49,Costs!$C$7:$C$89,0),MATCH(J$7,Costs!$E$6:$O$6,0))</f>
        <v>20.482939182110815</v>
      </c>
      <c r="K49" s="86">
        <f>GDPdeflator!$C$38*INDEX(Costs!$E$7:$O$89,MATCH($C49,Costs!$C$7:$C$89,0),MATCH(K$7,Costs!$E$6:$O$6,0))</f>
        <v>20.500460943601073</v>
      </c>
      <c r="L49" s="86">
        <f>GDPdeflator!$C$38*INDEX(Costs!$E$7:$O$89,MATCH($C49,Costs!$C$7:$C$89,0),MATCH(L$7,Costs!$E$6:$O$6,0))</f>
        <v>20.509221824346202</v>
      </c>
      <c r="M49" s="86">
        <f>GDPdeflator!$C$38*INDEX(Costs!$E$7:$O$89,MATCH($C49,Costs!$C$7:$C$89,0),MATCH(M$7,Costs!$E$6:$O$6,0))</f>
        <v>20.509221824346202</v>
      </c>
      <c r="N49" s="86">
        <f>GDPdeflator!$C$38*INDEX(Costs!$E$7:$O$89,MATCH($C49,Costs!$C$7:$C$89,0),MATCH(N$7,Costs!$E$6:$O$6,0))</f>
        <v>20.509221824346202</v>
      </c>
      <c r="O49" s="86">
        <f>GDPdeflator!$C$38*INDEX(Costs!$E$7:$O$89,MATCH($C49,Costs!$C$7:$C$89,0),MATCH(O$7,Costs!$E$6:$O$6,0))</f>
        <v>20.509221824346202</v>
      </c>
      <c r="P49" s="87">
        <f t="shared" si="26"/>
        <v>1482.6320294853485</v>
      </c>
      <c r="Q49" s="87">
        <f t="shared" si="27"/>
        <v>1628.7367274560083</v>
      </c>
      <c r="R49" s="87">
        <f t="shared" si="28"/>
        <v>1523.7505626874402</v>
      </c>
      <c r="S49" s="87">
        <f t="shared" si="29"/>
        <v>1593.2447074091431</v>
      </c>
      <c r="T49" s="87">
        <f t="shared" si="30"/>
        <v>1708.0929255281678</v>
      </c>
      <c r="U49" s="87">
        <f t="shared" si="31"/>
        <v>1710.2874774667475</v>
      </c>
      <c r="V49" s="87">
        <f t="shared" si="32"/>
        <v>1711.7505120924677</v>
      </c>
      <c r="W49" s="87">
        <f t="shared" si="33"/>
        <v>1712.4820294053277</v>
      </c>
      <c r="X49" s="87">
        <f t="shared" si="34"/>
        <v>1712.4820294053277</v>
      </c>
      <c r="Y49" s="87">
        <f t="shared" si="35"/>
        <v>1712.4820294053277</v>
      </c>
      <c r="Z49" s="87">
        <f t="shared" si="36"/>
        <v>1712.4820294053277</v>
      </c>
      <c r="AA49" s="88">
        <v>400</v>
      </c>
      <c r="AB49" s="89">
        <f>AA49*GDPdeflator!$C$25/$AI$18*10^3</f>
        <v>38.459799414932235</v>
      </c>
      <c r="AC49" s="90" t="e">
        <f>INDEX(Efficiencies!$D$8:$M$89,MATCH(C49,Efficiencies!$C$8:$C$89),MATCH(D49,Efficiencies!$D$7:$M$7))</f>
        <v>#REF!</v>
      </c>
      <c r="AD49" s="90" t="e">
        <f t="shared" si="10"/>
        <v>#REF!</v>
      </c>
      <c r="AE49" s="90" t="e">
        <f>INDEX(Efficiencies!$P$8:$Y$89,MATCH(C49,Efficiencies!$C$8:$C$89),MATCH(D49,Efficiencies!$P$7:$Y$7))</f>
        <v>#REF!</v>
      </c>
      <c r="AF49" s="90" t="e">
        <f t="shared" si="24"/>
        <v>#REF!</v>
      </c>
      <c r="AG49" s="90">
        <v>0</v>
      </c>
      <c r="AI49" s="93"/>
    </row>
    <row r="50" spans="1:35" x14ac:dyDescent="0.2">
      <c r="A50" s="92" t="s">
        <v>870</v>
      </c>
      <c r="B50" s="248" t="s">
        <v>871</v>
      </c>
      <c r="C50" s="40" t="s">
        <v>855</v>
      </c>
      <c r="D50" s="40">
        <v>2040</v>
      </c>
      <c r="E50" s="86">
        <f>GDPdeflator!$C$32*INDEX(Costs!$E$7:$O$89,MATCH($C50,Costs!$C$7:$C$89,0),MATCH(E$7,Costs!$E$6:$O$6,0))</f>
        <v>17.756466143562914</v>
      </c>
      <c r="F50" s="86">
        <f>GDPdeflator!$C$36*INDEX(Costs!$E$7:$O$89,MATCH($C50,Costs!$C$7:$C$89,0),MATCH(F$7,Costs!$E$6:$O$6,0))</f>
        <v>19.506261825389672</v>
      </c>
      <c r="G50" s="86">
        <f>GDPdeflator!$C$38*INDEX(Costs!$E$7:$O$89,MATCH($C50,Costs!$C$7:$C$89,0),MATCH(G$7,Costs!$E$6:$O$6,0))</f>
        <v>18.248914592103006</v>
      </c>
      <c r="H50" s="86">
        <f>GDPdeflator!$C$38*INDEX(Costs!$E$7:$O$89,MATCH($C50,Costs!$C$7:$C$89,0),MATCH(H$7,Costs!$E$6:$O$6,0))</f>
        <v>19.081198262890233</v>
      </c>
      <c r="I50" s="86">
        <f>GDPdeflator!$C$38*INDEX(Costs!$E$7:$O$89,MATCH($C50,Costs!$C$7:$C$89,0),MATCH(I$7,Costs!$E$6:$O$6,0))</f>
        <v>20.456656539875432</v>
      </c>
      <c r="J50" s="86">
        <f>GDPdeflator!$C$38*INDEX(Costs!$E$7:$O$89,MATCH($C50,Costs!$C$7:$C$89,0),MATCH(J$7,Costs!$E$6:$O$6,0))</f>
        <v>20.482939182110815</v>
      </c>
      <c r="K50" s="86">
        <f>GDPdeflator!$C$38*INDEX(Costs!$E$7:$O$89,MATCH($C50,Costs!$C$7:$C$89,0),MATCH(K$7,Costs!$E$6:$O$6,0))</f>
        <v>20.500460943601073</v>
      </c>
      <c r="L50" s="86">
        <f>GDPdeflator!$C$38*INDEX(Costs!$E$7:$O$89,MATCH($C50,Costs!$C$7:$C$89,0),MATCH(L$7,Costs!$E$6:$O$6,0))</f>
        <v>20.509221824346202</v>
      </c>
      <c r="M50" s="86">
        <f>GDPdeflator!$C$38*INDEX(Costs!$E$7:$O$89,MATCH($C50,Costs!$C$7:$C$89,0),MATCH(M$7,Costs!$E$6:$O$6,0))</f>
        <v>20.509221824346202</v>
      </c>
      <c r="N50" s="86">
        <f>GDPdeflator!$C$38*INDEX(Costs!$E$7:$O$89,MATCH($C50,Costs!$C$7:$C$89,0),MATCH(N$7,Costs!$E$6:$O$6,0))</f>
        <v>20.509221824346202</v>
      </c>
      <c r="O50" s="86">
        <f>GDPdeflator!$C$38*INDEX(Costs!$E$7:$O$89,MATCH($C50,Costs!$C$7:$C$89,0),MATCH(O$7,Costs!$E$6:$O$6,0))</f>
        <v>20.509221824346202</v>
      </c>
      <c r="P50" s="87">
        <f t="shared" si="26"/>
        <v>1482.6320294853485</v>
      </c>
      <c r="Q50" s="87">
        <f t="shared" si="27"/>
        <v>1628.7367274560083</v>
      </c>
      <c r="R50" s="87">
        <f t="shared" si="28"/>
        <v>1523.7505626874402</v>
      </c>
      <c r="S50" s="87">
        <f t="shared" si="29"/>
        <v>1593.2447074091431</v>
      </c>
      <c r="T50" s="87">
        <f t="shared" si="30"/>
        <v>1708.0929255281678</v>
      </c>
      <c r="U50" s="87">
        <f t="shared" si="31"/>
        <v>1710.2874774667475</v>
      </c>
      <c r="V50" s="87">
        <f t="shared" si="32"/>
        <v>1711.7505120924677</v>
      </c>
      <c r="W50" s="87">
        <f t="shared" si="33"/>
        <v>1712.4820294053277</v>
      </c>
      <c r="X50" s="87">
        <f t="shared" si="34"/>
        <v>1712.4820294053277</v>
      </c>
      <c r="Y50" s="87">
        <f t="shared" si="35"/>
        <v>1712.4820294053277</v>
      </c>
      <c r="Z50" s="87">
        <f t="shared" si="36"/>
        <v>1712.4820294053277</v>
      </c>
      <c r="AA50" s="88">
        <v>400</v>
      </c>
      <c r="AB50" s="89">
        <f>AA50*GDPdeflator!$C$25/$AI$18*10^3</f>
        <v>38.459799414932235</v>
      </c>
      <c r="AC50" s="90" t="e">
        <f>INDEX(Efficiencies!$D$8:$M$89,MATCH(C50,Efficiencies!$C$8:$C$89),MATCH(D50,Efficiencies!$D$7:$M$7))</f>
        <v>#REF!</v>
      </c>
      <c r="AD50" s="90" t="e">
        <f t="shared" si="10"/>
        <v>#REF!</v>
      </c>
      <c r="AE50" s="90" t="e">
        <f>INDEX(Efficiencies!$P$8:$Y$89,MATCH(C50,Efficiencies!$C$8:$C$89),MATCH(D50,Efficiencies!$P$7:$Y$7))</f>
        <v>#REF!</v>
      </c>
      <c r="AF50" s="90" t="e">
        <f t="shared" si="24"/>
        <v>#REF!</v>
      </c>
      <c r="AG50" s="90">
        <v>0</v>
      </c>
      <c r="AI50" s="93"/>
    </row>
    <row r="51" spans="1:35" x14ac:dyDescent="0.2">
      <c r="A51" s="92" t="s">
        <v>872</v>
      </c>
      <c r="B51" s="248" t="s">
        <v>873</v>
      </c>
      <c r="C51" s="40" t="s">
        <v>855</v>
      </c>
      <c r="D51" s="40">
        <v>2045</v>
      </c>
      <c r="E51" s="86">
        <f>GDPdeflator!$C$32*INDEX(Costs!$E$7:$O$89,MATCH($C51,Costs!$C$7:$C$89,0),MATCH(E$7,Costs!$E$6:$O$6,0))</f>
        <v>17.756466143562914</v>
      </c>
      <c r="F51" s="86">
        <f>GDPdeflator!$C$36*INDEX(Costs!$E$7:$O$89,MATCH($C51,Costs!$C$7:$C$89,0),MATCH(F$7,Costs!$E$6:$O$6,0))</f>
        <v>19.506261825389672</v>
      </c>
      <c r="G51" s="86">
        <f>GDPdeflator!$C$38*INDEX(Costs!$E$7:$O$89,MATCH($C51,Costs!$C$7:$C$89,0),MATCH(G$7,Costs!$E$6:$O$6,0))</f>
        <v>18.248914592103006</v>
      </c>
      <c r="H51" s="86">
        <f>GDPdeflator!$C$38*INDEX(Costs!$E$7:$O$89,MATCH($C51,Costs!$C$7:$C$89,0),MATCH(H$7,Costs!$E$6:$O$6,0))</f>
        <v>19.081198262890233</v>
      </c>
      <c r="I51" s="86">
        <f>GDPdeflator!$C$38*INDEX(Costs!$E$7:$O$89,MATCH($C51,Costs!$C$7:$C$89,0),MATCH(I$7,Costs!$E$6:$O$6,0))</f>
        <v>20.456656539875432</v>
      </c>
      <c r="J51" s="86">
        <f>GDPdeflator!$C$38*INDEX(Costs!$E$7:$O$89,MATCH($C51,Costs!$C$7:$C$89,0),MATCH(J$7,Costs!$E$6:$O$6,0))</f>
        <v>20.482939182110815</v>
      </c>
      <c r="K51" s="86">
        <f>GDPdeflator!$C$38*INDEX(Costs!$E$7:$O$89,MATCH($C51,Costs!$C$7:$C$89,0),MATCH(K$7,Costs!$E$6:$O$6,0))</f>
        <v>20.500460943601073</v>
      </c>
      <c r="L51" s="86">
        <f>GDPdeflator!$C$38*INDEX(Costs!$E$7:$O$89,MATCH($C51,Costs!$C$7:$C$89,0),MATCH(L$7,Costs!$E$6:$O$6,0))</f>
        <v>20.509221824346202</v>
      </c>
      <c r="M51" s="86">
        <f>GDPdeflator!$C$38*INDEX(Costs!$E$7:$O$89,MATCH($C51,Costs!$C$7:$C$89,0),MATCH(M$7,Costs!$E$6:$O$6,0))</f>
        <v>20.509221824346202</v>
      </c>
      <c r="N51" s="86">
        <f>GDPdeflator!$C$38*INDEX(Costs!$E$7:$O$89,MATCH($C51,Costs!$C$7:$C$89,0),MATCH(N$7,Costs!$E$6:$O$6,0))</f>
        <v>20.509221824346202</v>
      </c>
      <c r="O51" s="86">
        <f>GDPdeflator!$C$38*INDEX(Costs!$E$7:$O$89,MATCH($C51,Costs!$C$7:$C$89,0),MATCH(O$7,Costs!$E$6:$O$6,0))</f>
        <v>20.509221824346202</v>
      </c>
      <c r="P51" s="87">
        <f t="shared" si="26"/>
        <v>1482.6320294853485</v>
      </c>
      <c r="Q51" s="87">
        <f t="shared" si="27"/>
        <v>1628.7367274560083</v>
      </c>
      <c r="R51" s="87">
        <f t="shared" si="28"/>
        <v>1523.7505626874402</v>
      </c>
      <c r="S51" s="87">
        <f t="shared" si="29"/>
        <v>1593.2447074091431</v>
      </c>
      <c r="T51" s="87">
        <f t="shared" si="30"/>
        <v>1708.0929255281678</v>
      </c>
      <c r="U51" s="87">
        <f t="shared" si="31"/>
        <v>1710.2874774667475</v>
      </c>
      <c r="V51" s="87">
        <f t="shared" si="32"/>
        <v>1711.7505120924677</v>
      </c>
      <c r="W51" s="87">
        <f t="shared" si="33"/>
        <v>1712.4820294053277</v>
      </c>
      <c r="X51" s="87">
        <f t="shared" si="34"/>
        <v>1712.4820294053277</v>
      </c>
      <c r="Y51" s="87">
        <f t="shared" si="35"/>
        <v>1712.4820294053277</v>
      </c>
      <c r="Z51" s="87">
        <f t="shared" si="36"/>
        <v>1712.4820294053277</v>
      </c>
      <c r="AA51" s="88">
        <v>400</v>
      </c>
      <c r="AB51" s="89">
        <f>AA51*GDPdeflator!$C$25/$AI$18*10^3</f>
        <v>38.459799414932235</v>
      </c>
      <c r="AC51" s="90" t="e">
        <f>INDEX(Efficiencies!$D$8:$M$89,MATCH(C51,Efficiencies!$C$8:$C$89),MATCH(D51,Efficiencies!$D$7:$M$7))</f>
        <v>#REF!</v>
      </c>
      <c r="AD51" s="90" t="e">
        <f t="shared" si="10"/>
        <v>#REF!</v>
      </c>
      <c r="AE51" s="90" t="e">
        <f>INDEX(Efficiencies!$P$8:$Y$89,MATCH(C51,Efficiencies!$C$8:$C$89),MATCH(D51,Efficiencies!$P$7:$Y$7))</f>
        <v>#REF!</v>
      </c>
      <c r="AF51" s="90" t="e">
        <f t="shared" si="24"/>
        <v>#REF!</v>
      </c>
      <c r="AG51" s="90">
        <v>0</v>
      </c>
      <c r="AI51" s="93"/>
    </row>
    <row r="52" spans="1:35" x14ac:dyDescent="0.2">
      <c r="A52" s="92" t="s">
        <v>874</v>
      </c>
      <c r="B52" s="248" t="s">
        <v>875</v>
      </c>
      <c r="C52" s="40" t="s">
        <v>855</v>
      </c>
      <c r="D52" s="40">
        <v>2050</v>
      </c>
      <c r="E52" s="86">
        <f>GDPdeflator!$C$32*INDEX(Costs!$E$7:$O$89,MATCH($C52,Costs!$C$7:$C$89,0),MATCH(E$7,Costs!$E$6:$O$6,0))</f>
        <v>17.756466143562914</v>
      </c>
      <c r="F52" s="86">
        <f>GDPdeflator!$C$36*INDEX(Costs!$E$7:$O$89,MATCH($C52,Costs!$C$7:$C$89,0),MATCH(F$7,Costs!$E$6:$O$6,0))</f>
        <v>19.506261825389672</v>
      </c>
      <c r="G52" s="86">
        <f>GDPdeflator!$C$38*INDEX(Costs!$E$7:$O$89,MATCH($C52,Costs!$C$7:$C$89,0),MATCH(G$7,Costs!$E$6:$O$6,0))</f>
        <v>18.248914592103006</v>
      </c>
      <c r="H52" s="86">
        <f>GDPdeflator!$C$38*INDEX(Costs!$E$7:$O$89,MATCH($C52,Costs!$C$7:$C$89,0),MATCH(H$7,Costs!$E$6:$O$6,0))</f>
        <v>19.081198262890233</v>
      </c>
      <c r="I52" s="86">
        <f>GDPdeflator!$C$38*INDEX(Costs!$E$7:$O$89,MATCH($C52,Costs!$C$7:$C$89,0),MATCH(I$7,Costs!$E$6:$O$6,0))</f>
        <v>20.456656539875432</v>
      </c>
      <c r="J52" s="86">
        <f>GDPdeflator!$C$38*INDEX(Costs!$E$7:$O$89,MATCH($C52,Costs!$C$7:$C$89,0),MATCH(J$7,Costs!$E$6:$O$6,0))</f>
        <v>20.482939182110815</v>
      </c>
      <c r="K52" s="86">
        <f>GDPdeflator!$C$38*INDEX(Costs!$E$7:$O$89,MATCH($C52,Costs!$C$7:$C$89,0),MATCH(K$7,Costs!$E$6:$O$6,0))</f>
        <v>20.500460943601073</v>
      </c>
      <c r="L52" s="86">
        <f>GDPdeflator!$C$38*INDEX(Costs!$E$7:$O$89,MATCH($C52,Costs!$C$7:$C$89,0),MATCH(L$7,Costs!$E$6:$O$6,0))</f>
        <v>20.509221824346202</v>
      </c>
      <c r="M52" s="86">
        <f>GDPdeflator!$C$38*INDEX(Costs!$E$7:$O$89,MATCH($C52,Costs!$C$7:$C$89,0),MATCH(M$7,Costs!$E$6:$O$6,0))</f>
        <v>20.509221824346202</v>
      </c>
      <c r="N52" s="86">
        <f>GDPdeflator!$C$38*INDEX(Costs!$E$7:$O$89,MATCH($C52,Costs!$C$7:$C$89,0),MATCH(N$7,Costs!$E$6:$O$6,0))</f>
        <v>20.509221824346202</v>
      </c>
      <c r="O52" s="86">
        <f>GDPdeflator!$C$38*INDEX(Costs!$E$7:$O$89,MATCH($C52,Costs!$C$7:$C$89,0),MATCH(O$7,Costs!$E$6:$O$6,0))</f>
        <v>20.509221824346202</v>
      </c>
      <c r="P52" s="87">
        <f t="shared" si="26"/>
        <v>1482.6320294853485</v>
      </c>
      <c r="Q52" s="87">
        <f t="shared" si="27"/>
        <v>1628.7367274560083</v>
      </c>
      <c r="R52" s="87">
        <f t="shared" si="28"/>
        <v>1523.7505626874402</v>
      </c>
      <c r="S52" s="87">
        <f t="shared" si="29"/>
        <v>1593.2447074091431</v>
      </c>
      <c r="T52" s="87">
        <f t="shared" si="30"/>
        <v>1708.0929255281678</v>
      </c>
      <c r="U52" s="87">
        <f t="shared" si="31"/>
        <v>1710.2874774667475</v>
      </c>
      <c r="V52" s="87">
        <f t="shared" si="32"/>
        <v>1711.7505120924677</v>
      </c>
      <c r="W52" s="87">
        <f t="shared" si="33"/>
        <v>1712.4820294053277</v>
      </c>
      <c r="X52" s="87">
        <f t="shared" si="34"/>
        <v>1712.4820294053277</v>
      </c>
      <c r="Y52" s="87">
        <f t="shared" si="35"/>
        <v>1712.4820294053277</v>
      </c>
      <c r="Z52" s="87">
        <f t="shared" si="36"/>
        <v>1712.4820294053277</v>
      </c>
      <c r="AA52" s="88">
        <v>400</v>
      </c>
      <c r="AB52" s="89">
        <f>AA52*GDPdeflator!$C$25/$AI$18*10^3</f>
        <v>38.459799414932235</v>
      </c>
      <c r="AC52" s="90" t="e">
        <f>INDEX(Efficiencies!$D$8:$M$89,MATCH(C52,Efficiencies!$C$8:$C$89),MATCH(D52,Efficiencies!$D$7:$M$7))</f>
        <v>#REF!</v>
      </c>
      <c r="AD52" s="90" t="e">
        <f t="shared" si="10"/>
        <v>#REF!</v>
      </c>
      <c r="AE52" s="90" t="e">
        <f>INDEX(Efficiencies!$P$8:$Y$89,MATCH(C52,Efficiencies!$C$8:$C$89),MATCH(D52,Efficiencies!$P$7:$Y$7))</f>
        <v>#REF!</v>
      </c>
      <c r="AF52" s="90" t="e">
        <f t="shared" si="24"/>
        <v>#REF!</v>
      </c>
      <c r="AG52" s="90">
        <v>0</v>
      </c>
      <c r="AI52" s="93"/>
    </row>
    <row r="53" spans="1:35" x14ac:dyDescent="0.2">
      <c r="A53" s="92" t="s">
        <v>876</v>
      </c>
      <c r="B53" s="248" t="s">
        <v>877</v>
      </c>
      <c r="C53" s="40" t="s">
        <v>878</v>
      </c>
      <c r="D53" s="40">
        <v>2060</v>
      </c>
      <c r="E53" s="86">
        <f>GDPdeflator!$C$32*INDEX(Costs!$E$7:$O$89,MATCH($C53,Costs!$C$7:$C$89,0),MATCH(E$7,Costs!$E$6:$O$6,0))</f>
        <v>18.221447253705318</v>
      </c>
      <c r="F53" s="86">
        <f>GDPdeflator!$C$36*INDEX(Costs!$E$7:$O$89,MATCH($C53,Costs!$C$7:$C$89,0),MATCH(F$7,Costs!$E$6:$O$6,0))</f>
        <v>22.254257140282906</v>
      </c>
      <c r="G53" s="86">
        <f>GDPdeflator!$C$38*INDEX(Costs!$E$7:$O$89,MATCH($C53,Costs!$C$7:$C$89,0),MATCH(G$7,Costs!$E$6:$O$6,0))</f>
        <v>20.859657054151349</v>
      </c>
      <c r="H53" s="86">
        <f>GDPdeflator!$C$38*INDEX(Costs!$E$7:$O$89,MATCH($C53,Costs!$C$7:$C$89,0),MATCH(H$7,Costs!$E$6:$O$6,0))</f>
        <v>21.131244357250338</v>
      </c>
      <c r="I53" s="86">
        <f>GDPdeflator!$C$38*INDEX(Costs!$E$7:$O$89,MATCH($C53,Costs!$C$7:$C$89,0),MATCH(I$7,Costs!$E$6:$O$6,0))</f>
        <v>21.621853678977544</v>
      </c>
      <c r="J53" s="86">
        <f>GDPdeflator!$C$38*INDEX(Costs!$E$7:$O$89,MATCH($C53,Costs!$C$7:$C$89,0),MATCH(J$7,Costs!$E$6:$O$6,0))</f>
        <v>21.639375440467798</v>
      </c>
      <c r="K53" s="86">
        <f>GDPdeflator!$C$38*INDEX(Costs!$E$7:$O$89,MATCH($C53,Costs!$C$7:$C$89,0),MATCH(K$7,Costs!$E$6:$O$6,0))</f>
        <v>21.656897201958056</v>
      </c>
      <c r="L53" s="86">
        <f>GDPdeflator!$C$38*INDEX(Costs!$E$7:$O$89,MATCH($C53,Costs!$C$7:$C$89,0),MATCH(L$7,Costs!$E$6:$O$6,0))</f>
        <v>21.674418963448314</v>
      </c>
      <c r="M53" s="86">
        <f>GDPdeflator!$C$38*INDEX(Costs!$E$7:$O$89,MATCH($C53,Costs!$C$7:$C$89,0),MATCH(M$7,Costs!$E$6:$O$6,0))</f>
        <v>21.674418963448314</v>
      </c>
      <c r="N53" s="86">
        <f>GDPdeflator!$C$38*INDEX(Costs!$E$7:$O$89,MATCH($C53,Costs!$C$7:$C$89,0),MATCH(N$7,Costs!$E$6:$O$6,0))</f>
        <v>21.674418963448314</v>
      </c>
      <c r="O53" s="86">
        <f>GDPdeflator!$C$38*INDEX(Costs!$E$7:$O$89,MATCH($C53,Costs!$C$7:$C$89,0),MATCH(O$7,Costs!$E$6:$O$6,0))</f>
        <v>21.674418963448314</v>
      </c>
      <c r="P53" s="87">
        <f>E53/$AI$18*10^6</f>
        <v>1521.457090813934</v>
      </c>
      <c r="Q53" s="87">
        <f t="shared" si="27"/>
        <v>1858.1892456426515</v>
      </c>
      <c r="R53" s="87">
        <f t="shared" si="28"/>
        <v>1741.7427219197289</v>
      </c>
      <c r="S53" s="87">
        <f t="shared" si="29"/>
        <v>1764.4197586183898</v>
      </c>
      <c r="T53" s="87">
        <f t="shared" si="30"/>
        <v>1805.3847281385515</v>
      </c>
      <c r="U53" s="87">
        <f t="shared" si="31"/>
        <v>1806.8477627642712</v>
      </c>
      <c r="V53" s="87">
        <f t="shared" si="32"/>
        <v>1808.3107973899914</v>
      </c>
      <c r="W53" s="87">
        <f t="shared" si="33"/>
        <v>1809.7738320157116</v>
      </c>
      <c r="X53" s="87">
        <f t="shared" si="34"/>
        <v>1809.7738320157116</v>
      </c>
      <c r="Y53" s="87">
        <f t="shared" si="35"/>
        <v>1809.7738320157116</v>
      </c>
      <c r="Z53" s="87">
        <f t="shared" si="36"/>
        <v>1809.7738320157116</v>
      </c>
      <c r="AA53" s="88">
        <v>400</v>
      </c>
      <c r="AB53" s="89">
        <f>AA53*GDPdeflator!$C$25/$AI$18*10^3</f>
        <v>38.459799414932235</v>
      </c>
      <c r="AC53" s="90" t="e">
        <f>INDEX(Efficiencies!$D$8:$M$89,MATCH(C53,Efficiencies!$C$8:$C$89),MATCH(D53,Efficiencies!$D$7:$M$7))</f>
        <v>#REF!</v>
      </c>
      <c r="AD53" s="90" t="e">
        <f t="shared" si="10"/>
        <v>#REF!</v>
      </c>
      <c r="AE53" s="90" t="e">
        <f>INDEX(Efficiencies!$P$8:$Y$89,MATCH(C53,Efficiencies!$C$8:$C$89),MATCH(D53,Efficiencies!$P$7:$Y$7))</f>
        <v>#REF!</v>
      </c>
      <c r="AF53" s="90" t="e">
        <f t="shared" si="24"/>
        <v>#REF!</v>
      </c>
      <c r="AG53" s="90">
        <v>0</v>
      </c>
      <c r="AI53" s="93"/>
    </row>
    <row r="54" spans="1:35" x14ac:dyDescent="0.2">
      <c r="A54" s="92" t="s">
        <v>879</v>
      </c>
      <c r="B54" s="248" t="s">
        <v>880</v>
      </c>
      <c r="C54" s="40" t="s">
        <v>878</v>
      </c>
      <c r="D54" s="40">
        <v>2005</v>
      </c>
      <c r="E54" s="86">
        <f>GDPdeflator!$C$32*INDEX(Costs!$E$7:$O$89,MATCH($C54,Costs!$C$7:$C$89,0),MATCH(E$7,Costs!$E$6:$O$6,0))</f>
        <v>18.221447253705318</v>
      </c>
      <c r="F54" s="86">
        <f>GDPdeflator!$C$36*INDEX(Costs!$E$7:$O$89,MATCH($C54,Costs!$C$7:$C$89,0),MATCH(F$7,Costs!$E$6:$O$6,0))</f>
        <v>22.254257140282906</v>
      </c>
      <c r="G54" s="86">
        <f>GDPdeflator!$C$38*INDEX(Costs!$E$7:$O$89,MATCH($C54,Costs!$C$7:$C$89,0),MATCH(G$7,Costs!$E$6:$O$6,0))</f>
        <v>20.859657054151349</v>
      </c>
      <c r="H54" s="86">
        <f>GDPdeflator!$C$38*INDEX(Costs!$E$7:$O$89,MATCH($C54,Costs!$C$7:$C$89,0),MATCH(H$7,Costs!$E$6:$O$6,0))</f>
        <v>21.131244357250338</v>
      </c>
      <c r="I54" s="86">
        <f>GDPdeflator!$C$38*INDEX(Costs!$E$7:$O$89,MATCH($C54,Costs!$C$7:$C$89,0),MATCH(I$7,Costs!$E$6:$O$6,0))</f>
        <v>21.621853678977544</v>
      </c>
      <c r="J54" s="86">
        <f>GDPdeflator!$C$38*INDEX(Costs!$E$7:$O$89,MATCH($C54,Costs!$C$7:$C$89,0),MATCH(J$7,Costs!$E$6:$O$6,0))</f>
        <v>21.639375440467798</v>
      </c>
      <c r="K54" s="86">
        <f>GDPdeflator!$C$38*INDEX(Costs!$E$7:$O$89,MATCH($C54,Costs!$C$7:$C$89,0),MATCH(K$7,Costs!$E$6:$O$6,0))</f>
        <v>21.656897201958056</v>
      </c>
      <c r="L54" s="86">
        <f>GDPdeflator!$C$38*INDEX(Costs!$E$7:$O$89,MATCH($C54,Costs!$C$7:$C$89,0),MATCH(L$7,Costs!$E$6:$O$6,0))</f>
        <v>21.674418963448314</v>
      </c>
      <c r="M54" s="86">
        <f>GDPdeflator!$C$38*INDEX(Costs!$E$7:$O$89,MATCH($C54,Costs!$C$7:$C$89,0),MATCH(M$7,Costs!$E$6:$O$6,0))</f>
        <v>21.674418963448314</v>
      </c>
      <c r="N54" s="86">
        <f>GDPdeflator!$C$38*INDEX(Costs!$E$7:$O$89,MATCH($C54,Costs!$C$7:$C$89,0),MATCH(N$7,Costs!$E$6:$O$6,0))</f>
        <v>21.674418963448314</v>
      </c>
      <c r="O54" s="86">
        <f>GDPdeflator!$C$38*INDEX(Costs!$E$7:$O$89,MATCH($C54,Costs!$C$7:$C$89,0),MATCH(O$7,Costs!$E$6:$O$6,0))</f>
        <v>21.674418963448314</v>
      </c>
      <c r="P54" s="87">
        <f t="shared" ref="P54:P63" si="37">E54/$AI$18*10^6</f>
        <v>1521.457090813934</v>
      </c>
      <c r="Q54" s="87">
        <f t="shared" si="27"/>
        <v>1858.1892456426515</v>
      </c>
      <c r="R54" s="87">
        <f t="shared" si="28"/>
        <v>1741.7427219197289</v>
      </c>
      <c r="S54" s="87">
        <f t="shared" si="29"/>
        <v>1764.4197586183898</v>
      </c>
      <c r="T54" s="87">
        <f t="shared" si="30"/>
        <v>1805.3847281385515</v>
      </c>
      <c r="U54" s="87">
        <f t="shared" si="31"/>
        <v>1806.8477627642712</v>
      </c>
      <c r="V54" s="87">
        <f t="shared" si="32"/>
        <v>1808.3107973899914</v>
      </c>
      <c r="W54" s="87">
        <f t="shared" si="33"/>
        <v>1809.7738320157116</v>
      </c>
      <c r="X54" s="87">
        <f t="shared" si="34"/>
        <v>1809.7738320157116</v>
      </c>
      <c r="Y54" s="87">
        <f t="shared" si="35"/>
        <v>1809.7738320157116</v>
      </c>
      <c r="Z54" s="87">
        <f t="shared" si="36"/>
        <v>1809.7738320157116</v>
      </c>
      <c r="AA54" s="88">
        <v>400</v>
      </c>
      <c r="AB54" s="89">
        <f>AA54*GDPdeflator!$C$25/$AI$18*10^3</f>
        <v>38.459799414932235</v>
      </c>
      <c r="AC54" s="90" t="e">
        <f>INDEX(Efficiencies!$D$8:$M$89,MATCH(C54,Efficiencies!$C$8:$C$89),MATCH(D54,Efficiencies!$D$7:$M$7))</f>
        <v>#REF!</v>
      </c>
      <c r="AD54" s="90" t="e">
        <f t="shared" ref="AD54:AD117" si="38">AC54/($AI$11*$AI$15*10 ^ 9)</f>
        <v>#REF!</v>
      </c>
      <c r="AE54" s="90" t="e">
        <f>INDEX(Efficiencies!$P$8:$Y$89,MATCH(C54,Efficiencies!$C$8:$C$89),MATCH(D54,Efficiencies!$P$7:$Y$7))</f>
        <v>#REF!</v>
      </c>
      <c r="AF54" s="90" t="e">
        <f t="shared" si="24"/>
        <v>#REF!</v>
      </c>
      <c r="AG54" s="90">
        <v>0</v>
      </c>
      <c r="AI54" s="93"/>
    </row>
    <row r="55" spans="1:35" x14ac:dyDescent="0.2">
      <c r="A55" s="92" t="s">
        <v>881</v>
      </c>
      <c r="B55" s="248" t="s">
        <v>882</v>
      </c>
      <c r="C55" s="40" t="s">
        <v>878</v>
      </c>
      <c r="D55" s="40">
        <v>2010</v>
      </c>
      <c r="E55" s="86">
        <f>GDPdeflator!$C$32*INDEX(Costs!$E$7:$O$89,MATCH($C55,Costs!$C$7:$C$89,0),MATCH(E$7,Costs!$E$6:$O$6,0))</f>
        <v>18.221447253705318</v>
      </c>
      <c r="F55" s="86">
        <f>GDPdeflator!$C$36*INDEX(Costs!$E$7:$O$89,MATCH($C55,Costs!$C$7:$C$89,0),MATCH(F$7,Costs!$E$6:$O$6,0))</f>
        <v>22.254257140282906</v>
      </c>
      <c r="G55" s="86">
        <f>GDPdeflator!$C$38*INDEX(Costs!$E$7:$O$89,MATCH($C55,Costs!$C$7:$C$89,0),MATCH(G$7,Costs!$E$6:$O$6,0))</f>
        <v>20.859657054151349</v>
      </c>
      <c r="H55" s="86">
        <f>GDPdeflator!$C$38*INDEX(Costs!$E$7:$O$89,MATCH($C55,Costs!$C$7:$C$89,0),MATCH(H$7,Costs!$E$6:$O$6,0))</f>
        <v>21.131244357250338</v>
      </c>
      <c r="I55" s="86">
        <f>GDPdeflator!$C$38*INDEX(Costs!$E$7:$O$89,MATCH($C55,Costs!$C$7:$C$89,0),MATCH(I$7,Costs!$E$6:$O$6,0))</f>
        <v>21.621853678977544</v>
      </c>
      <c r="J55" s="86">
        <f>GDPdeflator!$C$38*INDEX(Costs!$E$7:$O$89,MATCH($C55,Costs!$C$7:$C$89,0),MATCH(J$7,Costs!$E$6:$O$6,0))</f>
        <v>21.639375440467798</v>
      </c>
      <c r="K55" s="86">
        <f>GDPdeflator!$C$38*INDEX(Costs!$E$7:$O$89,MATCH($C55,Costs!$C$7:$C$89,0),MATCH(K$7,Costs!$E$6:$O$6,0))</f>
        <v>21.656897201958056</v>
      </c>
      <c r="L55" s="86">
        <f>GDPdeflator!$C$38*INDEX(Costs!$E$7:$O$89,MATCH($C55,Costs!$C$7:$C$89,0),MATCH(L$7,Costs!$E$6:$O$6,0))</f>
        <v>21.674418963448314</v>
      </c>
      <c r="M55" s="86">
        <f>GDPdeflator!$C$38*INDEX(Costs!$E$7:$O$89,MATCH($C55,Costs!$C$7:$C$89,0),MATCH(M$7,Costs!$E$6:$O$6,0))</f>
        <v>21.674418963448314</v>
      </c>
      <c r="N55" s="86">
        <f>GDPdeflator!$C$38*INDEX(Costs!$E$7:$O$89,MATCH($C55,Costs!$C$7:$C$89,0),MATCH(N$7,Costs!$E$6:$O$6,0))</f>
        <v>21.674418963448314</v>
      </c>
      <c r="O55" s="86">
        <f>GDPdeflator!$C$38*INDEX(Costs!$E$7:$O$89,MATCH($C55,Costs!$C$7:$C$89,0),MATCH(O$7,Costs!$E$6:$O$6,0))</f>
        <v>21.674418963448314</v>
      </c>
      <c r="P55" s="87">
        <f t="shared" si="37"/>
        <v>1521.457090813934</v>
      </c>
      <c r="Q55" s="87">
        <f t="shared" si="27"/>
        <v>1858.1892456426515</v>
      </c>
      <c r="R55" s="87">
        <f t="shared" si="28"/>
        <v>1741.7427219197289</v>
      </c>
      <c r="S55" s="87">
        <f t="shared" si="29"/>
        <v>1764.4197586183898</v>
      </c>
      <c r="T55" s="87">
        <f t="shared" si="30"/>
        <v>1805.3847281385515</v>
      </c>
      <c r="U55" s="87">
        <f t="shared" si="31"/>
        <v>1806.8477627642712</v>
      </c>
      <c r="V55" s="87">
        <f t="shared" si="32"/>
        <v>1808.3107973899914</v>
      </c>
      <c r="W55" s="87">
        <f t="shared" si="33"/>
        <v>1809.7738320157116</v>
      </c>
      <c r="X55" s="87">
        <f t="shared" si="34"/>
        <v>1809.7738320157116</v>
      </c>
      <c r="Y55" s="87">
        <f t="shared" si="35"/>
        <v>1809.7738320157116</v>
      </c>
      <c r="Z55" s="87">
        <f t="shared" si="36"/>
        <v>1809.7738320157116</v>
      </c>
      <c r="AA55" s="88">
        <v>400</v>
      </c>
      <c r="AB55" s="89">
        <f>AA55*GDPdeflator!$C$25/$AI$18*10^3</f>
        <v>38.459799414932235</v>
      </c>
      <c r="AC55" s="90" t="e">
        <f>INDEX(Efficiencies!$D$8:$M$89,MATCH(C55,Efficiencies!$C$8:$C$89),MATCH(D55,Efficiencies!$D$7:$M$7))</f>
        <v>#REF!</v>
      </c>
      <c r="AD55" s="90" t="e">
        <f t="shared" si="38"/>
        <v>#REF!</v>
      </c>
      <c r="AE55" s="90" t="e">
        <f>INDEX(Efficiencies!$P$8:$Y$89,MATCH(C55,Efficiencies!$C$8:$C$89),MATCH(D55,Efficiencies!$P$7:$Y$7))</f>
        <v>#REF!</v>
      </c>
      <c r="AF55" s="90" t="e">
        <f t="shared" si="24"/>
        <v>#REF!</v>
      </c>
      <c r="AG55" s="90">
        <v>0</v>
      </c>
      <c r="AI55" s="93"/>
    </row>
    <row r="56" spans="1:35" x14ac:dyDescent="0.2">
      <c r="A56" s="92" t="s">
        <v>883</v>
      </c>
      <c r="B56" s="248" t="s">
        <v>884</v>
      </c>
      <c r="C56" s="40" t="s">
        <v>878</v>
      </c>
      <c r="D56" s="40">
        <v>2015</v>
      </c>
      <c r="E56" s="86">
        <f>GDPdeflator!$C$32*INDEX(Costs!$E$7:$O$89,MATCH($C56,Costs!$C$7:$C$89,0),MATCH(E$7,Costs!$E$6:$O$6,0))</f>
        <v>18.221447253705318</v>
      </c>
      <c r="F56" s="86">
        <f>GDPdeflator!$C$36*INDEX(Costs!$E$7:$O$89,MATCH($C56,Costs!$C$7:$C$89,0),MATCH(F$7,Costs!$E$6:$O$6,0))</f>
        <v>22.254257140282906</v>
      </c>
      <c r="G56" s="86">
        <f>GDPdeflator!$C$38*INDEX(Costs!$E$7:$O$89,MATCH($C56,Costs!$C$7:$C$89,0),MATCH(G$7,Costs!$E$6:$O$6,0))</f>
        <v>20.859657054151349</v>
      </c>
      <c r="H56" s="86">
        <f>GDPdeflator!$C$38*INDEX(Costs!$E$7:$O$89,MATCH($C56,Costs!$C$7:$C$89,0),MATCH(H$7,Costs!$E$6:$O$6,0))</f>
        <v>21.131244357250338</v>
      </c>
      <c r="I56" s="86">
        <f>GDPdeflator!$C$38*INDEX(Costs!$E$7:$O$89,MATCH($C56,Costs!$C$7:$C$89,0),MATCH(I$7,Costs!$E$6:$O$6,0))</f>
        <v>21.621853678977544</v>
      </c>
      <c r="J56" s="86">
        <f>GDPdeflator!$C$38*INDEX(Costs!$E$7:$O$89,MATCH($C56,Costs!$C$7:$C$89,0),MATCH(J$7,Costs!$E$6:$O$6,0))</f>
        <v>21.639375440467798</v>
      </c>
      <c r="K56" s="86">
        <f>GDPdeflator!$C$38*INDEX(Costs!$E$7:$O$89,MATCH($C56,Costs!$C$7:$C$89,0),MATCH(K$7,Costs!$E$6:$O$6,0))</f>
        <v>21.656897201958056</v>
      </c>
      <c r="L56" s="86">
        <f>GDPdeflator!$C$38*INDEX(Costs!$E$7:$O$89,MATCH($C56,Costs!$C$7:$C$89,0),MATCH(L$7,Costs!$E$6:$O$6,0))</f>
        <v>21.674418963448314</v>
      </c>
      <c r="M56" s="86">
        <f>GDPdeflator!$C$38*INDEX(Costs!$E$7:$O$89,MATCH($C56,Costs!$C$7:$C$89,0),MATCH(M$7,Costs!$E$6:$O$6,0))</f>
        <v>21.674418963448314</v>
      </c>
      <c r="N56" s="86">
        <f>GDPdeflator!$C$38*INDEX(Costs!$E$7:$O$89,MATCH($C56,Costs!$C$7:$C$89,0),MATCH(N$7,Costs!$E$6:$O$6,0))</f>
        <v>21.674418963448314</v>
      </c>
      <c r="O56" s="86">
        <f>GDPdeflator!$C$38*INDEX(Costs!$E$7:$O$89,MATCH($C56,Costs!$C$7:$C$89,0),MATCH(O$7,Costs!$E$6:$O$6,0))</f>
        <v>21.674418963448314</v>
      </c>
      <c r="P56" s="87">
        <f t="shared" si="37"/>
        <v>1521.457090813934</v>
      </c>
      <c r="Q56" s="87">
        <f t="shared" si="27"/>
        <v>1858.1892456426515</v>
      </c>
      <c r="R56" s="87">
        <f t="shared" si="28"/>
        <v>1741.7427219197289</v>
      </c>
      <c r="S56" s="87">
        <f t="shared" si="29"/>
        <v>1764.4197586183898</v>
      </c>
      <c r="T56" s="87">
        <f t="shared" si="30"/>
        <v>1805.3847281385515</v>
      </c>
      <c r="U56" s="87">
        <f t="shared" si="31"/>
        <v>1806.8477627642712</v>
      </c>
      <c r="V56" s="87">
        <f t="shared" si="32"/>
        <v>1808.3107973899914</v>
      </c>
      <c r="W56" s="87">
        <f t="shared" si="33"/>
        <v>1809.7738320157116</v>
      </c>
      <c r="X56" s="87">
        <f t="shared" si="34"/>
        <v>1809.7738320157116</v>
      </c>
      <c r="Y56" s="87">
        <f t="shared" si="35"/>
        <v>1809.7738320157116</v>
      </c>
      <c r="Z56" s="87">
        <f t="shared" si="36"/>
        <v>1809.7738320157116</v>
      </c>
      <c r="AA56" s="88">
        <v>400</v>
      </c>
      <c r="AB56" s="89">
        <f>AA56*GDPdeflator!$C$25/$AI$18*10^3</f>
        <v>38.459799414932235</v>
      </c>
      <c r="AC56" s="90" t="e">
        <f>INDEX(Efficiencies!$D$8:$M$89,MATCH(C56,Efficiencies!$C$8:$C$89),MATCH(D56,Efficiencies!$D$7:$M$7))</f>
        <v>#REF!</v>
      </c>
      <c r="AD56" s="90" t="e">
        <f t="shared" si="38"/>
        <v>#REF!</v>
      </c>
      <c r="AE56" s="90" t="e">
        <f>INDEX(Efficiencies!$P$8:$Y$89,MATCH(C56,Efficiencies!$C$8:$C$89),MATCH(D56,Efficiencies!$P$7:$Y$7))</f>
        <v>#REF!</v>
      </c>
      <c r="AF56" s="90" t="e">
        <f t="shared" si="24"/>
        <v>#REF!</v>
      </c>
      <c r="AG56" s="90">
        <v>0</v>
      </c>
      <c r="AI56" s="93"/>
    </row>
    <row r="57" spans="1:35" x14ac:dyDescent="0.2">
      <c r="A57" s="92" t="s">
        <v>885</v>
      </c>
      <c r="B57" s="248" t="s">
        <v>886</v>
      </c>
      <c r="C57" s="40" t="s">
        <v>878</v>
      </c>
      <c r="D57" s="40">
        <v>2020</v>
      </c>
      <c r="E57" s="86">
        <f>GDPdeflator!$C$32*INDEX(Costs!$E$7:$O$89,MATCH($C57,Costs!$C$7:$C$89,0),MATCH(E$7,Costs!$E$6:$O$6,0))</f>
        <v>18.221447253705318</v>
      </c>
      <c r="F57" s="86">
        <f>GDPdeflator!$C$36*INDEX(Costs!$E$7:$O$89,MATCH($C57,Costs!$C$7:$C$89,0),MATCH(F$7,Costs!$E$6:$O$6,0))</f>
        <v>22.254257140282906</v>
      </c>
      <c r="G57" s="86">
        <f>GDPdeflator!$C$38*INDEX(Costs!$E$7:$O$89,MATCH($C57,Costs!$C$7:$C$89,0),MATCH(G$7,Costs!$E$6:$O$6,0))</f>
        <v>20.859657054151349</v>
      </c>
      <c r="H57" s="86">
        <f>GDPdeflator!$C$38*INDEX(Costs!$E$7:$O$89,MATCH($C57,Costs!$C$7:$C$89,0),MATCH(H$7,Costs!$E$6:$O$6,0))</f>
        <v>21.131244357250338</v>
      </c>
      <c r="I57" s="86">
        <f>GDPdeflator!$C$38*INDEX(Costs!$E$7:$O$89,MATCH($C57,Costs!$C$7:$C$89,0),MATCH(I$7,Costs!$E$6:$O$6,0))</f>
        <v>21.621853678977544</v>
      </c>
      <c r="J57" s="86">
        <f>GDPdeflator!$C$38*INDEX(Costs!$E$7:$O$89,MATCH($C57,Costs!$C$7:$C$89,0),MATCH(J$7,Costs!$E$6:$O$6,0))</f>
        <v>21.639375440467798</v>
      </c>
      <c r="K57" s="86">
        <f>GDPdeflator!$C$38*INDEX(Costs!$E$7:$O$89,MATCH($C57,Costs!$C$7:$C$89,0),MATCH(K$7,Costs!$E$6:$O$6,0))</f>
        <v>21.656897201958056</v>
      </c>
      <c r="L57" s="86">
        <f>GDPdeflator!$C$38*INDEX(Costs!$E$7:$O$89,MATCH($C57,Costs!$C$7:$C$89,0),MATCH(L$7,Costs!$E$6:$O$6,0))</f>
        <v>21.674418963448314</v>
      </c>
      <c r="M57" s="86">
        <f>GDPdeflator!$C$38*INDEX(Costs!$E$7:$O$89,MATCH($C57,Costs!$C$7:$C$89,0),MATCH(M$7,Costs!$E$6:$O$6,0))</f>
        <v>21.674418963448314</v>
      </c>
      <c r="N57" s="86">
        <f>GDPdeflator!$C$38*INDEX(Costs!$E$7:$O$89,MATCH($C57,Costs!$C$7:$C$89,0),MATCH(N$7,Costs!$E$6:$O$6,0))</f>
        <v>21.674418963448314</v>
      </c>
      <c r="O57" s="86">
        <f>GDPdeflator!$C$38*INDEX(Costs!$E$7:$O$89,MATCH($C57,Costs!$C$7:$C$89,0),MATCH(O$7,Costs!$E$6:$O$6,0))</f>
        <v>21.674418963448314</v>
      </c>
      <c r="P57" s="87">
        <f t="shared" si="37"/>
        <v>1521.457090813934</v>
      </c>
      <c r="Q57" s="87">
        <f t="shared" si="27"/>
        <v>1858.1892456426515</v>
      </c>
      <c r="R57" s="87">
        <f t="shared" si="28"/>
        <v>1741.7427219197289</v>
      </c>
      <c r="S57" s="87">
        <f t="shared" si="29"/>
        <v>1764.4197586183898</v>
      </c>
      <c r="T57" s="87">
        <f t="shared" si="30"/>
        <v>1805.3847281385515</v>
      </c>
      <c r="U57" s="87">
        <f t="shared" si="31"/>
        <v>1806.8477627642712</v>
      </c>
      <c r="V57" s="87">
        <f t="shared" si="32"/>
        <v>1808.3107973899914</v>
      </c>
      <c r="W57" s="87">
        <f t="shared" si="33"/>
        <v>1809.7738320157116</v>
      </c>
      <c r="X57" s="87">
        <f t="shared" si="34"/>
        <v>1809.7738320157116</v>
      </c>
      <c r="Y57" s="87">
        <f t="shared" si="35"/>
        <v>1809.7738320157116</v>
      </c>
      <c r="Z57" s="87">
        <f t="shared" si="36"/>
        <v>1809.7738320157116</v>
      </c>
      <c r="AA57" s="88">
        <v>400</v>
      </c>
      <c r="AB57" s="89">
        <f>AA57*GDPdeflator!$C$25/$AI$18*10^3</f>
        <v>38.459799414932235</v>
      </c>
      <c r="AC57" s="90" t="e">
        <f>INDEX(Efficiencies!$D$8:$M$89,MATCH(C57,Efficiencies!$C$8:$C$89),MATCH(D57,Efficiencies!$D$7:$M$7))</f>
        <v>#REF!</v>
      </c>
      <c r="AD57" s="90" t="e">
        <f t="shared" si="38"/>
        <v>#REF!</v>
      </c>
      <c r="AE57" s="90" t="e">
        <f>INDEX(Efficiencies!$P$8:$Y$89,MATCH(C57,Efficiencies!$C$8:$C$89),MATCH(D57,Efficiencies!$P$7:$Y$7))</f>
        <v>#REF!</v>
      </c>
      <c r="AF57" s="90" t="e">
        <f t="shared" si="24"/>
        <v>#REF!</v>
      </c>
      <c r="AG57" s="90">
        <v>0</v>
      </c>
      <c r="AI57" s="93"/>
    </row>
    <row r="58" spans="1:35" x14ac:dyDescent="0.2">
      <c r="A58" s="92" t="s">
        <v>887</v>
      </c>
      <c r="B58" s="248" t="s">
        <v>888</v>
      </c>
      <c r="C58" s="40" t="s">
        <v>878</v>
      </c>
      <c r="D58" s="40">
        <v>2025</v>
      </c>
      <c r="E58" s="86">
        <f>GDPdeflator!$C$32*INDEX(Costs!$E$7:$O$89,MATCH($C58,Costs!$C$7:$C$89,0),MATCH(E$7,Costs!$E$6:$O$6,0))</f>
        <v>18.221447253705318</v>
      </c>
      <c r="F58" s="86">
        <f>GDPdeflator!$C$36*INDEX(Costs!$E$7:$O$89,MATCH($C58,Costs!$C$7:$C$89,0),MATCH(F$7,Costs!$E$6:$O$6,0))</f>
        <v>22.254257140282906</v>
      </c>
      <c r="G58" s="86">
        <f>GDPdeflator!$C$38*INDEX(Costs!$E$7:$O$89,MATCH($C58,Costs!$C$7:$C$89,0),MATCH(G$7,Costs!$E$6:$O$6,0))</f>
        <v>20.859657054151349</v>
      </c>
      <c r="H58" s="86">
        <f>GDPdeflator!$C$38*INDEX(Costs!$E$7:$O$89,MATCH($C58,Costs!$C$7:$C$89,0),MATCH(H$7,Costs!$E$6:$O$6,0))</f>
        <v>21.131244357250338</v>
      </c>
      <c r="I58" s="86">
        <f>GDPdeflator!$C$38*INDEX(Costs!$E$7:$O$89,MATCH($C58,Costs!$C$7:$C$89,0),MATCH(I$7,Costs!$E$6:$O$6,0))</f>
        <v>21.621853678977544</v>
      </c>
      <c r="J58" s="86">
        <f>GDPdeflator!$C$38*INDEX(Costs!$E$7:$O$89,MATCH($C58,Costs!$C$7:$C$89,0),MATCH(J$7,Costs!$E$6:$O$6,0))</f>
        <v>21.639375440467798</v>
      </c>
      <c r="K58" s="86">
        <f>GDPdeflator!$C$38*INDEX(Costs!$E$7:$O$89,MATCH($C58,Costs!$C$7:$C$89,0),MATCH(K$7,Costs!$E$6:$O$6,0))</f>
        <v>21.656897201958056</v>
      </c>
      <c r="L58" s="86">
        <f>GDPdeflator!$C$38*INDEX(Costs!$E$7:$O$89,MATCH($C58,Costs!$C$7:$C$89,0),MATCH(L$7,Costs!$E$6:$O$6,0))</f>
        <v>21.674418963448314</v>
      </c>
      <c r="M58" s="86">
        <f>GDPdeflator!$C$38*INDEX(Costs!$E$7:$O$89,MATCH($C58,Costs!$C$7:$C$89,0),MATCH(M$7,Costs!$E$6:$O$6,0))</f>
        <v>21.674418963448314</v>
      </c>
      <c r="N58" s="86">
        <f>GDPdeflator!$C$38*INDEX(Costs!$E$7:$O$89,MATCH($C58,Costs!$C$7:$C$89,0),MATCH(N$7,Costs!$E$6:$O$6,0))</f>
        <v>21.674418963448314</v>
      </c>
      <c r="O58" s="86">
        <f>GDPdeflator!$C$38*INDEX(Costs!$E$7:$O$89,MATCH($C58,Costs!$C$7:$C$89,0),MATCH(O$7,Costs!$E$6:$O$6,0))</f>
        <v>21.674418963448314</v>
      </c>
      <c r="P58" s="87">
        <f t="shared" si="37"/>
        <v>1521.457090813934</v>
      </c>
      <c r="Q58" s="87">
        <f t="shared" si="27"/>
        <v>1858.1892456426515</v>
      </c>
      <c r="R58" s="87">
        <f t="shared" si="28"/>
        <v>1741.7427219197289</v>
      </c>
      <c r="S58" s="87">
        <f t="shared" si="29"/>
        <v>1764.4197586183898</v>
      </c>
      <c r="T58" s="87">
        <f t="shared" si="30"/>
        <v>1805.3847281385515</v>
      </c>
      <c r="U58" s="87">
        <f t="shared" si="31"/>
        <v>1806.8477627642712</v>
      </c>
      <c r="V58" s="87">
        <f t="shared" si="32"/>
        <v>1808.3107973899914</v>
      </c>
      <c r="W58" s="87">
        <f t="shared" si="33"/>
        <v>1809.7738320157116</v>
      </c>
      <c r="X58" s="87">
        <f t="shared" si="34"/>
        <v>1809.7738320157116</v>
      </c>
      <c r="Y58" s="87">
        <f t="shared" si="35"/>
        <v>1809.7738320157116</v>
      </c>
      <c r="Z58" s="87">
        <f t="shared" si="36"/>
        <v>1809.7738320157116</v>
      </c>
      <c r="AA58" s="88">
        <v>400</v>
      </c>
      <c r="AB58" s="89">
        <f>AA58*GDPdeflator!$C$25/$AI$18*10^3</f>
        <v>38.459799414932235</v>
      </c>
      <c r="AC58" s="90" t="e">
        <f>INDEX(Efficiencies!$D$8:$M$89,MATCH(C58,Efficiencies!$C$8:$C$89),MATCH(D58,Efficiencies!$D$7:$M$7))</f>
        <v>#REF!</v>
      </c>
      <c r="AD58" s="90" t="e">
        <f t="shared" si="38"/>
        <v>#REF!</v>
      </c>
      <c r="AE58" s="90" t="e">
        <f>INDEX(Efficiencies!$P$8:$Y$89,MATCH(C58,Efficiencies!$C$8:$C$89),MATCH(D58,Efficiencies!$P$7:$Y$7))</f>
        <v>#REF!</v>
      </c>
      <c r="AF58" s="90" t="e">
        <f t="shared" si="24"/>
        <v>#REF!</v>
      </c>
      <c r="AG58" s="90">
        <v>0</v>
      </c>
      <c r="AI58" s="93"/>
    </row>
    <row r="59" spans="1:35" x14ac:dyDescent="0.2">
      <c r="A59" s="92" t="s">
        <v>889</v>
      </c>
      <c r="B59" s="248" t="s">
        <v>890</v>
      </c>
      <c r="C59" s="40" t="s">
        <v>878</v>
      </c>
      <c r="D59" s="40">
        <v>2030</v>
      </c>
      <c r="E59" s="86">
        <f>GDPdeflator!$C$32*INDEX(Costs!$E$7:$O$89,MATCH($C59,Costs!$C$7:$C$89,0),MATCH(E$7,Costs!$E$6:$O$6,0))</f>
        <v>18.221447253705318</v>
      </c>
      <c r="F59" s="86">
        <f>GDPdeflator!$C$36*INDEX(Costs!$E$7:$O$89,MATCH($C59,Costs!$C$7:$C$89,0),MATCH(F$7,Costs!$E$6:$O$6,0))</f>
        <v>22.254257140282906</v>
      </c>
      <c r="G59" s="86">
        <f>GDPdeflator!$C$38*INDEX(Costs!$E$7:$O$89,MATCH($C59,Costs!$C$7:$C$89,0),MATCH(G$7,Costs!$E$6:$O$6,0))</f>
        <v>20.859657054151349</v>
      </c>
      <c r="H59" s="86">
        <f>GDPdeflator!$C$38*INDEX(Costs!$E$7:$O$89,MATCH($C59,Costs!$C$7:$C$89,0),MATCH(H$7,Costs!$E$6:$O$6,0))</f>
        <v>21.131244357250338</v>
      </c>
      <c r="I59" s="86">
        <f>GDPdeflator!$C$38*INDEX(Costs!$E$7:$O$89,MATCH($C59,Costs!$C$7:$C$89,0),MATCH(I$7,Costs!$E$6:$O$6,0))</f>
        <v>21.621853678977544</v>
      </c>
      <c r="J59" s="86">
        <f>GDPdeflator!$C$38*INDEX(Costs!$E$7:$O$89,MATCH($C59,Costs!$C$7:$C$89,0),MATCH(J$7,Costs!$E$6:$O$6,0))</f>
        <v>21.639375440467798</v>
      </c>
      <c r="K59" s="86">
        <f>GDPdeflator!$C$38*INDEX(Costs!$E$7:$O$89,MATCH($C59,Costs!$C$7:$C$89,0),MATCH(K$7,Costs!$E$6:$O$6,0))</f>
        <v>21.656897201958056</v>
      </c>
      <c r="L59" s="86">
        <f>GDPdeflator!$C$38*INDEX(Costs!$E$7:$O$89,MATCH($C59,Costs!$C$7:$C$89,0),MATCH(L$7,Costs!$E$6:$O$6,0))</f>
        <v>21.674418963448314</v>
      </c>
      <c r="M59" s="86">
        <f>GDPdeflator!$C$38*INDEX(Costs!$E$7:$O$89,MATCH($C59,Costs!$C$7:$C$89,0),MATCH(M$7,Costs!$E$6:$O$6,0))</f>
        <v>21.674418963448314</v>
      </c>
      <c r="N59" s="86">
        <f>GDPdeflator!$C$38*INDEX(Costs!$E$7:$O$89,MATCH($C59,Costs!$C$7:$C$89,0),MATCH(N$7,Costs!$E$6:$O$6,0))</f>
        <v>21.674418963448314</v>
      </c>
      <c r="O59" s="86">
        <f>GDPdeflator!$C$38*INDEX(Costs!$E$7:$O$89,MATCH($C59,Costs!$C$7:$C$89,0),MATCH(O$7,Costs!$E$6:$O$6,0))</f>
        <v>21.674418963448314</v>
      </c>
      <c r="P59" s="87">
        <f t="shared" si="37"/>
        <v>1521.457090813934</v>
      </c>
      <c r="Q59" s="87">
        <f t="shared" si="27"/>
        <v>1858.1892456426515</v>
      </c>
      <c r="R59" s="87">
        <f t="shared" si="28"/>
        <v>1741.7427219197289</v>
      </c>
      <c r="S59" s="87">
        <f t="shared" si="29"/>
        <v>1764.4197586183898</v>
      </c>
      <c r="T59" s="87">
        <f t="shared" si="30"/>
        <v>1805.3847281385515</v>
      </c>
      <c r="U59" s="87">
        <f t="shared" si="31"/>
        <v>1806.8477627642712</v>
      </c>
      <c r="V59" s="87">
        <f t="shared" si="32"/>
        <v>1808.3107973899914</v>
      </c>
      <c r="W59" s="87">
        <f t="shared" si="33"/>
        <v>1809.7738320157116</v>
      </c>
      <c r="X59" s="87">
        <f t="shared" si="34"/>
        <v>1809.7738320157116</v>
      </c>
      <c r="Y59" s="87">
        <f t="shared" si="35"/>
        <v>1809.7738320157116</v>
      </c>
      <c r="Z59" s="87">
        <f t="shared" si="36"/>
        <v>1809.7738320157116</v>
      </c>
      <c r="AA59" s="88">
        <v>400</v>
      </c>
      <c r="AB59" s="89">
        <f>AA59*GDPdeflator!$C$25/$AI$18*10^3</f>
        <v>38.459799414932235</v>
      </c>
      <c r="AC59" s="90" t="e">
        <f>INDEX(Efficiencies!$D$8:$M$89,MATCH(C59,Efficiencies!$C$8:$C$89),MATCH(D59,Efficiencies!$D$7:$M$7))</f>
        <v>#REF!</v>
      </c>
      <c r="AD59" s="90" t="e">
        <f t="shared" si="38"/>
        <v>#REF!</v>
      </c>
      <c r="AE59" s="90" t="e">
        <f>INDEX(Efficiencies!$P$8:$Y$89,MATCH(C59,Efficiencies!$C$8:$C$89),MATCH(D59,Efficiencies!$P$7:$Y$7))</f>
        <v>#REF!</v>
      </c>
      <c r="AF59" s="90" t="e">
        <f t="shared" si="24"/>
        <v>#REF!</v>
      </c>
      <c r="AG59" s="90">
        <v>0</v>
      </c>
      <c r="AI59" s="93"/>
    </row>
    <row r="60" spans="1:35" x14ac:dyDescent="0.2">
      <c r="A60" s="92" t="s">
        <v>891</v>
      </c>
      <c r="B60" s="248" t="s">
        <v>892</v>
      </c>
      <c r="C60" s="40" t="s">
        <v>878</v>
      </c>
      <c r="D60" s="40">
        <v>2035</v>
      </c>
      <c r="E60" s="86">
        <f>GDPdeflator!$C$32*INDEX(Costs!$E$7:$O$89,MATCH($C60,Costs!$C$7:$C$89,0),MATCH(E$7,Costs!$E$6:$O$6,0))</f>
        <v>18.221447253705318</v>
      </c>
      <c r="F60" s="86">
        <f>GDPdeflator!$C$36*INDEX(Costs!$E$7:$O$89,MATCH($C60,Costs!$C$7:$C$89,0),MATCH(F$7,Costs!$E$6:$O$6,0))</f>
        <v>22.254257140282906</v>
      </c>
      <c r="G60" s="86">
        <f>GDPdeflator!$C$38*INDEX(Costs!$E$7:$O$89,MATCH($C60,Costs!$C$7:$C$89,0),MATCH(G$7,Costs!$E$6:$O$6,0))</f>
        <v>20.859657054151349</v>
      </c>
      <c r="H60" s="86">
        <f>GDPdeflator!$C$38*INDEX(Costs!$E$7:$O$89,MATCH($C60,Costs!$C$7:$C$89,0),MATCH(H$7,Costs!$E$6:$O$6,0))</f>
        <v>21.131244357250338</v>
      </c>
      <c r="I60" s="86">
        <f>GDPdeflator!$C$38*INDEX(Costs!$E$7:$O$89,MATCH($C60,Costs!$C$7:$C$89,0),MATCH(I$7,Costs!$E$6:$O$6,0))</f>
        <v>21.621853678977544</v>
      </c>
      <c r="J60" s="86">
        <f>GDPdeflator!$C$38*INDEX(Costs!$E$7:$O$89,MATCH($C60,Costs!$C$7:$C$89,0),MATCH(J$7,Costs!$E$6:$O$6,0))</f>
        <v>21.639375440467798</v>
      </c>
      <c r="K60" s="86">
        <f>GDPdeflator!$C$38*INDEX(Costs!$E$7:$O$89,MATCH($C60,Costs!$C$7:$C$89,0),MATCH(K$7,Costs!$E$6:$O$6,0))</f>
        <v>21.656897201958056</v>
      </c>
      <c r="L60" s="86">
        <f>GDPdeflator!$C$38*INDEX(Costs!$E$7:$O$89,MATCH($C60,Costs!$C$7:$C$89,0),MATCH(L$7,Costs!$E$6:$O$6,0))</f>
        <v>21.674418963448314</v>
      </c>
      <c r="M60" s="86">
        <f>GDPdeflator!$C$38*INDEX(Costs!$E$7:$O$89,MATCH($C60,Costs!$C$7:$C$89,0),MATCH(M$7,Costs!$E$6:$O$6,0))</f>
        <v>21.674418963448314</v>
      </c>
      <c r="N60" s="86">
        <f>GDPdeflator!$C$38*INDEX(Costs!$E$7:$O$89,MATCH($C60,Costs!$C$7:$C$89,0),MATCH(N$7,Costs!$E$6:$O$6,0))</f>
        <v>21.674418963448314</v>
      </c>
      <c r="O60" s="86">
        <f>GDPdeflator!$C$38*INDEX(Costs!$E$7:$O$89,MATCH($C60,Costs!$C$7:$C$89,0),MATCH(O$7,Costs!$E$6:$O$6,0))</f>
        <v>21.674418963448314</v>
      </c>
      <c r="P60" s="87">
        <f t="shared" si="37"/>
        <v>1521.457090813934</v>
      </c>
      <c r="Q60" s="87">
        <f t="shared" si="27"/>
        <v>1858.1892456426515</v>
      </c>
      <c r="R60" s="87">
        <f t="shared" si="28"/>
        <v>1741.7427219197289</v>
      </c>
      <c r="S60" s="87">
        <f t="shared" si="29"/>
        <v>1764.4197586183898</v>
      </c>
      <c r="T60" s="87">
        <f t="shared" si="30"/>
        <v>1805.3847281385515</v>
      </c>
      <c r="U60" s="87">
        <f t="shared" si="31"/>
        <v>1806.8477627642712</v>
      </c>
      <c r="V60" s="87">
        <f t="shared" si="32"/>
        <v>1808.3107973899914</v>
      </c>
      <c r="W60" s="87">
        <f t="shared" si="33"/>
        <v>1809.7738320157116</v>
      </c>
      <c r="X60" s="87">
        <f t="shared" si="34"/>
        <v>1809.7738320157116</v>
      </c>
      <c r="Y60" s="87">
        <f t="shared" si="35"/>
        <v>1809.7738320157116</v>
      </c>
      <c r="Z60" s="87">
        <f t="shared" si="36"/>
        <v>1809.7738320157116</v>
      </c>
      <c r="AA60" s="88">
        <v>400</v>
      </c>
      <c r="AB60" s="89">
        <f>AA60*GDPdeflator!$C$25/$AI$18*10^3</f>
        <v>38.459799414932235</v>
      </c>
      <c r="AC60" s="90" t="e">
        <f>INDEX(Efficiencies!$D$8:$M$89,MATCH(C60,Efficiencies!$C$8:$C$89),MATCH(D60,Efficiencies!$D$7:$M$7))</f>
        <v>#REF!</v>
      </c>
      <c r="AD60" s="90" t="e">
        <f t="shared" si="38"/>
        <v>#REF!</v>
      </c>
      <c r="AE60" s="90" t="e">
        <f>INDEX(Efficiencies!$P$8:$Y$89,MATCH(C60,Efficiencies!$C$8:$C$89),MATCH(D60,Efficiencies!$P$7:$Y$7))</f>
        <v>#REF!</v>
      </c>
      <c r="AF60" s="90" t="e">
        <f t="shared" si="24"/>
        <v>#REF!</v>
      </c>
      <c r="AG60" s="90">
        <v>0</v>
      </c>
      <c r="AI60" s="93"/>
    </row>
    <row r="61" spans="1:35" x14ac:dyDescent="0.2">
      <c r="A61" s="92" t="s">
        <v>893</v>
      </c>
      <c r="B61" s="248" t="s">
        <v>894</v>
      </c>
      <c r="C61" s="40" t="s">
        <v>878</v>
      </c>
      <c r="D61" s="40">
        <v>2040</v>
      </c>
      <c r="E61" s="86">
        <f>GDPdeflator!$C$32*INDEX(Costs!$E$7:$O$89,MATCH($C61,Costs!$C$7:$C$89,0),MATCH(E$7,Costs!$E$6:$O$6,0))</f>
        <v>18.221447253705318</v>
      </c>
      <c r="F61" s="86">
        <f>GDPdeflator!$C$36*INDEX(Costs!$E$7:$O$89,MATCH($C61,Costs!$C$7:$C$89,0),MATCH(F$7,Costs!$E$6:$O$6,0))</f>
        <v>22.254257140282906</v>
      </c>
      <c r="G61" s="86">
        <f>GDPdeflator!$C$38*INDEX(Costs!$E$7:$O$89,MATCH($C61,Costs!$C$7:$C$89,0),MATCH(G$7,Costs!$E$6:$O$6,0))</f>
        <v>20.859657054151349</v>
      </c>
      <c r="H61" s="86">
        <f>GDPdeflator!$C$38*INDEX(Costs!$E$7:$O$89,MATCH($C61,Costs!$C$7:$C$89,0),MATCH(H$7,Costs!$E$6:$O$6,0))</f>
        <v>21.131244357250338</v>
      </c>
      <c r="I61" s="86">
        <f>GDPdeflator!$C$38*INDEX(Costs!$E$7:$O$89,MATCH($C61,Costs!$C$7:$C$89,0),MATCH(I$7,Costs!$E$6:$O$6,0))</f>
        <v>21.621853678977544</v>
      </c>
      <c r="J61" s="86">
        <f>GDPdeflator!$C$38*INDEX(Costs!$E$7:$O$89,MATCH($C61,Costs!$C$7:$C$89,0),MATCH(J$7,Costs!$E$6:$O$6,0))</f>
        <v>21.639375440467798</v>
      </c>
      <c r="K61" s="86">
        <f>GDPdeflator!$C$38*INDEX(Costs!$E$7:$O$89,MATCH($C61,Costs!$C$7:$C$89,0),MATCH(K$7,Costs!$E$6:$O$6,0))</f>
        <v>21.656897201958056</v>
      </c>
      <c r="L61" s="86">
        <f>GDPdeflator!$C$38*INDEX(Costs!$E$7:$O$89,MATCH($C61,Costs!$C$7:$C$89,0),MATCH(L$7,Costs!$E$6:$O$6,0))</f>
        <v>21.674418963448314</v>
      </c>
      <c r="M61" s="86">
        <f>GDPdeflator!$C$38*INDEX(Costs!$E$7:$O$89,MATCH($C61,Costs!$C$7:$C$89,0),MATCH(M$7,Costs!$E$6:$O$6,0))</f>
        <v>21.674418963448314</v>
      </c>
      <c r="N61" s="86">
        <f>GDPdeflator!$C$38*INDEX(Costs!$E$7:$O$89,MATCH($C61,Costs!$C$7:$C$89,0),MATCH(N$7,Costs!$E$6:$O$6,0))</f>
        <v>21.674418963448314</v>
      </c>
      <c r="O61" s="86">
        <f>GDPdeflator!$C$38*INDEX(Costs!$E$7:$O$89,MATCH($C61,Costs!$C$7:$C$89,0),MATCH(O$7,Costs!$E$6:$O$6,0))</f>
        <v>21.674418963448314</v>
      </c>
      <c r="P61" s="87">
        <f t="shared" si="37"/>
        <v>1521.457090813934</v>
      </c>
      <c r="Q61" s="87">
        <f t="shared" si="27"/>
        <v>1858.1892456426515</v>
      </c>
      <c r="R61" s="87">
        <f t="shared" si="28"/>
        <v>1741.7427219197289</v>
      </c>
      <c r="S61" s="87">
        <f t="shared" si="29"/>
        <v>1764.4197586183898</v>
      </c>
      <c r="T61" s="87">
        <f t="shared" si="30"/>
        <v>1805.3847281385515</v>
      </c>
      <c r="U61" s="87">
        <f t="shared" si="31"/>
        <v>1806.8477627642712</v>
      </c>
      <c r="V61" s="87">
        <f t="shared" si="32"/>
        <v>1808.3107973899914</v>
      </c>
      <c r="W61" s="87">
        <f t="shared" si="33"/>
        <v>1809.7738320157116</v>
      </c>
      <c r="X61" s="87">
        <f t="shared" si="34"/>
        <v>1809.7738320157116</v>
      </c>
      <c r="Y61" s="87">
        <f t="shared" si="35"/>
        <v>1809.7738320157116</v>
      </c>
      <c r="Z61" s="87">
        <f t="shared" si="36"/>
        <v>1809.7738320157116</v>
      </c>
      <c r="AA61" s="88">
        <v>400</v>
      </c>
      <c r="AB61" s="89">
        <f>AA61*GDPdeflator!$C$25/$AI$18*10^3</f>
        <v>38.459799414932235</v>
      </c>
      <c r="AC61" s="90" t="e">
        <f>INDEX(Efficiencies!$D$8:$M$89,MATCH(C61,Efficiencies!$C$8:$C$89),MATCH(D61,Efficiencies!$D$7:$M$7))</f>
        <v>#REF!</v>
      </c>
      <c r="AD61" s="90" t="e">
        <f t="shared" si="38"/>
        <v>#REF!</v>
      </c>
      <c r="AE61" s="90" t="e">
        <f>INDEX(Efficiencies!$P$8:$Y$89,MATCH(C61,Efficiencies!$C$8:$C$89),MATCH(D61,Efficiencies!$P$7:$Y$7))</f>
        <v>#REF!</v>
      </c>
      <c r="AF61" s="90" t="e">
        <f t="shared" si="24"/>
        <v>#REF!</v>
      </c>
      <c r="AG61" s="90">
        <v>0</v>
      </c>
      <c r="AI61" s="93"/>
    </row>
    <row r="62" spans="1:35" x14ac:dyDescent="0.2">
      <c r="A62" s="92" t="s">
        <v>895</v>
      </c>
      <c r="B62" s="248" t="s">
        <v>896</v>
      </c>
      <c r="C62" s="40" t="s">
        <v>878</v>
      </c>
      <c r="D62" s="40">
        <v>2045</v>
      </c>
      <c r="E62" s="86">
        <f>GDPdeflator!$C$32*INDEX(Costs!$E$7:$O$89,MATCH($C62,Costs!$C$7:$C$89,0),MATCH(E$7,Costs!$E$6:$O$6,0))</f>
        <v>18.221447253705318</v>
      </c>
      <c r="F62" s="86">
        <f>GDPdeflator!$C$36*INDEX(Costs!$E$7:$O$89,MATCH($C62,Costs!$C$7:$C$89,0),MATCH(F$7,Costs!$E$6:$O$6,0))</f>
        <v>22.254257140282906</v>
      </c>
      <c r="G62" s="86">
        <f>GDPdeflator!$C$38*INDEX(Costs!$E$7:$O$89,MATCH($C62,Costs!$C$7:$C$89,0),MATCH(G$7,Costs!$E$6:$O$6,0))</f>
        <v>20.859657054151349</v>
      </c>
      <c r="H62" s="86">
        <f>GDPdeflator!$C$38*INDEX(Costs!$E$7:$O$89,MATCH($C62,Costs!$C$7:$C$89,0),MATCH(H$7,Costs!$E$6:$O$6,0))</f>
        <v>21.131244357250338</v>
      </c>
      <c r="I62" s="86">
        <f>GDPdeflator!$C$38*INDEX(Costs!$E$7:$O$89,MATCH($C62,Costs!$C$7:$C$89,0),MATCH(I$7,Costs!$E$6:$O$6,0))</f>
        <v>21.621853678977544</v>
      </c>
      <c r="J62" s="86">
        <f>GDPdeflator!$C$38*INDEX(Costs!$E$7:$O$89,MATCH($C62,Costs!$C$7:$C$89,0),MATCH(J$7,Costs!$E$6:$O$6,0))</f>
        <v>21.639375440467798</v>
      </c>
      <c r="K62" s="86">
        <f>GDPdeflator!$C$38*INDEX(Costs!$E$7:$O$89,MATCH($C62,Costs!$C$7:$C$89,0),MATCH(K$7,Costs!$E$6:$O$6,0))</f>
        <v>21.656897201958056</v>
      </c>
      <c r="L62" s="86">
        <f>GDPdeflator!$C$38*INDEX(Costs!$E$7:$O$89,MATCH($C62,Costs!$C$7:$C$89,0),MATCH(L$7,Costs!$E$6:$O$6,0))</f>
        <v>21.674418963448314</v>
      </c>
      <c r="M62" s="86">
        <f>GDPdeflator!$C$38*INDEX(Costs!$E$7:$O$89,MATCH($C62,Costs!$C$7:$C$89,0),MATCH(M$7,Costs!$E$6:$O$6,0))</f>
        <v>21.674418963448314</v>
      </c>
      <c r="N62" s="86">
        <f>GDPdeflator!$C$38*INDEX(Costs!$E$7:$O$89,MATCH($C62,Costs!$C$7:$C$89,0),MATCH(N$7,Costs!$E$6:$O$6,0))</f>
        <v>21.674418963448314</v>
      </c>
      <c r="O62" s="86">
        <f>GDPdeflator!$C$38*INDEX(Costs!$E$7:$O$89,MATCH($C62,Costs!$C$7:$C$89,0),MATCH(O$7,Costs!$E$6:$O$6,0))</f>
        <v>21.674418963448314</v>
      </c>
      <c r="P62" s="87">
        <f t="shared" si="37"/>
        <v>1521.457090813934</v>
      </c>
      <c r="Q62" s="87">
        <f t="shared" si="27"/>
        <v>1858.1892456426515</v>
      </c>
      <c r="R62" s="87">
        <f t="shared" si="28"/>
        <v>1741.7427219197289</v>
      </c>
      <c r="S62" s="87">
        <f t="shared" si="29"/>
        <v>1764.4197586183898</v>
      </c>
      <c r="T62" s="87">
        <f t="shared" si="30"/>
        <v>1805.3847281385515</v>
      </c>
      <c r="U62" s="87">
        <f t="shared" si="31"/>
        <v>1806.8477627642712</v>
      </c>
      <c r="V62" s="87">
        <f t="shared" si="32"/>
        <v>1808.3107973899914</v>
      </c>
      <c r="W62" s="87">
        <f t="shared" si="33"/>
        <v>1809.7738320157116</v>
      </c>
      <c r="X62" s="87">
        <f t="shared" si="34"/>
        <v>1809.7738320157116</v>
      </c>
      <c r="Y62" s="87">
        <f t="shared" si="35"/>
        <v>1809.7738320157116</v>
      </c>
      <c r="Z62" s="87">
        <f t="shared" si="36"/>
        <v>1809.7738320157116</v>
      </c>
      <c r="AA62" s="88">
        <v>400</v>
      </c>
      <c r="AB62" s="89">
        <f>AA62*GDPdeflator!$C$25/$AI$18*10^3</f>
        <v>38.459799414932235</v>
      </c>
      <c r="AC62" s="90" t="e">
        <f>INDEX(Efficiencies!$D$8:$M$89,MATCH(C62,Efficiencies!$C$8:$C$89),MATCH(D62,Efficiencies!$D$7:$M$7))</f>
        <v>#REF!</v>
      </c>
      <c r="AD62" s="90" t="e">
        <f t="shared" si="38"/>
        <v>#REF!</v>
      </c>
      <c r="AE62" s="90" t="e">
        <f>INDEX(Efficiencies!$P$8:$Y$89,MATCH(C62,Efficiencies!$C$8:$C$89),MATCH(D62,Efficiencies!$P$7:$Y$7))</f>
        <v>#REF!</v>
      </c>
      <c r="AF62" s="90" t="e">
        <f t="shared" si="24"/>
        <v>#REF!</v>
      </c>
      <c r="AG62" s="90">
        <v>0</v>
      </c>
      <c r="AI62" s="93"/>
    </row>
    <row r="63" spans="1:35" x14ac:dyDescent="0.2">
      <c r="A63" s="92" t="s">
        <v>897</v>
      </c>
      <c r="B63" s="248" t="s">
        <v>898</v>
      </c>
      <c r="C63" s="40" t="s">
        <v>878</v>
      </c>
      <c r="D63" s="40">
        <v>2050</v>
      </c>
      <c r="E63" s="86">
        <f>GDPdeflator!$C$32*INDEX(Costs!$E$7:$O$89,MATCH($C63,Costs!$C$7:$C$89,0),MATCH(E$7,Costs!$E$6:$O$6,0))</f>
        <v>18.221447253705318</v>
      </c>
      <c r="F63" s="86">
        <f>GDPdeflator!$C$36*INDEX(Costs!$E$7:$O$89,MATCH($C63,Costs!$C$7:$C$89,0),MATCH(F$7,Costs!$E$6:$O$6,0))</f>
        <v>22.254257140282906</v>
      </c>
      <c r="G63" s="86">
        <f>GDPdeflator!$C$38*INDEX(Costs!$E$7:$O$89,MATCH($C63,Costs!$C$7:$C$89,0),MATCH(G$7,Costs!$E$6:$O$6,0))</f>
        <v>20.859657054151349</v>
      </c>
      <c r="H63" s="86">
        <f>GDPdeflator!$C$38*INDEX(Costs!$E$7:$O$89,MATCH($C63,Costs!$C$7:$C$89,0),MATCH(H$7,Costs!$E$6:$O$6,0))</f>
        <v>21.131244357250338</v>
      </c>
      <c r="I63" s="86">
        <f>GDPdeflator!$C$38*INDEX(Costs!$E$7:$O$89,MATCH($C63,Costs!$C$7:$C$89,0),MATCH(I$7,Costs!$E$6:$O$6,0))</f>
        <v>21.621853678977544</v>
      </c>
      <c r="J63" s="86">
        <f>GDPdeflator!$C$38*INDEX(Costs!$E$7:$O$89,MATCH($C63,Costs!$C$7:$C$89,0),MATCH(J$7,Costs!$E$6:$O$6,0))</f>
        <v>21.639375440467798</v>
      </c>
      <c r="K63" s="86">
        <f>GDPdeflator!$C$38*INDEX(Costs!$E$7:$O$89,MATCH($C63,Costs!$C$7:$C$89,0),MATCH(K$7,Costs!$E$6:$O$6,0))</f>
        <v>21.656897201958056</v>
      </c>
      <c r="L63" s="86">
        <f>GDPdeflator!$C$38*INDEX(Costs!$E$7:$O$89,MATCH($C63,Costs!$C$7:$C$89,0),MATCH(L$7,Costs!$E$6:$O$6,0))</f>
        <v>21.674418963448314</v>
      </c>
      <c r="M63" s="86">
        <f>GDPdeflator!$C$38*INDEX(Costs!$E$7:$O$89,MATCH($C63,Costs!$C$7:$C$89,0),MATCH(M$7,Costs!$E$6:$O$6,0))</f>
        <v>21.674418963448314</v>
      </c>
      <c r="N63" s="86">
        <f>GDPdeflator!$C$38*INDEX(Costs!$E$7:$O$89,MATCH($C63,Costs!$C$7:$C$89,0),MATCH(N$7,Costs!$E$6:$O$6,0))</f>
        <v>21.674418963448314</v>
      </c>
      <c r="O63" s="86">
        <f>GDPdeflator!$C$38*INDEX(Costs!$E$7:$O$89,MATCH($C63,Costs!$C$7:$C$89,0),MATCH(O$7,Costs!$E$6:$O$6,0))</f>
        <v>21.674418963448314</v>
      </c>
      <c r="P63" s="87">
        <f t="shared" si="37"/>
        <v>1521.457090813934</v>
      </c>
      <c r="Q63" s="87">
        <f t="shared" si="27"/>
        <v>1858.1892456426515</v>
      </c>
      <c r="R63" s="87">
        <f t="shared" si="28"/>
        <v>1741.7427219197289</v>
      </c>
      <c r="S63" s="87">
        <f t="shared" si="29"/>
        <v>1764.4197586183898</v>
      </c>
      <c r="T63" s="87">
        <f t="shared" si="30"/>
        <v>1805.3847281385515</v>
      </c>
      <c r="U63" s="87">
        <f t="shared" si="31"/>
        <v>1806.8477627642712</v>
      </c>
      <c r="V63" s="87">
        <f t="shared" si="32"/>
        <v>1808.3107973899914</v>
      </c>
      <c r="W63" s="87">
        <f t="shared" si="33"/>
        <v>1809.7738320157116</v>
      </c>
      <c r="X63" s="87">
        <f t="shared" si="34"/>
        <v>1809.7738320157116</v>
      </c>
      <c r="Y63" s="87">
        <f t="shared" si="35"/>
        <v>1809.7738320157116</v>
      </c>
      <c r="Z63" s="87">
        <f t="shared" si="36"/>
        <v>1809.7738320157116</v>
      </c>
      <c r="AA63" s="88">
        <v>400</v>
      </c>
      <c r="AB63" s="89">
        <f>AA63*GDPdeflator!$C$25/$AI$18*10^3</f>
        <v>38.459799414932235</v>
      </c>
      <c r="AC63" s="90" t="e">
        <f>INDEX(Efficiencies!$D$8:$M$89,MATCH(C63,Efficiencies!$C$8:$C$89),MATCH(D63,Efficiencies!$D$7:$M$7))</f>
        <v>#REF!</v>
      </c>
      <c r="AD63" s="90" t="e">
        <f t="shared" si="38"/>
        <v>#REF!</v>
      </c>
      <c r="AE63" s="90" t="e">
        <f>INDEX(Efficiencies!$P$8:$Y$89,MATCH(C63,Efficiencies!$C$8:$C$89),MATCH(D63,Efficiencies!$P$7:$Y$7))</f>
        <v>#REF!</v>
      </c>
      <c r="AF63" s="90" t="e">
        <f t="shared" si="24"/>
        <v>#REF!</v>
      </c>
      <c r="AG63" s="90">
        <v>0</v>
      </c>
      <c r="AI63" s="93"/>
    </row>
    <row r="64" spans="1:35" x14ac:dyDescent="0.2">
      <c r="A64" s="92" t="s">
        <v>899</v>
      </c>
      <c r="B64" s="248" t="s">
        <v>900</v>
      </c>
      <c r="C64" s="40" t="s">
        <v>901</v>
      </c>
      <c r="D64" s="40">
        <v>2060</v>
      </c>
      <c r="E64" s="86">
        <f>GDPdeflator!$C$32*INDEX(Costs!$E$7:$O$89,MATCH($C64,Costs!$C$7:$C$89,0),MATCH(E$7,Costs!$E$6:$O$6,0))</f>
        <v>23.578417126804222</v>
      </c>
      <c r="F64" s="86">
        <f>GDPdeflator!$C$36*INDEX(Costs!$E$7:$O$89,MATCH($C64,Costs!$C$7:$C$89,0),MATCH(F$7,Costs!$E$6:$O$6,0))</f>
        <v>26.849265699612577</v>
      </c>
      <c r="G64" s="86">
        <f>GDPdeflator!$C$38*INDEX(Costs!$E$7:$O$89,MATCH($C64,Costs!$C$7:$C$89,0),MATCH(G$7,Costs!$E$6:$O$6,0))</f>
        <v>24.609314013066417</v>
      </c>
      <c r="H64" s="86">
        <f>GDPdeflator!$C$38*INDEX(Costs!$E$7:$O$89,MATCH($C64,Costs!$C$7:$C$89,0),MATCH(H$7,Costs!$E$6:$O$6,0))</f>
        <v>25.485402087579285</v>
      </c>
      <c r="I64" s="86">
        <f>GDPdeflator!$C$38*INDEX(Costs!$E$7:$O$89,MATCH($C64,Costs!$C$7:$C$89,0),MATCH(I$7,Costs!$E$6:$O$6,0))</f>
        <v>27.001034456486543</v>
      </c>
      <c r="J64" s="86">
        <f>GDPdeflator!$C$38*INDEX(Costs!$E$7:$O$89,MATCH($C64,Costs!$C$7:$C$89,0),MATCH(J$7,Costs!$E$6:$O$6,0))</f>
        <v>27.02731709872193</v>
      </c>
      <c r="K64" s="86">
        <f>GDPdeflator!$C$38*INDEX(Costs!$E$7:$O$89,MATCH($C64,Costs!$C$7:$C$89,0),MATCH(K$7,Costs!$E$6:$O$6,0))</f>
        <v>27.044838860212188</v>
      </c>
      <c r="L64" s="86">
        <f>GDPdeflator!$C$38*INDEX(Costs!$E$7:$O$89,MATCH($C64,Costs!$C$7:$C$89,0),MATCH(L$7,Costs!$E$6:$O$6,0))</f>
        <v>27.062360621702442</v>
      </c>
      <c r="M64" s="86">
        <f>GDPdeflator!$C$38*INDEX(Costs!$E$7:$O$89,MATCH($C64,Costs!$C$7:$C$89,0),MATCH(M$7,Costs!$E$6:$O$6,0))</f>
        <v>27.062360621702442</v>
      </c>
      <c r="N64" s="86">
        <f>GDPdeflator!$C$38*INDEX(Costs!$E$7:$O$89,MATCH($C64,Costs!$C$7:$C$89,0),MATCH(N$7,Costs!$E$6:$O$6,0))</f>
        <v>27.062360621702442</v>
      </c>
      <c r="O64" s="86">
        <f>GDPdeflator!$C$38*INDEX(Costs!$E$7:$O$89,MATCH($C64,Costs!$C$7:$C$89,0),MATCH(O$7,Costs!$E$6:$O$6,0))</f>
        <v>27.062360621702442</v>
      </c>
      <c r="P64" s="87">
        <f>E64/$AI$18*10^6</f>
        <v>1968.7541515370096</v>
      </c>
      <c r="Q64" s="87">
        <f t="shared" si="27"/>
        <v>2241.863948184252</v>
      </c>
      <c r="R64" s="87">
        <f t="shared" si="28"/>
        <v>2054.8321318238213</v>
      </c>
      <c r="S64" s="87">
        <f t="shared" si="29"/>
        <v>2127.9838631098246</v>
      </c>
      <c r="T64" s="87">
        <f t="shared" si="30"/>
        <v>2254.536358234609</v>
      </c>
      <c r="U64" s="87">
        <f t="shared" si="31"/>
        <v>2256.7309101731898</v>
      </c>
      <c r="V64" s="87">
        <f t="shared" si="32"/>
        <v>2258.1939447989098</v>
      </c>
      <c r="W64" s="87">
        <f t="shared" si="33"/>
        <v>2259.6569794246293</v>
      </c>
      <c r="X64" s="87">
        <f t="shared" si="34"/>
        <v>2259.6569794246293</v>
      </c>
      <c r="Y64" s="87">
        <f t="shared" si="35"/>
        <v>2259.6569794246293</v>
      </c>
      <c r="Z64" s="87">
        <f t="shared" si="36"/>
        <v>2259.6569794246293</v>
      </c>
      <c r="AA64" s="88">
        <v>360</v>
      </c>
      <c r="AB64" s="89">
        <f>AA64*GDPdeflator!$C$25/$AI$18*10^3</f>
        <v>34.613819473439015</v>
      </c>
      <c r="AC64" s="90" t="e">
        <f>INDEX(Efficiencies!$D$8:$M$89,MATCH(C64,Efficiencies!$C$8:$C$89),MATCH(D64,Efficiencies!$D$7:$M$7))</f>
        <v>#REF!</v>
      </c>
      <c r="AD64" s="90" t="e">
        <f t="shared" si="38"/>
        <v>#REF!</v>
      </c>
      <c r="AE64" s="90" t="e">
        <f>INDEX(Efficiencies!$P$8:$Y$89,MATCH(C64,Efficiencies!$C$8:$C$89),MATCH(D64,Efficiencies!$P$7:$Y$7))</f>
        <v>#REF!</v>
      </c>
      <c r="AF64" s="90" t="e">
        <f t="shared" si="24"/>
        <v>#REF!</v>
      </c>
      <c r="AG64" s="90">
        <v>0</v>
      </c>
      <c r="AI64" s="93"/>
    </row>
    <row r="65" spans="1:35" x14ac:dyDescent="0.2">
      <c r="A65" s="92" t="s">
        <v>902</v>
      </c>
      <c r="B65" s="248" t="s">
        <v>903</v>
      </c>
      <c r="C65" s="40" t="s">
        <v>901</v>
      </c>
      <c r="D65" s="40">
        <v>2005</v>
      </c>
      <c r="E65" s="86">
        <f>GDPdeflator!$C$32*INDEX(Costs!$E$7:$O$89,MATCH($C65,Costs!$C$7:$C$89,0),MATCH(E$7,Costs!$E$6:$O$6,0))</f>
        <v>23.578417126804222</v>
      </c>
      <c r="F65" s="86">
        <f>GDPdeflator!$C$36*INDEX(Costs!$E$7:$O$89,MATCH($C65,Costs!$C$7:$C$89,0),MATCH(F$7,Costs!$E$6:$O$6,0))</f>
        <v>26.849265699612577</v>
      </c>
      <c r="G65" s="86">
        <f>GDPdeflator!$C$38*INDEX(Costs!$E$7:$O$89,MATCH($C65,Costs!$C$7:$C$89,0),MATCH(G$7,Costs!$E$6:$O$6,0))</f>
        <v>24.609314013066417</v>
      </c>
      <c r="H65" s="86">
        <f>GDPdeflator!$C$38*INDEX(Costs!$E$7:$O$89,MATCH($C65,Costs!$C$7:$C$89,0),MATCH(H$7,Costs!$E$6:$O$6,0))</f>
        <v>25.485402087579285</v>
      </c>
      <c r="I65" s="86">
        <f>GDPdeflator!$C$38*INDEX(Costs!$E$7:$O$89,MATCH($C65,Costs!$C$7:$C$89,0),MATCH(I$7,Costs!$E$6:$O$6,0))</f>
        <v>27.001034456486543</v>
      </c>
      <c r="J65" s="86">
        <f>GDPdeflator!$C$38*INDEX(Costs!$E$7:$O$89,MATCH($C65,Costs!$C$7:$C$89,0),MATCH(J$7,Costs!$E$6:$O$6,0))</f>
        <v>27.02731709872193</v>
      </c>
      <c r="K65" s="86">
        <f>GDPdeflator!$C$38*INDEX(Costs!$E$7:$O$89,MATCH($C65,Costs!$C$7:$C$89,0),MATCH(K$7,Costs!$E$6:$O$6,0))</f>
        <v>27.044838860212188</v>
      </c>
      <c r="L65" s="86">
        <f>GDPdeflator!$C$38*INDEX(Costs!$E$7:$O$89,MATCH($C65,Costs!$C$7:$C$89,0),MATCH(L$7,Costs!$E$6:$O$6,0))</f>
        <v>27.062360621702442</v>
      </c>
      <c r="M65" s="86">
        <f>GDPdeflator!$C$38*INDEX(Costs!$E$7:$O$89,MATCH($C65,Costs!$C$7:$C$89,0),MATCH(M$7,Costs!$E$6:$O$6,0))</f>
        <v>27.062360621702442</v>
      </c>
      <c r="N65" s="86">
        <f>GDPdeflator!$C$38*INDEX(Costs!$E$7:$O$89,MATCH($C65,Costs!$C$7:$C$89,0),MATCH(N$7,Costs!$E$6:$O$6,0))</f>
        <v>27.062360621702442</v>
      </c>
      <c r="O65" s="86">
        <f>GDPdeflator!$C$38*INDEX(Costs!$E$7:$O$89,MATCH($C65,Costs!$C$7:$C$89,0),MATCH(O$7,Costs!$E$6:$O$6,0))</f>
        <v>27.062360621702442</v>
      </c>
      <c r="P65" s="87">
        <f t="shared" ref="P65:P74" si="39">E65/$AI$18*10^6</f>
        <v>1968.7541515370096</v>
      </c>
      <c r="Q65" s="87">
        <f t="shared" ref="Q65:Q86" si="40">F65/$AI$18*10^6</f>
        <v>2241.863948184252</v>
      </c>
      <c r="R65" s="87">
        <f t="shared" ref="R65:R86" si="41">G65/$AI$18*10^6</f>
        <v>2054.8321318238213</v>
      </c>
      <c r="S65" s="87">
        <f t="shared" ref="S65:S86" si="42">H65/$AI$18*10^6</f>
        <v>2127.9838631098246</v>
      </c>
      <c r="T65" s="87">
        <f t="shared" ref="T65:T86" si="43">I65/$AI$18*10^6</f>
        <v>2254.536358234609</v>
      </c>
      <c r="U65" s="87">
        <f t="shared" ref="U65:U86" si="44">J65/$AI$18*10^6</f>
        <v>2256.7309101731898</v>
      </c>
      <c r="V65" s="87">
        <f t="shared" ref="V65:V86" si="45">K65/$AI$18*10^6</f>
        <v>2258.1939447989098</v>
      </c>
      <c r="W65" s="87">
        <f t="shared" ref="W65:W86" si="46">L65/$AI$18*10^6</f>
        <v>2259.6569794246293</v>
      </c>
      <c r="X65" s="87">
        <f t="shared" ref="X65:X86" si="47">M65/$AI$18*10^6</f>
        <v>2259.6569794246293</v>
      </c>
      <c r="Y65" s="87">
        <f t="shared" ref="Y65:Y86" si="48">N65/$AI$18*10^6</f>
        <v>2259.6569794246293</v>
      </c>
      <c r="Z65" s="87">
        <f t="shared" ref="Z65:Z86" si="49">O65/$AI$18*10^6</f>
        <v>2259.6569794246293</v>
      </c>
      <c r="AA65" s="88">
        <v>360</v>
      </c>
      <c r="AB65" s="89">
        <f>AA65*GDPdeflator!$C$25/$AI$18*10^3</f>
        <v>34.613819473439015</v>
      </c>
      <c r="AC65" s="90" t="e">
        <f>INDEX(Efficiencies!$D$8:$M$89,MATCH(C65,Efficiencies!$C$8:$C$89),MATCH(D65,Efficiencies!$D$7:$M$7))</f>
        <v>#REF!</v>
      </c>
      <c r="AD65" s="90" t="e">
        <f t="shared" si="38"/>
        <v>#REF!</v>
      </c>
      <c r="AE65" s="90" t="e">
        <f>INDEX(Efficiencies!$P$8:$Y$89,MATCH(C65,Efficiencies!$C$8:$C$89),MATCH(D65,Efficiencies!$P$7:$Y$7))</f>
        <v>#REF!</v>
      </c>
      <c r="AF65" s="90" t="e">
        <f t="shared" si="24"/>
        <v>#REF!</v>
      </c>
      <c r="AG65" s="90">
        <v>0</v>
      </c>
      <c r="AI65" s="93"/>
    </row>
    <row r="66" spans="1:35" x14ac:dyDescent="0.2">
      <c r="A66" s="92" t="s">
        <v>904</v>
      </c>
      <c r="B66" s="248" t="s">
        <v>905</v>
      </c>
      <c r="C66" s="40" t="s">
        <v>901</v>
      </c>
      <c r="D66" s="40">
        <v>2010</v>
      </c>
      <c r="E66" s="86">
        <f>GDPdeflator!$C$32*INDEX(Costs!$E$7:$O$89,MATCH($C66,Costs!$C$7:$C$89,0),MATCH(E$7,Costs!$E$6:$O$6,0))</f>
        <v>23.578417126804222</v>
      </c>
      <c r="F66" s="86">
        <f>GDPdeflator!$C$36*INDEX(Costs!$E$7:$O$89,MATCH($C66,Costs!$C$7:$C$89,0),MATCH(F$7,Costs!$E$6:$O$6,0))</f>
        <v>26.849265699612577</v>
      </c>
      <c r="G66" s="86">
        <f>GDPdeflator!$C$38*INDEX(Costs!$E$7:$O$89,MATCH($C66,Costs!$C$7:$C$89,0),MATCH(G$7,Costs!$E$6:$O$6,0))</f>
        <v>24.609314013066417</v>
      </c>
      <c r="H66" s="86">
        <f>GDPdeflator!$C$38*INDEX(Costs!$E$7:$O$89,MATCH($C66,Costs!$C$7:$C$89,0),MATCH(H$7,Costs!$E$6:$O$6,0))</f>
        <v>25.485402087579285</v>
      </c>
      <c r="I66" s="86">
        <f>GDPdeflator!$C$38*INDEX(Costs!$E$7:$O$89,MATCH($C66,Costs!$C$7:$C$89,0),MATCH(I$7,Costs!$E$6:$O$6,0))</f>
        <v>27.001034456486543</v>
      </c>
      <c r="J66" s="86">
        <f>GDPdeflator!$C$38*INDEX(Costs!$E$7:$O$89,MATCH($C66,Costs!$C$7:$C$89,0),MATCH(J$7,Costs!$E$6:$O$6,0))</f>
        <v>27.02731709872193</v>
      </c>
      <c r="K66" s="86">
        <f>GDPdeflator!$C$38*INDEX(Costs!$E$7:$O$89,MATCH($C66,Costs!$C$7:$C$89,0),MATCH(K$7,Costs!$E$6:$O$6,0))</f>
        <v>27.044838860212188</v>
      </c>
      <c r="L66" s="86">
        <f>GDPdeflator!$C$38*INDEX(Costs!$E$7:$O$89,MATCH($C66,Costs!$C$7:$C$89,0),MATCH(L$7,Costs!$E$6:$O$6,0))</f>
        <v>27.062360621702442</v>
      </c>
      <c r="M66" s="86">
        <f>GDPdeflator!$C$38*INDEX(Costs!$E$7:$O$89,MATCH($C66,Costs!$C$7:$C$89,0),MATCH(M$7,Costs!$E$6:$O$6,0))</f>
        <v>27.062360621702442</v>
      </c>
      <c r="N66" s="86">
        <f>GDPdeflator!$C$38*INDEX(Costs!$E$7:$O$89,MATCH($C66,Costs!$C$7:$C$89,0),MATCH(N$7,Costs!$E$6:$O$6,0))</f>
        <v>27.062360621702442</v>
      </c>
      <c r="O66" s="86">
        <f>GDPdeflator!$C$38*INDEX(Costs!$E$7:$O$89,MATCH($C66,Costs!$C$7:$C$89,0),MATCH(O$7,Costs!$E$6:$O$6,0))</f>
        <v>27.062360621702442</v>
      </c>
      <c r="P66" s="87">
        <f t="shared" si="39"/>
        <v>1968.7541515370096</v>
      </c>
      <c r="Q66" s="87">
        <f t="shared" si="40"/>
        <v>2241.863948184252</v>
      </c>
      <c r="R66" s="87">
        <f t="shared" si="41"/>
        <v>2054.8321318238213</v>
      </c>
      <c r="S66" s="87">
        <f t="shared" si="42"/>
        <v>2127.9838631098246</v>
      </c>
      <c r="T66" s="87">
        <f t="shared" si="43"/>
        <v>2254.536358234609</v>
      </c>
      <c r="U66" s="87">
        <f t="shared" si="44"/>
        <v>2256.7309101731898</v>
      </c>
      <c r="V66" s="87">
        <f t="shared" si="45"/>
        <v>2258.1939447989098</v>
      </c>
      <c r="W66" s="87">
        <f t="shared" si="46"/>
        <v>2259.6569794246293</v>
      </c>
      <c r="X66" s="87">
        <f t="shared" si="47"/>
        <v>2259.6569794246293</v>
      </c>
      <c r="Y66" s="87">
        <f t="shared" si="48"/>
        <v>2259.6569794246293</v>
      </c>
      <c r="Z66" s="87">
        <f t="shared" si="49"/>
        <v>2259.6569794246293</v>
      </c>
      <c r="AA66" s="88">
        <v>360</v>
      </c>
      <c r="AB66" s="89">
        <f>AA66*GDPdeflator!$C$25/$AI$18*10^3</f>
        <v>34.613819473439015</v>
      </c>
      <c r="AC66" s="90" t="e">
        <f>INDEX(Efficiencies!$D$8:$M$89,MATCH(C66,Efficiencies!$C$8:$C$89),MATCH(D66,Efficiencies!$D$7:$M$7))</f>
        <v>#REF!</v>
      </c>
      <c r="AD66" s="90" t="e">
        <f t="shared" si="38"/>
        <v>#REF!</v>
      </c>
      <c r="AE66" s="90" t="e">
        <f>INDEX(Efficiencies!$P$8:$Y$89,MATCH(C66,Efficiencies!$C$8:$C$89),MATCH(D66,Efficiencies!$P$7:$Y$7))</f>
        <v>#REF!</v>
      </c>
      <c r="AF66" s="90" t="e">
        <f t="shared" si="24"/>
        <v>#REF!</v>
      </c>
      <c r="AG66" s="90">
        <v>0</v>
      </c>
      <c r="AI66" s="93"/>
    </row>
    <row r="67" spans="1:35" x14ac:dyDescent="0.2">
      <c r="A67" s="92" t="s">
        <v>906</v>
      </c>
      <c r="B67" s="248" t="s">
        <v>907</v>
      </c>
      <c r="C67" s="40" t="s">
        <v>901</v>
      </c>
      <c r="D67" s="40">
        <v>2015</v>
      </c>
      <c r="E67" s="86">
        <f>GDPdeflator!$C$32*INDEX(Costs!$E$7:$O$89,MATCH($C67,Costs!$C$7:$C$89,0),MATCH(E$7,Costs!$E$6:$O$6,0))</f>
        <v>23.578417126804222</v>
      </c>
      <c r="F67" s="86">
        <f>GDPdeflator!$C$36*INDEX(Costs!$E$7:$O$89,MATCH($C67,Costs!$C$7:$C$89,0),MATCH(F$7,Costs!$E$6:$O$6,0))</f>
        <v>26.849265699612577</v>
      </c>
      <c r="G67" s="86">
        <f>GDPdeflator!$C$38*INDEX(Costs!$E$7:$O$89,MATCH($C67,Costs!$C$7:$C$89,0),MATCH(G$7,Costs!$E$6:$O$6,0))</f>
        <v>24.609314013066417</v>
      </c>
      <c r="H67" s="86">
        <f>GDPdeflator!$C$38*INDEX(Costs!$E$7:$O$89,MATCH($C67,Costs!$C$7:$C$89,0),MATCH(H$7,Costs!$E$6:$O$6,0))</f>
        <v>25.485402087579285</v>
      </c>
      <c r="I67" s="86">
        <f>GDPdeflator!$C$38*INDEX(Costs!$E$7:$O$89,MATCH($C67,Costs!$C$7:$C$89,0),MATCH(I$7,Costs!$E$6:$O$6,0))</f>
        <v>27.001034456486543</v>
      </c>
      <c r="J67" s="86">
        <f>GDPdeflator!$C$38*INDEX(Costs!$E$7:$O$89,MATCH($C67,Costs!$C$7:$C$89,0),MATCH(J$7,Costs!$E$6:$O$6,0))</f>
        <v>27.02731709872193</v>
      </c>
      <c r="K67" s="86">
        <f>GDPdeflator!$C$38*INDEX(Costs!$E$7:$O$89,MATCH($C67,Costs!$C$7:$C$89,0),MATCH(K$7,Costs!$E$6:$O$6,0))</f>
        <v>27.044838860212188</v>
      </c>
      <c r="L67" s="86">
        <f>GDPdeflator!$C$38*INDEX(Costs!$E$7:$O$89,MATCH($C67,Costs!$C$7:$C$89,0),MATCH(L$7,Costs!$E$6:$O$6,0))</f>
        <v>27.062360621702442</v>
      </c>
      <c r="M67" s="86">
        <f>GDPdeflator!$C$38*INDEX(Costs!$E$7:$O$89,MATCH($C67,Costs!$C$7:$C$89,0),MATCH(M$7,Costs!$E$6:$O$6,0))</f>
        <v>27.062360621702442</v>
      </c>
      <c r="N67" s="86">
        <f>GDPdeflator!$C$38*INDEX(Costs!$E$7:$O$89,MATCH($C67,Costs!$C$7:$C$89,0),MATCH(N$7,Costs!$E$6:$O$6,0))</f>
        <v>27.062360621702442</v>
      </c>
      <c r="O67" s="86">
        <f>GDPdeflator!$C$38*INDEX(Costs!$E$7:$O$89,MATCH($C67,Costs!$C$7:$C$89,0),MATCH(O$7,Costs!$E$6:$O$6,0))</f>
        <v>27.062360621702442</v>
      </c>
      <c r="P67" s="87">
        <f t="shared" si="39"/>
        <v>1968.7541515370096</v>
      </c>
      <c r="Q67" s="87">
        <f t="shared" si="40"/>
        <v>2241.863948184252</v>
      </c>
      <c r="R67" s="87">
        <f t="shared" si="41"/>
        <v>2054.8321318238213</v>
      </c>
      <c r="S67" s="87">
        <f t="shared" si="42"/>
        <v>2127.9838631098246</v>
      </c>
      <c r="T67" s="87">
        <f t="shared" si="43"/>
        <v>2254.536358234609</v>
      </c>
      <c r="U67" s="87">
        <f t="shared" si="44"/>
        <v>2256.7309101731898</v>
      </c>
      <c r="V67" s="87">
        <f t="shared" si="45"/>
        <v>2258.1939447989098</v>
      </c>
      <c r="W67" s="87">
        <f t="shared" si="46"/>
        <v>2259.6569794246293</v>
      </c>
      <c r="X67" s="87">
        <f t="shared" si="47"/>
        <v>2259.6569794246293</v>
      </c>
      <c r="Y67" s="87">
        <f t="shared" si="48"/>
        <v>2259.6569794246293</v>
      </c>
      <c r="Z67" s="87">
        <f t="shared" si="49"/>
        <v>2259.6569794246293</v>
      </c>
      <c r="AA67" s="88">
        <v>360</v>
      </c>
      <c r="AB67" s="89">
        <f>AA67*GDPdeflator!$C$25/$AI$18*10^3</f>
        <v>34.613819473439015</v>
      </c>
      <c r="AC67" s="90" t="e">
        <f>INDEX(Efficiencies!$D$8:$M$89,MATCH(C67,Efficiencies!$C$8:$C$89),MATCH(D67,Efficiencies!$D$7:$M$7))</f>
        <v>#REF!</v>
      </c>
      <c r="AD67" s="90" t="e">
        <f t="shared" si="38"/>
        <v>#REF!</v>
      </c>
      <c r="AE67" s="90" t="e">
        <f>INDEX(Efficiencies!$P$8:$Y$89,MATCH(C67,Efficiencies!$C$8:$C$89),MATCH(D67,Efficiencies!$P$7:$Y$7))</f>
        <v>#REF!</v>
      </c>
      <c r="AF67" s="90" t="e">
        <f t="shared" si="24"/>
        <v>#REF!</v>
      </c>
      <c r="AG67" s="90">
        <v>0</v>
      </c>
      <c r="AI67" s="93"/>
    </row>
    <row r="68" spans="1:35" x14ac:dyDescent="0.2">
      <c r="A68" s="92" t="s">
        <v>908</v>
      </c>
      <c r="B68" s="248" t="s">
        <v>909</v>
      </c>
      <c r="C68" s="40" t="s">
        <v>901</v>
      </c>
      <c r="D68" s="40">
        <v>2020</v>
      </c>
      <c r="E68" s="86">
        <f>GDPdeflator!$C$32*INDEX(Costs!$E$7:$O$89,MATCH($C68,Costs!$C$7:$C$89,0),MATCH(E$7,Costs!$E$6:$O$6,0))</f>
        <v>23.578417126804222</v>
      </c>
      <c r="F68" s="86">
        <f>GDPdeflator!$C$36*INDEX(Costs!$E$7:$O$89,MATCH($C68,Costs!$C$7:$C$89,0),MATCH(F$7,Costs!$E$6:$O$6,0))</f>
        <v>26.849265699612577</v>
      </c>
      <c r="G68" s="86">
        <f>GDPdeflator!$C$38*INDEX(Costs!$E$7:$O$89,MATCH($C68,Costs!$C$7:$C$89,0),MATCH(G$7,Costs!$E$6:$O$6,0))</f>
        <v>24.609314013066417</v>
      </c>
      <c r="H68" s="86">
        <f>GDPdeflator!$C$38*INDEX(Costs!$E$7:$O$89,MATCH($C68,Costs!$C$7:$C$89,0),MATCH(H$7,Costs!$E$6:$O$6,0))</f>
        <v>25.485402087579285</v>
      </c>
      <c r="I68" s="86">
        <f>GDPdeflator!$C$38*INDEX(Costs!$E$7:$O$89,MATCH($C68,Costs!$C$7:$C$89,0),MATCH(I$7,Costs!$E$6:$O$6,0))</f>
        <v>27.001034456486543</v>
      </c>
      <c r="J68" s="86">
        <f>GDPdeflator!$C$38*INDEX(Costs!$E$7:$O$89,MATCH($C68,Costs!$C$7:$C$89,0),MATCH(J$7,Costs!$E$6:$O$6,0))</f>
        <v>27.02731709872193</v>
      </c>
      <c r="K68" s="86">
        <f>GDPdeflator!$C$38*INDEX(Costs!$E$7:$O$89,MATCH($C68,Costs!$C$7:$C$89,0),MATCH(K$7,Costs!$E$6:$O$6,0))</f>
        <v>27.044838860212188</v>
      </c>
      <c r="L68" s="86">
        <f>GDPdeflator!$C$38*INDEX(Costs!$E$7:$O$89,MATCH($C68,Costs!$C$7:$C$89,0),MATCH(L$7,Costs!$E$6:$O$6,0))</f>
        <v>27.062360621702442</v>
      </c>
      <c r="M68" s="86">
        <f>GDPdeflator!$C$38*INDEX(Costs!$E$7:$O$89,MATCH($C68,Costs!$C$7:$C$89,0),MATCH(M$7,Costs!$E$6:$O$6,0))</f>
        <v>27.062360621702442</v>
      </c>
      <c r="N68" s="86">
        <f>GDPdeflator!$C$38*INDEX(Costs!$E$7:$O$89,MATCH($C68,Costs!$C$7:$C$89,0),MATCH(N$7,Costs!$E$6:$O$6,0))</f>
        <v>27.062360621702442</v>
      </c>
      <c r="O68" s="86">
        <f>GDPdeflator!$C$38*INDEX(Costs!$E$7:$O$89,MATCH($C68,Costs!$C$7:$C$89,0),MATCH(O$7,Costs!$E$6:$O$6,0))</f>
        <v>27.062360621702442</v>
      </c>
      <c r="P68" s="87">
        <f t="shared" si="39"/>
        <v>1968.7541515370096</v>
      </c>
      <c r="Q68" s="87">
        <f t="shared" si="40"/>
        <v>2241.863948184252</v>
      </c>
      <c r="R68" s="87">
        <f t="shared" si="41"/>
        <v>2054.8321318238213</v>
      </c>
      <c r="S68" s="87">
        <f t="shared" si="42"/>
        <v>2127.9838631098246</v>
      </c>
      <c r="T68" s="87">
        <f t="shared" si="43"/>
        <v>2254.536358234609</v>
      </c>
      <c r="U68" s="87">
        <f t="shared" si="44"/>
        <v>2256.7309101731898</v>
      </c>
      <c r="V68" s="87">
        <f t="shared" si="45"/>
        <v>2258.1939447989098</v>
      </c>
      <c r="W68" s="87">
        <f t="shared" si="46"/>
        <v>2259.6569794246293</v>
      </c>
      <c r="X68" s="87">
        <f t="shared" si="47"/>
        <v>2259.6569794246293</v>
      </c>
      <c r="Y68" s="87">
        <f t="shared" si="48"/>
        <v>2259.6569794246293</v>
      </c>
      <c r="Z68" s="87">
        <f t="shared" si="49"/>
        <v>2259.6569794246293</v>
      </c>
      <c r="AA68" s="88">
        <v>360</v>
      </c>
      <c r="AB68" s="89">
        <f>AA68*GDPdeflator!$C$25/$AI$18*10^3</f>
        <v>34.613819473439015</v>
      </c>
      <c r="AC68" s="90" t="e">
        <f>INDEX(Efficiencies!$D$8:$M$89,MATCH(C68,Efficiencies!$C$8:$C$89),MATCH(D68,Efficiencies!$D$7:$M$7))</f>
        <v>#REF!</v>
      </c>
      <c r="AD68" s="90" t="e">
        <f t="shared" si="38"/>
        <v>#REF!</v>
      </c>
      <c r="AE68" s="90" t="e">
        <f>INDEX(Efficiencies!$P$8:$Y$89,MATCH(C68,Efficiencies!$C$8:$C$89),MATCH(D68,Efficiencies!$P$7:$Y$7))</f>
        <v>#REF!</v>
      </c>
      <c r="AF68" s="90" t="e">
        <f t="shared" ref="AF68:AF131" si="50">AE68/($AI$11*$AI$15*10 ^ 9)</f>
        <v>#REF!</v>
      </c>
      <c r="AG68" s="90">
        <v>0</v>
      </c>
      <c r="AI68" s="93"/>
    </row>
    <row r="69" spans="1:35" x14ac:dyDescent="0.2">
      <c r="A69" s="92" t="s">
        <v>910</v>
      </c>
      <c r="B69" s="248" t="s">
        <v>911</v>
      </c>
      <c r="C69" s="40" t="s">
        <v>901</v>
      </c>
      <c r="D69" s="40">
        <v>2025</v>
      </c>
      <c r="E69" s="86">
        <f>GDPdeflator!$C$32*INDEX(Costs!$E$7:$O$89,MATCH($C69,Costs!$C$7:$C$89,0),MATCH(E$7,Costs!$E$6:$O$6,0))</f>
        <v>23.578417126804222</v>
      </c>
      <c r="F69" s="86">
        <f>GDPdeflator!$C$36*INDEX(Costs!$E$7:$O$89,MATCH($C69,Costs!$C$7:$C$89,0),MATCH(F$7,Costs!$E$6:$O$6,0))</f>
        <v>26.849265699612577</v>
      </c>
      <c r="G69" s="86">
        <f>GDPdeflator!$C$38*INDEX(Costs!$E$7:$O$89,MATCH($C69,Costs!$C$7:$C$89,0),MATCH(G$7,Costs!$E$6:$O$6,0))</f>
        <v>24.609314013066417</v>
      </c>
      <c r="H69" s="86">
        <f>GDPdeflator!$C$38*INDEX(Costs!$E$7:$O$89,MATCH($C69,Costs!$C$7:$C$89,0),MATCH(H$7,Costs!$E$6:$O$6,0))</f>
        <v>25.485402087579285</v>
      </c>
      <c r="I69" s="86">
        <f>GDPdeflator!$C$38*INDEX(Costs!$E$7:$O$89,MATCH($C69,Costs!$C$7:$C$89,0),MATCH(I$7,Costs!$E$6:$O$6,0))</f>
        <v>27.001034456486543</v>
      </c>
      <c r="J69" s="86">
        <f>GDPdeflator!$C$38*INDEX(Costs!$E$7:$O$89,MATCH($C69,Costs!$C$7:$C$89,0),MATCH(J$7,Costs!$E$6:$O$6,0))</f>
        <v>27.02731709872193</v>
      </c>
      <c r="K69" s="86">
        <f>GDPdeflator!$C$38*INDEX(Costs!$E$7:$O$89,MATCH($C69,Costs!$C$7:$C$89,0),MATCH(K$7,Costs!$E$6:$O$6,0))</f>
        <v>27.044838860212188</v>
      </c>
      <c r="L69" s="86">
        <f>GDPdeflator!$C$38*INDEX(Costs!$E$7:$O$89,MATCH($C69,Costs!$C$7:$C$89,0),MATCH(L$7,Costs!$E$6:$O$6,0))</f>
        <v>27.062360621702442</v>
      </c>
      <c r="M69" s="86">
        <f>GDPdeflator!$C$38*INDEX(Costs!$E$7:$O$89,MATCH($C69,Costs!$C$7:$C$89,0),MATCH(M$7,Costs!$E$6:$O$6,0))</f>
        <v>27.062360621702442</v>
      </c>
      <c r="N69" s="86">
        <f>GDPdeflator!$C$38*INDEX(Costs!$E$7:$O$89,MATCH($C69,Costs!$C$7:$C$89,0),MATCH(N$7,Costs!$E$6:$O$6,0))</f>
        <v>27.062360621702442</v>
      </c>
      <c r="O69" s="86">
        <f>GDPdeflator!$C$38*INDEX(Costs!$E$7:$O$89,MATCH($C69,Costs!$C$7:$C$89,0),MATCH(O$7,Costs!$E$6:$O$6,0))</f>
        <v>27.062360621702442</v>
      </c>
      <c r="P69" s="87">
        <f t="shared" si="39"/>
        <v>1968.7541515370096</v>
      </c>
      <c r="Q69" s="87">
        <f t="shared" si="40"/>
        <v>2241.863948184252</v>
      </c>
      <c r="R69" s="87">
        <f t="shared" si="41"/>
        <v>2054.8321318238213</v>
      </c>
      <c r="S69" s="87">
        <f t="shared" si="42"/>
        <v>2127.9838631098246</v>
      </c>
      <c r="T69" s="87">
        <f t="shared" si="43"/>
        <v>2254.536358234609</v>
      </c>
      <c r="U69" s="87">
        <f t="shared" si="44"/>
        <v>2256.7309101731898</v>
      </c>
      <c r="V69" s="87">
        <f t="shared" si="45"/>
        <v>2258.1939447989098</v>
      </c>
      <c r="W69" s="87">
        <f t="shared" si="46"/>
        <v>2259.6569794246293</v>
      </c>
      <c r="X69" s="87">
        <f t="shared" si="47"/>
        <v>2259.6569794246293</v>
      </c>
      <c r="Y69" s="87">
        <f t="shared" si="48"/>
        <v>2259.6569794246293</v>
      </c>
      <c r="Z69" s="87">
        <f t="shared" si="49"/>
        <v>2259.6569794246293</v>
      </c>
      <c r="AA69" s="88">
        <v>360</v>
      </c>
      <c r="AB69" s="89">
        <f>AA69*GDPdeflator!$C$25/$AI$18*10^3</f>
        <v>34.613819473439015</v>
      </c>
      <c r="AC69" s="90" t="e">
        <f>INDEX(Efficiencies!$D$8:$M$89,MATCH(C69,Efficiencies!$C$8:$C$89),MATCH(D69,Efficiencies!$D$7:$M$7))</f>
        <v>#REF!</v>
      </c>
      <c r="AD69" s="90" t="e">
        <f t="shared" si="38"/>
        <v>#REF!</v>
      </c>
      <c r="AE69" s="90" t="e">
        <f>INDEX(Efficiencies!$P$8:$Y$89,MATCH(C69,Efficiencies!$C$8:$C$89),MATCH(D69,Efficiencies!$P$7:$Y$7))</f>
        <v>#REF!</v>
      </c>
      <c r="AF69" s="90" t="e">
        <f t="shared" si="50"/>
        <v>#REF!</v>
      </c>
      <c r="AG69" s="90">
        <v>0</v>
      </c>
      <c r="AI69" s="93"/>
    </row>
    <row r="70" spans="1:35" x14ac:dyDescent="0.2">
      <c r="A70" s="92" t="s">
        <v>912</v>
      </c>
      <c r="B70" s="248" t="s">
        <v>913</v>
      </c>
      <c r="C70" s="40" t="s">
        <v>901</v>
      </c>
      <c r="D70" s="40">
        <v>2030</v>
      </c>
      <c r="E70" s="86">
        <f>GDPdeflator!$C$32*INDEX(Costs!$E$7:$O$89,MATCH($C70,Costs!$C$7:$C$89,0),MATCH(E$7,Costs!$E$6:$O$6,0))</f>
        <v>23.578417126804222</v>
      </c>
      <c r="F70" s="86">
        <f>GDPdeflator!$C$36*INDEX(Costs!$E$7:$O$89,MATCH($C70,Costs!$C$7:$C$89,0),MATCH(F$7,Costs!$E$6:$O$6,0))</f>
        <v>26.849265699612577</v>
      </c>
      <c r="G70" s="86">
        <f>GDPdeflator!$C$38*INDEX(Costs!$E$7:$O$89,MATCH($C70,Costs!$C$7:$C$89,0),MATCH(G$7,Costs!$E$6:$O$6,0))</f>
        <v>24.609314013066417</v>
      </c>
      <c r="H70" s="86">
        <f>GDPdeflator!$C$38*INDEX(Costs!$E$7:$O$89,MATCH($C70,Costs!$C$7:$C$89,0),MATCH(H$7,Costs!$E$6:$O$6,0))</f>
        <v>25.485402087579285</v>
      </c>
      <c r="I70" s="86">
        <f>GDPdeflator!$C$38*INDEX(Costs!$E$7:$O$89,MATCH($C70,Costs!$C$7:$C$89,0),MATCH(I$7,Costs!$E$6:$O$6,0))</f>
        <v>27.001034456486543</v>
      </c>
      <c r="J70" s="86">
        <f>GDPdeflator!$C$38*INDEX(Costs!$E$7:$O$89,MATCH($C70,Costs!$C$7:$C$89,0),MATCH(J$7,Costs!$E$6:$O$6,0))</f>
        <v>27.02731709872193</v>
      </c>
      <c r="K70" s="86">
        <f>GDPdeflator!$C$38*INDEX(Costs!$E$7:$O$89,MATCH($C70,Costs!$C$7:$C$89,0),MATCH(K$7,Costs!$E$6:$O$6,0))</f>
        <v>27.044838860212188</v>
      </c>
      <c r="L70" s="86">
        <f>GDPdeflator!$C$38*INDEX(Costs!$E$7:$O$89,MATCH($C70,Costs!$C$7:$C$89,0),MATCH(L$7,Costs!$E$6:$O$6,0))</f>
        <v>27.062360621702442</v>
      </c>
      <c r="M70" s="86">
        <f>GDPdeflator!$C$38*INDEX(Costs!$E$7:$O$89,MATCH($C70,Costs!$C$7:$C$89,0),MATCH(M$7,Costs!$E$6:$O$6,0))</f>
        <v>27.062360621702442</v>
      </c>
      <c r="N70" s="86">
        <f>GDPdeflator!$C$38*INDEX(Costs!$E$7:$O$89,MATCH($C70,Costs!$C$7:$C$89,0),MATCH(N$7,Costs!$E$6:$O$6,0))</f>
        <v>27.062360621702442</v>
      </c>
      <c r="O70" s="86">
        <f>GDPdeflator!$C$38*INDEX(Costs!$E$7:$O$89,MATCH($C70,Costs!$C$7:$C$89,0),MATCH(O$7,Costs!$E$6:$O$6,0))</f>
        <v>27.062360621702442</v>
      </c>
      <c r="P70" s="87">
        <f t="shared" si="39"/>
        <v>1968.7541515370096</v>
      </c>
      <c r="Q70" s="87">
        <f t="shared" si="40"/>
        <v>2241.863948184252</v>
      </c>
      <c r="R70" s="87">
        <f t="shared" si="41"/>
        <v>2054.8321318238213</v>
      </c>
      <c r="S70" s="87">
        <f t="shared" si="42"/>
        <v>2127.9838631098246</v>
      </c>
      <c r="T70" s="87">
        <f t="shared" si="43"/>
        <v>2254.536358234609</v>
      </c>
      <c r="U70" s="87">
        <f t="shared" si="44"/>
        <v>2256.7309101731898</v>
      </c>
      <c r="V70" s="87">
        <f t="shared" si="45"/>
        <v>2258.1939447989098</v>
      </c>
      <c r="W70" s="87">
        <f t="shared" si="46"/>
        <v>2259.6569794246293</v>
      </c>
      <c r="X70" s="87">
        <f t="shared" si="47"/>
        <v>2259.6569794246293</v>
      </c>
      <c r="Y70" s="87">
        <f t="shared" si="48"/>
        <v>2259.6569794246293</v>
      </c>
      <c r="Z70" s="87">
        <f t="shared" si="49"/>
        <v>2259.6569794246293</v>
      </c>
      <c r="AA70" s="88">
        <v>360</v>
      </c>
      <c r="AB70" s="89">
        <f>AA70*GDPdeflator!$C$25/$AI$18*10^3</f>
        <v>34.613819473439015</v>
      </c>
      <c r="AC70" s="90" t="e">
        <f>INDEX(Efficiencies!$D$8:$M$89,MATCH(C70,Efficiencies!$C$8:$C$89),MATCH(D70,Efficiencies!$D$7:$M$7))</f>
        <v>#REF!</v>
      </c>
      <c r="AD70" s="90" t="e">
        <f t="shared" si="38"/>
        <v>#REF!</v>
      </c>
      <c r="AE70" s="90" t="e">
        <f>INDEX(Efficiencies!$P$8:$Y$89,MATCH(C70,Efficiencies!$C$8:$C$89),MATCH(D70,Efficiencies!$P$7:$Y$7))</f>
        <v>#REF!</v>
      </c>
      <c r="AF70" s="90" t="e">
        <f t="shared" si="50"/>
        <v>#REF!</v>
      </c>
      <c r="AG70" s="90">
        <v>0</v>
      </c>
      <c r="AI70" s="93"/>
    </row>
    <row r="71" spans="1:35" x14ac:dyDescent="0.2">
      <c r="A71" s="92" t="s">
        <v>914</v>
      </c>
      <c r="B71" s="248" t="s">
        <v>915</v>
      </c>
      <c r="C71" s="40" t="s">
        <v>901</v>
      </c>
      <c r="D71" s="40">
        <v>2035</v>
      </c>
      <c r="E71" s="86">
        <f>GDPdeflator!$C$32*INDEX(Costs!$E$7:$O$89,MATCH($C71,Costs!$C$7:$C$89,0),MATCH(E$7,Costs!$E$6:$O$6,0))</f>
        <v>23.578417126804222</v>
      </c>
      <c r="F71" s="86">
        <f>GDPdeflator!$C$36*INDEX(Costs!$E$7:$O$89,MATCH($C71,Costs!$C$7:$C$89,0),MATCH(F$7,Costs!$E$6:$O$6,0))</f>
        <v>26.849265699612577</v>
      </c>
      <c r="G71" s="86">
        <f>GDPdeflator!$C$38*INDEX(Costs!$E$7:$O$89,MATCH($C71,Costs!$C$7:$C$89,0),MATCH(G$7,Costs!$E$6:$O$6,0))</f>
        <v>24.609314013066417</v>
      </c>
      <c r="H71" s="86">
        <f>GDPdeflator!$C$38*INDEX(Costs!$E$7:$O$89,MATCH($C71,Costs!$C$7:$C$89,0),MATCH(H$7,Costs!$E$6:$O$6,0))</f>
        <v>25.485402087579285</v>
      </c>
      <c r="I71" s="86">
        <f>GDPdeflator!$C$38*INDEX(Costs!$E$7:$O$89,MATCH($C71,Costs!$C$7:$C$89,0),MATCH(I$7,Costs!$E$6:$O$6,0))</f>
        <v>27.001034456486543</v>
      </c>
      <c r="J71" s="86">
        <f>GDPdeflator!$C$38*INDEX(Costs!$E$7:$O$89,MATCH($C71,Costs!$C$7:$C$89,0),MATCH(J$7,Costs!$E$6:$O$6,0))</f>
        <v>27.02731709872193</v>
      </c>
      <c r="K71" s="86">
        <f>GDPdeflator!$C$38*INDEX(Costs!$E$7:$O$89,MATCH($C71,Costs!$C$7:$C$89,0),MATCH(K$7,Costs!$E$6:$O$6,0))</f>
        <v>27.044838860212188</v>
      </c>
      <c r="L71" s="86">
        <f>GDPdeflator!$C$38*INDEX(Costs!$E$7:$O$89,MATCH($C71,Costs!$C$7:$C$89,0),MATCH(L$7,Costs!$E$6:$O$6,0))</f>
        <v>27.062360621702442</v>
      </c>
      <c r="M71" s="86">
        <f>GDPdeflator!$C$38*INDEX(Costs!$E$7:$O$89,MATCH($C71,Costs!$C$7:$C$89,0),MATCH(M$7,Costs!$E$6:$O$6,0))</f>
        <v>27.062360621702442</v>
      </c>
      <c r="N71" s="86">
        <f>GDPdeflator!$C$38*INDEX(Costs!$E$7:$O$89,MATCH($C71,Costs!$C$7:$C$89,0),MATCH(N$7,Costs!$E$6:$O$6,0))</f>
        <v>27.062360621702442</v>
      </c>
      <c r="O71" s="86">
        <f>GDPdeflator!$C$38*INDEX(Costs!$E$7:$O$89,MATCH($C71,Costs!$C$7:$C$89,0),MATCH(O$7,Costs!$E$6:$O$6,0))</f>
        <v>27.062360621702442</v>
      </c>
      <c r="P71" s="87">
        <f t="shared" si="39"/>
        <v>1968.7541515370096</v>
      </c>
      <c r="Q71" s="87">
        <f t="shared" si="40"/>
        <v>2241.863948184252</v>
      </c>
      <c r="R71" s="87">
        <f t="shared" si="41"/>
        <v>2054.8321318238213</v>
      </c>
      <c r="S71" s="87">
        <f t="shared" si="42"/>
        <v>2127.9838631098246</v>
      </c>
      <c r="T71" s="87">
        <f t="shared" si="43"/>
        <v>2254.536358234609</v>
      </c>
      <c r="U71" s="87">
        <f t="shared" si="44"/>
        <v>2256.7309101731898</v>
      </c>
      <c r="V71" s="87">
        <f t="shared" si="45"/>
        <v>2258.1939447989098</v>
      </c>
      <c r="W71" s="87">
        <f t="shared" si="46"/>
        <v>2259.6569794246293</v>
      </c>
      <c r="X71" s="87">
        <f t="shared" si="47"/>
        <v>2259.6569794246293</v>
      </c>
      <c r="Y71" s="87">
        <f t="shared" si="48"/>
        <v>2259.6569794246293</v>
      </c>
      <c r="Z71" s="87">
        <f t="shared" si="49"/>
        <v>2259.6569794246293</v>
      </c>
      <c r="AA71" s="88">
        <v>360</v>
      </c>
      <c r="AB71" s="89">
        <f>AA71*GDPdeflator!$C$25/$AI$18*10^3</f>
        <v>34.613819473439015</v>
      </c>
      <c r="AC71" s="90" t="e">
        <f>INDEX(Efficiencies!$D$8:$M$89,MATCH(C71,Efficiencies!$C$8:$C$89),MATCH(D71,Efficiencies!$D$7:$M$7))</f>
        <v>#REF!</v>
      </c>
      <c r="AD71" s="90" t="e">
        <f t="shared" si="38"/>
        <v>#REF!</v>
      </c>
      <c r="AE71" s="90" t="e">
        <f>INDEX(Efficiencies!$P$8:$Y$89,MATCH(C71,Efficiencies!$C$8:$C$89),MATCH(D71,Efficiencies!$P$7:$Y$7))</f>
        <v>#REF!</v>
      </c>
      <c r="AF71" s="90" t="e">
        <f t="shared" si="50"/>
        <v>#REF!</v>
      </c>
      <c r="AG71" s="90">
        <v>0</v>
      </c>
      <c r="AI71" s="93"/>
    </row>
    <row r="72" spans="1:35" x14ac:dyDescent="0.2">
      <c r="A72" s="92" t="s">
        <v>916</v>
      </c>
      <c r="B72" s="248" t="s">
        <v>917</v>
      </c>
      <c r="C72" s="40" t="s">
        <v>901</v>
      </c>
      <c r="D72" s="40">
        <v>2040</v>
      </c>
      <c r="E72" s="86">
        <f>GDPdeflator!$C$32*INDEX(Costs!$E$7:$O$89,MATCH($C72,Costs!$C$7:$C$89,0),MATCH(E$7,Costs!$E$6:$O$6,0))</f>
        <v>23.578417126804222</v>
      </c>
      <c r="F72" s="86">
        <f>GDPdeflator!$C$36*INDEX(Costs!$E$7:$O$89,MATCH($C72,Costs!$C$7:$C$89,0),MATCH(F$7,Costs!$E$6:$O$6,0))</f>
        <v>26.849265699612577</v>
      </c>
      <c r="G72" s="86">
        <f>GDPdeflator!$C$38*INDEX(Costs!$E$7:$O$89,MATCH($C72,Costs!$C$7:$C$89,0),MATCH(G$7,Costs!$E$6:$O$6,0))</f>
        <v>24.609314013066417</v>
      </c>
      <c r="H72" s="86">
        <f>GDPdeflator!$C$38*INDEX(Costs!$E$7:$O$89,MATCH($C72,Costs!$C$7:$C$89,0),MATCH(H$7,Costs!$E$6:$O$6,0))</f>
        <v>25.485402087579285</v>
      </c>
      <c r="I72" s="86">
        <f>GDPdeflator!$C$38*INDEX(Costs!$E$7:$O$89,MATCH($C72,Costs!$C$7:$C$89,0),MATCH(I$7,Costs!$E$6:$O$6,0))</f>
        <v>27.001034456486543</v>
      </c>
      <c r="J72" s="86">
        <f>GDPdeflator!$C$38*INDEX(Costs!$E$7:$O$89,MATCH($C72,Costs!$C$7:$C$89,0),MATCH(J$7,Costs!$E$6:$O$6,0))</f>
        <v>27.02731709872193</v>
      </c>
      <c r="K72" s="86">
        <f>GDPdeflator!$C$38*INDEX(Costs!$E$7:$O$89,MATCH($C72,Costs!$C$7:$C$89,0),MATCH(K$7,Costs!$E$6:$O$6,0))</f>
        <v>27.044838860212188</v>
      </c>
      <c r="L72" s="86">
        <f>GDPdeflator!$C$38*INDEX(Costs!$E$7:$O$89,MATCH($C72,Costs!$C$7:$C$89,0),MATCH(L$7,Costs!$E$6:$O$6,0))</f>
        <v>27.062360621702442</v>
      </c>
      <c r="M72" s="86">
        <f>GDPdeflator!$C$38*INDEX(Costs!$E$7:$O$89,MATCH($C72,Costs!$C$7:$C$89,0),MATCH(M$7,Costs!$E$6:$O$6,0))</f>
        <v>27.062360621702442</v>
      </c>
      <c r="N72" s="86">
        <f>GDPdeflator!$C$38*INDEX(Costs!$E$7:$O$89,MATCH($C72,Costs!$C$7:$C$89,0),MATCH(N$7,Costs!$E$6:$O$6,0))</f>
        <v>27.062360621702442</v>
      </c>
      <c r="O72" s="86">
        <f>GDPdeflator!$C$38*INDEX(Costs!$E$7:$O$89,MATCH($C72,Costs!$C$7:$C$89,0),MATCH(O$7,Costs!$E$6:$O$6,0))</f>
        <v>27.062360621702442</v>
      </c>
      <c r="P72" s="87">
        <f t="shared" si="39"/>
        <v>1968.7541515370096</v>
      </c>
      <c r="Q72" s="87">
        <f t="shared" si="40"/>
        <v>2241.863948184252</v>
      </c>
      <c r="R72" s="87">
        <f t="shared" si="41"/>
        <v>2054.8321318238213</v>
      </c>
      <c r="S72" s="87">
        <f t="shared" si="42"/>
        <v>2127.9838631098246</v>
      </c>
      <c r="T72" s="87">
        <f t="shared" si="43"/>
        <v>2254.536358234609</v>
      </c>
      <c r="U72" s="87">
        <f t="shared" si="44"/>
        <v>2256.7309101731898</v>
      </c>
      <c r="V72" s="87">
        <f t="shared" si="45"/>
        <v>2258.1939447989098</v>
      </c>
      <c r="W72" s="87">
        <f t="shared" si="46"/>
        <v>2259.6569794246293</v>
      </c>
      <c r="X72" s="87">
        <f t="shared" si="47"/>
        <v>2259.6569794246293</v>
      </c>
      <c r="Y72" s="87">
        <f t="shared" si="48"/>
        <v>2259.6569794246293</v>
      </c>
      <c r="Z72" s="87">
        <f t="shared" si="49"/>
        <v>2259.6569794246293</v>
      </c>
      <c r="AA72" s="88">
        <v>360</v>
      </c>
      <c r="AB72" s="89">
        <f>AA72*GDPdeflator!$C$25/$AI$18*10^3</f>
        <v>34.613819473439015</v>
      </c>
      <c r="AC72" s="90" t="e">
        <f>INDEX(Efficiencies!$D$8:$M$89,MATCH(C72,Efficiencies!$C$8:$C$89),MATCH(D72,Efficiencies!$D$7:$M$7))</f>
        <v>#REF!</v>
      </c>
      <c r="AD72" s="90" t="e">
        <f t="shared" si="38"/>
        <v>#REF!</v>
      </c>
      <c r="AE72" s="90" t="e">
        <f>INDEX(Efficiencies!$P$8:$Y$89,MATCH(C72,Efficiencies!$C$8:$C$89),MATCH(D72,Efficiencies!$P$7:$Y$7))</f>
        <v>#REF!</v>
      </c>
      <c r="AF72" s="90" t="e">
        <f t="shared" si="50"/>
        <v>#REF!</v>
      </c>
      <c r="AG72" s="90">
        <v>0</v>
      </c>
      <c r="AI72" s="93"/>
    </row>
    <row r="73" spans="1:35" x14ac:dyDescent="0.2">
      <c r="A73" s="92" t="s">
        <v>918</v>
      </c>
      <c r="B73" s="248" t="s">
        <v>919</v>
      </c>
      <c r="C73" s="40" t="s">
        <v>901</v>
      </c>
      <c r="D73" s="40">
        <v>2045</v>
      </c>
      <c r="E73" s="86">
        <f>GDPdeflator!$C$32*INDEX(Costs!$E$7:$O$89,MATCH($C73,Costs!$C$7:$C$89,0),MATCH(E$7,Costs!$E$6:$O$6,0))</f>
        <v>23.578417126804222</v>
      </c>
      <c r="F73" s="86">
        <f>GDPdeflator!$C$36*INDEX(Costs!$E$7:$O$89,MATCH($C73,Costs!$C$7:$C$89,0),MATCH(F$7,Costs!$E$6:$O$6,0))</f>
        <v>26.849265699612577</v>
      </c>
      <c r="G73" s="86">
        <f>GDPdeflator!$C$38*INDEX(Costs!$E$7:$O$89,MATCH($C73,Costs!$C$7:$C$89,0),MATCH(G$7,Costs!$E$6:$O$6,0))</f>
        <v>24.609314013066417</v>
      </c>
      <c r="H73" s="86">
        <f>GDPdeflator!$C$38*INDEX(Costs!$E$7:$O$89,MATCH($C73,Costs!$C$7:$C$89,0),MATCH(H$7,Costs!$E$6:$O$6,0))</f>
        <v>25.485402087579285</v>
      </c>
      <c r="I73" s="86">
        <f>GDPdeflator!$C$38*INDEX(Costs!$E$7:$O$89,MATCH($C73,Costs!$C$7:$C$89,0),MATCH(I$7,Costs!$E$6:$O$6,0))</f>
        <v>27.001034456486543</v>
      </c>
      <c r="J73" s="86">
        <f>GDPdeflator!$C$38*INDEX(Costs!$E$7:$O$89,MATCH($C73,Costs!$C$7:$C$89,0),MATCH(J$7,Costs!$E$6:$O$6,0))</f>
        <v>27.02731709872193</v>
      </c>
      <c r="K73" s="86">
        <f>GDPdeflator!$C$38*INDEX(Costs!$E$7:$O$89,MATCH($C73,Costs!$C$7:$C$89,0),MATCH(K$7,Costs!$E$6:$O$6,0))</f>
        <v>27.044838860212188</v>
      </c>
      <c r="L73" s="86">
        <f>GDPdeflator!$C$38*INDEX(Costs!$E$7:$O$89,MATCH($C73,Costs!$C$7:$C$89,0),MATCH(L$7,Costs!$E$6:$O$6,0))</f>
        <v>27.062360621702442</v>
      </c>
      <c r="M73" s="86">
        <f>GDPdeflator!$C$38*INDEX(Costs!$E$7:$O$89,MATCH($C73,Costs!$C$7:$C$89,0),MATCH(M$7,Costs!$E$6:$O$6,0))</f>
        <v>27.062360621702442</v>
      </c>
      <c r="N73" s="86">
        <f>GDPdeflator!$C$38*INDEX(Costs!$E$7:$O$89,MATCH($C73,Costs!$C$7:$C$89,0),MATCH(N$7,Costs!$E$6:$O$6,0))</f>
        <v>27.062360621702442</v>
      </c>
      <c r="O73" s="86">
        <f>GDPdeflator!$C$38*INDEX(Costs!$E$7:$O$89,MATCH($C73,Costs!$C$7:$C$89,0),MATCH(O$7,Costs!$E$6:$O$6,0))</f>
        <v>27.062360621702442</v>
      </c>
      <c r="P73" s="87">
        <f t="shared" si="39"/>
        <v>1968.7541515370096</v>
      </c>
      <c r="Q73" s="87">
        <f t="shared" si="40"/>
        <v>2241.863948184252</v>
      </c>
      <c r="R73" s="87">
        <f t="shared" si="41"/>
        <v>2054.8321318238213</v>
      </c>
      <c r="S73" s="87">
        <f t="shared" si="42"/>
        <v>2127.9838631098246</v>
      </c>
      <c r="T73" s="87">
        <f t="shared" si="43"/>
        <v>2254.536358234609</v>
      </c>
      <c r="U73" s="87">
        <f t="shared" si="44"/>
        <v>2256.7309101731898</v>
      </c>
      <c r="V73" s="87">
        <f t="shared" si="45"/>
        <v>2258.1939447989098</v>
      </c>
      <c r="W73" s="87">
        <f t="shared" si="46"/>
        <v>2259.6569794246293</v>
      </c>
      <c r="X73" s="87">
        <f t="shared" si="47"/>
        <v>2259.6569794246293</v>
      </c>
      <c r="Y73" s="87">
        <f t="shared" si="48"/>
        <v>2259.6569794246293</v>
      </c>
      <c r="Z73" s="87">
        <f t="shared" si="49"/>
        <v>2259.6569794246293</v>
      </c>
      <c r="AA73" s="88">
        <v>360</v>
      </c>
      <c r="AB73" s="89">
        <f>AA73*GDPdeflator!$C$25/$AI$18*10^3</f>
        <v>34.613819473439015</v>
      </c>
      <c r="AC73" s="90" t="e">
        <f>INDEX(Efficiencies!$D$8:$M$89,MATCH(C73,Efficiencies!$C$8:$C$89),MATCH(D73,Efficiencies!$D$7:$M$7))</f>
        <v>#REF!</v>
      </c>
      <c r="AD73" s="90" t="e">
        <f t="shared" si="38"/>
        <v>#REF!</v>
      </c>
      <c r="AE73" s="90" t="e">
        <f>INDEX(Efficiencies!$P$8:$Y$89,MATCH(C73,Efficiencies!$C$8:$C$89),MATCH(D73,Efficiencies!$P$7:$Y$7))</f>
        <v>#REF!</v>
      </c>
      <c r="AF73" s="90" t="e">
        <f t="shared" si="50"/>
        <v>#REF!</v>
      </c>
      <c r="AG73" s="90">
        <v>0</v>
      </c>
      <c r="AI73" s="93"/>
    </row>
    <row r="74" spans="1:35" x14ac:dyDescent="0.2">
      <c r="A74" s="92" t="s">
        <v>920</v>
      </c>
      <c r="B74" s="248" t="s">
        <v>921</v>
      </c>
      <c r="C74" s="40" t="s">
        <v>901</v>
      </c>
      <c r="D74" s="40">
        <v>2050</v>
      </c>
      <c r="E74" s="86">
        <f>GDPdeflator!$C$32*INDEX(Costs!$E$7:$O$89,MATCH($C74,Costs!$C$7:$C$89,0),MATCH(E$7,Costs!$E$6:$O$6,0))</f>
        <v>23.578417126804222</v>
      </c>
      <c r="F74" s="86">
        <f>GDPdeflator!$C$36*INDEX(Costs!$E$7:$O$89,MATCH($C74,Costs!$C$7:$C$89,0),MATCH(F$7,Costs!$E$6:$O$6,0))</f>
        <v>26.849265699612577</v>
      </c>
      <c r="G74" s="86">
        <f>GDPdeflator!$C$38*INDEX(Costs!$E$7:$O$89,MATCH($C74,Costs!$C$7:$C$89,0),MATCH(G$7,Costs!$E$6:$O$6,0))</f>
        <v>24.609314013066417</v>
      </c>
      <c r="H74" s="86">
        <f>GDPdeflator!$C$38*INDEX(Costs!$E$7:$O$89,MATCH($C74,Costs!$C$7:$C$89,0),MATCH(H$7,Costs!$E$6:$O$6,0))</f>
        <v>25.485402087579285</v>
      </c>
      <c r="I74" s="86">
        <f>GDPdeflator!$C$38*INDEX(Costs!$E$7:$O$89,MATCH($C74,Costs!$C$7:$C$89,0),MATCH(I$7,Costs!$E$6:$O$6,0))</f>
        <v>27.001034456486543</v>
      </c>
      <c r="J74" s="86">
        <f>GDPdeflator!$C$38*INDEX(Costs!$E$7:$O$89,MATCH($C74,Costs!$C$7:$C$89,0),MATCH(J$7,Costs!$E$6:$O$6,0))</f>
        <v>27.02731709872193</v>
      </c>
      <c r="K74" s="86">
        <f>GDPdeflator!$C$38*INDEX(Costs!$E$7:$O$89,MATCH($C74,Costs!$C$7:$C$89,0),MATCH(K$7,Costs!$E$6:$O$6,0))</f>
        <v>27.044838860212188</v>
      </c>
      <c r="L74" s="86">
        <f>GDPdeflator!$C$38*INDEX(Costs!$E$7:$O$89,MATCH($C74,Costs!$C$7:$C$89,0),MATCH(L$7,Costs!$E$6:$O$6,0))</f>
        <v>27.062360621702442</v>
      </c>
      <c r="M74" s="86">
        <f>GDPdeflator!$C$38*INDEX(Costs!$E$7:$O$89,MATCH($C74,Costs!$C$7:$C$89,0),MATCH(M$7,Costs!$E$6:$O$6,0))</f>
        <v>27.062360621702442</v>
      </c>
      <c r="N74" s="86">
        <f>GDPdeflator!$C$38*INDEX(Costs!$E$7:$O$89,MATCH($C74,Costs!$C$7:$C$89,0),MATCH(N$7,Costs!$E$6:$O$6,0))</f>
        <v>27.062360621702442</v>
      </c>
      <c r="O74" s="86">
        <f>GDPdeflator!$C$38*INDEX(Costs!$E$7:$O$89,MATCH($C74,Costs!$C$7:$C$89,0),MATCH(O$7,Costs!$E$6:$O$6,0))</f>
        <v>27.062360621702442</v>
      </c>
      <c r="P74" s="87">
        <f t="shared" si="39"/>
        <v>1968.7541515370096</v>
      </c>
      <c r="Q74" s="87">
        <f t="shared" si="40"/>
        <v>2241.863948184252</v>
      </c>
      <c r="R74" s="87">
        <f t="shared" si="41"/>
        <v>2054.8321318238213</v>
      </c>
      <c r="S74" s="87">
        <f t="shared" si="42"/>
        <v>2127.9838631098246</v>
      </c>
      <c r="T74" s="87">
        <f t="shared" si="43"/>
        <v>2254.536358234609</v>
      </c>
      <c r="U74" s="87">
        <f t="shared" si="44"/>
        <v>2256.7309101731898</v>
      </c>
      <c r="V74" s="87">
        <f t="shared" si="45"/>
        <v>2258.1939447989098</v>
      </c>
      <c r="W74" s="87">
        <f t="shared" si="46"/>
        <v>2259.6569794246293</v>
      </c>
      <c r="X74" s="87">
        <f t="shared" si="47"/>
        <v>2259.6569794246293</v>
      </c>
      <c r="Y74" s="87">
        <f t="shared" si="48"/>
        <v>2259.6569794246293</v>
      </c>
      <c r="Z74" s="87">
        <f t="shared" si="49"/>
        <v>2259.6569794246293</v>
      </c>
      <c r="AA74" s="88">
        <v>360</v>
      </c>
      <c r="AB74" s="89">
        <f>AA74*GDPdeflator!$C$25/$AI$18*10^3</f>
        <v>34.613819473439015</v>
      </c>
      <c r="AC74" s="90" t="e">
        <f>INDEX(Efficiencies!$D$8:$M$89,MATCH(C74,Efficiencies!$C$8:$C$89),MATCH(D74,Efficiencies!$D$7:$M$7))</f>
        <v>#REF!</v>
      </c>
      <c r="AD74" s="90" t="e">
        <f t="shared" si="38"/>
        <v>#REF!</v>
      </c>
      <c r="AE74" s="90" t="e">
        <f>INDEX(Efficiencies!$P$8:$Y$89,MATCH(C74,Efficiencies!$C$8:$C$89),MATCH(D74,Efficiencies!$P$7:$Y$7))</f>
        <v>#REF!</v>
      </c>
      <c r="AF74" s="90" t="e">
        <f t="shared" si="50"/>
        <v>#REF!</v>
      </c>
      <c r="AG74" s="90">
        <v>0</v>
      </c>
      <c r="AI74" s="93"/>
    </row>
    <row r="75" spans="1:35" x14ac:dyDescent="0.2">
      <c r="A75" s="92" t="s">
        <v>922</v>
      </c>
      <c r="B75" s="248" t="s">
        <v>923</v>
      </c>
      <c r="C75" s="40" t="s">
        <v>924</v>
      </c>
      <c r="D75" s="40">
        <v>2060</v>
      </c>
      <c r="E75" s="86">
        <f>GDPdeflator!$C$32*INDEX(Costs!$E$7:$O$89,MATCH($C75,Costs!$C$7:$C$89,0),MATCH(E$7,Costs!$E$6:$O$6,0))</f>
        <v>22.348154606219122</v>
      </c>
      <c r="F75" s="86">
        <f>GDPdeflator!$C$36*INDEX(Costs!$E$7:$O$89,MATCH($C75,Costs!$C$7:$C$89,0),MATCH(F$7,Costs!$E$6:$O$6,0))</f>
        <v>25.58789080097306</v>
      </c>
      <c r="G75" s="86">
        <f>GDPdeflator!$C$38*INDEX(Costs!$E$7:$O$89,MATCH($C75,Costs!$C$7:$C$89,0),MATCH(G$7,Costs!$E$6:$O$6,0))</f>
        <v>23.382790708748406</v>
      </c>
      <c r="H75" s="86">
        <f>GDPdeflator!$C$38*INDEX(Costs!$E$7:$O$89,MATCH($C75,Costs!$C$7:$C$89,0),MATCH(H$7,Costs!$E$6:$O$6,0))</f>
        <v>24.241357021771016</v>
      </c>
      <c r="I75" s="86">
        <f>GDPdeflator!$C$38*INDEX(Costs!$E$7:$O$89,MATCH($C75,Costs!$C$7:$C$89,0),MATCH(I$7,Costs!$E$6:$O$6,0))</f>
        <v>25.730706748442888</v>
      </c>
      <c r="J75" s="86">
        <f>GDPdeflator!$C$38*INDEX(Costs!$E$7:$O$89,MATCH($C75,Costs!$C$7:$C$89,0),MATCH(J$7,Costs!$E$6:$O$6,0))</f>
        <v>25.7657502714234</v>
      </c>
      <c r="K75" s="86">
        <f>GDPdeflator!$C$38*INDEX(Costs!$E$7:$O$89,MATCH($C75,Costs!$C$7:$C$89,0),MATCH(K$7,Costs!$E$6:$O$6,0))</f>
        <v>25.783272032913658</v>
      </c>
      <c r="L75" s="86">
        <f>GDPdeflator!$C$38*INDEX(Costs!$E$7:$O$89,MATCH($C75,Costs!$C$7:$C$89,0),MATCH(L$7,Costs!$E$6:$O$6,0))</f>
        <v>25.800793794403916</v>
      </c>
      <c r="M75" s="86">
        <f>GDPdeflator!$C$38*INDEX(Costs!$E$7:$O$89,MATCH($C75,Costs!$C$7:$C$89,0),MATCH(M$7,Costs!$E$6:$O$6,0))</f>
        <v>25.800793794403916</v>
      </c>
      <c r="N75" s="86">
        <f>GDPdeflator!$C$38*INDEX(Costs!$E$7:$O$89,MATCH($C75,Costs!$C$7:$C$89,0),MATCH(N$7,Costs!$E$6:$O$6,0))</f>
        <v>25.800793794403916</v>
      </c>
      <c r="O75" s="86">
        <f>GDPdeflator!$C$38*INDEX(Costs!$E$7:$O$89,MATCH($C75,Costs!$C$7:$C$89,0),MATCH(O$7,Costs!$E$6:$O$6,0))</f>
        <v>25.800793794403916</v>
      </c>
      <c r="P75" s="87">
        <f>E75/$AI$18*10^6</f>
        <v>1866.0295101051281</v>
      </c>
      <c r="Q75" s="87">
        <f t="shared" si="40"/>
        <v>2136.5414808198907</v>
      </c>
      <c r="R75" s="87">
        <f t="shared" si="41"/>
        <v>1952.4197080234173</v>
      </c>
      <c r="S75" s="87">
        <f t="shared" si="42"/>
        <v>2024.1084046837004</v>
      </c>
      <c r="T75" s="87">
        <f t="shared" si="43"/>
        <v>2148.4663478699049</v>
      </c>
      <c r="U75" s="87">
        <f t="shared" si="44"/>
        <v>2151.3924171213453</v>
      </c>
      <c r="V75" s="87">
        <f t="shared" si="45"/>
        <v>2152.8554517470652</v>
      </c>
      <c r="W75" s="87">
        <f t="shared" si="46"/>
        <v>2154.3184863727852</v>
      </c>
      <c r="X75" s="87">
        <f t="shared" si="47"/>
        <v>2154.3184863727852</v>
      </c>
      <c r="Y75" s="87">
        <f t="shared" si="48"/>
        <v>2154.3184863727852</v>
      </c>
      <c r="Z75" s="87">
        <f t="shared" si="49"/>
        <v>2154.3184863727852</v>
      </c>
      <c r="AA75" s="88">
        <v>360</v>
      </c>
      <c r="AB75" s="89">
        <f>AA75*GDPdeflator!$C$25/$AI$18*10^3</f>
        <v>34.613819473439015</v>
      </c>
      <c r="AC75" s="90" t="e">
        <f>INDEX(Efficiencies!$D$8:$M$89,MATCH(C75,Efficiencies!$C$8:$C$89),MATCH(D75,Efficiencies!$D$7:$M$7))</f>
        <v>#REF!</v>
      </c>
      <c r="AD75" s="90" t="e">
        <f t="shared" si="38"/>
        <v>#REF!</v>
      </c>
      <c r="AE75" s="90" t="e">
        <f>INDEX(Efficiencies!$P$8:$Y$89,MATCH(C75,Efficiencies!$C$8:$C$89),MATCH(D75,Efficiencies!$P$7:$Y$7))</f>
        <v>#REF!</v>
      </c>
      <c r="AF75" s="90" t="e">
        <f t="shared" si="50"/>
        <v>#REF!</v>
      </c>
      <c r="AG75" s="90">
        <v>0</v>
      </c>
      <c r="AI75" s="93"/>
    </row>
    <row r="76" spans="1:35" x14ac:dyDescent="0.2">
      <c r="A76" s="92" t="s">
        <v>925</v>
      </c>
      <c r="B76" s="248" t="s">
        <v>926</v>
      </c>
      <c r="C76" s="40" t="s">
        <v>924</v>
      </c>
      <c r="D76" s="40">
        <v>2005</v>
      </c>
      <c r="E76" s="86">
        <f>GDPdeflator!$C$32*INDEX(Costs!$E$7:$O$89,MATCH($C76,Costs!$C$7:$C$89,0),MATCH(E$7,Costs!$E$6:$O$6,0))</f>
        <v>22.348154606219122</v>
      </c>
      <c r="F76" s="86">
        <f>GDPdeflator!$C$36*INDEX(Costs!$E$7:$O$89,MATCH($C76,Costs!$C$7:$C$89,0),MATCH(F$7,Costs!$E$6:$O$6,0))</f>
        <v>25.58789080097306</v>
      </c>
      <c r="G76" s="86">
        <f>GDPdeflator!$C$38*INDEX(Costs!$E$7:$O$89,MATCH($C76,Costs!$C$7:$C$89,0),MATCH(G$7,Costs!$E$6:$O$6,0))</f>
        <v>23.382790708748406</v>
      </c>
      <c r="H76" s="86">
        <f>GDPdeflator!$C$38*INDEX(Costs!$E$7:$O$89,MATCH($C76,Costs!$C$7:$C$89,0),MATCH(H$7,Costs!$E$6:$O$6,0))</f>
        <v>24.241357021771016</v>
      </c>
      <c r="I76" s="86">
        <f>GDPdeflator!$C$38*INDEX(Costs!$E$7:$O$89,MATCH($C76,Costs!$C$7:$C$89,0),MATCH(I$7,Costs!$E$6:$O$6,0))</f>
        <v>25.730706748442888</v>
      </c>
      <c r="J76" s="86">
        <f>GDPdeflator!$C$38*INDEX(Costs!$E$7:$O$89,MATCH($C76,Costs!$C$7:$C$89,0),MATCH(J$7,Costs!$E$6:$O$6,0))</f>
        <v>25.7657502714234</v>
      </c>
      <c r="K76" s="86">
        <f>GDPdeflator!$C$38*INDEX(Costs!$E$7:$O$89,MATCH($C76,Costs!$C$7:$C$89,0),MATCH(K$7,Costs!$E$6:$O$6,0))</f>
        <v>25.783272032913658</v>
      </c>
      <c r="L76" s="86">
        <f>GDPdeflator!$C$38*INDEX(Costs!$E$7:$O$89,MATCH($C76,Costs!$C$7:$C$89,0),MATCH(L$7,Costs!$E$6:$O$6,0))</f>
        <v>25.800793794403916</v>
      </c>
      <c r="M76" s="86">
        <f>GDPdeflator!$C$38*INDEX(Costs!$E$7:$O$89,MATCH($C76,Costs!$C$7:$C$89,0),MATCH(M$7,Costs!$E$6:$O$6,0))</f>
        <v>25.800793794403916</v>
      </c>
      <c r="N76" s="86">
        <f>GDPdeflator!$C$38*INDEX(Costs!$E$7:$O$89,MATCH($C76,Costs!$C$7:$C$89,0),MATCH(N$7,Costs!$E$6:$O$6,0))</f>
        <v>25.800793794403916</v>
      </c>
      <c r="O76" s="86">
        <f>GDPdeflator!$C$38*INDEX(Costs!$E$7:$O$89,MATCH($C76,Costs!$C$7:$C$89,0),MATCH(O$7,Costs!$E$6:$O$6,0))</f>
        <v>25.800793794403916</v>
      </c>
      <c r="P76" s="87">
        <f t="shared" ref="P76:P85" si="51">E76/$AI$18*10^6</f>
        <v>1866.0295101051281</v>
      </c>
      <c r="Q76" s="87">
        <f t="shared" si="40"/>
        <v>2136.5414808198907</v>
      </c>
      <c r="R76" s="87">
        <f t="shared" si="41"/>
        <v>1952.4197080234173</v>
      </c>
      <c r="S76" s="87">
        <f t="shared" si="42"/>
        <v>2024.1084046837004</v>
      </c>
      <c r="T76" s="87">
        <f t="shared" si="43"/>
        <v>2148.4663478699049</v>
      </c>
      <c r="U76" s="87">
        <f t="shared" si="44"/>
        <v>2151.3924171213453</v>
      </c>
      <c r="V76" s="87">
        <f t="shared" si="45"/>
        <v>2152.8554517470652</v>
      </c>
      <c r="W76" s="87">
        <f t="shared" si="46"/>
        <v>2154.3184863727852</v>
      </c>
      <c r="X76" s="87">
        <f t="shared" si="47"/>
        <v>2154.3184863727852</v>
      </c>
      <c r="Y76" s="87">
        <f t="shared" si="48"/>
        <v>2154.3184863727852</v>
      </c>
      <c r="Z76" s="87">
        <f t="shared" si="49"/>
        <v>2154.3184863727852</v>
      </c>
      <c r="AA76" s="88">
        <v>360</v>
      </c>
      <c r="AB76" s="89">
        <f>AA76*GDPdeflator!$C$25/$AI$18*10^3</f>
        <v>34.613819473439015</v>
      </c>
      <c r="AC76" s="90" t="e">
        <f>INDEX(Efficiencies!$D$8:$M$89,MATCH(C76,Efficiencies!$C$8:$C$89),MATCH(D76,Efficiencies!$D$7:$M$7))</f>
        <v>#REF!</v>
      </c>
      <c r="AD76" s="90" t="e">
        <f t="shared" si="38"/>
        <v>#REF!</v>
      </c>
      <c r="AE76" s="90" t="e">
        <f>INDEX(Efficiencies!$P$8:$Y$89,MATCH(C76,Efficiencies!$C$8:$C$89),MATCH(D76,Efficiencies!$P$7:$Y$7))</f>
        <v>#REF!</v>
      </c>
      <c r="AF76" s="90" t="e">
        <f t="shared" si="50"/>
        <v>#REF!</v>
      </c>
      <c r="AG76" s="90">
        <v>0</v>
      </c>
      <c r="AI76" s="93"/>
    </row>
    <row r="77" spans="1:35" x14ac:dyDescent="0.2">
      <c r="A77" s="92" t="s">
        <v>927</v>
      </c>
      <c r="B77" s="248" t="s">
        <v>928</v>
      </c>
      <c r="C77" s="40" t="s">
        <v>924</v>
      </c>
      <c r="D77" s="40">
        <v>2010</v>
      </c>
      <c r="E77" s="86">
        <f>GDPdeflator!$C$32*INDEX(Costs!$E$7:$O$89,MATCH($C77,Costs!$C$7:$C$89,0),MATCH(E$7,Costs!$E$6:$O$6,0))</f>
        <v>22.348154606219122</v>
      </c>
      <c r="F77" s="86">
        <f>GDPdeflator!$C$36*INDEX(Costs!$E$7:$O$89,MATCH($C77,Costs!$C$7:$C$89,0),MATCH(F$7,Costs!$E$6:$O$6,0))</f>
        <v>25.58789080097306</v>
      </c>
      <c r="G77" s="86">
        <f>GDPdeflator!$C$38*INDEX(Costs!$E$7:$O$89,MATCH($C77,Costs!$C$7:$C$89,0),MATCH(G$7,Costs!$E$6:$O$6,0))</f>
        <v>23.382790708748406</v>
      </c>
      <c r="H77" s="86">
        <f>GDPdeflator!$C$38*INDEX(Costs!$E$7:$O$89,MATCH($C77,Costs!$C$7:$C$89,0),MATCH(H$7,Costs!$E$6:$O$6,0))</f>
        <v>24.241357021771016</v>
      </c>
      <c r="I77" s="86">
        <f>GDPdeflator!$C$38*INDEX(Costs!$E$7:$O$89,MATCH($C77,Costs!$C$7:$C$89,0),MATCH(I$7,Costs!$E$6:$O$6,0))</f>
        <v>25.730706748442888</v>
      </c>
      <c r="J77" s="86">
        <f>GDPdeflator!$C$38*INDEX(Costs!$E$7:$O$89,MATCH($C77,Costs!$C$7:$C$89,0),MATCH(J$7,Costs!$E$6:$O$6,0))</f>
        <v>25.7657502714234</v>
      </c>
      <c r="K77" s="86">
        <f>GDPdeflator!$C$38*INDEX(Costs!$E$7:$O$89,MATCH($C77,Costs!$C$7:$C$89,0),MATCH(K$7,Costs!$E$6:$O$6,0))</f>
        <v>25.783272032913658</v>
      </c>
      <c r="L77" s="86">
        <f>GDPdeflator!$C$38*INDEX(Costs!$E$7:$O$89,MATCH($C77,Costs!$C$7:$C$89,0),MATCH(L$7,Costs!$E$6:$O$6,0))</f>
        <v>25.800793794403916</v>
      </c>
      <c r="M77" s="86">
        <f>GDPdeflator!$C$38*INDEX(Costs!$E$7:$O$89,MATCH($C77,Costs!$C$7:$C$89,0),MATCH(M$7,Costs!$E$6:$O$6,0))</f>
        <v>25.800793794403916</v>
      </c>
      <c r="N77" s="86">
        <f>GDPdeflator!$C$38*INDEX(Costs!$E$7:$O$89,MATCH($C77,Costs!$C$7:$C$89,0),MATCH(N$7,Costs!$E$6:$O$6,0))</f>
        <v>25.800793794403916</v>
      </c>
      <c r="O77" s="86">
        <f>GDPdeflator!$C$38*INDEX(Costs!$E$7:$O$89,MATCH($C77,Costs!$C$7:$C$89,0),MATCH(O$7,Costs!$E$6:$O$6,0))</f>
        <v>25.800793794403916</v>
      </c>
      <c r="P77" s="87">
        <f t="shared" si="51"/>
        <v>1866.0295101051281</v>
      </c>
      <c r="Q77" s="87">
        <f t="shared" si="40"/>
        <v>2136.5414808198907</v>
      </c>
      <c r="R77" s="87">
        <f t="shared" si="41"/>
        <v>1952.4197080234173</v>
      </c>
      <c r="S77" s="87">
        <f t="shared" si="42"/>
        <v>2024.1084046837004</v>
      </c>
      <c r="T77" s="87">
        <f t="shared" si="43"/>
        <v>2148.4663478699049</v>
      </c>
      <c r="U77" s="87">
        <f t="shared" si="44"/>
        <v>2151.3924171213453</v>
      </c>
      <c r="V77" s="87">
        <f t="shared" si="45"/>
        <v>2152.8554517470652</v>
      </c>
      <c r="W77" s="87">
        <f t="shared" si="46"/>
        <v>2154.3184863727852</v>
      </c>
      <c r="X77" s="87">
        <f t="shared" si="47"/>
        <v>2154.3184863727852</v>
      </c>
      <c r="Y77" s="87">
        <f t="shared" si="48"/>
        <v>2154.3184863727852</v>
      </c>
      <c r="Z77" s="87">
        <f t="shared" si="49"/>
        <v>2154.3184863727852</v>
      </c>
      <c r="AA77" s="88">
        <v>360</v>
      </c>
      <c r="AB77" s="89">
        <f>AA77*GDPdeflator!$C$25/$AI$18*10^3</f>
        <v>34.613819473439015</v>
      </c>
      <c r="AC77" s="90" t="e">
        <f>INDEX(Efficiencies!$D$8:$M$89,MATCH(C77,Efficiencies!$C$8:$C$89),MATCH(D77,Efficiencies!$D$7:$M$7))</f>
        <v>#REF!</v>
      </c>
      <c r="AD77" s="90" t="e">
        <f t="shared" si="38"/>
        <v>#REF!</v>
      </c>
      <c r="AE77" s="90" t="e">
        <f>INDEX(Efficiencies!$P$8:$Y$89,MATCH(C77,Efficiencies!$C$8:$C$89),MATCH(D77,Efficiencies!$P$7:$Y$7))</f>
        <v>#REF!</v>
      </c>
      <c r="AF77" s="90" t="e">
        <f t="shared" si="50"/>
        <v>#REF!</v>
      </c>
      <c r="AG77" s="90">
        <v>0</v>
      </c>
      <c r="AI77" s="93"/>
    </row>
    <row r="78" spans="1:35" x14ac:dyDescent="0.2">
      <c r="A78" s="92" t="s">
        <v>929</v>
      </c>
      <c r="B78" s="248" t="s">
        <v>930</v>
      </c>
      <c r="C78" s="40" t="s">
        <v>924</v>
      </c>
      <c r="D78" s="40">
        <v>2015</v>
      </c>
      <c r="E78" s="86">
        <f>GDPdeflator!$C$32*INDEX(Costs!$E$7:$O$89,MATCH($C78,Costs!$C$7:$C$89,0),MATCH(E$7,Costs!$E$6:$O$6,0))</f>
        <v>22.348154606219122</v>
      </c>
      <c r="F78" s="86">
        <f>GDPdeflator!$C$36*INDEX(Costs!$E$7:$O$89,MATCH($C78,Costs!$C$7:$C$89,0),MATCH(F$7,Costs!$E$6:$O$6,0))</f>
        <v>25.58789080097306</v>
      </c>
      <c r="G78" s="86">
        <f>GDPdeflator!$C$38*INDEX(Costs!$E$7:$O$89,MATCH($C78,Costs!$C$7:$C$89,0),MATCH(G$7,Costs!$E$6:$O$6,0))</f>
        <v>23.382790708748406</v>
      </c>
      <c r="H78" s="86">
        <f>GDPdeflator!$C$38*INDEX(Costs!$E$7:$O$89,MATCH($C78,Costs!$C$7:$C$89,0),MATCH(H$7,Costs!$E$6:$O$6,0))</f>
        <v>24.241357021771016</v>
      </c>
      <c r="I78" s="86">
        <f>GDPdeflator!$C$38*INDEX(Costs!$E$7:$O$89,MATCH($C78,Costs!$C$7:$C$89,0),MATCH(I$7,Costs!$E$6:$O$6,0))</f>
        <v>25.730706748442888</v>
      </c>
      <c r="J78" s="86">
        <f>GDPdeflator!$C$38*INDEX(Costs!$E$7:$O$89,MATCH($C78,Costs!$C$7:$C$89,0),MATCH(J$7,Costs!$E$6:$O$6,0))</f>
        <v>25.7657502714234</v>
      </c>
      <c r="K78" s="86">
        <f>GDPdeflator!$C$38*INDEX(Costs!$E$7:$O$89,MATCH($C78,Costs!$C$7:$C$89,0),MATCH(K$7,Costs!$E$6:$O$6,0))</f>
        <v>25.783272032913658</v>
      </c>
      <c r="L78" s="86">
        <f>GDPdeflator!$C$38*INDEX(Costs!$E$7:$O$89,MATCH($C78,Costs!$C$7:$C$89,0),MATCH(L$7,Costs!$E$6:$O$6,0))</f>
        <v>25.800793794403916</v>
      </c>
      <c r="M78" s="86">
        <f>GDPdeflator!$C$38*INDEX(Costs!$E$7:$O$89,MATCH($C78,Costs!$C$7:$C$89,0),MATCH(M$7,Costs!$E$6:$O$6,0))</f>
        <v>25.800793794403916</v>
      </c>
      <c r="N78" s="86">
        <f>GDPdeflator!$C$38*INDEX(Costs!$E$7:$O$89,MATCH($C78,Costs!$C$7:$C$89,0),MATCH(N$7,Costs!$E$6:$O$6,0))</f>
        <v>25.800793794403916</v>
      </c>
      <c r="O78" s="86">
        <f>GDPdeflator!$C$38*INDEX(Costs!$E$7:$O$89,MATCH($C78,Costs!$C$7:$C$89,0),MATCH(O$7,Costs!$E$6:$O$6,0))</f>
        <v>25.800793794403916</v>
      </c>
      <c r="P78" s="87">
        <f t="shared" si="51"/>
        <v>1866.0295101051281</v>
      </c>
      <c r="Q78" s="87">
        <f t="shared" si="40"/>
        <v>2136.5414808198907</v>
      </c>
      <c r="R78" s="87">
        <f t="shared" si="41"/>
        <v>1952.4197080234173</v>
      </c>
      <c r="S78" s="87">
        <f t="shared" si="42"/>
        <v>2024.1084046837004</v>
      </c>
      <c r="T78" s="87">
        <f t="shared" si="43"/>
        <v>2148.4663478699049</v>
      </c>
      <c r="U78" s="87">
        <f t="shared" si="44"/>
        <v>2151.3924171213453</v>
      </c>
      <c r="V78" s="87">
        <f t="shared" si="45"/>
        <v>2152.8554517470652</v>
      </c>
      <c r="W78" s="87">
        <f t="shared" si="46"/>
        <v>2154.3184863727852</v>
      </c>
      <c r="X78" s="87">
        <f t="shared" si="47"/>
        <v>2154.3184863727852</v>
      </c>
      <c r="Y78" s="87">
        <f t="shared" si="48"/>
        <v>2154.3184863727852</v>
      </c>
      <c r="Z78" s="87">
        <f t="shared" si="49"/>
        <v>2154.3184863727852</v>
      </c>
      <c r="AA78" s="88">
        <v>360</v>
      </c>
      <c r="AB78" s="89">
        <f>AA78*GDPdeflator!$C$25/$AI$18*10^3</f>
        <v>34.613819473439015</v>
      </c>
      <c r="AC78" s="90" t="e">
        <f>INDEX(Efficiencies!$D$8:$M$89,MATCH(C78,Efficiencies!$C$8:$C$89),MATCH(D78,Efficiencies!$D$7:$M$7))</f>
        <v>#REF!</v>
      </c>
      <c r="AD78" s="90" t="e">
        <f t="shared" si="38"/>
        <v>#REF!</v>
      </c>
      <c r="AE78" s="90" t="e">
        <f>INDEX(Efficiencies!$P$8:$Y$89,MATCH(C78,Efficiencies!$C$8:$C$89),MATCH(D78,Efficiencies!$P$7:$Y$7))</f>
        <v>#REF!</v>
      </c>
      <c r="AF78" s="90" t="e">
        <f t="shared" si="50"/>
        <v>#REF!</v>
      </c>
      <c r="AG78" s="90">
        <v>0</v>
      </c>
      <c r="AI78" s="93"/>
    </row>
    <row r="79" spans="1:35" x14ac:dyDescent="0.2">
      <c r="A79" s="92" t="s">
        <v>931</v>
      </c>
      <c r="B79" s="248" t="s">
        <v>932</v>
      </c>
      <c r="C79" s="40" t="s">
        <v>924</v>
      </c>
      <c r="D79" s="40">
        <v>2020</v>
      </c>
      <c r="E79" s="86">
        <f>GDPdeflator!$C$32*INDEX(Costs!$E$7:$O$89,MATCH($C79,Costs!$C$7:$C$89,0),MATCH(E$7,Costs!$E$6:$O$6,0))</f>
        <v>22.348154606219122</v>
      </c>
      <c r="F79" s="86">
        <f>GDPdeflator!$C$36*INDEX(Costs!$E$7:$O$89,MATCH($C79,Costs!$C$7:$C$89,0),MATCH(F$7,Costs!$E$6:$O$6,0))</f>
        <v>25.58789080097306</v>
      </c>
      <c r="G79" s="86">
        <f>GDPdeflator!$C$38*INDEX(Costs!$E$7:$O$89,MATCH($C79,Costs!$C$7:$C$89,0),MATCH(G$7,Costs!$E$6:$O$6,0))</f>
        <v>23.382790708748406</v>
      </c>
      <c r="H79" s="86">
        <f>GDPdeflator!$C$38*INDEX(Costs!$E$7:$O$89,MATCH($C79,Costs!$C$7:$C$89,0),MATCH(H$7,Costs!$E$6:$O$6,0))</f>
        <v>24.241357021771016</v>
      </c>
      <c r="I79" s="86">
        <f>GDPdeflator!$C$38*INDEX(Costs!$E$7:$O$89,MATCH($C79,Costs!$C$7:$C$89,0),MATCH(I$7,Costs!$E$6:$O$6,0))</f>
        <v>25.730706748442888</v>
      </c>
      <c r="J79" s="86">
        <f>GDPdeflator!$C$38*INDEX(Costs!$E$7:$O$89,MATCH($C79,Costs!$C$7:$C$89,0),MATCH(J$7,Costs!$E$6:$O$6,0))</f>
        <v>25.7657502714234</v>
      </c>
      <c r="K79" s="86">
        <f>GDPdeflator!$C$38*INDEX(Costs!$E$7:$O$89,MATCH($C79,Costs!$C$7:$C$89,0),MATCH(K$7,Costs!$E$6:$O$6,0))</f>
        <v>25.783272032913658</v>
      </c>
      <c r="L79" s="86">
        <f>GDPdeflator!$C$38*INDEX(Costs!$E$7:$O$89,MATCH($C79,Costs!$C$7:$C$89,0),MATCH(L$7,Costs!$E$6:$O$6,0))</f>
        <v>25.800793794403916</v>
      </c>
      <c r="M79" s="86">
        <f>GDPdeflator!$C$38*INDEX(Costs!$E$7:$O$89,MATCH($C79,Costs!$C$7:$C$89,0),MATCH(M$7,Costs!$E$6:$O$6,0))</f>
        <v>25.800793794403916</v>
      </c>
      <c r="N79" s="86">
        <f>GDPdeflator!$C$38*INDEX(Costs!$E$7:$O$89,MATCH($C79,Costs!$C$7:$C$89,0),MATCH(N$7,Costs!$E$6:$O$6,0))</f>
        <v>25.800793794403916</v>
      </c>
      <c r="O79" s="86">
        <f>GDPdeflator!$C$38*INDEX(Costs!$E$7:$O$89,MATCH($C79,Costs!$C$7:$C$89,0),MATCH(O$7,Costs!$E$6:$O$6,0))</f>
        <v>25.800793794403916</v>
      </c>
      <c r="P79" s="87">
        <f t="shared" si="51"/>
        <v>1866.0295101051281</v>
      </c>
      <c r="Q79" s="87">
        <f t="shared" si="40"/>
        <v>2136.5414808198907</v>
      </c>
      <c r="R79" s="87">
        <f t="shared" si="41"/>
        <v>1952.4197080234173</v>
      </c>
      <c r="S79" s="87">
        <f t="shared" si="42"/>
        <v>2024.1084046837004</v>
      </c>
      <c r="T79" s="87">
        <f t="shared" si="43"/>
        <v>2148.4663478699049</v>
      </c>
      <c r="U79" s="87">
        <f t="shared" si="44"/>
        <v>2151.3924171213453</v>
      </c>
      <c r="V79" s="87">
        <f t="shared" si="45"/>
        <v>2152.8554517470652</v>
      </c>
      <c r="W79" s="87">
        <f t="shared" si="46"/>
        <v>2154.3184863727852</v>
      </c>
      <c r="X79" s="87">
        <f t="shared" si="47"/>
        <v>2154.3184863727852</v>
      </c>
      <c r="Y79" s="87">
        <f t="shared" si="48"/>
        <v>2154.3184863727852</v>
      </c>
      <c r="Z79" s="87">
        <f t="shared" si="49"/>
        <v>2154.3184863727852</v>
      </c>
      <c r="AA79" s="88">
        <v>360</v>
      </c>
      <c r="AB79" s="89">
        <f>AA79*GDPdeflator!$C$25/$AI$18*10^3</f>
        <v>34.613819473439015</v>
      </c>
      <c r="AC79" s="90" t="e">
        <f>INDEX(Efficiencies!$D$8:$M$89,MATCH(C79,Efficiencies!$C$8:$C$89),MATCH(D79,Efficiencies!$D$7:$M$7))</f>
        <v>#REF!</v>
      </c>
      <c r="AD79" s="90" t="e">
        <f t="shared" si="38"/>
        <v>#REF!</v>
      </c>
      <c r="AE79" s="90" t="e">
        <f>INDEX(Efficiencies!$P$8:$Y$89,MATCH(C79,Efficiencies!$C$8:$C$89),MATCH(D79,Efficiencies!$P$7:$Y$7))</f>
        <v>#REF!</v>
      </c>
      <c r="AF79" s="90" t="e">
        <f t="shared" si="50"/>
        <v>#REF!</v>
      </c>
      <c r="AG79" s="90">
        <v>0</v>
      </c>
      <c r="AI79" s="93"/>
    </row>
    <row r="80" spans="1:35" x14ac:dyDescent="0.2">
      <c r="A80" s="92" t="s">
        <v>933</v>
      </c>
      <c r="B80" s="248" t="s">
        <v>934</v>
      </c>
      <c r="C80" s="40" t="s">
        <v>924</v>
      </c>
      <c r="D80" s="40">
        <v>2025</v>
      </c>
      <c r="E80" s="86">
        <f>GDPdeflator!$C$32*INDEX(Costs!$E$7:$O$89,MATCH($C80,Costs!$C$7:$C$89,0),MATCH(E$7,Costs!$E$6:$O$6,0))</f>
        <v>22.348154606219122</v>
      </c>
      <c r="F80" s="86">
        <f>GDPdeflator!$C$36*INDEX(Costs!$E$7:$O$89,MATCH($C80,Costs!$C$7:$C$89,0),MATCH(F$7,Costs!$E$6:$O$6,0))</f>
        <v>25.58789080097306</v>
      </c>
      <c r="G80" s="86">
        <f>GDPdeflator!$C$38*INDEX(Costs!$E$7:$O$89,MATCH($C80,Costs!$C$7:$C$89,0),MATCH(G$7,Costs!$E$6:$O$6,0))</f>
        <v>23.382790708748406</v>
      </c>
      <c r="H80" s="86">
        <f>GDPdeflator!$C$38*INDEX(Costs!$E$7:$O$89,MATCH($C80,Costs!$C$7:$C$89,0),MATCH(H$7,Costs!$E$6:$O$6,0))</f>
        <v>24.241357021771016</v>
      </c>
      <c r="I80" s="86">
        <f>GDPdeflator!$C$38*INDEX(Costs!$E$7:$O$89,MATCH($C80,Costs!$C$7:$C$89,0),MATCH(I$7,Costs!$E$6:$O$6,0))</f>
        <v>25.730706748442888</v>
      </c>
      <c r="J80" s="86">
        <f>GDPdeflator!$C$38*INDEX(Costs!$E$7:$O$89,MATCH($C80,Costs!$C$7:$C$89,0),MATCH(J$7,Costs!$E$6:$O$6,0))</f>
        <v>25.7657502714234</v>
      </c>
      <c r="K80" s="86">
        <f>GDPdeflator!$C$38*INDEX(Costs!$E$7:$O$89,MATCH($C80,Costs!$C$7:$C$89,0),MATCH(K$7,Costs!$E$6:$O$6,0))</f>
        <v>25.783272032913658</v>
      </c>
      <c r="L80" s="86">
        <f>GDPdeflator!$C$38*INDEX(Costs!$E$7:$O$89,MATCH($C80,Costs!$C$7:$C$89,0),MATCH(L$7,Costs!$E$6:$O$6,0))</f>
        <v>25.800793794403916</v>
      </c>
      <c r="M80" s="86">
        <f>GDPdeflator!$C$38*INDEX(Costs!$E$7:$O$89,MATCH($C80,Costs!$C$7:$C$89,0),MATCH(M$7,Costs!$E$6:$O$6,0))</f>
        <v>25.800793794403916</v>
      </c>
      <c r="N80" s="86">
        <f>GDPdeflator!$C$38*INDEX(Costs!$E$7:$O$89,MATCH($C80,Costs!$C$7:$C$89,0),MATCH(N$7,Costs!$E$6:$O$6,0))</f>
        <v>25.800793794403916</v>
      </c>
      <c r="O80" s="86">
        <f>GDPdeflator!$C$38*INDEX(Costs!$E$7:$O$89,MATCH($C80,Costs!$C$7:$C$89,0),MATCH(O$7,Costs!$E$6:$O$6,0))</f>
        <v>25.800793794403916</v>
      </c>
      <c r="P80" s="87">
        <f t="shared" si="51"/>
        <v>1866.0295101051281</v>
      </c>
      <c r="Q80" s="87">
        <f t="shared" si="40"/>
        <v>2136.5414808198907</v>
      </c>
      <c r="R80" s="87">
        <f t="shared" si="41"/>
        <v>1952.4197080234173</v>
      </c>
      <c r="S80" s="87">
        <f t="shared" si="42"/>
        <v>2024.1084046837004</v>
      </c>
      <c r="T80" s="87">
        <f t="shared" si="43"/>
        <v>2148.4663478699049</v>
      </c>
      <c r="U80" s="87">
        <f t="shared" si="44"/>
        <v>2151.3924171213453</v>
      </c>
      <c r="V80" s="87">
        <f t="shared" si="45"/>
        <v>2152.8554517470652</v>
      </c>
      <c r="W80" s="87">
        <f t="shared" si="46"/>
        <v>2154.3184863727852</v>
      </c>
      <c r="X80" s="87">
        <f t="shared" si="47"/>
        <v>2154.3184863727852</v>
      </c>
      <c r="Y80" s="87">
        <f t="shared" si="48"/>
        <v>2154.3184863727852</v>
      </c>
      <c r="Z80" s="87">
        <f t="shared" si="49"/>
        <v>2154.3184863727852</v>
      </c>
      <c r="AA80" s="88">
        <v>360</v>
      </c>
      <c r="AB80" s="89">
        <f>AA80*GDPdeflator!$C$25/$AI$18*10^3</f>
        <v>34.613819473439015</v>
      </c>
      <c r="AC80" s="90" t="e">
        <f>INDEX(Efficiencies!$D$8:$M$89,MATCH(C80,Efficiencies!$C$8:$C$89),MATCH(D80,Efficiencies!$D$7:$M$7))</f>
        <v>#REF!</v>
      </c>
      <c r="AD80" s="90" t="e">
        <f t="shared" si="38"/>
        <v>#REF!</v>
      </c>
      <c r="AE80" s="90" t="e">
        <f>INDEX(Efficiencies!$P$8:$Y$89,MATCH(C80,Efficiencies!$C$8:$C$89),MATCH(D80,Efficiencies!$P$7:$Y$7))</f>
        <v>#REF!</v>
      </c>
      <c r="AF80" s="90" t="e">
        <f t="shared" si="50"/>
        <v>#REF!</v>
      </c>
      <c r="AG80" s="90">
        <v>0</v>
      </c>
    </row>
    <row r="81" spans="1:33" x14ac:dyDescent="0.2">
      <c r="A81" s="92" t="s">
        <v>935</v>
      </c>
      <c r="B81" s="248" t="s">
        <v>936</v>
      </c>
      <c r="C81" s="40" t="s">
        <v>924</v>
      </c>
      <c r="D81" s="40">
        <v>2030</v>
      </c>
      <c r="E81" s="86">
        <f>GDPdeflator!$C$32*INDEX(Costs!$E$7:$O$89,MATCH($C81,Costs!$C$7:$C$89,0),MATCH(E$7,Costs!$E$6:$O$6,0))</f>
        <v>22.348154606219122</v>
      </c>
      <c r="F81" s="86">
        <f>GDPdeflator!$C$36*INDEX(Costs!$E$7:$O$89,MATCH($C81,Costs!$C$7:$C$89,0),MATCH(F$7,Costs!$E$6:$O$6,0))</f>
        <v>25.58789080097306</v>
      </c>
      <c r="G81" s="86">
        <f>GDPdeflator!$C$38*INDEX(Costs!$E$7:$O$89,MATCH($C81,Costs!$C$7:$C$89,0),MATCH(G$7,Costs!$E$6:$O$6,0))</f>
        <v>23.382790708748406</v>
      </c>
      <c r="H81" s="86">
        <f>GDPdeflator!$C$38*INDEX(Costs!$E$7:$O$89,MATCH($C81,Costs!$C$7:$C$89,0),MATCH(H$7,Costs!$E$6:$O$6,0))</f>
        <v>24.241357021771016</v>
      </c>
      <c r="I81" s="86">
        <f>GDPdeflator!$C$38*INDEX(Costs!$E$7:$O$89,MATCH($C81,Costs!$C$7:$C$89,0),MATCH(I$7,Costs!$E$6:$O$6,0))</f>
        <v>25.730706748442888</v>
      </c>
      <c r="J81" s="86">
        <f>GDPdeflator!$C$38*INDEX(Costs!$E$7:$O$89,MATCH($C81,Costs!$C$7:$C$89,0),MATCH(J$7,Costs!$E$6:$O$6,0))</f>
        <v>25.7657502714234</v>
      </c>
      <c r="K81" s="86">
        <f>GDPdeflator!$C$38*INDEX(Costs!$E$7:$O$89,MATCH($C81,Costs!$C$7:$C$89,0),MATCH(K$7,Costs!$E$6:$O$6,0))</f>
        <v>25.783272032913658</v>
      </c>
      <c r="L81" s="86">
        <f>GDPdeflator!$C$38*INDEX(Costs!$E$7:$O$89,MATCH($C81,Costs!$C$7:$C$89,0),MATCH(L$7,Costs!$E$6:$O$6,0))</f>
        <v>25.800793794403916</v>
      </c>
      <c r="M81" s="86">
        <f>GDPdeflator!$C$38*INDEX(Costs!$E$7:$O$89,MATCH($C81,Costs!$C$7:$C$89,0),MATCH(M$7,Costs!$E$6:$O$6,0))</f>
        <v>25.800793794403916</v>
      </c>
      <c r="N81" s="86">
        <f>GDPdeflator!$C$38*INDEX(Costs!$E$7:$O$89,MATCH($C81,Costs!$C$7:$C$89,0),MATCH(N$7,Costs!$E$6:$O$6,0))</f>
        <v>25.800793794403916</v>
      </c>
      <c r="O81" s="86">
        <f>GDPdeflator!$C$38*INDEX(Costs!$E$7:$O$89,MATCH($C81,Costs!$C$7:$C$89,0),MATCH(O$7,Costs!$E$6:$O$6,0))</f>
        <v>25.800793794403916</v>
      </c>
      <c r="P81" s="87">
        <f t="shared" si="51"/>
        <v>1866.0295101051281</v>
      </c>
      <c r="Q81" s="87">
        <f t="shared" si="40"/>
        <v>2136.5414808198907</v>
      </c>
      <c r="R81" s="87">
        <f t="shared" si="41"/>
        <v>1952.4197080234173</v>
      </c>
      <c r="S81" s="87">
        <f t="shared" si="42"/>
        <v>2024.1084046837004</v>
      </c>
      <c r="T81" s="87">
        <f t="shared" si="43"/>
        <v>2148.4663478699049</v>
      </c>
      <c r="U81" s="87">
        <f t="shared" si="44"/>
        <v>2151.3924171213453</v>
      </c>
      <c r="V81" s="87">
        <f t="shared" si="45"/>
        <v>2152.8554517470652</v>
      </c>
      <c r="W81" s="87">
        <f t="shared" si="46"/>
        <v>2154.3184863727852</v>
      </c>
      <c r="X81" s="87">
        <f t="shared" si="47"/>
        <v>2154.3184863727852</v>
      </c>
      <c r="Y81" s="87">
        <f t="shared" si="48"/>
        <v>2154.3184863727852</v>
      </c>
      <c r="Z81" s="87">
        <f t="shared" si="49"/>
        <v>2154.3184863727852</v>
      </c>
      <c r="AA81" s="88">
        <v>360</v>
      </c>
      <c r="AB81" s="89">
        <f>AA81*GDPdeflator!$C$25/$AI$18*10^3</f>
        <v>34.613819473439015</v>
      </c>
      <c r="AC81" s="90" t="e">
        <f>INDEX(Efficiencies!$D$8:$M$89,MATCH(C81,Efficiencies!$C$8:$C$89),MATCH(D81,Efficiencies!$D$7:$M$7))</f>
        <v>#REF!</v>
      </c>
      <c r="AD81" s="90" t="e">
        <f t="shared" si="38"/>
        <v>#REF!</v>
      </c>
      <c r="AE81" s="90" t="e">
        <f>INDEX(Efficiencies!$P$8:$Y$89,MATCH(C81,Efficiencies!$C$8:$C$89),MATCH(D81,Efficiencies!$P$7:$Y$7))</f>
        <v>#REF!</v>
      </c>
      <c r="AF81" s="90" t="e">
        <f t="shared" si="50"/>
        <v>#REF!</v>
      </c>
      <c r="AG81" s="90">
        <v>0</v>
      </c>
    </row>
    <row r="82" spans="1:33" x14ac:dyDescent="0.2">
      <c r="A82" s="92" t="s">
        <v>937</v>
      </c>
      <c r="B82" s="248" t="s">
        <v>938</v>
      </c>
      <c r="C82" s="40" t="s">
        <v>924</v>
      </c>
      <c r="D82" s="40">
        <v>2035</v>
      </c>
      <c r="E82" s="86">
        <f>GDPdeflator!$C$32*INDEX(Costs!$E$7:$O$89,MATCH($C82,Costs!$C$7:$C$89,0),MATCH(E$7,Costs!$E$6:$O$6,0))</f>
        <v>22.348154606219122</v>
      </c>
      <c r="F82" s="86">
        <f>GDPdeflator!$C$36*INDEX(Costs!$E$7:$O$89,MATCH($C82,Costs!$C$7:$C$89,0),MATCH(F$7,Costs!$E$6:$O$6,0))</f>
        <v>25.58789080097306</v>
      </c>
      <c r="G82" s="86">
        <f>GDPdeflator!$C$38*INDEX(Costs!$E$7:$O$89,MATCH($C82,Costs!$C$7:$C$89,0),MATCH(G$7,Costs!$E$6:$O$6,0))</f>
        <v>23.382790708748406</v>
      </c>
      <c r="H82" s="86">
        <f>GDPdeflator!$C$38*INDEX(Costs!$E$7:$O$89,MATCH($C82,Costs!$C$7:$C$89,0),MATCH(H$7,Costs!$E$6:$O$6,0))</f>
        <v>24.241357021771016</v>
      </c>
      <c r="I82" s="86">
        <f>GDPdeflator!$C$38*INDEX(Costs!$E$7:$O$89,MATCH($C82,Costs!$C$7:$C$89,0),MATCH(I$7,Costs!$E$6:$O$6,0))</f>
        <v>25.730706748442888</v>
      </c>
      <c r="J82" s="86">
        <f>GDPdeflator!$C$38*INDEX(Costs!$E$7:$O$89,MATCH($C82,Costs!$C$7:$C$89,0),MATCH(J$7,Costs!$E$6:$O$6,0))</f>
        <v>25.7657502714234</v>
      </c>
      <c r="K82" s="86">
        <f>GDPdeflator!$C$38*INDEX(Costs!$E$7:$O$89,MATCH($C82,Costs!$C$7:$C$89,0),MATCH(K$7,Costs!$E$6:$O$6,0))</f>
        <v>25.783272032913658</v>
      </c>
      <c r="L82" s="86">
        <f>GDPdeflator!$C$38*INDEX(Costs!$E$7:$O$89,MATCH($C82,Costs!$C$7:$C$89,0),MATCH(L$7,Costs!$E$6:$O$6,0))</f>
        <v>25.800793794403916</v>
      </c>
      <c r="M82" s="86">
        <f>GDPdeflator!$C$38*INDEX(Costs!$E$7:$O$89,MATCH($C82,Costs!$C$7:$C$89,0),MATCH(M$7,Costs!$E$6:$O$6,0))</f>
        <v>25.800793794403916</v>
      </c>
      <c r="N82" s="86">
        <f>GDPdeflator!$C$38*INDEX(Costs!$E$7:$O$89,MATCH($C82,Costs!$C$7:$C$89,0),MATCH(N$7,Costs!$E$6:$O$6,0))</f>
        <v>25.800793794403916</v>
      </c>
      <c r="O82" s="86">
        <f>GDPdeflator!$C$38*INDEX(Costs!$E$7:$O$89,MATCH($C82,Costs!$C$7:$C$89,0),MATCH(O$7,Costs!$E$6:$O$6,0))</f>
        <v>25.800793794403916</v>
      </c>
      <c r="P82" s="87">
        <f t="shared" si="51"/>
        <v>1866.0295101051281</v>
      </c>
      <c r="Q82" s="87">
        <f t="shared" si="40"/>
        <v>2136.5414808198907</v>
      </c>
      <c r="R82" s="87">
        <f t="shared" si="41"/>
        <v>1952.4197080234173</v>
      </c>
      <c r="S82" s="87">
        <f t="shared" si="42"/>
        <v>2024.1084046837004</v>
      </c>
      <c r="T82" s="87">
        <f t="shared" si="43"/>
        <v>2148.4663478699049</v>
      </c>
      <c r="U82" s="87">
        <f t="shared" si="44"/>
        <v>2151.3924171213453</v>
      </c>
      <c r="V82" s="87">
        <f t="shared" si="45"/>
        <v>2152.8554517470652</v>
      </c>
      <c r="W82" s="87">
        <f t="shared" si="46"/>
        <v>2154.3184863727852</v>
      </c>
      <c r="X82" s="87">
        <f t="shared" si="47"/>
        <v>2154.3184863727852</v>
      </c>
      <c r="Y82" s="87">
        <f t="shared" si="48"/>
        <v>2154.3184863727852</v>
      </c>
      <c r="Z82" s="87">
        <f t="shared" si="49"/>
        <v>2154.3184863727852</v>
      </c>
      <c r="AA82" s="88">
        <v>360</v>
      </c>
      <c r="AB82" s="89">
        <f>AA82*GDPdeflator!$C$25/$AI$18*10^3</f>
        <v>34.613819473439015</v>
      </c>
      <c r="AC82" s="90" t="e">
        <f>INDEX(Efficiencies!$D$8:$M$89,MATCH(C82,Efficiencies!$C$8:$C$89),MATCH(D82,Efficiencies!$D$7:$M$7))</f>
        <v>#REF!</v>
      </c>
      <c r="AD82" s="90" t="e">
        <f t="shared" si="38"/>
        <v>#REF!</v>
      </c>
      <c r="AE82" s="90" t="e">
        <f>INDEX(Efficiencies!$P$8:$Y$89,MATCH(C82,Efficiencies!$C$8:$C$89),MATCH(D82,Efficiencies!$P$7:$Y$7))</f>
        <v>#REF!</v>
      </c>
      <c r="AF82" s="90" t="e">
        <f t="shared" si="50"/>
        <v>#REF!</v>
      </c>
      <c r="AG82" s="90">
        <v>0</v>
      </c>
    </row>
    <row r="83" spans="1:33" x14ac:dyDescent="0.2">
      <c r="A83" s="92" t="s">
        <v>939</v>
      </c>
      <c r="B83" s="248" t="s">
        <v>940</v>
      </c>
      <c r="C83" s="40" t="s">
        <v>924</v>
      </c>
      <c r="D83" s="40">
        <v>2040</v>
      </c>
      <c r="E83" s="86">
        <f>GDPdeflator!$C$32*INDEX(Costs!$E$7:$O$89,MATCH($C83,Costs!$C$7:$C$89,0),MATCH(E$7,Costs!$E$6:$O$6,0))</f>
        <v>22.348154606219122</v>
      </c>
      <c r="F83" s="86">
        <f>GDPdeflator!$C$36*INDEX(Costs!$E$7:$O$89,MATCH($C83,Costs!$C$7:$C$89,0),MATCH(F$7,Costs!$E$6:$O$6,0))</f>
        <v>25.58789080097306</v>
      </c>
      <c r="G83" s="86">
        <f>GDPdeflator!$C$38*INDEX(Costs!$E$7:$O$89,MATCH($C83,Costs!$C$7:$C$89,0),MATCH(G$7,Costs!$E$6:$O$6,0))</f>
        <v>23.382790708748406</v>
      </c>
      <c r="H83" s="86">
        <f>GDPdeflator!$C$38*INDEX(Costs!$E$7:$O$89,MATCH($C83,Costs!$C$7:$C$89,0),MATCH(H$7,Costs!$E$6:$O$6,0))</f>
        <v>24.241357021771016</v>
      </c>
      <c r="I83" s="86">
        <f>GDPdeflator!$C$38*INDEX(Costs!$E$7:$O$89,MATCH($C83,Costs!$C$7:$C$89,0),MATCH(I$7,Costs!$E$6:$O$6,0))</f>
        <v>25.730706748442888</v>
      </c>
      <c r="J83" s="86">
        <f>GDPdeflator!$C$38*INDEX(Costs!$E$7:$O$89,MATCH($C83,Costs!$C$7:$C$89,0),MATCH(J$7,Costs!$E$6:$O$6,0))</f>
        <v>25.7657502714234</v>
      </c>
      <c r="K83" s="86">
        <f>GDPdeflator!$C$38*INDEX(Costs!$E$7:$O$89,MATCH($C83,Costs!$C$7:$C$89,0),MATCH(K$7,Costs!$E$6:$O$6,0))</f>
        <v>25.783272032913658</v>
      </c>
      <c r="L83" s="86">
        <f>GDPdeflator!$C$38*INDEX(Costs!$E$7:$O$89,MATCH($C83,Costs!$C$7:$C$89,0),MATCH(L$7,Costs!$E$6:$O$6,0))</f>
        <v>25.800793794403916</v>
      </c>
      <c r="M83" s="86">
        <f>GDPdeflator!$C$38*INDEX(Costs!$E$7:$O$89,MATCH($C83,Costs!$C$7:$C$89,0),MATCH(M$7,Costs!$E$6:$O$6,0))</f>
        <v>25.800793794403916</v>
      </c>
      <c r="N83" s="86">
        <f>GDPdeflator!$C$38*INDEX(Costs!$E$7:$O$89,MATCH($C83,Costs!$C$7:$C$89,0),MATCH(N$7,Costs!$E$6:$O$6,0))</f>
        <v>25.800793794403916</v>
      </c>
      <c r="O83" s="86">
        <f>GDPdeflator!$C$38*INDEX(Costs!$E$7:$O$89,MATCH($C83,Costs!$C$7:$C$89,0),MATCH(O$7,Costs!$E$6:$O$6,0))</f>
        <v>25.800793794403916</v>
      </c>
      <c r="P83" s="87">
        <f t="shared" si="51"/>
        <v>1866.0295101051281</v>
      </c>
      <c r="Q83" s="87">
        <f t="shared" si="40"/>
        <v>2136.5414808198907</v>
      </c>
      <c r="R83" s="87">
        <f t="shared" si="41"/>
        <v>1952.4197080234173</v>
      </c>
      <c r="S83" s="87">
        <f t="shared" si="42"/>
        <v>2024.1084046837004</v>
      </c>
      <c r="T83" s="87">
        <f t="shared" si="43"/>
        <v>2148.4663478699049</v>
      </c>
      <c r="U83" s="87">
        <f t="shared" si="44"/>
        <v>2151.3924171213453</v>
      </c>
      <c r="V83" s="87">
        <f t="shared" si="45"/>
        <v>2152.8554517470652</v>
      </c>
      <c r="W83" s="87">
        <f t="shared" si="46"/>
        <v>2154.3184863727852</v>
      </c>
      <c r="X83" s="87">
        <f t="shared" si="47"/>
        <v>2154.3184863727852</v>
      </c>
      <c r="Y83" s="87">
        <f t="shared" si="48"/>
        <v>2154.3184863727852</v>
      </c>
      <c r="Z83" s="87">
        <f t="shared" si="49"/>
        <v>2154.3184863727852</v>
      </c>
      <c r="AA83" s="88">
        <v>360</v>
      </c>
      <c r="AB83" s="89">
        <f>AA83*GDPdeflator!$C$25/$AI$18*10^3</f>
        <v>34.613819473439015</v>
      </c>
      <c r="AC83" s="90" t="e">
        <f>INDEX(Efficiencies!$D$8:$M$89,MATCH(C83,Efficiencies!$C$8:$C$89),MATCH(D83,Efficiencies!$D$7:$M$7))</f>
        <v>#REF!</v>
      </c>
      <c r="AD83" s="90" t="e">
        <f t="shared" si="38"/>
        <v>#REF!</v>
      </c>
      <c r="AE83" s="90" t="e">
        <f>INDEX(Efficiencies!$P$8:$Y$89,MATCH(C83,Efficiencies!$C$8:$C$89),MATCH(D83,Efficiencies!$P$7:$Y$7))</f>
        <v>#REF!</v>
      </c>
      <c r="AF83" s="90" t="e">
        <f t="shared" si="50"/>
        <v>#REF!</v>
      </c>
      <c r="AG83" s="90">
        <v>0</v>
      </c>
    </row>
    <row r="84" spans="1:33" x14ac:dyDescent="0.2">
      <c r="A84" s="92" t="s">
        <v>941</v>
      </c>
      <c r="B84" s="248" t="s">
        <v>942</v>
      </c>
      <c r="C84" s="40" t="s">
        <v>924</v>
      </c>
      <c r="D84" s="40">
        <v>2045</v>
      </c>
      <c r="E84" s="86">
        <f>GDPdeflator!$C$32*INDEX(Costs!$E$7:$O$89,MATCH($C84,Costs!$C$7:$C$89,0),MATCH(E$7,Costs!$E$6:$O$6,0))</f>
        <v>22.348154606219122</v>
      </c>
      <c r="F84" s="86">
        <f>GDPdeflator!$C$36*INDEX(Costs!$E$7:$O$89,MATCH($C84,Costs!$C$7:$C$89,0),MATCH(F$7,Costs!$E$6:$O$6,0))</f>
        <v>25.58789080097306</v>
      </c>
      <c r="G84" s="86">
        <f>GDPdeflator!$C$38*INDEX(Costs!$E$7:$O$89,MATCH($C84,Costs!$C$7:$C$89,0),MATCH(G$7,Costs!$E$6:$O$6,0))</f>
        <v>23.382790708748406</v>
      </c>
      <c r="H84" s="86">
        <f>GDPdeflator!$C$38*INDEX(Costs!$E$7:$O$89,MATCH($C84,Costs!$C$7:$C$89,0),MATCH(H$7,Costs!$E$6:$O$6,0))</f>
        <v>24.241357021771016</v>
      </c>
      <c r="I84" s="86">
        <f>GDPdeflator!$C$38*INDEX(Costs!$E$7:$O$89,MATCH($C84,Costs!$C$7:$C$89,0),MATCH(I$7,Costs!$E$6:$O$6,0))</f>
        <v>25.730706748442888</v>
      </c>
      <c r="J84" s="86">
        <f>GDPdeflator!$C$38*INDEX(Costs!$E$7:$O$89,MATCH($C84,Costs!$C$7:$C$89,0),MATCH(J$7,Costs!$E$6:$O$6,0))</f>
        <v>25.7657502714234</v>
      </c>
      <c r="K84" s="86">
        <f>GDPdeflator!$C$38*INDEX(Costs!$E$7:$O$89,MATCH($C84,Costs!$C$7:$C$89,0),MATCH(K$7,Costs!$E$6:$O$6,0))</f>
        <v>25.783272032913658</v>
      </c>
      <c r="L84" s="86">
        <f>GDPdeflator!$C$38*INDEX(Costs!$E$7:$O$89,MATCH($C84,Costs!$C$7:$C$89,0),MATCH(L$7,Costs!$E$6:$O$6,0))</f>
        <v>25.800793794403916</v>
      </c>
      <c r="M84" s="86">
        <f>GDPdeflator!$C$38*INDEX(Costs!$E$7:$O$89,MATCH($C84,Costs!$C$7:$C$89,0),MATCH(M$7,Costs!$E$6:$O$6,0))</f>
        <v>25.800793794403916</v>
      </c>
      <c r="N84" s="86">
        <f>GDPdeflator!$C$38*INDEX(Costs!$E$7:$O$89,MATCH($C84,Costs!$C$7:$C$89,0),MATCH(N$7,Costs!$E$6:$O$6,0))</f>
        <v>25.800793794403916</v>
      </c>
      <c r="O84" s="86">
        <f>GDPdeflator!$C$38*INDEX(Costs!$E$7:$O$89,MATCH($C84,Costs!$C$7:$C$89,0),MATCH(O$7,Costs!$E$6:$O$6,0))</f>
        <v>25.800793794403916</v>
      </c>
      <c r="P84" s="87">
        <f t="shared" si="51"/>
        <v>1866.0295101051281</v>
      </c>
      <c r="Q84" s="87">
        <f t="shared" si="40"/>
        <v>2136.5414808198907</v>
      </c>
      <c r="R84" s="87">
        <f t="shared" si="41"/>
        <v>1952.4197080234173</v>
      </c>
      <c r="S84" s="87">
        <f t="shared" si="42"/>
        <v>2024.1084046837004</v>
      </c>
      <c r="T84" s="87">
        <f t="shared" si="43"/>
        <v>2148.4663478699049</v>
      </c>
      <c r="U84" s="87">
        <f t="shared" si="44"/>
        <v>2151.3924171213453</v>
      </c>
      <c r="V84" s="87">
        <f t="shared" si="45"/>
        <v>2152.8554517470652</v>
      </c>
      <c r="W84" s="87">
        <f t="shared" si="46"/>
        <v>2154.3184863727852</v>
      </c>
      <c r="X84" s="87">
        <f t="shared" si="47"/>
        <v>2154.3184863727852</v>
      </c>
      <c r="Y84" s="87">
        <f t="shared" si="48"/>
        <v>2154.3184863727852</v>
      </c>
      <c r="Z84" s="87">
        <f t="shared" si="49"/>
        <v>2154.3184863727852</v>
      </c>
      <c r="AA84" s="88">
        <v>360</v>
      </c>
      <c r="AB84" s="89">
        <f>AA84*GDPdeflator!$C$25/$AI$18*10^3</f>
        <v>34.613819473439015</v>
      </c>
      <c r="AC84" s="90" t="e">
        <f>INDEX(Efficiencies!$D$8:$M$89,MATCH(C84,Efficiencies!$C$8:$C$89),MATCH(D84,Efficiencies!$D$7:$M$7))</f>
        <v>#REF!</v>
      </c>
      <c r="AD84" s="90" t="e">
        <f t="shared" si="38"/>
        <v>#REF!</v>
      </c>
      <c r="AE84" s="90" t="e">
        <f>INDEX(Efficiencies!$P$8:$Y$89,MATCH(C84,Efficiencies!$C$8:$C$89),MATCH(D84,Efficiencies!$P$7:$Y$7))</f>
        <v>#REF!</v>
      </c>
      <c r="AF84" s="90" t="e">
        <f t="shared" si="50"/>
        <v>#REF!</v>
      </c>
      <c r="AG84" s="90">
        <v>0</v>
      </c>
    </row>
    <row r="85" spans="1:33" x14ac:dyDescent="0.2">
      <c r="A85" s="92" t="s">
        <v>943</v>
      </c>
      <c r="B85" s="248" t="s">
        <v>944</v>
      </c>
      <c r="C85" s="40" t="s">
        <v>924</v>
      </c>
      <c r="D85" s="40">
        <v>2050</v>
      </c>
      <c r="E85" s="86">
        <f>GDPdeflator!$C$32*INDEX(Costs!$E$7:$O$89,MATCH($C85,Costs!$C$7:$C$89,0),MATCH(E$7,Costs!$E$6:$O$6,0))</f>
        <v>22.348154606219122</v>
      </c>
      <c r="F85" s="86">
        <f>GDPdeflator!$C$36*INDEX(Costs!$E$7:$O$89,MATCH($C85,Costs!$C$7:$C$89,0),MATCH(F$7,Costs!$E$6:$O$6,0))</f>
        <v>25.58789080097306</v>
      </c>
      <c r="G85" s="86">
        <f>GDPdeflator!$C$38*INDEX(Costs!$E$7:$O$89,MATCH($C85,Costs!$C$7:$C$89,0),MATCH(G$7,Costs!$E$6:$O$6,0))</f>
        <v>23.382790708748406</v>
      </c>
      <c r="H85" s="86">
        <f>GDPdeflator!$C$38*INDEX(Costs!$E$7:$O$89,MATCH($C85,Costs!$C$7:$C$89,0),MATCH(H$7,Costs!$E$6:$O$6,0))</f>
        <v>24.241357021771016</v>
      </c>
      <c r="I85" s="86">
        <f>GDPdeflator!$C$38*INDEX(Costs!$E$7:$O$89,MATCH($C85,Costs!$C$7:$C$89,0),MATCH(I$7,Costs!$E$6:$O$6,0))</f>
        <v>25.730706748442888</v>
      </c>
      <c r="J85" s="86">
        <f>GDPdeflator!$C$38*INDEX(Costs!$E$7:$O$89,MATCH($C85,Costs!$C$7:$C$89,0),MATCH(J$7,Costs!$E$6:$O$6,0))</f>
        <v>25.7657502714234</v>
      </c>
      <c r="K85" s="86">
        <f>GDPdeflator!$C$38*INDEX(Costs!$E$7:$O$89,MATCH($C85,Costs!$C$7:$C$89,0),MATCH(K$7,Costs!$E$6:$O$6,0))</f>
        <v>25.783272032913658</v>
      </c>
      <c r="L85" s="86">
        <f>GDPdeflator!$C$38*INDEX(Costs!$E$7:$O$89,MATCH($C85,Costs!$C$7:$C$89,0),MATCH(L$7,Costs!$E$6:$O$6,0))</f>
        <v>25.800793794403916</v>
      </c>
      <c r="M85" s="86">
        <f>GDPdeflator!$C$38*INDEX(Costs!$E$7:$O$89,MATCH($C85,Costs!$C$7:$C$89,0),MATCH(M$7,Costs!$E$6:$O$6,0))</f>
        <v>25.800793794403916</v>
      </c>
      <c r="N85" s="86">
        <f>GDPdeflator!$C$38*INDEX(Costs!$E$7:$O$89,MATCH($C85,Costs!$C$7:$C$89,0),MATCH(N$7,Costs!$E$6:$O$6,0))</f>
        <v>25.800793794403916</v>
      </c>
      <c r="O85" s="86">
        <f>GDPdeflator!$C$38*INDEX(Costs!$E$7:$O$89,MATCH($C85,Costs!$C$7:$C$89,0),MATCH(O$7,Costs!$E$6:$O$6,0))</f>
        <v>25.800793794403916</v>
      </c>
      <c r="P85" s="87">
        <f t="shared" si="51"/>
        <v>1866.0295101051281</v>
      </c>
      <c r="Q85" s="87">
        <f t="shared" si="40"/>
        <v>2136.5414808198907</v>
      </c>
      <c r="R85" s="87">
        <f t="shared" si="41"/>
        <v>1952.4197080234173</v>
      </c>
      <c r="S85" s="87">
        <f t="shared" si="42"/>
        <v>2024.1084046837004</v>
      </c>
      <c r="T85" s="87">
        <f t="shared" si="43"/>
        <v>2148.4663478699049</v>
      </c>
      <c r="U85" s="87">
        <f t="shared" si="44"/>
        <v>2151.3924171213453</v>
      </c>
      <c r="V85" s="87">
        <f t="shared" si="45"/>
        <v>2152.8554517470652</v>
      </c>
      <c r="W85" s="87">
        <f t="shared" si="46"/>
        <v>2154.3184863727852</v>
      </c>
      <c r="X85" s="87">
        <f t="shared" si="47"/>
        <v>2154.3184863727852</v>
      </c>
      <c r="Y85" s="87">
        <f t="shared" si="48"/>
        <v>2154.3184863727852</v>
      </c>
      <c r="Z85" s="87">
        <f t="shared" si="49"/>
        <v>2154.3184863727852</v>
      </c>
      <c r="AA85" s="88">
        <v>360</v>
      </c>
      <c r="AB85" s="89">
        <f>AA85*GDPdeflator!$C$25/$AI$18*10^3</f>
        <v>34.613819473439015</v>
      </c>
      <c r="AC85" s="90" t="e">
        <f>INDEX(Efficiencies!$D$8:$M$89,MATCH(C85,Efficiencies!$C$8:$C$89),MATCH(D85,Efficiencies!$D$7:$M$7))</f>
        <v>#REF!</v>
      </c>
      <c r="AD85" s="90" t="e">
        <f t="shared" si="38"/>
        <v>#REF!</v>
      </c>
      <c r="AE85" s="90" t="e">
        <f>INDEX(Efficiencies!$P$8:$Y$89,MATCH(C85,Efficiencies!$C$8:$C$89),MATCH(D85,Efficiencies!$P$7:$Y$7))</f>
        <v>#REF!</v>
      </c>
      <c r="AF85" s="90" t="e">
        <f t="shared" si="50"/>
        <v>#REF!</v>
      </c>
      <c r="AG85" s="90">
        <v>0</v>
      </c>
    </row>
    <row r="86" spans="1:33" x14ac:dyDescent="0.2">
      <c r="A86" s="92" t="s">
        <v>945</v>
      </c>
      <c r="B86" s="248" t="s">
        <v>946</v>
      </c>
      <c r="C86" s="40" t="s">
        <v>947</v>
      </c>
      <c r="D86" s="40">
        <v>2010</v>
      </c>
      <c r="E86" s="86">
        <f>GDPdeflator!$C$32*INDEX(Costs!$E$7:$O$89,MATCH($C86,Costs!$C$7:$C$89,0),MATCH(E$7,Costs!$E$6:$O$6,0))</f>
        <v>0</v>
      </c>
      <c r="F86" s="86">
        <f>GDPdeflator!$C$36*INDEX(Costs!$E$7:$O$89,MATCH($C86,Costs!$C$7:$C$89,0),MATCH(F$7,Costs!$E$6:$O$6,0))</f>
        <v>0</v>
      </c>
      <c r="G86" s="86">
        <f>GDPdeflator!$C$38*INDEX(Costs!$E$7:$O$89,MATCH($C86,Costs!$C$7:$C$89,0),MATCH(G$7,Costs!$E$6:$O$6,0))</f>
        <v>0</v>
      </c>
      <c r="H86" s="86">
        <f>GDPdeflator!$C$38*INDEX(Costs!$E$7:$O$89,MATCH($C86,Costs!$C$7:$C$89,0),MATCH(H$7,Costs!$E$6:$O$6,0))</f>
        <v>25.257619188205936</v>
      </c>
      <c r="I86" s="86">
        <f>GDPdeflator!$C$38*INDEX(Costs!$E$7:$O$89,MATCH($C86,Costs!$C$7:$C$89,0),MATCH(I$7,Costs!$E$6:$O$6,0))</f>
        <v>25.064879811813107</v>
      </c>
      <c r="J86" s="86">
        <f>GDPdeflator!$C$38*INDEX(Costs!$E$7:$O$89,MATCH($C86,Costs!$C$7:$C$89,0),MATCH(J$7,Costs!$E$6:$O$6,0))</f>
        <v>25.345227995657226</v>
      </c>
      <c r="K86" s="86">
        <f>GDPdeflator!$C$38*INDEX(Costs!$E$7:$O$89,MATCH($C86,Costs!$C$7:$C$89,0),MATCH(K$7,Costs!$E$6:$O$6,0))</f>
        <v>25.231336545970553</v>
      </c>
      <c r="L86" s="86">
        <f>GDPdeflator!$C$38*INDEX(Costs!$E$7:$O$89,MATCH($C86,Costs!$C$7:$C$89,0),MATCH(L$7,Costs!$E$6:$O$6,0))</f>
        <v>25.213814784480295</v>
      </c>
      <c r="M86" s="86">
        <f>GDPdeflator!$C$38*INDEX(Costs!$E$7:$O$89,MATCH($C86,Costs!$C$7:$C$89,0),MATCH(M$7,Costs!$E$6:$O$6,0))</f>
        <v>25.213814784480295</v>
      </c>
      <c r="N86" s="86">
        <f>GDPdeflator!$C$38*INDEX(Costs!$E$7:$O$89,MATCH($C86,Costs!$C$7:$C$89,0),MATCH(N$7,Costs!$E$6:$O$6,0))</f>
        <v>25.213814784480295</v>
      </c>
      <c r="O86" s="86">
        <f>GDPdeflator!$C$38*INDEX(Costs!$E$7:$O$89,MATCH($C86,Costs!$C$7:$C$89,0),MATCH(O$7,Costs!$E$6:$O$6,0))</f>
        <v>25.213814784480295</v>
      </c>
      <c r="P86" s="87">
        <f>E86/$AI$18*10^6</f>
        <v>0</v>
      </c>
      <c r="Q86" s="87">
        <f t="shared" si="40"/>
        <v>0</v>
      </c>
      <c r="R86" s="87">
        <f t="shared" si="41"/>
        <v>0</v>
      </c>
      <c r="S86" s="87">
        <f t="shared" si="42"/>
        <v>2108.9644129754633</v>
      </c>
      <c r="T86" s="87">
        <f t="shared" si="43"/>
        <v>2092.8710320925425</v>
      </c>
      <c r="U86" s="87">
        <f t="shared" si="44"/>
        <v>2116.2795861040636</v>
      </c>
      <c r="V86" s="87">
        <f t="shared" si="45"/>
        <v>2106.7698610368834</v>
      </c>
      <c r="W86" s="87">
        <f t="shared" si="46"/>
        <v>2105.3068264111635</v>
      </c>
      <c r="X86" s="87">
        <f t="shared" si="47"/>
        <v>2105.3068264111635</v>
      </c>
      <c r="Y86" s="87">
        <f t="shared" si="48"/>
        <v>2105.3068264111635</v>
      </c>
      <c r="Z86" s="87">
        <f t="shared" si="49"/>
        <v>2105.3068264111635</v>
      </c>
      <c r="AA86" s="88">
        <v>420</v>
      </c>
      <c r="AB86" s="89">
        <f>AA86*GDPdeflator!$C$25/$AI$18*10^3</f>
        <v>40.382789385678855</v>
      </c>
      <c r="AC86" s="90" t="e">
        <f>INDEX(Efficiencies!$D$8:$M$89,MATCH(C86,Efficiencies!$C$8:$C$89),MATCH(D86,Efficiencies!$D$7:$M$7))</f>
        <v>#REF!</v>
      </c>
      <c r="AD86" s="90" t="e">
        <f t="shared" si="38"/>
        <v>#REF!</v>
      </c>
      <c r="AE86" s="90" t="e">
        <f>INDEX(Efficiencies!$P$8:$Y$89,MATCH(C86,Efficiencies!$C$8:$C$89),MATCH(D86,Efficiencies!$P$7:$Y$7))</f>
        <v>#REF!</v>
      </c>
      <c r="AF86" s="90" t="e">
        <f t="shared" si="50"/>
        <v>#REF!</v>
      </c>
      <c r="AG86" s="90">
        <v>0</v>
      </c>
    </row>
    <row r="87" spans="1:33" x14ac:dyDescent="0.2">
      <c r="A87" s="92" t="s">
        <v>948</v>
      </c>
      <c r="B87" s="248" t="s">
        <v>949</v>
      </c>
      <c r="C87" s="40" t="s">
        <v>947</v>
      </c>
      <c r="D87" s="40">
        <v>2015</v>
      </c>
      <c r="E87" s="86">
        <f>GDPdeflator!$C$32*INDEX(Costs!$E$7:$O$89,MATCH($C87,Costs!$C$7:$C$89,0),MATCH(E$7,Costs!$E$6:$O$6,0))</f>
        <v>0</v>
      </c>
      <c r="F87" s="86">
        <f>GDPdeflator!$C$36*INDEX(Costs!$E$7:$O$89,MATCH($C87,Costs!$C$7:$C$89,0),MATCH(F$7,Costs!$E$6:$O$6,0))</f>
        <v>0</v>
      </c>
      <c r="G87" s="86">
        <f>GDPdeflator!$C$38*INDEX(Costs!$E$7:$O$89,MATCH($C87,Costs!$C$7:$C$89,0),MATCH(G$7,Costs!$E$6:$O$6,0))</f>
        <v>0</v>
      </c>
      <c r="H87" s="86">
        <f>GDPdeflator!$C$38*INDEX(Costs!$E$7:$O$89,MATCH($C87,Costs!$C$7:$C$89,0),MATCH(H$7,Costs!$E$6:$O$6,0))</f>
        <v>25.257619188205936</v>
      </c>
      <c r="I87" s="86">
        <f>GDPdeflator!$C$38*INDEX(Costs!$E$7:$O$89,MATCH($C87,Costs!$C$7:$C$89,0),MATCH(I$7,Costs!$E$6:$O$6,0))</f>
        <v>25.064879811813107</v>
      </c>
      <c r="J87" s="86">
        <f>GDPdeflator!$C$38*INDEX(Costs!$E$7:$O$89,MATCH($C87,Costs!$C$7:$C$89,0),MATCH(J$7,Costs!$E$6:$O$6,0))</f>
        <v>25.345227995657226</v>
      </c>
      <c r="K87" s="86">
        <f>GDPdeflator!$C$38*INDEX(Costs!$E$7:$O$89,MATCH($C87,Costs!$C$7:$C$89,0),MATCH(K$7,Costs!$E$6:$O$6,0))</f>
        <v>25.231336545970553</v>
      </c>
      <c r="L87" s="86">
        <f>GDPdeflator!$C$38*INDEX(Costs!$E$7:$O$89,MATCH($C87,Costs!$C$7:$C$89,0),MATCH(L$7,Costs!$E$6:$O$6,0))</f>
        <v>25.213814784480295</v>
      </c>
      <c r="M87" s="86">
        <f>GDPdeflator!$C$38*INDEX(Costs!$E$7:$O$89,MATCH($C87,Costs!$C$7:$C$89,0),MATCH(M$7,Costs!$E$6:$O$6,0))</f>
        <v>25.213814784480295</v>
      </c>
      <c r="N87" s="86">
        <f>GDPdeflator!$C$38*INDEX(Costs!$E$7:$O$89,MATCH($C87,Costs!$C$7:$C$89,0),MATCH(N$7,Costs!$E$6:$O$6,0))</f>
        <v>25.213814784480295</v>
      </c>
      <c r="O87" s="86">
        <f>GDPdeflator!$C$38*INDEX(Costs!$E$7:$O$89,MATCH($C87,Costs!$C$7:$C$89,0),MATCH(O$7,Costs!$E$6:$O$6,0))</f>
        <v>25.213814784480295</v>
      </c>
      <c r="P87" s="87">
        <f t="shared" ref="P87:P94" si="52">E87/$AI$18*10^6</f>
        <v>0</v>
      </c>
      <c r="Q87" s="87">
        <f t="shared" ref="Q87:Q105" si="53">F87/$AI$18*10^6</f>
        <v>0</v>
      </c>
      <c r="R87" s="87">
        <f t="shared" ref="R87:R105" si="54">G87/$AI$18*10^6</f>
        <v>0</v>
      </c>
      <c r="S87" s="87">
        <f t="shared" ref="S87:S105" si="55">H87/$AI$18*10^6</f>
        <v>2108.9644129754633</v>
      </c>
      <c r="T87" s="87">
        <f t="shared" ref="T87:T105" si="56">I87/$AI$18*10^6</f>
        <v>2092.8710320925425</v>
      </c>
      <c r="U87" s="87">
        <f t="shared" ref="U87:U105" si="57">J87/$AI$18*10^6</f>
        <v>2116.2795861040636</v>
      </c>
      <c r="V87" s="87">
        <f t="shared" ref="V87:V105" si="58">K87/$AI$18*10^6</f>
        <v>2106.7698610368834</v>
      </c>
      <c r="W87" s="87">
        <f t="shared" ref="W87:W105" si="59">L87/$AI$18*10^6</f>
        <v>2105.3068264111635</v>
      </c>
      <c r="X87" s="87">
        <f t="shared" ref="X87:X105" si="60">M87/$AI$18*10^6</f>
        <v>2105.3068264111635</v>
      </c>
      <c r="Y87" s="87">
        <f t="shared" ref="Y87:Y105" si="61">N87/$AI$18*10^6</f>
        <v>2105.3068264111635</v>
      </c>
      <c r="Z87" s="87">
        <f t="shared" ref="Z87:Z105" si="62">O87/$AI$18*10^6</f>
        <v>2105.3068264111635</v>
      </c>
      <c r="AA87" s="88">
        <v>420</v>
      </c>
      <c r="AB87" s="89">
        <f>AA87*GDPdeflator!$C$25/$AI$18*10^3</f>
        <v>40.382789385678855</v>
      </c>
      <c r="AC87" s="90" t="e">
        <f>INDEX(Efficiencies!$D$8:$M$89,MATCH(C87,Efficiencies!$C$8:$C$89),MATCH(D87,Efficiencies!$D$7:$M$7))</f>
        <v>#REF!</v>
      </c>
      <c r="AD87" s="90" t="e">
        <f t="shared" si="38"/>
        <v>#REF!</v>
      </c>
      <c r="AE87" s="90" t="e">
        <f>INDEX(Efficiencies!$P$8:$Y$89,MATCH(C87,Efficiencies!$C$8:$C$89),MATCH(D87,Efficiencies!$P$7:$Y$7))</f>
        <v>#REF!</v>
      </c>
      <c r="AF87" s="90" t="e">
        <f t="shared" si="50"/>
        <v>#REF!</v>
      </c>
      <c r="AG87" s="90">
        <v>0</v>
      </c>
    </row>
    <row r="88" spans="1:33" x14ac:dyDescent="0.2">
      <c r="A88" s="92" t="s">
        <v>950</v>
      </c>
      <c r="B88" s="248" t="s">
        <v>951</v>
      </c>
      <c r="C88" s="40" t="s">
        <v>947</v>
      </c>
      <c r="D88" s="40">
        <v>2020</v>
      </c>
      <c r="E88" s="86">
        <f>GDPdeflator!$C$32*INDEX(Costs!$E$7:$O$89,MATCH($C88,Costs!$C$7:$C$89,0),MATCH(E$7,Costs!$E$6:$O$6,0))</f>
        <v>0</v>
      </c>
      <c r="F88" s="86">
        <f>GDPdeflator!$C$36*INDEX(Costs!$E$7:$O$89,MATCH($C88,Costs!$C$7:$C$89,0),MATCH(F$7,Costs!$E$6:$O$6,0))</f>
        <v>0</v>
      </c>
      <c r="G88" s="86">
        <f>GDPdeflator!$C$38*INDEX(Costs!$E$7:$O$89,MATCH($C88,Costs!$C$7:$C$89,0),MATCH(G$7,Costs!$E$6:$O$6,0))</f>
        <v>0</v>
      </c>
      <c r="H88" s="86">
        <f>GDPdeflator!$C$38*INDEX(Costs!$E$7:$O$89,MATCH($C88,Costs!$C$7:$C$89,0),MATCH(H$7,Costs!$E$6:$O$6,0))</f>
        <v>25.257619188205936</v>
      </c>
      <c r="I88" s="86">
        <f>GDPdeflator!$C$38*INDEX(Costs!$E$7:$O$89,MATCH($C88,Costs!$C$7:$C$89,0),MATCH(I$7,Costs!$E$6:$O$6,0))</f>
        <v>25.064879811813107</v>
      </c>
      <c r="J88" s="86">
        <f>GDPdeflator!$C$38*INDEX(Costs!$E$7:$O$89,MATCH($C88,Costs!$C$7:$C$89,0),MATCH(J$7,Costs!$E$6:$O$6,0))</f>
        <v>25.345227995657226</v>
      </c>
      <c r="K88" s="86">
        <f>GDPdeflator!$C$38*INDEX(Costs!$E$7:$O$89,MATCH($C88,Costs!$C$7:$C$89,0),MATCH(K$7,Costs!$E$6:$O$6,0))</f>
        <v>25.231336545970553</v>
      </c>
      <c r="L88" s="86">
        <f>GDPdeflator!$C$38*INDEX(Costs!$E$7:$O$89,MATCH($C88,Costs!$C$7:$C$89,0),MATCH(L$7,Costs!$E$6:$O$6,0))</f>
        <v>25.213814784480295</v>
      </c>
      <c r="M88" s="86">
        <f>GDPdeflator!$C$38*INDEX(Costs!$E$7:$O$89,MATCH($C88,Costs!$C$7:$C$89,0),MATCH(M$7,Costs!$E$6:$O$6,0))</f>
        <v>25.213814784480295</v>
      </c>
      <c r="N88" s="86">
        <f>GDPdeflator!$C$38*INDEX(Costs!$E$7:$O$89,MATCH($C88,Costs!$C$7:$C$89,0),MATCH(N$7,Costs!$E$6:$O$6,0))</f>
        <v>25.213814784480295</v>
      </c>
      <c r="O88" s="86">
        <f>GDPdeflator!$C$38*INDEX(Costs!$E$7:$O$89,MATCH($C88,Costs!$C$7:$C$89,0),MATCH(O$7,Costs!$E$6:$O$6,0))</f>
        <v>25.213814784480295</v>
      </c>
      <c r="P88" s="87">
        <f t="shared" si="52"/>
        <v>0</v>
      </c>
      <c r="Q88" s="87">
        <f t="shared" si="53"/>
        <v>0</v>
      </c>
      <c r="R88" s="87">
        <f t="shared" si="54"/>
        <v>0</v>
      </c>
      <c r="S88" s="87">
        <f t="shared" si="55"/>
        <v>2108.9644129754633</v>
      </c>
      <c r="T88" s="87">
        <f t="shared" si="56"/>
        <v>2092.8710320925425</v>
      </c>
      <c r="U88" s="87">
        <f t="shared" si="57"/>
        <v>2116.2795861040636</v>
      </c>
      <c r="V88" s="87">
        <f t="shared" si="58"/>
        <v>2106.7698610368834</v>
      </c>
      <c r="W88" s="87">
        <f t="shared" si="59"/>
        <v>2105.3068264111635</v>
      </c>
      <c r="X88" s="87">
        <f t="shared" si="60"/>
        <v>2105.3068264111635</v>
      </c>
      <c r="Y88" s="87">
        <f t="shared" si="61"/>
        <v>2105.3068264111635</v>
      </c>
      <c r="Z88" s="87">
        <f t="shared" si="62"/>
        <v>2105.3068264111635</v>
      </c>
      <c r="AA88" s="88">
        <v>420</v>
      </c>
      <c r="AB88" s="89">
        <f>AA88*GDPdeflator!$C$25/$AI$18*10^3</f>
        <v>40.382789385678855</v>
      </c>
      <c r="AC88" s="90" t="e">
        <f>INDEX(Efficiencies!$D$8:$M$89,MATCH(C88,Efficiencies!$C$8:$C$89),MATCH(D88,Efficiencies!$D$7:$M$7))</f>
        <v>#REF!</v>
      </c>
      <c r="AD88" s="90" t="e">
        <f t="shared" si="38"/>
        <v>#REF!</v>
      </c>
      <c r="AE88" s="90" t="e">
        <f>INDEX(Efficiencies!$P$8:$Y$89,MATCH(C88,Efficiencies!$C$8:$C$89),MATCH(D88,Efficiencies!$P$7:$Y$7))</f>
        <v>#REF!</v>
      </c>
      <c r="AF88" s="90" t="e">
        <f t="shared" si="50"/>
        <v>#REF!</v>
      </c>
      <c r="AG88" s="90">
        <v>0</v>
      </c>
    </row>
    <row r="89" spans="1:33" x14ac:dyDescent="0.2">
      <c r="A89" s="92" t="s">
        <v>952</v>
      </c>
      <c r="B89" s="248" t="s">
        <v>953</v>
      </c>
      <c r="C89" s="40" t="s">
        <v>947</v>
      </c>
      <c r="D89" s="40">
        <v>2025</v>
      </c>
      <c r="E89" s="86">
        <f>GDPdeflator!$C$32*INDEX(Costs!$E$7:$O$89,MATCH($C89,Costs!$C$7:$C$89,0),MATCH(E$7,Costs!$E$6:$O$6,0))</f>
        <v>0</v>
      </c>
      <c r="F89" s="86">
        <f>GDPdeflator!$C$36*INDEX(Costs!$E$7:$O$89,MATCH($C89,Costs!$C$7:$C$89,0),MATCH(F$7,Costs!$E$6:$O$6,0))</f>
        <v>0</v>
      </c>
      <c r="G89" s="86">
        <f>GDPdeflator!$C$38*INDEX(Costs!$E$7:$O$89,MATCH($C89,Costs!$C$7:$C$89,0),MATCH(G$7,Costs!$E$6:$O$6,0))</f>
        <v>0</v>
      </c>
      <c r="H89" s="86">
        <f>GDPdeflator!$C$38*INDEX(Costs!$E$7:$O$89,MATCH($C89,Costs!$C$7:$C$89,0),MATCH(H$7,Costs!$E$6:$O$6,0))</f>
        <v>25.257619188205936</v>
      </c>
      <c r="I89" s="86">
        <f>GDPdeflator!$C$38*INDEX(Costs!$E$7:$O$89,MATCH($C89,Costs!$C$7:$C$89,0),MATCH(I$7,Costs!$E$6:$O$6,0))</f>
        <v>25.064879811813107</v>
      </c>
      <c r="J89" s="86">
        <f>GDPdeflator!$C$38*INDEX(Costs!$E$7:$O$89,MATCH($C89,Costs!$C$7:$C$89,0),MATCH(J$7,Costs!$E$6:$O$6,0))</f>
        <v>25.345227995657226</v>
      </c>
      <c r="K89" s="86">
        <f>GDPdeflator!$C$38*INDEX(Costs!$E$7:$O$89,MATCH($C89,Costs!$C$7:$C$89,0),MATCH(K$7,Costs!$E$6:$O$6,0))</f>
        <v>25.231336545970553</v>
      </c>
      <c r="L89" s="86">
        <f>GDPdeflator!$C$38*INDEX(Costs!$E$7:$O$89,MATCH($C89,Costs!$C$7:$C$89,0),MATCH(L$7,Costs!$E$6:$O$6,0))</f>
        <v>25.213814784480295</v>
      </c>
      <c r="M89" s="86">
        <f>GDPdeflator!$C$38*INDEX(Costs!$E$7:$O$89,MATCH($C89,Costs!$C$7:$C$89,0),MATCH(M$7,Costs!$E$6:$O$6,0))</f>
        <v>25.213814784480295</v>
      </c>
      <c r="N89" s="86">
        <f>GDPdeflator!$C$38*INDEX(Costs!$E$7:$O$89,MATCH($C89,Costs!$C$7:$C$89,0),MATCH(N$7,Costs!$E$6:$O$6,0))</f>
        <v>25.213814784480295</v>
      </c>
      <c r="O89" s="86">
        <f>GDPdeflator!$C$38*INDEX(Costs!$E$7:$O$89,MATCH($C89,Costs!$C$7:$C$89,0),MATCH(O$7,Costs!$E$6:$O$6,0))</f>
        <v>25.213814784480295</v>
      </c>
      <c r="P89" s="87">
        <f t="shared" si="52"/>
        <v>0</v>
      </c>
      <c r="Q89" s="87">
        <f t="shared" si="53"/>
        <v>0</v>
      </c>
      <c r="R89" s="87">
        <f t="shared" si="54"/>
        <v>0</v>
      </c>
      <c r="S89" s="87">
        <f t="shared" si="55"/>
        <v>2108.9644129754633</v>
      </c>
      <c r="T89" s="87">
        <f t="shared" si="56"/>
        <v>2092.8710320925425</v>
      </c>
      <c r="U89" s="87">
        <f t="shared" si="57"/>
        <v>2116.2795861040636</v>
      </c>
      <c r="V89" s="87">
        <f t="shared" si="58"/>
        <v>2106.7698610368834</v>
      </c>
      <c r="W89" s="87">
        <f t="shared" si="59"/>
        <v>2105.3068264111635</v>
      </c>
      <c r="X89" s="87">
        <f t="shared" si="60"/>
        <v>2105.3068264111635</v>
      </c>
      <c r="Y89" s="87">
        <f t="shared" si="61"/>
        <v>2105.3068264111635</v>
      </c>
      <c r="Z89" s="87">
        <f t="shared" si="62"/>
        <v>2105.3068264111635</v>
      </c>
      <c r="AA89" s="88">
        <v>420</v>
      </c>
      <c r="AB89" s="89">
        <f>AA89*GDPdeflator!$C$25/$AI$18*10^3</f>
        <v>40.382789385678855</v>
      </c>
      <c r="AC89" s="90" t="e">
        <f>INDEX(Efficiencies!$D$8:$M$89,MATCH(C89,Efficiencies!$C$8:$C$89),MATCH(D89,Efficiencies!$D$7:$M$7))</f>
        <v>#REF!</v>
      </c>
      <c r="AD89" s="90" t="e">
        <f t="shared" si="38"/>
        <v>#REF!</v>
      </c>
      <c r="AE89" s="90" t="e">
        <f>INDEX(Efficiencies!$P$8:$Y$89,MATCH(C89,Efficiencies!$C$8:$C$89),MATCH(D89,Efficiencies!$P$7:$Y$7))</f>
        <v>#REF!</v>
      </c>
      <c r="AF89" s="90" t="e">
        <f t="shared" si="50"/>
        <v>#REF!</v>
      </c>
      <c r="AG89" s="90">
        <v>0</v>
      </c>
    </row>
    <row r="90" spans="1:33" x14ac:dyDescent="0.2">
      <c r="A90" s="92" t="s">
        <v>954</v>
      </c>
      <c r="B90" s="248" t="s">
        <v>955</v>
      </c>
      <c r="C90" s="40" t="s">
        <v>947</v>
      </c>
      <c r="D90" s="40">
        <v>2030</v>
      </c>
      <c r="E90" s="86">
        <f>GDPdeflator!$C$32*INDEX(Costs!$E$7:$O$89,MATCH($C90,Costs!$C$7:$C$89,0),MATCH(E$7,Costs!$E$6:$O$6,0))</f>
        <v>0</v>
      </c>
      <c r="F90" s="86">
        <f>GDPdeflator!$C$36*INDEX(Costs!$E$7:$O$89,MATCH($C90,Costs!$C$7:$C$89,0),MATCH(F$7,Costs!$E$6:$O$6,0))</f>
        <v>0</v>
      </c>
      <c r="G90" s="86">
        <f>GDPdeflator!$C$38*INDEX(Costs!$E$7:$O$89,MATCH($C90,Costs!$C$7:$C$89,0),MATCH(G$7,Costs!$E$6:$O$6,0))</f>
        <v>0</v>
      </c>
      <c r="H90" s="86">
        <f>GDPdeflator!$C$38*INDEX(Costs!$E$7:$O$89,MATCH($C90,Costs!$C$7:$C$89,0),MATCH(H$7,Costs!$E$6:$O$6,0))</f>
        <v>25.257619188205936</v>
      </c>
      <c r="I90" s="86">
        <f>GDPdeflator!$C$38*INDEX(Costs!$E$7:$O$89,MATCH($C90,Costs!$C$7:$C$89,0),MATCH(I$7,Costs!$E$6:$O$6,0))</f>
        <v>25.064879811813107</v>
      </c>
      <c r="J90" s="86">
        <f>GDPdeflator!$C$38*INDEX(Costs!$E$7:$O$89,MATCH($C90,Costs!$C$7:$C$89,0),MATCH(J$7,Costs!$E$6:$O$6,0))</f>
        <v>25.345227995657226</v>
      </c>
      <c r="K90" s="86">
        <f>GDPdeflator!$C$38*INDEX(Costs!$E$7:$O$89,MATCH($C90,Costs!$C$7:$C$89,0),MATCH(K$7,Costs!$E$6:$O$6,0))</f>
        <v>25.231336545970553</v>
      </c>
      <c r="L90" s="86">
        <f>GDPdeflator!$C$38*INDEX(Costs!$E$7:$O$89,MATCH($C90,Costs!$C$7:$C$89,0),MATCH(L$7,Costs!$E$6:$O$6,0))</f>
        <v>25.213814784480295</v>
      </c>
      <c r="M90" s="86">
        <f>GDPdeflator!$C$38*INDEX(Costs!$E$7:$O$89,MATCH($C90,Costs!$C$7:$C$89,0),MATCH(M$7,Costs!$E$6:$O$6,0))</f>
        <v>25.213814784480295</v>
      </c>
      <c r="N90" s="86">
        <f>GDPdeflator!$C$38*INDEX(Costs!$E$7:$O$89,MATCH($C90,Costs!$C$7:$C$89,0),MATCH(N$7,Costs!$E$6:$O$6,0))</f>
        <v>25.213814784480295</v>
      </c>
      <c r="O90" s="86">
        <f>GDPdeflator!$C$38*INDEX(Costs!$E$7:$O$89,MATCH($C90,Costs!$C$7:$C$89,0),MATCH(O$7,Costs!$E$6:$O$6,0))</f>
        <v>25.213814784480295</v>
      </c>
      <c r="P90" s="87">
        <f t="shared" si="52"/>
        <v>0</v>
      </c>
      <c r="Q90" s="87">
        <f t="shared" si="53"/>
        <v>0</v>
      </c>
      <c r="R90" s="87">
        <f t="shared" si="54"/>
        <v>0</v>
      </c>
      <c r="S90" s="87">
        <f t="shared" si="55"/>
        <v>2108.9644129754633</v>
      </c>
      <c r="T90" s="87">
        <f t="shared" si="56"/>
        <v>2092.8710320925425</v>
      </c>
      <c r="U90" s="87">
        <f t="shared" si="57"/>
        <v>2116.2795861040636</v>
      </c>
      <c r="V90" s="87">
        <f t="shared" si="58"/>
        <v>2106.7698610368834</v>
      </c>
      <c r="W90" s="87">
        <f t="shared" si="59"/>
        <v>2105.3068264111635</v>
      </c>
      <c r="X90" s="87">
        <f t="shared" si="60"/>
        <v>2105.3068264111635</v>
      </c>
      <c r="Y90" s="87">
        <f t="shared" si="61"/>
        <v>2105.3068264111635</v>
      </c>
      <c r="Z90" s="87">
        <f t="shared" si="62"/>
        <v>2105.3068264111635</v>
      </c>
      <c r="AA90" s="88">
        <v>420</v>
      </c>
      <c r="AB90" s="89">
        <f>AA90*GDPdeflator!$C$25/$AI$18*10^3</f>
        <v>40.382789385678855</v>
      </c>
      <c r="AC90" s="90" t="e">
        <f>INDEX(Efficiencies!$D$8:$M$89,MATCH(C90,Efficiencies!$C$8:$C$89),MATCH(D90,Efficiencies!$D$7:$M$7))</f>
        <v>#REF!</v>
      </c>
      <c r="AD90" s="90" t="e">
        <f t="shared" si="38"/>
        <v>#REF!</v>
      </c>
      <c r="AE90" s="90" t="e">
        <f>INDEX(Efficiencies!$P$8:$Y$89,MATCH(C90,Efficiencies!$C$8:$C$89),MATCH(D90,Efficiencies!$P$7:$Y$7))</f>
        <v>#REF!</v>
      </c>
      <c r="AF90" s="90" t="e">
        <f t="shared" si="50"/>
        <v>#REF!</v>
      </c>
      <c r="AG90" s="90">
        <v>0</v>
      </c>
    </row>
    <row r="91" spans="1:33" x14ac:dyDescent="0.2">
      <c r="A91" s="92" t="s">
        <v>956</v>
      </c>
      <c r="B91" s="248" t="s">
        <v>957</v>
      </c>
      <c r="C91" s="40" t="s">
        <v>947</v>
      </c>
      <c r="D91" s="40">
        <v>2035</v>
      </c>
      <c r="E91" s="86">
        <f>GDPdeflator!$C$32*INDEX(Costs!$E$7:$O$89,MATCH($C91,Costs!$C$7:$C$89,0),MATCH(E$7,Costs!$E$6:$O$6,0))</f>
        <v>0</v>
      </c>
      <c r="F91" s="86">
        <f>GDPdeflator!$C$36*INDEX(Costs!$E$7:$O$89,MATCH($C91,Costs!$C$7:$C$89,0),MATCH(F$7,Costs!$E$6:$O$6,0))</f>
        <v>0</v>
      </c>
      <c r="G91" s="86">
        <f>GDPdeflator!$C$38*INDEX(Costs!$E$7:$O$89,MATCH($C91,Costs!$C$7:$C$89,0),MATCH(G$7,Costs!$E$6:$O$6,0))</f>
        <v>0</v>
      </c>
      <c r="H91" s="86">
        <f>GDPdeflator!$C$38*INDEX(Costs!$E$7:$O$89,MATCH($C91,Costs!$C$7:$C$89,0),MATCH(H$7,Costs!$E$6:$O$6,0))</f>
        <v>25.257619188205936</v>
      </c>
      <c r="I91" s="86">
        <f>GDPdeflator!$C$38*INDEX(Costs!$E$7:$O$89,MATCH($C91,Costs!$C$7:$C$89,0),MATCH(I$7,Costs!$E$6:$O$6,0))</f>
        <v>25.064879811813107</v>
      </c>
      <c r="J91" s="86">
        <f>GDPdeflator!$C$38*INDEX(Costs!$E$7:$O$89,MATCH($C91,Costs!$C$7:$C$89,0),MATCH(J$7,Costs!$E$6:$O$6,0))</f>
        <v>25.345227995657226</v>
      </c>
      <c r="K91" s="86">
        <f>GDPdeflator!$C$38*INDEX(Costs!$E$7:$O$89,MATCH($C91,Costs!$C$7:$C$89,0),MATCH(K$7,Costs!$E$6:$O$6,0))</f>
        <v>25.231336545970553</v>
      </c>
      <c r="L91" s="86">
        <f>GDPdeflator!$C$38*INDEX(Costs!$E$7:$O$89,MATCH($C91,Costs!$C$7:$C$89,0),MATCH(L$7,Costs!$E$6:$O$6,0))</f>
        <v>25.213814784480295</v>
      </c>
      <c r="M91" s="86">
        <f>GDPdeflator!$C$38*INDEX(Costs!$E$7:$O$89,MATCH($C91,Costs!$C$7:$C$89,0),MATCH(M$7,Costs!$E$6:$O$6,0))</f>
        <v>25.213814784480295</v>
      </c>
      <c r="N91" s="86">
        <f>GDPdeflator!$C$38*INDEX(Costs!$E$7:$O$89,MATCH($C91,Costs!$C$7:$C$89,0),MATCH(N$7,Costs!$E$6:$O$6,0))</f>
        <v>25.213814784480295</v>
      </c>
      <c r="O91" s="86">
        <f>GDPdeflator!$C$38*INDEX(Costs!$E$7:$O$89,MATCH($C91,Costs!$C$7:$C$89,0),MATCH(O$7,Costs!$E$6:$O$6,0))</f>
        <v>25.213814784480295</v>
      </c>
      <c r="P91" s="87">
        <f t="shared" si="52"/>
        <v>0</v>
      </c>
      <c r="Q91" s="87">
        <f t="shared" si="53"/>
        <v>0</v>
      </c>
      <c r="R91" s="87">
        <f t="shared" si="54"/>
        <v>0</v>
      </c>
      <c r="S91" s="87">
        <f t="shared" si="55"/>
        <v>2108.9644129754633</v>
      </c>
      <c r="T91" s="87">
        <f t="shared" si="56"/>
        <v>2092.8710320925425</v>
      </c>
      <c r="U91" s="87">
        <f t="shared" si="57"/>
        <v>2116.2795861040636</v>
      </c>
      <c r="V91" s="87">
        <f t="shared" si="58"/>
        <v>2106.7698610368834</v>
      </c>
      <c r="W91" s="87">
        <f t="shared" si="59"/>
        <v>2105.3068264111635</v>
      </c>
      <c r="X91" s="87">
        <f t="shared" si="60"/>
        <v>2105.3068264111635</v>
      </c>
      <c r="Y91" s="87">
        <f t="shared" si="61"/>
        <v>2105.3068264111635</v>
      </c>
      <c r="Z91" s="87">
        <f t="shared" si="62"/>
        <v>2105.3068264111635</v>
      </c>
      <c r="AA91" s="88">
        <v>420</v>
      </c>
      <c r="AB91" s="89">
        <f>AA91*GDPdeflator!$C$25/$AI$18*10^3</f>
        <v>40.382789385678855</v>
      </c>
      <c r="AC91" s="90" t="e">
        <f>INDEX(Efficiencies!$D$8:$M$89,MATCH(C91,Efficiencies!$C$8:$C$89),MATCH(D91,Efficiencies!$D$7:$M$7))</f>
        <v>#REF!</v>
      </c>
      <c r="AD91" s="90" t="e">
        <f t="shared" si="38"/>
        <v>#REF!</v>
      </c>
      <c r="AE91" s="90" t="e">
        <f>INDEX(Efficiencies!$P$8:$Y$89,MATCH(C91,Efficiencies!$C$8:$C$89),MATCH(D91,Efficiencies!$P$7:$Y$7))</f>
        <v>#REF!</v>
      </c>
      <c r="AF91" s="90" t="e">
        <f t="shared" si="50"/>
        <v>#REF!</v>
      </c>
      <c r="AG91" s="90">
        <v>0</v>
      </c>
    </row>
    <row r="92" spans="1:33" x14ac:dyDescent="0.2">
      <c r="A92" s="92" t="s">
        <v>958</v>
      </c>
      <c r="B92" s="248" t="s">
        <v>959</v>
      </c>
      <c r="C92" s="40" t="s">
        <v>947</v>
      </c>
      <c r="D92" s="40">
        <v>2040</v>
      </c>
      <c r="E92" s="86">
        <f>GDPdeflator!$C$32*INDEX(Costs!$E$7:$O$89,MATCH($C92,Costs!$C$7:$C$89,0),MATCH(E$7,Costs!$E$6:$O$6,0))</f>
        <v>0</v>
      </c>
      <c r="F92" s="86">
        <f>GDPdeflator!$C$36*INDEX(Costs!$E$7:$O$89,MATCH($C92,Costs!$C$7:$C$89,0),MATCH(F$7,Costs!$E$6:$O$6,0))</f>
        <v>0</v>
      </c>
      <c r="G92" s="86">
        <f>GDPdeflator!$C$38*INDEX(Costs!$E$7:$O$89,MATCH($C92,Costs!$C$7:$C$89,0),MATCH(G$7,Costs!$E$6:$O$6,0))</f>
        <v>0</v>
      </c>
      <c r="H92" s="86">
        <f>GDPdeflator!$C$38*INDEX(Costs!$E$7:$O$89,MATCH($C92,Costs!$C$7:$C$89,0),MATCH(H$7,Costs!$E$6:$O$6,0))</f>
        <v>25.257619188205936</v>
      </c>
      <c r="I92" s="86">
        <f>GDPdeflator!$C$38*INDEX(Costs!$E$7:$O$89,MATCH($C92,Costs!$C$7:$C$89,0),MATCH(I$7,Costs!$E$6:$O$6,0))</f>
        <v>25.064879811813107</v>
      </c>
      <c r="J92" s="86">
        <f>GDPdeflator!$C$38*INDEX(Costs!$E$7:$O$89,MATCH($C92,Costs!$C$7:$C$89,0),MATCH(J$7,Costs!$E$6:$O$6,0))</f>
        <v>25.345227995657226</v>
      </c>
      <c r="K92" s="86">
        <f>GDPdeflator!$C$38*INDEX(Costs!$E$7:$O$89,MATCH($C92,Costs!$C$7:$C$89,0),MATCH(K$7,Costs!$E$6:$O$6,0))</f>
        <v>25.231336545970553</v>
      </c>
      <c r="L92" s="86">
        <f>GDPdeflator!$C$38*INDEX(Costs!$E$7:$O$89,MATCH($C92,Costs!$C$7:$C$89,0),MATCH(L$7,Costs!$E$6:$O$6,0))</f>
        <v>25.213814784480295</v>
      </c>
      <c r="M92" s="86">
        <f>GDPdeflator!$C$38*INDEX(Costs!$E$7:$O$89,MATCH($C92,Costs!$C$7:$C$89,0),MATCH(M$7,Costs!$E$6:$O$6,0))</f>
        <v>25.213814784480295</v>
      </c>
      <c r="N92" s="86">
        <f>GDPdeflator!$C$38*INDEX(Costs!$E$7:$O$89,MATCH($C92,Costs!$C$7:$C$89,0),MATCH(N$7,Costs!$E$6:$O$6,0))</f>
        <v>25.213814784480295</v>
      </c>
      <c r="O92" s="86">
        <f>GDPdeflator!$C$38*INDEX(Costs!$E$7:$O$89,MATCH($C92,Costs!$C$7:$C$89,0),MATCH(O$7,Costs!$E$6:$O$6,0))</f>
        <v>25.213814784480295</v>
      </c>
      <c r="P92" s="87">
        <f t="shared" si="52"/>
        <v>0</v>
      </c>
      <c r="Q92" s="87">
        <f t="shared" si="53"/>
        <v>0</v>
      </c>
      <c r="R92" s="87">
        <f t="shared" si="54"/>
        <v>0</v>
      </c>
      <c r="S92" s="87">
        <f t="shared" si="55"/>
        <v>2108.9644129754633</v>
      </c>
      <c r="T92" s="87">
        <f t="shared" si="56"/>
        <v>2092.8710320925425</v>
      </c>
      <c r="U92" s="87">
        <f t="shared" si="57"/>
        <v>2116.2795861040636</v>
      </c>
      <c r="V92" s="87">
        <f t="shared" si="58"/>
        <v>2106.7698610368834</v>
      </c>
      <c r="W92" s="87">
        <f t="shared" si="59"/>
        <v>2105.3068264111635</v>
      </c>
      <c r="X92" s="87">
        <f t="shared" si="60"/>
        <v>2105.3068264111635</v>
      </c>
      <c r="Y92" s="87">
        <f t="shared" si="61"/>
        <v>2105.3068264111635</v>
      </c>
      <c r="Z92" s="87">
        <f t="shared" si="62"/>
        <v>2105.3068264111635</v>
      </c>
      <c r="AA92" s="88">
        <v>420</v>
      </c>
      <c r="AB92" s="89">
        <f>AA92*GDPdeflator!$C$25/$AI$18*10^3</f>
        <v>40.382789385678855</v>
      </c>
      <c r="AC92" s="90" t="e">
        <f>INDEX(Efficiencies!$D$8:$M$89,MATCH(C92,Efficiencies!$C$8:$C$89),MATCH(D92,Efficiencies!$D$7:$M$7))</f>
        <v>#REF!</v>
      </c>
      <c r="AD92" s="90" t="e">
        <f t="shared" si="38"/>
        <v>#REF!</v>
      </c>
      <c r="AE92" s="90" t="e">
        <f>INDEX(Efficiencies!$P$8:$Y$89,MATCH(C92,Efficiencies!$C$8:$C$89),MATCH(D92,Efficiencies!$P$7:$Y$7))</f>
        <v>#REF!</v>
      </c>
      <c r="AF92" s="90" t="e">
        <f t="shared" si="50"/>
        <v>#REF!</v>
      </c>
      <c r="AG92" s="90">
        <v>0</v>
      </c>
    </row>
    <row r="93" spans="1:33" x14ac:dyDescent="0.2">
      <c r="A93" s="92" t="s">
        <v>960</v>
      </c>
      <c r="B93" s="248" t="s">
        <v>961</v>
      </c>
      <c r="C93" s="40" t="s">
        <v>947</v>
      </c>
      <c r="D93" s="40">
        <v>2045</v>
      </c>
      <c r="E93" s="86">
        <f>GDPdeflator!$C$32*INDEX(Costs!$E$7:$O$89,MATCH($C93,Costs!$C$7:$C$89,0),MATCH(E$7,Costs!$E$6:$O$6,0))</f>
        <v>0</v>
      </c>
      <c r="F93" s="86">
        <f>GDPdeflator!$C$36*INDEX(Costs!$E$7:$O$89,MATCH($C93,Costs!$C$7:$C$89,0),MATCH(F$7,Costs!$E$6:$O$6,0))</f>
        <v>0</v>
      </c>
      <c r="G93" s="86">
        <f>GDPdeflator!$C$38*INDEX(Costs!$E$7:$O$89,MATCH($C93,Costs!$C$7:$C$89,0),MATCH(G$7,Costs!$E$6:$O$6,0))</f>
        <v>0</v>
      </c>
      <c r="H93" s="86">
        <f>GDPdeflator!$C$38*INDEX(Costs!$E$7:$O$89,MATCH($C93,Costs!$C$7:$C$89,0),MATCH(H$7,Costs!$E$6:$O$6,0))</f>
        <v>25.257619188205936</v>
      </c>
      <c r="I93" s="86">
        <f>GDPdeflator!$C$38*INDEX(Costs!$E$7:$O$89,MATCH($C93,Costs!$C$7:$C$89,0),MATCH(I$7,Costs!$E$6:$O$6,0))</f>
        <v>25.064879811813107</v>
      </c>
      <c r="J93" s="86">
        <f>GDPdeflator!$C$38*INDEX(Costs!$E$7:$O$89,MATCH($C93,Costs!$C$7:$C$89,0),MATCH(J$7,Costs!$E$6:$O$6,0))</f>
        <v>25.345227995657226</v>
      </c>
      <c r="K93" s="86">
        <f>GDPdeflator!$C$38*INDEX(Costs!$E$7:$O$89,MATCH($C93,Costs!$C$7:$C$89,0),MATCH(K$7,Costs!$E$6:$O$6,0))</f>
        <v>25.231336545970553</v>
      </c>
      <c r="L93" s="86">
        <f>GDPdeflator!$C$38*INDEX(Costs!$E$7:$O$89,MATCH($C93,Costs!$C$7:$C$89,0),MATCH(L$7,Costs!$E$6:$O$6,0))</f>
        <v>25.213814784480295</v>
      </c>
      <c r="M93" s="86">
        <f>GDPdeflator!$C$38*INDEX(Costs!$E$7:$O$89,MATCH($C93,Costs!$C$7:$C$89,0),MATCH(M$7,Costs!$E$6:$O$6,0))</f>
        <v>25.213814784480295</v>
      </c>
      <c r="N93" s="86">
        <f>GDPdeflator!$C$38*INDEX(Costs!$E$7:$O$89,MATCH($C93,Costs!$C$7:$C$89,0),MATCH(N$7,Costs!$E$6:$O$6,0))</f>
        <v>25.213814784480295</v>
      </c>
      <c r="O93" s="86">
        <f>GDPdeflator!$C$38*INDEX(Costs!$E$7:$O$89,MATCH($C93,Costs!$C$7:$C$89,0),MATCH(O$7,Costs!$E$6:$O$6,0))</f>
        <v>25.213814784480295</v>
      </c>
      <c r="P93" s="87">
        <f t="shared" si="52"/>
        <v>0</v>
      </c>
      <c r="Q93" s="87">
        <f t="shared" si="53"/>
        <v>0</v>
      </c>
      <c r="R93" s="87">
        <f t="shared" si="54"/>
        <v>0</v>
      </c>
      <c r="S93" s="87">
        <f t="shared" si="55"/>
        <v>2108.9644129754633</v>
      </c>
      <c r="T93" s="87">
        <f t="shared" si="56"/>
        <v>2092.8710320925425</v>
      </c>
      <c r="U93" s="87">
        <f t="shared" si="57"/>
        <v>2116.2795861040636</v>
      </c>
      <c r="V93" s="87">
        <f t="shared" si="58"/>
        <v>2106.7698610368834</v>
      </c>
      <c r="W93" s="87">
        <f t="shared" si="59"/>
        <v>2105.3068264111635</v>
      </c>
      <c r="X93" s="87">
        <f t="shared" si="60"/>
        <v>2105.3068264111635</v>
      </c>
      <c r="Y93" s="87">
        <f t="shared" si="61"/>
        <v>2105.3068264111635</v>
      </c>
      <c r="Z93" s="87">
        <f t="shared" si="62"/>
        <v>2105.3068264111635</v>
      </c>
      <c r="AA93" s="88">
        <v>420</v>
      </c>
      <c r="AB93" s="89">
        <f>AA93*GDPdeflator!$C$25/$AI$18*10^3</f>
        <v>40.382789385678855</v>
      </c>
      <c r="AC93" s="90" t="e">
        <f>INDEX(Efficiencies!$D$8:$M$89,MATCH(C93,Efficiencies!$C$8:$C$89),MATCH(D93,Efficiencies!$D$7:$M$7))</f>
        <v>#REF!</v>
      </c>
      <c r="AD93" s="90" t="e">
        <f t="shared" si="38"/>
        <v>#REF!</v>
      </c>
      <c r="AE93" s="90" t="e">
        <f>INDEX(Efficiencies!$P$8:$Y$89,MATCH(C93,Efficiencies!$C$8:$C$89),MATCH(D93,Efficiencies!$P$7:$Y$7))</f>
        <v>#REF!</v>
      </c>
      <c r="AF93" s="90" t="e">
        <f t="shared" si="50"/>
        <v>#REF!</v>
      </c>
      <c r="AG93" s="90">
        <v>0</v>
      </c>
    </row>
    <row r="94" spans="1:33" x14ac:dyDescent="0.2">
      <c r="A94" s="92" t="s">
        <v>962</v>
      </c>
      <c r="B94" s="248" t="s">
        <v>963</v>
      </c>
      <c r="C94" s="40" t="s">
        <v>947</v>
      </c>
      <c r="D94" s="40">
        <v>2050</v>
      </c>
      <c r="E94" s="86">
        <f>GDPdeflator!$C$32*INDEX(Costs!$E$7:$O$89,MATCH($C94,Costs!$C$7:$C$89,0),MATCH(E$7,Costs!$E$6:$O$6,0))</f>
        <v>0</v>
      </c>
      <c r="F94" s="86">
        <f>GDPdeflator!$C$36*INDEX(Costs!$E$7:$O$89,MATCH($C94,Costs!$C$7:$C$89,0),MATCH(F$7,Costs!$E$6:$O$6,0))</f>
        <v>0</v>
      </c>
      <c r="G94" s="86">
        <f>GDPdeflator!$C$38*INDEX(Costs!$E$7:$O$89,MATCH($C94,Costs!$C$7:$C$89,0),MATCH(G$7,Costs!$E$6:$O$6,0))</f>
        <v>0</v>
      </c>
      <c r="H94" s="86">
        <f>GDPdeflator!$C$38*INDEX(Costs!$E$7:$O$89,MATCH($C94,Costs!$C$7:$C$89,0),MATCH(H$7,Costs!$E$6:$O$6,0))</f>
        <v>25.257619188205936</v>
      </c>
      <c r="I94" s="86">
        <f>GDPdeflator!$C$38*INDEX(Costs!$E$7:$O$89,MATCH($C94,Costs!$C$7:$C$89,0),MATCH(I$7,Costs!$E$6:$O$6,0))</f>
        <v>25.064879811813107</v>
      </c>
      <c r="J94" s="86">
        <f>GDPdeflator!$C$38*INDEX(Costs!$E$7:$O$89,MATCH($C94,Costs!$C$7:$C$89,0),MATCH(J$7,Costs!$E$6:$O$6,0))</f>
        <v>25.345227995657226</v>
      </c>
      <c r="K94" s="86">
        <f>GDPdeflator!$C$38*INDEX(Costs!$E$7:$O$89,MATCH($C94,Costs!$C$7:$C$89,0),MATCH(K$7,Costs!$E$6:$O$6,0))</f>
        <v>25.231336545970553</v>
      </c>
      <c r="L94" s="86">
        <f>GDPdeflator!$C$38*INDEX(Costs!$E$7:$O$89,MATCH($C94,Costs!$C$7:$C$89,0),MATCH(L$7,Costs!$E$6:$O$6,0))</f>
        <v>25.213814784480295</v>
      </c>
      <c r="M94" s="86">
        <f>GDPdeflator!$C$38*INDEX(Costs!$E$7:$O$89,MATCH($C94,Costs!$C$7:$C$89,0),MATCH(M$7,Costs!$E$6:$O$6,0))</f>
        <v>25.213814784480295</v>
      </c>
      <c r="N94" s="86">
        <f>GDPdeflator!$C$38*INDEX(Costs!$E$7:$O$89,MATCH($C94,Costs!$C$7:$C$89,0),MATCH(N$7,Costs!$E$6:$O$6,0))</f>
        <v>25.213814784480295</v>
      </c>
      <c r="O94" s="86">
        <f>GDPdeflator!$C$38*INDEX(Costs!$E$7:$O$89,MATCH($C94,Costs!$C$7:$C$89,0),MATCH(O$7,Costs!$E$6:$O$6,0))</f>
        <v>25.213814784480295</v>
      </c>
      <c r="P94" s="87">
        <f t="shared" si="52"/>
        <v>0</v>
      </c>
      <c r="Q94" s="87">
        <f t="shared" si="53"/>
        <v>0</v>
      </c>
      <c r="R94" s="87">
        <f t="shared" si="54"/>
        <v>0</v>
      </c>
      <c r="S94" s="87">
        <f t="shared" si="55"/>
        <v>2108.9644129754633</v>
      </c>
      <c r="T94" s="87">
        <f t="shared" si="56"/>
        <v>2092.8710320925425</v>
      </c>
      <c r="U94" s="87">
        <f t="shared" si="57"/>
        <v>2116.2795861040636</v>
      </c>
      <c r="V94" s="87">
        <f t="shared" si="58"/>
        <v>2106.7698610368834</v>
      </c>
      <c r="W94" s="87">
        <f t="shared" si="59"/>
        <v>2105.3068264111635</v>
      </c>
      <c r="X94" s="87">
        <f t="shared" si="60"/>
        <v>2105.3068264111635</v>
      </c>
      <c r="Y94" s="87">
        <f t="shared" si="61"/>
        <v>2105.3068264111635</v>
      </c>
      <c r="Z94" s="87">
        <f t="shared" si="62"/>
        <v>2105.3068264111635</v>
      </c>
      <c r="AA94" s="88">
        <v>420</v>
      </c>
      <c r="AB94" s="89">
        <f>AA94*GDPdeflator!$C$25/$AI$18*10^3</f>
        <v>40.382789385678855</v>
      </c>
      <c r="AC94" s="90" t="e">
        <f>INDEX(Efficiencies!$D$8:$M$89,MATCH(C94,Efficiencies!$C$8:$C$89),MATCH(D94,Efficiencies!$D$7:$M$7))</f>
        <v>#REF!</v>
      </c>
      <c r="AD94" s="90" t="e">
        <f t="shared" si="38"/>
        <v>#REF!</v>
      </c>
      <c r="AE94" s="90" t="e">
        <f>INDEX(Efficiencies!$P$8:$Y$89,MATCH(C94,Efficiencies!$C$8:$C$89),MATCH(D94,Efficiencies!$P$7:$Y$7))</f>
        <v>#REF!</v>
      </c>
      <c r="AF94" s="90" t="e">
        <f t="shared" si="50"/>
        <v>#REF!</v>
      </c>
      <c r="AG94" s="90">
        <v>0</v>
      </c>
    </row>
    <row r="95" spans="1:33" x14ac:dyDescent="0.2">
      <c r="A95" s="92" t="s">
        <v>964</v>
      </c>
      <c r="B95" s="248" t="s">
        <v>965</v>
      </c>
      <c r="C95" s="40" t="s">
        <v>966</v>
      </c>
      <c r="D95" s="40">
        <v>2005</v>
      </c>
      <c r="E95" s="86">
        <f>GDPdeflator!$C$32*INDEX(Costs!$E$7:$O$89,MATCH($C95,Costs!$C$7:$C$89,0),MATCH(E$7,Costs!$E$6:$O$6,0))</f>
        <v>0</v>
      </c>
      <c r="F95" s="86">
        <f>GDPdeflator!$C$36*INDEX(Costs!$E$7:$O$89,MATCH($C95,Costs!$C$7:$C$89,0),MATCH(F$7,Costs!$E$6:$O$6,0))</f>
        <v>20.272096585277954</v>
      </c>
      <c r="G95" s="86">
        <f>GDPdeflator!$C$38*INDEX(Costs!$E$7:$O$89,MATCH($C95,Costs!$C$7:$C$89,0),MATCH(G$7,Costs!$E$6:$O$6,0))</f>
        <v>18.336523399554295</v>
      </c>
      <c r="H95" s="86">
        <f>GDPdeflator!$C$38*INDEX(Costs!$E$7:$O$89,MATCH($C95,Costs!$C$7:$C$89,0),MATCH(H$7,Costs!$E$6:$O$6,0))</f>
        <v>19.168807070341515</v>
      </c>
      <c r="I95" s="86">
        <f>GDPdeflator!$C$38*INDEX(Costs!$E$7:$O$89,MATCH($C95,Costs!$C$7:$C$89,0),MATCH(I$7,Costs!$E$6:$O$6,0))</f>
        <v>20.544265347326718</v>
      </c>
      <c r="J95" s="86">
        <f>GDPdeflator!$C$38*INDEX(Costs!$E$7:$O$89,MATCH($C95,Costs!$C$7:$C$89,0),MATCH(J$7,Costs!$E$6:$O$6,0))</f>
        <v>20.570547989562105</v>
      </c>
      <c r="K95" s="86">
        <f>GDPdeflator!$C$38*INDEX(Costs!$E$7:$O$89,MATCH($C95,Costs!$C$7:$C$89,0),MATCH(K$7,Costs!$E$6:$O$6,0))</f>
        <v>20.57930887030723</v>
      </c>
      <c r="L95" s="86">
        <f>GDPdeflator!$C$38*INDEX(Costs!$E$7:$O$89,MATCH($C95,Costs!$C$7:$C$89,0),MATCH(L$7,Costs!$E$6:$O$6,0))</f>
        <v>20.588069751052359</v>
      </c>
      <c r="M95" s="86">
        <f>GDPdeflator!$C$38*INDEX(Costs!$E$7:$O$89,MATCH($C95,Costs!$C$7:$C$89,0),MATCH(M$7,Costs!$E$6:$O$6,0))</f>
        <v>20.588069751052359</v>
      </c>
      <c r="N95" s="86">
        <f>GDPdeflator!$C$38*INDEX(Costs!$E$7:$O$89,MATCH($C95,Costs!$C$7:$C$89,0),MATCH(N$7,Costs!$E$6:$O$6,0))</f>
        <v>20.588069751052359</v>
      </c>
      <c r="O95" s="86">
        <f>GDPdeflator!$C$38*INDEX(Costs!$E$7:$O$89,MATCH($C95,Costs!$C$7:$C$89,0),MATCH(O$7,Costs!$E$6:$O$6,0))</f>
        <v>20.588069751052359</v>
      </c>
      <c r="P95" s="87">
        <f>E95/$AI$18*10^6</f>
        <v>0</v>
      </c>
      <c r="Q95" s="87">
        <f t="shared" si="53"/>
        <v>1692.682511212942</v>
      </c>
      <c r="R95" s="87">
        <f t="shared" si="54"/>
        <v>1531.0657358160408</v>
      </c>
      <c r="S95" s="87">
        <f t="shared" si="55"/>
        <v>1600.5598805377431</v>
      </c>
      <c r="T95" s="87">
        <f t="shared" si="56"/>
        <v>1715.4080986567681</v>
      </c>
      <c r="U95" s="87">
        <f t="shared" si="57"/>
        <v>1717.6026505953482</v>
      </c>
      <c r="V95" s="87">
        <f t="shared" si="58"/>
        <v>1718.334167908208</v>
      </c>
      <c r="W95" s="87">
        <f t="shared" si="59"/>
        <v>1719.065685221068</v>
      </c>
      <c r="X95" s="87">
        <f t="shared" si="60"/>
        <v>1719.065685221068</v>
      </c>
      <c r="Y95" s="87">
        <f t="shared" si="61"/>
        <v>1719.065685221068</v>
      </c>
      <c r="Z95" s="87">
        <f t="shared" si="62"/>
        <v>1719.065685221068</v>
      </c>
      <c r="AA95" s="88">
        <v>400</v>
      </c>
      <c r="AB95" s="89">
        <f>AA95*GDPdeflator!$C$25/$AI$18*10^3</f>
        <v>38.459799414932235</v>
      </c>
      <c r="AC95" s="90" t="e">
        <f>INDEX(Efficiencies!$D$8:$M$89,MATCH(C95,Efficiencies!$C$8:$C$89),MATCH(D95,Efficiencies!$D$7:$M$7))</f>
        <v>#REF!</v>
      </c>
      <c r="AD95" s="90" t="e">
        <f t="shared" si="38"/>
        <v>#REF!</v>
      </c>
      <c r="AE95" s="90" t="e">
        <f>INDEX(Efficiencies!$P$8:$Y$89,MATCH(C95,Efficiencies!$C$8:$C$89),MATCH(D95,Efficiencies!$P$7:$Y$7))</f>
        <v>#REF!</v>
      </c>
      <c r="AF95" s="90" t="e">
        <f t="shared" si="50"/>
        <v>#REF!</v>
      </c>
      <c r="AG95" s="90">
        <v>0</v>
      </c>
    </row>
    <row r="96" spans="1:33" x14ac:dyDescent="0.2">
      <c r="A96" s="92" t="s">
        <v>967</v>
      </c>
      <c r="B96" s="248" t="s">
        <v>968</v>
      </c>
      <c r="C96" s="40" t="s">
        <v>966</v>
      </c>
      <c r="D96" s="40">
        <v>2010</v>
      </c>
      <c r="E96" s="86">
        <f>GDPdeflator!$C$32*INDEX(Costs!$E$7:$O$89,MATCH($C96,Costs!$C$7:$C$89,0),MATCH(E$7,Costs!$E$6:$O$6,0))</f>
        <v>0</v>
      </c>
      <c r="F96" s="86">
        <f>GDPdeflator!$C$36*INDEX(Costs!$E$7:$O$89,MATCH($C96,Costs!$C$7:$C$89,0),MATCH(F$7,Costs!$E$6:$O$6,0))</f>
        <v>20.272096585277954</v>
      </c>
      <c r="G96" s="86">
        <f>GDPdeflator!$C$38*INDEX(Costs!$E$7:$O$89,MATCH($C96,Costs!$C$7:$C$89,0),MATCH(G$7,Costs!$E$6:$O$6,0))</f>
        <v>18.336523399554295</v>
      </c>
      <c r="H96" s="86">
        <f>GDPdeflator!$C$38*INDEX(Costs!$E$7:$O$89,MATCH($C96,Costs!$C$7:$C$89,0),MATCH(H$7,Costs!$E$6:$O$6,0))</f>
        <v>19.168807070341515</v>
      </c>
      <c r="I96" s="86">
        <f>GDPdeflator!$C$38*INDEX(Costs!$E$7:$O$89,MATCH($C96,Costs!$C$7:$C$89,0),MATCH(I$7,Costs!$E$6:$O$6,0))</f>
        <v>20.544265347326718</v>
      </c>
      <c r="J96" s="86">
        <f>GDPdeflator!$C$38*INDEX(Costs!$E$7:$O$89,MATCH($C96,Costs!$C$7:$C$89,0),MATCH(J$7,Costs!$E$6:$O$6,0))</f>
        <v>20.570547989562105</v>
      </c>
      <c r="K96" s="86">
        <f>GDPdeflator!$C$38*INDEX(Costs!$E$7:$O$89,MATCH($C96,Costs!$C$7:$C$89,0),MATCH(K$7,Costs!$E$6:$O$6,0))</f>
        <v>20.57930887030723</v>
      </c>
      <c r="L96" s="86">
        <f>GDPdeflator!$C$38*INDEX(Costs!$E$7:$O$89,MATCH($C96,Costs!$C$7:$C$89,0),MATCH(L$7,Costs!$E$6:$O$6,0))</f>
        <v>20.588069751052359</v>
      </c>
      <c r="M96" s="86">
        <f>GDPdeflator!$C$38*INDEX(Costs!$E$7:$O$89,MATCH($C96,Costs!$C$7:$C$89,0),MATCH(M$7,Costs!$E$6:$O$6,0))</f>
        <v>20.588069751052359</v>
      </c>
      <c r="N96" s="86">
        <f>GDPdeflator!$C$38*INDEX(Costs!$E$7:$O$89,MATCH($C96,Costs!$C$7:$C$89,0),MATCH(N$7,Costs!$E$6:$O$6,0))</f>
        <v>20.588069751052359</v>
      </c>
      <c r="O96" s="86">
        <f>GDPdeflator!$C$38*INDEX(Costs!$E$7:$O$89,MATCH($C96,Costs!$C$7:$C$89,0),MATCH(O$7,Costs!$E$6:$O$6,0))</f>
        <v>20.588069751052359</v>
      </c>
      <c r="P96" s="87">
        <f t="shared" ref="P96:P104" si="63">E96/$AI$18*10^6</f>
        <v>0</v>
      </c>
      <c r="Q96" s="87">
        <f t="shared" si="53"/>
        <v>1692.682511212942</v>
      </c>
      <c r="R96" s="87">
        <f t="shared" si="54"/>
        <v>1531.0657358160408</v>
      </c>
      <c r="S96" s="87">
        <f t="shared" si="55"/>
        <v>1600.5598805377431</v>
      </c>
      <c r="T96" s="87">
        <f t="shared" si="56"/>
        <v>1715.4080986567681</v>
      </c>
      <c r="U96" s="87">
        <f t="shared" si="57"/>
        <v>1717.6026505953482</v>
      </c>
      <c r="V96" s="87">
        <f t="shared" si="58"/>
        <v>1718.334167908208</v>
      </c>
      <c r="W96" s="87">
        <f t="shared" si="59"/>
        <v>1719.065685221068</v>
      </c>
      <c r="X96" s="87">
        <f t="shared" si="60"/>
        <v>1719.065685221068</v>
      </c>
      <c r="Y96" s="87">
        <f t="shared" si="61"/>
        <v>1719.065685221068</v>
      </c>
      <c r="Z96" s="87">
        <f t="shared" si="62"/>
        <v>1719.065685221068</v>
      </c>
      <c r="AA96" s="88">
        <v>400</v>
      </c>
      <c r="AB96" s="89">
        <f>AA96*GDPdeflator!$C$25/$AI$18*10^3</f>
        <v>38.459799414932235</v>
      </c>
      <c r="AC96" s="90" t="e">
        <f>INDEX(Efficiencies!$D$8:$M$89,MATCH(C96,Efficiencies!$C$8:$C$89),MATCH(D96,Efficiencies!$D$7:$M$7))</f>
        <v>#REF!</v>
      </c>
      <c r="AD96" s="90" t="e">
        <f t="shared" si="38"/>
        <v>#REF!</v>
      </c>
      <c r="AE96" s="90" t="e">
        <f>INDEX(Efficiencies!$P$8:$Y$89,MATCH(C96,Efficiencies!$C$8:$C$89),MATCH(D96,Efficiencies!$P$7:$Y$7))</f>
        <v>#REF!</v>
      </c>
      <c r="AF96" s="90" t="e">
        <f t="shared" si="50"/>
        <v>#REF!</v>
      </c>
      <c r="AG96" s="90">
        <v>0</v>
      </c>
    </row>
    <row r="97" spans="1:33" x14ac:dyDescent="0.2">
      <c r="A97" s="92" t="s">
        <v>969</v>
      </c>
      <c r="B97" s="248" t="s">
        <v>970</v>
      </c>
      <c r="C97" s="40" t="s">
        <v>966</v>
      </c>
      <c r="D97" s="40">
        <v>2015</v>
      </c>
      <c r="E97" s="86">
        <f>GDPdeflator!$C$32*INDEX(Costs!$E$7:$O$89,MATCH($C97,Costs!$C$7:$C$89,0),MATCH(E$7,Costs!$E$6:$O$6,0))</f>
        <v>0</v>
      </c>
      <c r="F97" s="86">
        <f>GDPdeflator!$C$36*INDEX(Costs!$E$7:$O$89,MATCH($C97,Costs!$C$7:$C$89,0),MATCH(F$7,Costs!$E$6:$O$6,0))</f>
        <v>20.272096585277954</v>
      </c>
      <c r="G97" s="86">
        <f>GDPdeflator!$C$38*INDEX(Costs!$E$7:$O$89,MATCH($C97,Costs!$C$7:$C$89,0),MATCH(G$7,Costs!$E$6:$O$6,0))</f>
        <v>18.336523399554295</v>
      </c>
      <c r="H97" s="86">
        <f>GDPdeflator!$C$38*INDEX(Costs!$E$7:$O$89,MATCH($C97,Costs!$C$7:$C$89,0),MATCH(H$7,Costs!$E$6:$O$6,0))</f>
        <v>19.168807070341515</v>
      </c>
      <c r="I97" s="86">
        <f>GDPdeflator!$C$38*INDEX(Costs!$E$7:$O$89,MATCH($C97,Costs!$C$7:$C$89,0),MATCH(I$7,Costs!$E$6:$O$6,0))</f>
        <v>20.544265347326718</v>
      </c>
      <c r="J97" s="86">
        <f>GDPdeflator!$C$38*INDEX(Costs!$E$7:$O$89,MATCH($C97,Costs!$C$7:$C$89,0),MATCH(J$7,Costs!$E$6:$O$6,0))</f>
        <v>20.570547989562105</v>
      </c>
      <c r="K97" s="86">
        <f>GDPdeflator!$C$38*INDEX(Costs!$E$7:$O$89,MATCH($C97,Costs!$C$7:$C$89,0),MATCH(K$7,Costs!$E$6:$O$6,0))</f>
        <v>20.57930887030723</v>
      </c>
      <c r="L97" s="86">
        <f>GDPdeflator!$C$38*INDEX(Costs!$E$7:$O$89,MATCH($C97,Costs!$C$7:$C$89,0),MATCH(L$7,Costs!$E$6:$O$6,0))</f>
        <v>20.588069751052359</v>
      </c>
      <c r="M97" s="86">
        <f>GDPdeflator!$C$38*INDEX(Costs!$E$7:$O$89,MATCH($C97,Costs!$C$7:$C$89,0),MATCH(M$7,Costs!$E$6:$O$6,0))</f>
        <v>20.588069751052359</v>
      </c>
      <c r="N97" s="86">
        <f>GDPdeflator!$C$38*INDEX(Costs!$E$7:$O$89,MATCH($C97,Costs!$C$7:$C$89,0),MATCH(N$7,Costs!$E$6:$O$6,0))</f>
        <v>20.588069751052359</v>
      </c>
      <c r="O97" s="86">
        <f>GDPdeflator!$C$38*INDEX(Costs!$E$7:$O$89,MATCH($C97,Costs!$C$7:$C$89,0),MATCH(O$7,Costs!$E$6:$O$6,0))</f>
        <v>20.588069751052359</v>
      </c>
      <c r="P97" s="87">
        <f t="shared" si="63"/>
        <v>0</v>
      </c>
      <c r="Q97" s="87">
        <f t="shared" si="53"/>
        <v>1692.682511212942</v>
      </c>
      <c r="R97" s="87">
        <f t="shared" si="54"/>
        <v>1531.0657358160408</v>
      </c>
      <c r="S97" s="87">
        <f t="shared" si="55"/>
        <v>1600.5598805377431</v>
      </c>
      <c r="T97" s="87">
        <f t="shared" si="56"/>
        <v>1715.4080986567681</v>
      </c>
      <c r="U97" s="87">
        <f t="shared" si="57"/>
        <v>1717.6026505953482</v>
      </c>
      <c r="V97" s="87">
        <f t="shared" si="58"/>
        <v>1718.334167908208</v>
      </c>
      <c r="W97" s="87">
        <f t="shared" si="59"/>
        <v>1719.065685221068</v>
      </c>
      <c r="X97" s="87">
        <f t="shared" si="60"/>
        <v>1719.065685221068</v>
      </c>
      <c r="Y97" s="87">
        <f t="shared" si="61"/>
        <v>1719.065685221068</v>
      </c>
      <c r="Z97" s="87">
        <f t="shared" si="62"/>
        <v>1719.065685221068</v>
      </c>
      <c r="AA97" s="88">
        <v>400</v>
      </c>
      <c r="AB97" s="89">
        <f>AA97*GDPdeflator!$C$25/$AI$18*10^3</f>
        <v>38.459799414932235</v>
      </c>
      <c r="AC97" s="90" t="e">
        <f>INDEX(Efficiencies!$D$8:$M$89,MATCH(C97,Efficiencies!$C$8:$C$89),MATCH(D97,Efficiencies!$D$7:$M$7))</f>
        <v>#REF!</v>
      </c>
      <c r="AD97" s="90" t="e">
        <f t="shared" si="38"/>
        <v>#REF!</v>
      </c>
      <c r="AE97" s="90" t="e">
        <f>INDEX(Efficiencies!$P$8:$Y$89,MATCH(C97,Efficiencies!$C$8:$C$89),MATCH(D97,Efficiencies!$P$7:$Y$7))</f>
        <v>#REF!</v>
      </c>
      <c r="AF97" s="90" t="e">
        <f t="shared" si="50"/>
        <v>#REF!</v>
      </c>
      <c r="AG97" s="90">
        <v>0</v>
      </c>
    </row>
    <row r="98" spans="1:33" x14ac:dyDescent="0.2">
      <c r="A98" s="92" t="s">
        <v>971</v>
      </c>
      <c r="B98" s="248" t="s">
        <v>972</v>
      </c>
      <c r="C98" s="40" t="s">
        <v>966</v>
      </c>
      <c r="D98" s="40">
        <v>2020</v>
      </c>
      <c r="E98" s="86">
        <f>GDPdeflator!$C$32*INDEX(Costs!$E$7:$O$89,MATCH($C98,Costs!$C$7:$C$89,0),MATCH(E$7,Costs!$E$6:$O$6,0))</f>
        <v>0</v>
      </c>
      <c r="F98" s="86">
        <f>GDPdeflator!$C$36*INDEX(Costs!$E$7:$O$89,MATCH($C98,Costs!$C$7:$C$89,0),MATCH(F$7,Costs!$E$6:$O$6,0))</f>
        <v>20.272096585277954</v>
      </c>
      <c r="G98" s="86">
        <f>GDPdeflator!$C$38*INDEX(Costs!$E$7:$O$89,MATCH($C98,Costs!$C$7:$C$89,0),MATCH(G$7,Costs!$E$6:$O$6,0))</f>
        <v>18.336523399554295</v>
      </c>
      <c r="H98" s="86">
        <f>GDPdeflator!$C$38*INDEX(Costs!$E$7:$O$89,MATCH($C98,Costs!$C$7:$C$89,0),MATCH(H$7,Costs!$E$6:$O$6,0))</f>
        <v>19.168807070341515</v>
      </c>
      <c r="I98" s="86">
        <f>GDPdeflator!$C$38*INDEX(Costs!$E$7:$O$89,MATCH($C98,Costs!$C$7:$C$89,0),MATCH(I$7,Costs!$E$6:$O$6,0))</f>
        <v>20.544265347326718</v>
      </c>
      <c r="J98" s="86">
        <f>GDPdeflator!$C$38*INDEX(Costs!$E$7:$O$89,MATCH($C98,Costs!$C$7:$C$89,0),MATCH(J$7,Costs!$E$6:$O$6,0))</f>
        <v>20.570547989562105</v>
      </c>
      <c r="K98" s="86">
        <f>GDPdeflator!$C$38*INDEX(Costs!$E$7:$O$89,MATCH($C98,Costs!$C$7:$C$89,0),MATCH(K$7,Costs!$E$6:$O$6,0))</f>
        <v>20.57930887030723</v>
      </c>
      <c r="L98" s="86">
        <f>GDPdeflator!$C$38*INDEX(Costs!$E$7:$O$89,MATCH($C98,Costs!$C$7:$C$89,0),MATCH(L$7,Costs!$E$6:$O$6,0))</f>
        <v>20.588069751052359</v>
      </c>
      <c r="M98" s="86">
        <f>GDPdeflator!$C$38*INDEX(Costs!$E$7:$O$89,MATCH($C98,Costs!$C$7:$C$89,0),MATCH(M$7,Costs!$E$6:$O$6,0))</f>
        <v>20.588069751052359</v>
      </c>
      <c r="N98" s="86">
        <f>GDPdeflator!$C$38*INDEX(Costs!$E$7:$O$89,MATCH($C98,Costs!$C$7:$C$89,0),MATCH(N$7,Costs!$E$6:$O$6,0))</f>
        <v>20.588069751052359</v>
      </c>
      <c r="O98" s="86">
        <f>GDPdeflator!$C$38*INDEX(Costs!$E$7:$O$89,MATCH($C98,Costs!$C$7:$C$89,0),MATCH(O$7,Costs!$E$6:$O$6,0))</f>
        <v>20.588069751052359</v>
      </c>
      <c r="P98" s="87">
        <f t="shared" si="63"/>
        <v>0</v>
      </c>
      <c r="Q98" s="87">
        <f t="shared" si="53"/>
        <v>1692.682511212942</v>
      </c>
      <c r="R98" s="87">
        <f t="shared" si="54"/>
        <v>1531.0657358160408</v>
      </c>
      <c r="S98" s="87">
        <f t="shared" si="55"/>
        <v>1600.5598805377431</v>
      </c>
      <c r="T98" s="87">
        <f t="shared" si="56"/>
        <v>1715.4080986567681</v>
      </c>
      <c r="U98" s="87">
        <f t="shared" si="57"/>
        <v>1717.6026505953482</v>
      </c>
      <c r="V98" s="87">
        <f t="shared" si="58"/>
        <v>1718.334167908208</v>
      </c>
      <c r="W98" s="87">
        <f t="shared" si="59"/>
        <v>1719.065685221068</v>
      </c>
      <c r="X98" s="87">
        <f t="shared" si="60"/>
        <v>1719.065685221068</v>
      </c>
      <c r="Y98" s="87">
        <f t="shared" si="61"/>
        <v>1719.065685221068</v>
      </c>
      <c r="Z98" s="87">
        <f t="shared" si="62"/>
        <v>1719.065685221068</v>
      </c>
      <c r="AA98" s="88">
        <v>400</v>
      </c>
      <c r="AB98" s="89">
        <f>AA98*GDPdeflator!$C$25/$AI$18*10^3</f>
        <v>38.459799414932235</v>
      </c>
      <c r="AC98" s="90" t="e">
        <f>INDEX(Efficiencies!$D$8:$M$89,MATCH(C98,Efficiencies!$C$8:$C$89),MATCH(D98,Efficiencies!$D$7:$M$7))</f>
        <v>#REF!</v>
      </c>
      <c r="AD98" s="90" t="e">
        <f t="shared" si="38"/>
        <v>#REF!</v>
      </c>
      <c r="AE98" s="90" t="e">
        <f>INDEX(Efficiencies!$P$8:$Y$89,MATCH(C98,Efficiencies!$C$8:$C$89),MATCH(D98,Efficiencies!$P$7:$Y$7))</f>
        <v>#REF!</v>
      </c>
      <c r="AF98" s="90" t="e">
        <f t="shared" si="50"/>
        <v>#REF!</v>
      </c>
      <c r="AG98" s="90">
        <v>0</v>
      </c>
    </row>
    <row r="99" spans="1:33" x14ac:dyDescent="0.2">
      <c r="A99" s="92" t="s">
        <v>973</v>
      </c>
      <c r="B99" s="248" t="s">
        <v>974</v>
      </c>
      <c r="C99" s="40" t="s">
        <v>966</v>
      </c>
      <c r="D99" s="40">
        <v>2025</v>
      </c>
      <c r="E99" s="86">
        <f>GDPdeflator!$C$32*INDEX(Costs!$E$7:$O$89,MATCH($C99,Costs!$C$7:$C$89,0),MATCH(E$7,Costs!$E$6:$O$6,0))</f>
        <v>0</v>
      </c>
      <c r="F99" s="86">
        <f>GDPdeflator!$C$36*INDEX(Costs!$E$7:$O$89,MATCH($C99,Costs!$C$7:$C$89,0),MATCH(F$7,Costs!$E$6:$O$6,0))</f>
        <v>20.272096585277954</v>
      </c>
      <c r="G99" s="86">
        <f>GDPdeflator!$C$38*INDEX(Costs!$E$7:$O$89,MATCH($C99,Costs!$C$7:$C$89,0),MATCH(G$7,Costs!$E$6:$O$6,0))</f>
        <v>18.336523399554295</v>
      </c>
      <c r="H99" s="86">
        <f>GDPdeflator!$C$38*INDEX(Costs!$E$7:$O$89,MATCH($C99,Costs!$C$7:$C$89,0),MATCH(H$7,Costs!$E$6:$O$6,0))</f>
        <v>19.168807070341515</v>
      </c>
      <c r="I99" s="86">
        <f>GDPdeflator!$C$38*INDEX(Costs!$E$7:$O$89,MATCH($C99,Costs!$C$7:$C$89,0),MATCH(I$7,Costs!$E$6:$O$6,0))</f>
        <v>20.544265347326718</v>
      </c>
      <c r="J99" s="86">
        <f>GDPdeflator!$C$38*INDEX(Costs!$E$7:$O$89,MATCH($C99,Costs!$C$7:$C$89,0),MATCH(J$7,Costs!$E$6:$O$6,0))</f>
        <v>20.570547989562105</v>
      </c>
      <c r="K99" s="86">
        <f>GDPdeflator!$C$38*INDEX(Costs!$E$7:$O$89,MATCH($C99,Costs!$C$7:$C$89,0),MATCH(K$7,Costs!$E$6:$O$6,0))</f>
        <v>20.57930887030723</v>
      </c>
      <c r="L99" s="86">
        <f>GDPdeflator!$C$38*INDEX(Costs!$E$7:$O$89,MATCH($C99,Costs!$C$7:$C$89,0),MATCH(L$7,Costs!$E$6:$O$6,0))</f>
        <v>20.588069751052359</v>
      </c>
      <c r="M99" s="86">
        <f>GDPdeflator!$C$38*INDEX(Costs!$E$7:$O$89,MATCH($C99,Costs!$C$7:$C$89,0),MATCH(M$7,Costs!$E$6:$O$6,0))</f>
        <v>20.588069751052359</v>
      </c>
      <c r="N99" s="86">
        <f>GDPdeflator!$C$38*INDEX(Costs!$E$7:$O$89,MATCH($C99,Costs!$C$7:$C$89,0),MATCH(N$7,Costs!$E$6:$O$6,0))</f>
        <v>20.588069751052359</v>
      </c>
      <c r="O99" s="86">
        <f>GDPdeflator!$C$38*INDEX(Costs!$E$7:$O$89,MATCH($C99,Costs!$C$7:$C$89,0),MATCH(O$7,Costs!$E$6:$O$6,0))</f>
        <v>20.588069751052359</v>
      </c>
      <c r="P99" s="87">
        <f t="shared" si="63"/>
        <v>0</v>
      </c>
      <c r="Q99" s="87">
        <f t="shared" si="53"/>
        <v>1692.682511212942</v>
      </c>
      <c r="R99" s="87">
        <f t="shared" si="54"/>
        <v>1531.0657358160408</v>
      </c>
      <c r="S99" s="87">
        <f t="shared" si="55"/>
        <v>1600.5598805377431</v>
      </c>
      <c r="T99" s="87">
        <f t="shared" si="56"/>
        <v>1715.4080986567681</v>
      </c>
      <c r="U99" s="87">
        <f t="shared" si="57"/>
        <v>1717.6026505953482</v>
      </c>
      <c r="V99" s="87">
        <f t="shared" si="58"/>
        <v>1718.334167908208</v>
      </c>
      <c r="W99" s="87">
        <f t="shared" si="59"/>
        <v>1719.065685221068</v>
      </c>
      <c r="X99" s="87">
        <f t="shared" si="60"/>
        <v>1719.065685221068</v>
      </c>
      <c r="Y99" s="87">
        <f t="shared" si="61"/>
        <v>1719.065685221068</v>
      </c>
      <c r="Z99" s="87">
        <f t="shared" si="62"/>
        <v>1719.065685221068</v>
      </c>
      <c r="AA99" s="88">
        <v>400</v>
      </c>
      <c r="AB99" s="89">
        <f>AA99*GDPdeflator!$C$25/$AI$18*10^3</f>
        <v>38.459799414932235</v>
      </c>
      <c r="AC99" s="90" t="e">
        <f>INDEX(Efficiencies!$D$8:$M$89,MATCH(C99,Efficiencies!$C$8:$C$89),MATCH(D99,Efficiencies!$D$7:$M$7))</f>
        <v>#REF!</v>
      </c>
      <c r="AD99" s="90" t="e">
        <f t="shared" si="38"/>
        <v>#REF!</v>
      </c>
      <c r="AE99" s="90" t="e">
        <f>INDEX(Efficiencies!$P$8:$Y$89,MATCH(C99,Efficiencies!$C$8:$C$89),MATCH(D99,Efficiencies!$P$7:$Y$7))</f>
        <v>#REF!</v>
      </c>
      <c r="AF99" s="90" t="e">
        <f t="shared" si="50"/>
        <v>#REF!</v>
      </c>
      <c r="AG99" s="90">
        <v>0</v>
      </c>
    </row>
    <row r="100" spans="1:33" x14ac:dyDescent="0.2">
      <c r="A100" s="92" t="s">
        <v>975</v>
      </c>
      <c r="B100" s="248" t="s">
        <v>976</v>
      </c>
      <c r="C100" s="40" t="s">
        <v>966</v>
      </c>
      <c r="D100" s="40">
        <v>2030</v>
      </c>
      <c r="E100" s="86">
        <f>GDPdeflator!$C$32*INDEX(Costs!$E$7:$O$89,MATCH($C100,Costs!$C$7:$C$89,0),MATCH(E$7,Costs!$E$6:$O$6,0))</f>
        <v>0</v>
      </c>
      <c r="F100" s="86">
        <f>GDPdeflator!$C$36*INDEX(Costs!$E$7:$O$89,MATCH($C100,Costs!$C$7:$C$89,0),MATCH(F$7,Costs!$E$6:$O$6,0))</f>
        <v>20.272096585277954</v>
      </c>
      <c r="G100" s="86">
        <f>GDPdeflator!$C$38*INDEX(Costs!$E$7:$O$89,MATCH($C100,Costs!$C$7:$C$89,0),MATCH(G$7,Costs!$E$6:$O$6,0))</f>
        <v>18.336523399554295</v>
      </c>
      <c r="H100" s="86">
        <f>GDPdeflator!$C$38*INDEX(Costs!$E$7:$O$89,MATCH($C100,Costs!$C$7:$C$89,0),MATCH(H$7,Costs!$E$6:$O$6,0))</f>
        <v>19.168807070341515</v>
      </c>
      <c r="I100" s="86">
        <f>GDPdeflator!$C$38*INDEX(Costs!$E$7:$O$89,MATCH($C100,Costs!$C$7:$C$89,0),MATCH(I$7,Costs!$E$6:$O$6,0))</f>
        <v>20.544265347326718</v>
      </c>
      <c r="J100" s="86">
        <f>GDPdeflator!$C$38*INDEX(Costs!$E$7:$O$89,MATCH($C100,Costs!$C$7:$C$89,0),MATCH(J$7,Costs!$E$6:$O$6,0))</f>
        <v>20.570547989562105</v>
      </c>
      <c r="K100" s="86">
        <f>GDPdeflator!$C$38*INDEX(Costs!$E$7:$O$89,MATCH($C100,Costs!$C$7:$C$89,0),MATCH(K$7,Costs!$E$6:$O$6,0))</f>
        <v>20.57930887030723</v>
      </c>
      <c r="L100" s="86">
        <f>GDPdeflator!$C$38*INDEX(Costs!$E$7:$O$89,MATCH($C100,Costs!$C$7:$C$89,0),MATCH(L$7,Costs!$E$6:$O$6,0))</f>
        <v>20.588069751052359</v>
      </c>
      <c r="M100" s="86">
        <f>GDPdeflator!$C$38*INDEX(Costs!$E$7:$O$89,MATCH($C100,Costs!$C$7:$C$89,0),MATCH(M$7,Costs!$E$6:$O$6,0))</f>
        <v>20.588069751052359</v>
      </c>
      <c r="N100" s="86">
        <f>GDPdeflator!$C$38*INDEX(Costs!$E$7:$O$89,MATCH($C100,Costs!$C$7:$C$89,0),MATCH(N$7,Costs!$E$6:$O$6,0))</f>
        <v>20.588069751052359</v>
      </c>
      <c r="O100" s="86">
        <f>GDPdeflator!$C$38*INDEX(Costs!$E$7:$O$89,MATCH($C100,Costs!$C$7:$C$89,0),MATCH(O$7,Costs!$E$6:$O$6,0))</f>
        <v>20.588069751052359</v>
      </c>
      <c r="P100" s="87">
        <f t="shared" si="63"/>
        <v>0</v>
      </c>
      <c r="Q100" s="87">
        <f t="shared" si="53"/>
        <v>1692.682511212942</v>
      </c>
      <c r="R100" s="87">
        <f t="shared" si="54"/>
        <v>1531.0657358160408</v>
      </c>
      <c r="S100" s="87">
        <f t="shared" si="55"/>
        <v>1600.5598805377431</v>
      </c>
      <c r="T100" s="87">
        <f t="shared" si="56"/>
        <v>1715.4080986567681</v>
      </c>
      <c r="U100" s="87">
        <f t="shared" si="57"/>
        <v>1717.6026505953482</v>
      </c>
      <c r="V100" s="87">
        <f t="shared" si="58"/>
        <v>1718.334167908208</v>
      </c>
      <c r="W100" s="87">
        <f t="shared" si="59"/>
        <v>1719.065685221068</v>
      </c>
      <c r="X100" s="87">
        <f t="shared" si="60"/>
        <v>1719.065685221068</v>
      </c>
      <c r="Y100" s="87">
        <f t="shared" si="61"/>
        <v>1719.065685221068</v>
      </c>
      <c r="Z100" s="87">
        <f t="shared" si="62"/>
        <v>1719.065685221068</v>
      </c>
      <c r="AA100" s="88">
        <v>400</v>
      </c>
      <c r="AB100" s="89">
        <f>AA100*GDPdeflator!$C$25/$AI$18*10^3</f>
        <v>38.459799414932235</v>
      </c>
      <c r="AC100" s="90" t="e">
        <f>INDEX(Efficiencies!$D$8:$M$89,MATCH(C100,Efficiencies!$C$8:$C$89),MATCH(D100,Efficiencies!$D$7:$M$7))</f>
        <v>#REF!</v>
      </c>
      <c r="AD100" s="90" t="e">
        <f t="shared" si="38"/>
        <v>#REF!</v>
      </c>
      <c r="AE100" s="90" t="e">
        <f>INDEX(Efficiencies!$P$8:$Y$89,MATCH(C100,Efficiencies!$C$8:$C$89),MATCH(D100,Efficiencies!$P$7:$Y$7))</f>
        <v>#REF!</v>
      </c>
      <c r="AF100" s="90" t="e">
        <f t="shared" si="50"/>
        <v>#REF!</v>
      </c>
      <c r="AG100" s="90">
        <v>0</v>
      </c>
    </row>
    <row r="101" spans="1:33" x14ac:dyDescent="0.2">
      <c r="A101" s="92" t="s">
        <v>977</v>
      </c>
      <c r="B101" s="248" t="s">
        <v>978</v>
      </c>
      <c r="C101" s="40" t="s">
        <v>966</v>
      </c>
      <c r="D101" s="40">
        <v>2035</v>
      </c>
      <c r="E101" s="86">
        <f>GDPdeflator!$C$32*INDEX(Costs!$E$7:$O$89,MATCH($C101,Costs!$C$7:$C$89,0),MATCH(E$7,Costs!$E$6:$O$6,0))</f>
        <v>0</v>
      </c>
      <c r="F101" s="86">
        <f>GDPdeflator!$C$36*INDEX(Costs!$E$7:$O$89,MATCH($C101,Costs!$C$7:$C$89,0),MATCH(F$7,Costs!$E$6:$O$6,0))</f>
        <v>20.272096585277954</v>
      </c>
      <c r="G101" s="86">
        <f>GDPdeflator!$C$38*INDEX(Costs!$E$7:$O$89,MATCH($C101,Costs!$C$7:$C$89,0),MATCH(G$7,Costs!$E$6:$O$6,0))</f>
        <v>18.336523399554295</v>
      </c>
      <c r="H101" s="86">
        <f>GDPdeflator!$C$38*INDEX(Costs!$E$7:$O$89,MATCH($C101,Costs!$C$7:$C$89,0),MATCH(H$7,Costs!$E$6:$O$6,0))</f>
        <v>19.168807070341515</v>
      </c>
      <c r="I101" s="86">
        <f>GDPdeflator!$C$38*INDEX(Costs!$E$7:$O$89,MATCH($C101,Costs!$C$7:$C$89,0),MATCH(I$7,Costs!$E$6:$O$6,0))</f>
        <v>20.544265347326718</v>
      </c>
      <c r="J101" s="86">
        <f>GDPdeflator!$C$38*INDEX(Costs!$E$7:$O$89,MATCH($C101,Costs!$C$7:$C$89,0),MATCH(J$7,Costs!$E$6:$O$6,0))</f>
        <v>20.570547989562105</v>
      </c>
      <c r="K101" s="86">
        <f>GDPdeflator!$C$38*INDEX(Costs!$E$7:$O$89,MATCH($C101,Costs!$C$7:$C$89,0),MATCH(K$7,Costs!$E$6:$O$6,0))</f>
        <v>20.57930887030723</v>
      </c>
      <c r="L101" s="86">
        <f>GDPdeflator!$C$38*INDEX(Costs!$E$7:$O$89,MATCH($C101,Costs!$C$7:$C$89,0),MATCH(L$7,Costs!$E$6:$O$6,0))</f>
        <v>20.588069751052359</v>
      </c>
      <c r="M101" s="86">
        <f>GDPdeflator!$C$38*INDEX(Costs!$E$7:$O$89,MATCH($C101,Costs!$C$7:$C$89,0),MATCH(M$7,Costs!$E$6:$O$6,0))</f>
        <v>20.588069751052359</v>
      </c>
      <c r="N101" s="86">
        <f>GDPdeflator!$C$38*INDEX(Costs!$E$7:$O$89,MATCH($C101,Costs!$C$7:$C$89,0),MATCH(N$7,Costs!$E$6:$O$6,0))</f>
        <v>20.588069751052359</v>
      </c>
      <c r="O101" s="86">
        <f>GDPdeflator!$C$38*INDEX(Costs!$E$7:$O$89,MATCH($C101,Costs!$C$7:$C$89,0),MATCH(O$7,Costs!$E$6:$O$6,0))</f>
        <v>20.588069751052359</v>
      </c>
      <c r="P101" s="87">
        <f t="shared" si="63"/>
        <v>0</v>
      </c>
      <c r="Q101" s="87">
        <f t="shared" si="53"/>
        <v>1692.682511212942</v>
      </c>
      <c r="R101" s="87">
        <f t="shared" si="54"/>
        <v>1531.0657358160408</v>
      </c>
      <c r="S101" s="87">
        <f t="shared" si="55"/>
        <v>1600.5598805377431</v>
      </c>
      <c r="T101" s="87">
        <f t="shared" si="56"/>
        <v>1715.4080986567681</v>
      </c>
      <c r="U101" s="87">
        <f t="shared" si="57"/>
        <v>1717.6026505953482</v>
      </c>
      <c r="V101" s="87">
        <f t="shared" si="58"/>
        <v>1718.334167908208</v>
      </c>
      <c r="W101" s="87">
        <f t="shared" si="59"/>
        <v>1719.065685221068</v>
      </c>
      <c r="X101" s="87">
        <f t="shared" si="60"/>
        <v>1719.065685221068</v>
      </c>
      <c r="Y101" s="87">
        <f t="shared" si="61"/>
        <v>1719.065685221068</v>
      </c>
      <c r="Z101" s="87">
        <f t="shared" si="62"/>
        <v>1719.065685221068</v>
      </c>
      <c r="AA101" s="88">
        <v>400</v>
      </c>
      <c r="AB101" s="89">
        <f>AA101*GDPdeflator!$C$25/$AI$18*10^3</f>
        <v>38.459799414932235</v>
      </c>
      <c r="AC101" s="90" t="e">
        <f>INDEX(Efficiencies!$D$8:$M$89,MATCH(C101,Efficiencies!$C$8:$C$89),MATCH(D101,Efficiencies!$D$7:$M$7))</f>
        <v>#REF!</v>
      </c>
      <c r="AD101" s="90" t="e">
        <f t="shared" si="38"/>
        <v>#REF!</v>
      </c>
      <c r="AE101" s="90" t="e">
        <f>INDEX(Efficiencies!$P$8:$Y$89,MATCH(C101,Efficiencies!$C$8:$C$89),MATCH(D101,Efficiencies!$P$7:$Y$7))</f>
        <v>#REF!</v>
      </c>
      <c r="AF101" s="90" t="e">
        <f t="shared" si="50"/>
        <v>#REF!</v>
      </c>
      <c r="AG101" s="90">
        <v>0</v>
      </c>
    </row>
    <row r="102" spans="1:33" x14ac:dyDescent="0.2">
      <c r="A102" s="92" t="s">
        <v>979</v>
      </c>
      <c r="B102" s="248" t="s">
        <v>980</v>
      </c>
      <c r="C102" s="40" t="s">
        <v>966</v>
      </c>
      <c r="D102" s="40">
        <v>2040</v>
      </c>
      <c r="E102" s="86">
        <f>GDPdeflator!$C$32*INDEX(Costs!$E$7:$O$89,MATCH($C102,Costs!$C$7:$C$89,0),MATCH(E$7,Costs!$E$6:$O$6,0))</f>
        <v>0</v>
      </c>
      <c r="F102" s="86">
        <f>GDPdeflator!$C$36*INDEX(Costs!$E$7:$O$89,MATCH($C102,Costs!$C$7:$C$89,0),MATCH(F$7,Costs!$E$6:$O$6,0))</f>
        <v>20.272096585277954</v>
      </c>
      <c r="G102" s="86">
        <f>GDPdeflator!$C$38*INDEX(Costs!$E$7:$O$89,MATCH($C102,Costs!$C$7:$C$89,0),MATCH(G$7,Costs!$E$6:$O$6,0))</f>
        <v>18.336523399554295</v>
      </c>
      <c r="H102" s="86">
        <f>GDPdeflator!$C$38*INDEX(Costs!$E$7:$O$89,MATCH($C102,Costs!$C$7:$C$89,0),MATCH(H$7,Costs!$E$6:$O$6,0))</f>
        <v>19.168807070341515</v>
      </c>
      <c r="I102" s="86">
        <f>GDPdeflator!$C$38*INDEX(Costs!$E$7:$O$89,MATCH($C102,Costs!$C$7:$C$89,0),MATCH(I$7,Costs!$E$6:$O$6,0))</f>
        <v>20.544265347326718</v>
      </c>
      <c r="J102" s="86">
        <f>GDPdeflator!$C$38*INDEX(Costs!$E$7:$O$89,MATCH($C102,Costs!$C$7:$C$89,0),MATCH(J$7,Costs!$E$6:$O$6,0))</f>
        <v>20.570547989562105</v>
      </c>
      <c r="K102" s="86">
        <f>GDPdeflator!$C$38*INDEX(Costs!$E$7:$O$89,MATCH($C102,Costs!$C$7:$C$89,0),MATCH(K$7,Costs!$E$6:$O$6,0))</f>
        <v>20.57930887030723</v>
      </c>
      <c r="L102" s="86">
        <f>GDPdeflator!$C$38*INDEX(Costs!$E$7:$O$89,MATCH($C102,Costs!$C$7:$C$89,0),MATCH(L$7,Costs!$E$6:$O$6,0))</f>
        <v>20.588069751052359</v>
      </c>
      <c r="M102" s="86">
        <f>GDPdeflator!$C$38*INDEX(Costs!$E$7:$O$89,MATCH($C102,Costs!$C$7:$C$89,0),MATCH(M$7,Costs!$E$6:$O$6,0))</f>
        <v>20.588069751052359</v>
      </c>
      <c r="N102" s="86">
        <f>GDPdeflator!$C$38*INDEX(Costs!$E$7:$O$89,MATCH($C102,Costs!$C$7:$C$89,0),MATCH(N$7,Costs!$E$6:$O$6,0))</f>
        <v>20.588069751052359</v>
      </c>
      <c r="O102" s="86">
        <f>GDPdeflator!$C$38*INDEX(Costs!$E$7:$O$89,MATCH($C102,Costs!$C$7:$C$89,0),MATCH(O$7,Costs!$E$6:$O$6,0))</f>
        <v>20.588069751052359</v>
      </c>
      <c r="P102" s="87">
        <f t="shared" si="63"/>
        <v>0</v>
      </c>
      <c r="Q102" s="87">
        <f t="shared" si="53"/>
        <v>1692.682511212942</v>
      </c>
      <c r="R102" s="87">
        <f t="shared" si="54"/>
        <v>1531.0657358160408</v>
      </c>
      <c r="S102" s="87">
        <f t="shared" si="55"/>
        <v>1600.5598805377431</v>
      </c>
      <c r="T102" s="87">
        <f t="shared" si="56"/>
        <v>1715.4080986567681</v>
      </c>
      <c r="U102" s="87">
        <f t="shared" si="57"/>
        <v>1717.6026505953482</v>
      </c>
      <c r="V102" s="87">
        <f t="shared" si="58"/>
        <v>1718.334167908208</v>
      </c>
      <c r="W102" s="87">
        <f t="shared" si="59"/>
        <v>1719.065685221068</v>
      </c>
      <c r="X102" s="87">
        <f t="shared" si="60"/>
        <v>1719.065685221068</v>
      </c>
      <c r="Y102" s="87">
        <f t="shared" si="61"/>
        <v>1719.065685221068</v>
      </c>
      <c r="Z102" s="87">
        <f t="shared" si="62"/>
        <v>1719.065685221068</v>
      </c>
      <c r="AA102" s="88">
        <v>400</v>
      </c>
      <c r="AB102" s="89">
        <f>AA102*GDPdeflator!$C$25/$AI$18*10^3</f>
        <v>38.459799414932235</v>
      </c>
      <c r="AC102" s="90" t="e">
        <f>INDEX(Efficiencies!$D$8:$M$89,MATCH(C102,Efficiencies!$C$8:$C$89),MATCH(D102,Efficiencies!$D$7:$M$7))</f>
        <v>#REF!</v>
      </c>
      <c r="AD102" s="90" t="e">
        <f t="shared" si="38"/>
        <v>#REF!</v>
      </c>
      <c r="AE102" s="90" t="e">
        <f>INDEX(Efficiencies!$P$8:$Y$89,MATCH(C102,Efficiencies!$C$8:$C$89),MATCH(D102,Efficiencies!$P$7:$Y$7))</f>
        <v>#REF!</v>
      </c>
      <c r="AF102" s="90" t="e">
        <f t="shared" si="50"/>
        <v>#REF!</v>
      </c>
      <c r="AG102" s="90">
        <v>0</v>
      </c>
    </row>
    <row r="103" spans="1:33" x14ac:dyDescent="0.2">
      <c r="A103" s="92" t="s">
        <v>981</v>
      </c>
      <c r="B103" s="248" t="s">
        <v>982</v>
      </c>
      <c r="C103" s="40" t="s">
        <v>966</v>
      </c>
      <c r="D103" s="40">
        <v>2045</v>
      </c>
      <c r="E103" s="86">
        <f>GDPdeflator!$C$32*INDEX(Costs!$E$7:$O$89,MATCH($C103,Costs!$C$7:$C$89,0),MATCH(E$7,Costs!$E$6:$O$6,0))</f>
        <v>0</v>
      </c>
      <c r="F103" s="86">
        <f>GDPdeflator!$C$36*INDEX(Costs!$E$7:$O$89,MATCH($C103,Costs!$C$7:$C$89,0),MATCH(F$7,Costs!$E$6:$O$6,0))</f>
        <v>20.272096585277954</v>
      </c>
      <c r="G103" s="86">
        <f>GDPdeflator!$C$38*INDEX(Costs!$E$7:$O$89,MATCH($C103,Costs!$C$7:$C$89,0),MATCH(G$7,Costs!$E$6:$O$6,0))</f>
        <v>18.336523399554295</v>
      </c>
      <c r="H103" s="86">
        <f>GDPdeflator!$C$38*INDEX(Costs!$E$7:$O$89,MATCH($C103,Costs!$C$7:$C$89,0),MATCH(H$7,Costs!$E$6:$O$6,0))</f>
        <v>19.168807070341515</v>
      </c>
      <c r="I103" s="86">
        <f>GDPdeflator!$C$38*INDEX(Costs!$E$7:$O$89,MATCH($C103,Costs!$C$7:$C$89,0),MATCH(I$7,Costs!$E$6:$O$6,0))</f>
        <v>20.544265347326718</v>
      </c>
      <c r="J103" s="86">
        <f>GDPdeflator!$C$38*INDEX(Costs!$E$7:$O$89,MATCH($C103,Costs!$C$7:$C$89,0),MATCH(J$7,Costs!$E$6:$O$6,0))</f>
        <v>20.570547989562105</v>
      </c>
      <c r="K103" s="86">
        <f>GDPdeflator!$C$38*INDEX(Costs!$E$7:$O$89,MATCH($C103,Costs!$C$7:$C$89,0),MATCH(K$7,Costs!$E$6:$O$6,0))</f>
        <v>20.57930887030723</v>
      </c>
      <c r="L103" s="86">
        <f>GDPdeflator!$C$38*INDEX(Costs!$E$7:$O$89,MATCH($C103,Costs!$C$7:$C$89,0),MATCH(L$7,Costs!$E$6:$O$6,0))</f>
        <v>20.588069751052359</v>
      </c>
      <c r="M103" s="86">
        <f>GDPdeflator!$C$38*INDEX(Costs!$E$7:$O$89,MATCH($C103,Costs!$C$7:$C$89,0),MATCH(M$7,Costs!$E$6:$O$6,0))</f>
        <v>20.588069751052359</v>
      </c>
      <c r="N103" s="86">
        <f>GDPdeflator!$C$38*INDEX(Costs!$E$7:$O$89,MATCH($C103,Costs!$C$7:$C$89,0),MATCH(N$7,Costs!$E$6:$O$6,0))</f>
        <v>20.588069751052359</v>
      </c>
      <c r="O103" s="86">
        <f>GDPdeflator!$C$38*INDEX(Costs!$E$7:$O$89,MATCH($C103,Costs!$C$7:$C$89,0),MATCH(O$7,Costs!$E$6:$O$6,0))</f>
        <v>20.588069751052359</v>
      </c>
      <c r="P103" s="87">
        <f t="shared" si="63"/>
        <v>0</v>
      </c>
      <c r="Q103" s="87">
        <f t="shared" si="53"/>
        <v>1692.682511212942</v>
      </c>
      <c r="R103" s="87">
        <f t="shared" si="54"/>
        <v>1531.0657358160408</v>
      </c>
      <c r="S103" s="87">
        <f t="shared" si="55"/>
        <v>1600.5598805377431</v>
      </c>
      <c r="T103" s="87">
        <f t="shared" si="56"/>
        <v>1715.4080986567681</v>
      </c>
      <c r="U103" s="87">
        <f t="shared" si="57"/>
        <v>1717.6026505953482</v>
      </c>
      <c r="V103" s="87">
        <f t="shared" si="58"/>
        <v>1718.334167908208</v>
      </c>
      <c r="W103" s="87">
        <f t="shared" si="59"/>
        <v>1719.065685221068</v>
      </c>
      <c r="X103" s="87">
        <f t="shared" si="60"/>
        <v>1719.065685221068</v>
      </c>
      <c r="Y103" s="87">
        <f t="shared" si="61"/>
        <v>1719.065685221068</v>
      </c>
      <c r="Z103" s="87">
        <f t="shared" si="62"/>
        <v>1719.065685221068</v>
      </c>
      <c r="AA103" s="88">
        <v>400</v>
      </c>
      <c r="AB103" s="89">
        <f>AA103*GDPdeflator!$C$25/$AI$18*10^3</f>
        <v>38.459799414932235</v>
      </c>
      <c r="AC103" s="90" t="e">
        <f>INDEX(Efficiencies!$D$8:$M$89,MATCH(C103,Efficiencies!$C$8:$C$89),MATCH(D103,Efficiencies!$D$7:$M$7))</f>
        <v>#REF!</v>
      </c>
      <c r="AD103" s="90" t="e">
        <f t="shared" si="38"/>
        <v>#REF!</v>
      </c>
      <c r="AE103" s="90" t="e">
        <f>INDEX(Efficiencies!$P$8:$Y$89,MATCH(C103,Efficiencies!$C$8:$C$89),MATCH(D103,Efficiencies!$P$7:$Y$7))</f>
        <v>#REF!</v>
      </c>
      <c r="AF103" s="90" t="e">
        <f t="shared" si="50"/>
        <v>#REF!</v>
      </c>
      <c r="AG103" s="90">
        <v>0</v>
      </c>
    </row>
    <row r="104" spans="1:33" x14ac:dyDescent="0.2">
      <c r="A104" s="92" t="s">
        <v>983</v>
      </c>
      <c r="B104" s="248" t="s">
        <v>984</v>
      </c>
      <c r="C104" s="40" t="s">
        <v>966</v>
      </c>
      <c r="D104" s="40">
        <v>2050</v>
      </c>
      <c r="E104" s="86">
        <f>GDPdeflator!$C$32*INDEX(Costs!$E$7:$O$89,MATCH($C104,Costs!$C$7:$C$89,0),MATCH(E$7,Costs!$E$6:$O$6,0))</f>
        <v>0</v>
      </c>
      <c r="F104" s="86">
        <f>GDPdeflator!$C$36*INDEX(Costs!$E$7:$O$89,MATCH($C104,Costs!$C$7:$C$89,0),MATCH(F$7,Costs!$E$6:$O$6,0))</f>
        <v>20.272096585277954</v>
      </c>
      <c r="G104" s="86">
        <f>GDPdeflator!$C$38*INDEX(Costs!$E$7:$O$89,MATCH($C104,Costs!$C$7:$C$89,0),MATCH(G$7,Costs!$E$6:$O$6,0))</f>
        <v>18.336523399554295</v>
      </c>
      <c r="H104" s="86">
        <f>GDPdeflator!$C$38*INDEX(Costs!$E$7:$O$89,MATCH($C104,Costs!$C$7:$C$89,0),MATCH(H$7,Costs!$E$6:$O$6,0))</f>
        <v>19.168807070341515</v>
      </c>
      <c r="I104" s="86">
        <f>GDPdeflator!$C$38*INDEX(Costs!$E$7:$O$89,MATCH($C104,Costs!$C$7:$C$89,0),MATCH(I$7,Costs!$E$6:$O$6,0))</f>
        <v>20.544265347326718</v>
      </c>
      <c r="J104" s="86">
        <f>GDPdeflator!$C$38*INDEX(Costs!$E$7:$O$89,MATCH($C104,Costs!$C$7:$C$89,0),MATCH(J$7,Costs!$E$6:$O$6,0))</f>
        <v>20.570547989562105</v>
      </c>
      <c r="K104" s="86">
        <f>GDPdeflator!$C$38*INDEX(Costs!$E$7:$O$89,MATCH($C104,Costs!$C$7:$C$89,0),MATCH(K$7,Costs!$E$6:$O$6,0))</f>
        <v>20.57930887030723</v>
      </c>
      <c r="L104" s="86">
        <f>GDPdeflator!$C$38*INDEX(Costs!$E$7:$O$89,MATCH($C104,Costs!$C$7:$C$89,0),MATCH(L$7,Costs!$E$6:$O$6,0))</f>
        <v>20.588069751052359</v>
      </c>
      <c r="M104" s="86">
        <f>GDPdeflator!$C$38*INDEX(Costs!$E$7:$O$89,MATCH($C104,Costs!$C$7:$C$89,0),MATCH(M$7,Costs!$E$6:$O$6,0))</f>
        <v>20.588069751052359</v>
      </c>
      <c r="N104" s="86">
        <f>GDPdeflator!$C$38*INDEX(Costs!$E$7:$O$89,MATCH($C104,Costs!$C$7:$C$89,0),MATCH(N$7,Costs!$E$6:$O$6,0))</f>
        <v>20.588069751052359</v>
      </c>
      <c r="O104" s="86">
        <f>GDPdeflator!$C$38*INDEX(Costs!$E$7:$O$89,MATCH($C104,Costs!$C$7:$C$89,0),MATCH(O$7,Costs!$E$6:$O$6,0))</f>
        <v>20.588069751052359</v>
      </c>
      <c r="P104" s="87">
        <f t="shared" si="63"/>
        <v>0</v>
      </c>
      <c r="Q104" s="87">
        <f t="shared" si="53"/>
        <v>1692.682511212942</v>
      </c>
      <c r="R104" s="87">
        <f t="shared" si="54"/>
        <v>1531.0657358160408</v>
      </c>
      <c r="S104" s="87">
        <f t="shared" si="55"/>
        <v>1600.5598805377431</v>
      </c>
      <c r="T104" s="87">
        <f t="shared" si="56"/>
        <v>1715.4080986567681</v>
      </c>
      <c r="U104" s="87">
        <f t="shared" si="57"/>
        <v>1717.6026505953482</v>
      </c>
      <c r="V104" s="87">
        <f t="shared" si="58"/>
        <v>1718.334167908208</v>
      </c>
      <c r="W104" s="87">
        <f t="shared" si="59"/>
        <v>1719.065685221068</v>
      </c>
      <c r="X104" s="87">
        <f t="shared" si="60"/>
        <v>1719.065685221068</v>
      </c>
      <c r="Y104" s="87">
        <f t="shared" si="61"/>
        <v>1719.065685221068</v>
      </c>
      <c r="Z104" s="87">
        <f t="shared" si="62"/>
        <v>1719.065685221068</v>
      </c>
      <c r="AA104" s="88">
        <v>400</v>
      </c>
      <c r="AB104" s="89">
        <f>AA104*GDPdeflator!$C$25/$AI$18*10^3</f>
        <v>38.459799414932235</v>
      </c>
      <c r="AC104" s="90" t="e">
        <f>INDEX(Efficiencies!$D$8:$M$89,MATCH(C104,Efficiencies!$C$8:$C$89),MATCH(D104,Efficiencies!$D$7:$M$7))</f>
        <v>#REF!</v>
      </c>
      <c r="AD104" s="90" t="e">
        <f t="shared" si="38"/>
        <v>#REF!</v>
      </c>
      <c r="AE104" s="90" t="e">
        <f>INDEX(Efficiencies!$P$8:$Y$89,MATCH(C104,Efficiencies!$C$8:$C$89),MATCH(D104,Efficiencies!$P$7:$Y$7))</f>
        <v>#REF!</v>
      </c>
      <c r="AF104" s="90" t="e">
        <f t="shared" si="50"/>
        <v>#REF!</v>
      </c>
      <c r="AG104" s="90">
        <v>0</v>
      </c>
    </row>
    <row r="105" spans="1:33" x14ac:dyDescent="0.2">
      <c r="A105" s="92" t="s">
        <v>985</v>
      </c>
      <c r="B105" s="248" t="s">
        <v>986</v>
      </c>
      <c r="C105" s="40" t="s">
        <v>987</v>
      </c>
      <c r="D105" s="40">
        <v>2005</v>
      </c>
      <c r="E105" s="86">
        <f>GDPdeflator!$C$32*INDEX(Costs!$E$7:$O$89,MATCH($C105,Costs!$C$7:$C$89,0),MATCH(E$7,Costs!$E$6:$O$6,0))</f>
        <v>78.610868933449581</v>
      </c>
      <c r="F105" s="86">
        <f>GDPdeflator!$C$36*INDEX(Costs!$E$7:$O$89,MATCH($C105,Costs!$C$7:$C$89,0),MATCH(F$7,Costs!$E$6:$O$6,0))</f>
        <v>67.213262456077118</v>
      </c>
      <c r="G105" s="86">
        <f>GDPdeflator!$C$38*INDEX(Costs!$E$7:$O$89,MATCH($C105,Costs!$C$7:$C$89,0),MATCH(G$7,Costs!$E$6:$O$6,0))</f>
        <v>59.416293213462595</v>
      </c>
      <c r="H105" s="86">
        <f>GDPdeflator!$C$38*INDEX(Costs!$E$7:$O$89,MATCH($C105,Costs!$C$7:$C$89,0),MATCH(H$7,Costs!$E$6:$O$6,0))</f>
        <v>51.505217900611413</v>
      </c>
      <c r="I105" s="86">
        <f>GDPdeflator!$C$38*INDEX(Costs!$E$7:$O$89,MATCH($C105,Costs!$C$7:$C$89,0),MATCH(I$7,Costs!$E$6:$O$6,0))</f>
        <v>45.539058113178797</v>
      </c>
      <c r="J105" s="86">
        <f>GDPdeflator!$C$38*INDEX(Costs!$E$7:$O$89,MATCH($C105,Costs!$C$7:$C$89,0),MATCH(J$7,Costs!$E$6:$O$6,0))</f>
        <v>41.395161520732941</v>
      </c>
      <c r="K105" s="86">
        <f>GDPdeflator!$C$38*INDEX(Costs!$E$7:$O$89,MATCH($C105,Costs!$C$7:$C$89,0),MATCH(K$7,Costs!$E$6:$O$6,0))</f>
        <v>38.144874764290201</v>
      </c>
      <c r="L105" s="86">
        <f>GDPdeflator!$C$38*INDEX(Costs!$E$7:$O$89,MATCH($C105,Costs!$C$7:$C$89,0),MATCH(L$7,Costs!$E$6:$O$6,0))</f>
        <v>35.586697586712631</v>
      </c>
      <c r="M105" s="86">
        <f>GDPdeflator!$C$38*INDEX(Costs!$E$7:$O$89,MATCH($C105,Costs!$C$7:$C$89,0),MATCH(M$7,Costs!$E$6:$O$6,0))</f>
        <v>35.586697586712631</v>
      </c>
      <c r="N105" s="86">
        <f>GDPdeflator!$C$38*INDEX(Costs!$E$7:$O$89,MATCH($C105,Costs!$C$7:$C$89,0),MATCH(N$7,Costs!$E$6:$O$6,0))</f>
        <v>35.586697586712631</v>
      </c>
      <c r="O105" s="86">
        <f>GDPdeflator!$C$38*INDEX(Costs!$E$7:$O$89,MATCH($C105,Costs!$C$7:$C$89,0),MATCH(O$7,Costs!$E$6:$O$6,0))</f>
        <v>35.586697586712631</v>
      </c>
      <c r="P105" s="87">
        <f>E105/$AI$18*10^6</f>
        <v>6563.8619308639418</v>
      </c>
      <c r="Q105" s="87">
        <f t="shared" si="53"/>
        <v>5612.1829038437982</v>
      </c>
      <c r="R105" s="87">
        <f t="shared" si="54"/>
        <v>4961.1504158167163</v>
      </c>
      <c r="S105" s="87">
        <f t="shared" si="55"/>
        <v>4300.5902823041097</v>
      </c>
      <c r="T105" s="87">
        <f t="shared" si="56"/>
        <v>3802.4269922464305</v>
      </c>
      <c r="U105" s="87">
        <f t="shared" si="57"/>
        <v>3456.4193032636367</v>
      </c>
      <c r="V105" s="87">
        <f t="shared" si="58"/>
        <v>3185.0263801925657</v>
      </c>
      <c r="W105" s="87">
        <f t="shared" si="59"/>
        <v>2971.4233248374371</v>
      </c>
      <c r="X105" s="87">
        <f t="shared" si="60"/>
        <v>2971.4233248374371</v>
      </c>
      <c r="Y105" s="87">
        <f t="shared" si="61"/>
        <v>2971.4233248374371</v>
      </c>
      <c r="Z105" s="87">
        <f t="shared" si="62"/>
        <v>2971.4233248374371</v>
      </c>
      <c r="AA105" s="88">
        <v>420</v>
      </c>
      <c r="AB105" s="89">
        <f>AA105*GDPdeflator!$C$25/$AI$18*10^3</f>
        <v>40.382789385678855</v>
      </c>
      <c r="AC105" s="90" t="e">
        <f>INDEX(Efficiencies!$D$8:$M$89,MATCH(C105,Efficiencies!$C$8:$C$89),MATCH(D105,Efficiencies!$D$7:$M$7))</f>
        <v>#REF!</v>
      </c>
      <c r="AD105" s="90" t="e">
        <f t="shared" si="38"/>
        <v>#REF!</v>
      </c>
      <c r="AE105" s="90" t="e">
        <f>INDEX(Efficiencies!$P$8:$Y$89,MATCH(C105,Efficiencies!$C$8:$C$89),MATCH(D105,Efficiencies!$P$7:$Y$7))</f>
        <v>#REF!</v>
      </c>
      <c r="AF105" s="90" t="e">
        <f t="shared" si="50"/>
        <v>#REF!</v>
      </c>
      <c r="AG105" s="90">
        <v>0</v>
      </c>
    </row>
    <row r="106" spans="1:33" x14ac:dyDescent="0.2">
      <c r="A106" s="92" t="s">
        <v>988</v>
      </c>
      <c r="B106" s="248" t="s">
        <v>989</v>
      </c>
      <c r="C106" s="40" t="s">
        <v>987</v>
      </c>
      <c r="D106" s="40">
        <v>2010</v>
      </c>
      <c r="E106" s="86">
        <f>GDPdeflator!$C$32*INDEX(Costs!$E$7:$O$89,MATCH($C106,Costs!$C$7:$C$89,0),MATCH(E$7,Costs!$E$6:$O$6,0))</f>
        <v>78.610868933449581</v>
      </c>
      <c r="F106" s="86">
        <f>GDPdeflator!$C$36*INDEX(Costs!$E$7:$O$89,MATCH($C106,Costs!$C$7:$C$89,0),MATCH(F$7,Costs!$E$6:$O$6,0))</f>
        <v>67.213262456077118</v>
      </c>
      <c r="G106" s="86">
        <f>GDPdeflator!$C$38*INDEX(Costs!$E$7:$O$89,MATCH($C106,Costs!$C$7:$C$89,0),MATCH(G$7,Costs!$E$6:$O$6,0))</f>
        <v>59.416293213462595</v>
      </c>
      <c r="H106" s="86">
        <f>GDPdeflator!$C$38*INDEX(Costs!$E$7:$O$89,MATCH($C106,Costs!$C$7:$C$89,0),MATCH(H$7,Costs!$E$6:$O$6,0))</f>
        <v>51.505217900611413</v>
      </c>
      <c r="I106" s="86">
        <f>GDPdeflator!$C$38*INDEX(Costs!$E$7:$O$89,MATCH($C106,Costs!$C$7:$C$89,0),MATCH(I$7,Costs!$E$6:$O$6,0))</f>
        <v>45.539058113178797</v>
      </c>
      <c r="J106" s="86">
        <f>GDPdeflator!$C$38*INDEX(Costs!$E$7:$O$89,MATCH($C106,Costs!$C$7:$C$89,0),MATCH(J$7,Costs!$E$6:$O$6,0))</f>
        <v>41.395161520732941</v>
      </c>
      <c r="K106" s="86">
        <f>GDPdeflator!$C$38*INDEX(Costs!$E$7:$O$89,MATCH($C106,Costs!$C$7:$C$89,0),MATCH(K$7,Costs!$E$6:$O$6,0))</f>
        <v>38.144874764290201</v>
      </c>
      <c r="L106" s="86">
        <f>GDPdeflator!$C$38*INDEX(Costs!$E$7:$O$89,MATCH($C106,Costs!$C$7:$C$89,0),MATCH(L$7,Costs!$E$6:$O$6,0))</f>
        <v>35.586697586712631</v>
      </c>
      <c r="M106" s="86">
        <f>GDPdeflator!$C$38*INDEX(Costs!$E$7:$O$89,MATCH($C106,Costs!$C$7:$C$89,0),MATCH(M$7,Costs!$E$6:$O$6,0))</f>
        <v>35.586697586712631</v>
      </c>
      <c r="N106" s="86">
        <f>GDPdeflator!$C$38*INDEX(Costs!$E$7:$O$89,MATCH($C106,Costs!$C$7:$C$89,0),MATCH(N$7,Costs!$E$6:$O$6,0))</f>
        <v>35.586697586712631</v>
      </c>
      <c r="O106" s="86">
        <f>GDPdeflator!$C$38*INDEX(Costs!$E$7:$O$89,MATCH($C106,Costs!$C$7:$C$89,0),MATCH(O$7,Costs!$E$6:$O$6,0))</f>
        <v>35.586697586712631</v>
      </c>
      <c r="P106" s="87">
        <f t="shared" ref="P106:P114" si="64">E106/$AI$18*10^6</f>
        <v>6563.8619308639418</v>
      </c>
      <c r="Q106" s="87">
        <f t="shared" ref="Q106:Q145" si="65">F106/$AI$18*10^6</f>
        <v>5612.1829038437982</v>
      </c>
      <c r="R106" s="87">
        <f t="shared" ref="R106:R145" si="66">G106/$AI$18*10^6</f>
        <v>4961.1504158167163</v>
      </c>
      <c r="S106" s="87">
        <f t="shared" ref="S106:S145" si="67">H106/$AI$18*10^6</f>
        <v>4300.5902823041097</v>
      </c>
      <c r="T106" s="87">
        <f t="shared" ref="T106:T145" si="68">I106/$AI$18*10^6</f>
        <v>3802.4269922464305</v>
      </c>
      <c r="U106" s="87">
        <f t="shared" ref="U106:U145" si="69">J106/$AI$18*10^6</f>
        <v>3456.4193032636367</v>
      </c>
      <c r="V106" s="87">
        <f t="shared" ref="V106:V145" si="70">K106/$AI$18*10^6</f>
        <v>3185.0263801925657</v>
      </c>
      <c r="W106" s="87">
        <f t="shared" ref="W106:W145" si="71">L106/$AI$18*10^6</f>
        <v>2971.4233248374371</v>
      </c>
      <c r="X106" s="87">
        <f t="shared" ref="X106:X145" si="72">M106/$AI$18*10^6</f>
        <v>2971.4233248374371</v>
      </c>
      <c r="Y106" s="87">
        <f t="shared" ref="Y106:Y145" si="73">N106/$AI$18*10^6</f>
        <v>2971.4233248374371</v>
      </c>
      <c r="Z106" s="87">
        <f t="shared" ref="Z106:Z145" si="74">O106/$AI$18*10^6</f>
        <v>2971.4233248374371</v>
      </c>
      <c r="AA106" s="88">
        <v>420</v>
      </c>
      <c r="AB106" s="89">
        <f>AA106*GDPdeflator!$C$25/$AI$18*10^3</f>
        <v>40.382789385678855</v>
      </c>
      <c r="AC106" s="90" t="e">
        <f>INDEX(Efficiencies!$D$8:$M$89,MATCH(C106,Efficiencies!$C$8:$C$89),MATCH(D106,Efficiencies!$D$7:$M$7))</f>
        <v>#REF!</v>
      </c>
      <c r="AD106" s="90" t="e">
        <f t="shared" si="38"/>
        <v>#REF!</v>
      </c>
      <c r="AE106" s="90" t="e">
        <f>INDEX(Efficiencies!$P$8:$Y$89,MATCH(C106,Efficiencies!$C$8:$C$89),MATCH(D106,Efficiencies!$P$7:$Y$7))</f>
        <v>#REF!</v>
      </c>
      <c r="AF106" s="90" t="e">
        <f t="shared" si="50"/>
        <v>#REF!</v>
      </c>
      <c r="AG106" s="90">
        <v>0</v>
      </c>
    </row>
    <row r="107" spans="1:33" x14ac:dyDescent="0.2">
      <c r="A107" s="92" t="s">
        <v>990</v>
      </c>
      <c r="B107" s="248" t="s">
        <v>991</v>
      </c>
      <c r="C107" s="40" t="s">
        <v>987</v>
      </c>
      <c r="D107" s="40">
        <v>2015</v>
      </c>
      <c r="E107" s="86">
        <f>GDPdeflator!$C$32*INDEX(Costs!$E$7:$O$89,MATCH($C107,Costs!$C$7:$C$89,0),MATCH(E$7,Costs!$E$6:$O$6,0))</f>
        <v>78.610868933449581</v>
      </c>
      <c r="F107" s="86">
        <f>GDPdeflator!$C$36*INDEX(Costs!$E$7:$O$89,MATCH($C107,Costs!$C$7:$C$89,0),MATCH(F$7,Costs!$E$6:$O$6,0))</f>
        <v>67.213262456077118</v>
      </c>
      <c r="G107" s="86">
        <f>GDPdeflator!$C$38*INDEX(Costs!$E$7:$O$89,MATCH($C107,Costs!$C$7:$C$89,0),MATCH(G$7,Costs!$E$6:$O$6,0))</f>
        <v>59.416293213462595</v>
      </c>
      <c r="H107" s="86">
        <f>GDPdeflator!$C$38*INDEX(Costs!$E$7:$O$89,MATCH($C107,Costs!$C$7:$C$89,0),MATCH(H$7,Costs!$E$6:$O$6,0))</f>
        <v>51.505217900611413</v>
      </c>
      <c r="I107" s="86">
        <f>GDPdeflator!$C$38*INDEX(Costs!$E$7:$O$89,MATCH($C107,Costs!$C$7:$C$89,0),MATCH(I$7,Costs!$E$6:$O$6,0))</f>
        <v>45.539058113178797</v>
      </c>
      <c r="J107" s="86">
        <f>GDPdeflator!$C$38*INDEX(Costs!$E$7:$O$89,MATCH($C107,Costs!$C$7:$C$89,0),MATCH(J$7,Costs!$E$6:$O$6,0))</f>
        <v>41.395161520732941</v>
      </c>
      <c r="K107" s="86">
        <f>GDPdeflator!$C$38*INDEX(Costs!$E$7:$O$89,MATCH($C107,Costs!$C$7:$C$89,0),MATCH(K$7,Costs!$E$6:$O$6,0))</f>
        <v>38.144874764290201</v>
      </c>
      <c r="L107" s="86">
        <f>GDPdeflator!$C$38*INDEX(Costs!$E$7:$O$89,MATCH($C107,Costs!$C$7:$C$89,0),MATCH(L$7,Costs!$E$6:$O$6,0))</f>
        <v>35.586697586712631</v>
      </c>
      <c r="M107" s="86">
        <f>GDPdeflator!$C$38*INDEX(Costs!$E$7:$O$89,MATCH($C107,Costs!$C$7:$C$89,0),MATCH(M$7,Costs!$E$6:$O$6,0))</f>
        <v>35.586697586712631</v>
      </c>
      <c r="N107" s="86">
        <f>GDPdeflator!$C$38*INDEX(Costs!$E$7:$O$89,MATCH($C107,Costs!$C$7:$C$89,0),MATCH(N$7,Costs!$E$6:$O$6,0))</f>
        <v>35.586697586712631</v>
      </c>
      <c r="O107" s="86">
        <f>GDPdeflator!$C$38*INDEX(Costs!$E$7:$O$89,MATCH($C107,Costs!$C$7:$C$89,0),MATCH(O$7,Costs!$E$6:$O$6,0))</f>
        <v>35.586697586712631</v>
      </c>
      <c r="P107" s="87">
        <f t="shared" si="64"/>
        <v>6563.8619308639418</v>
      </c>
      <c r="Q107" s="87">
        <f t="shared" si="65"/>
        <v>5612.1829038437982</v>
      </c>
      <c r="R107" s="87">
        <f t="shared" si="66"/>
        <v>4961.1504158167163</v>
      </c>
      <c r="S107" s="87">
        <f t="shared" si="67"/>
        <v>4300.5902823041097</v>
      </c>
      <c r="T107" s="87">
        <f t="shared" si="68"/>
        <v>3802.4269922464305</v>
      </c>
      <c r="U107" s="87">
        <f t="shared" si="69"/>
        <v>3456.4193032636367</v>
      </c>
      <c r="V107" s="87">
        <f t="shared" si="70"/>
        <v>3185.0263801925657</v>
      </c>
      <c r="W107" s="87">
        <f t="shared" si="71"/>
        <v>2971.4233248374371</v>
      </c>
      <c r="X107" s="87">
        <f t="shared" si="72"/>
        <v>2971.4233248374371</v>
      </c>
      <c r="Y107" s="87">
        <f t="shared" si="73"/>
        <v>2971.4233248374371</v>
      </c>
      <c r="Z107" s="87">
        <f t="shared" si="74"/>
        <v>2971.4233248374371</v>
      </c>
      <c r="AA107" s="88">
        <v>420</v>
      </c>
      <c r="AB107" s="89">
        <f>AA107*GDPdeflator!$C$25/$AI$18*10^3</f>
        <v>40.382789385678855</v>
      </c>
      <c r="AC107" s="90" t="e">
        <f>INDEX(Efficiencies!$D$8:$M$89,MATCH(C107,Efficiencies!$C$8:$C$89),MATCH(D107,Efficiencies!$D$7:$M$7))</f>
        <v>#REF!</v>
      </c>
      <c r="AD107" s="90" t="e">
        <f t="shared" si="38"/>
        <v>#REF!</v>
      </c>
      <c r="AE107" s="90" t="e">
        <f>INDEX(Efficiencies!$P$8:$Y$89,MATCH(C107,Efficiencies!$C$8:$C$89),MATCH(D107,Efficiencies!$P$7:$Y$7))</f>
        <v>#REF!</v>
      </c>
      <c r="AF107" s="90" t="e">
        <f t="shared" si="50"/>
        <v>#REF!</v>
      </c>
      <c r="AG107" s="90">
        <v>0</v>
      </c>
    </row>
    <row r="108" spans="1:33" x14ac:dyDescent="0.2">
      <c r="A108" s="92" t="s">
        <v>992</v>
      </c>
      <c r="B108" s="248" t="s">
        <v>993</v>
      </c>
      <c r="C108" s="40" t="s">
        <v>987</v>
      </c>
      <c r="D108" s="40">
        <v>2020</v>
      </c>
      <c r="E108" s="86">
        <f>GDPdeflator!$C$32*INDEX(Costs!$E$7:$O$89,MATCH($C108,Costs!$C$7:$C$89,0),MATCH(E$7,Costs!$E$6:$O$6,0))</f>
        <v>78.610868933449581</v>
      </c>
      <c r="F108" s="86">
        <f>GDPdeflator!$C$36*INDEX(Costs!$E$7:$O$89,MATCH($C108,Costs!$C$7:$C$89,0),MATCH(F$7,Costs!$E$6:$O$6,0))</f>
        <v>67.213262456077118</v>
      </c>
      <c r="G108" s="86">
        <f>GDPdeflator!$C$38*INDEX(Costs!$E$7:$O$89,MATCH($C108,Costs!$C$7:$C$89,0),MATCH(G$7,Costs!$E$6:$O$6,0))</f>
        <v>59.416293213462595</v>
      </c>
      <c r="H108" s="86">
        <f>GDPdeflator!$C$38*INDEX(Costs!$E$7:$O$89,MATCH($C108,Costs!$C$7:$C$89,0),MATCH(H$7,Costs!$E$6:$O$6,0))</f>
        <v>51.505217900611413</v>
      </c>
      <c r="I108" s="86">
        <f>GDPdeflator!$C$38*INDEX(Costs!$E$7:$O$89,MATCH($C108,Costs!$C$7:$C$89,0),MATCH(I$7,Costs!$E$6:$O$6,0))</f>
        <v>45.539058113178797</v>
      </c>
      <c r="J108" s="86">
        <f>GDPdeflator!$C$38*INDEX(Costs!$E$7:$O$89,MATCH($C108,Costs!$C$7:$C$89,0),MATCH(J$7,Costs!$E$6:$O$6,0))</f>
        <v>41.395161520732941</v>
      </c>
      <c r="K108" s="86">
        <f>GDPdeflator!$C$38*INDEX(Costs!$E$7:$O$89,MATCH($C108,Costs!$C$7:$C$89,0),MATCH(K$7,Costs!$E$6:$O$6,0))</f>
        <v>38.144874764290201</v>
      </c>
      <c r="L108" s="86">
        <f>GDPdeflator!$C$38*INDEX(Costs!$E$7:$O$89,MATCH($C108,Costs!$C$7:$C$89,0),MATCH(L$7,Costs!$E$6:$O$6,0))</f>
        <v>35.586697586712631</v>
      </c>
      <c r="M108" s="86">
        <f>GDPdeflator!$C$38*INDEX(Costs!$E$7:$O$89,MATCH($C108,Costs!$C$7:$C$89,0),MATCH(M$7,Costs!$E$6:$O$6,0))</f>
        <v>35.586697586712631</v>
      </c>
      <c r="N108" s="86">
        <f>GDPdeflator!$C$38*INDEX(Costs!$E$7:$O$89,MATCH($C108,Costs!$C$7:$C$89,0),MATCH(N$7,Costs!$E$6:$O$6,0))</f>
        <v>35.586697586712631</v>
      </c>
      <c r="O108" s="86">
        <f>GDPdeflator!$C$38*INDEX(Costs!$E$7:$O$89,MATCH($C108,Costs!$C$7:$C$89,0),MATCH(O$7,Costs!$E$6:$O$6,0))</f>
        <v>35.586697586712631</v>
      </c>
      <c r="P108" s="87">
        <f t="shared" si="64"/>
        <v>6563.8619308639418</v>
      </c>
      <c r="Q108" s="87">
        <f t="shared" si="65"/>
        <v>5612.1829038437982</v>
      </c>
      <c r="R108" s="87">
        <f t="shared" si="66"/>
        <v>4961.1504158167163</v>
      </c>
      <c r="S108" s="87">
        <f t="shared" si="67"/>
        <v>4300.5902823041097</v>
      </c>
      <c r="T108" s="87">
        <f t="shared" si="68"/>
        <v>3802.4269922464305</v>
      </c>
      <c r="U108" s="87">
        <f t="shared" si="69"/>
        <v>3456.4193032636367</v>
      </c>
      <c r="V108" s="87">
        <f t="shared" si="70"/>
        <v>3185.0263801925657</v>
      </c>
      <c r="W108" s="87">
        <f t="shared" si="71"/>
        <v>2971.4233248374371</v>
      </c>
      <c r="X108" s="87">
        <f t="shared" si="72"/>
        <v>2971.4233248374371</v>
      </c>
      <c r="Y108" s="87">
        <f t="shared" si="73"/>
        <v>2971.4233248374371</v>
      </c>
      <c r="Z108" s="87">
        <f t="shared" si="74"/>
        <v>2971.4233248374371</v>
      </c>
      <c r="AA108" s="88">
        <v>420</v>
      </c>
      <c r="AB108" s="89">
        <f>AA108*GDPdeflator!$C$25/$AI$18*10^3</f>
        <v>40.382789385678855</v>
      </c>
      <c r="AC108" s="90" t="e">
        <f>INDEX(Efficiencies!$D$8:$M$89,MATCH(C108,Efficiencies!$C$8:$C$89),MATCH(D108,Efficiencies!$D$7:$M$7))</f>
        <v>#REF!</v>
      </c>
      <c r="AD108" s="90" t="e">
        <f t="shared" si="38"/>
        <v>#REF!</v>
      </c>
      <c r="AE108" s="90" t="e">
        <f>INDEX(Efficiencies!$P$8:$Y$89,MATCH(C108,Efficiencies!$C$8:$C$89),MATCH(D108,Efficiencies!$P$7:$Y$7))</f>
        <v>#REF!</v>
      </c>
      <c r="AF108" s="90" t="e">
        <f t="shared" si="50"/>
        <v>#REF!</v>
      </c>
      <c r="AG108" s="90">
        <v>0</v>
      </c>
    </row>
    <row r="109" spans="1:33" x14ac:dyDescent="0.2">
      <c r="A109" s="92" t="s">
        <v>994</v>
      </c>
      <c r="B109" s="248" t="s">
        <v>995</v>
      </c>
      <c r="C109" s="40" t="s">
        <v>987</v>
      </c>
      <c r="D109" s="40">
        <v>2025</v>
      </c>
      <c r="E109" s="86">
        <f>GDPdeflator!$C$32*INDEX(Costs!$E$7:$O$89,MATCH($C109,Costs!$C$7:$C$89,0),MATCH(E$7,Costs!$E$6:$O$6,0))</f>
        <v>78.610868933449581</v>
      </c>
      <c r="F109" s="86">
        <f>GDPdeflator!$C$36*INDEX(Costs!$E$7:$O$89,MATCH($C109,Costs!$C$7:$C$89,0),MATCH(F$7,Costs!$E$6:$O$6,0))</f>
        <v>67.213262456077118</v>
      </c>
      <c r="G109" s="86">
        <f>GDPdeflator!$C$38*INDEX(Costs!$E$7:$O$89,MATCH($C109,Costs!$C$7:$C$89,0),MATCH(G$7,Costs!$E$6:$O$6,0))</f>
        <v>59.416293213462595</v>
      </c>
      <c r="H109" s="86">
        <f>GDPdeflator!$C$38*INDEX(Costs!$E$7:$O$89,MATCH($C109,Costs!$C$7:$C$89,0),MATCH(H$7,Costs!$E$6:$O$6,0))</f>
        <v>51.505217900611413</v>
      </c>
      <c r="I109" s="86">
        <f>GDPdeflator!$C$38*INDEX(Costs!$E$7:$O$89,MATCH($C109,Costs!$C$7:$C$89,0),MATCH(I$7,Costs!$E$6:$O$6,0))</f>
        <v>45.539058113178797</v>
      </c>
      <c r="J109" s="86">
        <f>GDPdeflator!$C$38*INDEX(Costs!$E$7:$O$89,MATCH($C109,Costs!$C$7:$C$89,0),MATCH(J$7,Costs!$E$6:$O$6,0))</f>
        <v>41.395161520732941</v>
      </c>
      <c r="K109" s="86">
        <f>GDPdeflator!$C$38*INDEX(Costs!$E$7:$O$89,MATCH($C109,Costs!$C$7:$C$89,0),MATCH(K$7,Costs!$E$6:$O$6,0))</f>
        <v>38.144874764290201</v>
      </c>
      <c r="L109" s="86">
        <f>GDPdeflator!$C$38*INDEX(Costs!$E$7:$O$89,MATCH($C109,Costs!$C$7:$C$89,0),MATCH(L$7,Costs!$E$6:$O$6,0))</f>
        <v>35.586697586712631</v>
      </c>
      <c r="M109" s="86">
        <f>GDPdeflator!$C$38*INDEX(Costs!$E$7:$O$89,MATCH($C109,Costs!$C$7:$C$89,0),MATCH(M$7,Costs!$E$6:$O$6,0))</f>
        <v>35.586697586712631</v>
      </c>
      <c r="N109" s="86">
        <f>GDPdeflator!$C$38*INDEX(Costs!$E$7:$O$89,MATCH($C109,Costs!$C$7:$C$89,0),MATCH(N$7,Costs!$E$6:$O$6,0))</f>
        <v>35.586697586712631</v>
      </c>
      <c r="O109" s="86">
        <f>GDPdeflator!$C$38*INDEX(Costs!$E$7:$O$89,MATCH($C109,Costs!$C$7:$C$89,0),MATCH(O$7,Costs!$E$6:$O$6,0))</f>
        <v>35.586697586712631</v>
      </c>
      <c r="P109" s="87">
        <f t="shared" si="64"/>
        <v>6563.8619308639418</v>
      </c>
      <c r="Q109" s="87">
        <f t="shared" si="65"/>
        <v>5612.1829038437982</v>
      </c>
      <c r="R109" s="87">
        <f t="shared" si="66"/>
        <v>4961.1504158167163</v>
      </c>
      <c r="S109" s="87">
        <f t="shared" si="67"/>
        <v>4300.5902823041097</v>
      </c>
      <c r="T109" s="87">
        <f t="shared" si="68"/>
        <v>3802.4269922464305</v>
      </c>
      <c r="U109" s="87">
        <f t="shared" si="69"/>
        <v>3456.4193032636367</v>
      </c>
      <c r="V109" s="87">
        <f t="shared" si="70"/>
        <v>3185.0263801925657</v>
      </c>
      <c r="W109" s="87">
        <f t="shared" si="71"/>
        <v>2971.4233248374371</v>
      </c>
      <c r="X109" s="87">
        <f t="shared" si="72"/>
        <v>2971.4233248374371</v>
      </c>
      <c r="Y109" s="87">
        <f t="shared" si="73"/>
        <v>2971.4233248374371</v>
      </c>
      <c r="Z109" s="87">
        <f t="shared" si="74"/>
        <v>2971.4233248374371</v>
      </c>
      <c r="AA109" s="88">
        <v>420</v>
      </c>
      <c r="AB109" s="89">
        <f>AA109*GDPdeflator!$C$25/$AI$18*10^3</f>
        <v>40.382789385678855</v>
      </c>
      <c r="AC109" s="90" t="e">
        <f>INDEX(Efficiencies!$D$8:$M$89,MATCH(C109,Efficiencies!$C$8:$C$89),MATCH(D109,Efficiencies!$D$7:$M$7))</f>
        <v>#REF!</v>
      </c>
      <c r="AD109" s="90" t="e">
        <f t="shared" si="38"/>
        <v>#REF!</v>
      </c>
      <c r="AE109" s="90" t="e">
        <f>INDEX(Efficiencies!$P$8:$Y$89,MATCH(C109,Efficiencies!$C$8:$C$89),MATCH(D109,Efficiencies!$P$7:$Y$7))</f>
        <v>#REF!</v>
      </c>
      <c r="AF109" s="90" t="e">
        <f t="shared" si="50"/>
        <v>#REF!</v>
      </c>
      <c r="AG109" s="90">
        <v>0</v>
      </c>
    </row>
    <row r="110" spans="1:33" x14ac:dyDescent="0.2">
      <c r="A110" s="92" t="s">
        <v>996</v>
      </c>
      <c r="B110" s="248" t="s">
        <v>997</v>
      </c>
      <c r="C110" s="40" t="s">
        <v>987</v>
      </c>
      <c r="D110" s="40">
        <v>2030</v>
      </c>
      <c r="E110" s="86">
        <f>GDPdeflator!$C$32*INDEX(Costs!$E$7:$O$89,MATCH($C110,Costs!$C$7:$C$89,0),MATCH(E$7,Costs!$E$6:$O$6,0))</f>
        <v>78.610868933449581</v>
      </c>
      <c r="F110" s="86">
        <f>GDPdeflator!$C$36*INDEX(Costs!$E$7:$O$89,MATCH($C110,Costs!$C$7:$C$89,0),MATCH(F$7,Costs!$E$6:$O$6,0))</f>
        <v>67.213262456077118</v>
      </c>
      <c r="G110" s="86">
        <f>GDPdeflator!$C$38*INDEX(Costs!$E$7:$O$89,MATCH($C110,Costs!$C$7:$C$89,0),MATCH(G$7,Costs!$E$6:$O$6,0))</f>
        <v>59.416293213462595</v>
      </c>
      <c r="H110" s="86">
        <f>GDPdeflator!$C$38*INDEX(Costs!$E$7:$O$89,MATCH($C110,Costs!$C$7:$C$89,0),MATCH(H$7,Costs!$E$6:$O$6,0))</f>
        <v>51.505217900611413</v>
      </c>
      <c r="I110" s="86">
        <f>GDPdeflator!$C$38*INDEX(Costs!$E$7:$O$89,MATCH($C110,Costs!$C$7:$C$89,0),MATCH(I$7,Costs!$E$6:$O$6,0))</f>
        <v>45.539058113178797</v>
      </c>
      <c r="J110" s="86">
        <f>GDPdeflator!$C$38*INDEX(Costs!$E$7:$O$89,MATCH($C110,Costs!$C$7:$C$89,0),MATCH(J$7,Costs!$E$6:$O$6,0))</f>
        <v>41.395161520732941</v>
      </c>
      <c r="K110" s="86">
        <f>GDPdeflator!$C$38*INDEX(Costs!$E$7:$O$89,MATCH($C110,Costs!$C$7:$C$89,0),MATCH(K$7,Costs!$E$6:$O$6,0))</f>
        <v>38.144874764290201</v>
      </c>
      <c r="L110" s="86">
        <f>GDPdeflator!$C$38*INDEX(Costs!$E$7:$O$89,MATCH($C110,Costs!$C$7:$C$89,0),MATCH(L$7,Costs!$E$6:$O$6,0))</f>
        <v>35.586697586712631</v>
      </c>
      <c r="M110" s="86">
        <f>GDPdeflator!$C$38*INDEX(Costs!$E$7:$O$89,MATCH($C110,Costs!$C$7:$C$89,0),MATCH(M$7,Costs!$E$6:$O$6,0))</f>
        <v>35.586697586712631</v>
      </c>
      <c r="N110" s="86">
        <f>GDPdeflator!$C$38*INDEX(Costs!$E$7:$O$89,MATCH($C110,Costs!$C$7:$C$89,0),MATCH(N$7,Costs!$E$6:$O$6,0))</f>
        <v>35.586697586712631</v>
      </c>
      <c r="O110" s="86">
        <f>GDPdeflator!$C$38*INDEX(Costs!$E$7:$O$89,MATCH($C110,Costs!$C$7:$C$89,0),MATCH(O$7,Costs!$E$6:$O$6,0))</f>
        <v>35.586697586712631</v>
      </c>
      <c r="P110" s="87">
        <f t="shared" si="64"/>
        <v>6563.8619308639418</v>
      </c>
      <c r="Q110" s="87">
        <f t="shared" si="65"/>
        <v>5612.1829038437982</v>
      </c>
      <c r="R110" s="87">
        <f t="shared" si="66"/>
        <v>4961.1504158167163</v>
      </c>
      <c r="S110" s="87">
        <f t="shared" si="67"/>
        <v>4300.5902823041097</v>
      </c>
      <c r="T110" s="87">
        <f t="shared" si="68"/>
        <v>3802.4269922464305</v>
      </c>
      <c r="U110" s="87">
        <f t="shared" si="69"/>
        <v>3456.4193032636367</v>
      </c>
      <c r="V110" s="87">
        <f t="shared" si="70"/>
        <v>3185.0263801925657</v>
      </c>
      <c r="W110" s="87">
        <f t="shared" si="71"/>
        <v>2971.4233248374371</v>
      </c>
      <c r="X110" s="87">
        <f t="shared" si="72"/>
        <v>2971.4233248374371</v>
      </c>
      <c r="Y110" s="87">
        <f t="shared" si="73"/>
        <v>2971.4233248374371</v>
      </c>
      <c r="Z110" s="87">
        <f t="shared" si="74"/>
        <v>2971.4233248374371</v>
      </c>
      <c r="AA110" s="88">
        <v>420</v>
      </c>
      <c r="AB110" s="89">
        <f>AA110*GDPdeflator!$C$25/$AI$18*10^3</f>
        <v>40.382789385678855</v>
      </c>
      <c r="AC110" s="90" t="e">
        <f>INDEX(Efficiencies!$D$8:$M$89,MATCH(C110,Efficiencies!$C$8:$C$89),MATCH(D110,Efficiencies!$D$7:$M$7))</f>
        <v>#REF!</v>
      </c>
      <c r="AD110" s="90" t="e">
        <f t="shared" si="38"/>
        <v>#REF!</v>
      </c>
      <c r="AE110" s="90" t="e">
        <f>INDEX(Efficiencies!$P$8:$Y$89,MATCH(C110,Efficiencies!$C$8:$C$89),MATCH(D110,Efficiencies!$P$7:$Y$7))</f>
        <v>#REF!</v>
      </c>
      <c r="AF110" s="90" t="e">
        <f t="shared" si="50"/>
        <v>#REF!</v>
      </c>
      <c r="AG110" s="90">
        <v>0</v>
      </c>
    </row>
    <row r="111" spans="1:33" x14ac:dyDescent="0.2">
      <c r="A111" s="92" t="s">
        <v>998</v>
      </c>
      <c r="B111" s="248" t="s">
        <v>999</v>
      </c>
      <c r="C111" s="40" t="s">
        <v>987</v>
      </c>
      <c r="D111" s="40">
        <v>2035</v>
      </c>
      <c r="E111" s="86">
        <f>GDPdeflator!$C$32*INDEX(Costs!$E$7:$O$89,MATCH($C111,Costs!$C$7:$C$89,0),MATCH(E$7,Costs!$E$6:$O$6,0))</f>
        <v>78.610868933449581</v>
      </c>
      <c r="F111" s="86">
        <f>GDPdeflator!$C$36*INDEX(Costs!$E$7:$O$89,MATCH($C111,Costs!$C$7:$C$89,0),MATCH(F$7,Costs!$E$6:$O$6,0))</f>
        <v>67.213262456077118</v>
      </c>
      <c r="G111" s="86">
        <f>GDPdeflator!$C$38*INDEX(Costs!$E$7:$O$89,MATCH($C111,Costs!$C$7:$C$89,0),MATCH(G$7,Costs!$E$6:$O$6,0))</f>
        <v>59.416293213462595</v>
      </c>
      <c r="H111" s="86">
        <f>GDPdeflator!$C$38*INDEX(Costs!$E$7:$O$89,MATCH($C111,Costs!$C$7:$C$89,0),MATCH(H$7,Costs!$E$6:$O$6,0))</f>
        <v>51.505217900611413</v>
      </c>
      <c r="I111" s="86">
        <f>GDPdeflator!$C$38*INDEX(Costs!$E$7:$O$89,MATCH($C111,Costs!$C$7:$C$89,0),MATCH(I$7,Costs!$E$6:$O$6,0))</f>
        <v>45.539058113178797</v>
      </c>
      <c r="J111" s="86">
        <f>GDPdeflator!$C$38*INDEX(Costs!$E$7:$O$89,MATCH($C111,Costs!$C$7:$C$89,0),MATCH(J$7,Costs!$E$6:$O$6,0))</f>
        <v>41.395161520732941</v>
      </c>
      <c r="K111" s="86">
        <f>GDPdeflator!$C$38*INDEX(Costs!$E$7:$O$89,MATCH($C111,Costs!$C$7:$C$89,0),MATCH(K$7,Costs!$E$6:$O$6,0))</f>
        <v>38.144874764290201</v>
      </c>
      <c r="L111" s="86">
        <f>GDPdeflator!$C$38*INDEX(Costs!$E$7:$O$89,MATCH($C111,Costs!$C$7:$C$89,0),MATCH(L$7,Costs!$E$6:$O$6,0))</f>
        <v>35.586697586712631</v>
      </c>
      <c r="M111" s="86">
        <f>GDPdeflator!$C$38*INDEX(Costs!$E$7:$O$89,MATCH($C111,Costs!$C$7:$C$89,0),MATCH(M$7,Costs!$E$6:$O$6,0))</f>
        <v>35.586697586712631</v>
      </c>
      <c r="N111" s="86">
        <f>GDPdeflator!$C$38*INDEX(Costs!$E$7:$O$89,MATCH($C111,Costs!$C$7:$C$89,0),MATCH(N$7,Costs!$E$6:$O$6,0))</f>
        <v>35.586697586712631</v>
      </c>
      <c r="O111" s="86">
        <f>GDPdeflator!$C$38*INDEX(Costs!$E$7:$O$89,MATCH($C111,Costs!$C$7:$C$89,0),MATCH(O$7,Costs!$E$6:$O$6,0))</f>
        <v>35.586697586712631</v>
      </c>
      <c r="P111" s="87">
        <f t="shared" si="64"/>
        <v>6563.8619308639418</v>
      </c>
      <c r="Q111" s="87">
        <f t="shared" si="65"/>
        <v>5612.1829038437982</v>
      </c>
      <c r="R111" s="87">
        <f t="shared" si="66"/>
        <v>4961.1504158167163</v>
      </c>
      <c r="S111" s="87">
        <f t="shared" si="67"/>
        <v>4300.5902823041097</v>
      </c>
      <c r="T111" s="87">
        <f t="shared" si="68"/>
        <v>3802.4269922464305</v>
      </c>
      <c r="U111" s="87">
        <f t="shared" si="69"/>
        <v>3456.4193032636367</v>
      </c>
      <c r="V111" s="87">
        <f t="shared" si="70"/>
        <v>3185.0263801925657</v>
      </c>
      <c r="W111" s="87">
        <f t="shared" si="71"/>
        <v>2971.4233248374371</v>
      </c>
      <c r="X111" s="87">
        <f t="shared" si="72"/>
        <v>2971.4233248374371</v>
      </c>
      <c r="Y111" s="87">
        <f t="shared" si="73"/>
        <v>2971.4233248374371</v>
      </c>
      <c r="Z111" s="87">
        <f t="shared" si="74"/>
        <v>2971.4233248374371</v>
      </c>
      <c r="AA111" s="88">
        <v>420</v>
      </c>
      <c r="AB111" s="89">
        <f>AA111*GDPdeflator!$C$25/$AI$18*10^3</f>
        <v>40.382789385678855</v>
      </c>
      <c r="AC111" s="90" t="e">
        <f>INDEX(Efficiencies!$D$8:$M$89,MATCH(C111,Efficiencies!$C$8:$C$89),MATCH(D111,Efficiencies!$D$7:$M$7))</f>
        <v>#REF!</v>
      </c>
      <c r="AD111" s="90" t="e">
        <f t="shared" si="38"/>
        <v>#REF!</v>
      </c>
      <c r="AE111" s="90" t="e">
        <f>INDEX(Efficiencies!$P$8:$Y$89,MATCH(C111,Efficiencies!$C$8:$C$89),MATCH(D111,Efficiencies!$P$7:$Y$7))</f>
        <v>#REF!</v>
      </c>
      <c r="AF111" s="90" t="e">
        <f t="shared" si="50"/>
        <v>#REF!</v>
      </c>
      <c r="AG111" s="90">
        <v>0</v>
      </c>
    </row>
    <row r="112" spans="1:33" x14ac:dyDescent="0.2">
      <c r="A112" s="92" t="s">
        <v>1000</v>
      </c>
      <c r="B112" s="248" t="s">
        <v>1001</v>
      </c>
      <c r="C112" s="40" t="s">
        <v>987</v>
      </c>
      <c r="D112" s="40">
        <v>2040</v>
      </c>
      <c r="E112" s="86">
        <f>GDPdeflator!$C$32*INDEX(Costs!$E$7:$O$89,MATCH($C112,Costs!$C$7:$C$89,0),MATCH(E$7,Costs!$E$6:$O$6,0))</f>
        <v>78.610868933449581</v>
      </c>
      <c r="F112" s="86">
        <f>GDPdeflator!$C$36*INDEX(Costs!$E$7:$O$89,MATCH($C112,Costs!$C$7:$C$89,0),MATCH(F$7,Costs!$E$6:$O$6,0))</f>
        <v>67.213262456077118</v>
      </c>
      <c r="G112" s="86">
        <f>GDPdeflator!$C$38*INDEX(Costs!$E$7:$O$89,MATCH($C112,Costs!$C$7:$C$89,0),MATCH(G$7,Costs!$E$6:$O$6,0))</f>
        <v>59.416293213462595</v>
      </c>
      <c r="H112" s="86">
        <f>GDPdeflator!$C$38*INDEX(Costs!$E$7:$O$89,MATCH($C112,Costs!$C$7:$C$89,0),MATCH(H$7,Costs!$E$6:$O$6,0))</f>
        <v>51.505217900611413</v>
      </c>
      <c r="I112" s="86">
        <f>GDPdeflator!$C$38*INDEX(Costs!$E$7:$O$89,MATCH($C112,Costs!$C$7:$C$89,0),MATCH(I$7,Costs!$E$6:$O$6,0))</f>
        <v>45.539058113178797</v>
      </c>
      <c r="J112" s="86">
        <f>GDPdeflator!$C$38*INDEX(Costs!$E$7:$O$89,MATCH($C112,Costs!$C$7:$C$89,0),MATCH(J$7,Costs!$E$6:$O$6,0))</f>
        <v>41.395161520732941</v>
      </c>
      <c r="K112" s="86">
        <f>GDPdeflator!$C$38*INDEX(Costs!$E$7:$O$89,MATCH($C112,Costs!$C$7:$C$89,0),MATCH(K$7,Costs!$E$6:$O$6,0))</f>
        <v>38.144874764290201</v>
      </c>
      <c r="L112" s="86">
        <f>GDPdeflator!$C$38*INDEX(Costs!$E$7:$O$89,MATCH($C112,Costs!$C$7:$C$89,0),MATCH(L$7,Costs!$E$6:$O$6,0))</f>
        <v>35.586697586712631</v>
      </c>
      <c r="M112" s="86">
        <f>GDPdeflator!$C$38*INDEX(Costs!$E$7:$O$89,MATCH($C112,Costs!$C$7:$C$89,0),MATCH(M$7,Costs!$E$6:$O$6,0))</f>
        <v>35.586697586712631</v>
      </c>
      <c r="N112" s="86">
        <f>GDPdeflator!$C$38*INDEX(Costs!$E$7:$O$89,MATCH($C112,Costs!$C$7:$C$89,0),MATCH(N$7,Costs!$E$6:$O$6,0))</f>
        <v>35.586697586712631</v>
      </c>
      <c r="O112" s="86">
        <f>GDPdeflator!$C$38*INDEX(Costs!$E$7:$O$89,MATCH($C112,Costs!$C$7:$C$89,0),MATCH(O$7,Costs!$E$6:$O$6,0))</f>
        <v>35.586697586712631</v>
      </c>
      <c r="P112" s="87">
        <f t="shared" si="64"/>
        <v>6563.8619308639418</v>
      </c>
      <c r="Q112" s="87">
        <f t="shared" si="65"/>
        <v>5612.1829038437982</v>
      </c>
      <c r="R112" s="87">
        <f t="shared" si="66"/>
        <v>4961.1504158167163</v>
      </c>
      <c r="S112" s="87">
        <f t="shared" si="67"/>
        <v>4300.5902823041097</v>
      </c>
      <c r="T112" s="87">
        <f t="shared" si="68"/>
        <v>3802.4269922464305</v>
      </c>
      <c r="U112" s="87">
        <f t="shared" si="69"/>
        <v>3456.4193032636367</v>
      </c>
      <c r="V112" s="87">
        <f t="shared" si="70"/>
        <v>3185.0263801925657</v>
      </c>
      <c r="W112" s="87">
        <f t="shared" si="71"/>
        <v>2971.4233248374371</v>
      </c>
      <c r="X112" s="87">
        <f t="shared" si="72"/>
        <v>2971.4233248374371</v>
      </c>
      <c r="Y112" s="87">
        <f t="shared" si="73"/>
        <v>2971.4233248374371</v>
      </c>
      <c r="Z112" s="87">
        <f t="shared" si="74"/>
        <v>2971.4233248374371</v>
      </c>
      <c r="AA112" s="88">
        <v>420</v>
      </c>
      <c r="AB112" s="89">
        <f>AA112*GDPdeflator!$C$25/$AI$18*10^3</f>
        <v>40.382789385678855</v>
      </c>
      <c r="AC112" s="90" t="e">
        <f>INDEX(Efficiencies!$D$8:$M$89,MATCH(C112,Efficiencies!$C$8:$C$89),MATCH(D112,Efficiencies!$D$7:$M$7))</f>
        <v>#REF!</v>
      </c>
      <c r="AD112" s="90" t="e">
        <f t="shared" si="38"/>
        <v>#REF!</v>
      </c>
      <c r="AE112" s="90" t="e">
        <f>INDEX(Efficiencies!$P$8:$Y$89,MATCH(C112,Efficiencies!$C$8:$C$89),MATCH(D112,Efficiencies!$P$7:$Y$7))</f>
        <v>#REF!</v>
      </c>
      <c r="AF112" s="90" t="e">
        <f t="shared" si="50"/>
        <v>#REF!</v>
      </c>
      <c r="AG112" s="90">
        <v>0</v>
      </c>
    </row>
    <row r="113" spans="1:33" x14ac:dyDescent="0.2">
      <c r="A113" s="92" t="s">
        <v>1002</v>
      </c>
      <c r="B113" s="248" t="s">
        <v>1003</v>
      </c>
      <c r="C113" s="40" t="s">
        <v>987</v>
      </c>
      <c r="D113" s="40">
        <v>2045</v>
      </c>
      <c r="E113" s="86">
        <f>GDPdeflator!$C$32*INDEX(Costs!$E$7:$O$89,MATCH($C113,Costs!$C$7:$C$89,0),MATCH(E$7,Costs!$E$6:$O$6,0))</f>
        <v>78.610868933449581</v>
      </c>
      <c r="F113" s="86">
        <f>GDPdeflator!$C$36*INDEX(Costs!$E$7:$O$89,MATCH($C113,Costs!$C$7:$C$89,0),MATCH(F$7,Costs!$E$6:$O$6,0))</f>
        <v>67.213262456077118</v>
      </c>
      <c r="G113" s="86">
        <f>GDPdeflator!$C$38*INDEX(Costs!$E$7:$O$89,MATCH($C113,Costs!$C$7:$C$89,0),MATCH(G$7,Costs!$E$6:$O$6,0))</f>
        <v>59.416293213462595</v>
      </c>
      <c r="H113" s="86">
        <f>GDPdeflator!$C$38*INDEX(Costs!$E$7:$O$89,MATCH($C113,Costs!$C$7:$C$89,0),MATCH(H$7,Costs!$E$6:$O$6,0))</f>
        <v>51.505217900611413</v>
      </c>
      <c r="I113" s="86">
        <f>GDPdeflator!$C$38*INDEX(Costs!$E$7:$O$89,MATCH($C113,Costs!$C$7:$C$89,0),MATCH(I$7,Costs!$E$6:$O$6,0))</f>
        <v>45.539058113178797</v>
      </c>
      <c r="J113" s="86">
        <f>GDPdeflator!$C$38*INDEX(Costs!$E$7:$O$89,MATCH($C113,Costs!$C$7:$C$89,0),MATCH(J$7,Costs!$E$6:$O$6,0))</f>
        <v>41.395161520732941</v>
      </c>
      <c r="K113" s="86">
        <f>GDPdeflator!$C$38*INDEX(Costs!$E$7:$O$89,MATCH($C113,Costs!$C$7:$C$89,0),MATCH(K$7,Costs!$E$6:$O$6,0))</f>
        <v>38.144874764290201</v>
      </c>
      <c r="L113" s="86">
        <f>GDPdeflator!$C$38*INDEX(Costs!$E$7:$O$89,MATCH($C113,Costs!$C$7:$C$89,0),MATCH(L$7,Costs!$E$6:$O$6,0))</f>
        <v>35.586697586712631</v>
      </c>
      <c r="M113" s="86">
        <f>GDPdeflator!$C$38*INDEX(Costs!$E$7:$O$89,MATCH($C113,Costs!$C$7:$C$89,0),MATCH(M$7,Costs!$E$6:$O$6,0))</f>
        <v>35.586697586712631</v>
      </c>
      <c r="N113" s="86">
        <f>GDPdeflator!$C$38*INDEX(Costs!$E$7:$O$89,MATCH($C113,Costs!$C$7:$C$89,0),MATCH(N$7,Costs!$E$6:$O$6,0))</f>
        <v>35.586697586712631</v>
      </c>
      <c r="O113" s="86">
        <f>GDPdeflator!$C$38*INDEX(Costs!$E$7:$O$89,MATCH($C113,Costs!$C$7:$C$89,0),MATCH(O$7,Costs!$E$6:$O$6,0))</f>
        <v>35.586697586712631</v>
      </c>
      <c r="P113" s="87">
        <f t="shared" si="64"/>
        <v>6563.8619308639418</v>
      </c>
      <c r="Q113" s="87">
        <f t="shared" si="65"/>
        <v>5612.1829038437982</v>
      </c>
      <c r="R113" s="87">
        <f t="shared" si="66"/>
        <v>4961.1504158167163</v>
      </c>
      <c r="S113" s="87">
        <f t="shared" si="67"/>
        <v>4300.5902823041097</v>
      </c>
      <c r="T113" s="87">
        <f t="shared" si="68"/>
        <v>3802.4269922464305</v>
      </c>
      <c r="U113" s="87">
        <f t="shared" si="69"/>
        <v>3456.4193032636367</v>
      </c>
      <c r="V113" s="87">
        <f t="shared" si="70"/>
        <v>3185.0263801925657</v>
      </c>
      <c r="W113" s="87">
        <f t="shared" si="71"/>
        <v>2971.4233248374371</v>
      </c>
      <c r="X113" s="87">
        <f t="shared" si="72"/>
        <v>2971.4233248374371</v>
      </c>
      <c r="Y113" s="87">
        <f t="shared" si="73"/>
        <v>2971.4233248374371</v>
      </c>
      <c r="Z113" s="87">
        <f t="shared" si="74"/>
        <v>2971.4233248374371</v>
      </c>
      <c r="AA113" s="88">
        <v>420</v>
      </c>
      <c r="AB113" s="89">
        <f>AA113*GDPdeflator!$C$25/$AI$18*10^3</f>
        <v>40.382789385678855</v>
      </c>
      <c r="AC113" s="90" t="e">
        <f>INDEX(Efficiencies!$D$8:$M$89,MATCH(C113,Efficiencies!$C$8:$C$89),MATCH(D113,Efficiencies!$D$7:$M$7))</f>
        <v>#REF!</v>
      </c>
      <c r="AD113" s="90" t="e">
        <f t="shared" si="38"/>
        <v>#REF!</v>
      </c>
      <c r="AE113" s="90" t="e">
        <f>INDEX(Efficiencies!$P$8:$Y$89,MATCH(C113,Efficiencies!$C$8:$C$89),MATCH(D113,Efficiencies!$P$7:$Y$7))</f>
        <v>#REF!</v>
      </c>
      <c r="AF113" s="90" t="e">
        <f t="shared" si="50"/>
        <v>#REF!</v>
      </c>
      <c r="AG113" s="90">
        <v>0</v>
      </c>
    </row>
    <row r="114" spans="1:33" x14ac:dyDescent="0.2">
      <c r="A114" s="92" t="s">
        <v>1004</v>
      </c>
      <c r="B114" s="248" t="s">
        <v>1005</v>
      </c>
      <c r="C114" s="40" t="s">
        <v>987</v>
      </c>
      <c r="D114" s="40">
        <v>2050</v>
      </c>
      <c r="E114" s="86">
        <f>GDPdeflator!$C$32*INDEX(Costs!$E$7:$O$89,MATCH($C114,Costs!$C$7:$C$89,0),MATCH(E$7,Costs!$E$6:$O$6,0))</f>
        <v>78.610868933449581</v>
      </c>
      <c r="F114" s="86">
        <f>GDPdeflator!$C$36*INDEX(Costs!$E$7:$O$89,MATCH($C114,Costs!$C$7:$C$89,0),MATCH(F$7,Costs!$E$6:$O$6,0))</f>
        <v>67.213262456077118</v>
      </c>
      <c r="G114" s="86">
        <f>GDPdeflator!$C$38*INDEX(Costs!$E$7:$O$89,MATCH($C114,Costs!$C$7:$C$89,0),MATCH(G$7,Costs!$E$6:$O$6,0))</f>
        <v>59.416293213462595</v>
      </c>
      <c r="H114" s="86">
        <f>GDPdeflator!$C$38*INDEX(Costs!$E$7:$O$89,MATCH($C114,Costs!$C$7:$C$89,0),MATCH(H$7,Costs!$E$6:$O$6,0))</f>
        <v>51.505217900611413</v>
      </c>
      <c r="I114" s="86">
        <f>GDPdeflator!$C$38*INDEX(Costs!$E$7:$O$89,MATCH($C114,Costs!$C$7:$C$89,0),MATCH(I$7,Costs!$E$6:$O$6,0))</f>
        <v>45.539058113178797</v>
      </c>
      <c r="J114" s="86">
        <f>GDPdeflator!$C$38*INDEX(Costs!$E$7:$O$89,MATCH($C114,Costs!$C$7:$C$89,0),MATCH(J$7,Costs!$E$6:$O$6,0))</f>
        <v>41.395161520732941</v>
      </c>
      <c r="K114" s="86">
        <f>GDPdeflator!$C$38*INDEX(Costs!$E$7:$O$89,MATCH($C114,Costs!$C$7:$C$89,0),MATCH(K$7,Costs!$E$6:$O$6,0))</f>
        <v>38.144874764290201</v>
      </c>
      <c r="L114" s="86">
        <f>GDPdeflator!$C$38*INDEX(Costs!$E$7:$O$89,MATCH($C114,Costs!$C$7:$C$89,0),MATCH(L$7,Costs!$E$6:$O$6,0))</f>
        <v>35.586697586712631</v>
      </c>
      <c r="M114" s="86">
        <f>GDPdeflator!$C$38*INDEX(Costs!$E$7:$O$89,MATCH($C114,Costs!$C$7:$C$89,0),MATCH(M$7,Costs!$E$6:$O$6,0))</f>
        <v>35.586697586712631</v>
      </c>
      <c r="N114" s="86">
        <f>GDPdeflator!$C$38*INDEX(Costs!$E$7:$O$89,MATCH($C114,Costs!$C$7:$C$89,0),MATCH(N$7,Costs!$E$6:$O$6,0))</f>
        <v>35.586697586712631</v>
      </c>
      <c r="O114" s="86">
        <f>GDPdeflator!$C$38*INDEX(Costs!$E$7:$O$89,MATCH($C114,Costs!$C$7:$C$89,0),MATCH(O$7,Costs!$E$6:$O$6,0))</f>
        <v>35.586697586712631</v>
      </c>
      <c r="P114" s="87">
        <f t="shared" si="64"/>
        <v>6563.8619308639418</v>
      </c>
      <c r="Q114" s="87">
        <f t="shared" si="65"/>
        <v>5612.1829038437982</v>
      </c>
      <c r="R114" s="87">
        <f t="shared" si="66"/>
        <v>4961.1504158167163</v>
      </c>
      <c r="S114" s="87">
        <f t="shared" si="67"/>
        <v>4300.5902823041097</v>
      </c>
      <c r="T114" s="87">
        <f t="shared" si="68"/>
        <v>3802.4269922464305</v>
      </c>
      <c r="U114" s="87">
        <f t="shared" si="69"/>
        <v>3456.4193032636367</v>
      </c>
      <c r="V114" s="87">
        <f t="shared" si="70"/>
        <v>3185.0263801925657</v>
      </c>
      <c r="W114" s="87">
        <f t="shared" si="71"/>
        <v>2971.4233248374371</v>
      </c>
      <c r="X114" s="87">
        <f t="shared" si="72"/>
        <v>2971.4233248374371</v>
      </c>
      <c r="Y114" s="87">
        <f t="shared" si="73"/>
        <v>2971.4233248374371</v>
      </c>
      <c r="Z114" s="87">
        <f t="shared" si="74"/>
        <v>2971.4233248374371</v>
      </c>
      <c r="AA114" s="88">
        <v>420</v>
      </c>
      <c r="AB114" s="89">
        <f>AA114*GDPdeflator!$C$25/$AI$18*10^3</f>
        <v>40.382789385678855</v>
      </c>
      <c r="AC114" s="90" t="e">
        <f>INDEX(Efficiencies!$D$8:$M$89,MATCH(C114,Efficiencies!$C$8:$C$89),MATCH(D114,Efficiencies!$D$7:$M$7))</f>
        <v>#REF!</v>
      </c>
      <c r="AD114" s="90" t="e">
        <f t="shared" si="38"/>
        <v>#REF!</v>
      </c>
      <c r="AE114" s="90" t="e">
        <f>INDEX(Efficiencies!$P$8:$Y$89,MATCH(C114,Efficiencies!$C$8:$C$89),MATCH(D114,Efficiencies!$P$7:$Y$7))</f>
        <v>#REF!</v>
      </c>
      <c r="AF114" s="90" t="e">
        <f t="shared" si="50"/>
        <v>#REF!</v>
      </c>
      <c r="AG114" s="90">
        <v>0</v>
      </c>
    </row>
    <row r="115" spans="1:33" x14ac:dyDescent="0.2">
      <c r="A115" s="92" t="s">
        <v>1006</v>
      </c>
      <c r="B115" s="248" t="s">
        <v>1007</v>
      </c>
      <c r="C115" s="40" t="s">
        <v>1008</v>
      </c>
      <c r="D115" s="40">
        <v>2005</v>
      </c>
      <c r="E115" s="86">
        <f>GDPdeflator!$C$32*INDEX(Costs!$E$7:$O$89,MATCH($C115,Costs!$C$7:$C$89,0),MATCH(E$7,Costs!$E$6:$O$6,0))</f>
        <v>20.507604378572122</v>
      </c>
      <c r="F115" s="86">
        <f>GDPdeflator!$C$36*INDEX(Costs!$E$7:$O$89,MATCH($C115,Costs!$C$7:$C$89,0),MATCH(F$7,Costs!$E$6:$O$6,0))</f>
        <v>26.488872871429859</v>
      </c>
      <c r="G115" s="86">
        <f>GDPdeflator!$C$38*INDEX(Costs!$E$7:$O$89,MATCH($C115,Costs!$C$7:$C$89,0),MATCH(G$7,Costs!$E$6:$O$6,0))</f>
        <v>22.357767661568349</v>
      </c>
      <c r="H115" s="86">
        <f>GDPdeflator!$C$38*INDEX(Costs!$E$7:$O$89,MATCH($C115,Costs!$C$7:$C$89,0),MATCH(H$7,Costs!$E$6:$O$6,0))</f>
        <v>22.848376983295555</v>
      </c>
      <c r="I115" s="86">
        <f>GDPdeflator!$C$38*INDEX(Costs!$E$7:$O$89,MATCH($C115,Costs!$C$7:$C$89,0),MATCH(I$7,Costs!$E$6:$O$6,0))</f>
        <v>23.260138378316604</v>
      </c>
      <c r="J115" s="86">
        <f>GDPdeflator!$C$38*INDEX(Costs!$E$7:$O$89,MATCH($C115,Costs!$C$7:$C$89,0),MATCH(J$7,Costs!$E$6:$O$6,0))</f>
        <v>22.839616102550426</v>
      </c>
      <c r="K115" s="86">
        <f>GDPdeflator!$C$38*INDEX(Costs!$E$7:$O$89,MATCH($C115,Costs!$C$7:$C$89,0),MATCH(K$7,Costs!$E$6:$O$6,0))</f>
        <v>22.725724652863757</v>
      </c>
      <c r="L115" s="86">
        <f>GDPdeflator!$C$38*INDEX(Costs!$E$7:$O$89,MATCH($C115,Costs!$C$7:$C$89,0),MATCH(L$7,Costs!$E$6:$O$6,0))</f>
        <v>22.699442010628371</v>
      </c>
      <c r="M115" s="86">
        <f>GDPdeflator!$C$38*INDEX(Costs!$E$7:$O$89,MATCH($C115,Costs!$C$7:$C$89,0),MATCH(M$7,Costs!$E$6:$O$6,0))</f>
        <v>22.699442010628371</v>
      </c>
      <c r="N115" s="86">
        <f>GDPdeflator!$C$38*INDEX(Costs!$E$7:$O$89,MATCH($C115,Costs!$C$7:$C$89,0),MATCH(N$7,Costs!$E$6:$O$6,0))</f>
        <v>22.699442010628371</v>
      </c>
      <c r="O115" s="86">
        <f>GDPdeflator!$C$38*INDEX(Costs!$E$7:$O$89,MATCH($C115,Costs!$C$7:$C$89,0),MATCH(O$7,Costs!$E$6:$O$6,0))</f>
        <v>22.699442010628371</v>
      </c>
      <c r="P115" s="87">
        <f>E115/$AI$18*10^6</f>
        <v>1712.3469756794784</v>
      </c>
      <c r="Q115" s="87">
        <f t="shared" si="65"/>
        <v>2211.7718146515776</v>
      </c>
      <c r="R115" s="87">
        <f t="shared" si="66"/>
        <v>1866.8321824187938</v>
      </c>
      <c r="S115" s="87">
        <f t="shared" si="67"/>
        <v>1907.7971519389555</v>
      </c>
      <c r="T115" s="87">
        <f t="shared" si="68"/>
        <v>1942.178465643377</v>
      </c>
      <c r="U115" s="87">
        <f t="shared" si="69"/>
        <v>1907.0656346260955</v>
      </c>
      <c r="V115" s="87">
        <f t="shared" si="70"/>
        <v>1897.5559095589153</v>
      </c>
      <c r="W115" s="87">
        <f t="shared" si="71"/>
        <v>1895.3613576203352</v>
      </c>
      <c r="X115" s="87">
        <f t="shared" si="72"/>
        <v>1895.3613576203352</v>
      </c>
      <c r="Y115" s="87">
        <f t="shared" si="73"/>
        <v>1895.3613576203352</v>
      </c>
      <c r="Z115" s="87">
        <f t="shared" si="74"/>
        <v>1895.3613576203352</v>
      </c>
      <c r="AA115" s="88">
        <v>420</v>
      </c>
      <c r="AB115" s="89">
        <f>AA115*GDPdeflator!$C$25/$AI$18*10^3</f>
        <v>40.382789385678855</v>
      </c>
      <c r="AC115" s="90" t="e">
        <f>INDEX(Efficiencies!$D$8:$M$89,MATCH(C115,Efficiencies!$C$8:$C$89),MATCH(D115,Efficiencies!$D$7:$M$7))</f>
        <v>#REF!</v>
      </c>
      <c r="AD115" s="90" t="e">
        <f t="shared" si="38"/>
        <v>#REF!</v>
      </c>
      <c r="AE115" s="90" t="e">
        <f>INDEX(Efficiencies!$P$8:$Y$89,MATCH(C115,Efficiencies!$C$8:$C$89),MATCH(D115,Efficiencies!$P$7:$Y$7))</f>
        <v>#REF!</v>
      </c>
      <c r="AF115" s="90" t="e">
        <f t="shared" si="50"/>
        <v>#REF!</v>
      </c>
      <c r="AG115" s="90">
        <v>0</v>
      </c>
    </row>
    <row r="116" spans="1:33" x14ac:dyDescent="0.2">
      <c r="A116" s="92" t="s">
        <v>1009</v>
      </c>
      <c r="B116" s="248" t="s">
        <v>1010</v>
      </c>
      <c r="C116" s="40" t="s">
        <v>1008</v>
      </c>
      <c r="D116" s="40">
        <v>2010</v>
      </c>
      <c r="E116" s="86">
        <f>GDPdeflator!$C$32*INDEX(Costs!$E$7:$O$89,MATCH($C116,Costs!$C$7:$C$89,0),MATCH(E$7,Costs!$E$6:$O$6,0))</f>
        <v>20.507604378572122</v>
      </c>
      <c r="F116" s="86">
        <f>GDPdeflator!$C$36*INDEX(Costs!$E$7:$O$89,MATCH($C116,Costs!$C$7:$C$89,0),MATCH(F$7,Costs!$E$6:$O$6,0))</f>
        <v>26.488872871429859</v>
      </c>
      <c r="G116" s="86">
        <f>GDPdeflator!$C$38*INDEX(Costs!$E$7:$O$89,MATCH($C116,Costs!$C$7:$C$89,0),MATCH(G$7,Costs!$E$6:$O$6,0))</f>
        <v>22.357767661568349</v>
      </c>
      <c r="H116" s="86">
        <f>GDPdeflator!$C$38*INDEX(Costs!$E$7:$O$89,MATCH($C116,Costs!$C$7:$C$89,0),MATCH(H$7,Costs!$E$6:$O$6,0))</f>
        <v>22.848376983295555</v>
      </c>
      <c r="I116" s="86">
        <f>GDPdeflator!$C$38*INDEX(Costs!$E$7:$O$89,MATCH($C116,Costs!$C$7:$C$89,0),MATCH(I$7,Costs!$E$6:$O$6,0))</f>
        <v>23.260138378316604</v>
      </c>
      <c r="J116" s="86">
        <f>GDPdeflator!$C$38*INDEX(Costs!$E$7:$O$89,MATCH($C116,Costs!$C$7:$C$89,0),MATCH(J$7,Costs!$E$6:$O$6,0))</f>
        <v>22.839616102550426</v>
      </c>
      <c r="K116" s="86">
        <f>GDPdeflator!$C$38*INDEX(Costs!$E$7:$O$89,MATCH($C116,Costs!$C$7:$C$89,0),MATCH(K$7,Costs!$E$6:$O$6,0))</f>
        <v>22.725724652863757</v>
      </c>
      <c r="L116" s="86">
        <f>GDPdeflator!$C$38*INDEX(Costs!$E$7:$O$89,MATCH($C116,Costs!$C$7:$C$89,0),MATCH(L$7,Costs!$E$6:$O$6,0))</f>
        <v>22.699442010628371</v>
      </c>
      <c r="M116" s="86">
        <f>GDPdeflator!$C$38*INDEX(Costs!$E$7:$O$89,MATCH($C116,Costs!$C$7:$C$89,0),MATCH(M$7,Costs!$E$6:$O$6,0))</f>
        <v>22.699442010628371</v>
      </c>
      <c r="N116" s="86">
        <f>GDPdeflator!$C$38*INDEX(Costs!$E$7:$O$89,MATCH($C116,Costs!$C$7:$C$89,0),MATCH(N$7,Costs!$E$6:$O$6,0))</f>
        <v>22.699442010628371</v>
      </c>
      <c r="O116" s="86">
        <f>GDPdeflator!$C$38*INDEX(Costs!$E$7:$O$89,MATCH($C116,Costs!$C$7:$C$89,0),MATCH(O$7,Costs!$E$6:$O$6,0))</f>
        <v>22.699442010628371</v>
      </c>
      <c r="P116" s="87">
        <f t="shared" ref="P116:P124" si="75">E116/$AI$18*10^6</f>
        <v>1712.3469756794784</v>
      </c>
      <c r="Q116" s="87">
        <f t="shared" si="65"/>
        <v>2211.7718146515776</v>
      </c>
      <c r="R116" s="87">
        <f t="shared" si="66"/>
        <v>1866.8321824187938</v>
      </c>
      <c r="S116" s="87">
        <f t="shared" si="67"/>
        <v>1907.7971519389555</v>
      </c>
      <c r="T116" s="87">
        <f t="shared" si="68"/>
        <v>1942.178465643377</v>
      </c>
      <c r="U116" s="87">
        <f t="shared" si="69"/>
        <v>1907.0656346260955</v>
      </c>
      <c r="V116" s="87">
        <f t="shared" si="70"/>
        <v>1897.5559095589153</v>
      </c>
      <c r="W116" s="87">
        <f t="shared" si="71"/>
        <v>1895.3613576203352</v>
      </c>
      <c r="X116" s="87">
        <f t="shared" si="72"/>
        <v>1895.3613576203352</v>
      </c>
      <c r="Y116" s="87">
        <f t="shared" si="73"/>
        <v>1895.3613576203352</v>
      </c>
      <c r="Z116" s="87">
        <f t="shared" si="74"/>
        <v>1895.3613576203352</v>
      </c>
      <c r="AA116" s="88">
        <v>420</v>
      </c>
      <c r="AB116" s="89">
        <f>AA116*GDPdeflator!$C$25/$AI$18*10^3</f>
        <v>40.382789385678855</v>
      </c>
      <c r="AC116" s="90" t="e">
        <f>INDEX(Efficiencies!$D$8:$M$89,MATCH(C116,Efficiencies!$C$8:$C$89),MATCH(D116,Efficiencies!$D$7:$M$7))</f>
        <v>#REF!</v>
      </c>
      <c r="AD116" s="90" t="e">
        <f t="shared" si="38"/>
        <v>#REF!</v>
      </c>
      <c r="AE116" s="90" t="e">
        <f>INDEX(Efficiencies!$P$8:$Y$89,MATCH(C116,Efficiencies!$C$8:$C$89),MATCH(D116,Efficiencies!$P$7:$Y$7))</f>
        <v>#REF!</v>
      </c>
      <c r="AF116" s="90" t="e">
        <f t="shared" si="50"/>
        <v>#REF!</v>
      </c>
      <c r="AG116" s="90">
        <v>0</v>
      </c>
    </row>
    <row r="117" spans="1:33" x14ac:dyDescent="0.2">
      <c r="A117" s="92" t="s">
        <v>1011</v>
      </c>
      <c r="B117" s="248" t="s">
        <v>1012</v>
      </c>
      <c r="C117" s="40" t="s">
        <v>1008</v>
      </c>
      <c r="D117" s="40">
        <v>2015</v>
      </c>
      <c r="E117" s="86">
        <f>GDPdeflator!$C$32*INDEX(Costs!$E$7:$O$89,MATCH($C117,Costs!$C$7:$C$89,0),MATCH(E$7,Costs!$E$6:$O$6,0))</f>
        <v>20.507604378572122</v>
      </c>
      <c r="F117" s="86">
        <f>GDPdeflator!$C$36*INDEX(Costs!$E$7:$O$89,MATCH($C117,Costs!$C$7:$C$89,0),MATCH(F$7,Costs!$E$6:$O$6,0))</f>
        <v>26.488872871429859</v>
      </c>
      <c r="G117" s="86">
        <f>GDPdeflator!$C$38*INDEX(Costs!$E$7:$O$89,MATCH($C117,Costs!$C$7:$C$89,0),MATCH(G$7,Costs!$E$6:$O$6,0))</f>
        <v>22.357767661568349</v>
      </c>
      <c r="H117" s="86">
        <f>GDPdeflator!$C$38*INDEX(Costs!$E$7:$O$89,MATCH($C117,Costs!$C$7:$C$89,0),MATCH(H$7,Costs!$E$6:$O$6,0))</f>
        <v>22.848376983295555</v>
      </c>
      <c r="I117" s="86">
        <f>GDPdeflator!$C$38*INDEX(Costs!$E$7:$O$89,MATCH($C117,Costs!$C$7:$C$89,0),MATCH(I$7,Costs!$E$6:$O$6,0))</f>
        <v>23.260138378316604</v>
      </c>
      <c r="J117" s="86">
        <f>GDPdeflator!$C$38*INDEX(Costs!$E$7:$O$89,MATCH($C117,Costs!$C$7:$C$89,0),MATCH(J$7,Costs!$E$6:$O$6,0))</f>
        <v>22.839616102550426</v>
      </c>
      <c r="K117" s="86">
        <f>GDPdeflator!$C$38*INDEX(Costs!$E$7:$O$89,MATCH($C117,Costs!$C$7:$C$89,0),MATCH(K$7,Costs!$E$6:$O$6,0))</f>
        <v>22.725724652863757</v>
      </c>
      <c r="L117" s="86">
        <f>GDPdeflator!$C$38*INDEX(Costs!$E$7:$O$89,MATCH($C117,Costs!$C$7:$C$89,0),MATCH(L$7,Costs!$E$6:$O$6,0))</f>
        <v>22.699442010628371</v>
      </c>
      <c r="M117" s="86">
        <f>GDPdeflator!$C$38*INDEX(Costs!$E$7:$O$89,MATCH($C117,Costs!$C$7:$C$89,0),MATCH(M$7,Costs!$E$6:$O$6,0))</f>
        <v>22.699442010628371</v>
      </c>
      <c r="N117" s="86">
        <f>GDPdeflator!$C$38*INDEX(Costs!$E$7:$O$89,MATCH($C117,Costs!$C$7:$C$89,0),MATCH(N$7,Costs!$E$6:$O$6,0))</f>
        <v>22.699442010628371</v>
      </c>
      <c r="O117" s="86">
        <f>GDPdeflator!$C$38*INDEX(Costs!$E$7:$O$89,MATCH($C117,Costs!$C$7:$C$89,0),MATCH(O$7,Costs!$E$6:$O$6,0))</f>
        <v>22.699442010628371</v>
      </c>
      <c r="P117" s="87">
        <f t="shared" si="75"/>
        <v>1712.3469756794784</v>
      </c>
      <c r="Q117" s="87">
        <f t="shared" si="65"/>
        <v>2211.7718146515776</v>
      </c>
      <c r="R117" s="87">
        <f t="shared" si="66"/>
        <v>1866.8321824187938</v>
      </c>
      <c r="S117" s="87">
        <f t="shared" si="67"/>
        <v>1907.7971519389555</v>
      </c>
      <c r="T117" s="87">
        <f t="shared" si="68"/>
        <v>1942.178465643377</v>
      </c>
      <c r="U117" s="87">
        <f t="shared" si="69"/>
        <v>1907.0656346260955</v>
      </c>
      <c r="V117" s="87">
        <f t="shared" si="70"/>
        <v>1897.5559095589153</v>
      </c>
      <c r="W117" s="87">
        <f t="shared" si="71"/>
        <v>1895.3613576203352</v>
      </c>
      <c r="X117" s="87">
        <f t="shared" si="72"/>
        <v>1895.3613576203352</v>
      </c>
      <c r="Y117" s="87">
        <f t="shared" si="73"/>
        <v>1895.3613576203352</v>
      </c>
      <c r="Z117" s="87">
        <f t="shared" si="74"/>
        <v>1895.3613576203352</v>
      </c>
      <c r="AA117" s="88">
        <v>420</v>
      </c>
      <c r="AB117" s="89">
        <f>AA117*GDPdeflator!$C$25/$AI$18*10^3</f>
        <v>40.382789385678855</v>
      </c>
      <c r="AC117" s="90" t="e">
        <f>INDEX(Efficiencies!$D$8:$M$89,MATCH(C117,Efficiencies!$C$8:$C$89),MATCH(D117,Efficiencies!$D$7:$M$7))</f>
        <v>#REF!</v>
      </c>
      <c r="AD117" s="90" t="e">
        <f t="shared" si="38"/>
        <v>#REF!</v>
      </c>
      <c r="AE117" s="90" t="e">
        <f>INDEX(Efficiencies!$P$8:$Y$89,MATCH(C117,Efficiencies!$C$8:$C$89),MATCH(D117,Efficiencies!$P$7:$Y$7))</f>
        <v>#REF!</v>
      </c>
      <c r="AF117" s="90" t="e">
        <f t="shared" si="50"/>
        <v>#REF!</v>
      </c>
      <c r="AG117" s="90">
        <v>0</v>
      </c>
    </row>
    <row r="118" spans="1:33" x14ac:dyDescent="0.2">
      <c r="A118" s="92" t="s">
        <v>1013</v>
      </c>
      <c r="B118" s="248" t="s">
        <v>1014</v>
      </c>
      <c r="C118" s="40" t="s">
        <v>1008</v>
      </c>
      <c r="D118" s="40">
        <v>2020</v>
      </c>
      <c r="E118" s="86">
        <f>GDPdeflator!$C$32*INDEX(Costs!$E$7:$O$89,MATCH($C118,Costs!$C$7:$C$89,0),MATCH(E$7,Costs!$E$6:$O$6,0))</f>
        <v>20.507604378572122</v>
      </c>
      <c r="F118" s="86">
        <f>GDPdeflator!$C$36*INDEX(Costs!$E$7:$O$89,MATCH($C118,Costs!$C$7:$C$89,0),MATCH(F$7,Costs!$E$6:$O$6,0))</f>
        <v>26.488872871429859</v>
      </c>
      <c r="G118" s="86">
        <f>GDPdeflator!$C$38*INDEX(Costs!$E$7:$O$89,MATCH($C118,Costs!$C$7:$C$89,0),MATCH(G$7,Costs!$E$6:$O$6,0))</f>
        <v>22.357767661568349</v>
      </c>
      <c r="H118" s="86">
        <f>GDPdeflator!$C$38*INDEX(Costs!$E$7:$O$89,MATCH($C118,Costs!$C$7:$C$89,0),MATCH(H$7,Costs!$E$6:$O$6,0))</f>
        <v>22.848376983295555</v>
      </c>
      <c r="I118" s="86">
        <f>GDPdeflator!$C$38*INDEX(Costs!$E$7:$O$89,MATCH($C118,Costs!$C$7:$C$89,0),MATCH(I$7,Costs!$E$6:$O$6,0))</f>
        <v>23.260138378316604</v>
      </c>
      <c r="J118" s="86">
        <f>GDPdeflator!$C$38*INDEX(Costs!$E$7:$O$89,MATCH($C118,Costs!$C$7:$C$89,0),MATCH(J$7,Costs!$E$6:$O$6,0))</f>
        <v>22.839616102550426</v>
      </c>
      <c r="K118" s="86">
        <f>GDPdeflator!$C$38*INDEX(Costs!$E$7:$O$89,MATCH($C118,Costs!$C$7:$C$89,0),MATCH(K$7,Costs!$E$6:$O$6,0))</f>
        <v>22.725724652863757</v>
      </c>
      <c r="L118" s="86">
        <f>GDPdeflator!$C$38*INDEX(Costs!$E$7:$O$89,MATCH($C118,Costs!$C$7:$C$89,0),MATCH(L$7,Costs!$E$6:$O$6,0))</f>
        <v>22.699442010628371</v>
      </c>
      <c r="M118" s="86">
        <f>GDPdeflator!$C$38*INDEX(Costs!$E$7:$O$89,MATCH($C118,Costs!$C$7:$C$89,0),MATCH(M$7,Costs!$E$6:$O$6,0))</f>
        <v>22.699442010628371</v>
      </c>
      <c r="N118" s="86">
        <f>GDPdeflator!$C$38*INDEX(Costs!$E$7:$O$89,MATCH($C118,Costs!$C$7:$C$89,0),MATCH(N$7,Costs!$E$6:$O$6,0))</f>
        <v>22.699442010628371</v>
      </c>
      <c r="O118" s="86">
        <f>GDPdeflator!$C$38*INDEX(Costs!$E$7:$O$89,MATCH($C118,Costs!$C$7:$C$89,0),MATCH(O$7,Costs!$E$6:$O$6,0))</f>
        <v>22.699442010628371</v>
      </c>
      <c r="P118" s="87">
        <f t="shared" si="75"/>
        <v>1712.3469756794784</v>
      </c>
      <c r="Q118" s="87">
        <f t="shared" si="65"/>
        <v>2211.7718146515776</v>
      </c>
      <c r="R118" s="87">
        <f t="shared" si="66"/>
        <v>1866.8321824187938</v>
      </c>
      <c r="S118" s="87">
        <f t="shared" si="67"/>
        <v>1907.7971519389555</v>
      </c>
      <c r="T118" s="87">
        <f t="shared" si="68"/>
        <v>1942.178465643377</v>
      </c>
      <c r="U118" s="87">
        <f t="shared" si="69"/>
        <v>1907.0656346260955</v>
      </c>
      <c r="V118" s="87">
        <f t="shared" si="70"/>
        <v>1897.5559095589153</v>
      </c>
      <c r="W118" s="87">
        <f t="shared" si="71"/>
        <v>1895.3613576203352</v>
      </c>
      <c r="X118" s="87">
        <f t="shared" si="72"/>
        <v>1895.3613576203352</v>
      </c>
      <c r="Y118" s="87">
        <f t="shared" si="73"/>
        <v>1895.3613576203352</v>
      </c>
      <c r="Z118" s="87">
        <f t="shared" si="74"/>
        <v>1895.3613576203352</v>
      </c>
      <c r="AA118" s="88">
        <v>420</v>
      </c>
      <c r="AB118" s="89">
        <f>AA118*GDPdeflator!$C$25/$AI$18*10^3</f>
        <v>40.382789385678855</v>
      </c>
      <c r="AC118" s="90" t="e">
        <f>INDEX(Efficiencies!$D$8:$M$89,MATCH(C118,Efficiencies!$C$8:$C$89),MATCH(D118,Efficiencies!$D$7:$M$7))</f>
        <v>#REF!</v>
      </c>
      <c r="AD118" s="90" t="e">
        <f t="shared" ref="AD118:AD172" si="76">AC118/($AI$11*$AI$15*10 ^ 9)</f>
        <v>#REF!</v>
      </c>
      <c r="AE118" s="90" t="e">
        <f>INDEX(Efficiencies!$P$8:$Y$89,MATCH(C118,Efficiencies!$C$8:$C$89),MATCH(D118,Efficiencies!$P$7:$Y$7))</f>
        <v>#REF!</v>
      </c>
      <c r="AF118" s="90" t="e">
        <f t="shared" si="50"/>
        <v>#REF!</v>
      </c>
      <c r="AG118" s="90">
        <v>0</v>
      </c>
    </row>
    <row r="119" spans="1:33" x14ac:dyDescent="0.2">
      <c r="A119" s="92" t="s">
        <v>1015</v>
      </c>
      <c r="B119" s="248" t="s">
        <v>1016</v>
      </c>
      <c r="C119" s="40" t="s">
        <v>1008</v>
      </c>
      <c r="D119" s="40">
        <v>2025</v>
      </c>
      <c r="E119" s="86">
        <f>GDPdeflator!$C$32*INDEX(Costs!$E$7:$O$89,MATCH($C119,Costs!$C$7:$C$89,0),MATCH(E$7,Costs!$E$6:$O$6,0))</f>
        <v>20.507604378572122</v>
      </c>
      <c r="F119" s="86">
        <f>GDPdeflator!$C$36*INDEX(Costs!$E$7:$O$89,MATCH($C119,Costs!$C$7:$C$89,0),MATCH(F$7,Costs!$E$6:$O$6,0))</f>
        <v>26.488872871429859</v>
      </c>
      <c r="G119" s="86">
        <f>GDPdeflator!$C$38*INDEX(Costs!$E$7:$O$89,MATCH($C119,Costs!$C$7:$C$89,0),MATCH(G$7,Costs!$E$6:$O$6,0))</f>
        <v>22.357767661568349</v>
      </c>
      <c r="H119" s="86">
        <f>GDPdeflator!$C$38*INDEX(Costs!$E$7:$O$89,MATCH($C119,Costs!$C$7:$C$89,0),MATCH(H$7,Costs!$E$6:$O$6,0))</f>
        <v>22.848376983295555</v>
      </c>
      <c r="I119" s="86">
        <f>GDPdeflator!$C$38*INDEX(Costs!$E$7:$O$89,MATCH($C119,Costs!$C$7:$C$89,0),MATCH(I$7,Costs!$E$6:$O$6,0))</f>
        <v>23.260138378316604</v>
      </c>
      <c r="J119" s="86">
        <f>GDPdeflator!$C$38*INDEX(Costs!$E$7:$O$89,MATCH($C119,Costs!$C$7:$C$89,0),MATCH(J$7,Costs!$E$6:$O$6,0))</f>
        <v>22.839616102550426</v>
      </c>
      <c r="K119" s="86">
        <f>GDPdeflator!$C$38*INDEX(Costs!$E$7:$O$89,MATCH($C119,Costs!$C$7:$C$89,0),MATCH(K$7,Costs!$E$6:$O$6,0))</f>
        <v>22.725724652863757</v>
      </c>
      <c r="L119" s="86">
        <f>GDPdeflator!$C$38*INDEX(Costs!$E$7:$O$89,MATCH($C119,Costs!$C$7:$C$89,0),MATCH(L$7,Costs!$E$6:$O$6,0))</f>
        <v>22.699442010628371</v>
      </c>
      <c r="M119" s="86">
        <f>GDPdeflator!$C$38*INDEX(Costs!$E$7:$O$89,MATCH($C119,Costs!$C$7:$C$89,0),MATCH(M$7,Costs!$E$6:$O$6,0))</f>
        <v>22.699442010628371</v>
      </c>
      <c r="N119" s="86">
        <f>GDPdeflator!$C$38*INDEX(Costs!$E$7:$O$89,MATCH($C119,Costs!$C$7:$C$89,0),MATCH(N$7,Costs!$E$6:$O$6,0))</f>
        <v>22.699442010628371</v>
      </c>
      <c r="O119" s="86">
        <f>GDPdeflator!$C$38*INDEX(Costs!$E$7:$O$89,MATCH($C119,Costs!$C$7:$C$89,0),MATCH(O$7,Costs!$E$6:$O$6,0))</f>
        <v>22.699442010628371</v>
      </c>
      <c r="P119" s="87">
        <f t="shared" si="75"/>
        <v>1712.3469756794784</v>
      </c>
      <c r="Q119" s="87">
        <f t="shared" si="65"/>
        <v>2211.7718146515776</v>
      </c>
      <c r="R119" s="87">
        <f t="shared" si="66"/>
        <v>1866.8321824187938</v>
      </c>
      <c r="S119" s="87">
        <f t="shared" si="67"/>
        <v>1907.7971519389555</v>
      </c>
      <c r="T119" s="87">
        <f t="shared" si="68"/>
        <v>1942.178465643377</v>
      </c>
      <c r="U119" s="87">
        <f t="shared" si="69"/>
        <v>1907.0656346260955</v>
      </c>
      <c r="V119" s="87">
        <f t="shared" si="70"/>
        <v>1897.5559095589153</v>
      </c>
      <c r="W119" s="87">
        <f t="shared" si="71"/>
        <v>1895.3613576203352</v>
      </c>
      <c r="X119" s="87">
        <f t="shared" si="72"/>
        <v>1895.3613576203352</v>
      </c>
      <c r="Y119" s="87">
        <f t="shared" si="73"/>
        <v>1895.3613576203352</v>
      </c>
      <c r="Z119" s="87">
        <f t="shared" si="74"/>
        <v>1895.3613576203352</v>
      </c>
      <c r="AA119" s="88">
        <v>420</v>
      </c>
      <c r="AB119" s="89">
        <f>AA119*GDPdeflator!$C$25/$AI$18*10^3</f>
        <v>40.382789385678855</v>
      </c>
      <c r="AC119" s="90" t="e">
        <f>INDEX(Efficiencies!$D$8:$M$89,MATCH(C119,Efficiencies!$C$8:$C$89),MATCH(D119,Efficiencies!$D$7:$M$7))</f>
        <v>#REF!</v>
      </c>
      <c r="AD119" s="90" t="e">
        <f t="shared" si="76"/>
        <v>#REF!</v>
      </c>
      <c r="AE119" s="90" t="e">
        <f>INDEX(Efficiencies!$P$8:$Y$89,MATCH(C119,Efficiencies!$C$8:$C$89),MATCH(D119,Efficiencies!$P$7:$Y$7))</f>
        <v>#REF!</v>
      </c>
      <c r="AF119" s="90" t="e">
        <f t="shared" si="50"/>
        <v>#REF!</v>
      </c>
      <c r="AG119" s="90">
        <v>0</v>
      </c>
    </row>
    <row r="120" spans="1:33" x14ac:dyDescent="0.2">
      <c r="A120" s="92" t="s">
        <v>1017</v>
      </c>
      <c r="B120" s="248" t="s">
        <v>1018</v>
      </c>
      <c r="C120" s="40" t="s">
        <v>1008</v>
      </c>
      <c r="D120" s="40">
        <v>2030</v>
      </c>
      <c r="E120" s="86">
        <f>GDPdeflator!$C$32*INDEX(Costs!$E$7:$O$89,MATCH($C120,Costs!$C$7:$C$89,0),MATCH(E$7,Costs!$E$6:$O$6,0))</f>
        <v>20.507604378572122</v>
      </c>
      <c r="F120" s="86">
        <f>GDPdeflator!$C$36*INDEX(Costs!$E$7:$O$89,MATCH($C120,Costs!$C$7:$C$89,0),MATCH(F$7,Costs!$E$6:$O$6,0))</f>
        <v>26.488872871429859</v>
      </c>
      <c r="G120" s="86">
        <f>GDPdeflator!$C$38*INDEX(Costs!$E$7:$O$89,MATCH($C120,Costs!$C$7:$C$89,0),MATCH(G$7,Costs!$E$6:$O$6,0))</f>
        <v>22.357767661568349</v>
      </c>
      <c r="H120" s="86">
        <f>GDPdeflator!$C$38*INDEX(Costs!$E$7:$O$89,MATCH($C120,Costs!$C$7:$C$89,0),MATCH(H$7,Costs!$E$6:$O$6,0))</f>
        <v>22.848376983295555</v>
      </c>
      <c r="I120" s="86">
        <f>GDPdeflator!$C$38*INDEX(Costs!$E$7:$O$89,MATCH($C120,Costs!$C$7:$C$89,0),MATCH(I$7,Costs!$E$6:$O$6,0))</f>
        <v>23.260138378316604</v>
      </c>
      <c r="J120" s="86">
        <f>GDPdeflator!$C$38*INDEX(Costs!$E$7:$O$89,MATCH($C120,Costs!$C$7:$C$89,0),MATCH(J$7,Costs!$E$6:$O$6,0))</f>
        <v>22.839616102550426</v>
      </c>
      <c r="K120" s="86">
        <f>GDPdeflator!$C$38*INDEX(Costs!$E$7:$O$89,MATCH($C120,Costs!$C$7:$C$89,0),MATCH(K$7,Costs!$E$6:$O$6,0))</f>
        <v>22.725724652863757</v>
      </c>
      <c r="L120" s="86">
        <f>GDPdeflator!$C$38*INDEX(Costs!$E$7:$O$89,MATCH($C120,Costs!$C$7:$C$89,0),MATCH(L$7,Costs!$E$6:$O$6,0))</f>
        <v>22.699442010628371</v>
      </c>
      <c r="M120" s="86">
        <f>GDPdeflator!$C$38*INDEX(Costs!$E$7:$O$89,MATCH($C120,Costs!$C$7:$C$89,0),MATCH(M$7,Costs!$E$6:$O$6,0))</f>
        <v>22.699442010628371</v>
      </c>
      <c r="N120" s="86">
        <f>GDPdeflator!$C$38*INDEX(Costs!$E$7:$O$89,MATCH($C120,Costs!$C$7:$C$89,0),MATCH(N$7,Costs!$E$6:$O$6,0))</f>
        <v>22.699442010628371</v>
      </c>
      <c r="O120" s="86">
        <f>GDPdeflator!$C$38*INDEX(Costs!$E$7:$O$89,MATCH($C120,Costs!$C$7:$C$89,0),MATCH(O$7,Costs!$E$6:$O$6,0))</f>
        <v>22.699442010628371</v>
      </c>
      <c r="P120" s="87">
        <f t="shared" si="75"/>
        <v>1712.3469756794784</v>
      </c>
      <c r="Q120" s="87">
        <f t="shared" si="65"/>
        <v>2211.7718146515776</v>
      </c>
      <c r="R120" s="87">
        <f t="shared" si="66"/>
        <v>1866.8321824187938</v>
      </c>
      <c r="S120" s="87">
        <f t="shared" si="67"/>
        <v>1907.7971519389555</v>
      </c>
      <c r="T120" s="87">
        <f t="shared" si="68"/>
        <v>1942.178465643377</v>
      </c>
      <c r="U120" s="87">
        <f t="shared" si="69"/>
        <v>1907.0656346260955</v>
      </c>
      <c r="V120" s="87">
        <f t="shared" si="70"/>
        <v>1897.5559095589153</v>
      </c>
      <c r="W120" s="87">
        <f t="shared" si="71"/>
        <v>1895.3613576203352</v>
      </c>
      <c r="X120" s="87">
        <f t="shared" si="72"/>
        <v>1895.3613576203352</v>
      </c>
      <c r="Y120" s="87">
        <f t="shared" si="73"/>
        <v>1895.3613576203352</v>
      </c>
      <c r="Z120" s="87">
        <f t="shared" si="74"/>
        <v>1895.3613576203352</v>
      </c>
      <c r="AA120" s="88">
        <v>420</v>
      </c>
      <c r="AB120" s="89">
        <f>AA120*GDPdeflator!$C$25/$AI$18*10^3</f>
        <v>40.382789385678855</v>
      </c>
      <c r="AC120" s="90" t="e">
        <f>INDEX(Efficiencies!$D$8:$M$89,MATCH(C120,Efficiencies!$C$8:$C$89),MATCH(D120,Efficiencies!$D$7:$M$7))</f>
        <v>#REF!</v>
      </c>
      <c r="AD120" s="90" t="e">
        <f t="shared" si="76"/>
        <v>#REF!</v>
      </c>
      <c r="AE120" s="90" t="e">
        <f>INDEX(Efficiencies!$P$8:$Y$89,MATCH(C120,Efficiencies!$C$8:$C$89),MATCH(D120,Efficiencies!$P$7:$Y$7))</f>
        <v>#REF!</v>
      </c>
      <c r="AF120" s="90" t="e">
        <f t="shared" si="50"/>
        <v>#REF!</v>
      </c>
      <c r="AG120" s="90">
        <v>0</v>
      </c>
    </row>
    <row r="121" spans="1:33" x14ac:dyDescent="0.2">
      <c r="A121" s="92" t="s">
        <v>1019</v>
      </c>
      <c r="B121" s="248" t="s">
        <v>1020</v>
      </c>
      <c r="C121" s="40" t="s">
        <v>1008</v>
      </c>
      <c r="D121" s="40">
        <v>2035</v>
      </c>
      <c r="E121" s="86">
        <f>GDPdeflator!$C$32*INDEX(Costs!$E$7:$O$89,MATCH($C121,Costs!$C$7:$C$89,0),MATCH(E$7,Costs!$E$6:$O$6,0))</f>
        <v>20.507604378572122</v>
      </c>
      <c r="F121" s="86">
        <f>GDPdeflator!$C$36*INDEX(Costs!$E$7:$O$89,MATCH($C121,Costs!$C$7:$C$89,0),MATCH(F$7,Costs!$E$6:$O$6,0))</f>
        <v>26.488872871429859</v>
      </c>
      <c r="G121" s="86">
        <f>GDPdeflator!$C$38*INDEX(Costs!$E$7:$O$89,MATCH($C121,Costs!$C$7:$C$89,0),MATCH(G$7,Costs!$E$6:$O$6,0))</f>
        <v>22.357767661568349</v>
      </c>
      <c r="H121" s="86">
        <f>GDPdeflator!$C$38*INDEX(Costs!$E$7:$O$89,MATCH($C121,Costs!$C$7:$C$89,0),MATCH(H$7,Costs!$E$6:$O$6,0))</f>
        <v>22.848376983295555</v>
      </c>
      <c r="I121" s="86">
        <f>GDPdeflator!$C$38*INDEX(Costs!$E$7:$O$89,MATCH($C121,Costs!$C$7:$C$89,0),MATCH(I$7,Costs!$E$6:$O$6,0))</f>
        <v>23.260138378316604</v>
      </c>
      <c r="J121" s="86">
        <f>GDPdeflator!$C$38*INDEX(Costs!$E$7:$O$89,MATCH($C121,Costs!$C$7:$C$89,0),MATCH(J$7,Costs!$E$6:$O$6,0))</f>
        <v>22.839616102550426</v>
      </c>
      <c r="K121" s="86">
        <f>GDPdeflator!$C$38*INDEX(Costs!$E$7:$O$89,MATCH($C121,Costs!$C$7:$C$89,0),MATCH(K$7,Costs!$E$6:$O$6,0))</f>
        <v>22.725724652863757</v>
      </c>
      <c r="L121" s="86">
        <f>GDPdeflator!$C$38*INDEX(Costs!$E$7:$O$89,MATCH($C121,Costs!$C$7:$C$89,0),MATCH(L$7,Costs!$E$6:$O$6,0))</f>
        <v>22.699442010628371</v>
      </c>
      <c r="M121" s="86">
        <f>GDPdeflator!$C$38*INDEX(Costs!$E$7:$O$89,MATCH($C121,Costs!$C$7:$C$89,0),MATCH(M$7,Costs!$E$6:$O$6,0))</f>
        <v>22.699442010628371</v>
      </c>
      <c r="N121" s="86">
        <f>GDPdeflator!$C$38*INDEX(Costs!$E$7:$O$89,MATCH($C121,Costs!$C$7:$C$89,0),MATCH(N$7,Costs!$E$6:$O$6,0))</f>
        <v>22.699442010628371</v>
      </c>
      <c r="O121" s="86">
        <f>GDPdeflator!$C$38*INDEX(Costs!$E$7:$O$89,MATCH($C121,Costs!$C$7:$C$89,0),MATCH(O$7,Costs!$E$6:$O$6,0))</f>
        <v>22.699442010628371</v>
      </c>
      <c r="P121" s="87">
        <f t="shared" si="75"/>
        <v>1712.3469756794784</v>
      </c>
      <c r="Q121" s="87">
        <f t="shared" si="65"/>
        <v>2211.7718146515776</v>
      </c>
      <c r="R121" s="87">
        <f t="shared" si="66"/>
        <v>1866.8321824187938</v>
      </c>
      <c r="S121" s="87">
        <f t="shared" si="67"/>
        <v>1907.7971519389555</v>
      </c>
      <c r="T121" s="87">
        <f t="shared" si="68"/>
        <v>1942.178465643377</v>
      </c>
      <c r="U121" s="87">
        <f t="shared" si="69"/>
        <v>1907.0656346260955</v>
      </c>
      <c r="V121" s="87">
        <f t="shared" si="70"/>
        <v>1897.5559095589153</v>
      </c>
      <c r="W121" s="87">
        <f t="shared" si="71"/>
        <v>1895.3613576203352</v>
      </c>
      <c r="X121" s="87">
        <f t="shared" si="72"/>
        <v>1895.3613576203352</v>
      </c>
      <c r="Y121" s="87">
        <f t="shared" si="73"/>
        <v>1895.3613576203352</v>
      </c>
      <c r="Z121" s="87">
        <f t="shared" si="74"/>
        <v>1895.3613576203352</v>
      </c>
      <c r="AA121" s="88">
        <v>420</v>
      </c>
      <c r="AB121" s="89">
        <f>AA121*GDPdeflator!$C$25/$AI$18*10^3</f>
        <v>40.382789385678855</v>
      </c>
      <c r="AC121" s="90" t="e">
        <f>INDEX(Efficiencies!$D$8:$M$89,MATCH(C121,Efficiencies!$C$8:$C$89),MATCH(D121,Efficiencies!$D$7:$M$7))</f>
        <v>#REF!</v>
      </c>
      <c r="AD121" s="90" t="e">
        <f t="shared" si="76"/>
        <v>#REF!</v>
      </c>
      <c r="AE121" s="90" t="e">
        <f>INDEX(Efficiencies!$P$8:$Y$89,MATCH(C121,Efficiencies!$C$8:$C$89),MATCH(D121,Efficiencies!$P$7:$Y$7))</f>
        <v>#REF!</v>
      </c>
      <c r="AF121" s="90" t="e">
        <f t="shared" si="50"/>
        <v>#REF!</v>
      </c>
      <c r="AG121" s="90">
        <v>0</v>
      </c>
    </row>
    <row r="122" spans="1:33" x14ac:dyDescent="0.2">
      <c r="A122" s="92" t="s">
        <v>1021</v>
      </c>
      <c r="B122" s="248" t="s">
        <v>1022</v>
      </c>
      <c r="C122" s="40" t="s">
        <v>1008</v>
      </c>
      <c r="D122" s="40">
        <v>2040</v>
      </c>
      <c r="E122" s="86">
        <f>GDPdeflator!$C$32*INDEX(Costs!$E$7:$O$89,MATCH($C122,Costs!$C$7:$C$89,0),MATCH(E$7,Costs!$E$6:$O$6,0))</f>
        <v>20.507604378572122</v>
      </c>
      <c r="F122" s="86">
        <f>GDPdeflator!$C$36*INDEX(Costs!$E$7:$O$89,MATCH($C122,Costs!$C$7:$C$89,0),MATCH(F$7,Costs!$E$6:$O$6,0))</f>
        <v>26.488872871429859</v>
      </c>
      <c r="G122" s="86">
        <f>GDPdeflator!$C$38*INDEX(Costs!$E$7:$O$89,MATCH($C122,Costs!$C$7:$C$89,0),MATCH(G$7,Costs!$E$6:$O$6,0))</f>
        <v>22.357767661568349</v>
      </c>
      <c r="H122" s="86">
        <f>GDPdeflator!$C$38*INDEX(Costs!$E$7:$O$89,MATCH($C122,Costs!$C$7:$C$89,0),MATCH(H$7,Costs!$E$6:$O$6,0))</f>
        <v>22.848376983295555</v>
      </c>
      <c r="I122" s="86">
        <f>GDPdeflator!$C$38*INDEX(Costs!$E$7:$O$89,MATCH($C122,Costs!$C$7:$C$89,0),MATCH(I$7,Costs!$E$6:$O$6,0))</f>
        <v>23.260138378316604</v>
      </c>
      <c r="J122" s="86">
        <f>GDPdeflator!$C$38*INDEX(Costs!$E$7:$O$89,MATCH($C122,Costs!$C$7:$C$89,0),MATCH(J$7,Costs!$E$6:$O$6,0))</f>
        <v>22.839616102550426</v>
      </c>
      <c r="K122" s="86">
        <f>GDPdeflator!$C$38*INDEX(Costs!$E$7:$O$89,MATCH($C122,Costs!$C$7:$C$89,0),MATCH(K$7,Costs!$E$6:$O$6,0))</f>
        <v>22.725724652863757</v>
      </c>
      <c r="L122" s="86">
        <f>GDPdeflator!$C$38*INDEX(Costs!$E$7:$O$89,MATCH($C122,Costs!$C$7:$C$89,0),MATCH(L$7,Costs!$E$6:$O$6,0))</f>
        <v>22.699442010628371</v>
      </c>
      <c r="M122" s="86">
        <f>GDPdeflator!$C$38*INDEX(Costs!$E$7:$O$89,MATCH($C122,Costs!$C$7:$C$89,0),MATCH(M$7,Costs!$E$6:$O$6,0))</f>
        <v>22.699442010628371</v>
      </c>
      <c r="N122" s="86">
        <f>GDPdeflator!$C$38*INDEX(Costs!$E$7:$O$89,MATCH($C122,Costs!$C$7:$C$89,0),MATCH(N$7,Costs!$E$6:$O$6,0))</f>
        <v>22.699442010628371</v>
      </c>
      <c r="O122" s="86">
        <f>GDPdeflator!$C$38*INDEX(Costs!$E$7:$O$89,MATCH($C122,Costs!$C$7:$C$89,0),MATCH(O$7,Costs!$E$6:$O$6,0))</f>
        <v>22.699442010628371</v>
      </c>
      <c r="P122" s="87">
        <f t="shared" si="75"/>
        <v>1712.3469756794784</v>
      </c>
      <c r="Q122" s="87">
        <f t="shared" si="65"/>
        <v>2211.7718146515776</v>
      </c>
      <c r="R122" s="87">
        <f t="shared" si="66"/>
        <v>1866.8321824187938</v>
      </c>
      <c r="S122" s="87">
        <f t="shared" si="67"/>
        <v>1907.7971519389555</v>
      </c>
      <c r="T122" s="87">
        <f t="shared" si="68"/>
        <v>1942.178465643377</v>
      </c>
      <c r="U122" s="87">
        <f t="shared" si="69"/>
        <v>1907.0656346260955</v>
      </c>
      <c r="V122" s="87">
        <f t="shared" si="70"/>
        <v>1897.5559095589153</v>
      </c>
      <c r="W122" s="87">
        <f t="shared" si="71"/>
        <v>1895.3613576203352</v>
      </c>
      <c r="X122" s="87">
        <f t="shared" si="72"/>
        <v>1895.3613576203352</v>
      </c>
      <c r="Y122" s="87">
        <f t="shared" si="73"/>
        <v>1895.3613576203352</v>
      </c>
      <c r="Z122" s="87">
        <f t="shared" si="74"/>
        <v>1895.3613576203352</v>
      </c>
      <c r="AA122" s="88">
        <v>420</v>
      </c>
      <c r="AB122" s="89">
        <f>AA122*GDPdeflator!$C$25/$AI$18*10^3</f>
        <v>40.382789385678855</v>
      </c>
      <c r="AC122" s="90" t="e">
        <f>INDEX(Efficiencies!$D$8:$M$89,MATCH(C122,Efficiencies!$C$8:$C$89),MATCH(D122,Efficiencies!$D$7:$M$7))</f>
        <v>#REF!</v>
      </c>
      <c r="AD122" s="90" t="e">
        <f t="shared" si="76"/>
        <v>#REF!</v>
      </c>
      <c r="AE122" s="90" t="e">
        <f>INDEX(Efficiencies!$P$8:$Y$89,MATCH(C122,Efficiencies!$C$8:$C$89),MATCH(D122,Efficiencies!$P$7:$Y$7))</f>
        <v>#REF!</v>
      </c>
      <c r="AF122" s="90" t="e">
        <f t="shared" si="50"/>
        <v>#REF!</v>
      </c>
      <c r="AG122" s="90">
        <v>0</v>
      </c>
    </row>
    <row r="123" spans="1:33" x14ac:dyDescent="0.2">
      <c r="A123" s="92" t="s">
        <v>1023</v>
      </c>
      <c r="B123" s="248" t="s">
        <v>1024</v>
      </c>
      <c r="C123" s="40" t="s">
        <v>1008</v>
      </c>
      <c r="D123" s="40">
        <v>2045</v>
      </c>
      <c r="E123" s="86">
        <f>GDPdeflator!$C$32*INDEX(Costs!$E$7:$O$89,MATCH($C123,Costs!$C$7:$C$89,0),MATCH(E$7,Costs!$E$6:$O$6,0))</f>
        <v>20.507604378572122</v>
      </c>
      <c r="F123" s="86">
        <f>GDPdeflator!$C$36*INDEX(Costs!$E$7:$O$89,MATCH($C123,Costs!$C$7:$C$89,0),MATCH(F$7,Costs!$E$6:$O$6,0))</f>
        <v>26.488872871429859</v>
      </c>
      <c r="G123" s="86">
        <f>GDPdeflator!$C$38*INDEX(Costs!$E$7:$O$89,MATCH($C123,Costs!$C$7:$C$89,0),MATCH(G$7,Costs!$E$6:$O$6,0))</f>
        <v>22.357767661568349</v>
      </c>
      <c r="H123" s="86">
        <f>GDPdeflator!$C$38*INDEX(Costs!$E$7:$O$89,MATCH($C123,Costs!$C$7:$C$89,0),MATCH(H$7,Costs!$E$6:$O$6,0))</f>
        <v>22.848376983295555</v>
      </c>
      <c r="I123" s="86">
        <f>GDPdeflator!$C$38*INDEX(Costs!$E$7:$O$89,MATCH($C123,Costs!$C$7:$C$89,0),MATCH(I$7,Costs!$E$6:$O$6,0))</f>
        <v>23.260138378316604</v>
      </c>
      <c r="J123" s="86">
        <f>GDPdeflator!$C$38*INDEX(Costs!$E$7:$O$89,MATCH($C123,Costs!$C$7:$C$89,0),MATCH(J$7,Costs!$E$6:$O$6,0))</f>
        <v>22.839616102550426</v>
      </c>
      <c r="K123" s="86">
        <f>GDPdeflator!$C$38*INDEX(Costs!$E$7:$O$89,MATCH($C123,Costs!$C$7:$C$89,0),MATCH(K$7,Costs!$E$6:$O$6,0))</f>
        <v>22.725724652863757</v>
      </c>
      <c r="L123" s="86">
        <f>GDPdeflator!$C$38*INDEX(Costs!$E$7:$O$89,MATCH($C123,Costs!$C$7:$C$89,0),MATCH(L$7,Costs!$E$6:$O$6,0))</f>
        <v>22.699442010628371</v>
      </c>
      <c r="M123" s="86">
        <f>GDPdeflator!$C$38*INDEX(Costs!$E$7:$O$89,MATCH($C123,Costs!$C$7:$C$89,0),MATCH(M$7,Costs!$E$6:$O$6,0))</f>
        <v>22.699442010628371</v>
      </c>
      <c r="N123" s="86">
        <f>GDPdeflator!$C$38*INDEX(Costs!$E$7:$O$89,MATCH($C123,Costs!$C$7:$C$89,0),MATCH(N$7,Costs!$E$6:$O$6,0))</f>
        <v>22.699442010628371</v>
      </c>
      <c r="O123" s="86">
        <f>GDPdeflator!$C$38*INDEX(Costs!$E$7:$O$89,MATCH($C123,Costs!$C$7:$C$89,0),MATCH(O$7,Costs!$E$6:$O$6,0))</f>
        <v>22.699442010628371</v>
      </c>
      <c r="P123" s="87">
        <f t="shared" si="75"/>
        <v>1712.3469756794784</v>
      </c>
      <c r="Q123" s="87">
        <f t="shared" si="65"/>
        <v>2211.7718146515776</v>
      </c>
      <c r="R123" s="87">
        <f t="shared" si="66"/>
        <v>1866.8321824187938</v>
      </c>
      <c r="S123" s="87">
        <f t="shared" si="67"/>
        <v>1907.7971519389555</v>
      </c>
      <c r="T123" s="87">
        <f t="shared" si="68"/>
        <v>1942.178465643377</v>
      </c>
      <c r="U123" s="87">
        <f t="shared" si="69"/>
        <v>1907.0656346260955</v>
      </c>
      <c r="V123" s="87">
        <f t="shared" si="70"/>
        <v>1897.5559095589153</v>
      </c>
      <c r="W123" s="87">
        <f t="shared" si="71"/>
        <v>1895.3613576203352</v>
      </c>
      <c r="X123" s="87">
        <f t="shared" si="72"/>
        <v>1895.3613576203352</v>
      </c>
      <c r="Y123" s="87">
        <f t="shared" si="73"/>
        <v>1895.3613576203352</v>
      </c>
      <c r="Z123" s="87">
        <f t="shared" si="74"/>
        <v>1895.3613576203352</v>
      </c>
      <c r="AA123" s="88">
        <v>420</v>
      </c>
      <c r="AB123" s="89">
        <f>AA123*GDPdeflator!$C$25/$AI$18*10^3</f>
        <v>40.382789385678855</v>
      </c>
      <c r="AC123" s="90" t="e">
        <f>INDEX(Efficiencies!$D$8:$M$89,MATCH(C123,Efficiencies!$C$8:$C$89),MATCH(D123,Efficiencies!$D$7:$M$7))</f>
        <v>#REF!</v>
      </c>
      <c r="AD123" s="90" t="e">
        <f t="shared" si="76"/>
        <v>#REF!</v>
      </c>
      <c r="AE123" s="90" t="e">
        <f>INDEX(Efficiencies!$P$8:$Y$89,MATCH(C123,Efficiencies!$C$8:$C$89),MATCH(D123,Efficiencies!$P$7:$Y$7))</f>
        <v>#REF!</v>
      </c>
      <c r="AF123" s="90" t="e">
        <f t="shared" si="50"/>
        <v>#REF!</v>
      </c>
      <c r="AG123" s="90">
        <v>0</v>
      </c>
    </row>
    <row r="124" spans="1:33" x14ac:dyDescent="0.2">
      <c r="A124" s="92" t="s">
        <v>1025</v>
      </c>
      <c r="B124" s="248" t="s">
        <v>1026</v>
      </c>
      <c r="C124" s="40" t="s">
        <v>1008</v>
      </c>
      <c r="D124" s="40">
        <v>2050</v>
      </c>
      <c r="E124" s="86">
        <f>GDPdeflator!$C$32*INDEX(Costs!$E$7:$O$89,MATCH($C124,Costs!$C$7:$C$89,0),MATCH(E$7,Costs!$E$6:$O$6,0))</f>
        <v>20.507604378572122</v>
      </c>
      <c r="F124" s="86">
        <f>GDPdeflator!$C$36*INDEX(Costs!$E$7:$O$89,MATCH($C124,Costs!$C$7:$C$89,0),MATCH(F$7,Costs!$E$6:$O$6,0))</f>
        <v>26.488872871429859</v>
      </c>
      <c r="G124" s="86">
        <f>GDPdeflator!$C$38*INDEX(Costs!$E$7:$O$89,MATCH($C124,Costs!$C$7:$C$89,0),MATCH(G$7,Costs!$E$6:$O$6,0))</f>
        <v>22.357767661568349</v>
      </c>
      <c r="H124" s="86">
        <f>GDPdeflator!$C$38*INDEX(Costs!$E$7:$O$89,MATCH($C124,Costs!$C$7:$C$89,0),MATCH(H$7,Costs!$E$6:$O$6,0))</f>
        <v>22.848376983295555</v>
      </c>
      <c r="I124" s="86">
        <f>GDPdeflator!$C$38*INDEX(Costs!$E$7:$O$89,MATCH($C124,Costs!$C$7:$C$89,0),MATCH(I$7,Costs!$E$6:$O$6,0))</f>
        <v>23.260138378316604</v>
      </c>
      <c r="J124" s="86">
        <f>GDPdeflator!$C$38*INDEX(Costs!$E$7:$O$89,MATCH($C124,Costs!$C$7:$C$89,0),MATCH(J$7,Costs!$E$6:$O$6,0))</f>
        <v>22.839616102550426</v>
      </c>
      <c r="K124" s="86">
        <f>GDPdeflator!$C$38*INDEX(Costs!$E$7:$O$89,MATCH($C124,Costs!$C$7:$C$89,0),MATCH(K$7,Costs!$E$6:$O$6,0))</f>
        <v>22.725724652863757</v>
      </c>
      <c r="L124" s="86">
        <f>GDPdeflator!$C$38*INDEX(Costs!$E$7:$O$89,MATCH($C124,Costs!$C$7:$C$89,0),MATCH(L$7,Costs!$E$6:$O$6,0))</f>
        <v>22.699442010628371</v>
      </c>
      <c r="M124" s="86">
        <f>GDPdeflator!$C$38*INDEX(Costs!$E$7:$O$89,MATCH($C124,Costs!$C$7:$C$89,0),MATCH(M$7,Costs!$E$6:$O$6,0))</f>
        <v>22.699442010628371</v>
      </c>
      <c r="N124" s="86">
        <f>GDPdeflator!$C$38*INDEX(Costs!$E$7:$O$89,MATCH($C124,Costs!$C$7:$C$89,0),MATCH(N$7,Costs!$E$6:$O$6,0))</f>
        <v>22.699442010628371</v>
      </c>
      <c r="O124" s="86">
        <f>GDPdeflator!$C$38*INDEX(Costs!$E$7:$O$89,MATCH($C124,Costs!$C$7:$C$89,0),MATCH(O$7,Costs!$E$6:$O$6,0))</f>
        <v>22.699442010628371</v>
      </c>
      <c r="P124" s="87">
        <f t="shared" si="75"/>
        <v>1712.3469756794784</v>
      </c>
      <c r="Q124" s="87">
        <f t="shared" si="65"/>
        <v>2211.7718146515776</v>
      </c>
      <c r="R124" s="87">
        <f t="shared" si="66"/>
        <v>1866.8321824187938</v>
      </c>
      <c r="S124" s="87">
        <f t="shared" si="67"/>
        <v>1907.7971519389555</v>
      </c>
      <c r="T124" s="87">
        <f t="shared" si="68"/>
        <v>1942.178465643377</v>
      </c>
      <c r="U124" s="87">
        <f t="shared" si="69"/>
        <v>1907.0656346260955</v>
      </c>
      <c r="V124" s="87">
        <f t="shared" si="70"/>
        <v>1897.5559095589153</v>
      </c>
      <c r="W124" s="87">
        <f t="shared" si="71"/>
        <v>1895.3613576203352</v>
      </c>
      <c r="X124" s="87">
        <f t="shared" si="72"/>
        <v>1895.3613576203352</v>
      </c>
      <c r="Y124" s="87">
        <f t="shared" si="73"/>
        <v>1895.3613576203352</v>
      </c>
      <c r="Z124" s="87">
        <f t="shared" si="74"/>
        <v>1895.3613576203352</v>
      </c>
      <c r="AA124" s="88">
        <v>420</v>
      </c>
      <c r="AB124" s="89">
        <f>AA124*GDPdeflator!$C$25/$AI$18*10^3</f>
        <v>40.382789385678855</v>
      </c>
      <c r="AC124" s="90" t="e">
        <f>INDEX(Efficiencies!$D$8:$M$89,MATCH(C124,Efficiencies!$C$8:$C$89),MATCH(D124,Efficiencies!$D$7:$M$7))</f>
        <v>#REF!</v>
      </c>
      <c r="AD124" s="90" t="e">
        <f t="shared" si="76"/>
        <v>#REF!</v>
      </c>
      <c r="AE124" s="90" t="e">
        <f>INDEX(Efficiencies!$P$8:$Y$89,MATCH(C124,Efficiencies!$C$8:$C$89),MATCH(D124,Efficiencies!$P$7:$Y$7))</f>
        <v>#REF!</v>
      </c>
      <c r="AF124" s="90" t="e">
        <f t="shared" si="50"/>
        <v>#REF!</v>
      </c>
      <c r="AG124" s="90">
        <v>0</v>
      </c>
    </row>
    <row r="125" spans="1:33" x14ac:dyDescent="0.2">
      <c r="A125" s="92" t="s">
        <v>1027</v>
      </c>
      <c r="B125" s="248" t="s">
        <v>1028</v>
      </c>
      <c r="C125" s="40" t="s">
        <v>1029</v>
      </c>
      <c r="D125" s="40">
        <v>2060</v>
      </c>
      <c r="E125" s="86">
        <f>GDPdeflator!$C$32*INDEX(Costs!$E$7:$O$89,MATCH($C125,Costs!$C$7:$C$89,0),MATCH(E$7,Costs!$E$6:$O$6,0))</f>
        <v>21.795989537925021</v>
      </c>
      <c r="F125" s="86">
        <f>GDPdeflator!$C$36*INDEX(Costs!$E$7:$O$89,MATCH($C125,Costs!$C$7:$C$89,0),MATCH(F$7,Costs!$E$6:$O$6,0))</f>
        <v>25.047301558698983</v>
      </c>
      <c r="G125" s="86">
        <f>GDPdeflator!$C$38*INDEX(Costs!$E$7:$O$89,MATCH($C125,Costs!$C$7:$C$89,0),MATCH(G$7,Costs!$E$6:$O$6,0))</f>
        <v>22.822094341060172</v>
      </c>
      <c r="H125" s="86">
        <f>GDPdeflator!$C$38*INDEX(Costs!$E$7:$O$89,MATCH($C125,Costs!$C$7:$C$89,0),MATCH(H$7,Costs!$E$6:$O$6,0))</f>
        <v>23.680660654082779</v>
      </c>
      <c r="I125" s="86">
        <f>GDPdeflator!$C$38*INDEX(Costs!$E$7:$O$89,MATCH($C125,Costs!$C$7:$C$89,0),MATCH(I$7,Costs!$E$6:$O$6,0))</f>
        <v>25.170010380754654</v>
      </c>
      <c r="J125" s="86">
        <f>GDPdeflator!$C$38*INDEX(Costs!$E$7:$O$89,MATCH($C125,Costs!$C$7:$C$89,0),MATCH(J$7,Costs!$E$6:$O$6,0))</f>
        <v>25.196293022990041</v>
      </c>
      <c r="K125" s="86">
        <f>GDPdeflator!$C$38*INDEX(Costs!$E$7:$O$89,MATCH($C125,Costs!$C$7:$C$89,0),MATCH(K$7,Costs!$E$6:$O$6,0))</f>
        <v>25.213814784480295</v>
      </c>
      <c r="L125" s="86">
        <f>GDPdeflator!$C$38*INDEX(Costs!$E$7:$O$89,MATCH($C125,Costs!$C$7:$C$89,0),MATCH(L$7,Costs!$E$6:$O$6,0))</f>
        <v>25.231336545970553</v>
      </c>
      <c r="M125" s="86">
        <f>GDPdeflator!$C$38*INDEX(Costs!$E$7:$O$89,MATCH($C125,Costs!$C$7:$C$89,0),MATCH(M$7,Costs!$E$6:$O$6,0))</f>
        <v>25.231336545970553</v>
      </c>
      <c r="N125" s="86">
        <f>GDPdeflator!$C$38*INDEX(Costs!$E$7:$O$89,MATCH($C125,Costs!$C$7:$C$89,0),MATCH(N$7,Costs!$E$6:$O$6,0))</f>
        <v>25.231336545970553</v>
      </c>
      <c r="O125" s="86">
        <f>GDPdeflator!$C$38*INDEX(Costs!$E$7:$O$89,MATCH($C125,Costs!$C$7:$C$89,0),MATCH(O$7,Costs!$E$6:$O$6,0))</f>
        <v>25.231336545970553</v>
      </c>
      <c r="P125" s="87">
        <f>E125/$AI$18*10^6</f>
        <v>1819.9247497774329</v>
      </c>
      <c r="Q125" s="87">
        <f t="shared" si="65"/>
        <v>2091.4032805208794</v>
      </c>
      <c r="R125" s="87">
        <f t="shared" si="66"/>
        <v>1905.6026000003756</v>
      </c>
      <c r="S125" s="87">
        <f t="shared" si="67"/>
        <v>1977.2912966606582</v>
      </c>
      <c r="T125" s="87">
        <f t="shared" si="68"/>
        <v>2101.6492398468636</v>
      </c>
      <c r="U125" s="87">
        <f t="shared" si="69"/>
        <v>2103.8437917854435</v>
      </c>
      <c r="V125" s="87">
        <f t="shared" si="70"/>
        <v>2105.3068264111635</v>
      </c>
      <c r="W125" s="87">
        <f t="shared" si="71"/>
        <v>2106.7698610368834</v>
      </c>
      <c r="X125" s="87">
        <f t="shared" si="72"/>
        <v>2106.7698610368834</v>
      </c>
      <c r="Y125" s="87">
        <f t="shared" si="73"/>
        <v>2106.7698610368834</v>
      </c>
      <c r="Z125" s="87">
        <f t="shared" si="74"/>
        <v>2106.7698610368834</v>
      </c>
      <c r="AA125" s="88">
        <v>360</v>
      </c>
      <c r="AB125" s="89">
        <f>AA125*GDPdeflator!$C$25/$AI$18*10^3</f>
        <v>34.613819473439015</v>
      </c>
      <c r="AC125" s="90" t="e">
        <f>INDEX(Efficiencies!$D$8:$M$89,MATCH(C125,Efficiencies!$C$8:$C$89),MATCH(D125,Efficiencies!$D$7:$M$7))</f>
        <v>#REF!</v>
      </c>
      <c r="AD125" s="90" t="e">
        <f t="shared" si="76"/>
        <v>#REF!</v>
      </c>
      <c r="AE125" s="90" t="e">
        <f>INDEX(Efficiencies!$P$8:$Y$89,MATCH(C125,Efficiencies!$C$8:$C$89),MATCH(D125,Efficiencies!$P$7:$Y$7))</f>
        <v>#REF!</v>
      </c>
      <c r="AF125" s="90" t="e">
        <f t="shared" si="50"/>
        <v>#REF!</v>
      </c>
      <c r="AG125" s="90">
        <v>0</v>
      </c>
    </row>
    <row r="126" spans="1:33" x14ac:dyDescent="0.2">
      <c r="A126" s="92" t="s">
        <v>1030</v>
      </c>
      <c r="B126" s="248" t="s">
        <v>1031</v>
      </c>
      <c r="C126" s="40" t="s">
        <v>1029</v>
      </c>
      <c r="D126" s="40">
        <v>2005</v>
      </c>
      <c r="E126" s="86">
        <f>GDPdeflator!$C$32*INDEX(Costs!$E$7:$O$89,MATCH($C126,Costs!$C$7:$C$89,0),MATCH(E$7,Costs!$E$6:$O$6,0))</f>
        <v>21.795989537925021</v>
      </c>
      <c r="F126" s="86">
        <f>GDPdeflator!$C$36*INDEX(Costs!$E$7:$O$89,MATCH($C126,Costs!$C$7:$C$89,0),MATCH(F$7,Costs!$E$6:$O$6,0))</f>
        <v>25.047301558698983</v>
      </c>
      <c r="G126" s="86">
        <f>GDPdeflator!$C$38*INDEX(Costs!$E$7:$O$89,MATCH($C126,Costs!$C$7:$C$89,0),MATCH(G$7,Costs!$E$6:$O$6,0))</f>
        <v>22.822094341060172</v>
      </c>
      <c r="H126" s="86">
        <f>GDPdeflator!$C$38*INDEX(Costs!$E$7:$O$89,MATCH($C126,Costs!$C$7:$C$89,0),MATCH(H$7,Costs!$E$6:$O$6,0))</f>
        <v>23.680660654082779</v>
      </c>
      <c r="I126" s="86">
        <f>GDPdeflator!$C$38*INDEX(Costs!$E$7:$O$89,MATCH($C126,Costs!$C$7:$C$89,0),MATCH(I$7,Costs!$E$6:$O$6,0))</f>
        <v>25.170010380754654</v>
      </c>
      <c r="J126" s="86">
        <f>GDPdeflator!$C$38*INDEX(Costs!$E$7:$O$89,MATCH($C126,Costs!$C$7:$C$89,0),MATCH(J$7,Costs!$E$6:$O$6,0))</f>
        <v>25.196293022990041</v>
      </c>
      <c r="K126" s="86">
        <f>GDPdeflator!$C$38*INDEX(Costs!$E$7:$O$89,MATCH($C126,Costs!$C$7:$C$89,0),MATCH(K$7,Costs!$E$6:$O$6,0))</f>
        <v>25.213814784480295</v>
      </c>
      <c r="L126" s="86">
        <f>GDPdeflator!$C$38*INDEX(Costs!$E$7:$O$89,MATCH($C126,Costs!$C$7:$C$89,0),MATCH(L$7,Costs!$E$6:$O$6,0))</f>
        <v>25.231336545970553</v>
      </c>
      <c r="M126" s="86">
        <f>GDPdeflator!$C$38*INDEX(Costs!$E$7:$O$89,MATCH($C126,Costs!$C$7:$C$89,0),MATCH(M$7,Costs!$E$6:$O$6,0))</f>
        <v>25.231336545970553</v>
      </c>
      <c r="N126" s="86">
        <f>GDPdeflator!$C$38*INDEX(Costs!$E$7:$O$89,MATCH($C126,Costs!$C$7:$C$89,0),MATCH(N$7,Costs!$E$6:$O$6,0))</f>
        <v>25.231336545970553</v>
      </c>
      <c r="O126" s="86">
        <f>GDPdeflator!$C$38*INDEX(Costs!$E$7:$O$89,MATCH($C126,Costs!$C$7:$C$89,0),MATCH(O$7,Costs!$E$6:$O$6,0))</f>
        <v>25.231336545970553</v>
      </c>
      <c r="P126" s="87">
        <f t="shared" ref="P126:P135" si="77">E126/$AI$18*10^6</f>
        <v>1819.9247497774329</v>
      </c>
      <c r="Q126" s="87">
        <f t="shared" si="65"/>
        <v>2091.4032805208794</v>
      </c>
      <c r="R126" s="87">
        <f t="shared" si="66"/>
        <v>1905.6026000003756</v>
      </c>
      <c r="S126" s="87">
        <f t="shared" si="67"/>
        <v>1977.2912966606582</v>
      </c>
      <c r="T126" s="87">
        <f t="shared" si="68"/>
        <v>2101.6492398468636</v>
      </c>
      <c r="U126" s="87">
        <f t="shared" si="69"/>
        <v>2103.8437917854435</v>
      </c>
      <c r="V126" s="87">
        <f t="shared" si="70"/>
        <v>2105.3068264111635</v>
      </c>
      <c r="W126" s="87">
        <f t="shared" si="71"/>
        <v>2106.7698610368834</v>
      </c>
      <c r="X126" s="87">
        <f t="shared" si="72"/>
        <v>2106.7698610368834</v>
      </c>
      <c r="Y126" s="87">
        <f t="shared" si="73"/>
        <v>2106.7698610368834</v>
      </c>
      <c r="Z126" s="87">
        <f t="shared" si="74"/>
        <v>2106.7698610368834</v>
      </c>
      <c r="AA126" s="88">
        <v>360</v>
      </c>
      <c r="AB126" s="89">
        <f>AA126*GDPdeflator!$C$25/$AI$18*10^3</f>
        <v>34.613819473439015</v>
      </c>
      <c r="AC126" s="90" t="e">
        <f>INDEX(Efficiencies!$D$8:$M$89,MATCH(C126,Efficiencies!$C$8:$C$89),MATCH(D126,Efficiencies!$D$7:$M$7))</f>
        <v>#REF!</v>
      </c>
      <c r="AD126" s="90" t="e">
        <f t="shared" si="76"/>
        <v>#REF!</v>
      </c>
      <c r="AE126" s="90" t="e">
        <f>INDEX(Efficiencies!$P$8:$Y$89,MATCH(C126,Efficiencies!$C$8:$C$89),MATCH(D126,Efficiencies!$P$7:$Y$7))</f>
        <v>#REF!</v>
      </c>
      <c r="AF126" s="90" t="e">
        <f t="shared" si="50"/>
        <v>#REF!</v>
      </c>
      <c r="AG126" s="90">
        <v>0</v>
      </c>
    </row>
    <row r="127" spans="1:33" x14ac:dyDescent="0.2">
      <c r="A127" s="92" t="s">
        <v>1032</v>
      </c>
      <c r="B127" s="248" t="s">
        <v>1033</v>
      </c>
      <c r="C127" s="40" t="s">
        <v>1029</v>
      </c>
      <c r="D127" s="40">
        <v>2010</v>
      </c>
      <c r="E127" s="86">
        <f>GDPdeflator!$C$32*INDEX(Costs!$E$7:$O$89,MATCH($C127,Costs!$C$7:$C$89,0),MATCH(E$7,Costs!$E$6:$O$6,0))</f>
        <v>21.795989537925021</v>
      </c>
      <c r="F127" s="86">
        <f>GDPdeflator!$C$36*INDEX(Costs!$E$7:$O$89,MATCH($C127,Costs!$C$7:$C$89,0),MATCH(F$7,Costs!$E$6:$O$6,0))</f>
        <v>25.047301558698983</v>
      </c>
      <c r="G127" s="86">
        <f>GDPdeflator!$C$38*INDEX(Costs!$E$7:$O$89,MATCH($C127,Costs!$C$7:$C$89,0),MATCH(G$7,Costs!$E$6:$O$6,0))</f>
        <v>22.822094341060172</v>
      </c>
      <c r="H127" s="86">
        <f>GDPdeflator!$C$38*INDEX(Costs!$E$7:$O$89,MATCH($C127,Costs!$C$7:$C$89,0),MATCH(H$7,Costs!$E$6:$O$6,0))</f>
        <v>23.680660654082779</v>
      </c>
      <c r="I127" s="86">
        <f>GDPdeflator!$C$38*INDEX(Costs!$E$7:$O$89,MATCH($C127,Costs!$C$7:$C$89,0),MATCH(I$7,Costs!$E$6:$O$6,0))</f>
        <v>25.170010380754654</v>
      </c>
      <c r="J127" s="86">
        <f>GDPdeflator!$C$38*INDEX(Costs!$E$7:$O$89,MATCH($C127,Costs!$C$7:$C$89,0),MATCH(J$7,Costs!$E$6:$O$6,0))</f>
        <v>25.196293022990041</v>
      </c>
      <c r="K127" s="86">
        <f>GDPdeflator!$C$38*INDEX(Costs!$E$7:$O$89,MATCH($C127,Costs!$C$7:$C$89,0),MATCH(K$7,Costs!$E$6:$O$6,0))</f>
        <v>25.213814784480295</v>
      </c>
      <c r="L127" s="86">
        <f>GDPdeflator!$C$38*INDEX(Costs!$E$7:$O$89,MATCH($C127,Costs!$C$7:$C$89,0),MATCH(L$7,Costs!$E$6:$O$6,0))</f>
        <v>25.231336545970553</v>
      </c>
      <c r="M127" s="86">
        <f>GDPdeflator!$C$38*INDEX(Costs!$E$7:$O$89,MATCH($C127,Costs!$C$7:$C$89,0),MATCH(M$7,Costs!$E$6:$O$6,0))</f>
        <v>25.231336545970553</v>
      </c>
      <c r="N127" s="86">
        <f>GDPdeflator!$C$38*INDEX(Costs!$E$7:$O$89,MATCH($C127,Costs!$C$7:$C$89,0),MATCH(N$7,Costs!$E$6:$O$6,0))</f>
        <v>25.231336545970553</v>
      </c>
      <c r="O127" s="86">
        <f>GDPdeflator!$C$38*INDEX(Costs!$E$7:$O$89,MATCH($C127,Costs!$C$7:$C$89,0),MATCH(O$7,Costs!$E$6:$O$6,0))</f>
        <v>25.231336545970553</v>
      </c>
      <c r="P127" s="87">
        <f t="shared" si="77"/>
        <v>1819.9247497774329</v>
      </c>
      <c r="Q127" s="87">
        <f t="shared" si="65"/>
        <v>2091.4032805208794</v>
      </c>
      <c r="R127" s="87">
        <f t="shared" si="66"/>
        <v>1905.6026000003756</v>
      </c>
      <c r="S127" s="87">
        <f t="shared" si="67"/>
        <v>1977.2912966606582</v>
      </c>
      <c r="T127" s="87">
        <f t="shared" si="68"/>
        <v>2101.6492398468636</v>
      </c>
      <c r="U127" s="87">
        <f t="shared" si="69"/>
        <v>2103.8437917854435</v>
      </c>
      <c r="V127" s="87">
        <f t="shared" si="70"/>
        <v>2105.3068264111635</v>
      </c>
      <c r="W127" s="87">
        <f t="shared" si="71"/>
        <v>2106.7698610368834</v>
      </c>
      <c r="X127" s="87">
        <f t="shared" si="72"/>
        <v>2106.7698610368834</v>
      </c>
      <c r="Y127" s="87">
        <f t="shared" si="73"/>
        <v>2106.7698610368834</v>
      </c>
      <c r="Z127" s="87">
        <f t="shared" si="74"/>
        <v>2106.7698610368834</v>
      </c>
      <c r="AA127" s="88">
        <v>360</v>
      </c>
      <c r="AB127" s="89">
        <f>AA127*GDPdeflator!$C$25/$AI$18*10^3</f>
        <v>34.613819473439015</v>
      </c>
      <c r="AC127" s="90" t="e">
        <f>INDEX(Efficiencies!$D$8:$M$89,MATCH(C127,Efficiencies!$C$8:$C$89),MATCH(D127,Efficiencies!$D$7:$M$7))</f>
        <v>#REF!</v>
      </c>
      <c r="AD127" s="90" t="e">
        <f t="shared" si="76"/>
        <v>#REF!</v>
      </c>
      <c r="AE127" s="90" t="e">
        <f>INDEX(Efficiencies!$P$8:$Y$89,MATCH(C127,Efficiencies!$C$8:$C$89),MATCH(D127,Efficiencies!$P$7:$Y$7))</f>
        <v>#REF!</v>
      </c>
      <c r="AF127" s="90" t="e">
        <f t="shared" si="50"/>
        <v>#REF!</v>
      </c>
      <c r="AG127" s="90">
        <v>0</v>
      </c>
    </row>
    <row r="128" spans="1:33" x14ac:dyDescent="0.2">
      <c r="A128" s="92" t="s">
        <v>1034</v>
      </c>
      <c r="B128" s="248" t="s">
        <v>1035</v>
      </c>
      <c r="C128" s="40" t="s">
        <v>1029</v>
      </c>
      <c r="D128" s="40">
        <v>2015</v>
      </c>
      <c r="E128" s="86">
        <f>GDPdeflator!$C$32*INDEX(Costs!$E$7:$O$89,MATCH($C128,Costs!$C$7:$C$89,0),MATCH(E$7,Costs!$E$6:$O$6,0))</f>
        <v>21.795989537925021</v>
      </c>
      <c r="F128" s="86">
        <f>GDPdeflator!$C$36*INDEX(Costs!$E$7:$O$89,MATCH($C128,Costs!$C$7:$C$89,0),MATCH(F$7,Costs!$E$6:$O$6,0))</f>
        <v>25.047301558698983</v>
      </c>
      <c r="G128" s="86">
        <f>GDPdeflator!$C$38*INDEX(Costs!$E$7:$O$89,MATCH($C128,Costs!$C$7:$C$89,0),MATCH(G$7,Costs!$E$6:$O$6,0))</f>
        <v>22.822094341060172</v>
      </c>
      <c r="H128" s="86">
        <f>GDPdeflator!$C$38*INDEX(Costs!$E$7:$O$89,MATCH($C128,Costs!$C$7:$C$89,0),MATCH(H$7,Costs!$E$6:$O$6,0))</f>
        <v>23.680660654082779</v>
      </c>
      <c r="I128" s="86">
        <f>GDPdeflator!$C$38*INDEX(Costs!$E$7:$O$89,MATCH($C128,Costs!$C$7:$C$89,0),MATCH(I$7,Costs!$E$6:$O$6,0))</f>
        <v>25.170010380754654</v>
      </c>
      <c r="J128" s="86">
        <f>GDPdeflator!$C$38*INDEX(Costs!$E$7:$O$89,MATCH($C128,Costs!$C$7:$C$89,0),MATCH(J$7,Costs!$E$6:$O$6,0))</f>
        <v>25.196293022990041</v>
      </c>
      <c r="K128" s="86">
        <f>GDPdeflator!$C$38*INDEX(Costs!$E$7:$O$89,MATCH($C128,Costs!$C$7:$C$89,0),MATCH(K$7,Costs!$E$6:$O$6,0))</f>
        <v>25.213814784480295</v>
      </c>
      <c r="L128" s="86">
        <f>GDPdeflator!$C$38*INDEX(Costs!$E$7:$O$89,MATCH($C128,Costs!$C$7:$C$89,0),MATCH(L$7,Costs!$E$6:$O$6,0))</f>
        <v>25.231336545970553</v>
      </c>
      <c r="M128" s="86">
        <f>GDPdeflator!$C$38*INDEX(Costs!$E$7:$O$89,MATCH($C128,Costs!$C$7:$C$89,0),MATCH(M$7,Costs!$E$6:$O$6,0))</f>
        <v>25.231336545970553</v>
      </c>
      <c r="N128" s="86">
        <f>GDPdeflator!$C$38*INDEX(Costs!$E$7:$O$89,MATCH($C128,Costs!$C$7:$C$89,0),MATCH(N$7,Costs!$E$6:$O$6,0))</f>
        <v>25.231336545970553</v>
      </c>
      <c r="O128" s="86">
        <f>GDPdeflator!$C$38*INDEX(Costs!$E$7:$O$89,MATCH($C128,Costs!$C$7:$C$89,0),MATCH(O$7,Costs!$E$6:$O$6,0))</f>
        <v>25.231336545970553</v>
      </c>
      <c r="P128" s="87">
        <f t="shared" si="77"/>
        <v>1819.9247497774329</v>
      </c>
      <c r="Q128" s="87">
        <f t="shared" si="65"/>
        <v>2091.4032805208794</v>
      </c>
      <c r="R128" s="87">
        <f t="shared" si="66"/>
        <v>1905.6026000003756</v>
      </c>
      <c r="S128" s="87">
        <f t="shared" si="67"/>
        <v>1977.2912966606582</v>
      </c>
      <c r="T128" s="87">
        <f t="shared" si="68"/>
        <v>2101.6492398468636</v>
      </c>
      <c r="U128" s="87">
        <f t="shared" si="69"/>
        <v>2103.8437917854435</v>
      </c>
      <c r="V128" s="87">
        <f t="shared" si="70"/>
        <v>2105.3068264111635</v>
      </c>
      <c r="W128" s="87">
        <f t="shared" si="71"/>
        <v>2106.7698610368834</v>
      </c>
      <c r="X128" s="87">
        <f t="shared" si="72"/>
        <v>2106.7698610368834</v>
      </c>
      <c r="Y128" s="87">
        <f t="shared" si="73"/>
        <v>2106.7698610368834</v>
      </c>
      <c r="Z128" s="87">
        <f t="shared" si="74"/>
        <v>2106.7698610368834</v>
      </c>
      <c r="AA128" s="88">
        <v>360</v>
      </c>
      <c r="AB128" s="89">
        <f>AA128*GDPdeflator!$C$25/$AI$18*10^3</f>
        <v>34.613819473439015</v>
      </c>
      <c r="AC128" s="90" t="e">
        <f>INDEX(Efficiencies!$D$8:$M$89,MATCH(C128,Efficiencies!$C$8:$C$89),MATCH(D128,Efficiencies!$D$7:$M$7))</f>
        <v>#REF!</v>
      </c>
      <c r="AD128" s="90" t="e">
        <f t="shared" si="76"/>
        <v>#REF!</v>
      </c>
      <c r="AE128" s="90" t="e">
        <f>INDEX(Efficiencies!$P$8:$Y$89,MATCH(C128,Efficiencies!$C$8:$C$89),MATCH(D128,Efficiencies!$P$7:$Y$7))</f>
        <v>#REF!</v>
      </c>
      <c r="AF128" s="90" t="e">
        <f t="shared" si="50"/>
        <v>#REF!</v>
      </c>
      <c r="AG128" s="90">
        <v>0</v>
      </c>
    </row>
    <row r="129" spans="1:33" x14ac:dyDescent="0.2">
      <c r="A129" s="92" t="s">
        <v>1036</v>
      </c>
      <c r="B129" s="248" t="s">
        <v>1037</v>
      </c>
      <c r="C129" s="40" t="s">
        <v>1029</v>
      </c>
      <c r="D129" s="40">
        <v>2020</v>
      </c>
      <c r="E129" s="86">
        <f>GDPdeflator!$C$32*INDEX(Costs!$E$7:$O$89,MATCH($C129,Costs!$C$7:$C$89,0),MATCH(E$7,Costs!$E$6:$O$6,0))</f>
        <v>21.795989537925021</v>
      </c>
      <c r="F129" s="86">
        <f>GDPdeflator!$C$36*INDEX(Costs!$E$7:$O$89,MATCH($C129,Costs!$C$7:$C$89,0),MATCH(F$7,Costs!$E$6:$O$6,0))</f>
        <v>25.047301558698983</v>
      </c>
      <c r="G129" s="86">
        <f>GDPdeflator!$C$38*INDEX(Costs!$E$7:$O$89,MATCH($C129,Costs!$C$7:$C$89,0),MATCH(G$7,Costs!$E$6:$O$6,0))</f>
        <v>22.822094341060172</v>
      </c>
      <c r="H129" s="86">
        <f>GDPdeflator!$C$38*INDEX(Costs!$E$7:$O$89,MATCH($C129,Costs!$C$7:$C$89,0),MATCH(H$7,Costs!$E$6:$O$6,0))</f>
        <v>23.680660654082779</v>
      </c>
      <c r="I129" s="86">
        <f>GDPdeflator!$C$38*INDEX(Costs!$E$7:$O$89,MATCH($C129,Costs!$C$7:$C$89,0),MATCH(I$7,Costs!$E$6:$O$6,0))</f>
        <v>25.170010380754654</v>
      </c>
      <c r="J129" s="86">
        <f>GDPdeflator!$C$38*INDEX(Costs!$E$7:$O$89,MATCH($C129,Costs!$C$7:$C$89,0),MATCH(J$7,Costs!$E$6:$O$6,0))</f>
        <v>25.196293022990041</v>
      </c>
      <c r="K129" s="86">
        <f>GDPdeflator!$C$38*INDEX(Costs!$E$7:$O$89,MATCH($C129,Costs!$C$7:$C$89,0),MATCH(K$7,Costs!$E$6:$O$6,0))</f>
        <v>25.213814784480295</v>
      </c>
      <c r="L129" s="86">
        <f>GDPdeflator!$C$38*INDEX(Costs!$E$7:$O$89,MATCH($C129,Costs!$C$7:$C$89,0),MATCH(L$7,Costs!$E$6:$O$6,0))</f>
        <v>25.231336545970553</v>
      </c>
      <c r="M129" s="86">
        <f>GDPdeflator!$C$38*INDEX(Costs!$E$7:$O$89,MATCH($C129,Costs!$C$7:$C$89,0),MATCH(M$7,Costs!$E$6:$O$6,0))</f>
        <v>25.231336545970553</v>
      </c>
      <c r="N129" s="86">
        <f>GDPdeflator!$C$38*INDEX(Costs!$E$7:$O$89,MATCH($C129,Costs!$C$7:$C$89,0),MATCH(N$7,Costs!$E$6:$O$6,0))</f>
        <v>25.231336545970553</v>
      </c>
      <c r="O129" s="86">
        <f>GDPdeflator!$C$38*INDEX(Costs!$E$7:$O$89,MATCH($C129,Costs!$C$7:$C$89,0),MATCH(O$7,Costs!$E$6:$O$6,0))</f>
        <v>25.231336545970553</v>
      </c>
      <c r="P129" s="87">
        <f t="shared" si="77"/>
        <v>1819.9247497774329</v>
      </c>
      <c r="Q129" s="87">
        <f t="shared" si="65"/>
        <v>2091.4032805208794</v>
      </c>
      <c r="R129" s="87">
        <f t="shared" si="66"/>
        <v>1905.6026000003756</v>
      </c>
      <c r="S129" s="87">
        <f t="shared" si="67"/>
        <v>1977.2912966606582</v>
      </c>
      <c r="T129" s="87">
        <f t="shared" si="68"/>
        <v>2101.6492398468636</v>
      </c>
      <c r="U129" s="87">
        <f t="shared" si="69"/>
        <v>2103.8437917854435</v>
      </c>
      <c r="V129" s="87">
        <f t="shared" si="70"/>
        <v>2105.3068264111635</v>
      </c>
      <c r="W129" s="87">
        <f t="shared" si="71"/>
        <v>2106.7698610368834</v>
      </c>
      <c r="X129" s="87">
        <f t="shared" si="72"/>
        <v>2106.7698610368834</v>
      </c>
      <c r="Y129" s="87">
        <f t="shared" si="73"/>
        <v>2106.7698610368834</v>
      </c>
      <c r="Z129" s="87">
        <f t="shared" si="74"/>
        <v>2106.7698610368834</v>
      </c>
      <c r="AA129" s="88">
        <v>360</v>
      </c>
      <c r="AB129" s="89">
        <f>AA129*GDPdeflator!$C$25/$AI$18*10^3</f>
        <v>34.613819473439015</v>
      </c>
      <c r="AC129" s="90" t="e">
        <f>INDEX(Efficiencies!$D$8:$M$89,MATCH(C129,Efficiencies!$C$8:$C$89),MATCH(D129,Efficiencies!$D$7:$M$7))</f>
        <v>#REF!</v>
      </c>
      <c r="AD129" s="90" t="e">
        <f t="shared" si="76"/>
        <v>#REF!</v>
      </c>
      <c r="AE129" s="90" t="e">
        <f>INDEX(Efficiencies!$P$8:$Y$89,MATCH(C129,Efficiencies!$C$8:$C$89),MATCH(D129,Efficiencies!$P$7:$Y$7))</f>
        <v>#REF!</v>
      </c>
      <c r="AF129" s="90" t="e">
        <f t="shared" si="50"/>
        <v>#REF!</v>
      </c>
      <c r="AG129" s="90">
        <v>0</v>
      </c>
    </row>
    <row r="130" spans="1:33" x14ac:dyDescent="0.2">
      <c r="A130" s="92" t="s">
        <v>1038</v>
      </c>
      <c r="B130" s="248" t="s">
        <v>1039</v>
      </c>
      <c r="C130" s="40" t="s">
        <v>1029</v>
      </c>
      <c r="D130" s="40">
        <v>2025</v>
      </c>
      <c r="E130" s="86">
        <f>GDPdeflator!$C$32*INDEX(Costs!$E$7:$O$89,MATCH($C130,Costs!$C$7:$C$89,0),MATCH(E$7,Costs!$E$6:$O$6,0))</f>
        <v>21.795989537925021</v>
      </c>
      <c r="F130" s="86">
        <f>GDPdeflator!$C$36*INDEX(Costs!$E$7:$O$89,MATCH($C130,Costs!$C$7:$C$89,0),MATCH(F$7,Costs!$E$6:$O$6,0))</f>
        <v>25.047301558698983</v>
      </c>
      <c r="G130" s="86">
        <f>GDPdeflator!$C$38*INDEX(Costs!$E$7:$O$89,MATCH($C130,Costs!$C$7:$C$89,0),MATCH(G$7,Costs!$E$6:$O$6,0))</f>
        <v>22.822094341060172</v>
      </c>
      <c r="H130" s="86">
        <f>GDPdeflator!$C$38*INDEX(Costs!$E$7:$O$89,MATCH($C130,Costs!$C$7:$C$89,0),MATCH(H$7,Costs!$E$6:$O$6,0))</f>
        <v>23.680660654082779</v>
      </c>
      <c r="I130" s="86">
        <f>GDPdeflator!$C$38*INDEX(Costs!$E$7:$O$89,MATCH($C130,Costs!$C$7:$C$89,0),MATCH(I$7,Costs!$E$6:$O$6,0))</f>
        <v>25.170010380754654</v>
      </c>
      <c r="J130" s="86">
        <f>GDPdeflator!$C$38*INDEX(Costs!$E$7:$O$89,MATCH($C130,Costs!$C$7:$C$89,0),MATCH(J$7,Costs!$E$6:$O$6,0))</f>
        <v>25.196293022990041</v>
      </c>
      <c r="K130" s="86">
        <f>GDPdeflator!$C$38*INDEX(Costs!$E$7:$O$89,MATCH($C130,Costs!$C$7:$C$89,0),MATCH(K$7,Costs!$E$6:$O$6,0))</f>
        <v>25.213814784480295</v>
      </c>
      <c r="L130" s="86">
        <f>GDPdeflator!$C$38*INDEX(Costs!$E$7:$O$89,MATCH($C130,Costs!$C$7:$C$89,0),MATCH(L$7,Costs!$E$6:$O$6,0))</f>
        <v>25.231336545970553</v>
      </c>
      <c r="M130" s="86">
        <f>GDPdeflator!$C$38*INDEX(Costs!$E$7:$O$89,MATCH($C130,Costs!$C$7:$C$89,0),MATCH(M$7,Costs!$E$6:$O$6,0))</f>
        <v>25.231336545970553</v>
      </c>
      <c r="N130" s="86">
        <f>GDPdeflator!$C$38*INDEX(Costs!$E$7:$O$89,MATCH($C130,Costs!$C$7:$C$89,0),MATCH(N$7,Costs!$E$6:$O$6,0))</f>
        <v>25.231336545970553</v>
      </c>
      <c r="O130" s="86">
        <f>GDPdeflator!$C$38*INDEX(Costs!$E$7:$O$89,MATCH($C130,Costs!$C$7:$C$89,0),MATCH(O$7,Costs!$E$6:$O$6,0))</f>
        <v>25.231336545970553</v>
      </c>
      <c r="P130" s="87">
        <f t="shared" si="77"/>
        <v>1819.9247497774329</v>
      </c>
      <c r="Q130" s="87">
        <f t="shared" si="65"/>
        <v>2091.4032805208794</v>
      </c>
      <c r="R130" s="87">
        <f t="shared" si="66"/>
        <v>1905.6026000003756</v>
      </c>
      <c r="S130" s="87">
        <f t="shared" si="67"/>
        <v>1977.2912966606582</v>
      </c>
      <c r="T130" s="87">
        <f t="shared" si="68"/>
        <v>2101.6492398468636</v>
      </c>
      <c r="U130" s="87">
        <f t="shared" si="69"/>
        <v>2103.8437917854435</v>
      </c>
      <c r="V130" s="87">
        <f t="shared" si="70"/>
        <v>2105.3068264111635</v>
      </c>
      <c r="W130" s="87">
        <f t="shared" si="71"/>
        <v>2106.7698610368834</v>
      </c>
      <c r="X130" s="87">
        <f t="shared" si="72"/>
        <v>2106.7698610368834</v>
      </c>
      <c r="Y130" s="87">
        <f t="shared" si="73"/>
        <v>2106.7698610368834</v>
      </c>
      <c r="Z130" s="87">
        <f t="shared" si="74"/>
        <v>2106.7698610368834</v>
      </c>
      <c r="AA130" s="88">
        <v>360</v>
      </c>
      <c r="AB130" s="89">
        <f>AA130*GDPdeflator!$C$25/$AI$18*10^3</f>
        <v>34.613819473439015</v>
      </c>
      <c r="AC130" s="90" t="e">
        <f>INDEX(Efficiencies!$D$8:$M$89,MATCH(C130,Efficiencies!$C$8:$C$89),MATCH(D130,Efficiencies!$D$7:$M$7))</f>
        <v>#REF!</v>
      </c>
      <c r="AD130" s="90" t="e">
        <f t="shared" si="76"/>
        <v>#REF!</v>
      </c>
      <c r="AE130" s="90" t="e">
        <f>INDEX(Efficiencies!$P$8:$Y$89,MATCH(C130,Efficiencies!$C$8:$C$89),MATCH(D130,Efficiencies!$P$7:$Y$7))</f>
        <v>#REF!</v>
      </c>
      <c r="AF130" s="90" t="e">
        <f t="shared" si="50"/>
        <v>#REF!</v>
      </c>
      <c r="AG130" s="90">
        <v>0</v>
      </c>
    </row>
    <row r="131" spans="1:33" x14ac:dyDescent="0.2">
      <c r="A131" s="92" t="s">
        <v>1040</v>
      </c>
      <c r="B131" s="248" t="s">
        <v>1041</v>
      </c>
      <c r="C131" s="40" t="s">
        <v>1029</v>
      </c>
      <c r="D131" s="40">
        <v>2030</v>
      </c>
      <c r="E131" s="86">
        <f>GDPdeflator!$C$32*INDEX(Costs!$E$7:$O$89,MATCH($C131,Costs!$C$7:$C$89,0),MATCH(E$7,Costs!$E$6:$O$6,0))</f>
        <v>21.795989537925021</v>
      </c>
      <c r="F131" s="86">
        <f>GDPdeflator!$C$36*INDEX(Costs!$E$7:$O$89,MATCH($C131,Costs!$C$7:$C$89,0),MATCH(F$7,Costs!$E$6:$O$6,0))</f>
        <v>25.047301558698983</v>
      </c>
      <c r="G131" s="86">
        <f>GDPdeflator!$C$38*INDEX(Costs!$E$7:$O$89,MATCH($C131,Costs!$C$7:$C$89,0),MATCH(G$7,Costs!$E$6:$O$6,0))</f>
        <v>22.822094341060172</v>
      </c>
      <c r="H131" s="86">
        <f>GDPdeflator!$C$38*INDEX(Costs!$E$7:$O$89,MATCH($C131,Costs!$C$7:$C$89,0),MATCH(H$7,Costs!$E$6:$O$6,0))</f>
        <v>23.680660654082779</v>
      </c>
      <c r="I131" s="86">
        <f>GDPdeflator!$C$38*INDEX(Costs!$E$7:$O$89,MATCH($C131,Costs!$C$7:$C$89,0),MATCH(I$7,Costs!$E$6:$O$6,0))</f>
        <v>25.170010380754654</v>
      </c>
      <c r="J131" s="86">
        <f>GDPdeflator!$C$38*INDEX(Costs!$E$7:$O$89,MATCH($C131,Costs!$C$7:$C$89,0),MATCH(J$7,Costs!$E$6:$O$6,0))</f>
        <v>25.196293022990041</v>
      </c>
      <c r="K131" s="86">
        <f>GDPdeflator!$C$38*INDEX(Costs!$E$7:$O$89,MATCH($C131,Costs!$C$7:$C$89,0),MATCH(K$7,Costs!$E$6:$O$6,0))</f>
        <v>25.213814784480295</v>
      </c>
      <c r="L131" s="86">
        <f>GDPdeflator!$C$38*INDEX(Costs!$E$7:$O$89,MATCH($C131,Costs!$C$7:$C$89,0),MATCH(L$7,Costs!$E$6:$O$6,0))</f>
        <v>25.231336545970553</v>
      </c>
      <c r="M131" s="86">
        <f>GDPdeflator!$C$38*INDEX(Costs!$E$7:$O$89,MATCH($C131,Costs!$C$7:$C$89,0),MATCH(M$7,Costs!$E$6:$O$6,0))</f>
        <v>25.231336545970553</v>
      </c>
      <c r="N131" s="86">
        <f>GDPdeflator!$C$38*INDEX(Costs!$E$7:$O$89,MATCH($C131,Costs!$C$7:$C$89,0),MATCH(N$7,Costs!$E$6:$O$6,0))</f>
        <v>25.231336545970553</v>
      </c>
      <c r="O131" s="86">
        <f>GDPdeflator!$C$38*INDEX(Costs!$E$7:$O$89,MATCH($C131,Costs!$C$7:$C$89,0),MATCH(O$7,Costs!$E$6:$O$6,0))</f>
        <v>25.231336545970553</v>
      </c>
      <c r="P131" s="87">
        <f t="shared" si="77"/>
        <v>1819.9247497774329</v>
      </c>
      <c r="Q131" s="87">
        <f t="shared" si="65"/>
        <v>2091.4032805208794</v>
      </c>
      <c r="R131" s="87">
        <f t="shared" si="66"/>
        <v>1905.6026000003756</v>
      </c>
      <c r="S131" s="87">
        <f t="shared" si="67"/>
        <v>1977.2912966606582</v>
      </c>
      <c r="T131" s="87">
        <f t="shared" si="68"/>
        <v>2101.6492398468636</v>
      </c>
      <c r="U131" s="87">
        <f t="shared" si="69"/>
        <v>2103.8437917854435</v>
      </c>
      <c r="V131" s="87">
        <f t="shared" si="70"/>
        <v>2105.3068264111635</v>
      </c>
      <c r="W131" s="87">
        <f t="shared" si="71"/>
        <v>2106.7698610368834</v>
      </c>
      <c r="X131" s="87">
        <f t="shared" si="72"/>
        <v>2106.7698610368834</v>
      </c>
      <c r="Y131" s="87">
        <f t="shared" si="73"/>
        <v>2106.7698610368834</v>
      </c>
      <c r="Z131" s="87">
        <f t="shared" si="74"/>
        <v>2106.7698610368834</v>
      </c>
      <c r="AA131" s="88">
        <v>360</v>
      </c>
      <c r="AB131" s="89">
        <f>AA131*GDPdeflator!$C$25/$AI$18*10^3</f>
        <v>34.613819473439015</v>
      </c>
      <c r="AC131" s="90" t="e">
        <f>INDEX(Efficiencies!$D$8:$M$89,MATCH(C131,Efficiencies!$C$8:$C$89),MATCH(D131,Efficiencies!$D$7:$M$7))</f>
        <v>#REF!</v>
      </c>
      <c r="AD131" s="90" t="e">
        <f t="shared" si="76"/>
        <v>#REF!</v>
      </c>
      <c r="AE131" s="90" t="e">
        <f>INDEX(Efficiencies!$P$8:$Y$89,MATCH(C131,Efficiencies!$C$8:$C$89),MATCH(D131,Efficiencies!$P$7:$Y$7))</f>
        <v>#REF!</v>
      </c>
      <c r="AF131" s="90" t="e">
        <f t="shared" si="50"/>
        <v>#REF!</v>
      </c>
      <c r="AG131" s="90">
        <v>0</v>
      </c>
    </row>
    <row r="132" spans="1:33" x14ac:dyDescent="0.2">
      <c r="A132" s="92" t="s">
        <v>1042</v>
      </c>
      <c r="B132" s="248" t="s">
        <v>1043</v>
      </c>
      <c r="C132" s="40" t="s">
        <v>1029</v>
      </c>
      <c r="D132" s="40">
        <v>2035</v>
      </c>
      <c r="E132" s="86">
        <f>GDPdeflator!$C$32*INDEX(Costs!$E$7:$O$89,MATCH($C132,Costs!$C$7:$C$89,0),MATCH(E$7,Costs!$E$6:$O$6,0))</f>
        <v>21.795989537925021</v>
      </c>
      <c r="F132" s="86">
        <f>GDPdeflator!$C$36*INDEX(Costs!$E$7:$O$89,MATCH($C132,Costs!$C$7:$C$89,0),MATCH(F$7,Costs!$E$6:$O$6,0))</f>
        <v>25.047301558698983</v>
      </c>
      <c r="G132" s="86">
        <f>GDPdeflator!$C$38*INDEX(Costs!$E$7:$O$89,MATCH($C132,Costs!$C$7:$C$89,0),MATCH(G$7,Costs!$E$6:$O$6,0))</f>
        <v>22.822094341060172</v>
      </c>
      <c r="H132" s="86">
        <f>GDPdeflator!$C$38*INDEX(Costs!$E$7:$O$89,MATCH($C132,Costs!$C$7:$C$89,0),MATCH(H$7,Costs!$E$6:$O$6,0))</f>
        <v>23.680660654082779</v>
      </c>
      <c r="I132" s="86">
        <f>GDPdeflator!$C$38*INDEX(Costs!$E$7:$O$89,MATCH($C132,Costs!$C$7:$C$89,0),MATCH(I$7,Costs!$E$6:$O$6,0))</f>
        <v>25.170010380754654</v>
      </c>
      <c r="J132" s="86">
        <f>GDPdeflator!$C$38*INDEX(Costs!$E$7:$O$89,MATCH($C132,Costs!$C$7:$C$89,0),MATCH(J$7,Costs!$E$6:$O$6,0))</f>
        <v>25.196293022990041</v>
      </c>
      <c r="K132" s="86">
        <f>GDPdeflator!$C$38*INDEX(Costs!$E$7:$O$89,MATCH($C132,Costs!$C$7:$C$89,0),MATCH(K$7,Costs!$E$6:$O$6,0))</f>
        <v>25.213814784480295</v>
      </c>
      <c r="L132" s="86">
        <f>GDPdeflator!$C$38*INDEX(Costs!$E$7:$O$89,MATCH($C132,Costs!$C$7:$C$89,0),MATCH(L$7,Costs!$E$6:$O$6,0))</f>
        <v>25.231336545970553</v>
      </c>
      <c r="M132" s="86">
        <f>GDPdeflator!$C$38*INDEX(Costs!$E$7:$O$89,MATCH($C132,Costs!$C$7:$C$89,0),MATCH(M$7,Costs!$E$6:$O$6,0))</f>
        <v>25.231336545970553</v>
      </c>
      <c r="N132" s="86">
        <f>GDPdeflator!$C$38*INDEX(Costs!$E$7:$O$89,MATCH($C132,Costs!$C$7:$C$89,0),MATCH(N$7,Costs!$E$6:$O$6,0))</f>
        <v>25.231336545970553</v>
      </c>
      <c r="O132" s="86">
        <f>GDPdeflator!$C$38*INDEX(Costs!$E$7:$O$89,MATCH($C132,Costs!$C$7:$C$89,0),MATCH(O$7,Costs!$E$6:$O$6,0))</f>
        <v>25.231336545970553</v>
      </c>
      <c r="P132" s="87">
        <f t="shared" si="77"/>
        <v>1819.9247497774329</v>
      </c>
      <c r="Q132" s="87">
        <f t="shared" si="65"/>
        <v>2091.4032805208794</v>
      </c>
      <c r="R132" s="87">
        <f t="shared" si="66"/>
        <v>1905.6026000003756</v>
      </c>
      <c r="S132" s="87">
        <f t="shared" si="67"/>
        <v>1977.2912966606582</v>
      </c>
      <c r="T132" s="87">
        <f t="shared" si="68"/>
        <v>2101.6492398468636</v>
      </c>
      <c r="U132" s="87">
        <f t="shared" si="69"/>
        <v>2103.8437917854435</v>
      </c>
      <c r="V132" s="87">
        <f t="shared" si="70"/>
        <v>2105.3068264111635</v>
      </c>
      <c r="W132" s="87">
        <f t="shared" si="71"/>
        <v>2106.7698610368834</v>
      </c>
      <c r="X132" s="87">
        <f t="shared" si="72"/>
        <v>2106.7698610368834</v>
      </c>
      <c r="Y132" s="87">
        <f t="shared" si="73"/>
        <v>2106.7698610368834</v>
      </c>
      <c r="Z132" s="87">
        <f t="shared" si="74"/>
        <v>2106.7698610368834</v>
      </c>
      <c r="AA132" s="88">
        <v>360</v>
      </c>
      <c r="AB132" s="89">
        <f>AA132*GDPdeflator!$C$25/$AI$18*10^3</f>
        <v>34.613819473439015</v>
      </c>
      <c r="AC132" s="90" t="e">
        <f>INDEX(Efficiencies!$D$8:$M$89,MATCH(C132,Efficiencies!$C$8:$C$89),MATCH(D132,Efficiencies!$D$7:$M$7))</f>
        <v>#REF!</v>
      </c>
      <c r="AD132" s="90" t="e">
        <f t="shared" si="76"/>
        <v>#REF!</v>
      </c>
      <c r="AE132" s="90" t="e">
        <f>INDEX(Efficiencies!$P$8:$Y$89,MATCH(C132,Efficiencies!$C$8:$C$89),MATCH(D132,Efficiencies!$P$7:$Y$7))</f>
        <v>#REF!</v>
      </c>
      <c r="AF132" s="90" t="e">
        <f t="shared" ref="AF132:AF186" si="78">AE132/($AI$11*$AI$15*10 ^ 9)</f>
        <v>#REF!</v>
      </c>
      <c r="AG132" s="90">
        <v>0</v>
      </c>
    </row>
    <row r="133" spans="1:33" x14ac:dyDescent="0.2">
      <c r="A133" s="92" t="s">
        <v>1044</v>
      </c>
      <c r="B133" s="248" t="s">
        <v>1045</v>
      </c>
      <c r="C133" s="40" t="s">
        <v>1029</v>
      </c>
      <c r="D133" s="40">
        <v>2040</v>
      </c>
      <c r="E133" s="86">
        <f>GDPdeflator!$C$32*INDEX(Costs!$E$7:$O$89,MATCH($C133,Costs!$C$7:$C$89,0),MATCH(E$7,Costs!$E$6:$O$6,0))</f>
        <v>21.795989537925021</v>
      </c>
      <c r="F133" s="86">
        <f>GDPdeflator!$C$36*INDEX(Costs!$E$7:$O$89,MATCH($C133,Costs!$C$7:$C$89,0),MATCH(F$7,Costs!$E$6:$O$6,0))</f>
        <v>25.047301558698983</v>
      </c>
      <c r="G133" s="86">
        <f>GDPdeflator!$C$38*INDEX(Costs!$E$7:$O$89,MATCH($C133,Costs!$C$7:$C$89,0),MATCH(G$7,Costs!$E$6:$O$6,0))</f>
        <v>22.822094341060172</v>
      </c>
      <c r="H133" s="86">
        <f>GDPdeflator!$C$38*INDEX(Costs!$E$7:$O$89,MATCH($C133,Costs!$C$7:$C$89,0),MATCH(H$7,Costs!$E$6:$O$6,0))</f>
        <v>23.680660654082779</v>
      </c>
      <c r="I133" s="86">
        <f>GDPdeflator!$C$38*INDEX(Costs!$E$7:$O$89,MATCH($C133,Costs!$C$7:$C$89,0),MATCH(I$7,Costs!$E$6:$O$6,0))</f>
        <v>25.170010380754654</v>
      </c>
      <c r="J133" s="86">
        <f>GDPdeflator!$C$38*INDEX(Costs!$E$7:$O$89,MATCH($C133,Costs!$C$7:$C$89,0),MATCH(J$7,Costs!$E$6:$O$6,0))</f>
        <v>25.196293022990041</v>
      </c>
      <c r="K133" s="86">
        <f>GDPdeflator!$C$38*INDEX(Costs!$E$7:$O$89,MATCH($C133,Costs!$C$7:$C$89,0),MATCH(K$7,Costs!$E$6:$O$6,0))</f>
        <v>25.213814784480295</v>
      </c>
      <c r="L133" s="86">
        <f>GDPdeflator!$C$38*INDEX(Costs!$E$7:$O$89,MATCH($C133,Costs!$C$7:$C$89,0),MATCH(L$7,Costs!$E$6:$O$6,0))</f>
        <v>25.231336545970553</v>
      </c>
      <c r="M133" s="86">
        <f>GDPdeflator!$C$38*INDEX(Costs!$E$7:$O$89,MATCH($C133,Costs!$C$7:$C$89,0),MATCH(M$7,Costs!$E$6:$O$6,0))</f>
        <v>25.231336545970553</v>
      </c>
      <c r="N133" s="86">
        <f>GDPdeflator!$C$38*INDEX(Costs!$E$7:$O$89,MATCH($C133,Costs!$C$7:$C$89,0),MATCH(N$7,Costs!$E$6:$O$6,0))</f>
        <v>25.231336545970553</v>
      </c>
      <c r="O133" s="86">
        <f>GDPdeflator!$C$38*INDEX(Costs!$E$7:$O$89,MATCH($C133,Costs!$C$7:$C$89,0),MATCH(O$7,Costs!$E$6:$O$6,0))</f>
        <v>25.231336545970553</v>
      </c>
      <c r="P133" s="87">
        <f t="shared" si="77"/>
        <v>1819.9247497774329</v>
      </c>
      <c r="Q133" s="87">
        <f t="shared" si="65"/>
        <v>2091.4032805208794</v>
      </c>
      <c r="R133" s="87">
        <f t="shared" si="66"/>
        <v>1905.6026000003756</v>
      </c>
      <c r="S133" s="87">
        <f t="shared" si="67"/>
        <v>1977.2912966606582</v>
      </c>
      <c r="T133" s="87">
        <f t="shared" si="68"/>
        <v>2101.6492398468636</v>
      </c>
      <c r="U133" s="87">
        <f t="shared" si="69"/>
        <v>2103.8437917854435</v>
      </c>
      <c r="V133" s="87">
        <f t="shared" si="70"/>
        <v>2105.3068264111635</v>
      </c>
      <c r="W133" s="87">
        <f t="shared" si="71"/>
        <v>2106.7698610368834</v>
      </c>
      <c r="X133" s="87">
        <f t="shared" si="72"/>
        <v>2106.7698610368834</v>
      </c>
      <c r="Y133" s="87">
        <f t="shared" si="73"/>
        <v>2106.7698610368834</v>
      </c>
      <c r="Z133" s="87">
        <f t="shared" si="74"/>
        <v>2106.7698610368834</v>
      </c>
      <c r="AA133" s="88">
        <v>360</v>
      </c>
      <c r="AB133" s="89">
        <f>AA133*GDPdeflator!$C$25/$AI$18*10^3</f>
        <v>34.613819473439015</v>
      </c>
      <c r="AC133" s="90" t="e">
        <f>INDEX(Efficiencies!$D$8:$M$89,MATCH(C133,Efficiencies!$C$8:$C$89),MATCH(D133,Efficiencies!$D$7:$M$7))</f>
        <v>#REF!</v>
      </c>
      <c r="AD133" s="90" t="e">
        <f t="shared" si="76"/>
        <v>#REF!</v>
      </c>
      <c r="AE133" s="90" t="e">
        <f>INDEX(Efficiencies!$P$8:$Y$89,MATCH(C133,Efficiencies!$C$8:$C$89),MATCH(D133,Efficiencies!$P$7:$Y$7))</f>
        <v>#REF!</v>
      </c>
      <c r="AF133" s="90" t="e">
        <f t="shared" si="78"/>
        <v>#REF!</v>
      </c>
      <c r="AG133" s="90">
        <v>0</v>
      </c>
    </row>
    <row r="134" spans="1:33" x14ac:dyDescent="0.2">
      <c r="A134" s="92" t="s">
        <v>1046</v>
      </c>
      <c r="B134" s="248" t="s">
        <v>1047</v>
      </c>
      <c r="C134" s="40" t="s">
        <v>1029</v>
      </c>
      <c r="D134" s="40">
        <v>2045</v>
      </c>
      <c r="E134" s="86">
        <f>GDPdeflator!$C$32*INDEX(Costs!$E$7:$O$89,MATCH($C134,Costs!$C$7:$C$89,0),MATCH(E$7,Costs!$E$6:$O$6,0))</f>
        <v>21.795989537925021</v>
      </c>
      <c r="F134" s="86">
        <f>GDPdeflator!$C$36*INDEX(Costs!$E$7:$O$89,MATCH($C134,Costs!$C$7:$C$89,0),MATCH(F$7,Costs!$E$6:$O$6,0))</f>
        <v>25.047301558698983</v>
      </c>
      <c r="G134" s="86">
        <f>GDPdeflator!$C$38*INDEX(Costs!$E$7:$O$89,MATCH($C134,Costs!$C$7:$C$89,0),MATCH(G$7,Costs!$E$6:$O$6,0))</f>
        <v>22.822094341060172</v>
      </c>
      <c r="H134" s="86">
        <f>GDPdeflator!$C$38*INDEX(Costs!$E$7:$O$89,MATCH($C134,Costs!$C$7:$C$89,0),MATCH(H$7,Costs!$E$6:$O$6,0))</f>
        <v>23.680660654082779</v>
      </c>
      <c r="I134" s="86">
        <f>GDPdeflator!$C$38*INDEX(Costs!$E$7:$O$89,MATCH($C134,Costs!$C$7:$C$89,0),MATCH(I$7,Costs!$E$6:$O$6,0))</f>
        <v>25.170010380754654</v>
      </c>
      <c r="J134" s="86">
        <f>GDPdeflator!$C$38*INDEX(Costs!$E$7:$O$89,MATCH($C134,Costs!$C$7:$C$89,0),MATCH(J$7,Costs!$E$6:$O$6,0))</f>
        <v>25.196293022990041</v>
      </c>
      <c r="K134" s="86">
        <f>GDPdeflator!$C$38*INDEX(Costs!$E$7:$O$89,MATCH($C134,Costs!$C$7:$C$89,0),MATCH(K$7,Costs!$E$6:$O$6,0))</f>
        <v>25.213814784480295</v>
      </c>
      <c r="L134" s="86">
        <f>GDPdeflator!$C$38*INDEX(Costs!$E$7:$O$89,MATCH($C134,Costs!$C$7:$C$89,0),MATCH(L$7,Costs!$E$6:$O$6,0))</f>
        <v>25.231336545970553</v>
      </c>
      <c r="M134" s="86">
        <f>GDPdeflator!$C$38*INDEX(Costs!$E$7:$O$89,MATCH($C134,Costs!$C$7:$C$89,0),MATCH(M$7,Costs!$E$6:$O$6,0))</f>
        <v>25.231336545970553</v>
      </c>
      <c r="N134" s="86">
        <f>GDPdeflator!$C$38*INDEX(Costs!$E$7:$O$89,MATCH($C134,Costs!$C$7:$C$89,0),MATCH(N$7,Costs!$E$6:$O$6,0))</f>
        <v>25.231336545970553</v>
      </c>
      <c r="O134" s="86">
        <f>GDPdeflator!$C$38*INDEX(Costs!$E$7:$O$89,MATCH($C134,Costs!$C$7:$C$89,0),MATCH(O$7,Costs!$E$6:$O$6,0))</f>
        <v>25.231336545970553</v>
      </c>
      <c r="P134" s="87">
        <f t="shared" si="77"/>
        <v>1819.9247497774329</v>
      </c>
      <c r="Q134" s="87">
        <f t="shared" si="65"/>
        <v>2091.4032805208794</v>
      </c>
      <c r="R134" s="87">
        <f t="shared" si="66"/>
        <v>1905.6026000003756</v>
      </c>
      <c r="S134" s="87">
        <f t="shared" si="67"/>
        <v>1977.2912966606582</v>
      </c>
      <c r="T134" s="87">
        <f t="shared" si="68"/>
        <v>2101.6492398468636</v>
      </c>
      <c r="U134" s="87">
        <f t="shared" si="69"/>
        <v>2103.8437917854435</v>
      </c>
      <c r="V134" s="87">
        <f t="shared" si="70"/>
        <v>2105.3068264111635</v>
      </c>
      <c r="W134" s="87">
        <f t="shared" si="71"/>
        <v>2106.7698610368834</v>
      </c>
      <c r="X134" s="87">
        <f t="shared" si="72"/>
        <v>2106.7698610368834</v>
      </c>
      <c r="Y134" s="87">
        <f t="shared" si="73"/>
        <v>2106.7698610368834</v>
      </c>
      <c r="Z134" s="87">
        <f t="shared" si="74"/>
        <v>2106.7698610368834</v>
      </c>
      <c r="AA134" s="88">
        <v>360</v>
      </c>
      <c r="AB134" s="89">
        <f>AA134*GDPdeflator!$C$25/$AI$18*10^3</f>
        <v>34.613819473439015</v>
      </c>
      <c r="AC134" s="90" t="e">
        <f>INDEX(Efficiencies!$D$8:$M$89,MATCH(C134,Efficiencies!$C$8:$C$89),MATCH(D134,Efficiencies!$D$7:$M$7))</f>
        <v>#REF!</v>
      </c>
      <c r="AD134" s="90" t="e">
        <f t="shared" si="76"/>
        <v>#REF!</v>
      </c>
      <c r="AE134" s="90" t="e">
        <f>INDEX(Efficiencies!$P$8:$Y$89,MATCH(C134,Efficiencies!$C$8:$C$89),MATCH(D134,Efficiencies!$P$7:$Y$7))</f>
        <v>#REF!</v>
      </c>
      <c r="AF134" s="90" t="e">
        <f t="shared" si="78"/>
        <v>#REF!</v>
      </c>
      <c r="AG134" s="90">
        <v>0</v>
      </c>
    </row>
    <row r="135" spans="1:33" x14ac:dyDescent="0.2">
      <c r="A135" s="92" t="s">
        <v>1048</v>
      </c>
      <c r="B135" s="248" t="s">
        <v>1049</v>
      </c>
      <c r="C135" s="40" t="s">
        <v>1029</v>
      </c>
      <c r="D135" s="40">
        <v>2050</v>
      </c>
      <c r="E135" s="86">
        <f>GDPdeflator!$C$32*INDEX(Costs!$E$7:$O$89,MATCH($C135,Costs!$C$7:$C$89,0),MATCH(E$7,Costs!$E$6:$O$6,0))</f>
        <v>21.795989537925021</v>
      </c>
      <c r="F135" s="86">
        <f>GDPdeflator!$C$36*INDEX(Costs!$E$7:$O$89,MATCH($C135,Costs!$C$7:$C$89,0),MATCH(F$7,Costs!$E$6:$O$6,0))</f>
        <v>25.047301558698983</v>
      </c>
      <c r="G135" s="86">
        <f>GDPdeflator!$C$38*INDEX(Costs!$E$7:$O$89,MATCH($C135,Costs!$C$7:$C$89,0),MATCH(G$7,Costs!$E$6:$O$6,0))</f>
        <v>22.822094341060172</v>
      </c>
      <c r="H135" s="86">
        <f>GDPdeflator!$C$38*INDEX(Costs!$E$7:$O$89,MATCH($C135,Costs!$C$7:$C$89,0),MATCH(H$7,Costs!$E$6:$O$6,0))</f>
        <v>23.680660654082779</v>
      </c>
      <c r="I135" s="86">
        <f>GDPdeflator!$C$38*INDEX(Costs!$E$7:$O$89,MATCH($C135,Costs!$C$7:$C$89,0),MATCH(I$7,Costs!$E$6:$O$6,0))</f>
        <v>25.170010380754654</v>
      </c>
      <c r="J135" s="86">
        <f>GDPdeflator!$C$38*INDEX(Costs!$E$7:$O$89,MATCH($C135,Costs!$C$7:$C$89,0),MATCH(J$7,Costs!$E$6:$O$6,0))</f>
        <v>25.196293022990041</v>
      </c>
      <c r="K135" s="86">
        <f>GDPdeflator!$C$38*INDEX(Costs!$E$7:$O$89,MATCH($C135,Costs!$C$7:$C$89,0),MATCH(K$7,Costs!$E$6:$O$6,0))</f>
        <v>25.213814784480295</v>
      </c>
      <c r="L135" s="86">
        <f>GDPdeflator!$C$38*INDEX(Costs!$E$7:$O$89,MATCH($C135,Costs!$C$7:$C$89,0),MATCH(L$7,Costs!$E$6:$O$6,0))</f>
        <v>25.231336545970553</v>
      </c>
      <c r="M135" s="86">
        <f>GDPdeflator!$C$38*INDEX(Costs!$E$7:$O$89,MATCH($C135,Costs!$C$7:$C$89,0),MATCH(M$7,Costs!$E$6:$O$6,0))</f>
        <v>25.231336545970553</v>
      </c>
      <c r="N135" s="86">
        <f>GDPdeflator!$C$38*INDEX(Costs!$E$7:$O$89,MATCH($C135,Costs!$C$7:$C$89,0),MATCH(N$7,Costs!$E$6:$O$6,0))</f>
        <v>25.231336545970553</v>
      </c>
      <c r="O135" s="86">
        <f>GDPdeflator!$C$38*INDEX(Costs!$E$7:$O$89,MATCH($C135,Costs!$C$7:$C$89,0),MATCH(O$7,Costs!$E$6:$O$6,0))</f>
        <v>25.231336545970553</v>
      </c>
      <c r="P135" s="87">
        <f t="shared" si="77"/>
        <v>1819.9247497774329</v>
      </c>
      <c r="Q135" s="87">
        <f t="shared" si="65"/>
        <v>2091.4032805208794</v>
      </c>
      <c r="R135" s="87">
        <f t="shared" si="66"/>
        <v>1905.6026000003756</v>
      </c>
      <c r="S135" s="87">
        <f t="shared" si="67"/>
        <v>1977.2912966606582</v>
      </c>
      <c r="T135" s="87">
        <f t="shared" si="68"/>
        <v>2101.6492398468636</v>
      </c>
      <c r="U135" s="87">
        <f t="shared" si="69"/>
        <v>2103.8437917854435</v>
      </c>
      <c r="V135" s="87">
        <f t="shared" si="70"/>
        <v>2105.3068264111635</v>
      </c>
      <c r="W135" s="87">
        <f t="shared" si="71"/>
        <v>2106.7698610368834</v>
      </c>
      <c r="X135" s="87">
        <f t="shared" si="72"/>
        <v>2106.7698610368834</v>
      </c>
      <c r="Y135" s="87">
        <f t="shared" si="73"/>
        <v>2106.7698610368834</v>
      </c>
      <c r="Z135" s="87">
        <f t="shared" si="74"/>
        <v>2106.7698610368834</v>
      </c>
      <c r="AA135" s="88">
        <v>360</v>
      </c>
      <c r="AB135" s="89">
        <f>AA135*GDPdeflator!$C$25/$AI$18*10^3</f>
        <v>34.613819473439015</v>
      </c>
      <c r="AC135" s="90" t="e">
        <f>INDEX(Efficiencies!$D$8:$M$89,MATCH(C135,Efficiencies!$C$8:$C$89),MATCH(D135,Efficiencies!$D$7:$M$7))</f>
        <v>#REF!</v>
      </c>
      <c r="AD135" s="90" t="e">
        <f t="shared" si="76"/>
        <v>#REF!</v>
      </c>
      <c r="AE135" s="90" t="e">
        <f>INDEX(Efficiencies!$P$8:$Y$89,MATCH(C135,Efficiencies!$C$8:$C$89),MATCH(D135,Efficiencies!$P$7:$Y$7))</f>
        <v>#REF!</v>
      </c>
      <c r="AF135" s="90" t="e">
        <f t="shared" si="78"/>
        <v>#REF!</v>
      </c>
      <c r="AG135" s="90">
        <v>0</v>
      </c>
    </row>
    <row r="136" spans="1:33" x14ac:dyDescent="0.2">
      <c r="A136" s="92" t="s">
        <v>1050</v>
      </c>
      <c r="B136" s="248" t="s">
        <v>1051</v>
      </c>
      <c r="C136" s="40" t="s">
        <v>1052</v>
      </c>
      <c r="D136" s="40">
        <v>2010</v>
      </c>
      <c r="E136" s="86">
        <f>GDPdeflator!$C$32*INDEX(Costs!$E$7:$O$89,MATCH($C136,Costs!$C$7:$C$89,0),MATCH(E$7,Costs!$E$6:$O$6,0))</f>
        <v>0</v>
      </c>
      <c r="F136" s="86">
        <f>GDPdeflator!$C$36*INDEX(Costs!$E$7:$O$89,MATCH($C136,Costs!$C$7:$C$89,0),MATCH(F$7,Costs!$E$6:$O$6,0))</f>
        <v>24.362555185151816</v>
      </c>
      <c r="G136" s="86">
        <f>GDPdeflator!$C$38*INDEX(Costs!$E$7:$O$89,MATCH($C136,Costs!$C$7:$C$89,0),MATCH(G$7,Costs!$E$6:$O$6,0))</f>
        <v>22.971029313727357</v>
      </c>
      <c r="H136" s="86">
        <f>GDPdeflator!$C$38*INDEX(Costs!$E$7:$O$89,MATCH($C136,Costs!$C$7:$C$89,0),MATCH(H$7,Costs!$E$6:$O$6,0))</f>
        <v>23.80331298451458</v>
      </c>
      <c r="I136" s="86">
        <f>GDPdeflator!$C$38*INDEX(Costs!$E$7:$O$89,MATCH($C136,Costs!$C$7:$C$89,0),MATCH(I$7,Costs!$E$6:$O$6,0))</f>
        <v>25.178771261499779</v>
      </c>
      <c r="J136" s="86">
        <f>GDPdeflator!$C$38*INDEX(Costs!$E$7:$O$89,MATCH($C136,Costs!$C$7:$C$89,0),MATCH(J$7,Costs!$E$6:$O$6,0))</f>
        <v>25.205053903735166</v>
      </c>
      <c r="K136" s="86">
        <f>GDPdeflator!$C$38*INDEX(Costs!$E$7:$O$89,MATCH($C136,Costs!$C$7:$C$89,0),MATCH(K$7,Costs!$E$6:$O$6,0))</f>
        <v>25.222575665225424</v>
      </c>
      <c r="L136" s="86">
        <f>GDPdeflator!$C$38*INDEX(Costs!$E$7:$O$89,MATCH($C136,Costs!$C$7:$C$89,0),MATCH(L$7,Costs!$E$6:$O$6,0))</f>
        <v>25.231336545970553</v>
      </c>
      <c r="M136" s="86">
        <f>GDPdeflator!$C$38*INDEX(Costs!$E$7:$O$89,MATCH($C136,Costs!$C$7:$C$89,0),MATCH(M$7,Costs!$E$6:$O$6,0))</f>
        <v>25.231336545970553</v>
      </c>
      <c r="N136" s="86">
        <f>GDPdeflator!$C$38*INDEX(Costs!$E$7:$O$89,MATCH($C136,Costs!$C$7:$C$89,0),MATCH(N$7,Costs!$E$6:$O$6,0))</f>
        <v>25.231336545970553</v>
      </c>
      <c r="O136" s="86">
        <f>GDPdeflator!$C$38*INDEX(Costs!$E$7:$O$89,MATCH($C136,Costs!$C$7:$C$89,0),MATCH(O$7,Costs!$E$6:$O$6,0))</f>
        <v>25.231336545970553</v>
      </c>
      <c r="P136" s="87">
        <f>E136/$AI$18*10^6</f>
        <v>0</v>
      </c>
      <c r="Q136" s="87">
        <f t="shared" si="65"/>
        <v>2034.2282268087977</v>
      </c>
      <c r="R136" s="87">
        <f t="shared" si="66"/>
        <v>1918.0383943189959</v>
      </c>
      <c r="S136" s="87">
        <f t="shared" si="67"/>
        <v>1987.5325390406986</v>
      </c>
      <c r="T136" s="87">
        <f t="shared" si="68"/>
        <v>2102.3807571597231</v>
      </c>
      <c r="U136" s="87">
        <f t="shared" si="69"/>
        <v>2104.5753090983035</v>
      </c>
      <c r="V136" s="87">
        <f t="shared" si="70"/>
        <v>2106.0383437240234</v>
      </c>
      <c r="W136" s="87">
        <f t="shared" si="71"/>
        <v>2106.7698610368834</v>
      </c>
      <c r="X136" s="87">
        <f t="shared" si="72"/>
        <v>2106.7698610368834</v>
      </c>
      <c r="Y136" s="87">
        <f t="shared" si="73"/>
        <v>2106.7698610368834</v>
      </c>
      <c r="Z136" s="87">
        <f t="shared" si="74"/>
        <v>2106.7698610368834</v>
      </c>
      <c r="AA136" s="88">
        <v>420</v>
      </c>
      <c r="AB136" s="89">
        <f>AA136*GDPdeflator!$C$25/$AI$18*10^3</f>
        <v>40.382789385678855</v>
      </c>
      <c r="AC136" s="90" t="e">
        <f>INDEX(Efficiencies!$D$8:$M$89,MATCH(C136,Efficiencies!$C$8:$C$89),MATCH(D136,Efficiencies!$D$7:$M$7))</f>
        <v>#REF!</v>
      </c>
      <c r="AD136" s="90" t="e">
        <f t="shared" si="76"/>
        <v>#REF!</v>
      </c>
      <c r="AE136" s="90" t="e">
        <f>INDEX(Efficiencies!$P$8:$Y$89,MATCH(C136,Efficiencies!$C$8:$C$89),MATCH(D136,Efficiencies!$P$7:$Y$7))</f>
        <v>#REF!</v>
      </c>
      <c r="AF136" s="90" t="e">
        <f t="shared" si="78"/>
        <v>#REF!</v>
      </c>
      <c r="AG136" s="90">
        <f>AdditionalVehs!$C$28</f>
        <v>0.26521554647620627</v>
      </c>
    </row>
    <row r="137" spans="1:33" x14ac:dyDescent="0.2">
      <c r="A137" s="92" t="s">
        <v>1053</v>
      </c>
      <c r="B137" s="248" t="s">
        <v>1054</v>
      </c>
      <c r="C137" s="40" t="s">
        <v>1052</v>
      </c>
      <c r="D137" s="40">
        <v>2015</v>
      </c>
      <c r="E137" s="86">
        <f>GDPdeflator!$C$32*INDEX(Costs!$E$7:$O$89,MATCH($C137,Costs!$C$7:$C$89,0),MATCH(E$7,Costs!$E$6:$O$6,0))</f>
        <v>0</v>
      </c>
      <c r="F137" s="86">
        <f>GDPdeflator!$C$36*INDEX(Costs!$E$7:$O$89,MATCH($C137,Costs!$C$7:$C$89,0),MATCH(F$7,Costs!$E$6:$O$6,0))</f>
        <v>24.362555185151816</v>
      </c>
      <c r="G137" s="86">
        <f>GDPdeflator!$C$38*INDEX(Costs!$E$7:$O$89,MATCH($C137,Costs!$C$7:$C$89,0),MATCH(G$7,Costs!$E$6:$O$6,0))</f>
        <v>22.971029313727357</v>
      </c>
      <c r="H137" s="86">
        <f>GDPdeflator!$C$38*INDEX(Costs!$E$7:$O$89,MATCH($C137,Costs!$C$7:$C$89,0),MATCH(H$7,Costs!$E$6:$O$6,0))</f>
        <v>23.80331298451458</v>
      </c>
      <c r="I137" s="86">
        <f>GDPdeflator!$C$38*INDEX(Costs!$E$7:$O$89,MATCH($C137,Costs!$C$7:$C$89,0),MATCH(I$7,Costs!$E$6:$O$6,0))</f>
        <v>25.178771261499779</v>
      </c>
      <c r="J137" s="86">
        <f>GDPdeflator!$C$38*INDEX(Costs!$E$7:$O$89,MATCH($C137,Costs!$C$7:$C$89,0),MATCH(J$7,Costs!$E$6:$O$6,0))</f>
        <v>25.205053903735166</v>
      </c>
      <c r="K137" s="86">
        <f>GDPdeflator!$C$38*INDEX(Costs!$E$7:$O$89,MATCH($C137,Costs!$C$7:$C$89,0),MATCH(K$7,Costs!$E$6:$O$6,0))</f>
        <v>25.222575665225424</v>
      </c>
      <c r="L137" s="86">
        <f>GDPdeflator!$C$38*INDEX(Costs!$E$7:$O$89,MATCH($C137,Costs!$C$7:$C$89,0),MATCH(L$7,Costs!$E$6:$O$6,0))</f>
        <v>25.231336545970553</v>
      </c>
      <c r="M137" s="86">
        <f>GDPdeflator!$C$38*INDEX(Costs!$E$7:$O$89,MATCH($C137,Costs!$C$7:$C$89,0),MATCH(M$7,Costs!$E$6:$O$6,0))</f>
        <v>25.231336545970553</v>
      </c>
      <c r="N137" s="86">
        <f>GDPdeflator!$C$38*INDEX(Costs!$E$7:$O$89,MATCH($C137,Costs!$C$7:$C$89,0),MATCH(N$7,Costs!$E$6:$O$6,0))</f>
        <v>25.231336545970553</v>
      </c>
      <c r="O137" s="86">
        <f>GDPdeflator!$C$38*INDEX(Costs!$E$7:$O$89,MATCH($C137,Costs!$C$7:$C$89,0),MATCH(O$7,Costs!$E$6:$O$6,0))</f>
        <v>25.231336545970553</v>
      </c>
      <c r="P137" s="87">
        <f t="shared" ref="P137:P144" si="79">E137/$AI$18*10^6</f>
        <v>0</v>
      </c>
      <c r="Q137" s="87">
        <f t="shared" si="65"/>
        <v>2034.2282268087977</v>
      </c>
      <c r="R137" s="87">
        <f t="shared" si="66"/>
        <v>1918.0383943189959</v>
      </c>
      <c r="S137" s="87">
        <f t="shared" si="67"/>
        <v>1987.5325390406986</v>
      </c>
      <c r="T137" s="87">
        <f t="shared" si="68"/>
        <v>2102.3807571597231</v>
      </c>
      <c r="U137" s="87">
        <f t="shared" si="69"/>
        <v>2104.5753090983035</v>
      </c>
      <c r="V137" s="87">
        <f t="shared" si="70"/>
        <v>2106.0383437240234</v>
      </c>
      <c r="W137" s="87">
        <f t="shared" si="71"/>
        <v>2106.7698610368834</v>
      </c>
      <c r="X137" s="87">
        <f t="shared" si="72"/>
        <v>2106.7698610368834</v>
      </c>
      <c r="Y137" s="87">
        <f t="shared" si="73"/>
        <v>2106.7698610368834</v>
      </c>
      <c r="Z137" s="87">
        <f t="shared" si="74"/>
        <v>2106.7698610368834</v>
      </c>
      <c r="AA137" s="88">
        <v>420</v>
      </c>
      <c r="AB137" s="89">
        <f>AA137*GDPdeflator!$C$25/$AI$18*10^3</f>
        <v>40.382789385678855</v>
      </c>
      <c r="AC137" s="90" t="e">
        <f>INDEX(Efficiencies!$D$8:$M$89,MATCH(C137,Efficiencies!$C$8:$C$89),MATCH(D137,Efficiencies!$D$7:$M$7))</f>
        <v>#REF!</v>
      </c>
      <c r="AD137" s="90" t="e">
        <f t="shared" si="76"/>
        <v>#REF!</v>
      </c>
      <c r="AE137" s="90" t="e">
        <f>INDEX(Efficiencies!$P$8:$Y$89,MATCH(C137,Efficiencies!$C$8:$C$89),MATCH(D137,Efficiencies!$P$7:$Y$7))</f>
        <v>#REF!</v>
      </c>
      <c r="AF137" s="90" t="e">
        <f t="shared" si="78"/>
        <v>#REF!</v>
      </c>
      <c r="AG137" s="90">
        <f>AdditionalVehs!$C$28</f>
        <v>0.26521554647620627</v>
      </c>
    </row>
    <row r="138" spans="1:33" x14ac:dyDescent="0.2">
      <c r="A138" s="92" t="s">
        <v>1055</v>
      </c>
      <c r="B138" s="248" t="s">
        <v>1056</v>
      </c>
      <c r="C138" s="40" t="s">
        <v>1052</v>
      </c>
      <c r="D138" s="40">
        <v>2020</v>
      </c>
      <c r="E138" s="86">
        <f>GDPdeflator!$C$32*INDEX(Costs!$E$7:$O$89,MATCH($C138,Costs!$C$7:$C$89,0),MATCH(E$7,Costs!$E$6:$O$6,0))</f>
        <v>0</v>
      </c>
      <c r="F138" s="86">
        <f>GDPdeflator!$C$36*INDEX(Costs!$E$7:$O$89,MATCH($C138,Costs!$C$7:$C$89,0),MATCH(F$7,Costs!$E$6:$O$6,0))</f>
        <v>24.362555185151816</v>
      </c>
      <c r="G138" s="86">
        <f>GDPdeflator!$C$38*INDEX(Costs!$E$7:$O$89,MATCH($C138,Costs!$C$7:$C$89,0),MATCH(G$7,Costs!$E$6:$O$6,0))</f>
        <v>22.971029313727357</v>
      </c>
      <c r="H138" s="86">
        <f>GDPdeflator!$C$38*INDEX(Costs!$E$7:$O$89,MATCH($C138,Costs!$C$7:$C$89,0),MATCH(H$7,Costs!$E$6:$O$6,0))</f>
        <v>23.80331298451458</v>
      </c>
      <c r="I138" s="86">
        <f>GDPdeflator!$C$38*INDEX(Costs!$E$7:$O$89,MATCH($C138,Costs!$C$7:$C$89,0),MATCH(I$7,Costs!$E$6:$O$6,0))</f>
        <v>25.178771261499779</v>
      </c>
      <c r="J138" s="86">
        <f>GDPdeflator!$C$38*INDEX(Costs!$E$7:$O$89,MATCH($C138,Costs!$C$7:$C$89,0),MATCH(J$7,Costs!$E$6:$O$6,0))</f>
        <v>25.205053903735166</v>
      </c>
      <c r="K138" s="86">
        <f>GDPdeflator!$C$38*INDEX(Costs!$E$7:$O$89,MATCH($C138,Costs!$C$7:$C$89,0),MATCH(K$7,Costs!$E$6:$O$6,0))</f>
        <v>25.222575665225424</v>
      </c>
      <c r="L138" s="86">
        <f>GDPdeflator!$C$38*INDEX(Costs!$E$7:$O$89,MATCH($C138,Costs!$C$7:$C$89,0),MATCH(L$7,Costs!$E$6:$O$6,0))</f>
        <v>25.231336545970553</v>
      </c>
      <c r="M138" s="86">
        <f>GDPdeflator!$C$38*INDEX(Costs!$E$7:$O$89,MATCH($C138,Costs!$C$7:$C$89,0),MATCH(M$7,Costs!$E$6:$O$6,0))</f>
        <v>25.231336545970553</v>
      </c>
      <c r="N138" s="86">
        <f>GDPdeflator!$C$38*INDEX(Costs!$E$7:$O$89,MATCH($C138,Costs!$C$7:$C$89,0),MATCH(N$7,Costs!$E$6:$O$6,0))</f>
        <v>25.231336545970553</v>
      </c>
      <c r="O138" s="86">
        <f>GDPdeflator!$C$38*INDEX(Costs!$E$7:$O$89,MATCH($C138,Costs!$C$7:$C$89,0),MATCH(O$7,Costs!$E$6:$O$6,0))</f>
        <v>25.231336545970553</v>
      </c>
      <c r="P138" s="87">
        <f t="shared" si="79"/>
        <v>0</v>
      </c>
      <c r="Q138" s="87">
        <f t="shared" si="65"/>
        <v>2034.2282268087977</v>
      </c>
      <c r="R138" s="87">
        <f t="shared" si="66"/>
        <v>1918.0383943189959</v>
      </c>
      <c r="S138" s="87">
        <f t="shared" si="67"/>
        <v>1987.5325390406986</v>
      </c>
      <c r="T138" s="87">
        <f t="shared" si="68"/>
        <v>2102.3807571597231</v>
      </c>
      <c r="U138" s="87">
        <f t="shared" si="69"/>
        <v>2104.5753090983035</v>
      </c>
      <c r="V138" s="87">
        <f t="shared" si="70"/>
        <v>2106.0383437240234</v>
      </c>
      <c r="W138" s="87">
        <f t="shared" si="71"/>
        <v>2106.7698610368834</v>
      </c>
      <c r="X138" s="87">
        <f t="shared" si="72"/>
        <v>2106.7698610368834</v>
      </c>
      <c r="Y138" s="87">
        <f t="shared" si="73"/>
        <v>2106.7698610368834</v>
      </c>
      <c r="Z138" s="87">
        <f t="shared" si="74"/>
        <v>2106.7698610368834</v>
      </c>
      <c r="AA138" s="88">
        <v>420</v>
      </c>
      <c r="AB138" s="89">
        <f>AA138*GDPdeflator!$C$25/$AI$18*10^3</f>
        <v>40.382789385678855</v>
      </c>
      <c r="AC138" s="90" t="e">
        <f>INDEX(Efficiencies!$D$8:$M$89,MATCH(C138,Efficiencies!$C$8:$C$89),MATCH(D138,Efficiencies!$D$7:$M$7))</f>
        <v>#REF!</v>
      </c>
      <c r="AD138" s="90" t="e">
        <f t="shared" si="76"/>
        <v>#REF!</v>
      </c>
      <c r="AE138" s="90" t="e">
        <f>INDEX(Efficiencies!$P$8:$Y$89,MATCH(C138,Efficiencies!$C$8:$C$89),MATCH(D138,Efficiencies!$P$7:$Y$7))</f>
        <v>#REF!</v>
      </c>
      <c r="AF138" s="90" t="e">
        <f t="shared" si="78"/>
        <v>#REF!</v>
      </c>
      <c r="AG138" s="90">
        <f>AdditionalVehs!$C$28</f>
        <v>0.26521554647620627</v>
      </c>
    </row>
    <row r="139" spans="1:33" x14ac:dyDescent="0.2">
      <c r="A139" s="92" t="s">
        <v>1057</v>
      </c>
      <c r="B139" s="248" t="s">
        <v>1058</v>
      </c>
      <c r="C139" s="40" t="s">
        <v>1052</v>
      </c>
      <c r="D139" s="40">
        <v>2025</v>
      </c>
      <c r="E139" s="86">
        <f>GDPdeflator!$C$32*INDEX(Costs!$E$7:$O$89,MATCH($C139,Costs!$C$7:$C$89,0),MATCH(E$7,Costs!$E$6:$O$6,0))</f>
        <v>0</v>
      </c>
      <c r="F139" s="86">
        <f>GDPdeflator!$C$36*INDEX(Costs!$E$7:$O$89,MATCH($C139,Costs!$C$7:$C$89,0),MATCH(F$7,Costs!$E$6:$O$6,0))</f>
        <v>24.362555185151816</v>
      </c>
      <c r="G139" s="86">
        <f>GDPdeflator!$C$38*INDEX(Costs!$E$7:$O$89,MATCH($C139,Costs!$C$7:$C$89,0),MATCH(G$7,Costs!$E$6:$O$6,0))</f>
        <v>22.971029313727357</v>
      </c>
      <c r="H139" s="86">
        <f>GDPdeflator!$C$38*INDEX(Costs!$E$7:$O$89,MATCH($C139,Costs!$C$7:$C$89,0),MATCH(H$7,Costs!$E$6:$O$6,0))</f>
        <v>23.80331298451458</v>
      </c>
      <c r="I139" s="86">
        <f>GDPdeflator!$C$38*INDEX(Costs!$E$7:$O$89,MATCH($C139,Costs!$C$7:$C$89,0),MATCH(I$7,Costs!$E$6:$O$6,0))</f>
        <v>25.178771261499779</v>
      </c>
      <c r="J139" s="86">
        <f>GDPdeflator!$C$38*INDEX(Costs!$E$7:$O$89,MATCH($C139,Costs!$C$7:$C$89,0),MATCH(J$7,Costs!$E$6:$O$6,0))</f>
        <v>25.205053903735166</v>
      </c>
      <c r="K139" s="86">
        <f>GDPdeflator!$C$38*INDEX(Costs!$E$7:$O$89,MATCH($C139,Costs!$C$7:$C$89,0),MATCH(K$7,Costs!$E$6:$O$6,0))</f>
        <v>25.222575665225424</v>
      </c>
      <c r="L139" s="86">
        <f>GDPdeflator!$C$38*INDEX(Costs!$E$7:$O$89,MATCH($C139,Costs!$C$7:$C$89,0),MATCH(L$7,Costs!$E$6:$O$6,0))</f>
        <v>25.231336545970553</v>
      </c>
      <c r="M139" s="86">
        <f>GDPdeflator!$C$38*INDEX(Costs!$E$7:$O$89,MATCH($C139,Costs!$C$7:$C$89,0),MATCH(M$7,Costs!$E$6:$O$6,0))</f>
        <v>25.231336545970553</v>
      </c>
      <c r="N139" s="86">
        <f>GDPdeflator!$C$38*INDEX(Costs!$E$7:$O$89,MATCH($C139,Costs!$C$7:$C$89,0),MATCH(N$7,Costs!$E$6:$O$6,0))</f>
        <v>25.231336545970553</v>
      </c>
      <c r="O139" s="86">
        <f>GDPdeflator!$C$38*INDEX(Costs!$E$7:$O$89,MATCH($C139,Costs!$C$7:$C$89,0),MATCH(O$7,Costs!$E$6:$O$6,0))</f>
        <v>25.231336545970553</v>
      </c>
      <c r="P139" s="87">
        <f t="shared" si="79"/>
        <v>0</v>
      </c>
      <c r="Q139" s="87">
        <f t="shared" si="65"/>
        <v>2034.2282268087977</v>
      </c>
      <c r="R139" s="87">
        <f t="shared" si="66"/>
        <v>1918.0383943189959</v>
      </c>
      <c r="S139" s="87">
        <f t="shared" si="67"/>
        <v>1987.5325390406986</v>
      </c>
      <c r="T139" s="87">
        <f t="shared" si="68"/>
        <v>2102.3807571597231</v>
      </c>
      <c r="U139" s="87">
        <f t="shared" si="69"/>
        <v>2104.5753090983035</v>
      </c>
      <c r="V139" s="87">
        <f t="shared" si="70"/>
        <v>2106.0383437240234</v>
      </c>
      <c r="W139" s="87">
        <f t="shared" si="71"/>
        <v>2106.7698610368834</v>
      </c>
      <c r="X139" s="87">
        <f t="shared" si="72"/>
        <v>2106.7698610368834</v>
      </c>
      <c r="Y139" s="87">
        <f t="shared" si="73"/>
        <v>2106.7698610368834</v>
      </c>
      <c r="Z139" s="87">
        <f t="shared" si="74"/>
        <v>2106.7698610368834</v>
      </c>
      <c r="AA139" s="88">
        <v>420</v>
      </c>
      <c r="AB139" s="89">
        <f>AA139*GDPdeflator!$C$25/$AI$18*10^3</f>
        <v>40.382789385678855</v>
      </c>
      <c r="AC139" s="90" t="e">
        <f>INDEX(Efficiencies!$D$8:$M$89,MATCH(C139,Efficiencies!$C$8:$C$89),MATCH(D139,Efficiencies!$D$7:$M$7))</f>
        <v>#REF!</v>
      </c>
      <c r="AD139" s="90" t="e">
        <f t="shared" si="76"/>
        <v>#REF!</v>
      </c>
      <c r="AE139" s="90" t="e">
        <f>INDEX(Efficiencies!$P$8:$Y$89,MATCH(C139,Efficiencies!$C$8:$C$89),MATCH(D139,Efficiencies!$P$7:$Y$7))</f>
        <v>#REF!</v>
      </c>
      <c r="AF139" s="90" t="e">
        <f t="shared" si="78"/>
        <v>#REF!</v>
      </c>
      <c r="AG139" s="90">
        <f>AdditionalVehs!$C$28</f>
        <v>0.26521554647620627</v>
      </c>
    </row>
    <row r="140" spans="1:33" x14ac:dyDescent="0.2">
      <c r="A140" s="92" t="s">
        <v>1059</v>
      </c>
      <c r="B140" s="248" t="s">
        <v>1060</v>
      </c>
      <c r="C140" s="40" t="s">
        <v>1052</v>
      </c>
      <c r="D140" s="40">
        <v>2030</v>
      </c>
      <c r="E140" s="86">
        <f>GDPdeflator!$C$32*INDEX(Costs!$E$7:$O$89,MATCH($C140,Costs!$C$7:$C$89,0),MATCH(E$7,Costs!$E$6:$O$6,0))</f>
        <v>0</v>
      </c>
      <c r="F140" s="86">
        <f>GDPdeflator!$C$36*INDEX(Costs!$E$7:$O$89,MATCH($C140,Costs!$C$7:$C$89,0),MATCH(F$7,Costs!$E$6:$O$6,0))</f>
        <v>24.362555185151816</v>
      </c>
      <c r="G140" s="86">
        <f>GDPdeflator!$C$38*INDEX(Costs!$E$7:$O$89,MATCH($C140,Costs!$C$7:$C$89,0),MATCH(G$7,Costs!$E$6:$O$6,0))</f>
        <v>22.971029313727357</v>
      </c>
      <c r="H140" s="86">
        <f>GDPdeflator!$C$38*INDEX(Costs!$E$7:$O$89,MATCH($C140,Costs!$C$7:$C$89,0),MATCH(H$7,Costs!$E$6:$O$6,0))</f>
        <v>23.80331298451458</v>
      </c>
      <c r="I140" s="86">
        <f>GDPdeflator!$C$38*INDEX(Costs!$E$7:$O$89,MATCH($C140,Costs!$C$7:$C$89,0),MATCH(I$7,Costs!$E$6:$O$6,0))</f>
        <v>25.178771261499779</v>
      </c>
      <c r="J140" s="86">
        <f>GDPdeflator!$C$38*INDEX(Costs!$E$7:$O$89,MATCH($C140,Costs!$C$7:$C$89,0),MATCH(J$7,Costs!$E$6:$O$6,0))</f>
        <v>25.205053903735166</v>
      </c>
      <c r="K140" s="86">
        <f>GDPdeflator!$C$38*INDEX(Costs!$E$7:$O$89,MATCH($C140,Costs!$C$7:$C$89,0),MATCH(K$7,Costs!$E$6:$O$6,0))</f>
        <v>25.222575665225424</v>
      </c>
      <c r="L140" s="86">
        <f>GDPdeflator!$C$38*INDEX(Costs!$E$7:$O$89,MATCH($C140,Costs!$C$7:$C$89,0),MATCH(L$7,Costs!$E$6:$O$6,0))</f>
        <v>25.231336545970553</v>
      </c>
      <c r="M140" s="86">
        <f>GDPdeflator!$C$38*INDEX(Costs!$E$7:$O$89,MATCH($C140,Costs!$C$7:$C$89,0),MATCH(M$7,Costs!$E$6:$O$6,0))</f>
        <v>25.231336545970553</v>
      </c>
      <c r="N140" s="86">
        <f>GDPdeflator!$C$38*INDEX(Costs!$E$7:$O$89,MATCH($C140,Costs!$C$7:$C$89,0),MATCH(N$7,Costs!$E$6:$O$6,0))</f>
        <v>25.231336545970553</v>
      </c>
      <c r="O140" s="86">
        <f>GDPdeflator!$C$38*INDEX(Costs!$E$7:$O$89,MATCH($C140,Costs!$C$7:$C$89,0),MATCH(O$7,Costs!$E$6:$O$6,0))</f>
        <v>25.231336545970553</v>
      </c>
      <c r="P140" s="87">
        <f t="shared" si="79"/>
        <v>0</v>
      </c>
      <c r="Q140" s="87">
        <f t="shared" si="65"/>
        <v>2034.2282268087977</v>
      </c>
      <c r="R140" s="87">
        <f t="shared" si="66"/>
        <v>1918.0383943189959</v>
      </c>
      <c r="S140" s="87">
        <f t="shared" si="67"/>
        <v>1987.5325390406986</v>
      </c>
      <c r="T140" s="87">
        <f t="shared" si="68"/>
        <v>2102.3807571597231</v>
      </c>
      <c r="U140" s="87">
        <f t="shared" si="69"/>
        <v>2104.5753090983035</v>
      </c>
      <c r="V140" s="87">
        <f t="shared" si="70"/>
        <v>2106.0383437240234</v>
      </c>
      <c r="W140" s="87">
        <f t="shared" si="71"/>
        <v>2106.7698610368834</v>
      </c>
      <c r="X140" s="87">
        <f t="shared" si="72"/>
        <v>2106.7698610368834</v>
      </c>
      <c r="Y140" s="87">
        <f t="shared" si="73"/>
        <v>2106.7698610368834</v>
      </c>
      <c r="Z140" s="87">
        <f t="shared" si="74"/>
        <v>2106.7698610368834</v>
      </c>
      <c r="AA140" s="88">
        <v>420</v>
      </c>
      <c r="AB140" s="89">
        <f>AA140*GDPdeflator!$C$25/$AI$18*10^3</f>
        <v>40.382789385678855</v>
      </c>
      <c r="AC140" s="90" t="e">
        <f>INDEX(Efficiencies!$D$8:$M$89,MATCH(C140,Efficiencies!$C$8:$C$89),MATCH(D140,Efficiencies!$D$7:$M$7))</f>
        <v>#REF!</v>
      </c>
      <c r="AD140" s="90" t="e">
        <f t="shared" si="76"/>
        <v>#REF!</v>
      </c>
      <c r="AE140" s="90" t="e">
        <f>INDEX(Efficiencies!$P$8:$Y$89,MATCH(C140,Efficiencies!$C$8:$C$89),MATCH(D140,Efficiencies!$P$7:$Y$7))</f>
        <v>#REF!</v>
      </c>
      <c r="AF140" s="90" t="e">
        <f t="shared" si="78"/>
        <v>#REF!</v>
      </c>
      <c r="AG140" s="90">
        <f>AdditionalVehs!$C$28</f>
        <v>0.26521554647620627</v>
      </c>
    </row>
    <row r="141" spans="1:33" x14ac:dyDescent="0.2">
      <c r="A141" s="92" t="s">
        <v>1061</v>
      </c>
      <c r="B141" s="248" t="s">
        <v>1062</v>
      </c>
      <c r="C141" s="40" t="s">
        <v>1052</v>
      </c>
      <c r="D141" s="40">
        <v>2035</v>
      </c>
      <c r="E141" s="86">
        <f>GDPdeflator!$C$32*INDEX(Costs!$E$7:$O$89,MATCH($C141,Costs!$C$7:$C$89,0),MATCH(E$7,Costs!$E$6:$O$6,0))</f>
        <v>0</v>
      </c>
      <c r="F141" s="86">
        <f>GDPdeflator!$C$36*INDEX(Costs!$E$7:$O$89,MATCH($C141,Costs!$C$7:$C$89,0),MATCH(F$7,Costs!$E$6:$O$6,0))</f>
        <v>24.362555185151816</v>
      </c>
      <c r="G141" s="86">
        <f>GDPdeflator!$C$38*INDEX(Costs!$E$7:$O$89,MATCH($C141,Costs!$C$7:$C$89,0),MATCH(G$7,Costs!$E$6:$O$6,0))</f>
        <v>22.971029313727357</v>
      </c>
      <c r="H141" s="86">
        <f>GDPdeflator!$C$38*INDEX(Costs!$E$7:$O$89,MATCH($C141,Costs!$C$7:$C$89,0),MATCH(H$7,Costs!$E$6:$O$6,0))</f>
        <v>23.80331298451458</v>
      </c>
      <c r="I141" s="86">
        <f>GDPdeflator!$C$38*INDEX(Costs!$E$7:$O$89,MATCH($C141,Costs!$C$7:$C$89,0),MATCH(I$7,Costs!$E$6:$O$6,0))</f>
        <v>25.178771261499779</v>
      </c>
      <c r="J141" s="86">
        <f>GDPdeflator!$C$38*INDEX(Costs!$E$7:$O$89,MATCH($C141,Costs!$C$7:$C$89,0),MATCH(J$7,Costs!$E$6:$O$6,0))</f>
        <v>25.205053903735166</v>
      </c>
      <c r="K141" s="86">
        <f>GDPdeflator!$C$38*INDEX(Costs!$E$7:$O$89,MATCH($C141,Costs!$C$7:$C$89,0),MATCH(K$7,Costs!$E$6:$O$6,0))</f>
        <v>25.222575665225424</v>
      </c>
      <c r="L141" s="86">
        <f>GDPdeflator!$C$38*INDEX(Costs!$E$7:$O$89,MATCH($C141,Costs!$C$7:$C$89,0),MATCH(L$7,Costs!$E$6:$O$6,0))</f>
        <v>25.231336545970553</v>
      </c>
      <c r="M141" s="86">
        <f>GDPdeflator!$C$38*INDEX(Costs!$E$7:$O$89,MATCH($C141,Costs!$C$7:$C$89,0),MATCH(M$7,Costs!$E$6:$O$6,0))</f>
        <v>25.231336545970553</v>
      </c>
      <c r="N141" s="86">
        <f>GDPdeflator!$C$38*INDEX(Costs!$E$7:$O$89,MATCH($C141,Costs!$C$7:$C$89,0),MATCH(N$7,Costs!$E$6:$O$6,0))</f>
        <v>25.231336545970553</v>
      </c>
      <c r="O141" s="86">
        <f>GDPdeflator!$C$38*INDEX(Costs!$E$7:$O$89,MATCH($C141,Costs!$C$7:$C$89,0),MATCH(O$7,Costs!$E$6:$O$6,0))</f>
        <v>25.231336545970553</v>
      </c>
      <c r="P141" s="87">
        <f t="shared" si="79"/>
        <v>0</v>
      </c>
      <c r="Q141" s="87">
        <f t="shared" si="65"/>
        <v>2034.2282268087977</v>
      </c>
      <c r="R141" s="87">
        <f t="shared" si="66"/>
        <v>1918.0383943189959</v>
      </c>
      <c r="S141" s="87">
        <f t="shared" si="67"/>
        <v>1987.5325390406986</v>
      </c>
      <c r="T141" s="87">
        <f t="shared" si="68"/>
        <v>2102.3807571597231</v>
      </c>
      <c r="U141" s="87">
        <f t="shared" si="69"/>
        <v>2104.5753090983035</v>
      </c>
      <c r="V141" s="87">
        <f t="shared" si="70"/>
        <v>2106.0383437240234</v>
      </c>
      <c r="W141" s="87">
        <f t="shared" si="71"/>
        <v>2106.7698610368834</v>
      </c>
      <c r="X141" s="87">
        <f t="shared" si="72"/>
        <v>2106.7698610368834</v>
      </c>
      <c r="Y141" s="87">
        <f t="shared" si="73"/>
        <v>2106.7698610368834</v>
      </c>
      <c r="Z141" s="87">
        <f t="shared" si="74"/>
        <v>2106.7698610368834</v>
      </c>
      <c r="AA141" s="88">
        <v>420</v>
      </c>
      <c r="AB141" s="89">
        <f>AA141*GDPdeflator!$C$25/$AI$18*10^3</f>
        <v>40.382789385678855</v>
      </c>
      <c r="AC141" s="90" t="e">
        <f>INDEX(Efficiencies!$D$8:$M$89,MATCH(C141,Efficiencies!$C$8:$C$89),MATCH(D141,Efficiencies!$D$7:$M$7))</f>
        <v>#REF!</v>
      </c>
      <c r="AD141" s="90" t="e">
        <f t="shared" si="76"/>
        <v>#REF!</v>
      </c>
      <c r="AE141" s="90" t="e">
        <f>INDEX(Efficiencies!$P$8:$Y$89,MATCH(C141,Efficiencies!$C$8:$C$89),MATCH(D141,Efficiencies!$P$7:$Y$7))</f>
        <v>#REF!</v>
      </c>
      <c r="AF141" s="90" t="e">
        <f t="shared" si="78"/>
        <v>#REF!</v>
      </c>
      <c r="AG141" s="90">
        <f>AdditionalVehs!$C$28</f>
        <v>0.26521554647620627</v>
      </c>
    </row>
    <row r="142" spans="1:33" x14ac:dyDescent="0.2">
      <c r="A142" s="92" t="s">
        <v>1063</v>
      </c>
      <c r="B142" s="248" t="s">
        <v>1064</v>
      </c>
      <c r="C142" s="40" t="s">
        <v>1052</v>
      </c>
      <c r="D142" s="40">
        <v>2040</v>
      </c>
      <c r="E142" s="86">
        <f>GDPdeflator!$C$32*INDEX(Costs!$E$7:$O$89,MATCH($C142,Costs!$C$7:$C$89,0),MATCH(E$7,Costs!$E$6:$O$6,0))</f>
        <v>0</v>
      </c>
      <c r="F142" s="86">
        <f>GDPdeflator!$C$36*INDEX(Costs!$E$7:$O$89,MATCH($C142,Costs!$C$7:$C$89,0),MATCH(F$7,Costs!$E$6:$O$6,0))</f>
        <v>24.362555185151816</v>
      </c>
      <c r="G142" s="86">
        <f>GDPdeflator!$C$38*INDEX(Costs!$E$7:$O$89,MATCH($C142,Costs!$C$7:$C$89,0),MATCH(G$7,Costs!$E$6:$O$6,0))</f>
        <v>22.971029313727357</v>
      </c>
      <c r="H142" s="86">
        <f>GDPdeflator!$C$38*INDEX(Costs!$E$7:$O$89,MATCH($C142,Costs!$C$7:$C$89,0),MATCH(H$7,Costs!$E$6:$O$6,0))</f>
        <v>23.80331298451458</v>
      </c>
      <c r="I142" s="86">
        <f>GDPdeflator!$C$38*INDEX(Costs!$E$7:$O$89,MATCH($C142,Costs!$C$7:$C$89,0),MATCH(I$7,Costs!$E$6:$O$6,0))</f>
        <v>25.178771261499779</v>
      </c>
      <c r="J142" s="86">
        <f>GDPdeflator!$C$38*INDEX(Costs!$E$7:$O$89,MATCH($C142,Costs!$C$7:$C$89,0),MATCH(J$7,Costs!$E$6:$O$6,0))</f>
        <v>25.205053903735166</v>
      </c>
      <c r="K142" s="86">
        <f>GDPdeflator!$C$38*INDEX(Costs!$E$7:$O$89,MATCH($C142,Costs!$C$7:$C$89,0),MATCH(K$7,Costs!$E$6:$O$6,0))</f>
        <v>25.222575665225424</v>
      </c>
      <c r="L142" s="86">
        <f>GDPdeflator!$C$38*INDEX(Costs!$E$7:$O$89,MATCH($C142,Costs!$C$7:$C$89,0),MATCH(L$7,Costs!$E$6:$O$6,0))</f>
        <v>25.231336545970553</v>
      </c>
      <c r="M142" s="86">
        <f>GDPdeflator!$C$38*INDEX(Costs!$E$7:$O$89,MATCH($C142,Costs!$C$7:$C$89,0),MATCH(M$7,Costs!$E$6:$O$6,0))</f>
        <v>25.231336545970553</v>
      </c>
      <c r="N142" s="86">
        <f>GDPdeflator!$C$38*INDEX(Costs!$E$7:$O$89,MATCH($C142,Costs!$C$7:$C$89,0),MATCH(N$7,Costs!$E$6:$O$6,0))</f>
        <v>25.231336545970553</v>
      </c>
      <c r="O142" s="86">
        <f>GDPdeflator!$C$38*INDEX(Costs!$E$7:$O$89,MATCH($C142,Costs!$C$7:$C$89,0),MATCH(O$7,Costs!$E$6:$O$6,0))</f>
        <v>25.231336545970553</v>
      </c>
      <c r="P142" s="87">
        <f t="shared" si="79"/>
        <v>0</v>
      </c>
      <c r="Q142" s="87">
        <f t="shared" si="65"/>
        <v>2034.2282268087977</v>
      </c>
      <c r="R142" s="87">
        <f t="shared" si="66"/>
        <v>1918.0383943189959</v>
      </c>
      <c r="S142" s="87">
        <f t="shared" si="67"/>
        <v>1987.5325390406986</v>
      </c>
      <c r="T142" s="87">
        <f t="shared" si="68"/>
        <v>2102.3807571597231</v>
      </c>
      <c r="U142" s="87">
        <f t="shared" si="69"/>
        <v>2104.5753090983035</v>
      </c>
      <c r="V142" s="87">
        <f t="shared" si="70"/>
        <v>2106.0383437240234</v>
      </c>
      <c r="W142" s="87">
        <f t="shared" si="71"/>
        <v>2106.7698610368834</v>
      </c>
      <c r="X142" s="87">
        <f t="shared" si="72"/>
        <v>2106.7698610368834</v>
      </c>
      <c r="Y142" s="87">
        <f t="shared" si="73"/>
        <v>2106.7698610368834</v>
      </c>
      <c r="Z142" s="87">
        <f t="shared" si="74"/>
        <v>2106.7698610368834</v>
      </c>
      <c r="AA142" s="88">
        <v>420</v>
      </c>
      <c r="AB142" s="89">
        <f>AA142*GDPdeflator!$C$25/$AI$18*10^3</f>
        <v>40.382789385678855</v>
      </c>
      <c r="AC142" s="90" t="e">
        <f>INDEX(Efficiencies!$D$8:$M$89,MATCH(C142,Efficiencies!$C$8:$C$89),MATCH(D142,Efficiencies!$D$7:$M$7))</f>
        <v>#REF!</v>
      </c>
      <c r="AD142" s="90" t="e">
        <f t="shared" si="76"/>
        <v>#REF!</v>
      </c>
      <c r="AE142" s="90" t="e">
        <f>INDEX(Efficiencies!$P$8:$Y$89,MATCH(C142,Efficiencies!$C$8:$C$89),MATCH(D142,Efficiencies!$P$7:$Y$7))</f>
        <v>#REF!</v>
      </c>
      <c r="AF142" s="90" t="e">
        <f t="shared" si="78"/>
        <v>#REF!</v>
      </c>
      <c r="AG142" s="90">
        <f>AdditionalVehs!$C$28</f>
        <v>0.26521554647620627</v>
      </c>
    </row>
    <row r="143" spans="1:33" x14ac:dyDescent="0.2">
      <c r="A143" s="92" t="s">
        <v>1065</v>
      </c>
      <c r="B143" s="248" t="s">
        <v>1066</v>
      </c>
      <c r="C143" s="40" t="s">
        <v>1052</v>
      </c>
      <c r="D143" s="40">
        <v>2045</v>
      </c>
      <c r="E143" s="86">
        <f>GDPdeflator!$C$32*INDEX(Costs!$E$7:$O$89,MATCH($C143,Costs!$C$7:$C$89,0),MATCH(E$7,Costs!$E$6:$O$6,0))</f>
        <v>0</v>
      </c>
      <c r="F143" s="86">
        <f>GDPdeflator!$C$36*INDEX(Costs!$E$7:$O$89,MATCH($C143,Costs!$C$7:$C$89,0),MATCH(F$7,Costs!$E$6:$O$6,0))</f>
        <v>24.362555185151816</v>
      </c>
      <c r="G143" s="86">
        <f>GDPdeflator!$C$38*INDEX(Costs!$E$7:$O$89,MATCH($C143,Costs!$C$7:$C$89,0),MATCH(G$7,Costs!$E$6:$O$6,0))</f>
        <v>22.971029313727357</v>
      </c>
      <c r="H143" s="86">
        <f>GDPdeflator!$C$38*INDEX(Costs!$E$7:$O$89,MATCH($C143,Costs!$C$7:$C$89,0),MATCH(H$7,Costs!$E$6:$O$6,0))</f>
        <v>23.80331298451458</v>
      </c>
      <c r="I143" s="86">
        <f>GDPdeflator!$C$38*INDEX(Costs!$E$7:$O$89,MATCH($C143,Costs!$C$7:$C$89,0),MATCH(I$7,Costs!$E$6:$O$6,0))</f>
        <v>25.178771261499779</v>
      </c>
      <c r="J143" s="86">
        <f>GDPdeflator!$C$38*INDEX(Costs!$E$7:$O$89,MATCH($C143,Costs!$C$7:$C$89,0),MATCH(J$7,Costs!$E$6:$O$6,0))</f>
        <v>25.205053903735166</v>
      </c>
      <c r="K143" s="86">
        <f>GDPdeflator!$C$38*INDEX(Costs!$E$7:$O$89,MATCH($C143,Costs!$C$7:$C$89,0),MATCH(K$7,Costs!$E$6:$O$6,0))</f>
        <v>25.222575665225424</v>
      </c>
      <c r="L143" s="86">
        <f>GDPdeflator!$C$38*INDEX(Costs!$E$7:$O$89,MATCH($C143,Costs!$C$7:$C$89,0),MATCH(L$7,Costs!$E$6:$O$6,0))</f>
        <v>25.231336545970553</v>
      </c>
      <c r="M143" s="86">
        <f>GDPdeflator!$C$38*INDEX(Costs!$E$7:$O$89,MATCH($C143,Costs!$C$7:$C$89,0),MATCH(M$7,Costs!$E$6:$O$6,0))</f>
        <v>25.231336545970553</v>
      </c>
      <c r="N143" s="86">
        <f>GDPdeflator!$C$38*INDEX(Costs!$E$7:$O$89,MATCH($C143,Costs!$C$7:$C$89,0),MATCH(N$7,Costs!$E$6:$O$6,0))</f>
        <v>25.231336545970553</v>
      </c>
      <c r="O143" s="86">
        <f>GDPdeflator!$C$38*INDEX(Costs!$E$7:$O$89,MATCH($C143,Costs!$C$7:$C$89,0),MATCH(O$7,Costs!$E$6:$O$6,0))</f>
        <v>25.231336545970553</v>
      </c>
      <c r="P143" s="87">
        <f t="shared" si="79"/>
        <v>0</v>
      </c>
      <c r="Q143" s="87">
        <f t="shared" si="65"/>
        <v>2034.2282268087977</v>
      </c>
      <c r="R143" s="87">
        <f t="shared" si="66"/>
        <v>1918.0383943189959</v>
      </c>
      <c r="S143" s="87">
        <f t="shared" si="67"/>
        <v>1987.5325390406986</v>
      </c>
      <c r="T143" s="87">
        <f t="shared" si="68"/>
        <v>2102.3807571597231</v>
      </c>
      <c r="U143" s="87">
        <f t="shared" si="69"/>
        <v>2104.5753090983035</v>
      </c>
      <c r="V143" s="87">
        <f t="shared" si="70"/>
        <v>2106.0383437240234</v>
      </c>
      <c r="W143" s="87">
        <f t="shared" si="71"/>
        <v>2106.7698610368834</v>
      </c>
      <c r="X143" s="87">
        <f t="shared" si="72"/>
        <v>2106.7698610368834</v>
      </c>
      <c r="Y143" s="87">
        <f t="shared" si="73"/>
        <v>2106.7698610368834</v>
      </c>
      <c r="Z143" s="87">
        <f t="shared" si="74"/>
        <v>2106.7698610368834</v>
      </c>
      <c r="AA143" s="88">
        <v>420</v>
      </c>
      <c r="AB143" s="89">
        <f>AA143*GDPdeflator!$C$25/$AI$18*10^3</f>
        <v>40.382789385678855</v>
      </c>
      <c r="AC143" s="90" t="e">
        <f>INDEX(Efficiencies!$D$8:$M$89,MATCH(C143,Efficiencies!$C$8:$C$89),MATCH(D143,Efficiencies!$D$7:$M$7))</f>
        <v>#REF!</v>
      </c>
      <c r="AD143" s="90" t="e">
        <f t="shared" si="76"/>
        <v>#REF!</v>
      </c>
      <c r="AE143" s="90" t="e">
        <f>INDEX(Efficiencies!$P$8:$Y$89,MATCH(C143,Efficiencies!$C$8:$C$89),MATCH(D143,Efficiencies!$P$7:$Y$7))</f>
        <v>#REF!</v>
      </c>
      <c r="AF143" s="90" t="e">
        <f t="shared" si="78"/>
        <v>#REF!</v>
      </c>
      <c r="AG143" s="90">
        <f>AdditionalVehs!$C$28</f>
        <v>0.26521554647620627</v>
      </c>
    </row>
    <row r="144" spans="1:33" x14ac:dyDescent="0.2">
      <c r="A144" s="92" t="s">
        <v>1067</v>
      </c>
      <c r="B144" s="248" t="s">
        <v>1068</v>
      </c>
      <c r="C144" s="40" t="s">
        <v>1052</v>
      </c>
      <c r="D144" s="40">
        <v>2050</v>
      </c>
      <c r="E144" s="86">
        <f>GDPdeflator!$C$32*INDEX(Costs!$E$7:$O$89,MATCH($C144,Costs!$C$7:$C$89,0),MATCH(E$7,Costs!$E$6:$O$6,0))</f>
        <v>0</v>
      </c>
      <c r="F144" s="86">
        <f>GDPdeflator!$C$36*INDEX(Costs!$E$7:$O$89,MATCH($C144,Costs!$C$7:$C$89,0),MATCH(F$7,Costs!$E$6:$O$6,0))</f>
        <v>24.362555185151816</v>
      </c>
      <c r="G144" s="86">
        <f>GDPdeflator!$C$38*INDEX(Costs!$E$7:$O$89,MATCH($C144,Costs!$C$7:$C$89,0),MATCH(G$7,Costs!$E$6:$O$6,0))</f>
        <v>22.971029313727357</v>
      </c>
      <c r="H144" s="86">
        <f>GDPdeflator!$C$38*INDEX(Costs!$E$7:$O$89,MATCH($C144,Costs!$C$7:$C$89,0),MATCH(H$7,Costs!$E$6:$O$6,0))</f>
        <v>23.80331298451458</v>
      </c>
      <c r="I144" s="86">
        <f>GDPdeflator!$C$38*INDEX(Costs!$E$7:$O$89,MATCH($C144,Costs!$C$7:$C$89,0),MATCH(I$7,Costs!$E$6:$O$6,0))</f>
        <v>25.178771261499779</v>
      </c>
      <c r="J144" s="86">
        <f>GDPdeflator!$C$38*INDEX(Costs!$E$7:$O$89,MATCH($C144,Costs!$C$7:$C$89,0),MATCH(J$7,Costs!$E$6:$O$6,0))</f>
        <v>25.205053903735166</v>
      </c>
      <c r="K144" s="86">
        <f>GDPdeflator!$C$38*INDEX(Costs!$E$7:$O$89,MATCH($C144,Costs!$C$7:$C$89,0),MATCH(K$7,Costs!$E$6:$O$6,0))</f>
        <v>25.222575665225424</v>
      </c>
      <c r="L144" s="86">
        <f>GDPdeflator!$C$38*INDEX(Costs!$E$7:$O$89,MATCH($C144,Costs!$C$7:$C$89,0),MATCH(L$7,Costs!$E$6:$O$6,0))</f>
        <v>25.231336545970553</v>
      </c>
      <c r="M144" s="86">
        <f>GDPdeflator!$C$38*INDEX(Costs!$E$7:$O$89,MATCH($C144,Costs!$C$7:$C$89,0),MATCH(M$7,Costs!$E$6:$O$6,0))</f>
        <v>25.231336545970553</v>
      </c>
      <c r="N144" s="86">
        <f>GDPdeflator!$C$38*INDEX(Costs!$E$7:$O$89,MATCH($C144,Costs!$C$7:$C$89,0),MATCH(N$7,Costs!$E$6:$O$6,0))</f>
        <v>25.231336545970553</v>
      </c>
      <c r="O144" s="86">
        <f>GDPdeflator!$C$38*INDEX(Costs!$E$7:$O$89,MATCH($C144,Costs!$C$7:$C$89,0),MATCH(O$7,Costs!$E$6:$O$6,0))</f>
        <v>25.231336545970553</v>
      </c>
      <c r="P144" s="87">
        <f t="shared" si="79"/>
        <v>0</v>
      </c>
      <c r="Q144" s="87">
        <f t="shared" si="65"/>
        <v>2034.2282268087977</v>
      </c>
      <c r="R144" s="87">
        <f t="shared" si="66"/>
        <v>1918.0383943189959</v>
      </c>
      <c r="S144" s="87">
        <f t="shared" si="67"/>
        <v>1987.5325390406986</v>
      </c>
      <c r="T144" s="87">
        <f t="shared" si="68"/>
        <v>2102.3807571597231</v>
      </c>
      <c r="U144" s="87">
        <f t="shared" si="69"/>
        <v>2104.5753090983035</v>
      </c>
      <c r="V144" s="87">
        <f t="shared" si="70"/>
        <v>2106.0383437240234</v>
      </c>
      <c r="W144" s="87">
        <f t="shared" si="71"/>
        <v>2106.7698610368834</v>
      </c>
      <c r="X144" s="87">
        <f t="shared" si="72"/>
        <v>2106.7698610368834</v>
      </c>
      <c r="Y144" s="87">
        <f t="shared" si="73"/>
        <v>2106.7698610368834</v>
      </c>
      <c r="Z144" s="87">
        <f t="shared" si="74"/>
        <v>2106.7698610368834</v>
      </c>
      <c r="AA144" s="88">
        <v>420</v>
      </c>
      <c r="AB144" s="89">
        <f>AA144*GDPdeflator!$C$25/$AI$18*10^3</f>
        <v>40.382789385678855</v>
      </c>
      <c r="AC144" s="90" t="e">
        <f>INDEX(Efficiencies!$D$8:$M$89,MATCH(C144,Efficiencies!$C$8:$C$89),MATCH(D144,Efficiencies!$D$7:$M$7))</f>
        <v>#REF!</v>
      </c>
      <c r="AD144" s="90" t="e">
        <f t="shared" si="76"/>
        <v>#REF!</v>
      </c>
      <c r="AE144" s="90" t="e">
        <f>INDEX(Efficiencies!$P$8:$Y$89,MATCH(C144,Efficiencies!$C$8:$C$89),MATCH(D144,Efficiencies!$P$7:$Y$7))</f>
        <v>#REF!</v>
      </c>
      <c r="AF144" s="90" t="e">
        <f t="shared" si="78"/>
        <v>#REF!</v>
      </c>
      <c r="AG144" s="90">
        <f>AdditionalVehs!$C$28</f>
        <v>0.26521554647620627</v>
      </c>
    </row>
    <row r="145" spans="1:33" x14ac:dyDescent="0.2">
      <c r="A145" s="92" t="s">
        <v>1069</v>
      </c>
      <c r="B145" s="248" t="s">
        <v>1070</v>
      </c>
      <c r="C145" s="40" t="s">
        <v>1071</v>
      </c>
      <c r="D145" s="40">
        <v>2060</v>
      </c>
      <c r="E145" s="86">
        <f>GDPdeflator!$C$32*INDEX(Costs!$E$7:$O$89,MATCH($C145,Costs!$C$7:$C$89,0),MATCH(E$7,Costs!$E$6:$O$6,0))</f>
        <v>24.857115179695825</v>
      </c>
      <c r="F145" s="86">
        <f>GDPdeflator!$C$36*INDEX(Costs!$E$7:$O$89,MATCH($C145,Costs!$C$7:$C$89,0),MATCH(F$7,Costs!$E$6:$O$6,0))</f>
        <v>23.713848094422922</v>
      </c>
      <c r="G145" s="86">
        <f>GDPdeflator!$C$38*INDEX(Costs!$E$7:$O$89,MATCH($C145,Costs!$C$7:$C$89,0),MATCH(G$7,Costs!$E$6:$O$6,0))</f>
        <v>22.830855221805297</v>
      </c>
      <c r="H145" s="86">
        <f>GDPdeflator!$C$38*INDEX(Costs!$E$7:$O$89,MATCH($C145,Costs!$C$7:$C$89,0),MATCH(H$7,Costs!$E$6:$O$6,0))</f>
        <v>23.584290965886364</v>
      </c>
      <c r="I145" s="86">
        <f>GDPdeflator!$C$38*INDEX(Costs!$E$7:$O$89,MATCH($C145,Costs!$C$7:$C$89,0),MATCH(I$7,Costs!$E$6:$O$6,0))</f>
        <v>24.93346660063618</v>
      </c>
      <c r="J145" s="86">
        <f>GDPdeflator!$C$38*INDEX(Costs!$E$7:$O$89,MATCH($C145,Costs!$C$7:$C$89,0),MATCH(J$7,Costs!$E$6:$O$6,0))</f>
        <v>24.968510123616692</v>
      </c>
      <c r="K145" s="86">
        <f>GDPdeflator!$C$38*INDEX(Costs!$E$7:$O$89,MATCH($C145,Costs!$C$7:$C$89,0),MATCH(K$7,Costs!$E$6:$O$6,0))</f>
        <v>24.98603188510695</v>
      </c>
      <c r="L145" s="86">
        <f>GDPdeflator!$C$38*INDEX(Costs!$E$7:$O$89,MATCH($C145,Costs!$C$7:$C$89,0),MATCH(L$7,Costs!$E$6:$O$6,0))</f>
        <v>24.994792765852079</v>
      </c>
      <c r="M145" s="86">
        <f>GDPdeflator!$C$38*INDEX(Costs!$E$7:$O$89,MATCH($C145,Costs!$C$7:$C$89,0),MATCH(M$7,Costs!$E$6:$O$6,0))</f>
        <v>24.994792765852079</v>
      </c>
      <c r="N145" s="86">
        <f>GDPdeflator!$C$38*INDEX(Costs!$E$7:$O$89,MATCH($C145,Costs!$C$7:$C$89,0),MATCH(N$7,Costs!$E$6:$O$6,0))</f>
        <v>24.994792765852079</v>
      </c>
      <c r="O145" s="86">
        <f>GDPdeflator!$C$38*INDEX(Costs!$E$7:$O$89,MATCH($C145,Costs!$C$7:$C$89,0),MATCH(O$7,Costs!$E$6:$O$6,0))</f>
        <v>24.994792765852079</v>
      </c>
      <c r="P145" s="87">
        <f>E145/$AI$18*10^6</f>
        <v>2075.5230701906194</v>
      </c>
      <c r="Q145" s="87">
        <f t="shared" si="65"/>
        <v>1980.0623864499835</v>
      </c>
      <c r="R145" s="87">
        <f t="shared" si="66"/>
        <v>1906.3341173132353</v>
      </c>
      <c r="S145" s="87">
        <f t="shared" si="67"/>
        <v>1969.244606219198</v>
      </c>
      <c r="T145" s="87">
        <f t="shared" si="68"/>
        <v>2081.8982723996428</v>
      </c>
      <c r="U145" s="87">
        <f t="shared" si="69"/>
        <v>2084.8243416510822</v>
      </c>
      <c r="V145" s="87">
        <f t="shared" si="70"/>
        <v>2086.2873762768027</v>
      </c>
      <c r="W145" s="87">
        <f t="shared" si="71"/>
        <v>2087.0188935896626</v>
      </c>
      <c r="X145" s="87">
        <f t="shared" si="72"/>
        <v>2087.0188935896626</v>
      </c>
      <c r="Y145" s="87">
        <f t="shared" si="73"/>
        <v>2087.0188935896626</v>
      </c>
      <c r="Z145" s="87">
        <f t="shared" si="74"/>
        <v>2087.0188935896626</v>
      </c>
      <c r="AA145" s="88">
        <v>450</v>
      </c>
      <c r="AB145" s="89">
        <f>AA145*GDPdeflator!$C$25/$AI$18*10^3</f>
        <v>43.267274341798768</v>
      </c>
      <c r="AC145" s="90" t="e">
        <f>INDEX(Efficiencies!$D$8:$M$89,MATCH(C145,Efficiencies!$C$8:$C$89),MATCH(D145,Efficiencies!$D$7:$M$7))</f>
        <v>#REF!</v>
      </c>
      <c r="AD145" s="90" t="e">
        <f t="shared" si="76"/>
        <v>#REF!</v>
      </c>
      <c r="AE145" s="90" t="e">
        <f>INDEX(Efficiencies!$P$8:$Y$89,MATCH(C145,Efficiencies!$C$8:$C$89),MATCH(D145,Efficiencies!$P$7:$Y$7))</f>
        <v>#REF!</v>
      </c>
      <c r="AF145" s="90" t="e">
        <f t="shared" si="78"/>
        <v>#REF!</v>
      </c>
      <c r="AG145" s="90">
        <v>0</v>
      </c>
    </row>
    <row r="146" spans="1:33" x14ac:dyDescent="0.2">
      <c r="A146" s="92" t="s">
        <v>1072</v>
      </c>
      <c r="B146" s="248" t="s">
        <v>1073</v>
      </c>
      <c r="C146" s="40" t="s">
        <v>1071</v>
      </c>
      <c r="D146" s="40">
        <v>2005</v>
      </c>
      <c r="E146" s="86">
        <f>GDPdeflator!$C$32*INDEX(Costs!$E$7:$O$89,MATCH($C146,Costs!$C$7:$C$89,0),MATCH(E$7,Costs!$E$6:$O$6,0))</f>
        <v>24.857115179695825</v>
      </c>
      <c r="F146" s="86">
        <f>GDPdeflator!$C$36*INDEX(Costs!$E$7:$O$89,MATCH($C146,Costs!$C$7:$C$89,0),MATCH(F$7,Costs!$E$6:$O$6,0))</f>
        <v>23.713848094422922</v>
      </c>
      <c r="G146" s="86">
        <f>GDPdeflator!$C$38*INDEX(Costs!$E$7:$O$89,MATCH($C146,Costs!$C$7:$C$89,0),MATCH(G$7,Costs!$E$6:$O$6,0))</f>
        <v>22.830855221805297</v>
      </c>
      <c r="H146" s="86">
        <f>GDPdeflator!$C$38*INDEX(Costs!$E$7:$O$89,MATCH($C146,Costs!$C$7:$C$89,0),MATCH(H$7,Costs!$E$6:$O$6,0))</f>
        <v>23.584290965886364</v>
      </c>
      <c r="I146" s="86">
        <f>GDPdeflator!$C$38*INDEX(Costs!$E$7:$O$89,MATCH($C146,Costs!$C$7:$C$89,0),MATCH(I$7,Costs!$E$6:$O$6,0))</f>
        <v>24.93346660063618</v>
      </c>
      <c r="J146" s="86">
        <f>GDPdeflator!$C$38*INDEX(Costs!$E$7:$O$89,MATCH($C146,Costs!$C$7:$C$89,0),MATCH(J$7,Costs!$E$6:$O$6,0))</f>
        <v>24.968510123616692</v>
      </c>
      <c r="K146" s="86">
        <f>GDPdeflator!$C$38*INDEX(Costs!$E$7:$O$89,MATCH($C146,Costs!$C$7:$C$89,0),MATCH(K$7,Costs!$E$6:$O$6,0))</f>
        <v>24.98603188510695</v>
      </c>
      <c r="L146" s="86">
        <f>GDPdeflator!$C$38*INDEX(Costs!$E$7:$O$89,MATCH($C146,Costs!$C$7:$C$89,0),MATCH(L$7,Costs!$E$6:$O$6,0))</f>
        <v>24.994792765852079</v>
      </c>
      <c r="M146" s="86">
        <f>GDPdeflator!$C$38*INDEX(Costs!$E$7:$O$89,MATCH($C146,Costs!$C$7:$C$89,0),MATCH(M$7,Costs!$E$6:$O$6,0))</f>
        <v>24.994792765852079</v>
      </c>
      <c r="N146" s="86">
        <f>GDPdeflator!$C$38*INDEX(Costs!$E$7:$O$89,MATCH($C146,Costs!$C$7:$C$89,0),MATCH(N$7,Costs!$E$6:$O$6,0))</f>
        <v>24.994792765852079</v>
      </c>
      <c r="O146" s="86">
        <f>GDPdeflator!$C$38*INDEX(Costs!$E$7:$O$89,MATCH($C146,Costs!$C$7:$C$89,0),MATCH(O$7,Costs!$E$6:$O$6,0))</f>
        <v>24.994792765852079</v>
      </c>
      <c r="P146" s="87">
        <f t="shared" ref="P146:P155" si="80">E146/$AI$18*10^6</f>
        <v>2075.5230701906194</v>
      </c>
      <c r="Q146" s="87">
        <f t="shared" ref="Q146:Q167" si="81">F146/$AI$18*10^6</f>
        <v>1980.0623864499835</v>
      </c>
      <c r="R146" s="87">
        <f t="shared" ref="R146:R167" si="82">G146/$AI$18*10^6</f>
        <v>1906.3341173132353</v>
      </c>
      <c r="S146" s="87">
        <f t="shared" ref="S146:S167" si="83">H146/$AI$18*10^6</f>
        <v>1969.244606219198</v>
      </c>
      <c r="T146" s="87">
        <f t="shared" ref="T146:T167" si="84">I146/$AI$18*10^6</f>
        <v>2081.8982723996428</v>
      </c>
      <c r="U146" s="87">
        <f t="shared" ref="U146:U167" si="85">J146/$AI$18*10^6</f>
        <v>2084.8243416510822</v>
      </c>
      <c r="V146" s="87">
        <f t="shared" ref="V146:V167" si="86">K146/$AI$18*10^6</f>
        <v>2086.2873762768027</v>
      </c>
      <c r="W146" s="87">
        <f t="shared" ref="W146:W167" si="87">L146/$AI$18*10^6</f>
        <v>2087.0188935896626</v>
      </c>
      <c r="X146" s="87">
        <f t="shared" ref="X146:X167" si="88">M146/$AI$18*10^6</f>
        <v>2087.0188935896626</v>
      </c>
      <c r="Y146" s="87">
        <f t="shared" ref="Y146:Y167" si="89">N146/$AI$18*10^6</f>
        <v>2087.0188935896626</v>
      </c>
      <c r="Z146" s="87">
        <f t="shared" ref="Z146:Z167" si="90">O146/$AI$18*10^6</f>
        <v>2087.0188935896626</v>
      </c>
      <c r="AA146" s="88">
        <v>450</v>
      </c>
      <c r="AB146" s="89">
        <f>AA146*GDPdeflator!$C$25/$AI$18*10^3</f>
        <v>43.267274341798768</v>
      </c>
      <c r="AC146" s="90" t="e">
        <f>INDEX(Efficiencies!$D$8:$M$89,MATCH(C146,Efficiencies!$C$8:$C$89),MATCH(D146,Efficiencies!$D$7:$M$7))</f>
        <v>#REF!</v>
      </c>
      <c r="AD146" s="90" t="e">
        <f t="shared" si="76"/>
        <v>#REF!</v>
      </c>
      <c r="AE146" s="90" t="e">
        <f>INDEX(Efficiencies!$P$8:$Y$89,MATCH(C146,Efficiencies!$C$8:$C$89),MATCH(D146,Efficiencies!$P$7:$Y$7))</f>
        <v>#REF!</v>
      </c>
      <c r="AF146" s="90" t="e">
        <f t="shared" si="78"/>
        <v>#REF!</v>
      </c>
      <c r="AG146" s="90">
        <v>0</v>
      </c>
    </row>
    <row r="147" spans="1:33" x14ac:dyDescent="0.2">
      <c r="A147" s="92" t="s">
        <v>1074</v>
      </c>
      <c r="B147" s="248" t="s">
        <v>1075</v>
      </c>
      <c r="C147" s="40" t="s">
        <v>1071</v>
      </c>
      <c r="D147" s="40">
        <v>2010</v>
      </c>
      <c r="E147" s="86">
        <f>GDPdeflator!$C$32*INDEX(Costs!$E$7:$O$89,MATCH($C147,Costs!$C$7:$C$89,0),MATCH(E$7,Costs!$E$6:$O$6,0))</f>
        <v>24.857115179695825</v>
      </c>
      <c r="F147" s="86">
        <f>GDPdeflator!$C$36*INDEX(Costs!$E$7:$O$89,MATCH($C147,Costs!$C$7:$C$89,0),MATCH(F$7,Costs!$E$6:$O$6,0))</f>
        <v>23.713848094422922</v>
      </c>
      <c r="G147" s="86">
        <f>GDPdeflator!$C$38*INDEX(Costs!$E$7:$O$89,MATCH($C147,Costs!$C$7:$C$89,0),MATCH(G$7,Costs!$E$6:$O$6,0))</f>
        <v>22.830855221805297</v>
      </c>
      <c r="H147" s="86">
        <f>GDPdeflator!$C$38*INDEX(Costs!$E$7:$O$89,MATCH($C147,Costs!$C$7:$C$89,0),MATCH(H$7,Costs!$E$6:$O$6,0))</f>
        <v>23.584290965886364</v>
      </c>
      <c r="I147" s="86">
        <f>GDPdeflator!$C$38*INDEX(Costs!$E$7:$O$89,MATCH($C147,Costs!$C$7:$C$89,0),MATCH(I$7,Costs!$E$6:$O$6,0))</f>
        <v>24.93346660063618</v>
      </c>
      <c r="J147" s="86">
        <f>GDPdeflator!$C$38*INDEX(Costs!$E$7:$O$89,MATCH($C147,Costs!$C$7:$C$89,0),MATCH(J$7,Costs!$E$6:$O$6,0))</f>
        <v>24.968510123616692</v>
      </c>
      <c r="K147" s="86">
        <f>GDPdeflator!$C$38*INDEX(Costs!$E$7:$O$89,MATCH($C147,Costs!$C$7:$C$89,0),MATCH(K$7,Costs!$E$6:$O$6,0))</f>
        <v>24.98603188510695</v>
      </c>
      <c r="L147" s="86">
        <f>GDPdeflator!$C$38*INDEX(Costs!$E$7:$O$89,MATCH($C147,Costs!$C$7:$C$89,0),MATCH(L$7,Costs!$E$6:$O$6,0))</f>
        <v>24.994792765852079</v>
      </c>
      <c r="M147" s="86">
        <f>GDPdeflator!$C$38*INDEX(Costs!$E$7:$O$89,MATCH($C147,Costs!$C$7:$C$89,0),MATCH(M$7,Costs!$E$6:$O$6,0))</f>
        <v>24.994792765852079</v>
      </c>
      <c r="N147" s="86">
        <f>GDPdeflator!$C$38*INDEX(Costs!$E$7:$O$89,MATCH($C147,Costs!$C$7:$C$89,0),MATCH(N$7,Costs!$E$6:$O$6,0))</f>
        <v>24.994792765852079</v>
      </c>
      <c r="O147" s="86">
        <f>GDPdeflator!$C$38*INDEX(Costs!$E$7:$O$89,MATCH($C147,Costs!$C$7:$C$89,0),MATCH(O$7,Costs!$E$6:$O$6,0))</f>
        <v>24.994792765852079</v>
      </c>
      <c r="P147" s="87">
        <f t="shared" si="80"/>
        <v>2075.5230701906194</v>
      </c>
      <c r="Q147" s="87">
        <f t="shared" si="81"/>
        <v>1980.0623864499835</v>
      </c>
      <c r="R147" s="87">
        <f t="shared" si="82"/>
        <v>1906.3341173132353</v>
      </c>
      <c r="S147" s="87">
        <f t="shared" si="83"/>
        <v>1969.244606219198</v>
      </c>
      <c r="T147" s="87">
        <f t="shared" si="84"/>
        <v>2081.8982723996428</v>
      </c>
      <c r="U147" s="87">
        <f t="shared" si="85"/>
        <v>2084.8243416510822</v>
      </c>
      <c r="V147" s="87">
        <f t="shared" si="86"/>
        <v>2086.2873762768027</v>
      </c>
      <c r="W147" s="87">
        <f t="shared" si="87"/>
        <v>2087.0188935896626</v>
      </c>
      <c r="X147" s="87">
        <f t="shared" si="88"/>
        <v>2087.0188935896626</v>
      </c>
      <c r="Y147" s="87">
        <f t="shared" si="89"/>
        <v>2087.0188935896626</v>
      </c>
      <c r="Z147" s="87">
        <f t="shared" si="90"/>
        <v>2087.0188935896626</v>
      </c>
      <c r="AA147" s="88">
        <v>450</v>
      </c>
      <c r="AB147" s="89">
        <f>AA147*GDPdeflator!$C$25/$AI$18*10^3</f>
        <v>43.267274341798768</v>
      </c>
      <c r="AC147" s="90" t="e">
        <f>INDEX(Efficiencies!$D$8:$M$89,MATCH(C147,Efficiencies!$C$8:$C$89),MATCH(D147,Efficiencies!$D$7:$M$7))</f>
        <v>#REF!</v>
      </c>
      <c r="AD147" s="90" t="e">
        <f t="shared" si="76"/>
        <v>#REF!</v>
      </c>
      <c r="AE147" s="90" t="e">
        <f>INDEX(Efficiencies!$P$8:$Y$89,MATCH(C147,Efficiencies!$C$8:$C$89),MATCH(D147,Efficiencies!$P$7:$Y$7))</f>
        <v>#REF!</v>
      </c>
      <c r="AF147" s="90" t="e">
        <f t="shared" si="78"/>
        <v>#REF!</v>
      </c>
      <c r="AG147" s="90">
        <v>0</v>
      </c>
    </row>
    <row r="148" spans="1:33" x14ac:dyDescent="0.2">
      <c r="A148" s="92" t="s">
        <v>1076</v>
      </c>
      <c r="B148" s="248" t="s">
        <v>1077</v>
      </c>
      <c r="C148" s="40" t="s">
        <v>1071</v>
      </c>
      <c r="D148" s="40">
        <v>2015</v>
      </c>
      <c r="E148" s="86">
        <f>GDPdeflator!$C$32*INDEX(Costs!$E$7:$O$89,MATCH($C148,Costs!$C$7:$C$89,0),MATCH(E$7,Costs!$E$6:$O$6,0))</f>
        <v>24.857115179695825</v>
      </c>
      <c r="F148" s="86">
        <f>GDPdeflator!$C$36*INDEX(Costs!$E$7:$O$89,MATCH($C148,Costs!$C$7:$C$89,0),MATCH(F$7,Costs!$E$6:$O$6,0))</f>
        <v>23.713848094422922</v>
      </c>
      <c r="G148" s="86">
        <f>GDPdeflator!$C$38*INDEX(Costs!$E$7:$O$89,MATCH($C148,Costs!$C$7:$C$89,0),MATCH(G$7,Costs!$E$6:$O$6,0))</f>
        <v>22.830855221805297</v>
      </c>
      <c r="H148" s="86">
        <f>GDPdeflator!$C$38*INDEX(Costs!$E$7:$O$89,MATCH($C148,Costs!$C$7:$C$89,0),MATCH(H$7,Costs!$E$6:$O$6,0))</f>
        <v>23.584290965886364</v>
      </c>
      <c r="I148" s="86">
        <f>GDPdeflator!$C$38*INDEX(Costs!$E$7:$O$89,MATCH($C148,Costs!$C$7:$C$89,0),MATCH(I$7,Costs!$E$6:$O$6,0))</f>
        <v>24.93346660063618</v>
      </c>
      <c r="J148" s="86">
        <f>GDPdeflator!$C$38*INDEX(Costs!$E$7:$O$89,MATCH($C148,Costs!$C$7:$C$89,0),MATCH(J$7,Costs!$E$6:$O$6,0))</f>
        <v>24.968510123616692</v>
      </c>
      <c r="K148" s="86">
        <f>GDPdeflator!$C$38*INDEX(Costs!$E$7:$O$89,MATCH($C148,Costs!$C$7:$C$89,0),MATCH(K$7,Costs!$E$6:$O$6,0))</f>
        <v>24.98603188510695</v>
      </c>
      <c r="L148" s="86">
        <f>GDPdeflator!$C$38*INDEX(Costs!$E$7:$O$89,MATCH($C148,Costs!$C$7:$C$89,0),MATCH(L$7,Costs!$E$6:$O$6,0))</f>
        <v>24.994792765852079</v>
      </c>
      <c r="M148" s="86">
        <f>GDPdeflator!$C$38*INDEX(Costs!$E$7:$O$89,MATCH($C148,Costs!$C$7:$C$89,0),MATCH(M$7,Costs!$E$6:$O$6,0))</f>
        <v>24.994792765852079</v>
      </c>
      <c r="N148" s="86">
        <f>GDPdeflator!$C$38*INDEX(Costs!$E$7:$O$89,MATCH($C148,Costs!$C$7:$C$89,0),MATCH(N$7,Costs!$E$6:$O$6,0))</f>
        <v>24.994792765852079</v>
      </c>
      <c r="O148" s="86">
        <f>GDPdeflator!$C$38*INDEX(Costs!$E$7:$O$89,MATCH($C148,Costs!$C$7:$C$89,0),MATCH(O$7,Costs!$E$6:$O$6,0))</f>
        <v>24.994792765852079</v>
      </c>
      <c r="P148" s="87">
        <f t="shared" si="80"/>
        <v>2075.5230701906194</v>
      </c>
      <c r="Q148" s="87">
        <f t="shared" si="81"/>
        <v>1980.0623864499835</v>
      </c>
      <c r="R148" s="87">
        <f t="shared" si="82"/>
        <v>1906.3341173132353</v>
      </c>
      <c r="S148" s="87">
        <f t="shared" si="83"/>
        <v>1969.244606219198</v>
      </c>
      <c r="T148" s="87">
        <f t="shared" si="84"/>
        <v>2081.8982723996428</v>
      </c>
      <c r="U148" s="87">
        <f t="shared" si="85"/>
        <v>2084.8243416510822</v>
      </c>
      <c r="V148" s="87">
        <f t="shared" si="86"/>
        <v>2086.2873762768027</v>
      </c>
      <c r="W148" s="87">
        <f t="shared" si="87"/>
        <v>2087.0188935896626</v>
      </c>
      <c r="X148" s="87">
        <f t="shared" si="88"/>
        <v>2087.0188935896626</v>
      </c>
      <c r="Y148" s="87">
        <f t="shared" si="89"/>
        <v>2087.0188935896626</v>
      </c>
      <c r="Z148" s="87">
        <f t="shared" si="90"/>
        <v>2087.0188935896626</v>
      </c>
      <c r="AA148" s="88">
        <v>450</v>
      </c>
      <c r="AB148" s="89">
        <f>AA148*GDPdeflator!$C$25/$AI$18*10^3</f>
        <v>43.267274341798768</v>
      </c>
      <c r="AC148" s="90" t="e">
        <f>INDEX(Efficiencies!$D$8:$M$89,MATCH(C148,Efficiencies!$C$8:$C$89),MATCH(D148,Efficiencies!$D$7:$M$7))</f>
        <v>#REF!</v>
      </c>
      <c r="AD148" s="90" t="e">
        <f t="shared" si="76"/>
        <v>#REF!</v>
      </c>
      <c r="AE148" s="90" t="e">
        <f>INDEX(Efficiencies!$P$8:$Y$89,MATCH(C148,Efficiencies!$C$8:$C$89),MATCH(D148,Efficiencies!$P$7:$Y$7))</f>
        <v>#REF!</v>
      </c>
      <c r="AF148" s="90" t="e">
        <f t="shared" si="78"/>
        <v>#REF!</v>
      </c>
      <c r="AG148" s="90">
        <v>0</v>
      </c>
    </row>
    <row r="149" spans="1:33" x14ac:dyDescent="0.2">
      <c r="A149" s="92" t="s">
        <v>1078</v>
      </c>
      <c r="B149" s="248" t="s">
        <v>1079</v>
      </c>
      <c r="C149" s="40" t="s">
        <v>1071</v>
      </c>
      <c r="D149" s="40">
        <v>2020</v>
      </c>
      <c r="E149" s="86">
        <f>GDPdeflator!$C$32*INDEX(Costs!$E$7:$O$89,MATCH($C149,Costs!$C$7:$C$89,0),MATCH(E$7,Costs!$E$6:$O$6,0))</f>
        <v>24.857115179695825</v>
      </c>
      <c r="F149" s="86">
        <f>GDPdeflator!$C$36*INDEX(Costs!$E$7:$O$89,MATCH($C149,Costs!$C$7:$C$89,0),MATCH(F$7,Costs!$E$6:$O$6,0))</f>
        <v>23.713848094422922</v>
      </c>
      <c r="G149" s="86">
        <f>GDPdeflator!$C$38*INDEX(Costs!$E$7:$O$89,MATCH($C149,Costs!$C$7:$C$89,0),MATCH(G$7,Costs!$E$6:$O$6,0))</f>
        <v>22.830855221805297</v>
      </c>
      <c r="H149" s="86">
        <f>GDPdeflator!$C$38*INDEX(Costs!$E$7:$O$89,MATCH($C149,Costs!$C$7:$C$89,0),MATCH(H$7,Costs!$E$6:$O$6,0))</f>
        <v>23.584290965886364</v>
      </c>
      <c r="I149" s="86">
        <f>GDPdeflator!$C$38*INDEX(Costs!$E$7:$O$89,MATCH($C149,Costs!$C$7:$C$89,0),MATCH(I$7,Costs!$E$6:$O$6,0))</f>
        <v>24.93346660063618</v>
      </c>
      <c r="J149" s="86">
        <f>GDPdeflator!$C$38*INDEX(Costs!$E$7:$O$89,MATCH($C149,Costs!$C$7:$C$89,0),MATCH(J$7,Costs!$E$6:$O$6,0))</f>
        <v>24.968510123616692</v>
      </c>
      <c r="K149" s="86">
        <f>GDPdeflator!$C$38*INDEX(Costs!$E$7:$O$89,MATCH($C149,Costs!$C$7:$C$89,0),MATCH(K$7,Costs!$E$6:$O$6,0))</f>
        <v>24.98603188510695</v>
      </c>
      <c r="L149" s="86">
        <f>GDPdeflator!$C$38*INDEX(Costs!$E$7:$O$89,MATCH($C149,Costs!$C$7:$C$89,0),MATCH(L$7,Costs!$E$6:$O$6,0))</f>
        <v>24.994792765852079</v>
      </c>
      <c r="M149" s="86">
        <f>GDPdeflator!$C$38*INDEX(Costs!$E$7:$O$89,MATCH($C149,Costs!$C$7:$C$89,0),MATCH(M$7,Costs!$E$6:$O$6,0))</f>
        <v>24.994792765852079</v>
      </c>
      <c r="N149" s="86">
        <f>GDPdeflator!$C$38*INDEX(Costs!$E$7:$O$89,MATCH($C149,Costs!$C$7:$C$89,0),MATCH(N$7,Costs!$E$6:$O$6,0))</f>
        <v>24.994792765852079</v>
      </c>
      <c r="O149" s="86">
        <f>GDPdeflator!$C$38*INDEX(Costs!$E$7:$O$89,MATCH($C149,Costs!$C$7:$C$89,0),MATCH(O$7,Costs!$E$6:$O$6,0))</f>
        <v>24.994792765852079</v>
      </c>
      <c r="P149" s="87">
        <f t="shared" si="80"/>
        <v>2075.5230701906194</v>
      </c>
      <c r="Q149" s="87">
        <f t="shared" si="81"/>
        <v>1980.0623864499835</v>
      </c>
      <c r="R149" s="87">
        <f t="shared" si="82"/>
        <v>1906.3341173132353</v>
      </c>
      <c r="S149" s="87">
        <f t="shared" si="83"/>
        <v>1969.244606219198</v>
      </c>
      <c r="T149" s="87">
        <f t="shared" si="84"/>
        <v>2081.8982723996428</v>
      </c>
      <c r="U149" s="87">
        <f t="shared" si="85"/>
        <v>2084.8243416510822</v>
      </c>
      <c r="V149" s="87">
        <f t="shared" si="86"/>
        <v>2086.2873762768027</v>
      </c>
      <c r="W149" s="87">
        <f t="shared" si="87"/>
        <v>2087.0188935896626</v>
      </c>
      <c r="X149" s="87">
        <f t="shared" si="88"/>
        <v>2087.0188935896626</v>
      </c>
      <c r="Y149" s="87">
        <f t="shared" si="89"/>
        <v>2087.0188935896626</v>
      </c>
      <c r="Z149" s="87">
        <f t="shared" si="90"/>
        <v>2087.0188935896626</v>
      </c>
      <c r="AA149" s="88">
        <v>450</v>
      </c>
      <c r="AB149" s="89">
        <f>AA149*GDPdeflator!$C$25/$AI$18*10^3</f>
        <v>43.267274341798768</v>
      </c>
      <c r="AC149" s="90" t="e">
        <f>INDEX(Efficiencies!$D$8:$M$89,MATCH(C149,Efficiencies!$C$8:$C$89),MATCH(D149,Efficiencies!$D$7:$M$7))</f>
        <v>#REF!</v>
      </c>
      <c r="AD149" s="90" t="e">
        <f t="shared" si="76"/>
        <v>#REF!</v>
      </c>
      <c r="AE149" s="90" t="e">
        <f>INDEX(Efficiencies!$P$8:$Y$89,MATCH(C149,Efficiencies!$C$8:$C$89),MATCH(D149,Efficiencies!$P$7:$Y$7))</f>
        <v>#REF!</v>
      </c>
      <c r="AF149" s="90" t="e">
        <f t="shared" si="78"/>
        <v>#REF!</v>
      </c>
      <c r="AG149" s="90">
        <v>0</v>
      </c>
    </row>
    <row r="150" spans="1:33" x14ac:dyDescent="0.2">
      <c r="A150" s="92" t="s">
        <v>1080</v>
      </c>
      <c r="B150" s="248" t="s">
        <v>1081</v>
      </c>
      <c r="C150" s="40" t="s">
        <v>1071</v>
      </c>
      <c r="D150" s="40">
        <v>2025</v>
      </c>
      <c r="E150" s="86">
        <f>GDPdeflator!$C$32*INDEX(Costs!$E$7:$O$89,MATCH($C150,Costs!$C$7:$C$89,0),MATCH(E$7,Costs!$E$6:$O$6,0))</f>
        <v>24.857115179695825</v>
      </c>
      <c r="F150" s="86">
        <f>GDPdeflator!$C$36*INDEX(Costs!$E$7:$O$89,MATCH($C150,Costs!$C$7:$C$89,0),MATCH(F$7,Costs!$E$6:$O$6,0))</f>
        <v>23.713848094422922</v>
      </c>
      <c r="G150" s="86">
        <f>GDPdeflator!$C$38*INDEX(Costs!$E$7:$O$89,MATCH($C150,Costs!$C$7:$C$89,0),MATCH(G$7,Costs!$E$6:$O$6,0))</f>
        <v>22.830855221805297</v>
      </c>
      <c r="H150" s="86">
        <f>GDPdeflator!$C$38*INDEX(Costs!$E$7:$O$89,MATCH($C150,Costs!$C$7:$C$89,0),MATCH(H$7,Costs!$E$6:$O$6,0))</f>
        <v>23.584290965886364</v>
      </c>
      <c r="I150" s="86">
        <f>GDPdeflator!$C$38*INDEX(Costs!$E$7:$O$89,MATCH($C150,Costs!$C$7:$C$89,0),MATCH(I$7,Costs!$E$6:$O$6,0))</f>
        <v>24.93346660063618</v>
      </c>
      <c r="J150" s="86">
        <f>GDPdeflator!$C$38*INDEX(Costs!$E$7:$O$89,MATCH($C150,Costs!$C$7:$C$89,0),MATCH(J$7,Costs!$E$6:$O$6,0))</f>
        <v>24.968510123616692</v>
      </c>
      <c r="K150" s="86">
        <f>GDPdeflator!$C$38*INDEX(Costs!$E$7:$O$89,MATCH($C150,Costs!$C$7:$C$89,0),MATCH(K$7,Costs!$E$6:$O$6,0))</f>
        <v>24.98603188510695</v>
      </c>
      <c r="L150" s="86">
        <f>GDPdeflator!$C$38*INDEX(Costs!$E$7:$O$89,MATCH($C150,Costs!$C$7:$C$89,0),MATCH(L$7,Costs!$E$6:$O$6,0))</f>
        <v>24.994792765852079</v>
      </c>
      <c r="M150" s="86">
        <f>GDPdeflator!$C$38*INDEX(Costs!$E$7:$O$89,MATCH($C150,Costs!$C$7:$C$89,0),MATCH(M$7,Costs!$E$6:$O$6,0))</f>
        <v>24.994792765852079</v>
      </c>
      <c r="N150" s="86">
        <f>GDPdeflator!$C$38*INDEX(Costs!$E$7:$O$89,MATCH($C150,Costs!$C$7:$C$89,0),MATCH(N$7,Costs!$E$6:$O$6,0))</f>
        <v>24.994792765852079</v>
      </c>
      <c r="O150" s="86">
        <f>GDPdeflator!$C$38*INDEX(Costs!$E$7:$O$89,MATCH($C150,Costs!$C$7:$C$89,0),MATCH(O$7,Costs!$E$6:$O$6,0))</f>
        <v>24.994792765852079</v>
      </c>
      <c r="P150" s="87">
        <f t="shared" si="80"/>
        <v>2075.5230701906194</v>
      </c>
      <c r="Q150" s="87">
        <f t="shared" si="81"/>
        <v>1980.0623864499835</v>
      </c>
      <c r="R150" s="87">
        <f t="shared" si="82"/>
        <v>1906.3341173132353</v>
      </c>
      <c r="S150" s="87">
        <f t="shared" si="83"/>
        <v>1969.244606219198</v>
      </c>
      <c r="T150" s="87">
        <f t="shared" si="84"/>
        <v>2081.8982723996428</v>
      </c>
      <c r="U150" s="87">
        <f t="shared" si="85"/>
        <v>2084.8243416510822</v>
      </c>
      <c r="V150" s="87">
        <f t="shared" si="86"/>
        <v>2086.2873762768027</v>
      </c>
      <c r="W150" s="87">
        <f t="shared" si="87"/>
        <v>2087.0188935896626</v>
      </c>
      <c r="X150" s="87">
        <f t="shared" si="88"/>
        <v>2087.0188935896626</v>
      </c>
      <c r="Y150" s="87">
        <f t="shared" si="89"/>
        <v>2087.0188935896626</v>
      </c>
      <c r="Z150" s="87">
        <f t="shared" si="90"/>
        <v>2087.0188935896626</v>
      </c>
      <c r="AA150" s="88">
        <v>450</v>
      </c>
      <c r="AB150" s="89">
        <f>AA150*GDPdeflator!$C$25/$AI$18*10^3</f>
        <v>43.267274341798768</v>
      </c>
      <c r="AC150" s="90" t="e">
        <f>INDEX(Efficiencies!$D$8:$M$89,MATCH(C150,Efficiencies!$C$8:$C$89),MATCH(D150,Efficiencies!$D$7:$M$7))</f>
        <v>#REF!</v>
      </c>
      <c r="AD150" s="90" t="e">
        <f t="shared" si="76"/>
        <v>#REF!</v>
      </c>
      <c r="AE150" s="90" t="e">
        <f>INDEX(Efficiencies!$P$8:$Y$89,MATCH(C150,Efficiencies!$C$8:$C$89),MATCH(D150,Efficiencies!$P$7:$Y$7))</f>
        <v>#REF!</v>
      </c>
      <c r="AF150" s="90" t="e">
        <f t="shared" si="78"/>
        <v>#REF!</v>
      </c>
      <c r="AG150" s="90">
        <v>0</v>
      </c>
    </row>
    <row r="151" spans="1:33" x14ac:dyDescent="0.2">
      <c r="A151" s="92" t="s">
        <v>1082</v>
      </c>
      <c r="B151" s="248" t="s">
        <v>1083</v>
      </c>
      <c r="C151" s="40" t="s">
        <v>1071</v>
      </c>
      <c r="D151" s="40">
        <v>2030</v>
      </c>
      <c r="E151" s="86">
        <f>GDPdeflator!$C$32*INDEX(Costs!$E$7:$O$89,MATCH($C151,Costs!$C$7:$C$89,0),MATCH(E$7,Costs!$E$6:$O$6,0))</f>
        <v>24.857115179695825</v>
      </c>
      <c r="F151" s="86">
        <f>GDPdeflator!$C$36*INDEX(Costs!$E$7:$O$89,MATCH($C151,Costs!$C$7:$C$89,0),MATCH(F$7,Costs!$E$6:$O$6,0))</f>
        <v>23.713848094422922</v>
      </c>
      <c r="G151" s="86">
        <f>GDPdeflator!$C$38*INDEX(Costs!$E$7:$O$89,MATCH($C151,Costs!$C$7:$C$89,0),MATCH(G$7,Costs!$E$6:$O$6,0))</f>
        <v>22.830855221805297</v>
      </c>
      <c r="H151" s="86">
        <f>GDPdeflator!$C$38*INDEX(Costs!$E$7:$O$89,MATCH($C151,Costs!$C$7:$C$89,0),MATCH(H$7,Costs!$E$6:$O$6,0))</f>
        <v>23.584290965886364</v>
      </c>
      <c r="I151" s="86">
        <f>GDPdeflator!$C$38*INDEX(Costs!$E$7:$O$89,MATCH($C151,Costs!$C$7:$C$89,0),MATCH(I$7,Costs!$E$6:$O$6,0))</f>
        <v>24.93346660063618</v>
      </c>
      <c r="J151" s="86">
        <f>GDPdeflator!$C$38*INDEX(Costs!$E$7:$O$89,MATCH($C151,Costs!$C$7:$C$89,0),MATCH(J$7,Costs!$E$6:$O$6,0))</f>
        <v>24.968510123616692</v>
      </c>
      <c r="K151" s="86">
        <f>GDPdeflator!$C$38*INDEX(Costs!$E$7:$O$89,MATCH($C151,Costs!$C$7:$C$89,0),MATCH(K$7,Costs!$E$6:$O$6,0))</f>
        <v>24.98603188510695</v>
      </c>
      <c r="L151" s="86">
        <f>GDPdeflator!$C$38*INDEX(Costs!$E$7:$O$89,MATCH($C151,Costs!$C$7:$C$89,0),MATCH(L$7,Costs!$E$6:$O$6,0))</f>
        <v>24.994792765852079</v>
      </c>
      <c r="M151" s="86">
        <f>GDPdeflator!$C$38*INDEX(Costs!$E$7:$O$89,MATCH($C151,Costs!$C$7:$C$89,0),MATCH(M$7,Costs!$E$6:$O$6,0))</f>
        <v>24.994792765852079</v>
      </c>
      <c r="N151" s="86">
        <f>GDPdeflator!$C$38*INDEX(Costs!$E$7:$O$89,MATCH($C151,Costs!$C$7:$C$89,0),MATCH(N$7,Costs!$E$6:$O$6,0))</f>
        <v>24.994792765852079</v>
      </c>
      <c r="O151" s="86">
        <f>GDPdeflator!$C$38*INDEX(Costs!$E$7:$O$89,MATCH($C151,Costs!$C$7:$C$89,0),MATCH(O$7,Costs!$E$6:$O$6,0))</f>
        <v>24.994792765852079</v>
      </c>
      <c r="P151" s="87">
        <f t="shared" si="80"/>
        <v>2075.5230701906194</v>
      </c>
      <c r="Q151" s="87">
        <f t="shared" si="81"/>
        <v>1980.0623864499835</v>
      </c>
      <c r="R151" s="87">
        <f t="shared" si="82"/>
        <v>1906.3341173132353</v>
      </c>
      <c r="S151" s="87">
        <f t="shared" si="83"/>
        <v>1969.244606219198</v>
      </c>
      <c r="T151" s="87">
        <f t="shared" si="84"/>
        <v>2081.8982723996428</v>
      </c>
      <c r="U151" s="87">
        <f t="shared" si="85"/>
        <v>2084.8243416510822</v>
      </c>
      <c r="V151" s="87">
        <f t="shared" si="86"/>
        <v>2086.2873762768027</v>
      </c>
      <c r="W151" s="87">
        <f t="shared" si="87"/>
        <v>2087.0188935896626</v>
      </c>
      <c r="X151" s="87">
        <f t="shared" si="88"/>
        <v>2087.0188935896626</v>
      </c>
      <c r="Y151" s="87">
        <f t="shared" si="89"/>
        <v>2087.0188935896626</v>
      </c>
      <c r="Z151" s="87">
        <f t="shared" si="90"/>
        <v>2087.0188935896626</v>
      </c>
      <c r="AA151" s="88">
        <v>450</v>
      </c>
      <c r="AB151" s="89">
        <f>AA151*GDPdeflator!$C$25/$AI$18*10^3</f>
        <v>43.267274341798768</v>
      </c>
      <c r="AC151" s="90" t="e">
        <f>INDEX(Efficiencies!$D$8:$M$89,MATCH(C151,Efficiencies!$C$8:$C$89),MATCH(D151,Efficiencies!$D$7:$M$7))</f>
        <v>#REF!</v>
      </c>
      <c r="AD151" s="90" t="e">
        <f t="shared" si="76"/>
        <v>#REF!</v>
      </c>
      <c r="AE151" s="90" t="e">
        <f>INDEX(Efficiencies!$P$8:$Y$89,MATCH(C151,Efficiencies!$C$8:$C$89),MATCH(D151,Efficiencies!$P$7:$Y$7))</f>
        <v>#REF!</v>
      </c>
      <c r="AF151" s="90" t="e">
        <f t="shared" si="78"/>
        <v>#REF!</v>
      </c>
      <c r="AG151" s="90">
        <v>0</v>
      </c>
    </row>
    <row r="152" spans="1:33" x14ac:dyDescent="0.2">
      <c r="A152" s="92" t="s">
        <v>1084</v>
      </c>
      <c r="B152" s="248" t="s">
        <v>1085</v>
      </c>
      <c r="C152" s="40" t="s">
        <v>1071</v>
      </c>
      <c r="D152" s="40">
        <v>2035</v>
      </c>
      <c r="E152" s="86">
        <f>GDPdeflator!$C$32*INDEX(Costs!$E$7:$O$89,MATCH($C152,Costs!$C$7:$C$89,0),MATCH(E$7,Costs!$E$6:$O$6,0))</f>
        <v>24.857115179695825</v>
      </c>
      <c r="F152" s="86">
        <f>GDPdeflator!$C$36*INDEX(Costs!$E$7:$O$89,MATCH($C152,Costs!$C$7:$C$89,0),MATCH(F$7,Costs!$E$6:$O$6,0))</f>
        <v>23.713848094422922</v>
      </c>
      <c r="G152" s="86">
        <f>GDPdeflator!$C$38*INDEX(Costs!$E$7:$O$89,MATCH($C152,Costs!$C$7:$C$89,0),MATCH(G$7,Costs!$E$6:$O$6,0))</f>
        <v>22.830855221805297</v>
      </c>
      <c r="H152" s="86">
        <f>GDPdeflator!$C$38*INDEX(Costs!$E$7:$O$89,MATCH($C152,Costs!$C$7:$C$89,0),MATCH(H$7,Costs!$E$6:$O$6,0))</f>
        <v>23.584290965886364</v>
      </c>
      <c r="I152" s="86">
        <f>GDPdeflator!$C$38*INDEX(Costs!$E$7:$O$89,MATCH($C152,Costs!$C$7:$C$89,0),MATCH(I$7,Costs!$E$6:$O$6,0))</f>
        <v>24.93346660063618</v>
      </c>
      <c r="J152" s="86">
        <f>GDPdeflator!$C$38*INDEX(Costs!$E$7:$O$89,MATCH($C152,Costs!$C$7:$C$89,0),MATCH(J$7,Costs!$E$6:$O$6,0))</f>
        <v>24.968510123616692</v>
      </c>
      <c r="K152" s="86">
        <f>GDPdeflator!$C$38*INDEX(Costs!$E$7:$O$89,MATCH($C152,Costs!$C$7:$C$89,0),MATCH(K$7,Costs!$E$6:$O$6,0))</f>
        <v>24.98603188510695</v>
      </c>
      <c r="L152" s="86">
        <f>GDPdeflator!$C$38*INDEX(Costs!$E$7:$O$89,MATCH($C152,Costs!$C$7:$C$89,0),MATCH(L$7,Costs!$E$6:$O$6,0))</f>
        <v>24.994792765852079</v>
      </c>
      <c r="M152" s="86">
        <f>GDPdeflator!$C$38*INDEX(Costs!$E$7:$O$89,MATCH($C152,Costs!$C$7:$C$89,0),MATCH(M$7,Costs!$E$6:$O$6,0))</f>
        <v>24.994792765852079</v>
      </c>
      <c r="N152" s="86">
        <f>GDPdeflator!$C$38*INDEX(Costs!$E$7:$O$89,MATCH($C152,Costs!$C$7:$C$89,0),MATCH(N$7,Costs!$E$6:$O$6,0))</f>
        <v>24.994792765852079</v>
      </c>
      <c r="O152" s="86">
        <f>GDPdeflator!$C$38*INDEX(Costs!$E$7:$O$89,MATCH($C152,Costs!$C$7:$C$89,0),MATCH(O$7,Costs!$E$6:$O$6,0))</f>
        <v>24.994792765852079</v>
      </c>
      <c r="P152" s="87">
        <f t="shared" si="80"/>
        <v>2075.5230701906194</v>
      </c>
      <c r="Q152" s="87">
        <f t="shared" si="81"/>
        <v>1980.0623864499835</v>
      </c>
      <c r="R152" s="87">
        <f t="shared" si="82"/>
        <v>1906.3341173132353</v>
      </c>
      <c r="S152" s="87">
        <f t="shared" si="83"/>
        <v>1969.244606219198</v>
      </c>
      <c r="T152" s="87">
        <f t="shared" si="84"/>
        <v>2081.8982723996428</v>
      </c>
      <c r="U152" s="87">
        <f t="shared" si="85"/>
        <v>2084.8243416510822</v>
      </c>
      <c r="V152" s="87">
        <f t="shared" si="86"/>
        <v>2086.2873762768027</v>
      </c>
      <c r="W152" s="87">
        <f t="shared" si="87"/>
        <v>2087.0188935896626</v>
      </c>
      <c r="X152" s="87">
        <f t="shared" si="88"/>
        <v>2087.0188935896626</v>
      </c>
      <c r="Y152" s="87">
        <f t="shared" si="89"/>
        <v>2087.0188935896626</v>
      </c>
      <c r="Z152" s="87">
        <f t="shared" si="90"/>
        <v>2087.0188935896626</v>
      </c>
      <c r="AA152" s="88">
        <v>450</v>
      </c>
      <c r="AB152" s="89">
        <f>AA152*GDPdeflator!$C$25/$AI$18*10^3</f>
        <v>43.267274341798768</v>
      </c>
      <c r="AC152" s="90" t="e">
        <f>INDEX(Efficiencies!$D$8:$M$89,MATCH(C152,Efficiencies!$C$8:$C$89),MATCH(D152,Efficiencies!$D$7:$M$7))</f>
        <v>#REF!</v>
      </c>
      <c r="AD152" s="90" t="e">
        <f t="shared" si="76"/>
        <v>#REF!</v>
      </c>
      <c r="AE152" s="90" t="e">
        <f>INDEX(Efficiencies!$P$8:$Y$89,MATCH(C152,Efficiencies!$C$8:$C$89),MATCH(D152,Efficiencies!$P$7:$Y$7))</f>
        <v>#REF!</v>
      </c>
      <c r="AF152" s="90" t="e">
        <f t="shared" si="78"/>
        <v>#REF!</v>
      </c>
      <c r="AG152" s="90">
        <v>0</v>
      </c>
    </row>
    <row r="153" spans="1:33" x14ac:dyDescent="0.2">
      <c r="A153" s="92" t="s">
        <v>1086</v>
      </c>
      <c r="B153" s="248" t="s">
        <v>1087</v>
      </c>
      <c r="C153" s="40" t="s">
        <v>1071</v>
      </c>
      <c r="D153" s="40">
        <v>2040</v>
      </c>
      <c r="E153" s="86">
        <f>GDPdeflator!$C$32*INDEX(Costs!$E$7:$O$89,MATCH($C153,Costs!$C$7:$C$89,0),MATCH(E$7,Costs!$E$6:$O$6,0))</f>
        <v>24.857115179695825</v>
      </c>
      <c r="F153" s="86">
        <f>GDPdeflator!$C$36*INDEX(Costs!$E$7:$O$89,MATCH($C153,Costs!$C$7:$C$89,0),MATCH(F$7,Costs!$E$6:$O$6,0))</f>
        <v>23.713848094422922</v>
      </c>
      <c r="G153" s="86">
        <f>GDPdeflator!$C$38*INDEX(Costs!$E$7:$O$89,MATCH($C153,Costs!$C$7:$C$89,0),MATCH(G$7,Costs!$E$6:$O$6,0))</f>
        <v>22.830855221805297</v>
      </c>
      <c r="H153" s="86">
        <f>GDPdeflator!$C$38*INDEX(Costs!$E$7:$O$89,MATCH($C153,Costs!$C$7:$C$89,0),MATCH(H$7,Costs!$E$6:$O$6,0))</f>
        <v>23.584290965886364</v>
      </c>
      <c r="I153" s="86">
        <f>GDPdeflator!$C$38*INDEX(Costs!$E$7:$O$89,MATCH($C153,Costs!$C$7:$C$89,0),MATCH(I$7,Costs!$E$6:$O$6,0))</f>
        <v>24.93346660063618</v>
      </c>
      <c r="J153" s="86">
        <f>GDPdeflator!$C$38*INDEX(Costs!$E$7:$O$89,MATCH($C153,Costs!$C$7:$C$89,0),MATCH(J$7,Costs!$E$6:$O$6,0))</f>
        <v>24.968510123616692</v>
      </c>
      <c r="K153" s="86">
        <f>GDPdeflator!$C$38*INDEX(Costs!$E$7:$O$89,MATCH($C153,Costs!$C$7:$C$89,0),MATCH(K$7,Costs!$E$6:$O$6,0))</f>
        <v>24.98603188510695</v>
      </c>
      <c r="L153" s="86">
        <f>GDPdeflator!$C$38*INDEX(Costs!$E$7:$O$89,MATCH($C153,Costs!$C$7:$C$89,0),MATCH(L$7,Costs!$E$6:$O$6,0))</f>
        <v>24.994792765852079</v>
      </c>
      <c r="M153" s="86">
        <f>GDPdeflator!$C$38*INDEX(Costs!$E$7:$O$89,MATCH($C153,Costs!$C$7:$C$89,0),MATCH(M$7,Costs!$E$6:$O$6,0))</f>
        <v>24.994792765852079</v>
      </c>
      <c r="N153" s="86">
        <f>GDPdeflator!$C$38*INDEX(Costs!$E$7:$O$89,MATCH($C153,Costs!$C$7:$C$89,0),MATCH(N$7,Costs!$E$6:$O$6,0))</f>
        <v>24.994792765852079</v>
      </c>
      <c r="O153" s="86">
        <f>GDPdeflator!$C$38*INDEX(Costs!$E$7:$O$89,MATCH($C153,Costs!$C$7:$C$89,0),MATCH(O$7,Costs!$E$6:$O$6,0))</f>
        <v>24.994792765852079</v>
      </c>
      <c r="P153" s="87">
        <f t="shared" si="80"/>
        <v>2075.5230701906194</v>
      </c>
      <c r="Q153" s="87">
        <f t="shared" si="81"/>
        <v>1980.0623864499835</v>
      </c>
      <c r="R153" s="87">
        <f t="shared" si="82"/>
        <v>1906.3341173132353</v>
      </c>
      <c r="S153" s="87">
        <f t="shared" si="83"/>
        <v>1969.244606219198</v>
      </c>
      <c r="T153" s="87">
        <f t="shared" si="84"/>
        <v>2081.8982723996428</v>
      </c>
      <c r="U153" s="87">
        <f t="shared" si="85"/>
        <v>2084.8243416510822</v>
      </c>
      <c r="V153" s="87">
        <f t="shared" si="86"/>
        <v>2086.2873762768027</v>
      </c>
      <c r="W153" s="87">
        <f t="shared" si="87"/>
        <v>2087.0188935896626</v>
      </c>
      <c r="X153" s="87">
        <f t="shared" si="88"/>
        <v>2087.0188935896626</v>
      </c>
      <c r="Y153" s="87">
        <f t="shared" si="89"/>
        <v>2087.0188935896626</v>
      </c>
      <c r="Z153" s="87">
        <f t="shared" si="90"/>
        <v>2087.0188935896626</v>
      </c>
      <c r="AA153" s="88">
        <v>450</v>
      </c>
      <c r="AB153" s="89">
        <f>AA153*GDPdeflator!$C$25/$AI$18*10^3</f>
        <v>43.267274341798768</v>
      </c>
      <c r="AC153" s="90" t="e">
        <f>INDEX(Efficiencies!$D$8:$M$89,MATCH(C153,Efficiencies!$C$8:$C$89),MATCH(D153,Efficiencies!$D$7:$M$7))</f>
        <v>#REF!</v>
      </c>
      <c r="AD153" s="90" t="e">
        <f t="shared" si="76"/>
        <v>#REF!</v>
      </c>
      <c r="AE153" s="90" t="e">
        <f>INDEX(Efficiencies!$P$8:$Y$89,MATCH(C153,Efficiencies!$C$8:$C$89),MATCH(D153,Efficiencies!$P$7:$Y$7))</f>
        <v>#REF!</v>
      </c>
      <c r="AF153" s="90" t="e">
        <f t="shared" si="78"/>
        <v>#REF!</v>
      </c>
      <c r="AG153" s="90">
        <v>0</v>
      </c>
    </row>
    <row r="154" spans="1:33" x14ac:dyDescent="0.2">
      <c r="A154" s="92" t="s">
        <v>1088</v>
      </c>
      <c r="B154" s="248" t="s">
        <v>1089</v>
      </c>
      <c r="C154" s="40" t="s">
        <v>1071</v>
      </c>
      <c r="D154" s="40">
        <v>2045</v>
      </c>
      <c r="E154" s="86">
        <f>GDPdeflator!$C$32*INDEX(Costs!$E$7:$O$89,MATCH($C154,Costs!$C$7:$C$89,0),MATCH(E$7,Costs!$E$6:$O$6,0))</f>
        <v>24.857115179695825</v>
      </c>
      <c r="F154" s="86">
        <f>GDPdeflator!$C$36*INDEX(Costs!$E$7:$O$89,MATCH($C154,Costs!$C$7:$C$89,0),MATCH(F$7,Costs!$E$6:$O$6,0))</f>
        <v>23.713848094422922</v>
      </c>
      <c r="G154" s="86">
        <f>GDPdeflator!$C$38*INDEX(Costs!$E$7:$O$89,MATCH($C154,Costs!$C$7:$C$89,0),MATCH(G$7,Costs!$E$6:$O$6,0))</f>
        <v>22.830855221805297</v>
      </c>
      <c r="H154" s="86">
        <f>GDPdeflator!$C$38*INDEX(Costs!$E$7:$O$89,MATCH($C154,Costs!$C$7:$C$89,0),MATCH(H$7,Costs!$E$6:$O$6,0))</f>
        <v>23.584290965886364</v>
      </c>
      <c r="I154" s="86">
        <f>GDPdeflator!$C$38*INDEX(Costs!$E$7:$O$89,MATCH($C154,Costs!$C$7:$C$89,0),MATCH(I$7,Costs!$E$6:$O$6,0))</f>
        <v>24.93346660063618</v>
      </c>
      <c r="J154" s="86">
        <f>GDPdeflator!$C$38*INDEX(Costs!$E$7:$O$89,MATCH($C154,Costs!$C$7:$C$89,0),MATCH(J$7,Costs!$E$6:$O$6,0))</f>
        <v>24.968510123616692</v>
      </c>
      <c r="K154" s="86">
        <f>GDPdeflator!$C$38*INDEX(Costs!$E$7:$O$89,MATCH($C154,Costs!$C$7:$C$89,0),MATCH(K$7,Costs!$E$6:$O$6,0))</f>
        <v>24.98603188510695</v>
      </c>
      <c r="L154" s="86">
        <f>GDPdeflator!$C$38*INDEX(Costs!$E$7:$O$89,MATCH($C154,Costs!$C$7:$C$89,0),MATCH(L$7,Costs!$E$6:$O$6,0))</f>
        <v>24.994792765852079</v>
      </c>
      <c r="M154" s="86">
        <f>GDPdeflator!$C$38*INDEX(Costs!$E$7:$O$89,MATCH($C154,Costs!$C$7:$C$89,0),MATCH(M$7,Costs!$E$6:$O$6,0))</f>
        <v>24.994792765852079</v>
      </c>
      <c r="N154" s="86">
        <f>GDPdeflator!$C$38*INDEX(Costs!$E$7:$O$89,MATCH($C154,Costs!$C$7:$C$89,0),MATCH(N$7,Costs!$E$6:$O$6,0))</f>
        <v>24.994792765852079</v>
      </c>
      <c r="O154" s="86">
        <f>GDPdeflator!$C$38*INDEX(Costs!$E$7:$O$89,MATCH($C154,Costs!$C$7:$C$89,0),MATCH(O$7,Costs!$E$6:$O$6,0))</f>
        <v>24.994792765852079</v>
      </c>
      <c r="P154" s="87">
        <f t="shared" si="80"/>
        <v>2075.5230701906194</v>
      </c>
      <c r="Q154" s="87">
        <f t="shared" si="81"/>
        <v>1980.0623864499835</v>
      </c>
      <c r="R154" s="87">
        <f t="shared" si="82"/>
        <v>1906.3341173132353</v>
      </c>
      <c r="S154" s="87">
        <f t="shared" si="83"/>
        <v>1969.244606219198</v>
      </c>
      <c r="T154" s="87">
        <f t="shared" si="84"/>
        <v>2081.8982723996428</v>
      </c>
      <c r="U154" s="87">
        <f t="shared" si="85"/>
        <v>2084.8243416510822</v>
      </c>
      <c r="V154" s="87">
        <f t="shared" si="86"/>
        <v>2086.2873762768027</v>
      </c>
      <c r="W154" s="87">
        <f t="shared" si="87"/>
        <v>2087.0188935896626</v>
      </c>
      <c r="X154" s="87">
        <f t="shared" si="88"/>
        <v>2087.0188935896626</v>
      </c>
      <c r="Y154" s="87">
        <f t="shared" si="89"/>
        <v>2087.0188935896626</v>
      </c>
      <c r="Z154" s="87">
        <f t="shared" si="90"/>
        <v>2087.0188935896626</v>
      </c>
      <c r="AA154" s="88">
        <v>450</v>
      </c>
      <c r="AB154" s="89">
        <f>AA154*GDPdeflator!$C$25/$AI$18*10^3</f>
        <v>43.267274341798768</v>
      </c>
      <c r="AC154" s="90" t="e">
        <f>INDEX(Efficiencies!$D$8:$M$89,MATCH(C154,Efficiencies!$C$8:$C$89),MATCH(D154,Efficiencies!$D$7:$M$7))</f>
        <v>#REF!</v>
      </c>
      <c r="AD154" s="90" t="e">
        <f t="shared" si="76"/>
        <v>#REF!</v>
      </c>
      <c r="AE154" s="90" t="e">
        <f>INDEX(Efficiencies!$P$8:$Y$89,MATCH(C154,Efficiencies!$C$8:$C$89),MATCH(D154,Efficiencies!$P$7:$Y$7))</f>
        <v>#REF!</v>
      </c>
      <c r="AF154" s="90" t="e">
        <f t="shared" si="78"/>
        <v>#REF!</v>
      </c>
      <c r="AG154" s="90">
        <v>0</v>
      </c>
    </row>
    <row r="155" spans="1:33" x14ac:dyDescent="0.2">
      <c r="A155" s="92" t="s">
        <v>1090</v>
      </c>
      <c r="B155" s="248" t="s">
        <v>1091</v>
      </c>
      <c r="C155" s="40" t="s">
        <v>1071</v>
      </c>
      <c r="D155" s="40">
        <v>2050</v>
      </c>
      <c r="E155" s="86">
        <f>GDPdeflator!$C$32*INDEX(Costs!$E$7:$O$89,MATCH($C155,Costs!$C$7:$C$89,0),MATCH(E$7,Costs!$E$6:$O$6,0))</f>
        <v>24.857115179695825</v>
      </c>
      <c r="F155" s="86">
        <f>GDPdeflator!$C$36*INDEX(Costs!$E$7:$O$89,MATCH($C155,Costs!$C$7:$C$89,0),MATCH(F$7,Costs!$E$6:$O$6,0))</f>
        <v>23.713848094422922</v>
      </c>
      <c r="G155" s="86">
        <f>GDPdeflator!$C$38*INDEX(Costs!$E$7:$O$89,MATCH($C155,Costs!$C$7:$C$89,0),MATCH(G$7,Costs!$E$6:$O$6,0))</f>
        <v>22.830855221805297</v>
      </c>
      <c r="H155" s="86">
        <f>GDPdeflator!$C$38*INDEX(Costs!$E$7:$O$89,MATCH($C155,Costs!$C$7:$C$89,0),MATCH(H$7,Costs!$E$6:$O$6,0))</f>
        <v>23.584290965886364</v>
      </c>
      <c r="I155" s="86">
        <f>GDPdeflator!$C$38*INDEX(Costs!$E$7:$O$89,MATCH($C155,Costs!$C$7:$C$89,0),MATCH(I$7,Costs!$E$6:$O$6,0))</f>
        <v>24.93346660063618</v>
      </c>
      <c r="J155" s="86">
        <f>GDPdeflator!$C$38*INDEX(Costs!$E$7:$O$89,MATCH($C155,Costs!$C$7:$C$89,0),MATCH(J$7,Costs!$E$6:$O$6,0))</f>
        <v>24.968510123616692</v>
      </c>
      <c r="K155" s="86">
        <f>GDPdeflator!$C$38*INDEX(Costs!$E$7:$O$89,MATCH($C155,Costs!$C$7:$C$89,0),MATCH(K$7,Costs!$E$6:$O$6,0))</f>
        <v>24.98603188510695</v>
      </c>
      <c r="L155" s="86">
        <f>GDPdeflator!$C$38*INDEX(Costs!$E$7:$O$89,MATCH($C155,Costs!$C$7:$C$89,0),MATCH(L$7,Costs!$E$6:$O$6,0))</f>
        <v>24.994792765852079</v>
      </c>
      <c r="M155" s="86">
        <f>GDPdeflator!$C$38*INDEX(Costs!$E$7:$O$89,MATCH($C155,Costs!$C$7:$C$89,0),MATCH(M$7,Costs!$E$6:$O$6,0))</f>
        <v>24.994792765852079</v>
      </c>
      <c r="N155" s="86">
        <f>GDPdeflator!$C$38*INDEX(Costs!$E$7:$O$89,MATCH($C155,Costs!$C$7:$C$89,0),MATCH(N$7,Costs!$E$6:$O$6,0))</f>
        <v>24.994792765852079</v>
      </c>
      <c r="O155" s="86">
        <f>GDPdeflator!$C$38*INDEX(Costs!$E$7:$O$89,MATCH($C155,Costs!$C$7:$C$89,0),MATCH(O$7,Costs!$E$6:$O$6,0))</f>
        <v>24.994792765852079</v>
      </c>
      <c r="P155" s="87">
        <f t="shared" si="80"/>
        <v>2075.5230701906194</v>
      </c>
      <c r="Q155" s="87">
        <f t="shared" si="81"/>
        <v>1980.0623864499835</v>
      </c>
      <c r="R155" s="87">
        <f t="shared" si="82"/>
        <v>1906.3341173132353</v>
      </c>
      <c r="S155" s="87">
        <f t="shared" si="83"/>
        <v>1969.244606219198</v>
      </c>
      <c r="T155" s="87">
        <f t="shared" si="84"/>
        <v>2081.8982723996428</v>
      </c>
      <c r="U155" s="87">
        <f t="shared" si="85"/>
        <v>2084.8243416510822</v>
      </c>
      <c r="V155" s="87">
        <f t="shared" si="86"/>
        <v>2086.2873762768027</v>
      </c>
      <c r="W155" s="87">
        <f t="shared" si="87"/>
        <v>2087.0188935896626</v>
      </c>
      <c r="X155" s="87">
        <f t="shared" si="88"/>
        <v>2087.0188935896626</v>
      </c>
      <c r="Y155" s="87">
        <f t="shared" si="89"/>
        <v>2087.0188935896626</v>
      </c>
      <c r="Z155" s="87">
        <f t="shared" si="90"/>
        <v>2087.0188935896626</v>
      </c>
      <c r="AA155" s="88">
        <v>450</v>
      </c>
      <c r="AB155" s="89">
        <f>AA155*GDPdeflator!$C$25/$AI$18*10^3</f>
        <v>43.267274341798768</v>
      </c>
      <c r="AC155" s="90" t="e">
        <f>INDEX(Efficiencies!$D$8:$M$89,MATCH(C155,Efficiencies!$C$8:$C$89),MATCH(D155,Efficiencies!$D$7:$M$7))</f>
        <v>#REF!</v>
      </c>
      <c r="AD155" s="90" t="e">
        <f t="shared" si="76"/>
        <v>#REF!</v>
      </c>
      <c r="AE155" s="90" t="e">
        <f>INDEX(Efficiencies!$P$8:$Y$89,MATCH(C155,Efficiencies!$C$8:$C$89),MATCH(D155,Efficiencies!$P$7:$Y$7))</f>
        <v>#REF!</v>
      </c>
      <c r="AF155" s="90" t="e">
        <f t="shared" si="78"/>
        <v>#REF!</v>
      </c>
      <c r="AG155" s="90">
        <v>0</v>
      </c>
    </row>
    <row r="156" spans="1:33" x14ac:dyDescent="0.2">
      <c r="A156" s="92" t="s">
        <v>1092</v>
      </c>
      <c r="B156" s="248" t="s">
        <v>1093</v>
      </c>
      <c r="C156" s="40" t="s">
        <v>1094</v>
      </c>
      <c r="D156" s="40">
        <v>2060</v>
      </c>
      <c r="E156" s="86">
        <f>GDPdeflator!$C$32*INDEX(Costs!$E$7:$O$89,MATCH($C156,Costs!$C$7:$C$89,0),MATCH(E$7,Costs!$E$6:$O$6,0))</f>
        <v>35.977913397268232</v>
      </c>
      <c r="F156" s="86">
        <f>GDPdeflator!$C$36*INDEX(Costs!$E$7:$O$89,MATCH($C156,Costs!$C$7:$C$89,0),MATCH(F$7,Costs!$E$6:$O$6,0))</f>
        <v>32.975943778718808</v>
      </c>
      <c r="G156" s="86">
        <f>GDPdeflator!$C$38*INDEX(Costs!$E$7:$O$89,MATCH($C156,Costs!$C$7:$C$89,0),MATCH(G$7,Costs!$E$6:$O$6,0))</f>
        <v>33.729390868745355</v>
      </c>
      <c r="H156" s="86">
        <f>GDPdeflator!$C$38*INDEX(Costs!$E$7:$O$89,MATCH($C156,Costs!$C$7:$C$89,0),MATCH(H$7,Costs!$E$6:$O$6,0))</f>
        <v>34.877066246357217</v>
      </c>
      <c r="I156" s="86">
        <f>GDPdeflator!$C$38*INDEX(Costs!$E$7:$O$89,MATCH($C156,Costs!$C$7:$C$89,0),MATCH(I$7,Costs!$E$6:$O$6,0))</f>
        <v>36.077306908439837</v>
      </c>
      <c r="J156" s="86">
        <f>GDPdeflator!$C$38*INDEX(Costs!$E$7:$O$89,MATCH($C156,Costs!$C$7:$C$89,0),MATCH(J$7,Costs!$E$6:$O$6,0))</f>
        <v>36.121111312165482</v>
      </c>
      <c r="K156" s="86">
        <f>GDPdeflator!$C$38*INDEX(Costs!$E$7:$O$89,MATCH($C156,Costs!$C$7:$C$89,0),MATCH(K$7,Costs!$E$6:$O$6,0))</f>
        <v>36.129872192910611</v>
      </c>
      <c r="L156" s="86">
        <f>GDPdeflator!$C$38*INDEX(Costs!$E$7:$O$89,MATCH($C156,Costs!$C$7:$C$89,0),MATCH(L$7,Costs!$E$6:$O$6,0))</f>
        <v>36.13863307365574</v>
      </c>
      <c r="M156" s="86">
        <f>GDPdeflator!$C$38*INDEX(Costs!$E$7:$O$89,MATCH($C156,Costs!$C$7:$C$89,0),MATCH(M$7,Costs!$E$6:$O$6,0))</f>
        <v>36.13863307365574</v>
      </c>
      <c r="N156" s="86">
        <f>GDPdeflator!$C$38*INDEX(Costs!$E$7:$O$89,MATCH($C156,Costs!$C$7:$C$89,0),MATCH(N$7,Costs!$E$6:$O$6,0))</f>
        <v>36.13863307365574</v>
      </c>
      <c r="O156" s="86">
        <f>GDPdeflator!$C$38*INDEX(Costs!$E$7:$O$89,MATCH($C156,Costs!$C$7:$C$89,0),MATCH(O$7,Costs!$E$6:$O$6,0))</f>
        <v>36.13863307365574</v>
      </c>
      <c r="P156" s="87">
        <f>E156/$AI$18*10^6</f>
        <v>3004.0891202992825</v>
      </c>
      <c r="Q156" s="87">
        <f t="shared" si="81"/>
        <v>2753.4302182397191</v>
      </c>
      <c r="R156" s="87">
        <f t="shared" si="82"/>
        <v>2816.3416545111113</v>
      </c>
      <c r="S156" s="87">
        <f t="shared" si="83"/>
        <v>2912.1704224957757</v>
      </c>
      <c r="T156" s="87">
        <f t="shared" si="84"/>
        <v>3012.3882943575991</v>
      </c>
      <c r="U156" s="87">
        <f t="shared" si="85"/>
        <v>3016.0458809218994</v>
      </c>
      <c r="V156" s="87">
        <f t="shared" si="86"/>
        <v>3016.7773982347594</v>
      </c>
      <c r="W156" s="87">
        <f t="shared" si="87"/>
        <v>3017.5089155476194</v>
      </c>
      <c r="X156" s="87">
        <f t="shared" si="88"/>
        <v>3017.5089155476194</v>
      </c>
      <c r="Y156" s="87">
        <f t="shared" si="89"/>
        <v>3017.5089155476194</v>
      </c>
      <c r="Z156" s="87">
        <f t="shared" si="90"/>
        <v>3017.5089155476194</v>
      </c>
      <c r="AA156" s="88">
        <v>405</v>
      </c>
      <c r="AB156" s="89">
        <f>AA156*GDPdeflator!$C$25/$AI$18*10^3</f>
        <v>38.940546907618888</v>
      </c>
      <c r="AC156" s="90" t="e">
        <f>INDEX(Efficiencies!$D$8:$M$89,MATCH(C156,Efficiencies!$C$8:$C$89),MATCH(D156,Efficiencies!$D$7:$M$7))</f>
        <v>#REF!</v>
      </c>
      <c r="AD156" s="90" t="e">
        <f t="shared" si="76"/>
        <v>#REF!</v>
      </c>
      <c r="AE156" s="90" t="e">
        <f>INDEX(Efficiencies!$P$8:$Y$89,MATCH(C156,Efficiencies!$C$8:$C$89),MATCH(D156,Efficiencies!$P$7:$Y$7))</f>
        <v>#REF!</v>
      </c>
      <c r="AF156" s="90" t="e">
        <f t="shared" si="78"/>
        <v>#REF!</v>
      </c>
      <c r="AG156" s="90">
        <v>0</v>
      </c>
    </row>
    <row r="157" spans="1:33" x14ac:dyDescent="0.2">
      <c r="A157" s="92" t="s">
        <v>1095</v>
      </c>
      <c r="B157" s="248" t="s">
        <v>1096</v>
      </c>
      <c r="C157" s="40" t="s">
        <v>1094</v>
      </c>
      <c r="D157" s="40">
        <v>2005</v>
      </c>
      <c r="E157" s="86">
        <f>GDPdeflator!$C$32*INDEX(Costs!$E$7:$O$89,MATCH($C157,Costs!$C$7:$C$89,0),MATCH(E$7,Costs!$E$6:$O$6,0))</f>
        <v>35.977913397268232</v>
      </c>
      <c r="F157" s="86">
        <f>GDPdeflator!$C$36*INDEX(Costs!$E$7:$O$89,MATCH($C157,Costs!$C$7:$C$89,0),MATCH(F$7,Costs!$E$6:$O$6,0))</f>
        <v>32.975943778718808</v>
      </c>
      <c r="G157" s="86">
        <f>GDPdeflator!$C$38*INDEX(Costs!$E$7:$O$89,MATCH($C157,Costs!$C$7:$C$89,0),MATCH(G$7,Costs!$E$6:$O$6,0))</f>
        <v>33.729390868745355</v>
      </c>
      <c r="H157" s="86">
        <f>GDPdeflator!$C$38*INDEX(Costs!$E$7:$O$89,MATCH($C157,Costs!$C$7:$C$89,0),MATCH(H$7,Costs!$E$6:$O$6,0))</f>
        <v>34.877066246357217</v>
      </c>
      <c r="I157" s="86">
        <f>GDPdeflator!$C$38*INDEX(Costs!$E$7:$O$89,MATCH($C157,Costs!$C$7:$C$89,0),MATCH(I$7,Costs!$E$6:$O$6,0))</f>
        <v>36.077306908439837</v>
      </c>
      <c r="J157" s="86">
        <f>GDPdeflator!$C$38*INDEX(Costs!$E$7:$O$89,MATCH($C157,Costs!$C$7:$C$89,0),MATCH(J$7,Costs!$E$6:$O$6,0))</f>
        <v>36.121111312165482</v>
      </c>
      <c r="K157" s="86">
        <f>GDPdeflator!$C$38*INDEX(Costs!$E$7:$O$89,MATCH($C157,Costs!$C$7:$C$89,0),MATCH(K$7,Costs!$E$6:$O$6,0))</f>
        <v>36.129872192910611</v>
      </c>
      <c r="L157" s="86">
        <f>GDPdeflator!$C$38*INDEX(Costs!$E$7:$O$89,MATCH($C157,Costs!$C$7:$C$89,0),MATCH(L$7,Costs!$E$6:$O$6,0))</f>
        <v>36.13863307365574</v>
      </c>
      <c r="M157" s="86">
        <f>GDPdeflator!$C$38*INDEX(Costs!$E$7:$O$89,MATCH($C157,Costs!$C$7:$C$89,0),MATCH(M$7,Costs!$E$6:$O$6,0))</f>
        <v>36.13863307365574</v>
      </c>
      <c r="N157" s="86">
        <f>GDPdeflator!$C$38*INDEX(Costs!$E$7:$O$89,MATCH($C157,Costs!$C$7:$C$89,0),MATCH(N$7,Costs!$E$6:$O$6,0))</f>
        <v>36.13863307365574</v>
      </c>
      <c r="O157" s="86">
        <f>GDPdeflator!$C$38*INDEX(Costs!$E$7:$O$89,MATCH($C157,Costs!$C$7:$C$89,0),MATCH(O$7,Costs!$E$6:$O$6,0))</f>
        <v>36.13863307365574</v>
      </c>
      <c r="P157" s="87">
        <f t="shared" ref="P157:P166" si="91">E157/$AI$18*10^6</f>
        <v>3004.0891202992825</v>
      </c>
      <c r="Q157" s="87">
        <f t="shared" si="81"/>
        <v>2753.4302182397191</v>
      </c>
      <c r="R157" s="87">
        <f t="shared" si="82"/>
        <v>2816.3416545111113</v>
      </c>
      <c r="S157" s="87">
        <f t="shared" si="83"/>
        <v>2912.1704224957757</v>
      </c>
      <c r="T157" s="87">
        <f t="shared" si="84"/>
        <v>3012.3882943575991</v>
      </c>
      <c r="U157" s="87">
        <f t="shared" si="85"/>
        <v>3016.0458809218994</v>
      </c>
      <c r="V157" s="87">
        <f t="shared" si="86"/>
        <v>3016.7773982347594</v>
      </c>
      <c r="W157" s="87">
        <f t="shared" si="87"/>
        <v>3017.5089155476194</v>
      </c>
      <c r="X157" s="87">
        <f t="shared" si="88"/>
        <v>3017.5089155476194</v>
      </c>
      <c r="Y157" s="87">
        <f t="shared" si="89"/>
        <v>3017.5089155476194</v>
      </c>
      <c r="Z157" s="87">
        <f t="shared" si="90"/>
        <v>3017.5089155476194</v>
      </c>
      <c r="AA157" s="88">
        <v>405</v>
      </c>
      <c r="AB157" s="89">
        <f>AA157*GDPdeflator!$C$25/$AI$18*10^3</f>
        <v>38.940546907618888</v>
      </c>
      <c r="AC157" s="90" t="e">
        <f>INDEX(Efficiencies!$D$8:$M$89,MATCH(C157,Efficiencies!$C$8:$C$89),MATCH(D157,Efficiencies!$D$7:$M$7))</f>
        <v>#REF!</v>
      </c>
      <c r="AD157" s="90" t="e">
        <f t="shared" si="76"/>
        <v>#REF!</v>
      </c>
      <c r="AE157" s="90" t="e">
        <f>INDEX(Efficiencies!$P$8:$Y$89,MATCH(C157,Efficiencies!$C$8:$C$89),MATCH(D157,Efficiencies!$P$7:$Y$7))</f>
        <v>#REF!</v>
      </c>
      <c r="AF157" s="90" t="e">
        <f t="shared" si="78"/>
        <v>#REF!</v>
      </c>
      <c r="AG157" s="90">
        <v>0</v>
      </c>
    </row>
    <row r="158" spans="1:33" x14ac:dyDescent="0.2">
      <c r="A158" s="92" t="s">
        <v>1097</v>
      </c>
      <c r="B158" s="248" t="s">
        <v>1098</v>
      </c>
      <c r="C158" s="40" t="s">
        <v>1094</v>
      </c>
      <c r="D158" s="40">
        <v>2010</v>
      </c>
      <c r="E158" s="86">
        <f>GDPdeflator!$C$32*INDEX(Costs!$E$7:$O$89,MATCH($C158,Costs!$C$7:$C$89,0),MATCH(E$7,Costs!$E$6:$O$6,0))</f>
        <v>35.977913397268232</v>
      </c>
      <c r="F158" s="86">
        <f>GDPdeflator!$C$36*INDEX(Costs!$E$7:$O$89,MATCH($C158,Costs!$C$7:$C$89,0),MATCH(F$7,Costs!$E$6:$O$6,0))</f>
        <v>32.975943778718808</v>
      </c>
      <c r="G158" s="86">
        <f>GDPdeflator!$C$38*INDEX(Costs!$E$7:$O$89,MATCH($C158,Costs!$C$7:$C$89,0),MATCH(G$7,Costs!$E$6:$O$6,0))</f>
        <v>33.729390868745355</v>
      </c>
      <c r="H158" s="86">
        <f>GDPdeflator!$C$38*INDEX(Costs!$E$7:$O$89,MATCH($C158,Costs!$C$7:$C$89,0),MATCH(H$7,Costs!$E$6:$O$6,0))</f>
        <v>34.877066246357217</v>
      </c>
      <c r="I158" s="86">
        <f>GDPdeflator!$C$38*INDEX(Costs!$E$7:$O$89,MATCH($C158,Costs!$C$7:$C$89,0),MATCH(I$7,Costs!$E$6:$O$6,0))</f>
        <v>36.077306908439837</v>
      </c>
      <c r="J158" s="86">
        <f>GDPdeflator!$C$38*INDEX(Costs!$E$7:$O$89,MATCH($C158,Costs!$C$7:$C$89,0),MATCH(J$7,Costs!$E$6:$O$6,0))</f>
        <v>36.121111312165482</v>
      </c>
      <c r="K158" s="86">
        <f>GDPdeflator!$C$38*INDEX(Costs!$E$7:$O$89,MATCH($C158,Costs!$C$7:$C$89,0),MATCH(K$7,Costs!$E$6:$O$6,0))</f>
        <v>36.129872192910611</v>
      </c>
      <c r="L158" s="86">
        <f>GDPdeflator!$C$38*INDEX(Costs!$E$7:$O$89,MATCH($C158,Costs!$C$7:$C$89,0),MATCH(L$7,Costs!$E$6:$O$6,0))</f>
        <v>36.13863307365574</v>
      </c>
      <c r="M158" s="86">
        <f>GDPdeflator!$C$38*INDEX(Costs!$E$7:$O$89,MATCH($C158,Costs!$C$7:$C$89,0),MATCH(M$7,Costs!$E$6:$O$6,0))</f>
        <v>36.13863307365574</v>
      </c>
      <c r="N158" s="86">
        <f>GDPdeflator!$C$38*INDEX(Costs!$E$7:$O$89,MATCH($C158,Costs!$C$7:$C$89,0),MATCH(N$7,Costs!$E$6:$O$6,0))</f>
        <v>36.13863307365574</v>
      </c>
      <c r="O158" s="86">
        <f>GDPdeflator!$C$38*INDEX(Costs!$E$7:$O$89,MATCH($C158,Costs!$C$7:$C$89,0),MATCH(O$7,Costs!$E$6:$O$6,0))</f>
        <v>36.13863307365574</v>
      </c>
      <c r="P158" s="87">
        <f t="shared" si="91"/>
        <v>3004.0891202992825</v>
      </c>
      <c r="Q158" s="87">
        <f t="shared" si="81"/>
        <v>2753.4302182397191</v>
      </c>
      <c r="R158" s="87">
        <f t="shared" si="82"/>
        <v>2816.3416545111113</v>
      </c>
      <c r="S158" s="87">
        <f t="shared" si="83"/>
        <v>2912.1704224957757</v>
      </c>
      <c r="T158" s="87">
        <f t="shared" si="84"/>
        <v>3012.3882943575991</v>
      </c>
      <c r="U158" s="87">
        <f t="shared" si="85"/>
        <v>3016.0458809218994</v>
      </c>
      <c r="V158" s="87">
        <f t="shared" si="86"/>
        <v>3016.7773982347594</v>
      </c>
      <c r="W158" s="87">
        <f t="shared" si="87"/>
        <v>3017.5089155476194</v>
      </c>
      <c r="X158" s="87">
        <f t="shared" si="88"/>
        <v>3017.5089155476194</v>
      </c>
      <c r="Y158" s="87">
        <f t="shared" si="89"/>
        <v>3017.5089155476194</v>
      </c>
      <c r="Z158" s="87">
        <f t="shared" si="90"/>
        <v>3017.5089155476194</v>
      </c>
      <c r="AA158" s="88">
        <v>405</v>
      </c>
      <c r="AB158" s="89">
        <f>AA158*GDPdeflator!$C$25/$AI$18*10^3</f>
        <v>38.940546907618888</v>
      </c>
      <c r="AC158" s="90" t="e">
        <f>INDEX(Efficiencies!$D$8:$M$89,MATCH(C158,Efficiencies!$C$8:$C$89),MATCH(D158,Efficiencies!$D$7:$M$7))</f>
        <v>#REF!</v>
      </c>
      <c r="AD158" s="90" t="e">
        <f t="shared" si="76"/>
        <v>#REF!</v>
      </c>
      <c r="AE158" s="90" t="e">
        <f>INDEX(Efficiencies!$P$8:$Y$89,MATCH(C158,Efficiencies!$C$8:$C$89),MATCH(D158,Efficiencies!$P$7:$Y$7))</f>
        <v>#REF!</v>
      </c>
      <c r="AF158" s="90" t="e">
        <f t="shared" si="78"/>
        <v>#REF!</v>
      </c>
      <c r="AG158" s="90">
        <v>0</v>
      </c>
    </row>
    <row r="159" spans="1:33" x14ac:dyDescent="0.2">
      <c r="A159" s="92" t="s">
        <v>1099</v>
      </c>
      <c r="B159" s="248" t="s">
        <v>1100</v>
      </c>
      <c r="C159" s="40" t="s">
        <v>1094</v>
      </c>
      <c r="D159" s="40">
        <v>2015</v>
      </c>
      <c r="E159" s="86">
        <f>GDPdeflator!$C$32*INDEX(Costs!$E$7:$O$89,MATCH($C159,Costs!$C$7:$C$89,0),MATCH(E$7,Costs!$E$6:$O$6,0))</f>
        <v>35.977913397268232</v>
      </c>
      <c r="F159" s="86">
        <f>GDPdeflator!$C$36*INDEX(Costs!$E$7:$O$89,MATCH($C159,Costs!$C$7:$C$89,0),MATCH(F$7,Costs!$E$6:$O$6,0))</f>
        <v>32.975943778718808</v>
      </c>
      <c r="G159" s="86">
        <f>GDPdeflator!$C$38*INDEX(Costs!$E$7:$O$89,MATCH($C159,Costs!$C$7:$C$89,0),MATCH(G$7,Costs!$E$6:$O$6,0))</f>
        <v>33.729390868745355</v>
      </c>
      <c r="H159" s="86">
        <f>GDPdeflator!$C$38*INDEX(Costs!$E$7:$O$89,MATCH($C159,Costs!$C$7:$C$89,0),MATCH(H$7,Costs!$E$6:$O$6,0))</f>
        <v>34.877066246357217</v>
      </c>
      <c r="I159" s="86">
        <f>GDPdeflator!$C$38*INDEX(Costs!$E$7:$O$89,MATCH($C159,Costs!$C$7:$C$89,0),MATCH(I$7,Costs!$E$6:$O$6,0))</f>
        <v>36.077306908439837</v>
      </c>
      <c r="J159" s="86">
        <f>GDPdeflator!$C$38*INDEX(Costs!$E$7:$O$89,MATCH($C159,Costs!$C$7:$C$89,0),MATCH(J$7,Costs!$E$6:$O$6,0))</f>
        <v>36.121111312165482</v>
      </c>
      <c r="K159" s="86">
        <f>GDPdeflator!$C$38*INDEX(Costs!$E$7:$O$89,MATCH($C159,Costs!$C$7:$C$89,0),MATCH(K$7,Costs!$E$6:$O$6,0))</f>
        <v>36.129872192910611</v>
      </c>
      <c r="L159" s="86">
        <f>GDPdeflator!$C$38*INDEX(Costs!$E$7:$O$89,MATCH($C159,Costs!$C$7:$C$89,0),MATCH(L$7,Costs!$E$6:$O$6,0))</f>
        <v>36.13863307365574</v>
      </c>
      <c r="M159" s="86">
        <f>GDPdeflator!$C$38*INDEX(Costs!$E$7:$O$89,MATCH($C159,Costs!$C$7:$C$89,0),MATCH(M$7,Costs!$E$6:$O$6,0))</f>
        <v>36.13863307365574</v>
      </c>
      <c r="N159" s="86">
        <f>GDPdeflator!$C$38*INDEX(Costs!$E$7:$O$89,MATCH($C159,Costs!$C$7:$C$89,0),MATCH(N$7,Costs!$E$6:$O$6,0))</f>
        <v>36.13863307365574</v>
      </c>
      <c r="O159" s="86">
        <f>GDPdeflator!$C$38*INDEX(Costs!$E$7:$O$89,MATCH($C159,Costs!$C$7:$C$89,0),MATCH(O$7,Costs!$E$6:$O$6,0))</f>
        <v>36.13863307365574</v>
      </c>
      <c r="P159" s="87">
        <f t="shared" si="91"/>
        <v>3004.0891202992825</v>
      </c>
      <c r="Q159" s="87">
        <f t="shared" si="81"/>
        <v>2753.4302182397191</v>
      </c>
      <c r="R159" s="87">
        <f t="shared" si="82"/>
        <v>2816.3416545111113</v>
      </c>
      <c r="S159" s="87">
        <f t="shared" si="83"/>
        <v>2912.1704224957757</v>
      </c>
      <c r="T159" s="87">
        <f t="shared" si="84"/>
        <v>3012.3882943575991</v>
      </c>
      <c r="U159" s="87">
        <f t="shared" si="85"/>
        <v>3016.0458809218994</v>
      </c>
      <c r="V159" s="87">
        <f t="shared" si="86"/>
        <v>3016.7773982347594</v>
      </c>
      <c r="W159" s="87">
        <f t="shared" si="87"/>
        <v>3017.5089155476194</v>
      </c>
      <c r="X159" s="87">
        <f t="shared" si="88"/>
        <v>3017.5089155476194</v>
      </c>
      <c r="Y159" s="87">
        <f t="shared" si="89"/>
        <v>3017.5089155476194</v>
      </c>
      <c r="Z159" s="87">
        <f t="shared" si="90"/>
        <v>3017.5089155476194</v>
      </c>
      <c r="AA159" s="88">
        <v>405</v>
      </c>
      <c r="AB159" s="89">
        <f>AA159*GDPdeflator!$C$25/$AI$18*10^3</f>
        <v>38.940546907618888</v>
      </c>
      <c r="AC159" s="90" t="e">
        <f>INDEX(Efficiencies!$D$8:$M$89,MATCH(C159,Efficiencies!$C$8:$C$89),MATCH(D159,Efficiencies!$D$7:$M$7))</f>
        <v>#REF!</v>
      </c>
      <c r="AD159" s="90" t="e">
        <f t="shared" si="76"/>
        <v>#REF!</v>
      </c>
      <c r="AE159" s="90" t="e">
        <f>INDEX(Efficiencies!$P$8:$Y$89,MATCH(C159,Efficiencies!$C$8:$C$89),MATCH(D159,Efficiencies!$P$7:$Y$7))</f>
        <v>#REF!</v>
      </c>
      <c r="AF159" s="90" t="e">
        <f t="shared" si="78"/>
        <v>#REF!</v>
      </c>
      <c r="AG159" s="90">
        <v>0</v>
      </c>
    </row>
    <row r="160" spans="1:33" x14ac:dyDescent="0.2">
      <c r="A160" s="92" t="s">
        <v>1101</v>
      </c>
      <c r="B160" s="248" t="s">
        <v>1102</v>
      </c>
      <c r="C160" s="40" t="s">
        <v>1094</v>
      </c>
      <c r="D160" s="40">
        <v>2020</v>
      </c>
      <c r="E160" s="86">
        <f>GDPdeflator!$C$32*INDEX(Costs!$E$7:$O$89,MATCH($C160,Costs!$C$7:$C$89,0),MATCH(E$7,Costs!$E$6:$O$6,0))</f>
        <v>35.977913397268232</v>
      </c>
      <c r="F160" s="86">
        <f>GDPdeflator!$C$36*INDEX(Costs!$E$7:$O$89,MATCH($C160,Costs!$C$7:$C$89,0),MATCH(F$7,Costs!$E$6:$O$6,0))</f>
        <v>32.975943778718808</v>
      </c>
      <c r="G160" s="86">
        <f>GDPdeflator!$C$38*INDEX(Costs!$E$7:$O$89,MATCH($C160,Costs!$C$7:$C$89,0),MATCH(G$7,Costs!$E$6:$O$6,0))</f>
        <v>33.729390868745355</v>
      </c>
      <c r="H160" s="86">
        <f>GDPdeflator!$C$38*INDEX(Costs!$E$7:$O$89,MATCH($C160,Costs!$C$7:$C$89,0),MATCH(H$7,Costs!$E$6:$O$6,0))</f>
        <v>34.877066246357217</v>
      </c>
      <c r="I160" s="86">
        <f>GDPdeflator!$C$38*INDEX(Costs!$E$7:$O$89,MATCH($C160,Costs!$C$7:$C$89,0),MATCH(I$7,Costs!$E$6:$O$6,0))</f>
        <v>36.077306908439837</v>
      </c>
      <c r="J160" s="86">
        <f>GDPdeflator!$C$38*INDEX(Costs!$E$7:$O$89,MATCH($C160,Costs!$C$7:$C$89,0),MATCH(J$7,Costs!$E$6:$O$6,0))</f>
        <v>36.121111312165482</v>
      </c>
      <c r="K160" s="86">
        <f>GDPdeflator!$C$38*INDEX(Costs!$E$7:$O$89,MATCH($C160,Costs!$C$7:$C$89,0),MATCH(K$7,Costs!$E$6:$O$6,0))</f>
        <v>36.129872192910611</v>
      </c>
      <c r="L160" s="86">
        <f>GDPdeflator!$C$38*INDEX(Costs!$E$7:$O$89,MATCH($C160,Costs!$C$7:$C$89,0),MATCH(L$7,Costs!$E$6:$O$6,0))</f>
        <v>36.13863307365574</v>
      </c>
      <c r="M160" s="86">
        <f>GDPdeflator!$C$38*INDEX(Costs!$E$7:$O$89,MATCH($C160,Costs!$C$7:$C$89,0),MATCH(M$7,Costs!$E$6:$O$6,0))</f>
        <v>36.13863307365574</v>
      </c>
      <c r="N160" s="86">
        <f>GDPdeflator!$C$38*INDEX(Costs!$E$7:$O$89,MATCH($C160,Costs!$C$7:$C$89,0),MATCH(N$7,Costs!$E$6:$O$6,0))</f>
        <v>36.13863307365574</v>
      </c>
      <c r="O160" s="86">
        <f>GDPdeflator!$C$38*INDEX(Costs!$E$7:$O$89,MATCH($C160,Costs!$C$7:$C$89,0),MATCH(O$7,Costs!$E$6:$O$6,0))</f>
        <v>36.13863307365574</v>
      </c>
      <c r="P160" s="87">
        <f t="shared" si="91"/>
        <v>3004.0891202992825</v>
      </c>
      <c r="Q160" s="87">
        <f t="shared" si="81"/>
        <v>2753.4302182397191</v>
      </c>
      <c r="R160" s="87">
        <f t="shared" si="82"/>
        <v>2816.3416545111113</v>
      </c>
      <c r="S160" s="87">
        <f t="shared" si="83"/>
        <v>2912.1704224957757</v>
      </c>
      <c r="T160" s="87">
        <f t="shared" si="84"/>
        <v>3012.3882943575991</v>
      </c>
      <c r="U160" s="87">
        <f t="shared" si="85"/>
        <v>3016.0458809218994</v>
      </c>
      <c r="V160" s="87">
        <f t="shared" si="86"/>
        <v>3016.7773982347594</v>
      </c>
      <c r="W160" s="87">
        <f t="shared" si="87"/>
        <v>3017.5089155476194</v>
      </c>
      <c r="X160" s="87">
        <f t="shared" si="88"/>
        <v>3017.5089155476194</v>
      </c>
      <c r="Y160" s="87">
        <f t="shared" si="89"/>
        <v>3017.5089155476194</v>
      </c>
      <c r="Z160" s="87">
        <f t="shared" si="90"/>
        <v>3017.5089155476194</v>
      </c>
      <c r="AA160" s="88">
        <v>405</v>
      </c>
      <c r="AB160" s="89">
        <f>AA160*GDPdeflator!$C$25/$AI$18*10^3</f>
        <v>38.940546907618888</v>
      </c>
      <c r="AC160" s="90" t="e">
        <f>INDEX(Efficiencies!$D$8:$M$89,MATCH(C160,Efficiencies!$C$8:$C$89),MATCH(D160,Efficiencies!$D$7:$M$7))</f>
        <v>#REF!</v>
      </c>
      <c r="AD160" s="90" t="e">
        <f t="shared" si="76"/>
        <v>#REF!</v>
      </c>
      <c r="AE160" s="90" t="e">
        <f>INDEX(Efficiencies!$P$8:$Y$89,MATCH(C160,Efficiencies!$C$8:$C$89),MATCH(D160,Efficiencies!$P$7:$Y$7))</f>
        <v>#REF!</v>
      </c>
      <c r="AF160" s="90" t="e">
        <f t="shared" si="78"/>
        <v>#REF!</v>
      </c>
      <c r="AG160" s="90">
        <v>0</v>
      </c>
    </row>
    <row r="161" spans="1:33" x14ac:dyDescent="0.2">
      <c r="A161" s="92" t="s">
        <v>1103</v>
      </c>
      <c r="B161" s="248" t="s">
        <v>1104</v>
      </c>
      <c r="C161" s="40" t="s">
        <v>1094</v>
      </c>
      <c r="D161" s="40">
        <v>2025</v>
      </c>
      <c r="E161" s="86">
        <f>GDPdeflator!$C$32*INDEX(Costs!$E$7:$O$89,MATCH($C161,Costs!$C$7:$C$89,0),MATCH(E$7,Costs!$E$6:$O$6,0))</f>
        <v>35.977913397268232</v>
      </c>
      <c r="F161" s="86">
        <f>GDPdeflator!$C$36*INDEX(Costs!$E$7:$O$89,MATCH($C161,Costs!$C$7:$C$89,0),MATCH(F$7,Costs!$E$6:$O$6,0))</f>
        <v>32.975943778718808</v>
      </c>
      <c r="G161" s="86">
        <f>GDPdeflator!$C$38*INDEX(Costs!$E$7:$O$89,MATCH($C161,Costs!$C$7:$C$89,0),MATCH(G$7,Costs!$E$6:$O$6,0))</f>
        <v>33.729390868745355</v>
      </c>
      <c r="H161" s="86">
        <f>GDPdeflator!$C$38*INDEX(Costs!$E$7:$O$89,MATCH($C161,Costs!$C$7:$C$89,0),MATCH(H$7,Costs!$E$6:$O$6,0))</f>
        <v>34.877066246357217</v>
      </c>
      <c r="I161" s="86">
        <f>GDPdeflator!$C$38*INDEX(Costs!$E$7:$O$89,MATCH($C161,Costs!$C$7:$C$89,0),MATCH(I$7,Costs!$E$6:$O$6,0))</f>
        <v>36.077306908439837</v>
      </c>
      <c r="J161" s="86">
        <f>GDPdeflator!$C$38*INDEX(Costs!$E$7:$O$89,MATCH($C161,Costs!$C$7:$C$89,0),MATCH(J$7,Costs!$E$6:$O$6,0))</f>
        <v>36.121111312165482</v>
      </c>
      <c r="K161" s="86">
        <f>GDPdeflator!$C$38*INDEX(Costs!$E$7:$O$89,MATCH($C161,Costs!$C$7:$C$89,0),MATCH(K$7,Costs!$E$6:$O$6,0))</f>
        <v>36.129872192910611</v>
      </c>
      <c r="L161" s="86">
        <f>GDPdeflator!$C$38*INDEX(Costs!$E$7:$O$89,MATCH($C161,Costs!$C$7:$C$89,0),MATCH(L$7,Costs!$E$6:$O$6,0))</f>
        <v>36.13863307365574</v>
      </c>
      <c r="M161" s="86">
        <f>GDPdeflator!$C$38*INDEX(Costs!$E$7:$O$89,MATCH($C161,Costs!$C$7:$C$89,0),MATCH(M$7,Costs!$E$6:$O$6,0))</f>
        <v>36.13863307365574</v>
      </c>
      <c r="N161" s="86">
        <f>GDPdeflator!$C$38*INDEX(Costs!$E$7:$O$89,MATCH($C161,Costs!$C$7:$C$89,0),MATCH(N$7,Costs!$E$6:$O$6,0))</f>
        <v>36.13863307365574</v>
      </c>
      <c r="O161" s="86">
        <f>GDPdeflator!$C$38*INDEX(Costs!$E$7:$O$89,MATCH($C161,Costs!$C$7:$C$89,0),MATCH(O$7,Costs!$E$6:$O$6,0))</f>
        <v>36.13863307365574</v>
      </c>
      <c r="P161" s="87">
        <f t="shared" si="91"/>
        <v>3004.0891202992825</v>
      </c>
      <c r="Q161" s="87">
        <f t="shared" si="81"/>
        <v>2753.4302182397191</v>
      </c>
      <c r="R161" s="87">
        <f t="shared" si="82"/>
        <v>2816.3416545111113</v>
      </c>
      <c r="S161" s="87">
        <f t="shared" si="83"/>
        <v>2912.1704224957757</v>
      </c>
      <c r="T161" s="87">
        <f t="shared" si="84"/>
        <v>3012.3882943575991</v>
      </c>
      <c r="U161" s="87">
        <f t="shared" si="85"/>
        <v>3016.0458809218994</v>
      </c>
      <c r="V161" s="87">
        <f t="shared" si="86"/>
        <v>3016.7773982347594</v>
      </c>
      <c r="W161" s="87">
        <f t="shared" si="87"/>
        <v>3017.5089155476194</v>
      </c>
      <c r="X161" s="87">
        <f t="shared" si="88"/>
        <v>3017.5089155476194</v>
      </c>
      <c r="Y161" s="87">
        <f t="shared" si="89"/>
        <v>3017.5089155476194</v>
      </c>
      <c r="Z161" s="87">
        <f t="shared" si="90"/>
        <v>3017.5089155476194</v>
      </c>
      <c r="AA161" s="88">
        <v>405</v>
      </c>
      <c r="AB161" s="89">
        <f>AA161*GDPdeflator!$C$25/$AI$18*10^3</f>
        <v>38.940546907618888</v>
      </c>
      <c r="AC161" s="90" t="e">
        <f>INDEX(Efficiencies!$D$8:$M$89,MATCH(C161,Efficiencies!$C$8:$C$89),MATCH(D161,Efficiencies!$D$7:$M$7))</f>
        <v>#REF!</v>
      </c>
      <c r="AD161" s="90" t="e">
        <f t="shared" si="76"/>
        <v>#REF!</v>
      </c>
      <c r="AE161" s="90" t="e">
        <f>INDEX(Efficiencies!$P$8:$Y$89,MATCH(C161,Efficiencies!$C$8:$C$89),MATCH(D161,Efficiencies!$P$7:$Y$7))</f>
        <v>#REF!</v>
      </c>
      <c r="AF161" s="90" t="e">
        <f t="shared" si="78"/>
        <v>#REF!</v>
      </c>
      <c r="AG161" s="90">
        <v>0</v>
      </c>
    </row>
    <row r="162" spans="1:33" x14ac:dyDescent="0.2">
      <c r="A162" s="92" t="s">
        <v>1105</v>
      </c>
      <c r="B162" s="248" t="s">
        <v>1106</v>
      </c>
      <c r="C162" s="40" t="s">
        <v>1094</v>
      </c>
      <c r="D162" s="40">
        <v>2030</v>
      </c>
      <c r="E162" s="86">
        <f>GDPdeflator!$C$32*INDEX(Costs!$E$7:$O$89,MATCH($C162,Costs!$C$7:$C$89,0),MATCH(E$7,Costs!$E$6:$O$6,0))</f>
        <v>35.977913397268232</v>
      </c>
      <c r="F162" s="86">
        <f>GDPdeflator!$C$36*INDEX(Costs!$E$7:$O$89,MATCH($C162,Costs!$C$7:$C$89,0),MATCH(F$7,Costs!$E$6:$O$6,0))</f>
        <v>32.975943778718808</v>
      </c>
      <c r="G162" s="86">
        <f>GDPdeflator!$C$38*INDEX(Costs!$E$7:$O$89,MATCH($C162,Costs!$C$7:$C$89,0),MATCH(G$7,Costs!$E$6:$O$6,0))</f>
        <v>33.729390868745355</v>
      </c>
      <c r="H162" s="86">
        <f>GDPdeflator!$C$38*INDEX(Costs!$E$7:$O$89,MATCH($C162,Costs!$C$7:$C$89,0),MATCH(H$7,Costs!$E$6:$O$6,0))</f>
        <v>34.877066246357217</v>
      </c>
      <c r="I162" s="86">
        <f>GDPdeflator!$C$38*INDEX(Costs!$E$7:$O$89,MATCH($C162,Costs!$C$7:$C$89,0),MATCH(I$7,Costs!$E$6:$O$6,0))</f>
        <v>36.077306908439837</v>
      </c>
      <c r="J162" s="86">
        <f>GDPdeflator!$C$38*INDEX(Costs!$E$7:$O$89,MATCH($C162,Costs!$C$7:$C$89,0),MATCH(J$7,Costs!$E$6:$O$6,0))</f>
        <v>36.121111312165482</v>
      </c>
      <c r="K162" s="86">
        <f>GDPdeflator!$C$38*INDEX(Costs!$E$7:$O$89,MATCH($C162,Costs!$C$7:$C$89,0),MATCH(K$7,Costs!$E$6:$O$6,0))</f>
        <v>36.129872192910611</v>
      </c>
      <c r="L162" s="86">
        <f>GDPdeflator!$C$38*INDEX(Costs!$E$7:$O$89,MATCH($C162,Costs!$C$7:$C$89,0),MATCH(L$7,Costs!$E$6:$O$6,0))</f>
        <v>36.13863307365574</v>
      </c>
      <c r="M162" s="86">
        <f>GDPdeflator!$C$38*INDEX(Costs!$E$7:$O$89,MATCH($C162,Costs!$C$7:$C$89,0),MATCH(M$7,Costs!$E$6:$O$6,0))</f>
        <v>36.13863307365574</v>
      </c>
      <c r="N162" s="86">
        <f>GDPdeflator!$C$38*INDEX(Costs!$E$7:$O$89,MATCH($C162,Costs!$C$7:$C$89,0),MATCH(N$7,Costs!$E$6:$O$6,0))</f>
        <v>36.13863307365574</v>
      </c>
      <c r="O162" s="86">
        <f>GDPdeflator!$C$38*INDEX(Costs!$E$7:$O$89,MATCH($C162,Costs!$C$7:$C$89,0),MATCH(O$7,Costs!$E$6:$O$6,0))</f>
        <v>36.13863307365574</v>
      </c>
      <c r="P162" s="87">
        <f t="shared" si="91"/>
        <v>3004.0891202992825</v>
      </c>
      <c r="Q162" s="87">
        <f t="shared" si="81"/>
        <v>2753.4302182397191</v>
      </c>
      <c r="R162" s="87">
        <f t="shared" si="82"/>
        <v>2816.3416545111113</v>
      </c>
      <c r="S162" s="87">
        <f t="shared" si="83"/>
        <v>2912.1704224957757</v>
      </c>
      <c r="T162" s="87">
        <f t="shared" si="84"/>
        <v>3012.3882943575991</v>
      </c>
      <c r="U162" s="87">
        <f t="shared" si="85"/>
        <v>3016.0458809218994</v>
      </c>
      <c r="V162" s="87">
        <f t="shared" si="86"/>
        <v>3016.7773982347594</v>
      </c>
      <c r="W162" s="87">
        <f t="shared" si="87"/>
        <v>3017.5089155476194</v>
      </c>
      <c r="X162" s="87">
        <f t="shared" si="88"/>
        <v>3017.5089155476194</v>
      </c>
      <c r="Y162" s="87">
        <f t="shared" si="89"/>
        <v>3017.5089155476194</v>
      </c>
      <c r="Z162" s="87">
        <f t="shared" si="90"/>
        <v>3017.5089155476194</v>
      </c>
      <c r="AA162" s="88">
        <v>405</v>
      </c>
      <c r="AB162" s="89">
        <f>AA162*GDPdeflator!$C$25/$AI$18*10^3</f>
        <v>38.940546907618888</v>
      </c>
      <c r="AC162" s="90" t="e">
        <f>INDEX(Efficiencies!$D$8:$M$89,MATCH(C162,Efficiencies!$C$8:$C$89),MATCH(D162,Efficiencies!$D$7:$M$7))</f>
        <v>#REF!</v>
      </c>
      <c r="AD162" s="90" t="e">
        <f t="shared" si="76"/>
        <v>#REF!</v>
      </c>
      <c r="AE162" s="90" t="e">
        <f>INDEX(Efficiencies!$P$8:$Y$89,MATCH(C162,Efficiencies!$C$8:$C$89),MATCH(D162,Efficiencies!$P$7:$Y$7))</f>
        <v>#REF!</v>
      </c>
      <c r="AF162" s="90" t="e">
        <f t="shared" si="78"/>
        <v>#REF!</v>
      </c>
      <c r="AG162" s="90">
        <v>0</v>
      </c>
    </row>
    <row r="163" spans="1:33" x14ac:dyDescent="0.2">
      <c r="A163" s="92" t="s">
        <v>1107</v>
      </c>
      <c r="B163" s="248" t="s">
        <v>1108</v>
      </c>
      <c r="C163" s="40" t="s">
        <v>1094</v>
      </c>
      <c r="D163" s="40">
        <v>2035</v>
      </c>
      <c r="E163" s="86">
        <f>GDPdeflator!$C$32*INDEX(Costs!$E$7:$O$89,MATCH($C163,Costs!$C$7:$C$89,0),MATCH(E$7,Costs!$E$6:$O$6,0))</f>
        <v>35.977913397268232</v>
      </c>
      <c r="F163" s="86">
        <f>GDPdeflator!$C$36*INDEX(Costs!$E$7:$O$89,MATCH($C163,Costs!$C$7:$C$89,0),MATCH(F$7,Costs!$E$6:$O$6,0))</f>
        <v>32.975943778718808</v>
      </c>
      <c r="G163" s="86">
        <f>GDPdeflator!$C$38*INDEX(Costs!$E$7:$O$89,MATCH($C163,Costs!$C$7:$C$89,0),MATCH(G$7,Costs!$E$6:$O$6,0))</f>
        <v>33.729390868745355</v>
      </c>
      <c r="H163" s="86">
        <f>GDPdeflator!$C$38*INDEX(Costs!$E$7:$O$89,MATCH($C163,Costs!$C$7:$C$89,0),MATCH(H$7,Costs!$E$6:$O$6,0))</f>
        <v>34.877066246357217</v>
      </c>
      <c r="I163" s="86">
        <f>GDPdeflator!$C$38*INDEX(Costs!$E$7:$O$89,MATCH($C163,Costs!$C$7:$C$89,0),MATCH(I$7,Costs!$E$6:$O$6,0))</f>
        <v>36.077306908439837</v>
      </c>
      <c r="J163" s="86">
        <f>GDPdeflator!$C$38*INDEX(Costs!$E$7:$O$89,MATCH($C163,Costs!$C$7:$C$89,0),MATCH(J$7,Costs!$E$6:$O$6,0))</f>
        <v>36.121111312165482</v>
      </c>
      <c r="K163" s="86">
        <f>GDPdeflator!$C$38*INDEX(Costs!$E$7:$O$89,MATCH($C163,Costs!$C$7:$C$89,0),MATCH(K$7,Costs!$E$6:$O$6,0))</f>
        <v>36.129872192910611</v>
      </c>
      <c r="L163" s="86">
        <f>GDPdeflator!$C$38*INDEX(Costs!$E$7:$O$89,MATCH($C163,Costs!$C$7:$C$89,0),MATCH(L$7,Costs!$E$6:$O$6,0))</f>
        <v>36.13863307365574</v>
      </c>
      <c r="M163" s="86">
        <f>GDPdeflator!$C$38*INDEX(Costs!$E$7:$O$89,MATCH($C163,Costs!$C$7:$C$89,0),MATCH(M$7,Costs!$E$6:$O$6,0))</f>
        <v>36.13863307365574</v>
      </c>
      <c r="N163" s="86">
        <f>GDPdeflator!$C$38*INDEX(Costs!$E$7:$O$89,MATCH($C163,Costs!$C$7:$C$89,0),MATCH(N$7,Costs!$E$6:$O$6,0))</f>
        <v>36.13863307365574</v>
      </c>
      <c r="O163" s="86">
        <f>GDPdeflator!$C$38*INDEX(Costs!$E$7:$O$89,MATCH($C163,Costs!$C$7:$C$89,0),MATCH(O$7,Costs!$E$6:$O$6,0))</f>
        <v>36.13863307365574</v>
      </c>
      <c r="P163" s="87">
        <f t="shared" si="91"/>
        <v>3004.0891202992825</v>
      </c>
      <c r="Q163" s="87">
        <f t="shared" si="81"/>
        <v>2753.4302182397191</v>
      </c>
      <c r="R163" s="87">
        <f t="shared" si="82"/>
        <v>2816.3416545111113</v>
      </c>
      <c r="S163" s="87">
        <f t="shared" si="83"/>
        <v>2912.1704224957757</v>
      </c>
      <c r="T163" s="87">
        <f t="shared" si="84"/>
        <v>3012.3882943575991</v>
      </c>
      <c r="U163" s="87">
        <f t="shared" si="85"/>
        <v>3016.0458809218994</v>
      </c>
      <c r="V163" s="87">
        <f t="shared" si="86"/>
        <v>3016.7773982347594</v>
      </c>
      <c r="W163" s="87">
        <f t="shared" si="87"/>
        <v>3017.5089155476194</v>
      </c>
      <c r="X163" s="87">
        <f t="shared" si="88"/>
        <v>3017.5089155476194</v>
      </c>
      <c r="Y163" s="87">
        <f t="shared" si="89"/>
        <v>3017.5089155476194</v>
      </c>
      <c r="Z163" s="87">
        <f t="shared" si="90"/>
        <v>3017.5089155476194</v>
      </c>
      <c r="AA163" s="88">
        <v>405</v>
      </c>
      <c r="AB163" s="89">
        <f>AA163*GDPdeflator!$C$25/$AI$18*10^3</f>
        <v>38.940546907618888</v>
      </c>
      <c r="AC163" s="90" t="e">
        <f>INDEX(Efficiencies!$D$8:$M$89,MATCH(C163,Efficiencies!$C$8:$C$89),MATCH(D163,Efficiencies!$D$7:$M$7))</f>
        <v>#REF!</v>
      </c>
      <c r="AD163" s="90" t="e">
        <f t="shared" si="76"/>
        <v>#REF!</v>
      </c>
      <c r="AE163" s="90" t="e">
        <f>INDEX(Efficiencies!$P$8:$Y$89,MATCH(C163,Efficiencies!$C$8:$C$89),MATCH(D163,Efficiencies!$P$7:$Y$7))</f>
        <v>#REF!</v>
      </c>
      <c r="AF163" s="90" t="e">
        <f t="shared" si="78"/>
        <v>#REF!</v>
      </c>
      <c r="AG163" s="90">
        <v>0</v>
      </c>
    </row>
    <row r="164" spans="1:33" x14ac:dyDescent="0.2">
      <c r="A164" s="92" t="s">
        <v>1109</v>
      </c>
      <c r="B164" s="248" t="s">
        <v>1110</v>
      </c>
      <c r="C164" s="40" t="s">
        <v>1094</v>
      </c>
      <c r="D164" s="40">
        <v>2040</v>
      </c>
      <c r="E164" s="86">
        <f>GDPdeflator!$C$32*INDEX(Costs!$E$7:$O$89,MATCH($C164,Costs!$C$7:$C$89,0),MATCH(E$7,Costs!$E$6:$O$6,0))</f>
        <v>35.977913397268232</v>
      </c>
      <c r="F164" s="86">
        <f>GDPdeflator!$C$36*INDEX(Costs!$E$7:$O$89,MATCH($C164,Costs!$C$7:$C$89,0),MATCH(F$7,Costs!$E$6:$O$6,0))</f>
        <v>32.975943778718808</v>
      </c>
      <c r="G164" s="86">
        <f>GDPdeflator!$C$38*INDEX(Costs!$E$7:$O$89,MATCH($C164,Costs!$C$7:$C$89,0),MATCH(G$7,Costs!$E$6:$O$6,0))</f>
        <v>33.729390868745355</v>
      </c>
      <c r="H164" s="86">
        <f>GDPdeflator!$C$38*INDEX(Costs!$E$7:$O$89,MATCH($C164,Costs!$C$7:$C$89,0),MATCH(H$7,Costs!$E$6:$O$6,0))</f>
        <v>34.877066246357217</v>
      </c>
      <c r="I164" s="86">
        <f>GDPdeflator!$C$38*INDEX(Costs!$E$7:$O$89,MATCH($C164,Costs!$C$7:$C$89,0),MATCH(I$7,Costs!$E$6:$O$6,0))</f>
        <v>36.077306908439837</v>
      </c>
      <c r="J164" s="86">
        <f>GDPdeflator!$C$38*INDEX(Costs!$E$7:$O$89,MATCH($C164,Costs!$C$7:$C$89,0),MATCH(J$7,Costs!$E$6:$O$6,0))</f>
        <v>36.121111312165482</v>
      </c>
      <c r="K164" s="86">
        <f>GDPdeflator!$C$38*INDEX(Costs!$E$7:$O$89,MATCH($C164,Costs!$C$7:$C$89,0),MATCH(K$7,Costs!$E$6:$O$6,0))</f>
        <v>36.129872192910611</v>
      </c>
      <c r="L164" s="86">
        <f>GDPdeflator!$C$38*INDEX(Costs!$E$7:$O$89,MATCH($C164,Costs!$C$7:$C$89,0),MATCH(L$7,Costs!$E$6:$O$6,0))</f>
        <v>36.13863307365574</v>
      </c>
      <c r="M164" s="86">
        <f>GDPdeflator!$C$38*INDEX(Costs!$E$7:$O$89,MATCH($C164,Costs!$C$7:$C$89,0),MATCH(M$7,Costs!$E$6:$O$6,0))</f>
        <v>36.13863307365574</v>
      </c>
      <c r="N164" s="86">
        <f>GDPdeflator!$C$38*INDEX(Costs!$E$7:$O$89,MATCH($C164,Costs!$C$7:$C$89,0),MATCH(N$7,Costs!$E$6:$O$6,0))</f>
        <v>36.13863307365574</v>
      </c>
      <c r="O164" s="86">
        <f>GDPdeflator!$C$38*INDEX(Costs!$E$7:$O$89,MATCH($C164,Costs!$C$7:$C$89,0),MATCH(O$7,Costs!$E$6:$O$6,0))</f>
        <v>36.13863307365574</v>
      </c>
      <c r="P164" s="87">
        <f t="shared" si="91"/>
        <v>3004.0891202992825</v>
      </c>
      <c r="Q164" s="87">
        <f t="shared" si="81"/>
        <v>2753.4302182397191</v>
      </c>
      <c r="R164" s="87">
        <f t="shared" si="82"/>
        <v>2816.3416545111113</v>
      </c>
      <c r="S164" s="87">
        <f t="shared" si="83"/>
        <v>2912.1704224957757</v>
      </c>
      <c r="T164" s="87">
        <f t="shared" si="84"/>
        <v>3012.3882943575991</v>
      </c>
      <c r="U164" s="87">
        <f t="shared" si="85"/>
        <v>3016.0458809218994</v>
      </c>
      <c r="V164" s="87">
        <f t="shared" si="86"/>
        <v>3016.7773982347594</v>
      </c>
      <c r="W164" s="87">
        <f t="shared" si="87"/>
        <v>3017.5089155476194</v>
      </c>
      <c r="X164" s="87">
        <f t="shared" si="88"/>
        <v>3017.5089155476194</v>
      </c>
      <c r="Y164" s="87">
        <f t="shared" si="89"/>
        <v>3017.5089155476194</v>
      </c>
      <c r="Z164" s="87">
        <f t="shared" si="90"/>
        <v>3017.5089155476194</v>
      </c>
      <c r="AA164" s="88">
        <v>405</v>
      </c>
      <c r="AB164" s="89">
        <f>AA164*GDPdeflator!$C$25/$AI$18*10^3</f>
        <v>38.940546907618888</v>
      </c>
      <c r="AC164" s="90" t="e">
        <f>INDEX(Efficiencies!$D$8:$M$89,MATCH(C164,Efficiencies!$C$8:$C$89),MATCH(D164,Efficiencies!$D$7:$M$7))</f>
        <v>#REF!</v>
      </c>
      <c r="AD164" s="90" t="e">
        <f t="shared" si="76"/>
        <v>#REF!</v>
      </c>
      <c r="AE164" s="90" t="e">
        <f>INDEX(Efficiencies!$P$8:$Y$89,MATCH(C164,Efficiencies!$C$8:$C$89),MATCH(D164,Efficiencies!$P$7:$Y$7))</f>
        <v>#REF!</v>
      </c>
      <c r="AF164" s="90" t="e">
        <f t="shared" si="78"/>
        <v>#REF!</v>
      </c>
      <c r="AG164" s="90">
        <v>0</v>
      </c>
    </row>
    <row r="165" spans="1:33" x14ac:dyDescent="0.2">
      <c r="A165" s="92" t="s">
        <v>1111</v>
      </c>
      <c r="B165" s="248" t="s">
        <v>1112</v>
      </c>
      <c r="C165" s="40" t="s">
        <v>1094</v>
      </c>
      <c r="D165" s="40">
        <v>2045</v>
      </c>
      <c r="E165" s="86">
        <f>GDPdeflator!$C$32*INDEX(Costs!$E$7:$O$89,MATCH($C165,Costs!$C$7:$C$89,0),MATCH(E$7,Costs!$E$6:$O$6,0))</f>
        <v>35.977913397268232</v>
      </c>
      <c r="F165" s="86">
        <f>GDPdeflator!$C$36*INDEX(Costs!$E$7:$O$89,MATCH($C165,Costs!$C$7:$C$89,0),MATCH(F$7,Costs!$E$6:$O$6,0))</f>
        <v>32.975943778718808</v>
      </c>
      <c r="G165" s="86">
        <f>GDPdeflator!$C$38*INDEX(Costs!$E$7:$O$89,MATCH($C165,Costs!$C$7:$C$89,0),MATCH(G$7,Costs!$E$6:$O$6,0))</f>
        <v>33.729390868745355</v>
      </c>
      <c r="H165" s="86">
        <f>GDPdeflator!$C$38*INDEX(Costs!$E$7:$O$89,MATCH($C165,Costs!$C$7:$C$89,0),MATCH(H$7,Costs!$E$6:$O$6,0))</f>
        <v>34.877066246357217</v>
      </c>
      <c r="I165" s="86">
        <f>GDPdeflator!$C$38*INDEX(Costs!$E$7:$O$89,MATCH($C165,Costs!$C$7:$C$89,0),MATCH(I$7,Costs!$E$6:$O$6,0))</f>
        <v>36.077306908439837</v>
      </c>
      <c r="J165" s="86">
        <f>GDPdeflator!$C$38*INDEX(Costs!$E$7:$O$89,MATCH($C165,Costs!$C$7:$C$89,0),MATCH(J$7,Costs!$E$6:$O$6,0))</f>
        <v>36.121111312165482</v>
      </c>
      <c r="K165" s="86">
        <f>GDPdeflator!$C$38*INDEX(Costs!$E$7:$O$89,MATCH($C165,Costs!$C$7:$C$89,0),MATCH(K$7,Costs!$E$6:$O$6,0))</f>
        <v>36.129872192910611</v>
      </c>
      <c r="L165" s="86">
        <f>GDPdeflator!$C$38*INDEX(Costs!$E$7:$O$89,MATCH($C165,Costs!$C$7:$C$89,0),MATCH(L$7,Costs!$E$6:$O$6,0))</f>
        <v>36.13863307365574</v>
      </c>
      <c r="M165" s="86">
        <f>GDPdeflator!$C$38*INDEX(Costs!$E$7:$O$89,MATCH($C165,Costs!$C$7:$C$89,0),MATCH(M$7,Costs!$E$6:$O$6,0))</f>
        <v>36.13863307365574</v>
      </c>
      <c r="N165" s="86">
        <f>GDPdeflator!$C$38*INDEX(Costs!$E$7:$O$89,MATCH($C165,Costs!$C$7:$C$89,0),MATCH(N$7,Costs!$E$6:$O$6,0))</f>
        <v>36.13863307365574</v>
      </c>
      <c r="O165" s="86">
        <f>GDPdeflator!$C$38*INDEX(Costs!$E$7:$O$89,MATCH($C165,Costs!$C$7:$C$89,0),MATCH(O$7,Costs!$E$6:$O$6,0))</f>
        <v>36.13863307365574</v>
      </c>
      <c r="P165" s="87">
        <f t="shared" si="91"/>
        <v>3004.0891202992825</v>
      </c>
      <c r="Q165" s="87">
        <f t="shared" si="81"/>
        <v>2753.4302182397191</v>
      </c>
      <c r="R165" s="87">
        <f t="shared" si="82"/>
        <v>2816.3416545111113</v>
      </c>
      <c r="S165" s="87">
        <f t="shared" si="83"/>
        <v>2912.1704224957757</v>
      </c>
      <c r="T165" s="87">
        <f t="shared" si="84"/>
        <v>3012.3882943575991</v>
      </c>
      <c r="U165" s="87">
        <f t="shared" si="85"/>
        <v>3016.0458809218994</v>
      </c>
      <c r="V165" s="87">
        <f t="shared" si="86"/>
        <v>3016.7773982347594</v>
      </c>
      <c r="W165" s="87">
        <f t="shared" si="87"/>
        <v>3017.5089155476194</v>
      </c>
      <c r="X165" s="87">
        <f t="shared" si="88"/>
        <v>3017.5089155476194</v>
      </c>
      <c r="Y165" s="87">
        <f t="shared" si="89"/>
        <v>3017.5089155476194</v>
      </c>
      <c r="Z165" s="87">
        <f t="shared" si="90"/>
        <v>3017.5089155476194</v>
      </c>
      <c r="AA165" s="88">
        <v>405</v>
      </c>
      <c r="AB165" s="89">
        <f>AA165*GDPdeflator!$C$25/$AI$18*10^3</f>
        <v>38.940546907618888</v>
      </c>
      <c r="AC165" s="90" t="e">
        <f>INDEX(Efficiencies!$D$8:$M$89,MATCH(C165,Efficiencies!$C$8:$C$89),MATCH(D165,Efficiencies!$D$7:$M$7))</f>
        <v>#REF!</v>
      </c>
      <c r="AD165" s="90" t="e">
        <f t="shared" si="76"/>
        <v>#REF!</v>
      </c>
      <c r="AE165" s="90" t="e">
        <f>INDEX(Efficiencies!$P$8:$Y$89,MATCH(C165,Efficiencies!$C$8:$C$89),MATCH(D165,Efficiencies!$P$7:$Y$7))</f>
        <v>#REF!</v>
      </c>
      <c r="AF165" s="90" t="e">
        <f t="shared" si="78"/>
        <v>#REF!</v>
      </c>
      <c r="AG165" s="90">
        <v>0</v>
      </c>
    </row>
    <row r="166" spans="1:33" x14ac:dyDescent="0.2">
      <c r="A166" s="92" t="s">
        <v>1113</v>
      </c>
      <c r="B166" s="248" t="s">
        <v>1114</v>
      </c>
      <c r="C166" s="40" t="s">
        <v>1094</v>
      </c>
      <c r="D166" s="40">
        <v>2050</v>
      </c>
      <c r="E166" s="86">
        <f>GDPdeflator!$C$32*INDEX(Costs!$E$7:$O$89,MATCH($C166,Costs!$C$7:$C$89,0),MATCH(E$7,Costs!$E$6:$O$6,0))</f>
        <v>35.977913397268232</v>
      </c>
      <c r="F166" s="86">
        <f>GDPdeflator!$C$36*INDEX(Costs!$E$7:$O$89,MATCH($C166,Costs!$C$7:$C$89,0),MATCH(F$7,Costs!$E$6:$O$6,0))</f>
        <v>32.975943778718808</v>
      </c>
      <c r="G166" s="86">
        <f>GDPdeflator!$C$38*INDEX(Costs!$E$7:$O$89,MATCH($C166,Costs!$C$7:$C$89,0),MATCH(G$7,Costs!$E$6:$O$6,0))</f>
        <v>33.729390868745355</v>
      </c>
      <c r="H166" s="86">
        <f>GDPdeflator!$C$38*INDEX(Costs!$E$7:$O$89,MATCH($C166,Costs!$C$7:$C$89,0),MATCH(H$7,Costs!$E$6:$O$6,0))</f>
        <v>34.877066246357217</v>
      </c>
      <c r="I166" s="86">
        <f>GDPdeflator!$C$38*INDEX(Costs!$E$7:$O$89,MATCH($C166,Costs!$C$7:$C$89,0),MATCH(I$7,Costs!$E$6:$O$6,0))</f>
        <v>36.077306908439837</v>
      </c>
      <c r="J166" s="86">
        <f>GDPdeflator!$C$38*INDEX(Costs!$E$7:$O$89,MATCH($C166,Costs!$C$7:$C$89,0),MATCH(J$7,Costs!$E$6:$O$6,0))</f>
        <v>36.121111312165482</v>
      </c>
      <c r="K166" s="86">
        <f>GDPdeflator!$C$38*INDEX(Costs!$E$7:$O$89,MATCH($C166,Costs!$C$7:$C$89,0),MATCH(K$7,Costs!$E$6:$O$6,0))</f>
        <v>36.129872192910611</v>
      </c>
      <c r="L166" s="86">
        <f>GDPdeflator!$C$38*INDEX(Costs!$E$7:$O$89,MATCH($C166,Costs!$C$7:$C$89,0),MATCH(L$7,Costs!$E$6:$O$6,0))</f>
        <v>36.13863307365574</v>
      </c>
      <c r="M166" s="86">
        <f>GDPdeflator!$C$38*INDEX(Costs!$E$7:$O$89,MATCH($C166,Costs!$C$7:$C$89,0),MATCH(M$7,Costs!$E$6:$O$6,0))</f>
        <v>36.13863307365574</v>
      </c>
      <c r="N166" s="86">
        <f>GDPdeflator!$C$38*INDEX(Costs!$E$7:$O$89,MATCH($C166,Costs!$C$7:$C$89,0),MATCH(N$7,Costs!$E$6:$O$6,0))</f>
        <v>36.13863307365574</v>
      </c>
      <c r="O166" s="86">
        <f>GDPdeflator!$C$38*INDEX(Costs!$E$7:$O$89,MATCH($C166,Costs!$C$7:$C$89,0),MATCH(O$7,Costs!$E$6:$O$6,0))</f>
        <v>36.13863307365574</v>
      </c>
      <c r="P166" s="87">
        <f t="shared" si="91"/>
        <v>3004.0891202992825</v>
      </c>
      <c r="Q166" s="87">
        <f t="shared" si="81"/>
        <v>2753.4302182397191</v>
      </c>
      <c r="R166" s="87">
        <f t="shared" si="82"/>
        <v>2816.3416545111113</v>
      </c>
      <c r="S166" s="87">
        <f t="shared" si="83"/>
        <v>2912.1704224957757</v>
      </c>
      <c r="T166" s="87">
        <f t="shared" si="84"/>
        <v>3012.3882943575991</v>
      </c>
      <c r="U166" s="87">
        <f t="shared" si="85"/>
        <v>3016.0458809218994</v>
      </c>
      <c r="V166" s="87">
        <f t="shared" si="86"/>
        <v>3016.7773982347594</v>
      </c>
      <c r="W166" s="87">
        <f t="shared" si="87"/>
        <v>3017.5089155476194</v>
      </c>
      <c r="X166" s="87">
        <f t="shared" si="88"/>
        <v>3017.5089155476194</v>
      </c>
      <c r="Y166" s="87">
        <f t="shared" si="89"/>
        <v>3017.5089155476194</v>
      </c>
      <c r="Z166" s="87">
        <f t="shared" si="90"/>
        <v>3017.5089155476194</v>
      </c>
      <c r="AA166" s="88">
        <v>405</v>
      </c>
      <c r="AB166" s="89">
        <f>AA166*GDPdeflator!$C$25/$AI$18*10^3</f>
        <v>38.940546907618888</v>
      </c>
      <c r="AC166" s="90" t="e">
        <f>INDEX(Efficiencies!$D$8:$M$89,MATCH(C166,Efficiencies!$C$8:$C$89),MATCH(D166,Efficiencies!$D$7:$M$7))</f>
        <v>#REF!</v>
      </c>
      <c r="AD166" s="90" t="e">
        <f t="shared" si="76"/>
        <v>#REF!</v>
      </c>
      <c r="AE166" s="90" t="e">
        <f>INDEX(Efficiencies!$P$8:$Y$89,MATCH(C166,Efficiencies!$C$8:$C$89),MATCH(D166,Efficiencies!$P$7:$Y$7))</f>
        <v>#REF!</v>
      </c>
      <c r="AF166" s="90" t="e">
        <f t="shared" si="78"/>
        <v>#REF!</v>
      </c>
      <c r="AG166" s="90">
        <v>0</v>
      </c>
    </row>
    <row r="167" spans="1:33" x14ac:dyDescent="0.2">
      <c r="A167" s="92" t="s">
        <v>1115</v>
      </c>
      <c r="B167" s="248" t="s">
        <v>1116</v>
      </c>
      <c r="C167" s="40" t="s">
        <v>1117</v>
      </c>
      <c r="D167" s="40">
        <v>2060</v>
      </c>
      <c r="E167" s="86">
        <f>GDPdeflator!$C$32*INDEX(Costs!$E$7:$O$89,MATCH($C167,Costs!$C$7:$C$89,0),MATCH(E$7,Costs!$E$6:$O$6,0))</f>
        <v>34.951080112370434</v>
      </c>
      <c r="F167" s="86">
        <f>GDPdeflator!$C$36*INDEX(Costs!$E$7:$O$89,MATCH($C167,Costs!$C$7:$C$89,0),MATCH(F$7,Costs!$E$6:$O$6,0))</f>
        <v>31.804667087124962</v>
      </c>
      <c r="G167" s="86">
        <f>GDPdeflator!$C$38*INDEX(Costs!$E$7:$O$89,MATCH($C167,Costs!$C$7:$C$89,0),MATCH(G$7,Costs!$E$6:$O$6,0))</f>
        <v>32.51162844517247</v>
      </c>
      <c r="H167" s="86">
        <f>GDPdeflator!$C$38*INDEX(Costs!$E$7:$O$89,MATCH($C167,Costs!$C$7:$C$89,0),MATCH(H$7,Costs!$E$6:$O$6,0))</f>
        <v>33.659303822784331</v>
      </c>
      <c r="I167" s="86">
        <f>GDPdeflator!$C$38*INDEX(Costs!$E$7:$O$89,MATCH($C167,Costs!$C$7:$C$89,0),MATCH(I$7,Costs!$E$6:$O$6,0))</f>
        <v>34.85078360412183</v>
      </c>
      <c r="J167" s="86">
        <f>GDPdeflator!$C$38*INDEX(Costs!$E$7:$O$89,MATCH($C167,Costs!$C$7:$C$89,0),MATCH(J$7,Costs!$E$6:$O$6,0))</f>
        <v>34.894588007847467</v>
      </c>
      <c r="K167" s="86">
        <f>GDPdeflator!$C$38*INDEX(Costs!$E$7:$O$89,MATCH($C167,Costs!$C$7:$C$89,0),MATCH(K$7,Costs!$E$6:$O$6,0))</f>
        <v>34.903348888592603</v>
      </c>
      <c r="L167" s="86">
        <f>GDPdeflator!$C$38*INDEX(Costs!$E$7:$O$89,MATCH($C167,Costs!$C$7:$C$89,0),MATCH(L$7,Costs!$E$6:$O$6,0))</f>
        <v>34.912109769337725</v>
      </c>
      <c r="M167" s="86">
        <f>GDPdeflator!$C$38*INDEX(Costs!$E$7:$O$89,MATCH($C167,Costs!$C$7:$C$89,0),MATCH(M$7,Costs!$E$6:$O$6,0))</f>
        <v>34.912109769337725</v>
      </c>
      <c r="N167" s="86">
        <f>GDPdeflator!$C$38*INDEX(Costs!$E$7:$O$89,MATCH($C167,Costs!$C$7:$C$89,0),MATCH(N$7,Costs!$E$6:$O$6,0))</f>
        <v>34.912109769337725</v>
      </c>
      <c r="O167" s="86">
        <f>GDPdeflator!$C$38*INDEX(Costs!$E$7:$O$89,MATCH($C167,Costs!$C$7:$C$89,0),MATCH(O$7,Costs!$E$6:$O$6,0))</f>
        <v>34.912109769337725</v>
      </c>
      <c r="P167" s="87">
        <f>E167/$AI$18*10^6</f>
        <v>2918.3504431986571</v>
      </c>
      <c r="Q167" s="87">
        <f t="shared" si="81"/>
        <v>2655.6307842585261</v>
      </c>
      <c r="R167" s="87">
        <f t="shared" si="82"/>
        <v>2714.6607480235675</v>
      </c>
      <c r="S167" s="87">
        <f t="shared" si="83"/>
        <v>2810.4895160082315</v>
      </c>
      <c r="T167" s="87">
        <f t="shared" si="84"/>
        <v>2909.9758705571953</v>
      </c>
      <c r="U167" s="87">
        <f t="shared" si="85"/>
        <v>2913.6334571214952</v>
      </c>
      <c r="V167" s="87">
        <f t="shared" si="86"/>
        <v>2914.3649744343556</v>
      </c>
      <c r="W167" s="87">
        <f t="shared" si="87"/>
        <v>2915.0964917472152</v>
      </c>
      <c r="X167" s="87">
        <f t="shared" si="88"/>
        <v>2915.0964917472152</v>
      </c>
      <c r="Y167" s="87">
        <f t="shared" si="89"/>
        <v>2915.0964917472152</v>
      </c>
      <c r="Z167" s="87">
        <f t="shared" si="90"/>
        <v>2915.0964917472152</v>
      </c>
      <c r="AA167" s="88">
        <v>405</v>
      </c>
      <c r="AB167" s="89">
        <f>AA167*GDPdeflator!$C$25/$AI$18*10^3</f>
        <v>38.940546907618888</v>
      </c>
      <c r="AC167" s="90" t="e">
        <f>INDEX(Efficiencies!$D$8:$M$89,MATCH(C167,Efficiencies!$C$8:$C$89),MATCH(D167,Efficiencies!$D$7:$M$7))</f>
        <v>#REF!</v>
      </c>
      <c r="AD167" s="90" t="e">
        <f t="shared" si="76"/>
        <v>#REF!</v>
      </c>
      <c r="AE167" s="90" t="e">
        <f>INDEX(Efficiencies!$P$8:$Y$89,MATCH(C167,Efficiencies!$C$8:$C$89),MATCH(D167,Efficiencies!$P$7:$Y$7))</f>
        <v>#REF!</v>
      </c>
      <c r="AF167" s="90" t="e">
        <f t="shared" si="78"/>
        <v>#REF!</v>
      </c>
      <c r="AG167" s="90">
        <v>0</v>
      </c>
    </row>
    <row r="168" spans="1:33" x14ac:dyDescent="0.2">
      <c r="A168" s="92" t="s">
        <v>1118</v>
      </c>
      <c r="B168" s="248" t="s">
        <v>1119</v>
      </c>
      <c r="C168" s="40" t="s">
        <v>1117</v>
      </c>
      <c r="D168" s="40">
        <v>2005</v>
      </c>
      <c r="E168" s="86">
        <f>GDPdeflator!$C$32*INDEX(Costs!$E$7:$O$89,MATCH($C168,Costs!$C$7:$C$89,0),MATCH(E$7,Costs!$E$6:$O$6,0))</f>
        <v>34.951080112370434</v>
      </c>
      <c r="F168" s="86">
        <f>GDPdeflator!$C$36*INDEX(Costs!$E$7:$O$89,MATCH($C168,Costs!$C$7:$C$89,0),MATCH(F$7,Costs!$E$6:$O$6,0))</f>
        <v>31.804667087124962</v>
      </c>
      <c r="G168" s="86">
        <f>GDPdeflator!$C$38*INDEX(Costs!$E$7:$O$89,MATCH($C168,Costs!$C$7:$C$89,0),MATCH(G$7,Costs!$E$6:$O$6,0))</f>
        <v>32.51162844517247</v>
      </c>
      <c r="H168" s="86">
        <f>GDPdeflator!$C$38*INDEX(Costs!$E$7:$O$89,MATCH($C168,Costs!$C$7:$C$89,0),MATCH(H$7,Costs!$E$6:$O$6,0))</f>
        <v>33.659303822784331</v>
      </c>
      <c r="I168" s="86">
        <f>GDPdeflator!$C$38*INDEX(Costs!$E$7:$O$89,MATCH($C168,Costs!$C$7:$C$89,0),MATCH(I$7,Costs!$E$6:$O$6,0))</f>
        <v>34.85078360412183</v>
      </c>
      <c r="J168" s="86">
        <f>GDPdeflator!$C$38*INDEX(Costs!$E$7:$O$89,MATCH($C168,Costs!$C$7:$C$89,0),MATCH(J$7,Costs!$E$6:$O$6,0))</f>
        <v>34.894588007847467</v>
      </c>
      <c r="K168" s="86">
        <f>GDPdeflator!$C$38*INDEX(Costs!$E$7:$O$89,MATCH($C168,Costs!$C$7:$C$89,0),MATCH(K$7,Costs!$E$6:$O$6,0))</f>
        <v>34.903348888592603</v>
      </c>
      <c r="L168" s="86">
        <f>GDPdeflator!$C$38*INDEX(Costs!$E$7:$O$89,MATCH($C168,Costs!$C$7:$C$89,0),MATCH(L$7,Costs!$E$6:$O$6,0))</f>
        <v>34.912109769337725</v>
      </c>
      <c r="M168" s="86">
        <f>GDPdeflator!$C$38*INDEX(Costs!$E$7:$O$89,MATCH($C168,Costs!$C$7:$C$89,0),MATCH(M$7,Costs!$E$6:$O$6,0))</f>
        <v>34.912109769337725</v>
      </c>
      <c r="N168" s="86">
        <f>GDPdeflator!$C$38*INDEX(Costs!$E$7:$O$89,MATCH($C168,Costs!$C$7:$C$89,0),MATCH(N$7,Costs!$E$6:$O$6,0))</f>
        <v>34.912109769337725</v>
      </c>
      <c r="O168" s="86">
        <f>GDPdeflator!$C$38*INDEX(Costs!$E$7:$O$89,MATCH($C168,Costs!$C$7:$C$89,0),MATCH(O$7,Costs!$E$6:$O$6,0))</f>
        <v>34.912109769337725</v>
      </c>
      <c r="P168" s="87">
        <f t="shared" ref="P168:P177" si="92">E168/$AI$18*10^6</f>
        <v>2918.3504431986571</v>
      </c>
      <c r="Q168" s="87">
        <f t="shared" ref="Q168:Q197" si="93">F168/$AI$18*10^6</f>
        <v>2655.6307842585261</v>
      </c>
      <c r="R168" s="87">
        <f t="shared" ref="R168:R197" si="94">G168/$AI$18*10^6</f>
        <v>2714.6607480235675</v>
      </c>
      <c r="S168" s="87">
        <f t="shared" ref="S168:S197" si="95">H168/$AI$18*10^6</f>
        <v>2810.4895160082315</v>
      </c>
      <c r="T168" s="87">
        <f t="shared" ref="T168:T197" si="96">I168/$AI$18*10^6</f>
        <v>2909.9758705571953</v>
      </c>
      <c r="U168" s="87">
        <f t="shared" ref="U168:U197" si="97">J168/$AI$18*10^6</f>
        <v>2913.6334571214952</v>
      </c>
      <c r="V168" s="87">
        <f t="shared" ref="V168:V197" si="98">K168/$AI$18*10^6</f>
        <v>2914.3649744343556</v>
      </c>
      <c r="W168" s="87">
        <f t="shared" ref="W168:W197" si="99">L168/$AI$18*10^6</f>
        <v>2915.0964917472152</v>
      </c>
      <c r="X168" s="87">
        <f t="shared" ref="X168:X197" si="100">M168/$AI$18*10^6</f>
        <v>2915.0964917472152</v>
      </c>
      <c r="Y168" s="87">
        <f t="shared" ref="Y168:Y197" si="101">N168/$AI$18*10^6</f>
        <v>2915.0964917472152</v>
      </c>
      <c r="Z168" s="87">
        <f t="shared" ref="Z168:Z197" si="102">O168/$AI$18*10^6</f>
        <v>2915.0964917472152</v>
      </c>
      <c r="AA168" s="88">
        <v>405</v>
      </c>
      <c r="AB168" s="89">
        <f>AA168*GDPdeflator!$C$25/$AI$18*10^3</f>
        <v>38.940546907618888</v>
      </c>
      <c r="AC168" s="90" t="e">
        <f>INDEX(Efficiencies!$D$8:$M$89,MATCH(C168,Efficiencies!$C$8:$C$89),MATCH(D168,Efficiencies!$D$7:$M$7))</f>
        <v>#REF!</v>
      </c>
      <c r="AD168" s="90" t="e">
        <f t="shared" si="76"/>
        <v>#REF!</v>
      </c>
      <c r="AE168" s="90" t="e">
        <f>INDEX(Efficiencies!$P$8:$Y$89,MATCH(C168,Efficiencies!$C$8:$C$89),MATCH(D168,Efficiencies!$P$7:$Y$7))</f>
        <v>#REF!</v>
      </c>
      <c r="AF168" s="90" t="e">
        <f t="shared" si="78"/>
        <v>#REF!</v>
      </c>
      <c r="AG168" s="90">
        <v>0</v>
      </c>
    </row>
    <row r="169" spans="1:33" x14ac:dyDescent="0.2">
      <c r="A169" s="92" t="s">
        <v>1120</v>
      </c>
      <c r="B169" s="248" t="s">
        <v>1121</v>
      </c>
      <c r="C169" s="40" t="s">
        <v>1117</v>
      </c>
      <c r="D169" s="40">
        <v>2010</v>
      </c>
      <c r="E169" s="86">
        <f>GDPdeflator!$C$32*INDEX(Costs!$E$7:$O$89,MATCH($C169,Costs!$C$7:$C$89,0),MATCH(E$7,Costs!$E$6:$O$6,0))</f>
        <v>34.951080112370434</v>
      </c>
      <c r="F169" s="86">
        <f>GDPdeflator!$C$36*INDEX(Costs!$E$7:$O$89,MATCH($C169,Costs!$C$7:$C$89,0),MATCH(F$7,Costs!$E$6:$O$6,0))</f>
        <v>31.804667087124962</v>
      </c>
      <c r="G169" s="86">
        <f>GDPdeflator!$C$38*INDEX(Costs!$E$7:$O$89,MATCH($C169,Costs!$C$7:$C$89,0),MATCH(G$7,Costs!$E$6:$O$6,0))</f>
        <v>32.51162844517247</v>
      </c>
      <c r="H169" s="86">
        <f>GDPdeflator!$C$38*INDEX(Costs!$E$7:$O$89,MATCH($C169,Costs!$C$7:$C$89,0),MATCH(H$7,Costs!$E$6:$O$6,0))</f>
        <v>33.659303822784331</v>
      </c>
      <c r="I169" s="86">
        <f>GDPdeflator!$C$38*INDEX(Costs!$E$7:$O$89,MATCH($C169,Costs!$C$7:$C$89,0),MATCH(I$7,Costs!$E$6:$O$6,0))</f>
        <v>34.85078360412183</v>
      </c>
      <c r="J169" s="86">
        <f>GDPdeflator!$C$38*INDEX(Costs!$E$7:$O$89,MATCH($C169,Costs!$C$7:$C$89,0),MATCH(J$7,Costs!$E$6:$O$6,0))</f>
        <v>34.894588007847467</v>
      </c>
      <c r="K169" s="86">
        <f>GDPdeflator!$C$38*INDEX(Costs!$E$7:$O$89,MATCH($C169,Costs!$C$7:$C$89,0),MATCH(K$7,Costs!$E$6:$O$6,0))</f>
        <v>34.903348888592603</v>
      </c>
      <c r="L169" s="86">
        <f>GDPdeflator!$C$38*INDEX(Costs!$E$7:$O$89,MATCH($C169,Costs!$C$7:$C$89,0),MATCH(L$7,Costs!$E$6:$O$6,0))</f>
        <v>34.912109769337725</v>
      </c>
      <c r="M169" s="86">
        <f>GDPdeflator!$C$38*INDEX(Costs!$E$7:$O$89,MATCH($C169,Costs!$C$7:$C$89,0),MATCH(M$7,Costs!$E$6:$O$6,0))</f>
        <v>34.912109769337725</v>
      </c>
      <c r="N169" s="86">
        <f>GDPdeflator!$C$38*INDEX(Costs!$E$7:$O$89,MATCH($C169,Costs!$C$7:$C$89,0),MATCH(N$7,Costs!$E$6:$O$6,0))</f>
        <v>34.912109769337725</v>
      </c>
      <c r="O169" s="86">
        <f>GDPdeflator!$C$38*INDEX(Costs!$E$7:$O$89,MATCH($C169,Costs!$C$7:$C$89,0),MATCH(O$7,Costs!$E$6:$O$6,0))</f>
        <v>34.912109769337725</v>
      </c>
      <c r="P169" s="87">
        <f t="shared" si="92"/>
        <v>2918.3504431986571</v>
      </c>
      <c r="Q169" s="87">
        <f t="shared" si="93"/>
        <v>2655.6307842585261</v>
      </c>
      <c r="R169" s="87">
        <f t="shared" si="94"/>
        <v>2714.6607480235675</v>
      </c>
      <c r="S169" s="87">
        <f t="shared" si="95"/>
        <v>2810.4895160082315</v>
      </c>
      <c r="T169" s="87">
        <f t="shared" si="96"/>
        <v>2909.9758705571953</v>
      </c>
      <c r="U169" s="87">
        <f t="shared" si="97"/>
        <v>2913.6334571214952</v>
      </c>
      <c r="V169" s="87">
        <f t="shared" si="98"/>
        <v>2914.3649744343556</v>
      </c>
      <c r="W169" s="87">
        <f t="shared" si="99"/>
        <v>2915.0964917472152</v>
      </c>
      <c r="X169" s="87">
        <f t="shared" si="100"/>
        <v>2915.0964917472152</v>
      </c>
      <c r="Y169" s="87">
        <f t="shared" si="101"/>
        <v>2915.0964917472152</v>
      </c>
      <c r="Z169" s="87">
        <f t="shared" si="102"/>
        <v>2915.0964917472152</v>
      </c>
      <c r="AA169" s="88">
        <v>405</v>
      </c>
      <c r="AB169" s="89">
        <f>AA169*GDPdeflator!$C$25/$AI$18*10^3</f>
        <v>38.940546907618888</v>
      </c>
      <c r="AC169" s="90" t="e">
        <f>INDEX(Efficiencies!$D$8:$M$89,MATCH(C169,Efficiencies!$C$8:$C$89),MATCH(D169,Efficiencies!$D$7:$M$7))</f>
        <v>#REF!</v>
      </c>
      <c r="AD169" s="90" t="e">
        <f t="shared" si="76"/>
        <v>#REF!</v>
      </c>
      <c r="AE169" s="90" t="e">
        <f>INDEX(Efficiencies!$P$8:$Y$89,MATCH(C169,Efficiencies!$C$8:$C$89),MATCH(D169,Efficiencies!$P$7:$Y$7))</f>
        <v>#REF!</v>
      </c>
      <c r="AF169" s="90" t="e">
        <f t="shared" si="78"/>
        <v>#REF!</v>
      </c>
      <c r="AG169" s="90">
        <v>0</v>
      </c>
    </row>
    <row r="170" spans="1:33" x14ac:dyDescent="0.2">
      <c r="A170" s="92" t="s">
        <v>1122</v>
      </c>
      <c r="B170" s="248" t="s">
        <v>1123</v>
      </c>
      <c r="C170" s="40" t="s">
        <v>1117</v>
      </c>
      <c r="D170" s="40">
        <v>2015</v>
      </c>
      <c r="E170" s="86">
        <f>GDPdeflator!$C$32*INDEX(Costs!$E$7:$O$89,MATCH($C170,Costs!$C$7:$C$89,0),MATCH(E$7,Costs!$E$6:$O$6,0))</f>
        <v>34.951080112370434</v>
      </c>
      <c r="F170" s="86">
        <f>GDPdeflator!$C$36*INDEX(Costs!$E$7:$O$89,MATCH($C170,Costs!$C$7:$C$89,0),MATCH(F$7,Costs!$E$6:$O$6,0))</f>
        <v>31.804667087124962</v>
      </c>
      <c r="G170" s="86">
        <f>GDPdeflator!$C$38*INDEX(Costs!$E$7:$O$89,MATCH($C170,Costs!$C$7:$C$89,0),MATCH(G$7,Costs!$E$6:$O$6,0))</f>
        <v>32.51162844517247</v>
      </c>
      <c r="H170" s="86">
        <f>GDPdeflator!$C$38*INDEX(Costs!$E$7:$O$89,MATCH($C170,Costs!$C$7:$C$89,0),MATCH(H$7,Costs!$E$6:$O$6,0))</f>
        <v>33.659303822784331</v>
      </c>
      <c r="I170" s="86">
        <f>GDPdeflator!$C$38*INDEX(Costs!$E$7:$O$89,MATCH($C170,Costs!$C$7:$C$89,0),MATCH(I$7,Costs!$E$6:$O$6,0))</f>
        <v>34.85078360412183</v>
      </c>
      <c r="J170" s="86">
        <f>GDPdeflator!$C$38*INDEX(Costs!$E$7:$O$89,MATCH($C170,Costs!$C$7:$C$89,0),MATCH(J$7,Costs!$E$6:$O$6,0))</f>
        <v>34.894588007847467</v>
      </c>
      <c r="K170" s="86">
        <f>GDPdeflator!$C$38*INDEX(Costs!$E$7:$O$89,MATCH($C170,Costs!$C$7:$C$89,0),MATCH(K$7,Costs!$E$6:$O$6,0))</f>
        <v>34.903348888592603</v>
      </c>
      <c r="L170" s="86">
        <f>GDPdeflator!$C$38*INDEX(Costs!$E$7:$O$89,MATCH($C170,Costs!$C$7:$C$89,0),MATCH(L$7,Costs!$E$6:$O$6,0))</f>
        <v>34.912109769337725</v>
      </c>
      <c r="M170" s="86">
        <f>GDPdeflator!$C$38*INDEX(Costs!$E$7:$O$89,MATCH($C170,Costs!$C$7:$C$89,0),MATCH(M$7,Costs!$E$6:$O$6,0))</f>
        <v>34.912109769337725</v>
      </c>
      <c r="N170" s="86">
        <f>GDPdeflator!$C$38*INDEX(Costs!$E$7:$O$89,MATCH($C170,Costs!$C$7:$C$89,0),MATCH(N$7,Costs!$E$6:$O$6,0))</f>
        <v>34.912109769337725</v>
      </c>
      <c r="O170" s="86">
        <f>GDPdeflator!$C$38*INDEX(Costs!$E$7:$O$89,MATCH($C170,Costs!$C$7:$C$89,0),MATCH(O$7,Costs!$E$6:$O$6,0))</f>
        <v>34.912109769337725</v>
      </c>
      <c r="P170" s="87">
        <f t="shared" si="92"/>
        <v>2918.3504431986571</v>
      </c>
      <c r="Q170" s="87">
        <f t="shared" si="93"/>
        <v>2655.6307842585261</v>
      </c>
      <c r="R170" s="87">
        <f t="shared" si="94"/>
        <v>2714.6607480235675</v>
      </c>
      <c r="S170" s="87">
        <f t="shared" si="95"/>
        <v>2810.4895160082315</v>
      </c>
      <c r="T170" s="87">
        <f t="shared" si="96"/>
        <v>2909.9758705571953</v>
      </c>
      <c r="U170" s="87">
        <f t="shared" si="97"/>
        <v>2913.6334571214952</v>
      </c>
      <c r="V170" s="87">
        <f t="shared" si="98"/>
        <v>2914.3649744343556</v>
      </c>
      <c r="W170" s="87">
        <f t="shared" si="99"/>
        <v>2915.0964917472152</v>
      </c>
      <c r="X170" s="87">
        <f t="shared" si="100"/>
        <v>2915.0964917472152</v>
      </c>
      <c r="Y170" s="87">
        <f t="shared" si="101"/>
        <v>2915.0964917472152</v>
      </c>
      <c r="Z170" s="87">
        <f t="shared" si="102"/>
        <v>2915.0964917472152</v>
      </c>
      <c r="AA170" s="88">
        <v>405</v>
      </c>
      <c r="AB170" s="89">
        <f>AA170*GDPdeflator!$C$25/$AI$18*10^3</f>
        <v>38.940546907618888</v>
      </c>
      <c r="AC170" s="90" t="e">
        <f>INDEX(Efficiencies!$D$8:$M$89,MATCH(C170,Efficiencies!$C$8:$C$89),MATCH(D170,Efficiencies!$D$7:$M$7))</f>
        <v>#REF!</v>
      </c>
      <c r="AD170" s="90" t="e">
        <f t="shared" si="76"/>
        <v>#REF!</v>
      </c>
      <c r="AE170" s="90" t="e">
        <f>INDEX(Efficiencies!$P$8:$Y$89,MATCH(C170,Efficiencies!$C$8:$C$89),MATCH(D170,Efficiencies!$P$7:$Y$7))</f>
        <v>#REF!</v>
      </c>
      <c r="AF170" s="90" t="e">
        <f t="shared" si="78"/>
        <v>#REF!</v>
      </c>
      <c r="AG170" s="90">
        <v>0</v>
      </c>
    </row>
    <row r="171" spans="1:33" x14ac:dyDescent="0.2">
      <c r="A171" s="92" t="s">
        <v>1124</v>
      </c>
      <c r="B171" s="248" t="s">
        <v>1125</v>
      </c>
      <c r="C171" s="40" t="s">
        <v>1117</v>
      </c>
      <c r="D171" s="40">
        <v>2020</v>
      </c>
      <c r="E171" s="86">
        <f>GDPdeflator!$C$32*INDEX(Costs!$E$7:$O$89,MATCH($C171,Costs!$C$7:$C$89,0),MATCH(E$7,Costs!$E$6:$O$6,0))</f>
        <v>34.951080112370434</v>
      </c>
      <c r="F171" s="86">
        <f>GDPdeflator!$C$36*INDEX(Costs!$E$7:$O$89,MATCH($C171,Costs!$C$7:$C$89,0),MATCH(F$7,Costs!$E$6:$O$6,0))</f>
        <v>31.804667087124962</v>
      </c>
      <c r="G171" s="86">
        <f>GDPdeflator!$C$38*INDEX(Costs!$E$7:$O$89,MATCH($C171,Costs!$C$7:$C$89,0),MATCH(G$7,Costs!$E$6:$O$6,0))</f>
        <v>32.51162844517247</v>
      </c>
      <c r="H171" s="86">
        <f>GDPdeflator!$C$38*INDEX(Costs!$E$7:$O$89,MATCH($C171,Costs!$C$7:$C$89,0),MATCH(H$7,Costs!$E$6:$O$6,0))</f>
        <v>33.659303822784331</v>
      </c>
      <c r="I171" s="86">
        <f>GDPdeflator!$C$38*INDEX(Costs!$E$7:$O$89,MATCH($C171,Costs!$C$7:$C$89,0),MATCH(I$7,Costs!$E$6:$O$6,0))</f>
        <v>34.85078360412183</v>
      </c>
      <c r="J171" s="86">
        <f>GDPdeflator!$C$38*INDEX(Costs!$E$7:$O$89,MATCH($C171,Costs!$C$7:$C$89,0),MATCH(J$7,Costs!$E$6:$O$6,0))</f>
        <v>34.894588007847467</v>
      </c>
      <c r="K171" s="86">
        <f>GDPdeflator!$C$38*INDEX(Costs!$E$7:$O$89,MATCH($C171,Costs!$C$7:$C$89,0),MATCH(K$7,Costs!$E$6:$O$6,0))</f>
        <v>34.903348888592603</v>
      </c>
      <c r="L171" s="86">
        <f>GDPdeflator!$C$38*INDEX(Costs!$E$7:$O$89,MATCH($C171,Costs!$C$7:$C$89,0),MATCH(L$7,Costs!$E$6:$O$6,0))</f>
        <v>34.912109769337725</v>
      </c>
      <c r="M171" s="86">
        <f>GDPdeflator!$C$38*INDEX(Costs!$E$7:$O$89,MATCH($C171,Costs!$C$7:$C$89,0),MATCH(M$7,Costs!$E$6:$O$6,0))</f>
        <v>34.912109769337725</v>
      </c>
      <c r="N171" s="86">
        <f>GDPdeflator!$C$38*INDEX(Costs!$E$7:$O$89,MATCH($C171,Costs!$C$7:$C$89,0),MATCH(N$7,Costs!$E$6:$O$6,0))</f>
        <v>34.912109769337725</v>
      </c>
      <c r="O171" s="86">
        <f>GDPdeflator!$C$38*INDEX(Costs!$E$7:$O$89,MATCH($C171,Costs!$C$7:$C$89,0),MATCH(O$7,Costs!$E$6:$O$6,0))</f>
        <v>34.912109769337725</v>
      </c>
      <c r="P171" s="87">
        <f t="shared" si="92"/>
        <v>2918.3504431986571</v>
      </c>
      <c r="Q171" s="87">
        <f t="shared" si="93"/>
        <v>2655.6307842585261</v>
      </c>
      <c r="R171" s="87">
        <f t="shared" si="94"/>
        <v>2714.6607480235675</v>
      </c>
      <c r="S171" s="87">
        <f t="shared" si="95"/>
        <v>2810.4895160082315</v>
      </c>
      <c r="T171" s="87">
        <f t="shared" si="96"/>
        <v>2909.9758705571953</v>
      </c>
      <c r="U171" s="87">
        <f t="shared" si="97"/>
        <v>2913.6334571214952</v>
      </c>
      <c r="V171" s="87">
        <f t="shared" si="98"/>
        <v>2914.3649744343556</v>
      </c>
      <c r="W171" s="87">
        <f t="shared" si="99"/>
        <v>2915.0964917472152</v>
      </c>
      <c r="X171" s="87">
        <f t="shared" si="100"/>
        <v>2915.0964917472152</v>
      </c>
      <c r="Y171" s="87">
        <f t="shared" si="101"/>
        <v>2915.0964917472152</v>
      </c>
      <c r="Z171" s="87">
        <f t="shared" si="102"/>
        <v>2915.0964917472152</v>
      </c>
      <c r="AA171" s="88">
        <v>405</v>
      </c>
      <c r="AB171" s="89">
        <f>AA171*GDPdeflator!$C$25/$AI$18*10^3</f>
        <v>38.940546907618888</v>
      </c>
      <c r="AC171" s="90" t="e">
        <f>INDEX(Efficiencies!$D$8:$M$89,MATCH(C171,Efficiencies!$C$8:$C$89),MATCH(D171,Efficiencies!$D$7:$M$7))</f>
        <v>#REF!</v>
      </c>
      <c r="AD171" s="90" t="e">
        <f t="shared" si="76"/>
        <v>#REF!</v>
      </c>
      <c r="AE171" s="90" t="e">
        <f>INDEX(Efficiencies!$P$8:$Y$89,MATCH(C171,Efficiencies!$C$8:$C$89),MATCH(D171,Efficiencies!$P$7:$Y$7))</f>
        <v>#REF!</v>
      </c>
      <c r="AF171" s="90" t="e">
        <f t="shared" si="78"/>
        <v>#REF!</v>
      </c>
      <c r="AG171" s="90">
        <v>0</v>
      </c>
    </row>
    <row r="172" spans="1:33" x14ac:dyDescent="0.2">
      <c r="A172" s="92" t="s">
        <v>1126</v>
      </c>
      <c r="B172" s="248" t="s">
        <v>1127</v>
      </c>
      <c r="C172" s="40" t="s">
        <v>1117</v>
      </c>
      <c r="D172" s="40">
        <v>2025</v>
      </c>
      <c r="E172" s="86">
        <f>GDPdeflator!$C$32*INDEX(Costs!$E$7:$O$89,MATCH($C172,Costs!$C$7:$C$89,0),MATCH(E$7,Costs!$E$6:$O$6,0))</f>
        <v>34.951080112370434</v>
      </c>
      <c r="F172" s="86">
        <f>GDPdeflator!$C$36*INDEX(Costs!$E$7:$O$89,MATCH($C172,Costs!$C$7:$C$89,0),MATCH(F$7,Costs!$E$6:$O$6,0))</f>
        <v>31.804667087124962</v>
      </c>
      <c r="G172" s="86">
        <f>GDPdeflator!$C$38*INDEX(Costs!$E$7:$O$89,MATCH($C172,Costs!$C$7:$C$89,0),MATCH(G$7,Costs!$E$6:$O$6,0))</f>
        <v>32.51162844517247</v>
      </c>
      <c r="H172" s="86">
        <f>GDPdeflator!$C$38*INDEX(Costs!$E$7:$O$89,MATCH($C172,Costs!$C$7:$C$89,0),MATCH(H$7,Costs!$E$6:$O$6,0))</f>
        <v>33.659303822784331</v>
      </c>
      <c r="I172" s="86">
        <f>GDPdeflator!$C$38*INDEX(Costs!$E$7:$O$89,MATCH($C172,Costs!$C$7:$C$89,0),MATCH(I$7,Costs!$E$6:$O$6,0))</f>
        <v>34.85078360412183</v>
      </c>
      <c r="J172" s="86">
        <f>GDPdeflator!$C$38*INDEX(Costs!$E$7:$O$89,MATCH($C172,Costs!$C$7:$C$89,0),MATCH(J$7,Costs!$E$6:$O$6,0))</f>
        <v>34.894588007847467</v>
      </c>
      <c r="K172" s="86">
        <f>GDPdeflator!$C$38*INDEX(Costs!$E$7:$O$89,MATCH($C172,Costs!$C$7:$C$89,0),MATCH(K$7,Costs!$E$6:$O$6,0))</f>
        <v>34.903348888592603</v>
      </c>
      <c r="L172" s="86">
        <f>GDPdeflator!$C$38*INDEX(Costs!$E$7:$O$89,MATCH($C172,Costs!$C$7:$C$89,0),MATCH(L$7,Costs!$E$6:$O$6,0))</f>
        <v>34.912109769337725</v>
      </c>
      <c r="M172" s="86">
        <f>GDPdeflator!$C$38*INDEX(Costs!$E$7:$O$89,MATCH($C172,Costs!$C$7:$C$89,0),MATCH(M$7,Costs!$E$6:$O$6,0))</f>
        <v>34.912109769337725</v>
      </c>
      <c r="N172" s="86">
        <f>GDPdeflator!$C$38*INDEX(Costs!$E$7:$O$89,MATCH($C172,Costs!$C$7:$C$89,0),MATCH(N$7,Costs!$E$6:$O$6,0))</f>
        <v>34.912109769337725</v>
      </c>
      <c r="O172" s="86">
        <f>GDPdeflator!$C$38*INDEX(Costs!$E$7:$O$89,MATCH($C172,Costs!$C$7:$C$89,0),MATCH(O$7,Costs!$E$6:$O$6,0))</f>
        <v>34.912109769337725</v>
      </c>
      <c r="P172" s="87">
        <f t="shared" si="92"/>
        <v>2918.3504431986571</v>
      </c>
      <c r="Q172" s="87">
        <f t="shared" si="93"/>
        <v>2655.6307842585261</v>
      </c>
      <c r="R172" s="87">
        <f t="shared" si="94"/>
        <v>2714.6607480235675</v>
      </c>
      <c r="S172" s="87">
        <f t="shared" si="95"/>
        <v>2810.4895160082315</v>
      </c>
      <c r="T172" s="87">
        <f t="shared" si="96"/>
        <v>2909.9758705571953</v>
      </c>
      <c r="U172" s="87">
        <f t="shared" si="97"/>
        <v>2913.6334571214952</v>
      </c>
      <c r="V172" s="87">
        <f t="shared" si="98"/>
        <v>2914.3649744343556</v>
      </c>
      <c r="W172" s="87">
        <f t="shared" si="99"/>
        <v>2915.0964917472152</v>
      </c>
      <c r="X172" s="87">
        <f t="shared" si="100"/>
        <v>2915.0964917472152</v>
      </c>
      <c r="Y172" s="87">
        <f t="shared" si="101"/>
        <v>2915.0964917472152</v>
      </c>
      <c r="Z172" s="87">
        <f t="shared" si="102"/>
        <v>2915.0964917472152</v>
      </c>
      <c r="AA172" s="88">
        <v>405</v>
      </c>
      <c r="AB172" s="89">
        <f>AA172*GDPdeflator!$C$25/$AI$18*10^3</f>
        <v>38.940546907618888</v>
      </c>
      <c r="AC172" s="90" t="e">
        <f>INDEX(Efficiencies!$D$8:$M$89,MATCH(C172,Efficiencies!$C$8:$C$89),MATCH(D172,Efficiencies!$D$7:$M$7))</f>
        <v>#REF!</v>
      </c>
      <c r="AD172" s="90" t="e">
        <f t="shared" si="76"/>
        <v>#REF!</v>
      </c>
      <c r="AE172" s="90" t="e">
        <f>INDEX(Efficiencies!$P$8:$Y$89,MATCH(C172,Efficiencies!$C$8:$C$89),MATCH(D172,Efficiencies!$P$7:$Y$7))</f>
        <v>#REF!</v>
      </c>
      <c r="AF172" s="90" t="e">
        <f t="shared" si="78"/>
        <v>#REF!</v>
      </c>
      <c r="AG172" s="90">
        <v>0</v>
      </c>
    </row>
    <row r="173" spans="1:33" x14ac:dyDescent="0.2">
      <c r="A173" s="92" t="s">
        <v>1128</v>
      </c>
      <c r="B173" s="248" t="s">
        <v>1129</v>
      </c>
      <c r="C173" s="40" t="s">
        <v>1117</v>
      </c>
      <c r="D173" s="40">
        <v>2030</v>
      </c>
      <c r="E173" s="86">
        <f>GDPdeflator!$C$32*INDEX(Costs!$E$7:$O$89,MATCH($C173,Costs!$C$7:$C$89,0),MATCH(E$7,Costs!$E$6:$O$6,0))</f>
        <v>34.951080112370434</v>
      </c>
      <c r="F173" s="86">
        <f>GDPdeflator!$C$36*INDEX(Costs!$E$7:$O$89,MATCH($C173,Costs!$C$7:$C$89,0),MATCH(F$7,Costs!$E$6:$O$6,0))</f>
        <v>31.804667087124962</v>
      </c>
      <c r="G173" s="86">
        <f>GDPdeflator!$C$38*INDEX(Costs!$E$7:$O$89,MATCH($C173,Costs!$C$7:$C$89,0),MATCH(G$7,Costs!$E$6:$O$6,0))</f>
        <v>32.51162844517247</v>
      </c>
      <c r="H173" s="86">
        <f>GDPdeflator!$C$38*INDEX(Costs!$E$7:$O$89,MATCH($C173,Costs!$C$7:$C$89,0),MATCH(H$7,Costs!$E$6:$O$6,0))</f>
        <v>33.659303822784331</v>
      </c>
      <c r="I173" s="86">
        <f>GDPdeflator!$C$38*INDEX(Costs!$E$7:$O$89,MATCH($C173,Costs!$C$7:$C$89,0),MATCH(I$7,Costs!$E$6:$O$6,0))</f>
        <v>34.85078360412183</v>
      </c>
      <c r="J173" s="86">
        <f>GDPdeflator!$C$38*INDEX(Costs!$E$7:$O$89,MATCH($C173,Costs!$C$7:$C$89,0),MATCH(J$7,Costs!$E$6:$O$6,0))</f>
        <v>34.894588007847467</v>
      </c>
      <c r="K173" s="86">
        <f>GDPdeflator!$C$38*INDEX(Costs!$E$7:$O$89,MATCH($C173,Costs!$C$7:$C$89,0),MATCH(K$7,Costs!$E$6:$O$6,0))</f>
        <v>34.903348888592603</v>
      </c>
      <c r="L173" s="86">
        <f>GDPdeflator!$C$38*INDEX(Costs!$E$7:$O$89,MATCH($C173,Costs!$C$7:$C$89,0),MATCH(L$7,Costs!$E$6:$O$6,0))</f>
        <v>34.912109769337725</v>
      </c>
      <c r="M173" s="86">
        <f>GDPdeflator!$C$38*INDEX(Costs!$E$7:$O$89,MATCH($C173,Costs!$C$7:$C$89,0),MATCH(M$7,Costs!$E$6:$O$6,0))</f>
        <v>34.912109769337725</v>
      </c>
      <c r="N173" s="86">
        <f>GDPdeflator!$C$38*INDEX(Costs!$E$7:$O$89,MATCH($C173,Costs!$C$7:$C$89,0),MATCH(N$7,Costs!$E$6:$O$6,0))</f>
        <v>34.912109769337725</v>
      </c>
      <c r="O173" s="86">
        <f>GDPdeflator!$C$38*INDEX(Costs!$E$7:$O$89,MATCH($C173,Costs!$C$7:$C$89,0),MATCH(O$7,Costs!$E$6:$O$6,0))</f>
        <v>34.912109769337725</v>
      </c>
      <c r="P173" s="87">
        <f t="shared" si="92"/>
        <v>2918.3504431986571</v>
      </c>
      <c r="Q173" s="87">
        <f t="shared" si="93"/>
        <v>2655.6307842585261</v>
      </c>
      <c r="R173" s="87">
        <f t="shared" si="94"/>
        <v>2714.6607480235675</v>
      </c>
      <c r="S173" s="87">
        <f t="shared" si="95"/>
        <v>2810.4895160082315</v>
      </c>
      <c r="T173" s="87">
        <f t="shared" si="96"/>
        <v>2909.9758705571953</v>
      </c>
      <c r="U173" s="87">
        <f t="shared" si="97"/>
        <v>2913.6334571214952</v>
      </c>
      <c r="V173" s="87">
        <f t="shared" si="98"/>
        <v>2914.3649744343556</v>
      </c>
      <c r="W173" s="87">
        <f t="shared" si="99"/>
        <v>2915.0964917472152</v>
      </c>
      <c r="X173" s="87">
        <f t="shared" si="100"/>
        <v>2915.0964917472152</v>
      </c>
      <c r="Y173" s="87">
        <f t="shared" si="101"/>
        <v>2915.0964917472152</v>
      </c>
      <c r="Z173" s="87">
        <f t="shared" si="102"/>
        <v>2915.0964917472152</v>
      </c>
      <c r="AA173" s="88">
        <v>405</v>
      </c>
      <c r="AB173" s="89">
        <f>AA173*GDPdeflator!$C$25/$AI$18*10^3</f>
        <v>38.940546907618888</v>
      </c>
      <c r="AC173" s="90" t="e">
        <f>INDEX(Efficiencies!$D$8:$M$89,MATCH(C173,Efficiencies!$C$8:$C$89),MATCH(D173,Efficiencies!$D$7:$M$7))</f>
        <v>#REF!</v>
      </c>
      <c r="AD173" s="90" t="e">
        <f t="shared" ref="AD173:AD236" si="103">AC173/($AI$11*$AI$15*10 ^ 9)</f>
        <v>#REF!</v>
      </c>
      <c r="AE173" s="90" t="e">
        <f>INDEX(Efficiencies!$P$8:$Y$89,MATCH(C173,Efficiencies!$C$8:$C$89),MATCH(D173,Efficiencies!$P$7:$Y$7))</f>
        <v>#REF!</v>
      </c>
      <c r="AF173" s="90" t="e">
        <f t="shared" si="78"/>
        <v>#REF!</v>
      </c>
      <c r="AG173" s="90">
        <v>0</v>
      </c>
    </row>
    <row r="174" spans="1:33" x14ac:dyDescent="0.2">
      <c r="A174" s="92" t="s">
        <v>1130</v>
      </c>
      <c r="B174" s="248" t="s">
        <v>1131</v>
      </c>
      <c r="C174" s="40" t="s">
        <v>1117</v>
      </c>
      <c r="D174" s="40">
        <v>2035</v>
      </c>
      <c r="E174" s="86">
        <f>GDPdeflator!$C$32*INDEX(Costs!$E$7:$O$89,MATCH($C174,Costs!$C$7:$C$89,0),MATCH(E$7,Costs!$E$6:$O$6,0))</f>
        <v>34.951080112370434</v>
      </c>
      <c r="F174" s="86">
        <f>GDPdeflator!$C$36*INDEX(Costs!$E$7:$O$89,MATCH($C174,Costs!$C$7:$C$89,0),MATCH(F$7,Costs!$E$6:$O$6,0))</f>
        <v>31.804667087124962</v>
      </c>
      <c r="G174" s="86">
        <f>GDPdeflator!$C$38*INDEX(Costs!$E$7:$O$89,MATCH($C174,Costs!$C$7:$C$89,0),MATCH(G$7,Costs!$E$6:$O$6,0))</f>
        <v>32.51162844517247</v>
      </c>
      <c r="H174" s="86">
        <f>GDPdeflator!$C$38*INDEX(Costs!$E$7:$O$89,MATCH($C174,Costs!$C$7:$C$89,0),MATCH(H$7,Costs!$E$6:$O$6,0))</f>
        <v>33.659303822784331</v>
      </c>
      <c r="I174" s="86">
        <f>GDPdeflator!$C$38*INDEX(Costs!$E$7:$O$89,MATCH($C174,Costs!$C$7:$C$89,0),MATCH(I$7,Costs!$E$6:$O$6,0))</f>
        <v>34.85078360412183</v>
      </c>
      <c r="J174" s="86">
        <f>GDPdeflator!$C$38*INDEX(Costs!$E$7:$O$89,MATCH($C174,Costs!$C$7:$C$89,0),MATCH(J$7,Costs!$E$6:$O$6,0))</f>
        <v>34.894588007847467</v>
      </c>
      <c r="K174" s="86">
        <f>GDPdeflator!$C$38*INDEX(Costs!$E$7:$O$89,MATCH($C174,Costs!$C$7:$C$89,0),MATCH(K$7,Costs!$E$6:$O$6,0))</f>
        <v>34.903348888592603</v>
      </c>
      <c r="L174" s="86">
        <f>GDPdeflator!$C$38*INDEX(Costs!$E$7:$O$89,MATCH($C174,Costs!$C$7:$C$89,0),MATCH(L$7,Costs!$E$6:$O$6,0))</f>
        <v>34.912109769337725</v>
      </c>
      <c r="M174" s="86">
        <f>GDPdeflator!$C$38*INDEX(Costs!$E$7:$O$89,MATCH($C174,Costs!$C$7:$C$89,0),MATCH(M$7,Costs!$E$6:$O$6,0))</f>
        <v>34.912109769337725</v>
      </c>
      <c r="N174" s="86">
        <f>GDPdeflator!$C$38*INDEX(Costs!$E$7:$O$89,MATCH($C174,Costs!$C$7:$C$89,0),MATCH(N$7,Costs!$E$6:$O$6,0))</f>
        <v>34.912109769337725</v>
      </c>
      <c r="O174" s="86">
        <f>GDPdeflator!$C$38*INDEX(Costs!$E$7:$O$89,MATCH($C174,Costs!$C$7:$C$89,0),MATCH(O$7,Costs!$E$6:$O$6,0))</f>
        <v>34.912109769337725</v>
      </c>
      <c r="P174" s="87">
        <f t="shared" si="92"/>
        <v>2918.3504431986571</v>
      </c>
      <c r="Q174" s="87">
        <f t="shared" si="93"/>
        <v>2655.6307842585261</v>
      </c>
      <c r="R174" s="87">
        <f t="shared" si="94"/>
        <v>2714.6607480235675</v>
      </c>
      <c r="S174" s="87">
        <f t="shared" si="95"/>
        <v>2810.4895160082315</v>
      </c>
      <c r="T174" s="87">
        <f t="shared" si="96"/>
        <v>2909.9758705571953</v>
      </c>
      <c r="U174" s="87">
        <f t="shared" si="97"/>
        <v>2913.6334571214952</v>
      </c>
      <c r="V174" s="87">
        <f t="shared" si="98"/>
        <v>2914.3649744343556</v>
      </c>
      <c r="W174" s="87">
        <f t="shared" si="99"/>
        <v>2915.0964917472152</v>
      </c>
      <c r="X174" s="87">
        <f t="shared" si="100"/>
        <v>2915.0964917472152</v>
      </c>
      <c r="Y174" s="87">
        <f t="shared" si="101"/>
        <v>2915.0964917472152</v>
      </c>
      <c r="Z174" s="87">
        <f t="shared" si="102"/>
        <v>2915.0964917472152</v>
      </c>
      <c r="AA174" s="88">
        <v>405</v>
      </c>
      <c r="AB174" s="89">
        <f>AA174*GDPdeflator!$C$25/$AI$18*10^3</f>
        <v>38.940546907618888</v>
      </c>
      <c r="AC174" s="90" t="e">
        <f>INDEX(Efficiencies!$D$8:$M$89,MATCH(C174,Efficiencies!$C$8:$C$89),MATCH(D174,Efficiencies!$D$7:$M$7))</f>
        <v>#REF!</v>
      </c>
      <c r="AD174" s="90" t="e">
        <f t="shared" si="103"/>
        <v>#REF!</v>
      </c>
      <c r="AE174" s="90" t="e">
        <f>INDEX(Efficiencies!$P$8:$Y$89,MATCH(C174,Efficiencies!$C$8:$C$89),MATCH(D174,Efficiencies!$P$7:$Y$7))</f>
        <v>#REF!</v>
      </c>
      <c r="AF174" s="90" t="e">
        <f t="shared" si="78"/>
        <v>#REF!</v>
      </c>
      <c r="AG174" s="90">
        <v>0</v>
      </c>
    </row>
    <row r="175" spans="1:33" x14ac:dyDescent="0.2">
      <c r="A175" s="92" t="s">
        <v>1132</v>
      </c>
      <c r="B175" s="248" t="s">
        <v>1133</v>
      </c>
      <c r="C175" s="40" t="s">
        <v>1117</v>
      </c>
      <c r="D175" s="40">
        <v>2040</v>
      </c>
      <c r="E175" s="86">
        <f>GDPdeflator!$C$32*INDEX(Costs!$E$7:$O$89,MATCH($C175,Costs!$C$7:$C$89,0),MATCH(E$7,Costs!$E$6:$O$6,0))</f>
        <v>34.951080112370434</v>
      </c>
      <c r="F175" s="86">
        <f>GDPdeflator!$C$36*INDEX(Costs!$E$7:$O$89,MATCH($C175,Costs!$C$7:$C$89,0),MATCH(F$7,Costs!$E$6:$O$6,0))</f>
        <v>31.804667087124962</v>
      </c>
      <c r="G175" s="86">
        <f>GDPdeflator!$C$38*INDEX(Costs!$E$7:$O$89,MATCH($C175,Costs!$C$7:$C$89,0),MATCH(G$7,Costs!$E$6:$O$6,0))</f>
        <v>32.51162844517247</v>
      </c>
      <c r="H175" s="86">
        <f>GDPdeflator!$C$38*INDEX(Costs!$E$7:$O$89,MATCH($C175,Costs!$C$7:$C$89,0),MATCH(H$7,Costs!$E$6:$O$6,0))</f>
        <v>33.659303822784331</v>
      </c>
      <c r="I175" s="86">
        <f>GDPdeflator!$C$38*INDEX(Costs!$E$7:$O$89,MATCH($C175,Costs!$C$7:$C$89,0),MATCH(I$7,Costs!$E$6:$O$6,0))</f>
        <v>34.85078360412183</v>
      </c>
      <c r="J175" s="86">
        <f>GDPdeflator!$C$38*INDEX(Costs!$E$7:$O$89,MATCH($C175,Costs!$C$7:$C$89,0),MATCH(J$7,Costs!$E$6:$O$6,0))</f>
        <v>34.894588007847467</v>
      </c>
      <c r="K175" s="86">
        <f>GDPdeflator!$C$38*INDEX(Costs!$E$7:$O$89,MATCH($C175,Costs!$C$7:$C$89,0),MATCH(K$7,Costs!$E$6:$O$6,0))</f>
        <v>34.903348888592603</v>
      </c>
      <c r="L175" s="86">
        <f>GDPdeflator!$C$38*INDEX(Costs!$E$7:$O$89,MATCH($C175,Costs!$C$7:$C$89,0),MATCH(L$7,Costs!$E$6:$O$6,0))</f>
        <v>34.912109769337725</v>
      </c>
      <c r="M175" s="86">
        <f>GDPdeflator!$C$38*INDEX(Costs!$E$7:$O$89,MATCH($C175,Costs!$C$7:$C$89,0),MATCH(M$7,Costs!$E$6:$O$6,0))</f>
        <v>34.912109769337725</v>
      </c>
      <c r="N175" s="86">
        <f>GDPdeflator!$C$38*INDEX(Costs!$E$7:$O$89,MATCH($C175,Costs!$C$7:$C$89,0),MATCH(N$7,Costs!$E$6:$O$6,0))</f>
        <v>34.912109769337725</v>
      </c>
      <c r="O175" s="86">
        <f>GDPdeflator!$C$38*INDEX(Costs!$E$7:$O$89,MATCH($C175,Costs!$C$7:$C$89,0),MATCH(O$7,Costs!$E$6:$O$6,0))</f>
        <v>34.912109769337725</v>
      </c>
      <c r="P175" s="87">
        <f t="shared" si="92"/>
        <v>2918.3504431986571</v>
      </c>
      <c r="Q175" s="87">
        <f t="shared" si="93"/>
        <v>2655.6307842585261</v>
      </c>
      <c r="R175" s="87">
        <f t="shared" si="94"/>
        <v>2714.6607480235675</v>
      </c>
      <c r="S175" s="87">
        <f t="shared" si="95"/>
        <v>2810.4895160082315</v>
      </c>
      <c r="T175" s="87">
        <f t="shared" si="96"/>
        <v>2909.9758705571953</v>
      </c>
      <c r="U175" s="87">
        <f t="shared" si="97"/>
        <v>2913.6334571214952</v>
      </c>
      <c r="V175" s="87">
        <f t="shared" si="98"/>
        <v>2914.3649744343556</v>
      </c>
      <c r="W175" s="87">
        <f t="shared" si="99"/>
        <v>2915.0964917472152</v>
      </c>
      <c r="X175" s="87">
        <f t="shared" si="100"/>
        <v>2915.0964917472152</v>
      </c>
      <c r="Y175" s="87">
        <f t="shared" si="101"/>
        <v>2915.0964917472152</v>
      </c>
      <c r="Z175" s="87">
        <f t="shared" si="102"/>
        <v>2915.0964917472152</v>
      </c>
      <c r="AA175" s="88">
        <v>405</v>
      </c>
      <c r="AB175" s="89">
        <f>AA175*GDPdeflator!$C$25/$AI$18*10^3</f>
        <v>38.940546907618888</v>
      </c>
      <c r="AC175" s="90" t="e">
        <f>INDEX(Efficiencies!$D$8:$M$89,MATCH(C175,Efficiencies!$C$8:$C$89),MATCH(D175,Efficiencies!$D$7:$M$7))</f>
        <v>#REF!</v>
      </c>
      <c r="AD175" s="90" t="e">
        <f t="shared" si="103"/>
        <v>#REF!</v>
      </c>
      <c r="AE175" s="90" t="e">
        <f>INDEX(Efficiencies!$P$8:$Y$89,MATCH(C175,Efficiencies!$C$8:$C$89),MATCH(D175,Efficiencies!$P$7:$Y$7))</f>
        <v>#REF!</v>
      </c>
      <c r="AF175" s="90" t="e">
        <f t="shared" si="78"/>
        <v>#REF!</v>
      </c>
      <c r="AG175" s="90">
        <v>0</v>
      </c>
    </row>
    <row r="176" spans="1:33" x14ac:dyDescent="0.2">
      <c r="A176" s="92" t="s">
        <v>1134</v>
      </c>
      <c r="B176" s="248" t="s">
        <v>1135</v>
      </c>
      <c r="C176" s="40" t="s">
        <v>1117</v>
      </c>
      <c r="D176" s="40">
        <v>2045</v>
      </c>
      <c r="E176" s="86">
        <f>GDPdeflator!$C$32*INDEX(Costs!$E$7:$O$89,MATCH($C176,Costs!$C$7:$C$89,0),MATCH(E$7,Costs!$E$6:$O$6,0))</f>
        <v>34.951080112370434</v>
      </c>
      <c r="F176" s="86">
        <f>GDPdeflator!$C$36*INDEX(Costs!$E$7:$O$89,MATCH($C176,Costs!$C$7:$C$89,0),MATCH(F$7,Costs!$E$6:$O$6,0))</f>
        <v>31.804667087124962</v>
      </c>
      <c r="G176" s="86">
        <f>GDPdeflator!$C$38*INDEX(Costs!$E$7:$O$89,MATCH($C176,Costs!$C$7:$C$89,0),MATCH(G$7,Costs!$E$6:$O$6,0))</f>
        <v>32.51162844517247</v>
      </c>
      <c r="H176" s="86">
        <f>GDPdeflator!$C$38*INDEX(Costs!$E$7:$O$89,MATCH($C176,Costs!$C$7:$C$89,0),MATCH(H$7,Costs!$E$6:$O$6,0))</f>
        <v>33.659303822784331</v>
      </c>
      <c r="I176" s="86">
        <f>GDPdeflator!$C$38*INDEX(Costs!$E$7:$O$89,MATCH($C176,Costs!$C$7:$C$89,0),MATCH(I$7,Costs!$E$6:$O$6,0))</f>
        <v>34.85078360412183</v>
      </c>
      <c r="J176" s="86">
        <f>GDPdeflator!$C$38*INDEX(Costs!$E$7:$O$89,MATCH($C176,Costs!$C$7:$C$89,0),MATCH(J$7,Costs!$E$6:$O$6,0))</f>
        <v>34.894588007847467</v>
      </c>
      <c r="K176" s="86">
        <f>GDPdeflator!$C$38*INDEX(Costs!$E$7:$O$89,MATCH($C176,Costs!$C$7:$C$89,0),MATCH(K$7,Costs!$E$6:$O$6,0))</f>
        <v>34.903348888592603</v>
      </c>
      <c r="L176" s="86">
        <f>GDPdeflator!$C$38*INDEX(Costs!$E$7:$O$89,MATCH($C176,Costs!$C$7:$C$89,0),MATCH(L$7,Costs!$E$6:$O$6,0))</f>
        <v>34.912109769337725</v>
      </c>
      <c r="M176" s="86">
        <f>GDPdeflator!$C$38*INDEX(Costs!$E$7:$O$89,MATCH($C176,Costs!$C$7:$C$89,0),MATCH(M$7,Costs!$E$6:$O$6,0))</f>
        <v>34.912109769337725</v>
      </c>
      <c r="N176" s="86">
        <f>GDPdeflator!$C$38*INDEX(Costs!$E$7:$O$89,MATCH($C176,Costs!$C$7:$C$89,0),MATCH(N$7,Costs!$E$6:$O$6,0))</f>
        <v>34.912109769337725</v>
      </c>
      <c r="O176" s="86">
        <f>GDPdeflator!$C$38*INDEX(Costs!$E$7:$O$89,MATCH($C176,Costs!$C$7:$C$89,0),MATCH(O$7,Costs!$E$6:$O$6,0))</f>
        <v>34.912109769337725</v>
      </c>
      <c r="P176" s="87">
        <f t="shared" si="92"/>
        <v>2918.3504431986571</v>
      </c>
      <c r="Q176" s="87">
        <f t="shared" si="93"/>
        <v>2655.6307842585261</v>
      </c>
      <c r="R176" s="87">
        <f t="shared" si="94"/>
        <v>2714.6607480235675</v>
      </c>
      <c r="S176" s="87">
        <f t="shared" si="95"/>
        <v>2810.4895160082315</v>
      </c>
      <c r="T176" s="87">
        <f t="shared" si="96"/>
        <v>2909.9758705571953</v>
      </c>
      <c r="U176" s="87">
        <f t="shared" si="97"/>
        <v>2913.6334571214952</v>
      </c>
      <c r="V176" s="87">
        <f t="shared" si="98"/>
        <v>2914.3649744343556</v>
      </c>
      <c r="W176" s="87">
        <f t="shared" si="99"/>
        <v>2915.0964917472152</v>
      </c>
      <c r="X176" s="87">
        <f t="shared" si="100"/>
        <v>2915.0964917472152</v>
      </c>
      <c r="Y176" s="87">
        <f t="shared" si="101"/>
        <v>2915.0964917472152</v>
      </c>
      <c r="Z176" s="87">
        <f t="shared" si="102"/>
        <v>2915.0964917472152</v>
      </c>
      <c r="AA176" s="88">
        <v>405</v>
      </c>
      <c r="AB176" s="89">
        <f>AA176*GDPdeflator!$C$25/$AI$18*10^3</f>
        <v>38.940546907618888</v>
      </c>
      <c r="AC176" s="90" t="e">
        <f>INDEX(Efficiencies!$D$8:$M$89,MATCH(C176,Efficiencies!$C$8:$C$89),MATCH(D176,Efficiencies!$D$7:$M$7))</f>
        <v>#REF!</v>
      </c>
      <c r="AD176" s="90" t="e">
        <f t="shared" si="103"/>
        <v>#REF!</v>
      </c>
      <c r="AE176" s="90" t="e">
        <f>INDEX(Efficiencies!$P$8:$Y$89,MATCH(C176,Efficiencies!$C$8:$C$89),MATCH(D176,Efficiencies!$P$7:$Y$7))</f>
        <v>#REF!</v>
      </c>
      <c r="AF176" s="90" t="e">
        <f t="shared" si="78"/>
        <v>#REF!</v>
      </c>
      <c r="AG176" s="90">
        <v>0</v>
      </c>
    </row>
    <row r="177" spans="1:33" x14ac:dyDescent="0.2">
      <c r="A177" s="92" t="s">
        <v>1136</v>
      </c>
      <c r="B177" s="248" t="s">
        <v>1137</v>
      </c>
      <c r="C177" s="40" t="s">
        <v>1117</v>
      </c>
      <c r="D177" s="40">
        <v>2050</v>
      </c>
      <c r="E177" s="86">
        <f>GDPdeflator!$C$32*INDEX(Costs!$E$7:$O$89,MATCH($C177,Costs!$C$7:$C$89,0),MATCH(E$7,Costs!$E$6:$O$6,0))</f>
        <v>34.951080112370434</v>
      </c>
      <c r="F177" s="86">
        <f>GDPdeflator!$C$36*INDEX(Costs!$E$7:$O$89,MATCH($C177,Costs!$C$7:$C$89,0),MATCH(F$7,Costs!$E$6:$O$6,0))</f>
        <v>31.804667087124962</v>
      </c>
      <c r="G177" s="86">
        <f>GDPdeflator!$C$38*INDEX(Costs!$E$7:$O$89,MATCH($C177,Costs!$C$7:$C$89,0),MATCH(G$7,Costs!$E$6:$O$6,0))</f>
        <v>32.51162844517247</v>
      </c>
      <c r="H177" s="86">
        <f>GDPdeflator!$C$38*INDEX(Costs!$E$7:$O$89,MATCH($C177,Costs!$C$7:$C$89,0),MATCH(H$7,Costs!$E$6:$O$6,0))</f>
        <v>33.659303822784331</v>
      </c>
      <c r="I177" s="86">
        <f>GDPdeflator!$C$38*INDEX(Costs!$E$7:$O$89,MATCH($C177,Costs!$C$7:$C$89,0),MATCH(I$7,Costs!$E$6:$O$6,0))</f>
        <v>34.85078360412183</v>
      </c>
      <c r="J177" s="86">
        <f>GDPdeflator!$C$38*INDEX(Costs!$E$7:$O$89,MATCH($C177,Costs!$C$7:$C$89,0),MATCH(J$7,Costs!$E$6:$O$6,0))</f>
        <v>34.894588007847467</v>
      </c>
      <c r="K177" s="86">
        <f>GDPdeflator!$C$38*INDEX(Costs!$E$7:$O$89,MATCH($C177,Costs!$C$7:$C$89,0),MATCH(K$7,Costs!$E$6:$O$6,0))</f>
        <v>34.903348888592603</v>
      </c>
      <c r="L177" s="86">
        <f>GDPdeflator!$C$38*INDEX(Costs!$E$7:$O$89,MATCH($C177,Costs!$C$7:$C$89,0),MATCH(L$7,Costs!$E$6:$O$6,0))</f>
        <v>34.912109769337725</v>
      </c>
      <c r="M177" s="86">
        <f>GDPdeflator!$C$38*INDEX(Costs!$E$7:$O$89,MATCH($C177,Costs!$C$7:$C$89,0),MATCH(M$7,Costs!$E$6:$O$6,0))</f>
        <v>34.912109769337725</v>
      </c>
      <c r="N177" s="86">
        <f>GDPdeflator!$C$38*INDEX(Costs!$E$7:$O$89,MATCH($C177,Costs!$C$7:$C$89,0),MATCH(N$7,Costs!$E$6:$O$6,0))</f>
        <v>34.912109769337725</v>
      </c>
      <c r="O177" s="86">
        <f>GDPdeflator!$C$38*INDEX(Costs!$E$7:$O$89,MATCH($C177,Costs!$C$7:$C$89,0),MATCH(O$7,Costs!$E$6:$O$6,0))</f>
        <v>34.912109769337725</v>
      </c>
      <c r="P177" s="87">
        <f t="shared" si="92"/>
        <v>2918.3504431986571</v>
      </c>
      <c r="Q177" s="87">
        <f t="shared" si="93"/>
        <v>2655.6307842585261</v>
      </c>
      <c r="R177" s="87">
        <f t="shared" si="94"/>
        <v>2714.6607480235675</v>
      </c>
      <c r="S177" s="87">
        <f t="shared" si="95"/>
        <v>2810.4895160082315</v>
      </c>
      <c r="T177" s="87">
        <f t="shared" si="96"/>
        <v>2909.9758705571953</v>
      </c>
      <c r="U177" s="87">
        <f t="shared" si="97"/>
        <v>2913.6334571214952</v>
      </c>
      <c r="V177" s="87">
        <f t="shared" si="98"/>
        <v>2914.3649744343556</v>
      </c>
      <c r="W177" s="87">
        <f t="shared" si="99"/>
        <v>2915.0964917472152</v>
      </c>
      <c r="X177" s="87">
        <f t="shared" si="100"/>
        <v>2915.0964917472152</v>
      </c>
      <c r="Y177" s="87">
        <f t="shared" si="101"/>
        <v>2915.0964917472152</v>
      </c>
      <c r="Z177" s="87">
        <f t="shared" si="102"/>
        <v>2915.0964917472152</v>
      </c>
      <c r="AA177" s="88">
        <v>405</v>
      </c>
      <c r="AB177" s="89">
        <f>AA177*GDPdeflator!$C$25/$AI$18*10^3</f>
        <v>38.940546907618888</v>
      </c>
      <c r="AC177" s="90" t="e">
        <f>INDEX(Efficiencies!$D$8:$M$89,MATCH(C177,Efficiencies!$C$8:$C$89),MATCH(D177,Efficiencies!$D$7:$M$7))</f>
        <v>#REF!</v>
      </c>
      <c r="AD177" s="90" t="e">
        <f t="shared" si="103"/>
        <v>#REF!</v>
      </c>
      <c r="AE177" s="90" t="e">
        <f>INDEX(Efficiencies!$P$8:$Y$89,MATCH(C177,Efficiencies!$C$8:$C$89),MATCH(D177,Efficiencies!$P$7:$Y$7))</f>
        <v>#REF!</v>
      </c>
      <c r="AF177" s="90" t="e">
        <f t="shared" si="78"/>
        <v>#REF!</v>
      </c>
      <c r="AG177" s="90">
        <v>0</v>
      </c>
    </row>
    <row r="178" spans="1:33" x14ac:dyDescent="0.2">
      <c r="A178" s="92" t="s">
        <v>1138</v>
      </c>
      <c r="B178" s="248" t="s">
        <v>1139</v>
      </c>
      <c r="C178" s="40" t="s">
        <v>1140</v>
      </c>
      <c r="D178" s="40">
        <v>2015</v>
      </c>
      <c r="E178" s="86">
        <f>GDPdeflator!$C$32*INDEX(Costs!$E$7:$O$89,MATCH($C178,Costs!$C$7:$C$89,0),MATCH(E$7,Costs!$E$6:$O$6,0))</f>
        <v>0</v>
      </c>
      <c r="F178" s="86">
        <f>GDPdeflator!$C$36*INDEX(Costs!$E$7:$O$89,MATCH($C178,Costs!$C$7:$C$89,0),MATCH(F$7,Costs!$E$6:$O$6,0))</f>
        <v>0</v>
      </c>
      <c r="G178" s="86">
        <f>GDPdeflator!$C$38*INDEX(Costs!$E$7:$O$89,MATCH($C178,Costs!$C$7:$C$89,0),MATCH(G$7,Costs!$E$6:$O$6,0))</f>
        <v>0</v>
      </c>
      <c r="H178" s="86">
        <f>GDPdeflator!$C$38*INDEX(Costs!$E$7:$O$89,MATCH($C178,Costs!$C$7:$C$89,0),MATCH(H$7,Costs!$E$6:$O$6,0))</f>
        <v>30.803256699872382</v>
      </c>
      <c r="I178" s="86">
        <f>GDPdeflator!$C$38*INDEX(Costs!$E$7:$O$89,MATCH($C178,Costs!$C$7:$C$89,0),MATCH(I$7,Costs!$E$6:$O$6,0))</f>
        <v>30.803256699872382</v>
      </c>
      <c r="J178" s="86">
        <f>GDPdeflator!$C$38*INDEX(Costs!$E$7:$O$89,MATCH($C178,Costs!$C$7:$C$89,0),MATCH(J$7,Costs!$E$6:$O$6,0))</f>
        <v>30.128668882497475</v>
      </c>
      <c r="K178" s="86">
        <f>GDPdeflator!$C$38*INDEX(Costs!$E$7:$O$89,MATCH($C178,Costs!$C$7:$C$89,0),MATCH(K$7,Costs!$E$6:$O$6,0))</f>
        <v>29.944690386849775</v>
      </c>
      <c r="L178" s="86">
        <f>GDPdeflator!$C$38*INDEX(Costs!$E$7:$O$89,MATCH($C178,Costs!$C$7:$C$89,0),MATCH(L$7,Costs!$E$6:$O$6,0))</f>
        <v>29.857081579398486</v>
      </c>
      <c r="M178" s="86">
        <f>GDPdeflator!$C$38*INDEX(Costs!$E$7:$O$89,MATCH($C178,Costs!$C$7:$C$89,0),MATCH(M$7,Costs!$E$6:$O$6,0))</f>
        <v>29.857081579398486</v>
      </c>
      <c r="N178" s="86">
        <f>GDPdeflator!$C$38*INDEX(Costs!$E$7:$O$89,MATCH($C178,Costs!$C$7:$C$89,0),MATCH(N$7,Costs!$E$6:$O$6,0))</f>
        <v>29.857081579398486</v>
      </c>
      <c r="O178" s="86">
        <f>GDPdeflator!$C$38*INDEX(Costs!$E$7:$O$89,MATCH($C178,Costs!$C$7:$C$89,0),MATCH(O$7,Costs!$E$6:$O$6,0))</f>
        <v>29.857081579398486</v>
      </c>
      <c r="P178" s="87">
        <f>E178/$AI$18*10^6</f>
        <v>0</v>
      </c>
      <c r="Q178" s="87">
        <f t="shared" si="93"/>
        <v>0</v>
      </c>
      <c r="R178" s="87">
        <f t="shared" si="94"/>
        <v>0</v>
      </c>
      <c r="S178" s="87">
        <f t="shared" si="95"/>
        <v>2572.0148720158613</v>
      </c>
      <c r="T178" s="87">
        <f t="shared" si="96"/>
        <v>2572.0148720158613</v>
      </c>
      <c r="U178" s="87">
        <f t="shared" si="97"/>
        <v>2515.6880389256394</v>
      </c>
      <c r="V178" s="87">
        <f t="shared" si="98"/>
        <v>2500.3261753555794</v>
      </c>
      <c r="W178" s="87">
        <f t="shared" si="99"/>
        <v>2493.0110022269782</v>
      </c>
      <c r="X178" s="87">
        <f t="shared" si="100"/>
        <v>2493.0110022269782</v>
      </c>
      <c r="Y178" s="87">
        <f t="shared" si="101"/>
        <v>2493.0110022269782</v>
      </c>
      <c r="Z178" s="87">
        <f t="shared" si="102"/>
        <v>2493.0110022269782</v>
      </c>
      <c r="AA178" s="88">
        <v>473</v>
      </c>
      <c r="AB178" s="89">
        <f>AA178*GDPdeflator!$C$25/$AI$18*10^3</f>
        <v>45.478712808157368</v>
      </c>
      <c r="AC178" s="90" t="e">
        <f>INDEX(Efficiencies!$D$8:$M$89,MATCH(C178,Efficiencies!$C$8:$C$89),MATCH(D178,Efficiencies!$D$7:$M$7))</f>
        <v>#REF!</v>
      </c>
      <c r="AD178" s="90" t="e">
        <f t="shared" si="103"/>
        <v>#REF!</v>
      </c>
      <c r="AE178" s="90" t="e">
        <f>INDEX(Efficiencies!$P$8:$Y$89,MATCH(C178,Efficiencies!$C$8:$C$89),MATCH(D178,Efficiencies!$P$7:$Y$7))</f>
        <v>#REF!</v>
      </c>
      <c r="AF178" s="90" t="e">
        <f t="shared" si="78"/>
        <v>#REF!</v>
      </c>
      <c r="AG178" s="90">
        <v>0</v>
      </c>
    </row>
    <row r="179" spans="1:33" x14ac:dyDescent="0.2">
      <c r="A179" s="92" t="s">
        <v>1141</v>
      </c>
      <c r="B179" s="248" t="s">
        <v>1142</v>
      </c>
      <c r="C179" s="40" t="s">
        <v>1140</v>
      </c>
      <c r="D179" s="40">
        <v>2020</v>
      </c>
      <c r="E179" s="86">
        <f>GDPdeflator!$C$32*INDEX(Costs!$E$7:$O$89,MATCH($C179,Costs!$C$7:$C$89,0),MATCH(E$7,Costs!$E$6:$O$6,0))</f>
        <v>0</v>
      </c>
      <c r="F179" s="86">
        <f>GDPdeflator!$C$36*INDEX(Costs!$E$7:$O$89,MATCH($C179,Costs!$C$7:$C$89,0),MATCH(F$7,Costs!$E$6:$O$6,0))</f>
        <v>0</v>
      </c>
      <c r="G179" s="86">
        <f>GDPdeflator!$C$38*INDEX(Costs!$E$7:$O$89,MATCH($C179,Costs!$C$7:$C$89,0),MATCH(G$7,Costs!$E$6:$O$6,0))</f>
        <v>0</v>
      </c>
      <c r="H179" s="86">
        <f>GDPdeflator!$C$38*INDEX(Costs!$E$7:$O$89,MATCH($C179,Costs!$C$7:$C$89,0),MATCH(H$7,Costs!$E$6:$O$6,0))</f>
        <v>30.803256699872382</v>
      </c>
      <c r="I179" s="86">
        <f>GDPdeflator!$C$38*INDEX(Costs!$E$7:$O$89,MATCH($C179,Costs!$C$7:$C$89,0),MATCH(I$7,Costs!$E$6:$O$6,0))</f>
        <v>30.803256699872382</v>
      </c>
      <c r="J179" s="86">
        <f>GDPdeflator!$C$38*INDEX(Costs!$E$7:$O$89,MATCH($C179,Costs!$C$7:$C$89,0),MATCH(J$7,Costs!$E$6:$O$6,0))</f>
        <v>30.128668882497475</v>
      </c>
      <c r="K179" s="86">
        <f>GDPdeflator!$C$38*INDEX(Costs!$E$7:$O$89,MATCH($C179,Costs!$C$7:$C$89,0),MATCH(K$7,Costs!$E$6:$O$6,0))</f>
        <v>29.944690386849775</v>
      </c>
      <c r="L179" s="86">
        <f>GDPdeflator!$C$38*INDEX(Costs!$E$7:$O$89,MATCH($C179,Costs!$C$7:$C$89,0),MATCH(L$7,Costs!$E$6:$O$6,0))</f>
        <v>29.857081579398486</v>
      </c>
      <c r="M179" s="86">
        <f>GDPdeflator!$C$38*INDEX(Costs!$E$7:$O$89,MATCH($C179,Costs!$C$7:$C$89,0),MATCH(M$7,Costs!$E$6:$O$6,0))</f>
        <v>29.857081579398486</v>
      </c>
      <c r="N179" s="86">
        <f>GDPdeflator!$C$38*INDEX(Costs!$E$7:$O$89,MATCH($C179,Costs!$C$7:$C$89,0),MATCH(N$7,Costs!$E$6:$O$6,0))</f>
        <v>29.857081579398486</v>
      </c>
      <c r="O179" s="86">
        <f>GDPdeflator!$C$38*INDEX(Costs!$E$7:$O$89,MATCH($C179,Costs!$C$7:$C$89,0),MATCH(O$7,Costs!$E$6:$O$6,0))</f>
        <v>29.857081579398486</v>
      </c>
      <c r="P179" s="87">
        <f t="shared" ref="P179:P185" si="104">E179/$AI$18*10^6</f>
        <v>0</v>
      </c>
      <c r="Q179" s="87">
        <f t="shared" si="93"/>
        <v>0</v>
      </c>
      <c r="R179" s="87">
        <f t="shared" si="94"/>
        <v>0</v>
      </c>
      <c r="S179" s="87">
        <f t="shared" si="95"/>
        <v>2572.0148720158613</v>
      </c>
      <c r="T179" s="87">
        <f t="shared" si="96"/>
        <v>2572.0148720158613</v>
      </c>
      <c r="U179" s="87">
        <f t="shared" si="97"/>
        <v>2515.6880389256394</v>
      </c>
      <c r="V179" s="87">
        <f t="shared" si="98"/>
        <v>2500.3261753555794</v>
      </c>
      <c r="W179" s="87">
        <f t="shared" si="99"/>
        <v>2493.0110022269782</v>
      </c>
      <c r="X179" s="87">
        <f t="shared" si="100"/>
        <v>2493.0110022269782</v>
      </c>
      <c r="Y179" s="87">
        <f t="shared" si="101"/>
        <v>2493.0110022269782</v>
      </c>
      <c r="Z179" s="87">
        <f t="shared" si="102"/>
        <v>2493.0110022269782</v>
      </c>
      <c r="AA179" s="88">
        <v>473</v>
      </c>
      <c r="AB179" s="89">
        <f>AA179*GDPdeflator!$C$25/$AI$18*10^3</f>
        <v>45.478712808157368</v>
      </c>
      <c r="AC179" s="90" t="e">
        <f>INDEX(Efficiencies!$D$8:$M$89,MATCH(C179,Efficiencies!$C$8:$C$89),MATCH(D179,Efficiencies!$D$7:$M$7))</f>
        <v>#REF!</v>
      </c>
      <c r="AD179" s="90" t="e">
        <f t="shared" si="103"/>
        <v>#REF!</v>
      </c>
      <c r="AE179" s="90" t="e">
        <f>INDEX(Efficiencies!$P$8:$Y$89,MATCH(C179,Efficiencies!$C$8:$C$89),MATCH(D179,Efficiencies!$P$7:$Y$7))</f>
        <v>#REF!</v>
      </c>
      <c r="AF179" s="90" t="e">
        <f t="shared" si="78"/>
        <v>#REF!</v>
      </c>
      <c r="AG179" s="90">
        <v>0</v>
      </c>
    </row>
    <row r="180" spans="1:33" x14ac:dyDescent="0.2">
      <c r="A180" s="92" t="s">
        <v>1143</v>
      </c>
      <c r="B180" s="248" t="s">
        <v>1144</v>
      </c>
      <c r="C180" s="40" t="s">
        <v>1140</v>
      </c>
      <c r="D180" s="40">
        <v>2025</v>
      </c>
      <c r="E180" s="86">
        <f>GDPdeflator!$C$32*INDEX(Costs!$E$7:$O$89,MATCH($C180,Costs!$C$7:$C$89,0),MATCH(E$7,Costs!$E$6:$O$6,0))</f>
        <v>0</v>
      </c>
      <c r="F180" s="86">
        <f>GDPdeflator!$C$36*INDEX(Costs!$E$7:$O$89,MATCH($C180,Costs!$C$7:$C$89,0),MATCH(F$7,Costs!$E$6:$O$6,0))</f>
        <v>0</v>
      </c>
      <c r="G180" s="86">
        <f>GDPdeflator!$C$38*INDEX(Costs!$E$7:$O$89,MATCH($C180,Costs!$C$7:$C$89,0),MATCH(G$7,Costs!$E$6:$O$6,0))</f>
        <v>0</v>
      </c>
      <c r="H180" s="86">
        <f>GDPdeflator!$C$38*INDEX(Costs!$E$7:$O$89,MATCH($C180,Costs!$C$7:$C$89,0),MATCH(H$7,Costs!$E$6:$O$6,0))</f>
        <v>30.803256699872382</v>
      </c>
      <c r="I180" s="86">
        <f>GDPdeflator!$C$38*INDEX(Costs!$E$7:$O$89,MATCH($C180,Costs!$C$7:$C$89,0),MATCH(I$7,Costs!$E$6:$O$6,0))</f>
        <v>30.803256699872382</v>
      </c>
      <c r="J180" s="86">
        <f>GDPdeflator!$C$38*INDEX(Costs!$E$7:$O$89,MATCH($C180,Costs!$C$7:$C$89,0),MATCH(J$7,Costs!$E$6:$O$6,0))</f>
        <v>30.128668882497475</v>
      </c>
      <c r="K180" s="86">
        <f>GDPdeflator!$C$38*INDEX(Costs!$E$7:$O$89,MATCH($C180,Costs!$C$7:$C$89,0),MATCH(K$7,Costs!$E$6:$O$6,0))</f>
        <v>29.944690386849775</v>
      </c>
      <c r="L180" s="86">
        <f>GDPdeflator!$C$38*INDEX(Costs!$E$7:$O$89,MATCH($C180,Costs!$C$7:$C$89,0),MATCH(L$7,Costs!$E$6:$O$6,0))</f>
        <v>29.857081579398486</v>
      </c>
      <c r="M180" s="86">
        <f>GDPdeflator!$C$38*INDEX(Costs!$E$7:$O$89,MATCH($C180,Costs!$C$7:$C$89,0),MATCH(M$7,Costs!$E$6:$O$6,0))</f>
        <v>29.857081579398486</v>
      </c>
      <c r="N180" s="86">
        <f>GDPdeflator!$C$38*INDEX(Costs!$E$7:$O$89,MATCH($C180,Costs!$C$7:$C$89,0),MATCH(N$7,Costs!$E$6:$O$6,0))</f>
        <v>29.857081579398486</v>
      </c>
      <c r="O180" s="86">
        <f>GDPdeflator!$C$38*INDEX(Costs!$E$7:$O$89,MATCH($C180,Costs!$C$7:$C$89,0),MATCH(O$7,Costs!$E$6:$O$6,0))</f>
        <v>29.857081579398486</v>
      </c>
      <c r="P180" s="87">
        <f t="shared" si="104"/>
        <v>0</v>
      </c>
      <c r="Q180" s="87">
        <f t="shared" si="93"/>
        <v>0</v>
      </c>
      <c r="R180" s="87">
        <f t="shared" si="94"/>
        <v>0</v>
      </c>
      <c r="S180" s="87">
        <f t="shared" si="95"/>
        <v>2572.0148720158613</v>
      </c>
      <c r="T180" s="87">
        <f t="shared" si="96"/>
        <v>2572.0148720158613</v>
      </c>
      <c r="U180" s="87">
        <f t="shared" si="97"/>
        <v>2515.6880389256394</v>
      </c>
      <c r="V180" s="87">
        <f t="shared" si="98"/>
        <v>2500.3261753555794</v>
      </c>
      <c r="W180" s="87">
        <f t="shared" si="99"/>
        <v>2493.0110022269782</v>
      </c>
      <c r="X180" s="87">
        <f t="shared" si="100"/>
        <v>2493.0110022269782</v>
      </c>
      <c r="Y180" s="87">
        <f t="shared" si="101"/>
        <v>2493.0110022269782</v>
      </c>
      <c r="Z180" s="87">
        <f t="shared" si="102"/>
        <v>2493.0110022269782</v>
      </c>
      <c r="AA180" s="88">
        <v>473</v>
      </c>
      <c r="AB180" s="89">
        <f>AA180*GDPdeflator!$C$25/$AI$18*10^3</f>
        <v>45.478712808157368</v>
      </c>
      <c r="AC180" s="90" t="e">
        <f>INDEX(Efficiencies!$D$8:$M$89,MATCH(C180,Efficiencies!$C$8:$C$89),MATCH(D180,Efficiencies!$D$7:$M$7))</f>
        <v>#REF!</v>
      </c>
      <c r="AD180" s="90" t="e">
        <f t="shared" si="103"/>
        <v>#REF!</v>
      </c>
      <c r="AE180" s="90" t="e">
        <f>INDEX(Efficiencies!$P$8:$Y$89,MATCH(C180,Efficiencies!$C$8:$C$89),MATCH(D180,Efficiencies!$P$7:$Y$7))</f>
        <v>#REF!</v>
      </c>
      <c r="AF180" s="90" t="e">
        <f t="shared" si="78"/>
        <v>#REF!</v>
      </c>
      <c r="AG180" s="90">
        <v>0</v>
      </c>
    </row>
    <row r="181" spans="1:33" x14ac:dyDescent="0.2">
      <c r="A181" s="92" t="s">
        <v>1145</v>
      </c>
      <c r="B181" s="248" t="s">
        <v>1146</v>
      </c>
      <c r="C181" s="40" t="s">
        <v>1140</v>
      </c>
      <c r="D181" s="40">
        <v>2030</v>
      </c>
      <c r="E181" s="86">
        <f>GDPdeflator!$C$32*INDEX(Costs!$E$7:$O$89,MATCH($C181,Costs!$C$7:$C$89,0),MATCH(E$7,Costs!$E$6:$O$6,0))</f>
        <v>0</v>
      </c>
      <c r="F181" s="86">
        <f>GDPdeflator!$C$36*INDEX(Costs!$E$7:$O$89,MATCH($C181,Costs!$C$7:$C$89,0),MATCH(F$7,Costs!$E$6:$O$6,0))</f>
        <v>0</v>
      </c>
      <c r="G181" s="86">
        <f>GDPdeflator!$C$38*INDEX(Costs!$E$7:$O$89,MATCH($C181,Costs!$C$7:$C$89,0),MATCH(G$7,Costs!$E$6:$O$6,0))</f>
        <v>0</v>
      </c>
      <c r="H181" s="86">
        <f>GDPdeflator!$C$38*INDEX(Costs!$E$7:$O$89,MATCH($C181,Costs!$C$7:$C$89,0),MATCH(H$7,Costs!$E$6:$O$6,0))</f>
        <v>30.803256699872382</v>
      </c>
      <c r="I181" s="86">
        <f>GDPdeflator!$C$38*INDEX(Costs!$E$7:$O$89,MATCH($C181,Costs!$C$7:$C$89,0),MATCH(I$7,Costs!$E$6:$O$6,0))</f>
        <v>30.803256699872382</v>
      </c>
      <c r="J181" s="86">
        <f>GDPdeflator!$C$38*INDEX(Costs!$E$7:$O$89,MATCH($C181,Costs!$C$7:$C$89,0),MATCH(J$7,Costs!$E$6:$O$6,0))</f>
        <v>30.128668882497475</v>
      </c>
      <c r="K181" s="86">
        <f>GDPdeflator!$C$38*INDEX(Costs!$E$7:$O$89,MATCH($C181,Costs!$C$7:$C$89,0),MATCH(K$7,Costs!$E$6:$O$6,0))</f>
        <v>29.944690386849775</v>
      </c>
      <c r="L181" s="86">
        <f>GDPdeflator!$C$38*INDEX(Costs!$E$7:$O$89,MATCH($C181,Costs!$C$7:$C$89,0),MATCH(L$7,Costs!$E$6:$O$6,0))</f>
        <v>29.857081579398486</v>
      </c>
      <c r="M181" s="86">
        <f>GDPdeflator!$C$38*INDEX(Costs!$E$7:$O$89,MATCH($C181,Costs!$C$7:$C$89,0),MATCH(M$7,Costs!$E$6:$O$6,0))</f>
        <v>29.857081579398486</v>
      </c>
      <c r="N181" s="86">
        <f>GDPdeflator!$C$38*INDEX(Costs!$E$7:$O$89,MATCH($C181,Costs!$C$7:$C$89,0),MATCH(N$7,Costs!$E$6:$O$6,0))</f>
        <v>29.857081579398486</v>
      </c>
      <c r="O181" s="86">
        <f>GDPdeflator!$C$38*INDEX(Costs!$E$7:$O$89,MATCH($C181,Costs!$C$7:$C$89,0),MATCH(O$7,Costs!$E$6:$O$6,0))</f>
        <v>29.857081579398486</v>
      </c>
      <c r="P181" s="87">
        <f t="shared" si="104"/>
        <v>0</v>
      </c>
      <c r="Q181" s="87">
        <f t="shared" si="93"/>
        <v>0</v>
      </c>
      <c r="R181" s="87">
        <f t="shared" si="94"/>
        <v>0</v>
      </c>
      <c r="S181" s="87">
        <f t="shared" si="95"/>
        <v>2572.0148720158613</v>
      </c>
      <c r="T181" s="87">
        <f t="shared" si="96"/>
        <v>2572.0148720158613</v>
      </c>
      <c r="U181" s="87">
        <f t="shared" si="97"/>
        <v>2515.6880389256394</v>
      </c>
      <c r="V181" s="87">
        <f t="shared" si="98"/>
        <v>2500.3261753555794</v>
      </c>
      <c r="W181" s="87">
        <f t="shared" si="99"/>
        <v>2493.0110022269782</v>
      </c>
      <c r="X181" s="87">
        <f t="shared" si="100"/>
        <v>2493.0110022269782</v>
      </c>
      <c r="Y181" s="87">
        <f t="shared" si="101"/>
        <v>2493.0110022269782</v>
      </c>
      <c r="Z181" s="87">
        <f t="shared" si="102"/>
        <v>2493.0110022269782</v>
      </c>
      <c r="AA181" s="88">
        <v>473</v>
      </c>
      <c r="AB181" s="89">
        <f>AA181*GDPdeflator!$C$25/$AI$18*10^3</f>
        <v>45.478712808157368</v>
      </c>
      <c r="AC181" s="90" t="e">
        <f>INDEX(Efficiencies!$D$8:$M$89,MATCH(C181,Efficiencies!$C$8:$C$89),MATCH(D181,Efficiencies!$D$7:$M$7))</f>
        <v>#REF!</v>
      </c>
      <c r="AD181" s="90" t="e">
        <f t="shared" si="103"/>
        <v>#REF!</v>
      </c>
      <c r="AE181" s="90" t="e">
        <f>INDEX(Efficiencies!$P$8:$Y$89,MATCH(C181,Efficiencies!$C$8:$C$89),MATCH(D181,Efficiencies!$P$7:$Y$7))</f>
        <v>#REF!</v>
      </c>
      <c r="AF181" s="90" t="e">
        <f t="shared" si="78"/>
        <v>#REF!</v>
      </c>
      <c r="AG181" s="90">
        <v>0</v>
      </c>
    </row>
    <row r="182" spans="1:33" x14ac:dyDescent="0.2">
      <c r="A182" s="92" t="s">
        <v>1147</v>
      </c>
      <c r="B182" s="248" t="s">
        <v>1148</v>
      </c>
      <c r="C182" s="40" t="s">
        <v>1140</v>
      </c>
      <c r="D182" s="40">
        <v>2035</v>
      </c>
      <c r="E182" s="86">
        <f>GDPdeflator!$C$32*INDEX(Costs!$E$7:$O$89,MATCH($C182,Costs!$C$7:$C$89,0),MATCH(E$7,Costs!$E$6:$O$6,0))</f>
        <v>0</v>
      </c>
      <c r="F182" s="86">
        <f>GDPdeflator!$C$36*INDEX(Costs!$E$7:$O$89,MATCH($C182,Costs!$C$7:$C$89,0),MATCH(F$7,Costs!$E$6:$O$6,0))</f>
        <v>0</v>
      </c>
      <c r="G182" s="86">
        <f>GDPdeflator!$C$38*INDEX(Costs!$E$7:$O$89,MATCH($C182,Costs!$C$7:$C$89,0),MATCH(G$7,Costs!$E$6:$O$6,0))</f>
        <v>0</v>
      </c>
      <c r="H182" s="86">
        <f>GDPdeflator!$C$38*INDEX(Costs!$E$7:$O$89,MATCH($C182,Costs!$C$7:$C$89,0),MATCH(H$7,Costs!$E$6:$O$6,0))</f>
        <v>30.803256699872382</v>
      </c>
      <c r="I182" s="86">
        <f>GDPdeflator!$C$38*INDEX(Costs!$E$7:$O$89,MATCH($C182,Costs!$C$7:$C$89,0),MATCH(I$7,Costs!$E$6:$O$6,0))</f>
        <v>30.803256699872382</v>
      </c>
      <c r="J182" s="86">
        <f>GDPdeflator!$C$38*INDEX(Costs!$E$7:$O$89,MATCH($C182,Costs!$C$7:$C$89,0),MATCH(J$7,Costs!$E$6:$O$6,0))</f>
        <v>30.128668882497475</v>
      </c>
      <c r="K182" s="86">
        <f>GDPdeflator!$C$38*INDEX(Costs!$E$7:$O$89,MATCH($C182,Costs!$C$7:$C$89,0),MATCH(K$7,Costs!$E$6:$O$6,0))</f>
        <v>29.944690386849775</v>
      </c>
      <c r="L182" s="86">
        <f>GDPdeflator!$C$38*INDEX(Costs!$E$7:$O$89,MATCH($C182,Costs!$C$7:$C$89,0),MATCH(L$7,Costs!$E$6:$O$6,0))</f>
        <v>29.857081579398486</v>
      </c>
      <c r="M182" s="86">
        <f>GDPdeflator!$C$38*INDEX(Costs!$E$7:$O$89,MATCH($C182,Costs!$C$7:$C$89,0),MATCH(M$7,Costs!$E$6:$O$6,0))</f>
        <v>29.857081579398486</v>
      </c>
      <c r="N182" s="86">
        <f>GDPdeflator!$C$38*INDEX(Costs!$E$7:$O$89,MATCH($C182,Costs!$C$7:$C$89,0),MATCH(N$7,Costs!$E$6:$O$6,0))</f>
        <v>29.857081579398486</v>
      </c>
      <c r="O182" s="86">
        <f>GDPdeflator!$C$38*INDEX(Costs!$E$7:$O$89,MATCH($C182,Costs!$C$7:$C$89,0),MATCH(O$7,Costs!$E$6:$O$6,0))</f>
        <v>29.857081579398486</v>
      </c>
      <c r="P182" s="87">
        <f t="shared" si="104"/>
        <v>0</v>
      </c>
      <c r="Q182" s="87">
        <f t="shared" si="93"/>
        <v>0</v>
      </c>
      <c r="R182" s="87">
        <f t="shared" si="94"/>
        <v>0</v>
      </c>
      <c r="S182" s="87">
        <f t="shared" si="95"/>
        <v>2572.0148720158613</v>
      </c>
      <c r="T182" s="87">
        <f t="shared" si="96"/>
        <v>2572.0148720158613</v>
      </c>
      <c r="U182" s="87">
        <f t="shared" si="97"/>
        <v>2515.6880389256394</v>
      </c>
      <c r="V182" s="87">
        <f t="shared" si="98"/>
        <v>2500.3261753555794</v>
      </c>
      <c r="W182" s="87">
        <f t="shared" si="99"/>
        <v>2493.0110022269782</v>
      </c>
      <c r="X182" s="87">
        <f t="shared" si="100"/>
        <v>2493.0110022269782</v>
      </c>
      <c r="Y182" s="87">
        <f t="shared" si="101"/>
        <v>2493.0110022269782</v>
      </c>
      <c r="Z182" s="87">
        <f t="shared" si="102"/>
        <v>2493.0110022269782</v>
      </c>
      <c r="AA182" s="88">
        <v>473</v>
      </c>
      <c r="AB182" s="89">
        <f>AA182*GDPdeflator!$C$25/$AI$18*10^3</f>
        <v>45.478712808157368</v>
      </c>
      <c r="AC182" s="90" t="e">
        <f>INDEX(Efficiencies!$D$8:$M$89,MATCH(C182,Efficiencies!$C$8:$C$89),MATCH(D182,Efficiencies!$D$7:$M$7))</f>
        <v>#REF!</v>
      </c>
      <c r="AD182" s="90" t="e">
        <f t="shared" si="103"/>
        <v>#REF!</v>
      </c>
      <c r="AE182" s="90" t="e">
        <f>INDEX(Efficiencies!$P$8:$Y$89,MATCH(C182,Efficiencies!$C$8:$C$89),MATCH(D182,Efficiencies!$P$7:$Y$7))</f>
        <v>#REF!</v>
      </c>
      <c r="AF182" s="90" t="e">
        <f t="shared" si="78"/>
        <v>#REF!</v>
      </c>
      <c r="AG182" s="90">
        <v>0</v>
      </c>
    </row>
    <row r="183" spans="1:33" x14ac:dyDescent="0.2">
      <c r="A183" s="92" t="s">
        <v>1149</v>
      </c>
      <c r="B183" s="248" t="s">
        <v>1150</v>
      </c>
      <c r="C183" s="40" t="s">
        <v>1140</v>
      </c>
      <c r="D183" s="40">
        <v>2040</v>
      </c>
      <c r="E183" s="86">
        <f>GDPdeflator!$C$32*INDEX(Costs!$E$7:$O$89,MATCH($C183,Costs!$C$7:$C$89,0),MATCH(E$7,Costs!$E$6:$O$6,0))</f>
        <v>0</v>
      </c>
      <c r="F183" s="86">
        <f>GDPdeflator!$C$36*INDEX(Costs!$E$7:$O$89,MATCH($C183,Costs!$C$7:$C$89,0),MATCH(F$7,Costs!$E$6:$O$6,0))</f>
        <v>0</v>
      </c>
      <c r="G183" s="86">
        <f>GDPdeflator!$C$38*INDEX(Costs!$E$7:$O$89,MATCH($C183,Costs!$C$7:$C$89,0),MATCH(G$7,Costs!$E$6:$O$6,0))</f>
        <v>0</v>
      </c>
      <c r="H183" s="86">
        <f>GDPdeflator!$C$38*INDEX(Costs!$E$7:$O$89,MATCH($C183,Costs!$C$7:$C$89,0),MATCH(H$7,Costs!$E$6:$O$6,0))</f>
        <v>30.803256699872382</v>
      </c>
      <c r="I183" s="86">
        <f>GDPdeflator!$C$38*INDEX(Costs!$E$7:$O$89,MATCH($C183,Costs!$C$7:$C$89,0),MATCH(I$7,Costs!$E$6:$O$6,0))</f>
        <v>30.803256699872382</v>
      </c>
      <c r="J183" s="86">
        <f>GDPdeflator!$C$38*INDEX(Costs!$E$7:$O$89,MATCH($C183,Costs!$C$7:$C$89,0),MATCH(J$7,Costs!$E$6:$O$6,0))</f>
        <v>30.128668882497475</v>
      </c>
      <c r="K183" s="86">
        <f>GDPdeflator!$C$38*INDEX(Costs!$E$7:$O$89,MATCH($C183,Costs!$C$7:$C$89,0),MATCH(K$7,Costs!$E$6:$O$6,0))</f>
        <v>29.944690386849775</v>
      </c>
      <c r="L183" s="86">
        <f>GDPdeflator!$C$38*INDEX(Costs!$E$7:$O$89,MATCH($C183,Costs!$C$7:$C$89,0),MATCH(L$7,Costs!$E$6:$O$6,0))</f>
        <v>29.857081579398486</v>
      </c>
      <c r="M183" s="86">
        <f>GDPdeflator!$C$38*INDEX(Costs!$E$7:$O$89,MATCH($C183,Costs!$C$7:$C$89,0),MATCH(M$7,Costs!$E$6:$O$6,0))</f>
        <v>29.857081579398486</v>
      </c>
      <c r="N183" s="86">
        <f>GDPdeflator!$C$38*INDEX(Costs!$E$7:$O$89,MATCH($C183,Costs!$C$7:$C$89,0),MATCH(N$7,Costs!$E$6:$O$6,0))</f>
        <v>29.857081579398486</v>
      </c>
      <c r="O183" s="86">
        <f>GDPdeflator!$C$38*INDEX(Costs!$E$7:$O$89,MATCH($C183,Costs!$C$7:$C$89,0),MATCH(O$7,Costs!$E$6:$O$6,0))</f>
        <v>29.857081579398486</v>
      </c>
      <c r="P183" s="87">
        <f t="shared" si="104"/>
        <v>0</v>
      </c>
      <c r="Q183" s="87">
        <f t="shared" si="93"/>
        <v>0</v>
      </c>
      <c r="R183" s="87">
        <f t="shared" si="94"/>
        <v>0</v>
      </c>
      <c r="S183" s="87">
        <f t="shared" si="95"/>
        <v>2572.0148720158613</v>
      </c>
      <c r="T183" s="87">
        <f t="shared" si="96"/>
        <v>2572.0148720158613</v>
      </c>
      <c r="U183" s="87">
        <f t="shared" si="97"/>
        <v>2515.6880389256394</v>
      </c>
      <c r="V183" s="87">
        <f t="shared" si="98"/>
        <v>2500.3261753555794</v>
      </c>
      <c r="W183" s="87">
        <f t="shared" si="99"/>
        <v>2493.0110022269782</v>
      </c>
      <c r="X183" s="87">
        <f t="shared" si="100"/>
        <v>2493.0110022269782</v>
      </c>
      <c r="Y183" s="87">
        <f t="shared" si="101"/>
        <v>2493.0110022269782</v>
      </c>
      <c r="Z183" s="87">
        <f t="shared" si="102"/>
        <v>2493.0110022269782</v>
      </c>
      <c r="AA183" s="88">
        <v>473</v>
      </c>
      <c r="AB183" s="89">
        <f>AA183*GDPdeflator!$C$25/$AI$18*10^3</f>
        <v>45.478712808157368</v>
      </c>
      <c r="AC183" s="90" t="e">
        <f>INDEX(Efficiencies!$D$8:$M$89,MATCH(C183,Efficiencies!$C$8:$C$89),MATCH(D183,Efficiencies!$D$7:$M$7))</f>
        <v>#REF!</v>
      </c>
      <c r="AD183" s="90" t="e">
        <f t="shared" si="103"/>
        <v>#REF!</v>
      </c>
      <c r="AE183" s="90" t="e">
        <f>INDEX(Efficiencies!$P$8:$Y$89,MATCH(C183,Efficiencies!$C$8:$C$89),MATCH(D183,Efficiencies!$P$7:$Y$7))</f>
        <v>#REF!</v>
      </c>
      <c r="AF183" s="90" t="e">
        <f t="shared" si="78"/>
        <v>#REF!</v>
      </c>
      <c r="AG183" s="90">
        <v>0</v>
      </c>
    </row>
    <row r="184" spans="1:33" x14ac:dyDescent="0.2">
      <c r="A184" s="92" t="s">
        <v>1151</v>
      </c>
      <c r="B184" s="248" t="s">
        <v>1152</v>
      </c>
      <c r="C184" s="40" t="s">
        <v>1140</v>
      </c>
      <c r="D184" s="40">
        <v>2045</v>
      </c>
      <c r="E184" s="86">
        <f>GDPdeflator!$C$32*INDEX(Costs!$E$7:$O$89,MATCH($C184,Costs!$C$7:$C$89,0),MATCH(E$7,Costs!$E$6:$O$6,0))</f>
        <v>0</v>
      </c>
      <c r="F184" s="86">
        <f>GDPdeflator!$C$36*INDEX(Costs!$E$7:$O$89,MATCH($C184,Costs!$C$7:$C$89,0),MATCH(F$7,Costs!$E$6:$O$6,0))</f>
        <v>0</v>
      </c>
      <c r="G184" s="86">
        <f>GDPdeflator!$C$38*INDEX(Costs!$E$7:$O$89,MATCH($C184,Costs!$C$7:$C$89,0),MATCH(G$7,Costs!$E$6:$O$6,0))</f>
        <v>0</v>
      </c>
      <c r="H184" s="86">
        <f>GDPdeflator!$C$38*INDEX(Costs!$E$7:$O$89,MATCH($C184,Costs!$C$7:$C$89,0),MATCH(H$7,Costs!$E$6:$O$6,0))</f>
        <v>30.803256699872382</v>
      </c>
      <c r="I184" s="86">
        <f>GDPdeflator!$C$38*INDEX(Costs!$E$7:$O$89,MATCH($C184,Costs!$C$7:$C$89,0),MATCH(I$7,Costs!$E$6:$O$6,0))</f>
        <v>30.803256699872382</v>
      </c>
      <c r="J184" s="86">
        <f>GDPdeflator!$C$38*INDEX(Costs!$E$7:$O$89,MATCH($C184,Costs!$C$7:$C$89,0),MATCH(J$7,Costs!$E$6:$O$6,0))</f>
        <v>30.128668882497475</v>
      </c>
      <c r="K184" s="86">
        <f>GDPdeflator!$C$38*INDEX(Costs!$E$7:$O$89,MATCH($C184,Costs!$C$7:$C$89,0),MATCH(K$7,Costs!$E$6:$O$6,0))</f>
        <v>29.944690386849775</v>
      </c>
      <c r="L184" s="86">
        <f>GDPdeflator!$C$38*INDEX(Costs!$E$7:$O$89,MATCH($C184,Costs!$C$7:$C$89,0),MATCH(L$7,Costs!$E$6:$O$6,0))</f>
        <v>29.857081579398486</v>
      </c>
      <c r="M184" s="86">
        <f>GDPdeflator!$C$38*INDEX(Costs!$E$7:$O$89,MATCH($C184,Costs!$C$7:$C$89,0),MATCH(M$7,Costs!$E$6:$O$6,0))</f>
        <v>29.857081579398486</v>
      </c>
      <c r="N184" s="86">
        <f>GDPdeflator!$C$38*INDEX(Costs!$E$7:$O$89,MATCH($C184,Costs!$C$7:$C$89,0),MATCH(N$7,Costs!$E$6:$O$6,0))</f>
        <v>29.857081579398486</v>
      </c>
      <c r="O184" s="86">
        <f>GDPdeflator!$C$38*INDEX(Costs!$E$7:$O$89,MATCH($C184,Costs!$C$7:$C$89,0),MATCH(O$7,Costs!$E$6:$O$6,0))</f>
        <v>29.857081579398486</v>
      </c>
      <c r="P184" s="87">
        <f t="shared" si="104"/>
        <v>0</v>
      </c>
      <c r="Q184" s="87">
        <f t="shared" si="93"/>
        <v>0</v>
      </c>
      <c r="R184" s="87">
        <f t="shared" si="94"/>
        <v>0</v>
      </c>
      <c r="S184" s="87">
        <f t="shared" si="95"/>
        <v>2572.0148720158613</v>
      </c>
      <c r="T184" s="87">
        <f t="shared" si="96"/>
        <v>2572.0148720158613</v>
      </c>
      <c r="U184" s="87">
        <f t="shared" si="97"/>
        <v>2515.6880389256394</v>
      </c>
      <c r="V184" s="87">
        <f t="shared" si="98"/>
        <v>2500.3261753555794</v>
      </c>
      <c r="W184" s="87">
        <f t="shared" si="99"/>
        <v>2493.0110022269782</v>
      </c>
      <c r="X184" s="87">
        <f t="shared" si="100"/>
        <v>2493.0110022269782</v>
      </c>
      <c r="Y184" s="87">
        <f t="shared" si="101"/>
        <v>2493.0110022269782</v>
      </c>
      <c r="Z184" s="87">
        <f t="shared" si="102"/>
        <v>2493.0110022269782</v>
      </c>
      <c r="AA184" s="88">
        <v>473</v>
      </c>
      <c r="AB184" s="89">
        <f>AA184*GDPdeflator!$C$25/$AI$18*10^3</f>
        <v>45.478712808157368</v>
      </c>
      <c r="AC184" s="90" t="e">
        <f>INDEX(Efficiencies!$D$8:$M$89,MATCH(C184,Efficiencies!$C$8:$C$89),MATCH(D184,Efficiencies!$D$7:$M$7))</f>
        <v>#REF!</v>
      </c>
      <c r="AD184" s="90" t="e">
        <f t="shared" si="103"/>
        <v>#REF!</v>
      </c>
      <c r="AE184" s="90" t="e">
        <f>INDEX(Efficiencies!$P$8:$Y$89,MATCH(C184,Efficiencies!$C$8:$C$89),MATCH(D184,Efficiencies!$P$7:$Y$7))</f>
        <v>#REF!</v>
      </c>
      <c r="AF184" s="90" t="e">
        <f t="shared" si="78"/>
        <v>#REF!</v>
      </c>
      <c r="AG184" s="90">
        <v>0</v>
      </c>
    </row>
    <row r="185" spans="1:33" x14ac:dyDescent="0.2">
      <c r="A185" s="92" t="s">
        <v>1153</v>
      </c>
      <c r="B185" s="248" t="s">
        <v>1154</v>
      </c>
      <c r="C185" s="40" t="s">
        <v>1140</v>
      </c>
      <c r="D185" s="40">
        <v>2050</v>
      </c>
      <c r="E185" s="86">
        <f>GDPdeflator!$C$32*INDEX(Costs!$E$7:$O$89,MATCH($C185,Costs!$C$7:$C$89,0),MATCH(E$7,Costs!$E$6:$O$6,0))</f>
        <v>0</v>
      </c>
      <c r="F185" s="86">
        <f>GDPdeflator!$C$36*INDEX(Costs!$E$7:$O$89,MATCH($C185,Costs!$C$7:$C$89,0),MATCH(F$7,Costs!$E$6:$O$6,0))</f>
        <v>0</v>
      </c>
      <c r="G185" s="86">
        <f>GDPdeflator!$C$38*INDEX(Costs!$E$7:$O$89,MATCH($C185,Costs!$C$7:$C$89,0),MATCH(G$7,Costs!$E$6:$O$6,0))</f>
        <v>0</v>
      </c>
      <c r="H185" s="86">
        <f>GDPdeflator!$C$38*INDEX(Costs!$E$7:$O$89,MATCH($C185,Costs!$C$7:$C$89,0),MATCH(H$7,Costs!$E$6:$O$6,0))</f>
        <v>30.803256699872382</v>
      </c>
      <c r="I185" s="86">
        <f>GDPdeflator!$C$38*INDEX(Costs!$E$7:$O$89,MATCH($C185,Costs!$C$7:$C$89,0),MATCH(I$7,Costs!$E$6:$O$6,0))</f>
        <v>30.803256699872382</v>
      </c>
      <c r="J185" s="86">
        <f>GDPdeflator!$C$38*INDEX(Costs!$E$7:$O$89,MATCH($C185,Costs!$C$7:$C$89,0),MATCH(J$7,Costs!$E$6:$O$6,0))</f>
        <v>30.128668882497475</v>
      </c>
      <c r="K185" s="86">
        <f>GDPdeflator!$C$38*INDEX(Costs!$E$7:$O$89,MATCH($C185,Costs!$C$7:$C$89,0),MATCH(K$7,Costs!$E$6:$O$6,0))</f>
        <v>29.944690386849775</v>
      </c>
      <c r="L185" s="86">
        <f>GDPdeflator!$C$38*INDEX(Costs!$E$7:$O$89,MATCH($C185,Costs!$C$7:$C$89,0),MATCH(L$7,Costs!$E$6:$O$6,0))</f>
        <v>29.857081579398486</v>
      </c>
      <c r="M185" s="86">
        <f>GDPdeflator!$C$38*INDEX(Costs!$E$7:$O$89,MATCH($C185,Costs!$C$7:$C$89,0),MATCH(M$7,Costs!$E$6:$O$6,0))</f>
        <v>29.857081579398486</v>
      </c>
      <c r="N185" s="86">
        <f>GDPdeflator!$C$38*INDEX(Costs!$E$7:$O$89,MATCH($C185,Costs!$C$7:$C$89,0),MATCH(N$7,Costs!$E$6:$O$6,0))</f>
        <v>29.857081579398486</v>
      </c>
      <c r="O185" s="86">
        <f>GDPdeflator!$C$38*INDEX(Costs!$E$7:$O$89,MATCH($C185,Costs!$C$7:$C$89,0),MATCH(O$7,Costs!$E$6:$O$6,0))</f>
        <v>29.857081579398486</v>
      </c>
      <c r="P185" s="87">
        <f t="shared" si="104"/>
        <v>0</v>
      </c>
      <c r="Q185" s="87">
        <f t="shared" si="93"/>
        <v>0</v>
      </c>
      <c r="R185" s="87">
        <f t="shared" si="94"/>
        <v>0</v>
      </c>
      <c r="S185" s="87">
        <f t="shared" si="95"/>
        <v>2572.0148720158613</v>
      </c>
      <c r="T185" s="87">
        <f t="shared" si="96"/>
        <v>2572.0148720158613</v>
      </c>
      <c r="U185" s="87">
        <f t="shared" si="97"/>
        <v>2515.6880389256394</v>
      </c>
      <c r="V185" s="87">
        <f t="shared" si="98"/>
        <v>2500.3261753555794</v>
      </c>
      <c r="W185" s="87">
        <f t="shared" si="99"/>
        <v>2493.0110022269782</v>
      </c>
      <c r="X185" s="87">
        <f t="shared" si="100"/>
        <v>2493.0110022269782</v>
      </c>
      <c r="Y185" s="87">
        <f t="shared" si="101"/>
        <v>2493.0110022269782</v>
      </c>
      <c r="Z185" s="87">
        <f t="shared" si="102"/>
        <v>2493.0110022269782</v>
      </c>
      <c r="AA185" s="88">
        <v>473</v>
      </c>
      <c r="AB185" s="89">
        <f>AA185*GDPdeflator!$C$25/$AI$18*10^3</f>
        <v>45.478712808157368</v>
      </c>
      <c r="AC185" s="90" t="e">
        <f>INDEX(Efficiencies!$D$8:$M$89,MATCH(C185,Efficiencies!$C$8:$C$89),MATCH(D185,Efficiencies!$D$7:$M$7))</f>
        <v>#REF!</v>
      </c>
      <c r="AD185" s="90" t="e">
        <f t="shared" si="103"/>
        <v>#REF!</v>
      </c>
      <c r="AE185" s="90" t="e">
        <f>INDEX(Efficiencies!$P$8:$Y$89,MATCH(C185,Efficiencies!$C$8:$C$89),MATCH(D185,Efficiencies!$P$7:$Y$7))</f>
        <v>#REF!</v>
      </c>
      <c r="AF185" s="90" t="e">
        <f t="shared" si="78"/>
        <v>#REF!</v>
      </c>
      <c r="AG185" s="90">
        <v>0</v>
      </c>
    </row>
    <row r="186" spans="1:33" x14ac:dyDescent="0.2">
      <c r="A186" s="92" t="s">
        <v>1155</v>
      </c>
      <c r="B186" s="248" t="s">
        <v>1156</v>
      </c>
      <c r="C186" s="40" t="s">
        <v>1157</v>
      </c>
      <c r="D186" s="40">
        <v>2060</v>
      </c>
      <c r="E186" s="86">
        <f>GDPdeflator!$C$32*INDEX(Costs!$E$7:$O$89,MATCH($C186,Costs!$C$7:$C$89,0),MATCH(E$7,Costs!$E$6:$O$6,0))</f>
        <v>25.186476799380024</v>
      </c>
      <c r="F186" s="86">
        <f>GDPdeflator!$C$36*INDEX(Costs!$E$7:$O$89,MATCH($C186,Costs!$C$7:$C$89,0),MATCH(F$7,Costs!$E$6:$O$6,0))</f>
        <v>25.614920263086763</v>
      </c>
      <c r="G186" s="86">
        <f>GDPdeflator!$C$38*INDEX(Costs!$E$7:$O$89,MATCH($C186,Costs!$C$7:$C$89,0),MATCH(G$7,Costs!$E$6:$O$6,0))</f>
        <v>24.749488104988476</v>
      </c>
      <c r="H186" s="86">
        <f>GDPdeflator!$C$38*INDEX(Costs!$E$7:$O$89,MATCH($C186,Costs!$C$7:$C$89,0),MATCH(H$7,Costs!$E$6:$O$6,0))</f>
        <v>24.950988362126434</v>
      </c>
      <c r="I186" s="86">
        <f>GDPdeflator!$C$38*INDEX(Costs!$E$7:$O$89,MATCH($C186,Costs!$C$7:$C$89,0),MATCH(I$7,Costs!$E$6:$O$6,0))</f>
        <v>25.625576179501344</v>
      </c>
      <c r="J186" s="86">
        <f>GDPdeflator!$C$38*INDEX(Costs!$E$7:$O$89,MATCH($C186,Costs!$C$7:$C$89,0),MATCH(J$7,Costs!$E$6:$O$6,0))</f>
        <v>25.643097940991598</v>
      </c>
      <c r="K186" s="86">
        <f>GDPdeflator!$C$38*INDEX(Costs!$E$7:$O$89,MATCH($C186,Costs!$C$7:$C$89,0),MATCH(K$7,Costs!$E$6:$O$6,0))</f>
        <v>25.651858821736731</v>
      </c>
      <c r="L186" s="86">
        <f>GDPdeflator!$C$38*INDEX(Costs!$E$7:$O$89,MATCH($C186,Costs!$C$7:$C$89,0),MATCH(L$7,Costs!$E$6:$O$6,0))</f>
        <v>25.660619702481856</v>
      </c>
      <c r="M186" s="86">
        <f>GDPdeflator!$C$38*INDEX(Costs!$E$7:$O$89,MATCH($C186,Costs!$C$7:$C$89,0),MATCH(M$7,Costs!$E$6:$O$6,0))</f>
        <v>25.660619702481856</v>
      </c>
      <c r="N186" s="86">
        <f>GDPdeflator!$C$38*INDEX(Costs!$E$7:$O$89,MATCH($C186,Costs!$C$7:$C$89,0),MATCH(N$7,Costs!$E$6:$O$6,0))</f>
        <v>25.660619702481856</v>
      </c>
      <c r="O186" s="86">
        <f>GDPdeflator!$C$38*INDEX(Costs!$E$7:$O$89,MATCH($C186,Costs!$C$7:$C$89,0),MATCH(O$7,Costs!$E$6:$O$6,0))</f>
        <v>25.660619702481856</v>
      </c>
      <c r="P186" s="87">
        <f>E186/$AI$18*10^6</f>
        <v>2103.0241552983671</v>
      </c>
      <c r="Q186" s="87">
        <f t="shared" si="93"/>
        <v>2138.7983908348415</v>
      </c>
      <c r="R186" s="87">
        <f t="shared" si="94"/>
        <v>2066.5364088295814</v>
      </c>
      <c r="S186" s="87">
        <f t="shared" si="95"/>
        <v>2083.3613070253623</v>
      </c>
      <c r="T186" s="87">
        <f t="shared" si="96"/>
        <v>2139.6881401155847</v>
      </c>
      <c r="U186" s="87">
        <f t="shared" si="97"/>
        <v>2141.1511747413047</v>
      </c>
      <c r="V186" s="87">
        <f t="shared" si="98"/>
        <v>2141.8826920541651</v>
      </c>
      <c r="W186" s="87">
        <f t="shared" si="99"/>
        <v>2142.6142093670246</v>
      </c>
      <c r="X186" s="87">
        <f t="shared" si="100"/>
        <v>2142.6142093670246</v>
      </c>
      <c r="Y186" s="87">
        <f t="shared" si="101"/>
        <v>2142.6142093670246</v>
      </c>
      <c r="Z186" s="87">
        <f t="shared" si="102"/>
        <v>2142.6142093670246</v>
      </c>
      <c r="AA186" s="88">
        <v>450</v>
      </c>
      <c r="AB186" s="89">
        <f>AA186*GDPdeflator!$C$25/$AI$18*10^3</f>
        <v>43.267274341798768</v>
      </c>
      <c r="AC186" s="90" t="e">
        <f>INDEX(Efficiencies!$D$8:$M$89,MATCH(C186,Efficiencies!$C$8:$C$89),MATCH(D186,Efficiencies!$D$7:$M$7))</f>
        <v>#REF!</v>
      </c>
      <c r="AD186" s="90" t="e">
        <f t="shared" si="103"/>
        <v>#REF!</v>
      </c>
      <c r="AE186" s="90" t="e">
        <f>INDEX(Efficiencies!$P$8:$Y$89,MATCH(C186,Efficiencies!$C$8:$C$89),MATCH(D186,Efficiencies!$P$7:$Y$7))</f>
        <v>#REF!</v>
      </c>
      <c r="AF186" s="90" t="e">
        <f t="shared" si="78"/>
        <v>#REF!</v>
      </c>
      <c r="AG186" s="90">
        <v>0</v>
      </c>
    </row>
    <row r="187" spans="1:33" x14ac:dyDescent="0.2">
      <c r="A187" s="92" t="s">
        <v>1158</v>
      </c>
      <c r="B187" s="248" t="s">
        <v>1159</v>
      </c>
      <c r="C187" s="40" t="s">
        <v>1157</v>
      </c>
      <c r="D187" s="40">
        <v>2005</v>
      </c>
      <c r="E187" s="86">
        <f>GDPdeflator!$C$32*INDEX(Costs!$E$7:$O$89,MATCH($C187,Costs!$C$7:$C$89,0),MATCH(E$7,Costs!$E$6:$O$6,0))</f>
        <v>25.186476799380024</v>
      </c>
      <c r="F187" s="86">
        <f>GDPdeflator!$C$36*INDEX(Costs!$E$7:$O$89,MATCH($C187,Costs!$C$7:$C$89,0),MATCH(F$7,Costs!$E$6:$O$6,0))</f>
        <v>25.614920263086763</v>
      </c>
      <c r="G187" s="86">
        <f>GDPdeflator!$C$38*INDEX(Costs!$E$7:$O$89,MATCH($C187,Costs!$C$7:$C$89,0),MATCH(G$7,Costs!$E$6:$O$6,0))</f>
        <v>24.749488104988476</v>
      </c>
      <c r="H187" s="86">
        <f>GDPdeflator!$C$38*INDEX(Costs!$E$7:$O$89,MATCH($C187,Costs!$C$7:$C$89,0),MATCH(H$7,Costs!$E$6:$O$6,0))</f>
        <v>24.950988362126434</v>
      </c>
      <c r="I187" s="86">
        <f>GDPdeflator!$C$38*INDEX(Costs!$E$7:$O$89,MATCH($C187,Costs!$C$7:$C$89,0),MATCH(I$7,Costs!$E$6:$O$6,0))</f>
        <v>25.625576179501344</v>
      </c>
      <c r="J187" s="86">
        <f>GDPdeflator!$C$38*INDEX(Costs!$E$7:$O$89,MATCH($C187,Costs!$C$7:$C$89,0),MATCH(J$7,Costs!$E$6:$O$6,0))</f>
        <v>25.643097940991598</v>
      </c>
      <c r="K187" s="86">
        <f>GDPdeflator!$C$38*INDEX(Costs!$E$7:$O$89,MATCH($C187,Costs!$C$7:$C$89,0),MATCH(K$7,Costs!$E$6:$O$6,0))</f>
        <v>25.651858821736731</v>
      </c>
      <c r="L187" s="86">
        <f>GDPdeflator!$C$38*INDEX(Costs!$E$7:$O$89,MATCH($C187,Costs!$C$7:$C$89,0),MATCH(L$7,Costs!$E$6:$O$6,0))</f>
        <v>25.660619702481856</v>
      </c>
      <c r="M187" s="86">
        <f>GDPdeflator!$C$38*INDEX(Costs!$E$7:$O$89,MATCH($C187,Costs!$C$7:$C$89,0),MATCH(M$7,Costs!$E$6:$O$6,0))</f>
        <v>25.660619702481856</v>
      </c>
      <c r="N187" s="86">
        <f>GDPdeflator!$C$38*INDEX(Costs!$E$7:$O$89,MATCH($C187,Costs!$C$7:$C$89,0),MATCH(N$7,Costs!$E$6:$O$6,0))</f>
        <v>25.660619702481856</v>
      </c>
      <c r="O187" s="86">
        <f>GDPdeflator!$C$38*INDEX(Costs!$E$7:$O$89,MATCH($C187,Costs!$C$7:$C$89,0),MATCH(O$7,Costs!$E$6:$O$6,0))</f>
        <v>25.660619702481856</v>
      </c>
      <c r="P187" s="87">
        <f t="shared" ref="P187:P196" si="105">E187/$AI$18*10^6</f>
        <v>2103.0241552983671</v>
      </c>
      <c r="Q187" s="87">
        <f t="shared" si="93"/>
        <v>2138.7983908348415</v>
      </c>
      <c r="R187" s="87">
        <f t="shared" si="94"/>
        <v>2066.5364088295814</v>
      </c>
      <c r="S187" s="87">
        <f t="shared" si="95"/>
        <v>2083.3613070253623</v>
      </c>
      <c r="T187" s="87">
        <f t="shared" si="96"/>
        <v>2139.6881401155847</v>
      </c>
      <c r="U187" s="87">
        <f t="shared" si="97"/>
        <v>2141.1511747413047</v>
      </c>
      <c r="V187" s="87">
        <f t="shared" si="98"/>
        <v>2141.8826920541651</v>
      </c>
      <c r="W187" s="87">
        <f t="shared" si="99"/>
        <v>2142.6142093670246</v>
      </c>
      <c r="X187" s="87">
        <f t="shared" si="100"/>
        <v>2142.6142093670246</v>
      </c>
      <c r="Y187" s="87">
        <f t="shared" si="101"/>
        <v>2142.6142093670246</v>
      </c>
      <c r="Z187" s="87">
        <f t="shared" si="102"/>
        <v>2142.6142093670246</v>
      </c>
      <c r="AA187" s="88">
        <v>450</v>
      </c>
      <c r="AB187" s="89">
        <f>AA187*GDPdeflator!$C$25/$AI$18*10^3</f>
        <v>43.267274341798768</v>
      </c>
      <c r="AC187" s="90" t="e">
        <f>INDEX(Efficiencies!$D$8:$M$89,MATCH(C187,Efficiencies!$C$8:$C$89),MATCH(D187,Efficiencies!$D$7:$M$7))</f>
        <v>#REF!</v>
      </c>
      <c r="AD187" s="90" t="e">
        <f t="shared" si="103"/>
        <v>#REF!</v>
      </c>
      <c r="AE187" s="90" t="e">
        <f>INDEX(Efficiencies!$P$8:$Y$89,MATCH(C187,Efficiencies!$C$8:$C$89),MATCH(D187,Efficiencies!$P$7:$Y$7))</f>
        <v>#REF!</v>
      </c>
      <c r="AF187" s="90" t="e">
        <f t="shared" ref="AF187:AF241" si="106">AE187/($AI$11*$AI$15*10 ^ 9)</f>
        <v>#REF!</v>
      </c>
      <c r="AG187" s="90">
        <v>0</v>
      </c>
    </row>
    <row r="188" spans="1:33" x14ac:dyDescent="0.2">
      <c r="A188" s="92" t="s">
        <v>1160</v>
      </c>
      <c r="B188" s="248" t="s">
        <v>1161</v>
      </c>
      <c r="C188" s="40" t="s">
        <v>1157</v>
      </c>
      <c r="D188" s="40">
        <v>2010</v>
      </c>
      <c r="E188" s="86">
        <f>GDPdeflator!$C$32*INDEX(Costs!$E$7:$O$89,MATCH($C188,Costs!$C$7:$C$89,0),MATCH(E$7,Costs!$E$6:$O$6,0))</f>
        <v>25.186476799380024</v>
      </c>
      <c r="F188" s="86">
        <f>GDPdeflator!$C$36*INDEX(Costs!$E$7:$O$89,MATCH($C188,Costs!$C$7:$C$89,0),MATCH(F$7,Costs!$E$6:$O$6,0))</f>
        <v>25.614920263086763</v>
      </c>
      <c r="G188" s="86">
        <f>GDPdeflator!$C$38*INDEX(Costs!$E$7:$O$89,MATCH($C188,Costs!$C$7:$C$89,0),MATCH(G$7,Costs!$E$6:$O$6,0))</f>
        <v>24.749488104988476</v>
      </c>
      <c r="H188" s="86">
        <f>GDPdeflator!$C$38*INDEX(Costs!$E$7:$O$89,MATCH($C188,Costs!$C$7:$C$89,0),MATCH(H$7,Costs!$E$6:$O$6,0))</f>
        <v>24.950988362126434</v>
      </c>
      <c r="I188" s="86">
        <f>GDPdeflator!$C$38*INDEX(Costs!$E$7:$O$89,MATCH($C188,Costs!$C$7:$C$89,0),MATCH(I$7,Costs!$E$6:$O$6,0))</f>
        <v>25.625576179501344</v>
      </c>
      <c r="J188" s="86">
        <f>GDPdeflator!$C$38*INDEX(Costs!$E$7:$O$89,MATCH($C188,Costs!$C$7:$C$89,0),MATCH(J$7,Costs!$E$6:$O$6,0))</f>
        <v>25.643097940991598</v>
      </c>
      <c r="K188" s="86">
        <f>GDPdeflator!$C$38*INDEX(Costs!$E$7:$O$89,MATCH($C188,Costs!$C$7:$C$89,0),MATCH(K$7,Costs!$E$6:$O$6,0))</f>
        <v>25.651858821736731</v>
      </c>
      <c r="L188" s="86">
        <f>GDPdeflator!$C$38*INDEX(Costs!$E$7:$O$89,MATCH($C188,Costs!$C$7:$C$89,0),MATCH(L$7,Costs!$E$6:$O$6,0))</f>
        <v>25.660619702481856</v>
      </c>
      <c r="M188" s="86">
        <f>GDPdeflator!$C$38*INDEX(Costs!$E$7:$O$89,MATCH($C188,Costs!$C$7:$C$89,0),MATCH(M$7,Costs!$E$6:$O$6,0))</f>
        <v>25.660619702481856</v>
      </c>
      <c r="N188" s="86">
        <f>GDPdeflator!$C$38*INDEX(Costs!$E$7:$O$89,MATCH($C188,Costs!$C$7:$C$89,0),MATCH(N$7,Costs!$E$6:$O$6,0))</f>
        <v>25.660619702481856</v>
      </c>
      <c r="O188" s="86">
        <f>GDPdeflator!$C$38*INDEX(Costs!$E$7:$O$89,MATCH($C188,Costs!$C$7:$C$89,0),MATCH(O$7,Costs!$E$6:$O$6,0))</f>
        <v>25.660619702481856</v>
      </c>
      <c r="P188" s="87">
        <f t="shared" si="105"/>
        <v>2103.0241552983671</v>
      </c>
      <c r="Q188" s="87">
        <f t="shared" si="93"/>
        <v>2138.7983908348415</v>
      </c>
      <c r="R188" s="87">
        <f t="shared" si="94"/>
        <v>2066.5364088295814</v>
      </c>
      <c r="S188" s="87">
        <f t="shared" si="95"/>
        <v>2083.3613070253623</v>
      </c>
      <c r="T188" s="87">
        <f t="shared" si="96"/>
        <v>2139.6881401155847</v>
      </c>
      <c r="U188" s="87">
        <f t="shared" si="97"/>
        <v>2141.1511747413047</v>
      </c>
      <c r="V188" s="87">
        <f t="shared" si="98"/>
        <v>2141.8826920541651</v>
      </c>
      <c r="W188" s="87">
        <f t="shared" si="99"/>
        <v>2142.6142093670246</v>
      </c>
      <c r="X188" s="87">
        <f t="shared" si="100"/>
        <v>2142.6142093670246</v>
      </c>
      <c r="Y188" s="87">
        <f t="shared" si="101"/>
        <v>2142.6142093670246</v>
      </c>
      <c r="Z188" s="87">
        <f t="shared" si="102"/>
        <v>2142.6142093670246</v>
      </c>
      <c r="AA188" s="88">
        <v>450</v>
      </c>
      <c r="AB188" s="89">
        <f>AA188*GDPdeflator!$C$25/$AI$18*10^3</f>
        <v>43.267274341798768</v>
      </c>
      <c r="AC188" s="90" t="e">
        <f>INDEX(Efficiencies!$D$8:$M$89,MATCH(C188,Efficiencies!$C$8:$C$89),MATCH(D188,Efficiencies!$D$7:$M$7))</f>
        <v>#REF!</v>
      </c>
      <c r="AD188" s="90" t="e">
        <f t="shared" si="103"/>
        <v>#REF!</v>
      </c>
      <c r="AE188" s="90" t="e">
        <f>INDEX(Efficiencies!$P$8:$Y$89,MATCH(C188,Efficiencies!$C$8:$C$89),MATCH(D188,Efficiencies!$P$7:$Y$7))</f>
        <v>#REF!</v>
      </c>
      <c r="AF188" s="90" t="e">
        <f t="shared" si="106"/>
        <v>#REF!</v>
      </c>
      <c r="AG188" s="90">
        <v>0</v>
      </c>
    </row>
    <row r="189" spans="1:33" x14ac:dyDescent="0.2">
      <c r="A189" s="92" t="s">
        <v>1162</v>
      </c>
      <c r="B189" s="248" t="s">
        <v>1163</v>
      </c>
      <c r="C189" s="40" t="s">
        <v>1157</v>
      </c>
      <c r="D189" s="40">
        <v>2015</v>
      </c>
      <c r="E189" s="86">
        <f>GDPdeflator!$C$32*INDEX(Costs!$E$7:$O$89,MATCH($C189,Costs!$C$7:$C$89,0),MATCH(E$7,Costs!$E$6:$O$6,0))</f>
        <v>25.186476799380024</v>
      </c>
      <c r="F189" s="86">
        <f>GDPdeflator!$C$36*INDEX(Costs!$E$7:$O$89,MATCH($C189,Costs!$C$7:$C$89,0),MATCH(F$7,Costs!$E$6:$O$6,0))</f>
        <v>25.614920263086763</v>
      </c>
      <c r="G189" s="86">
        <f>GDPdeflator!$C$38*INDEX(Costs!$E$7:$O$89,MATCH($C189,Costs!$C$7:$C$89,0),MATCH(G$7,Costs!$E$6:$O$6,0))</f>
        <v>24.749488104988476</v>
      </c>
      <c r="H189" s="86">
        <f>GDPdeflator!$C$38*INDEX(Costs!$E$7:$O$89,MATCH($C189,Costs!$C$7:$C$89,0),MATCH(H$7,Costs!$E$6:$O$6,0))</f>
        <v>24.950988362126434</v>
      </c>
      <c r="I189" s="86">
        <f>GDPdeflator!$C$38*INDEX(Costs!$E$7:$O$89,MATCH($C189,Costs!$C$7:$C$89,0),MATCH(I$7,Costs!$E$6:$O$6,0))</f>
        <v>25.625576179501344</v>
      </c>
      <c r="J189" s="86">
        <f>GDPdeflator!$C$38*INDEX(Costs!$E$7:$O$89,MATCH($C189,Costs!$C$7:$C$89,0),MATCH(J$7,Costs!$E$6:$O$6,0))</f>
        <v>25.643097940991598</v>
      </c>
      <c r="K189" s="86">
        <f>GDPdeflator!$C$38*INDEX(Costs!$E$7:$O$89,MATCH($C189,Costs!$C$7:$C$89,0),MATCH(K$7,Costs!$E$6:$O$6,0))</f>
        <v>25.651858821736731</v>
      </c>
      <c r="L189" s="86">
        <f>GDPdeflator!$C$38*INDEX(Costs!$E$7:$O$89,MATCH($C189,Costs!$C$7:$C$89,0),MATCH(L$7,Costs!$E$6:$O$6,0))</f>
        <v>25.660619702481856</v>
      </c>
      <c r="M189" s="86">
        <f>GDPdeflator!$C$38*INDEX(Costs!$E$7:$O$89,MATCH($C189,Costs!$C$7:$C$89,0),MATCH(M$7,Costs!$E$6:$O$6,0))</f>
        <v>25.660619702481856</v>
      </c>
      <c r="N189" s="86">
        <f>GDPdeflator!$C$38*INDEX(Costs!$E$7:$O$89,MATCH($C189,Costs!$C$7:$C$89,0),MATCH(N$7,Costs!$E$6:$O$6,0))</f>
        <v>25.660619702481856</v>
      </c>
      <c r="O189" s="86">
        <f>GDPdeflator!$C$38*INDEX(Costs!$E$7:$O$89,MATCH($C189,Costs!$C$7:$C$89,0),MATCH(O$7,Costs!$E$6:$O$6,0))</f>
        <v>25.660619702481856</v>
      </c>
      <c r="P189" s="87">
        <f t="shared" si="105"/>
        <v>2103.0241552983671</v>
      </c>
      <c r="Q189" s="87">
        <f t="shared" si="93"/>
        <v>2138.7983908348415</v>
      </c>
      <c r="R189" s="87">
        <f t="shared" si="94"/>
        <v>2066.5364088295814</v>
      </c>
      <c r="S189" s="87">
        <f t="shared" si="95"/>
        <v>2083.3613070253623</v>
      </c>
      <c r="T189" s="87">
        <f t="shared" si="96"/>
        <v>2139.6881401155847</v>
      </c>
      <c r="U189" s="87">
        <f t="shared" si="97"/>
        <v>2141.1511747413047</v>
      </c>
      <c r="V189" s="87">
        <f t="shared" si="98"/>
        <v>2141.8826920541651</v>
      </c>
      <c r="W189" s="87">
        <f t="shared" si="99"/>
        <v>2142.6142093670246</v>
      </c>
      <c r="X189" s="87">
        <f t="shared" si="100"/>
        <v>2142.6142093670246</v>
      </c>
      <c r="Y189" s="87">
        <f t="shared" si="101"/>
        <v>2142.6142093670246</v>
      </c>
      <c r="Z189" s="87">
        <f t="shared" si="102"/>
        <v>2142.6142093670246</v>
      </c>
      <c r="AA189" s="88">
        <v>450</v>
      </c>
      <c r="AB189" s="89">
        <f>AA189*GDPdeflator!$C$25/$AI$18*10^3</f>
        <v>43.267274341798768</v>
      </c>
      <c r="AC189" s="90" t="e">
        <f>INDEX(Efficiencies!$D$8:$M$89,MATCH(C189,Efficiencies!$C$8:$C$89),MATCH(D189,Efficiencies!$D$7:$M$7))</f>
        <v>#REF!</v>
      </c>
      <c r="AD189" s="90" t="e">
        <f t="shared" si="103"/>
        <v>#REF!</v>
      </c>
      <c r="AE189" s="90" t="e">
        <f>INDEX(Efficiencies!$P$8:$Y$89,MATCH(C189,Efficiencies!$C$8:$C$89),MATCH(D189,Efficiencies!$P$7:$Y$7))</f>
        <v>#REF!</v>
      </c>
      <c r="AF189" s="90" t="e">
        <f t="shared" si="106"/>
        <v>#REF!</v>
      </c>
      <c r="AG189" s="90">
        <v>0</v>
      </c>
    </row>
    <row r="190" spans="1:33" x14ac:dyDescent="0.2">
      <c r="A190" s="92" t="s">
        <v>1164</v>
      </c>
      <c r="B190" s="248" t="s">
        <v>1165</v>
      </c>
      <c r="C190" s="40" t="s">
        <v>1157</v>
      </c>
      <c r="D190" s="40">
        <v>2020</v>
      </c>
      <c r="E190" s="86">
        <f>GDPdeflator!$C$32*INDEX(Costs!$E$7:$O$89,MATCH($C190,Costs!$C$7:$C$89,0),MATCH(E$7,Costs!$E$6:$O$6,0))</f>
        <v>25.186476799380024</v>
      </c>
      <c r="F190" s="86">
        <f>GDPdeflator!$C$36*INDEX(Costs!$E$7:$O$89,MATCH($C190,Costs!$C$7:$C$89,0),MATCH(F$7,Costs!$E$6:$O$6,0))</f>
        <v>25.614920263086763</v>
      </c>
      <c r="G190" s="86">
        <f>GDPdeflator!$C$38*INDEX(Costs!$E$7:$O$89,MATCH($C190,Costs!$C$7:$C$89,0),MATCH(G$7,Costs!$E$6:$O$6,0))</f>
        <v>24.749488104988476</v>
      </c>
      <c r="H190" s="86">
        <f>GDPdeflator!$C$38*INDEX(Costs!$E$7:$O$89,MATCH($C190,Costs!$C$7:$C$89,0),MATCH(H$7,Costs!$E$6:$O$6,0))</f>
        <v>24.950988362126434</v>
      </c>
      <c r="I190" s="86">
        <f>GDPdeflator!$C$38*INDEX(Costs!$E$7:$O$89,MATCH($C190,Costs!$C$7:$C$89,0),MATCH(I$7,Costs!$E$6:$O$6,0))</f>
        <v>25.625576179501344</v>
      </c>
      <c r="J190" s="86">
        <f>GDPdeflator!$C$38*INDEX(Costs!$E$7:$O$89,MATCH($C190,Costs!$C$7:$C$89,0),MATCH(J$7,Costs!$E$6:$O$6,0))</f>
        <v>25.643097940991598</v>
      </c>
      <c r="K190" s="86">
        <f>GDPdeflator!$C$38*INDEX(Costs!$E$7:$O$89,MATCH($C190,Costs!$C$7:$C$89,0),MATCH(K$7,Costs!$E$6:$O$6,0))</f>
        <v>25.651858821736731</v>
      </c>
      <c r="L190" s="86">
        <f>GDPdeflator!$C$38*INDEX(Costs!$E$7:$O$89,MATCH($C190,Costs!$C$7:$C$89,0),MATCH(L$7,Costs!$E$6:$O$6,0))</f>
        <v>25.660619702481856</v>
      </c>
      <c r="M190" s="86">
        <f>GDPdeflator!$C$38*INDEX(Costs!$E$7:$O$89,MATCH($C190,Costs!$C$7:$C$89,0),MATCH(M$7,Costs!$E$6:$O$6,0))</f>
        <v>25.660619702481856</v>
      </c>
      <c r="N190" s="86">
        <f>GDPdeflator!$C$38*INDEX(Costs!$E$7:$O$89,MATCH($C190,Costs!$C$7:$C$89,0),MATCH(N$7,Costs!$E$6:$O$6,0))</f>
        <v>25.660619702481856</v>
      </c>
      <c r="O190" s="86">
        <f>GDPdeflator!$C$38*INDEX(Costs!$E$7:$O$89,MATCH($C190,Costs!$C$7:$C$89,0),MATCH(O$7,Costs!$E$6:$O$6,0))</f>
        <v>25.660619702481856</v>
      </c>
      <c r="P190" s="87">
        <f t="shared" si="105"/>
        <v>2103.0241552983671</v>
      </c>
      <c r="Q190" s="87">
        <f t="shared" si="93"/>
        <v>2138.7983908348415</v>
      </c>
      <c r="R190" s="87">
        <f t="shared" si="94"/>
        <v>2066.5364088295814</v>
      </c>
      <c r="S190" s="87">
        <f t="shared" si="95"/>
        <v>2083.3613070253623</v>
      </c>
      <c r="T190" s="87">
        <f t="shared" si="96"/>
        <v>2139.6881401155847</v>
      </c>
      <c r="U190" s="87">
        <f t="shared" si="97"/>
        <v>2141.1511747413047</v>
      </c>
      <c r="V190" s="87">
        <f t="shared" si="98"/>
        <v>2141.8826920541651</v>
      </c>
      <c r="W190" s="87">
        <f t="shared" si="99"/>
        <v>2142.6142093670246</v>
      </c>
      <c r="X190" s="87">
        <f t="shared" si="100"/>
        <v>2142.6142093670246</v>
      </c>
      <c r="Y190" s="87">
        <f t="shared" si="101"/>
        <v>2142.6142093670246</v>
      </c>
      <c r="Z190" s="87">
        <f t="shared" si="102"/>
        <v>2142.6142093670246</v>
      </c>
      <c r="AA190" s="88">
        <v>450</v>
      </c>
      <c r="AB190" s="89">
        <f>AA190*GDPdeflator!$C$25/$AI$18*10^3</f>
        <v>43.267274341798768</v>
      </c>
      <c r="AC190" s="90" t="e">
        <f>INDEX(Efficiencies!$D$8:$M$89,MATCH(C190,Efficiencies!$C$8:$C$89),MATCH(D190,Efficiencies!$D$7:$M$7))</f>
        <v>#REF!</v>
      </c>
      <c r="AD190" s="90" t="e">
        <f t="shared" si="103"/>
        <v>#REF!</v>
      </c>
      <c r="AE190" s="90" t="e">
        <f>INDEX(Efficiencies!$P$8:$Y$89,MATCH(C190,Efficiencies!$C$8:$C$89),MATCH(D190,Efficiencies!$P$7:$Y$7))</f>
        <v>#REF!</v>
      </c>
      <c r="AF190" s="90" t="e">
        <f t="shared" si="106"/>
        <v>#REF!</v>
      </c>
      <c r="AG190" s="90">
        <v>0</v>
      </c>
    </row>
    <row r="191" spans="1:33" x14ac:dyDescent="0.2">
      <c r="A191" s="92" t="s">
        <v>1166</v>
      </c>
      <c r="B191" s="248" t="s">
        <v>1167</v>
      </c>
      <c r="C191" s="40" t="s">
        <v>1157</v>
      </c>
      <c r="D191" s="40">
        <v>2025</v>
      </c>
      <c r="E191" s="86">
        <f>GDPdeflator!$C$32*INDEX(Costs!$E$7:$O$89,MATCH($C191,Costs!$C$7:$C$89,0),MATCH(E$7,Costs!$E$6:$O$6,0))</f>
        <v>25.186476799380024</v>
      </c>
      <c r="F191" s="86">
        <f>GDPdeflator!$C$36*INDEX(Costs!$E$7:$O$89,MATCH($C191,Costs!$C$7:$C$89,0),MATCH(F$7,Costs!$E$6:$O$6,0))</f>
        <v>25.614920263086763</v>
      </c>
      <c r="G191" s="86">
        <f>GDPdeflator!$C$38*INDEX(Costs!$E$7:$O$89,MATCH($C191,Costs!$C$7:$C$89,0),MATCH(G$7,Costs!$E$6:$O$6,0))</f>
        <v>24.749488104988476</v>
      </c>
      <c r="H191" s="86">
        <f>GDPdeflator!$C$38*INDEX(Costs!$E$7:$O$89,MATCH($C191,Costs!$C$7:$C$89,0),MATCH(H$7,Costs!$E$6:$O$6,0))</f>
        <v>24.950988362126434</v>
      </c>
      <c r="I191" s="86">
        <f>GDPdeflator!$C$38*INDEX(Costs!$E$7:$O$89,MATCH($C191,Costs!$C$7:$C$89,0),MATCH(I$7,Costs!$E$6:$O$6,0))</f>
        <v>25.625576179501344</v>
      </c>
      <c r="J191" s="86">
        <f>GDPdeflator!$C$38*INDEX(Costs!$E$7:$O$89,MATCH($C191,Costs!$C$7:$C$89,0),MATCH(J$7,Costs!$E$6:$O$6,0))</f>
        <v>25.643097940991598</v>
      </c>
      <c r="K191" s="86">
        <f>GDPdeflator!$C$38*INDEX(Costs!$E$7:$O$89,MATCH($C191,Costs!$C$7:$C$89,0),MATCH(K$7,Costs!$E$6:$O$6,0))</f>
        <v>25.651858821736731</v>
      </c>
      <c r="L191" s="86">
        <f>GDPdeflator!$C$38*INDEX(Costs!$E$7:$O$89,MATCH($C191,Costs!$C$7:$C$89,0),MATCH(L$7,Costs!$E$6:$O$6,0))</f>
        <v>25.660619702481856</v>
      </c>
      <c r="M191" s="86">
        <f>GDPdeflator!$C$38*INDEX(Costs!$E$7:$O$89,MATCH($C191,Costs!$C$7:$C$89,0),MATCH(M$7,Costs!$E$6:$O$6,0))</f>
        <v>25.660619702481856</v>
      </c>
      <c r="N191" s="86">
        <f>GDPdeflator!$C$38*INDEX(Costs!$E$7:$O$89,MATCH($C191,Costs!$C$7:$C$89,0),MATCH(N$7,Costs!$E$6:$O$6,0))</f>
        <v>25.660619702481856</v>
      </c>
      <c r="O191" s="86">
        <f>GDPdeflator!$C$38*INDEX(Costs!$E$7:$O$89,MATCH($C191,Costs!$C$7:$C$89,0),MATCH(O$7,Costs!$E$6:$O$6,0))</f>
        <v>25.660619702481856</v>
      </c>
      <c r="P191" s="87">
        <f t="shared" si="105"/>
        <v>2103.0241552983671</v>
      </c>
      <c r="Q191" s="87">
        <f t="shared" si="93"/>
        <v>2138.7983908348415</v>
      </c>
      <c r="R191" s="87">
        <f t="shared" si="94"/>
        <v>2066.5364088295814</v>
      </c>
      <c r="S191" s="87">
        <f t="shared" si="95"/>
        <v>2083.3613070253623</v>
      </c>
      <c r="T191" s="87">
        <f t="shared" si="96"/>
        <v>2139.6881401155847</v>
      </c>
      <c r="U191" s="87">
        <f t="shared" si="97"/>
        <v>2141.1511747413047</v>
      </c>
      <c r="V191" s="87">
        <f t="shared" si="98"/>
        <v>2141.8826920541651</v>
      </c>
      <c r="W191" s="87">
        <f t="shared" si="99"/>
        <v>2142.6142093670246</v>
      </c>
      <c r="X191" s="87">
        <f t="shared" si="100"/>
        <v>2142.6142093670246</v>
      </c>
      <c r="Y191" s="87">
        <f t="shared" si="101"/>
        <v>2142.6142093670246</v>
      </c>
      <c r="Z191" s="87">
        <f t="shared" si="102"/>
        <v>2142.6142093670246</v>
      </c>
      <c r="AA191" s="88">
        <v>450</v>
      </c>
      <c r="AB191" s="89">
        <f>AA191*GDPdeflator!$C$25/$AI$18*10^3</f>
        <v>43.267274341798768</v>
      </c>
      <c r="AC191" s="90" t="e">
        <f>INDEX(Efficiencies!$D$8:$M$89,MATCH(C191,Efficiencies!$C$8:$C$89),MATCH(D191,Efficiencies!$D$7:$M$7))</f>
        <v>#REF!</v>
      </c>
      <c r="AD191" s="90" t="e">
        <f t="shared" si="103"/>
        <v>#REF!</v>
      </c>
      <c r="AE191" s="90" t="e">
        <f>INDEX(Efficiencies!$P$8:$Y$89,MATCH(C191,Efficiencies!$C$8:$C$89),MATCH(D191,Efficiencies!$P$7:$Y$7))</f>
        <v>#REF!</v>
      </c>
      <c r="AF191" s="90" t="e">
        <f t="shared" si="106"/>
        <v>#REF!</v>
      </c>
      <c r="AG191" s="90">
        <v>0</v>
      </c>
    </row>
    <row r="192" spans="1:33" x14ac:dyDescent="0.2">
      <c r="A192" s="92" t="s">
        <v>1168</v>
      </c>
      <c r="B192" s="248" t="s">
        <v>1169</v>
      </c>
      <c r="C192" s="40" t="s">
        <v>1157</v>
      </c>
      <c r="D192" s="40">
        <v>2030</v>
      </c>
      <c r="E192" s="86">
        <f>GDPdeflator!$C$32*INDEX(Costs!$E$7:$O$89,MATCH($C192,Costs!$C$7:$C$89,0),MATCH(E$7,Costs!$E$6:$O$6,0))</f>
        <v>25.186476799380024</v>
      </c>
      <c r="F192" s="86">
        <f>GDPdeflator!$C$36*INDEX(Costs!$E$7:$O$89,MATCH($C192,Costs!$C$7:$C$89,0),MATCH(F$7,Costs!$E$6:$O$6,0))</f>
        <v>25.614920263086763</v>
      </c>
      <c r="G192" s="86">
        <f>GDPdeflator!$C$38*INDEX(Costs!$E$7:$O$89,MATCH($C192,Costs!$C$7:$C$89,0),MATCH(G$7,Costs!$E$6:$O$6,0))</f>
        <v>24.749488104988476</v>
      </c>
      <c r="H192" s="86">
        <f>GDPdeflator!$C$38*INDEX(Costs!$E$7:$O$89,MATCH($C192,Costs!$C$7:$C$89,0),MATCH(H$7,Costs!$E$6:$O$6,0))</f>
        <v>24.950988362126434</v>
      </c>
      <c r="I192" s="86">
        <f>GDPdeflator!$C$38*INDEX(Costs!$E$7:$O$89,MATCH($C192,Costs!$C$7:$C$89,0),MATCH(I$7,Costs!$E$6:$O$6,0))</f>
        <v>25.625576179501344</v>
      </c>
      <c r="J192" s="86">
        <f>GDPdeflator!$C$38*INDEX(Costs!$E$7:$O$89,MATCH($C192,Costs!$C$7:$C$89,0),MATCH(J$7,Costs!$E$6:$O$6,0))</f>
        <v>25.643097940991598</v>
      </c>
      <c r="K192" s="86">
        <f>GDPdeflator!$C$38*INDEX(Costs!$E$7:$O$89,MATCH($C192,Costs!$C$7:$C$89,0),MATCH(K$7,Costs!$E$6:$O$6,0))</f>
        <v>25.651858821736731</v>
      </c>
      <c r="L192" s="86">
        <f>GDPdeflator!$C$38*INDEX(Costs!$E$7:$O$89,MATCH($C192,Costs!$C$7:$C$89,0),MATCH(L$7,Costs!$E$6:$O$6,0))</f>
        <v>25.660619702481856</v>
      </c>
      <c r="M192" s="86">
        <f>GDPdeflator!$C$38*INDEX(Costs!$E$7:$O$89,MATCH($C192,Costs!$C$7:$C$89,0),MATCH(M$7,Costs!$E$6:$O$6,0))</f>
        <v>25.660619702481856</v>
      </c>
      <c r="N192" s="86">
        <f>GDPdeflator!$C$38*INDEX(Costs!$E$7:$O$89,MATCH($C192,Costs!$C$7:$C$89,0),MATCH(N$7,Costs!$E$6:$O$6,0))</f>
        <v>25.660619702481856</v>
      </c>
      <c r="O192" s="86">
        <f>GDPdeflator!$C$38*INDEX(Costs!$E$7:$O$89,MATCH($C192,Costs!$C$7:$C$89,0),MATCH(O$7,Costs!$E$6:$O$6,0))</f>
        <v>25.660619702481856</v>
      </c>
      <c r="P192" s="87">
        <f t="shared" si="105"/>
        <v>2103.0241552983671</v>
      </c>
      <c r="Q192" s="87">
        <f t="shared" si="93"/>
        <v>2138.7983908348415</v>
      </c>
      <c r="R192" s="87">
        <f t="shared" si="94"/>
        <v>2066.5364088295814</v>
      </c>
      <c r="S192" s="87">
        <f t="shared" si="95"/>
        <v>2083.3613070253623</v>
      </c>
      <c r="T192" s="87">
        <f t="shared" si="96"/>
        <v>2139.6881401155847</v>
      </c>
      <c r="U192" s="87">
        <f t="shared" si="97"/>
        <v>2141.1511747413047</v>
      </c>
      <c r="V192" s="87">
        <f t="shared" si="98"/>
        <v>2141.8826920541651</v>
      </c>
      <c r="W192" s="87">
        <f t="shared" si="99"/>
        <v>2142.6142093670246</v>
      </c>
      <c r="X192" s="87">
        <f t="shared" si="100"/>
        <v>2142.6142093670246</v>
      </c>
      <c r="Y192" s="87">
        <f t="shared" si="101"/>
        <v>2142.6142093670246</v>
      </c>
      <c r="Z192" s="87">
        <f t="shared" si="102"/>
        <v>2142.6142093670246</v>
      </c>
      <c r="AA192" s="88">
        <v>450</v>
      </c>
      <c r="AB192" s="89">
        <f>AA192*GDPdeflator!$C$25/$AI$18*10^3</f>
        <v>43.267274341798768</v>
      </c>
      <c r="AC192" s="90" t="e">
        <f>INDEX(Efficiencies!$D$8:$M$89,MATCH(C192,Efficiencies!$C$8:$C$89),MATCH(D192,Efficiencies!$D$7:$M$7))</f>
        <v>#REF!</v>
      </c>
      <c r="AD192" s="90" t="e">
        <f t="shared" si="103"/>
        <v>#REF!</v>
      </c>
      <c r="AE192" s="90" t="e">
        <f>INDEX(Efficiencies!$P$8:$Y$89,MATCH(C192,Efficiencies!$C$8:$C$89),MATCH(D192,Efficiencies!$P$7:$Y$7))</f>
        <v>#REF!</v>
      </c>
      <c r="AF192" s="90" t="e">
        <f t="shared" si="106"/>
        <v>#REF!</v>
      </c>
      <c r="AG192" s="90">
        <v>0</v>
      </c>
    </row>
    <row r="193" spans="1:33" x14ac:dyDescent="0.2">
      <c r="A193" s="92" t="s">
        <v>1170</v>
      </c>
      <c r="B193" s="248" t="s">
        <v>1171</v>
      </c>
      <c r="C193" s="40" t="s">
        <v>1157</v>
      </c>
      <c r="D193" s="40">
        <v>2035</v>
      </c>
      <c r="E193" s="86">
        <f>GDPdeflator!$C$32*INDEX(Costs!$E$7:$O$89,MATCH($C193,Costs!$C$7:$C$89,0),MATCH(E$7,Costs!$E$6:$O$6,0))</f>
        <v>25.186476799380024</v>
      </c>
      <c r="F193" s="86">
        <f>GDPdeflator!$C$36*INDEX(Costs!$E$7:$O$89,MATCH($C193,Costs!$C$7:$C$89,0),MATCH(F$7,Costs!$E$6:$O$6,0))</f>
        <v>25.614920263086763</v>
      </c>
      <c r="G193" s="86">
        <f>GDPdeflator!$C$38*INDEX(Costs!$E$7:$O$89,MATCH($C193,Costs!$C$7:$C$89,0),MATCH(G$7,Costs!$E$6:$O$6,0))</f>
        <v>24.749488104988476</v>
      </c>
      <c r="H193" s="86">
        <f>GDPdeflator!$C$38*INDEX(Costs!$E$7:$O$89,MATCH($C193,Costs!$C$7:$C$89,0),MATCH(H$7,Costs!$E$6:$O$6,0))</f>
        <v>24.950988362126434</v>
      </c>
      <c r="I193" s="86">
        <f>GDPdeflator!$C$38*INDEX(Costs!$E$7:$O$89,MATCH($C193,Costs!$C$7:$C$89,0),MATCH(I$7,Costs!$E$6:$O$6,0))</f>
        <v>25.625576179501344</v>
      </c>
      <c r="J193" s="86">
        <f>GDPdeflator!$C$38*INDEX(Costs!$E$7:$O$89,MATCH($C193,Costs!$C$7:$C$89,0),MATCH(J$7,Costs!$E$6:$O$6,0))</f>
        <v>25.643097940991598</v>
      </c>
      <c r="K193" s="86">
        <f>GDPdeflator!$C$38*INDEX(Costs!$E$7:$O$89,MATCH($C193,Costs!$C$7:$C$89,0),MATCH(K$7,Costs!$E$6:$O$6,0))</f>
        <v>25.651858821736731</v>
      </c>
      <c r="L193" s="86">
        <f>GDPdeflator!$C$38*INDEX(Costs!$E$7:$O$89,MATCH($C193,Costs!$C$7:$C$89,0),MATCH(L$7,Costs!$E$6:$O$6,0))</f>
        <v>25.660619702481856</v>
      </c>
      <c r="M193" s="86">
        <f>GDPdeflator!$C$38*INDEX(Costs!$E$7:$O$89,MATCH($C193,Costs!$C$7:$C$89,0),MATCH(M$7,Costs!$E$6:$O$6,0))</f>
        <v>25.660619702481856</v>
      </c>
      <c r="N193" s="86">
        <f>GDPdeflator!$C$38*INDEX(Costs!$E$7:$O$89,MATCH($C193,Costs!$C$7:$C$89,0),MATCH(N$7,Costs!$E$6:$O$6,0))</f>
        <v>25.660619702481856</v>
      </c>
      <c r="O193" s="86">
        <f>GDPdeflator!$C$38*INDEX(Costs!$E$7:$O$89,MATCH($C193,Costs!$C$7:$C$89,0),MATCH(O$7,Costs!$E$6:$O$6,0))</f>
        <v>25.660619702481856</v>
      </c>
      <c r="P193" s="87">
        <f t="shared" si="105"/>
        <v>2103.0241552983671</v>
      </c>
      <c r="Q193" s="87">
        <f t="shared" si="93"/>
        <v>2138.7983908348415</v>
      </c>
      <c r="R193" s="87">
        <f t="shared" si="94"/>
        <v>2066.5364088295814</v>
      </c>
      <c r="S193" s="87">
        <f t="shared" si="95"/>
        <v>2083.3613070253623</v>
      </c>
      <c r="T193" s="87">
        <f t="shared" si="96"/>
        <v>2139.6881401155847</v>
      </c>
      <c r="U193" s="87">
        <f t="shared" si="97"/>
        <v>2141.1511747413047</v>
      </c>
      <c r="V193" s="87">
        <f t="shared" si="98"/>
        <v>2141.8826920541651</v>
      </c>
      <c r="W193" s="87">
        <f t="shared" si="99"/>
        <v>2142.6142093670246</v>
      </c>
      <c r="X193" s="87">
        <f t="shared" si="100"/>
        <v>2142.6142093670246</v>
      </c>
      <c r="Y193" s="87">
        <f t="shared" si="101"/>
        <v>2142.6142093670246</v>
      </c>
      <c r="Z193" s="87">
        <f t="shared" si="102"/>
        <v>2142.6142093670246</v>
      </c>
      <c r="AA193" s="88">
        <v>450</v>
      </c>
      <c r="AB193" s="89">
        <f>AA193*GDPdeflator!$C$25/$AI$18*10^3</f>
        <v>43.267274341798768</v>
      </c>
      <c r="AC193" s="90" t="e">
        <f>INDEX(Efficiencies!$D$8:$M$89,MATCH(C193,Efficiencies!$C$8:$C$89),MATCH(D193,Efficiencies!$D$7:$M$7))</f>
        <v>#REF!</v>
      </c>
      <c r="AD193" s="90" t="e">
        <f t="shared" si="103"/>
        <v>#REF!</v>
      </c>
      <c r="AE193" s="90" t="e">
        <f>INDEX(Efficiencies!$P$8:$Y$89,MATCH(C193,Efficiencies!$C$8:$C$89),MATCH(D193,Efficiencies!$P$7:$Y$7))</f>
        <v>#REF!</v>
      </c>
      <c r="AF193" s="90" t="e">
        <f t="shared" si="106"/>
        <v>#REF!</v>
      </c>
      <c r="AG193" s="90">
        <v>0</v>
      </c>
    </row>
    <row r="194" spans="1:33" x14ac:dyDescent="0.2">
      <c r="A194" s="92" t="s">
        <v>1172</v>
      </c>
      <c r="B194" s="248" t="s">
        <v>1173</v>
      </c>
      <c r="C194" s="40" t="s">
        <v>1157</v>
      </c>
      <c r="D194" s="40">
        <v>2040</v>
      </c>
      <c r="E194" s="86">
        <f>GDPdeflator!$C$32*INDEX(Costs!$E$7:$O$89,MATCH($C194,Costs!$C$7:$C$89,0),MATCH(E$7,Costs!$E$6:$O$6,0))</f>
        <v>25.186476799380024</v>
      </c>
      <c r="F194" s="86">
        <f>GDPdeflator!$C$36*INDEX(Costs!$E$7:$O$89,MATCH($C194,Costs!$C$7:$C$89,0),MATCH(F$7,Costs!$E$6:$O$6,0))</f>
        <v>25.614920263086763</v>
      </c>
      <c r="G194" s="86">
        <f>GDPdeflator!$C$38*INDEX(Costs!$E$7:$O$89,MATCH($C194,Costs!$C$7:$C$89,0),MATCH(G$7,Costs!$E$6:$O$6,0))</f>
        <v>24.749488104988476</v>
      </c>
      <c r="H194" s="86">
        <f>GDPdeflator!$C$38*INDEX(Costs!$E$7:$O$89,MATCH($C194,Costs!$C$7:$C$89,0),MATCH(H$7,Costs!$E$6:$O$6,0))</f>
        <v>24.950988362126434</v>
      </c>
      <c r="I194" s="86">
        <f>GDPdeflator!$C$38*INDEX(Costs!$E$7:$O$89,MATCH($C194,Costs!$C$7:$C$89,0),MATCH(I$7,Costs!$E$6:$O$6,0))</f>
        <v>25.625576179501344</v>
      </c>
      <c r="J194" s="86">
        <f>GDPdeflator!$C$38*INDEX(Costs!$E$7:$O$89,MATCH($C194,Costs!$C$7:$C$89,0),MATCH(J$7,Costs!$E$6:$O$6,0))</f>
        <v>25.643097940991598</v>
      </c>
      <c r="K194" s="86">
        <f>GDPdeflator!$C$38*INDEX(Costs!$E$7:$O$89,MATCH($C194,Costs!$C$7:$C$89,0),MATCH(K$7,Costs!$E$6:$O$6,0))</f>
        <v>25.651858821736731</v>
      </c>
      <c r="L194" s="86">
        <f>GDPdeflator!$C$38*INDEX(Costs!$E$7:$O$89,MATCH($C194,Costs!$C$7:$C$89,0),MATCH(L$7,Costs!$E$6:$O$6,0))</f>
        <v>25.660619702481856</v>
      </c>
      <c r="M194" s="86">
        <f>GDPdeflator!$C$38*INDEX(Costs!$E$7:$O$89,MATCH($C194,Costs!$C$7:$C$89,0),MATCH(M$7,Costs!$E$6:$O$6,0))</f>
        <v>25.660619702481856</v>
      </c>
      <c r="N194" s="86">
        <f>GDPdeflator!$C$38*INDEX(Costs!$E$7:$O$89,MATCH($C194,Costs!$C$7:$C$89,0),MATCH(N$7,Costs!$E$6:$O$6,0))</f>
        <v>25.660619702481856</v>
      </c>
      <c r="O194" s="86">
        <f>GDPdeflator!$C$38*INDEX(Costs!$E$7:$O$89,MATCH($C194,Costs!$C$7:$C$89,0),MATCH(O$7,Costs!$E$6:$O$6,0))</f>
        <v>25.660619702481856</v>
      </c>
      <c r="P194" s="87">
        <f t="shared" si="105"/>
        <v>2103.0241552983671</v>
      </c>
      <c r="Q194" s="87">
        <f t="shared" si="93"/>
        <v>2138.7983908348415</v>
      </c>
      <c r="R194" s="87">
        <f t="shared" si="94"/>
        <v>2066.5364088295814</v>
      </c>
      <c r="S194" s="87">
        <f t="shared" si="95"/>
        <v>2083.3613070253623</v>
      </c>
      <c r="T194" s="87">
        <f t="shared" si="96"/>
        <v>2139.6881401155847</v>
      </c>
      <c r="U194" s="87">
        <f t="shared" si="97"/>
        <v>2141.1511747413047</v>
      </c>
      <c r="V194" s="87">
        <f t="shared" si="98"/>
        <v>2141.8826920541651</v>
      </c>
      <c r="W194" s="87">
        <f t="shared" si="99"/>
        <v>2142.6142093670246</v>
      </c>
      <c r="X194" s="87">
        <f t="shared" si="100"/>
        <v>2142.6142093670246</v>
      </c>
      <c r="Y194" s="87">
        <f t="shared" si="101"/>
        <v>2142.6142093670246</v>
      </c>
      <c r="Z194" s="87">
        <f t="shared" si="102"/>
        <v>2142.6142093670246</v>
      </c>
      <c r="AA194" s="88">
        <v>450</v>
      </c>
      <c r="AB194" s="89">
        <f>AA194*GDPdeflator!$C$25/$AI$18*10^3</f>
        <v>43.267274341798768</v>
      </c>
      <c r="AC194" s="90" t="e">
        <f>INDEX(Efficiencies!$D$8:$M$89,MATCH(C194,Efficiencies!$C$8:$C$89),MATCH(D194,Efficiencies!$D$7:$M$7))</f>
        <v>#REF!</v>
      </c>
      <c r="AD194" s="90" t="e">
        <f t="shared" si="103"/>
        <v>#REF!</v>
      </c>
      <c r="AE194" s="90" t="e">
        <f>INDEX(Efficiencies!$P$8:$Y$89,MATCH(C194,Efficiencies!$C$8:$C$89),MATCH(D194,Efficiencies!$P$7:$Y$7))</f>
        <v>#REF!</v>
      </c>
      <c r="AF194" s="90" t="e">
        <f t="shared" si="106"/>
        <v>#REF!</v>
      </c>
      <c r="AG194" s="90">
        <v>0</v>
      </c>
    </row>
    <row r="195" spans="1:33" x14ac:dyDescent="0.2">
      <c r="A195" s="92" t="s">
        <v>1174</v>
      </c>
      <c r="B195" s="248" t="s">
        <v>1175</v>
      </c>
      <c r="C195" s="40" t="s">
        <v>1157</v>
      </c>
      <c r="D195" s="40">
        <v>2045</v>
      </c>
      <c r="E195" s="86">
        <f>GDPdeflator!$C$32*INDEX(Costs!$E$7:$O$89,MATCH($C195,Costs!$C$7:$C$89,0),MATCH(E$7,Costs!$E$6:$O$6,0))</f>
        <v>25.186476799380024</v>
      </c>
      <c r="F195" s="86">
        <f>GDPdeflator!$C$36*INDEX(Costs!$E$7:$O$89,MATCH($C195,Costs!$C$7:$C$89,0),MATCH(F$7,Costs!$E$6:$O$6,0))</f>
        <v>25.614920263086763</v>
      </c>
      <c r="G195" s="86">
        <f>GDPdeflator!$C$38*INDEX(Costs!$E$7:$O$89,MATCH($C195,Costs!$C$7:$C$89,0),MATCH(G$7,Costs!$E$6:$O$6,0))</f>
        <v>24.749488104988476</v>
      </c>
      <c r="H195" s="86">
        <f>GDPdeflator!$C$38*INDEX(Costs!$E$7:$O$89,MATCH($C195,Costs!$C$7:$C$89,0),MATCH(H$7,Costs!$E$6:$O$6,0))</f>
        <v>24.950988362126434</v>
      </c>
      <c r="I195" s="86">
        <f>GDPdeflator!$C$38*INDEX(Costs!$E$7:$O$89,MATCH($C195,Costs!$C$7:$C$89,0),MATCH(I$7,Costs!$E$6:$O$6,0))</f>
        <v>25.625576179501344</v>
      </c>
      <c r="J195" s="86">
        <f>GDPdeflator!$C$38*INDEX(Costs!$E$7:$O$89,MATCH($C195,Costs!$C$7:$C$89,0),MATCH(J$7,Costs!$E$6:$O$6,0))</f>
        <v>25.643097940991598</v>
      </c>
      <c r="K195" s="86">
        <f>GDPdeflator!$C$38*INDEX(Costs!$E$7:$O$89,MATCH($C195,Costs!$C$7:$C$89,0),MATCH(K$7,Costs!$E$6:$O$6,0))</f>
        <v>25.651858821736731</v>
      </c>
      <c r="L195" s="86">
        <f>GDPdeflator!$C$38*INDEX(Costs!$E$7:$O$89,MATCH($C195,Costs!$C$7:$C$89,0),MATCH(L$7,Costs!$E$6:$O$6,0))</f>
        <v>25.660619702481856</v>
      </c>
      <c r="M195" s="86">
        <f>GDPdeflator!$C$38*INDEX(Costs!$E$7:$O$89,MATCH($C195,Costs!$C$7:$C$89,0),MATCH(M$7,Costs!$E$6:$O$6,0))</f>
        <v>25.660619702481856</v>
      </c>
      <c r="N195" s="86">
        <f>GDPdeflator!$C$38*INDEX(Costs!$E$7:$O$89,MATCH($C195,Costs!$C$7:$C$89,0),MATCH(N$7,Costs!$E$6:$O$6,0))</f>
        <v>25.660619702481856</v>
      </c>
      <c r="O195" s="86">
        <f>GDPdeflator!$C$38*INDEX(Costs!$E$7:$O$89,MATCH($C195,Costs!$C$7:$C$89,0),MATCH(O$7,Costs!$E$6:$O$6,0))</f>
        <v>25.660619702481856</v>
      </c>
      <c r="P195" s="87">
        <f t="shared" si="105"/>
        <v>2103.0241552983671</v>
      </c>
      <c r="Q195" s="87">
        <f t="shared" si="93"/>
        <v>2138.7983908348415</v>
      </c>
      <c r="R195" s="87">
        <f t="shared" si="94"/>
        <v>2066.5364088295814</v>
      </c>
      <c r="S195" s="87">
        <f t="shared" si="95"/>
        <v>2083.3613070253623</v>
      </c>
      <c r="T195" s="87">
        <f t="shared" si="96"/>
        <v>2139.6881401155847</v>
      </c>
      <c r="U195" s="87">
        <f t="shared" si="97"/>
        <v>2141.1511747413047</v>
      </c>
      <c r="V195" s="87">
        <f t="shared" si="98"/>
        <v>2141.8826920541651</v>
      </c>
      <c r="W195" s="87">
        <f t="shared" si="99"/>
        <v>2142.6142093670246</v>
      </c>
      <c r="X195" s="87">
        <f t="shared" si="100"/>
        <v>2142.6142093670246</v>
      </c>
      <c r="Y195" s="87">
        <f t="shared" si="101"/>
        <v>2142.6142093670246</v>
      </c>
      <c r="Z195" s="87">
        <f t="shared" si="102"/>
        <v>2142.6142093670246</v>
      </c>
      <c r="AA195" s="88">
        <v>450</v>
      </c>
      <c r="AB195" s="89">
        <f>AA195*GDPdeflator!$C$25/$AI$18*10^3</f>
        <v>43.267274341798768</v>
      </c>
      <c r="AC195" s="90" t="e">
        <f>INDEX(Efficiencies!$D$8:$M$89,MATCH(C195,Efficiencies!$C$8:$C$89),MATCH(D195,Efficiencies!$D$7:$M$7))</f>
        <v>#REF!</v>
      </c>
      <c r="AD195" s="90" t="e">
        <f t="shared" si="103"/>
        <v>#REF!</v>
      </c>
      <c r="AE195" s="90" t="e">
        <f>INDEX(Efficiencies!$P$8:$Y$89,MATCH(C195,Efficiencies!$C$8:$C$89),MATCH(D195,Efficiencies!$P$7:$Y$7))</f>
        <v>#REF!</v>
      </c>
      <c r="AF195" s="90" t="e">
        <f t="shared" si="106"/>
        <v>#REF!</v>
      </c>
      <c r="AG195" s="90">
        <v>0</v>
      </c>
    </row>
    <row r="196" spans="1:33" x14ac:dyDescent="0.2">
      <c r="A196" s="92" t="s">
        <v>1176</v>
      </c>
      <c r="B196" s="248" t="s">
        <v>1177</v>
      </c>
      <c r="C196" s="40" t="s">
        <v>1157</v>
      </c>
      <c r="D196" s="40">
        <v>2050</v>
      </c>
      <c r="E196" s="86">
        <f>GDPdeflator!$C$32*INDEX(Costs!$E$7:$O$89,MATCH($C196,Costs!$C$7:$C$89,0),MATCH(E$7,Costs!$E$6:$O$6,0))</f>
        <v>25.186476799380024</v>
      </c>
      <c r="F196" s="86">
        <f>GDPdeflator!$C$36*INDEX(Costs!$E$7:$O$89,MATCH($C196,Costs!$C$7:$C$89,0),MATCH(F$7,Costs!$E$6:$O$6,0))</f>
        <v>25.614920263086763</v>
      </c>
      <c r="G196" s="86">
        <f>GDPdeflator!$C$38*INDEX(Costs!$E$7:$O$89,MATCH($C196,Costs!$C$7:$C$89,0),MATCH(G$7,Costs!$E$6:$O$6,0))</f>
        <v>24.749488104988476</v>
      </c>
      <c r="H196" s="86">
        <f>GDPdeflator!$C$38*INDEX(Costs!$E$7:$O$89,MATCH($C196,Costs!$C$7:$C$89,0),MATCH(H$7,Costs!$E$6:$O$6,0))</f>
        <v>24.950988362126434</v>
      </c>
      <c r="I196" s="86">
        <f>GDPdeflator!$C$38*INDEX(Costs!$E$7:$O$89,MATCH($C196,Costs!$C$7:$C$89,0),MATCH(I$7,Costs!$E$6:$O$6,0))</f>
        <v>25.625576179501344</v>
      </c>
      <c r="J196" s="86">
        <f>GDPdeflator!$C$38*INDEX(Costs!$E$7:$O$89,MATCH($C196,Costs!$C$7:$C$89,0),MATCH(J$7,Costs!$E$6:$O$6,0))</f>
        <v>25.643097940991598</v>
      </c>
      <c r="K196" s="86">
        <f>GDPdeflator!$C$38*INDEX(Costs!$E$7:$O$89,MATCH($C196,Costs!$C$7:$C$89,0),MATCH(K$7,Costs!$E$6:$O$6,0))</f>
        <v>25.651858821736731</v>
      </c>
      <c r="L196" s="86">
        <f>GDPdeflator!$C$38*INDEX(Costs!$E$7:$O$89,MATCH($C196,Costs!$C$7:$C$89,0),MATCH(L$7,Costs!$E$6:$O$6,0))</f>
        <v>25.660619702481856</v>
      </c>
      <c r="M196" s="86">
        <f>GDPdeflator!$C$38*INDEX(Costs!$E$7:$O$89,MATCH($C196,Costs!$C$7:$C$89,0),MATCH(M$7,Costs!$E$6:$O$6,0))</f>
        <v>25.660619702481856</v>
      </c>
      <c r="N196" s="86">
        <f>GDPdeflator!$C$38*INDEX(Costs!$E$7:$O$89,MATCH($C196,Costs!$C$7:$C$89,0),MATCH(N$7,Costs!$E$6:$O$6,0))</f>
        <v>25.660619702481856</v>
      </c>
      <c r="O196" s="86">
        <f>GDPdeflator!$C$38*INDEX(Costs!$E$7:$O$89,MATCH($C196,Costs!$C$7:$C$89,0),MATCH(O$7,Costs!$E$6:$O$6,0))</f>
        <v>25.660619702481856</v>
      </c>
      <c r="P196" s="87">
        <f t="shared" si="105"/>
        <v>2103.0241552983671</v>
      </c>
      <c r="Q196" s="87">
        <f t="shared" si="93"/>
        <v>2138.7983908348415</v>
      </c>
      <c r="R196" s="87">
        <f t="shared" si="94"/>
        <v>2066.5364088295814</v>
      </c>
      <c r="S196" s="87">
        <f t="shared" si="95"/>
        <v>2083.3613070253623</v>
      </c>
      <c r="T196" s="87">
        <f t="shared" si="96"/>
        <v>2139.6881401155847</v>
      </c>
      <c r="U196" s="87">
        <f t="shared" si="97"/>
        <v>2141.1511747413047</v>
      </c>
      <c r="V196" s="87">
        <f t="shared" si="98"/>
        <v>2141.8826920541651</v>
      </c>
      <c r="W196" s="87">
        <f t="shared" si="99"/>
        <v>2142.6142093670246</v>
      </c>
      <c r="X196" s="87">
        <f t="shared" si="100"/>
        <v>2142.6142093670246</v>
      </c>
      <c r="Y196" s="87">
        <f t="shared" si="101"/>
        <v>2142.6142093670246</v>
      </c>
      <c r="Z196" s="87">
        <f t="shared" si="102"/>
        <v>2142.6142093670246</v>
      </c>
      <c r="AA196" s="88">
        <v>450</v>
      </c>
      <c r="AB196" s="89">
        <f>AA196*GDPdeflator!$C$25/$AI$18*10^3</f>
        <v>43.267274341798768</v>
      </c>
      <c r="AC196" s="90" t="e">
        <f>INDEX(Efficiencies!$D$8:$M$89,MATCH(C196,Efficiencies!$C$8:$C$89),MATCH(D196,Efficiencies!$D$7:$M$7))</f>
        <v>#REF!</v>
      </c>
      <c r="AD196" s="90" t="e">
        <f t="shared" si="103"/>
        <v>#REF!</v>
      </c>
      <c r="AE196" s="90" t="e">
        <f>INDEX(Efficiencies!$P$8:$Y$89,MATCH(C196,Efficiencies!$C$8:$C$89),MATCH(D196,Efficiencies!$P$7:$Y$7))</f>
        <v>#REF!</v>
      </c>
      <c r="AF196" s="90" t="e">
        <f t="shared" si="106"/>
        <v>#REF!</v>
      </c>
      <c r="AG196" s="90">
        <v>0</v>
      </c>
    </row>
    <row r="197" spans="1:33" x14ac:dyDescent="0.2">
      <c r="A197" s="92" t="s">
        <v>1178</v>
      </c>
      <c r="B197" s="248" t="s">
        <v>1179</v>
      </c>
      <c r="C197" s="40" t="s">
        <v>1180</v>
      </c>
      <c r="D197" s="40">
        <v>2010</v>
      </c>
      <c r="E197" s="86">
        <f>GDPdeflator!$C$32*INDEX(Costs!$E$7:$O$89,MATCH($C197,Costs!$C$7:$C$89,0),MATCH(E$7,Costs!$E$6:$O$6,0))</f>
        <v>0</v>
      </c>
      <c r="F197" s="86">
        <f>GDPdeflator!$C$36*INDEX(Costs!$E$7:$O$89,MATCH($C197,Costs!$C$7:$C$89,0),MATCH(F$7,Costs!$E$6:$O$6,0))</f>
        <v>0</v>
      </c>
      <c r="G197" s="86">
        <f>GDPdeflator!$C$38*INDEX(Costs!$E$7:$O$89,MATCH($C197,Costs!$C$7:$C$89,0),MATCH(G$7,Costs!$E$6:$O$6,0))</f>
        <v>34.86830536561208</v>
      </c>
      <c r="H197" s="86">
        <f>GDPdeflator!$C$38*INDEX(Costs!$E$7:$O$89,MATCH($C197,Costs!$C$7:$C$89,0),MATCH(H$7,Costs!$E$6:$O$6,0))</f>
        <v>32.765693986781201</v>
      </c>
      <c r="I197" s="86">
        <f>GDPdeflator!$C$38*INDEX(Costs!$E$7:$O$89,MATCH($C197,Costs!$C$7:$C$89,0),MATCH(I$7,Costs!$E$6:$O$6,0))</f>
        <v>31.451561875011905</v>
      </c>
      <c r="J197" s="86">
        <f>GDPdeflator!$C$38*INDEX(Costs!$E$7:$O$89,MATCH($C197,Costs!$C$7:$C$89,0),MATCH(J$7,Costs!$E$6:$O$6,0))</f>
        <v>30.400256185596469</v>
      </c>
      <c r="K197" s="86">
        <f>GDPdeflator!$C$38*INDEX(Costs!$E$7:$O$89,MATCH($C197,Costs!$C$7:$C$89,0),MATCH(K$7,Costs!$E$6:$O$6,0))</f>
        <v>29.786994533437458</v>
      </c>
      <c r="L197" s="86">
        <f>GDPdeflator!$C$38*INDEX(Costs!$E$7:$O$89,MATCH($C197,Costs!$C$7:$C$89,0),MATCH(L$7,Costs!$E$6:$O$6,0))</f>
        <v>29.786994533437458</v>
      </c>
      <c r="M197" s="86">
        <f>GDPdeflator!$C$38*INDEX(Costs!$E$7:$O$89,MATCH($C197,Costs!$C$7:$C$89,0),MATCH(M$7,Costs!$E$6:$O$6,0))</f>
        <v>29.786994533437458</v>
      </c>
      <c r="N197" s="86">
        <f>GDPdeflator!$C$38*INDEX(Costs!$E$7:$O$89,MATCH($C197,Costs!$C$7:$C$89,0),MATCH(N$7,Costs!$E$6:$O$6,0))</f>
        <v>29.786994533437458</v>
      </c>
      <c r="O197" s="86">
        <f>GDPdeflator!$C$38*INDEX(Costs!$E$7:$O$89,MATCH($C197,Costs!$C$7:$C$89,0),MATCH(O$7,Costs!$E$6:$O$6,0))</f>
        <v>29.786994533437458</v>
      </c>
      <c r="P197" s="87">
        <f>E197/$AI$18*10^6</f>
        <v>0</v>
      </c>
      <c r="Q197" s="87">
        <f t="shared" si="93"/>
        <v>0</v>
      </c>
      <c r="R197" s="87">
        <f t="shared" si="94"/>
        <v>2911.4389051829148</v>
      </c>
      <c r="S197" s="87">
        <f t="shared" si="95"/>
        <v>2735.8747500965083</v>
      </c>
      <c r="T197" s="87">
        <f t="shared" si="96"/>
        <v>2626.1471531675038</v>
      </c>
      <c r="U197" s="87">
        <f t="shared" si="97"/>
        <v>2538.365075624301</v>
      </c>
      <c r="V197" s="87">
        <f t="shared" si="98"/>
        <v>2487.1588637240984</v>
      </c>
      <c r="W197" s="87">
        <f t="shared" si="99"/>
        <v>2487.1588637240984</v>
      </c>
      <c r="X197" s="87">
        <f t="shared" si="100"/>
        <v>2487.1588637240984</v>
      </c>
      <c r="Y197" s="87">
        <f t="shared" si="101"/>
        <v>2487.1588637240984</v>
      </c>
      <c r="Z197" s="87">
        <f t="shared" si="102"/>
        <v>2487.1588637240984</v>
      </c>
      <c r="AA197" s="88">
        <v>450</v>
      </c>
      <c r="AB197" s="89">
        <f>AA197*GDPdeflator!$C$25/$AI$18*10^3</f>
        <v>43.267274341798768</v>
      </c>
      <c r="AC197" s="90">
        <f>INDEX(Efficiencies!$D$8:$M$89,MATCH(C197,Efficiencies!$C$8:$C$89),MATCH(D197,Efficiencies!$D$7:$M$7))</f>
        <v>0</v>
      </c>
      <c r="AD197" s="90">
        <f t="shared" si="103"/>
        <v>0</v>
      </c>
      <c r="AE197" s="90">
        <f>INDEX(Efficiencies!$P$8:$Y$89,MATCH(C197,Efficiencies!$C$8:$C$89),MATCH(D197,Efficiencies!$P$7:$Y$7))</f>
        <v>0</v>
      </c>
      <c r="AF197" s="90">
        <f t="shared" si="106"/>
        <v>0</v>
      </c>
      <c r="AG197" s="90">
        <v>0</v>
      </c>
    </row>
    <row r="198" spans="1:33" x14ac:dyDescent="0.2">
      <c r="A198" s="92" t="s">
        <v>1181</v>
      </c>
      <c r="B198" s="248" t="s">
        <v>1182</v>
      </c>
      <c r="C198" s="40" t="s">
        <v>1180</v>
      </c>
      <c r="D198" s="40">
        <v>2015</v>
      </c>
      <c r="E198" s="86">
        <f>GDPdeflator!$C$32*INDEX(Costs!$E$7:$O$89,MATCH($C198,Costs!$C$7:$C$89,0),MATCH(E$7,Costs!$E$6:$O$6,0))</f>
        <v>0</v>
      </c>
      <c r="F198" s="86">
        <f>GDPdeflator!$C$36*INDEX(Costs!$E$7:$O$89,MATCH($C198,Costs!$C$7:$C$89,0),MATCH(F$7,Costs!$E$6:$O$6,0))</f>
        <v>0</v>
      </c>
      <c r="G198" s="86">
        <f>GDPdeflator!$C$38*INDEX(Costs!$E$7:$O$89,MATCH($C198,Costs!$C$7:$C$89,0),MATCH(G$7,Costs!$E$6:$O$6,0))</f>
        <v>34.86830536561208</v>
      </c>
      <c r="H198" s="86">
        <f>GDPdeflator!$C$38*INDEX(Costs!$E$7:$O$89,MATCH($C198,Costs!$C$7:$C$89,0),MATCH(H$7,Costs!$E$6:$O$6,0))</f>
        <v>32.765693986781201</v>
      </c>
      <c r="I198" s="86">
        <f>GDPdeflator!$C$38*INDEX(Costs!$E$7:$O$89,MATCH($C198,Costs!$C$7:$C$89,0),MATCH(I$7,Costs!$E$6:$O$6,0))</f>
        <v>31.451561875011905</v>
      </c>
      <c r="J198" s="86">
        <f>GDPdeflator!$C$38*INDEX(Costs!$E$7:$O$89,MATCH($C198,Costs!$C$7:$C$89,0),MATCH(J$7,Costs!$E$6:$O$6,0))</f>
        <v>30.400256185596469</v>
      </c>
      <c r="K198" s="86">
        <f>GDPdeflator!$C$38*INDEX(Costs!$E$7:$O$89,MATCH($C198,Costs!$C$7:$C$89,0),MATCH(K$7,Costs!$E$6:$O$6,0))</f>
        <v>29.786994533437458</v>
      </c>
      <c r="L198" s="86">
        <f>GDPdeflator!$C$38*INDEX(Costs!$E$7:$O$89,MATCH($C198,Costs!$C$7:$C$89,0),MATCH(L$7,Costs!$E$6:$O$6,0))</f>
        <v>29.786994533437458</v>
      </c>
      <c r="M198" s="86">
        <f>GDPdeflator!$C$38*INDEX(Costs!$E$7:$O$89,MATCH($C198,Costs!$C$7:$C$89,0),MATCH(M$7,Costs!$E$6:$O$6,0))</f>
        <v>29.786994533437458</v>
      </c>
      <c r="N198" s="86">
        <f>GDPdeflator!$C$38*INDEX(Costs!$E$7:$O$89,MATCH($C198,Costs!$C$7:$C$89,0),MATCH(N$7,Costs!$E$6:$O$6,0))</f>
        <v>29.786994533437458</v>
      </c>
      <c r="O198" s="86">
        <f>GDPdeflator!$C$38*INDEX(Costs!$E$7:$O$89,MATCH($C198,Costs!$C$7:$C$89,0),MATCH(O$7,Costs!$E$6:$O$6,0))</f>
        <v>29.786994533437458</v>
      </c>
      <c r="P198" s="87">
        <f t="shared" ref="P198:P205" si="107">E198/$AI$18*10^6</f>
        <v>0</v>
      </c>
      <c r="Q198" s="87">
        <f t="shared" ref="Q198:Q224" si="108">F198/$AI$18*10^6</f>
        <v>0</v>
      </c>
      <c r="R198" s="87">
        <f t="shared" ref="R198:R224" si="109">G198/$AI$18*10^6</f>
        <v>2911.4389051829148</v>
      </c>
      <c r="S198" s="87">
        <f t="shared" ref="S198:S224" si="110">H198/$AI$18*10^6</f>
        <v>2735.8747500965083</v>
      </c>
      <c r="T198" s="87">
        <f t="shared" ref="T198:T224" si="111">I198/$AI$18*10^6</f>
        <v>2626.1471531675038</v>
      </c>
      <c r="U198" s="87">
        <f t="shared" ref="U198:U224" si="112">J198/$AI$18*10^6</f>
        <v>2538.365075624301</v>
      </c>
      <c r="V198" s="87">
        <f t="shared" ref="V198:V224" si="113">K198/$AI$18*10^6</f>
        <v>2487.1588637240984</v>
      </c>
      <c r="W198" s="87">
        <f t="shared" ref="W198:W224" si="114">L198/$AI$18*10^6</f>
        <v>2487.1588637240984</v>
      </c>
      <c r="X198" s="87">
        <f t="shared" ref="X198:X224" si="115">M198/$AI$18*10^6</f>
        <v>2487.1588637240984</v>
      </c>
      <c r="Y198" s="87">
        <f t="shared" ref="Y198:Y224" si="116">N198/$AI$18*10^6</f>
        <v>2487.1588637240984</v>
      </c>
      <c r="Z198" s="87">
        <f t="shared" ref="Z198:Z224" si="117">O198/$AI$18*10^6</f>
        <v>2487.1588637240984</v>
      </c>
      <c r="AA198" s="88">
        <v>450</v>
      </c>
      <c r="AB198" s="89">
        <f>AA198*GDPdeflator!$C$25/$AI$18*10^3</f>
        <v>43.267274341798768</v>
      </c>
      <c r="AC198" s="90">
        <f>INDEX(Efficiencies!$D$8:$M$89,MATCH(C198,Efficiencies!$C$8:$C$89),MATCH(D198,Efficiencies!$D$7:$M$7))</f>
        <v>0</v>
      </c>
      <c r="AD198" s="90">
        <f t="shared" si="103"/>
        <v>0</v>
      </c>
      <c r="AE198" s="90">
        <f>INDEX(Efficiencies!$P$8:$Y$89,MATCH(C198,Efficiencies!$C$8:$C$89),MATCH(D198,Efficiencies!$P$7:$Y$7))</f>
        <v>0</v>
      </c>
      <c r="AF198" s="90">
        <f t="shared" si="106"/>
        <v>0</v>
      </c>
      <c r="AG198" s="90">
        <v>0</v>
      </c>
    </row>
    <row r="199" spans="1:33" x14ac:dyDescent="0.2">
      <c r="A199" s="92" t="s">
        <v>1183</v>
      </c>
      <c r="B199" s="248" t="s">
        <v>1184</v>
      </c>
      <c r="C199" s="40" t="s">
        <v>1180</v>
      </c>
      <c r="D199" s="40">
        <v>2020</v>
      </c>
      <c r="E199" s="86">
        <f>GDPdeflator!$C$32*INDEX(Costs!$E$7:$O$89,MATCH($C199,Costs!$C$7:$C$89,0),MATCH(E$7,Costs!$E$6:$O$6,0))</f>
        <v>0</v>
      </c>
      <c r="F199" s="86">
        <f>GDPdeflator!$C$36*INDEX(Costs!$E$7:$O$89,MATCH($C199,Costs!$C$7:$C$89,0),MATCH(F$7,Costs!$E$6:$O$6,0))</f>
        <v>0</v>
      </c>
      <c r="G199" s="86">
        <f>GDPdeflator!$C$38*INDEX(Costs!$E$7:$O$89,MATCH($C199,Costs!$C$7:$C$89,0),MATCH(G$7,Costs!$E$6:$O$6,0))</f>
        <v>34.86830536561208</v>
      </c>
      <c r="H199" s="86">
        <f>GDPdeflator!$C$38*INDEX(Costs!$E$7:$O$89,MATCH($C199,Costs!$C$7:$C$89,0),MATCH(H$7,Costs!$E$6:$O$6,0))</f>
        <v>32.765693986781201</v>
      </c>
      <c r="I199" s="86">
        <f>GDPdeflator!$C$38*INDEX(Costs!$E$7:$O$89,MATCH($C199,Costs!$C$7:$C$89,0),MATCH(I$7,Costs!$E$6:$O$6,0))</f>
        <v>31.451561875011905</v>
      </c>
      <c r="J199" s="86">
        <f>GDPdeflator!$C$38*INDEX(Costs!$E$7:$O$89,MATCH($C199,Costs!$C$7:$C$89,0),MATCH(J$7,Costs!$E$6:$O$6,0))</f>
        <v>30.400256185596469</v>
      </c>
      <c r="K199" s="86">
        <f>GDPdeflator!$C$38*INDEX(Costs!$E$7:$O$89,MATCH($C199,Costs!$C$7:$C$89,0),MATCH(K$7,Costs!$E$6:$O$6,0))</f>
        <v>29.786994533437458</v>
      </c>
      <c r="L199" s="86">
        <f>GDPdeflator!$C$38*INDEX(Costs!$E$7:$O$89,MATCH($C199,Costs!$C$7:$C$89,0),MATCH(L$7,Costs!$E$6:$O$6,0))</f>
        <v>29.786994533437458</v>
      </c>
      <c r="M199" s="86">
        <f>GDPdeflator!$C$38*INDEX(Costs!$E$7:$O$89,MATCH($C199,Costs!$C$7:$C$89,0),MATCH(M$7,Costs!$E$6:$O$6,0))</f>
        <v>29.786994533437458</v>
      </c>
      <c r="N199" s="86">
        <f>GDPdeflator!$C$38*INDEX(Costs!$E$7:$O$89,MATCH($C199,Costs!$C$7:$C$89,0),MATCH(N$7,Costs!$E$6:$O$6,0))</f>
        <v>29.786994533437458</v>
      </c>
      <c r="O199" s="86">
        <f>GDPdeflator!$C$38*INDEX(Costs!$E$7:$O$89,MATCH($C199,Costs!$C$7:$C$89,0),MATCH(O$7,Costs!$E$6:$O$6,0))</f>
        <v>29.786994533437458</v>
      </c>
      <c r="P199" s="87">
        <f t="shared" si="107"/>
        <v>0</v>
      </c>
      <c r="Q199" s="87">
        <f t="shared" si="108"/>
        <v>0</v>
      </c>
      <c r="R199" s="87">
        <f t="shared" si="109"/>
        <v>2911.4389051829148</v>
      </c>
      <c r="S199" s="87">
        <f t="shared" si="110"/>
        <v>2735.8747500965083</v>
      </c>
      <c r="T199" s="87">
        <f t="shared" si="111"/>
        <v>2626.1471531675038</v>
      </c>
      <c r="U199" s="87">
        <f t="shared" si="112"/>
        <v>2538.365075624301</v>
      </c>
      <c r="V199" s="87">
        <f t="shared" si="113"/>
        <v>2487.1588637240984</v>
      </c>
      <c r="W199" s="87">
        <f t="shared" si="114"/>
        <v>2487.1588637240984</v>
      </c>
      <c r="X199" s="87">
        <f t="shared" si="115"/>
        <v>2487.1588637240984</v>
      </c>
      <c r="Y199" s="87">
        <f t="shared" si="116"/>
        <v>2487.1588637240984</v>
      </c>
      <c r="Z199" s="87">
        <f t="shared" si="117"/>
        <v>2487.1588637240984</v>
      </c>
      <c r="AA199" s="88">
        <v>450</v>
      </c>
      <c r="AB199" s="89">
        <f>AA199*GDPdeflator!$C$25/$AI$18*10^3</f>
        <v>43.267274341798768</v>
      </c>
      <c r="AC199" s="90">
        <f>INDEX(Efficiencies!$D$8:$M$89,MATCH(C199,Efficiencies!$C$8:$C$89),MATCH(D199,Efficiencies!$D$7:$M$7))</f>
        <v>0</v>
      </c>
      <c r="AD199" s="90">
        <f t="shared" si="103"/>
        <v>0</v>
      </c>
      <c r="AE199" s="90">
        <f>INDEX(Efficiencies!$P$8:$Y$89,MATCH(C199,Efficiencies!$C$8:$C$89),MATCH(D199,Efficiencies!$P$7:$Y$7))</f>
        <v>0</v>
      </c>
      <c r="AF199" s="90">
        <f t="shared" si="106"/>
        <v>0</v>
      </c>
      <c r="AG199" s="90">
        <v>0</v>
      </c>
    </row>
    <row r="200" spans="1:33" x14ac:dyDescent="0.2">
      <c r="A200" s="92" t="s">
        <v>1185</v>
      </c>
      <c r="B200" s="248" t="s">
        <v>1186</v>
      </c>
      <c r="C200" s="40" t="s">
        <v>1180</v>
      </c>
      <c r="D200" s="40">
        <v>2025</v>
      </c>
      <c r="E200" s="86">
        <f>GDPdeflator!$C$32*INDEX(Costs!$E$7:$O$89,MATCH($C200,Costs!$C$7:$C$89,0),MATCH(E$7,Costs!$E$6:$O$6,0))</f>
        <v>0</v>
      </c>
      <c r="F200" s="86">
        <f>GDPdeflator!$C$36*INDEX(Costs!$E$7:$O$89,MATCH($C200,Costs!$C$7:$C$89,0),MATCH(F$7,Costs!$E$6:$O$6,0))</f>
        <v>0</v>
      </c>
      <c r="G200" s="86">
        <f>GDPdeflator!$C$38*INDEX(Costs!$E$7:$O$89,MATCH($C200,Costs!$C$7:$C$89,0),MATCH(G$7,Costs!$E$6:$O$6,0))</f>
        <v>34.86830536561208</v>
      </c>
      <c r="H200" s="86">
        <f>GDPdeflator!$C$38*INDEX(Costs!$E$7:$O$89,MATCH($C200,Costs!$C$7:$C$89,0),MATCH(H$7,Costs!$E$6:$O$6,0))</f>
        <v>32.765693986781201</v>
      </c>
      <c r="I200" s="86">
        <f>GDPdeflator!$C$38*INDEX(Costs!$E$7:$O$89,MATCH($C200,Costs!$C$7:$C$89,0),MATCH(I$7,Costs!$E$6:$O$6,0))</f>
        <v>31.451561875011905</v>
      </c>
      <c r="J200" s="86">
        <f>GDPdeflator!$C$38*INDEX(Costs!$E$7:$O$89,MATCH($C200,Costs!$C$7:$C$89,0),MATCH(J$7,Costs!$E$6:$O$6,0))</f>
        <v>30.400256185596469</v>
      </c>
      <c r="K200" s="86">
        <f>GDPdeflator!$C$38*INDEX(Costs!$E$7:$O$89,MATCH($C200,Costs!$C$7:$C$89,0),MATCH(K$7,Costs!$E$6:$O$6,0))</f>
        <v>29.786994533437458</v>
      </c>
      <c r="L200" s="86">
        <f>GDPdeflator!$C$38*INDEX(Costs!$E$7:$O$89,MATCH($C200,Costs!$C$7:$C$89,0),MATCH(L$7,Costs!$E$6:$O$6,0))</f>
        <v>29.786994533437458</v>
      </c>
      <c r="M200" s="86">
        <f>GDPdeflator!$C$38*INDEX(Costs!$E$7:$O$89,MATCH($C200,Costs!$C$7:$C$89,0),MATCH(M$7,Costs!$E$6:$O$6,0))</f>
        <v>29.786994533437458</v>
      </c>
      <c r="N200" s="86">
        <f>GDPdeflator!$C$38*INDEX(Costs!$E$7:$O$89,MATCH($C200,Costs!$C$7:$C$89,0),MATCH(N$7,Costs!$E$6:$O$6,0))</f>
        <v>29.786994533437458</v>
      </c>
      <c r="O200" s="86">
        <f>GDPdeflator!$C$38*INDEX(Costs!$E$7:$O$89,MATCH($C200,Costs!$C$7:$C$89,0),MATCH(O$7,Costs!$E$6:$O$6,0))</f>
        <v>29.786994533437458</v>
      </c>
      <c r="P200" s="87">
        <f t="shared" si="107"/>
        <v>0</v>
      </c>
      <c r="Q200" s="87">
        <f t="shared" si="108"/>
        <v>0</v>
      </c>
      <c r="R200" s="87">
        <f t="shared" si="109"/>
        <v>2911.4389051829148</v>
      </c>
      <c r="S200" s="87">
        <f t="shared" si="110"/>
        <v>2735.8747500965083</v>
      </c>
      <c r="T200" s="87">
        <f t="shared" si="111"/>
        <v>2626.1471531675038</v>
      </c>
      <c r="U200" s="87">
        <f t="shared" si="112"/>
        <v>2538.365075624301</v>
      </c>
      <c r="V200" s="87">
        <f t="shared" si="113"/>
        <v>2487.1588637240984</v>
      </c>
      <c r="W200" s="87">
        <f t="shared" si="114"/>
        <v>2487.1588637240984</v>
      </c>
      <c r="X200" s="87">
        <f t="shared" si="115"/>
        <v>2487.1588637240984</v>
      </c>
      <c r="Y200" s="87">
        <f t="shared" si="116"/>
        <v>2487.1588637240984</v>
      </c>
      <c r="Z200" s="87">
        <f t="shared" si="117"/>
        <v>2487.1588637240984</v>
      </c>
      <c r="AA200" s="88">
        <v>450</v>
      </c>
      <c r="AB200" s="89">
        <f>AA200*GDPdeflator!$C$25/$AI$18*10^3</f>
        <v>43.267274341798768</v>
      </c>
      <c r="AC200" s="90">
        <f>INDEX(Efficiencies!$D$8:$M$89,MATCH(C200,Efficiencies!$C$8:$C$89),MATCH(D200,Efficiencies!$D$7:$M$7))</f>
        <v>0</v>
      </c>
      <c r="AD200" s="90">
        <f t="shared" si="103"/>
        <v>0</v>
      </c>
      <c r="AE200" s="90">
        <f>INDEX(Efficiencies!$P$8:$Y$89,MATCH(C200,Efficiencies!$C$8:$C$89),MATCH(D200,Efficiencies!$P$7:$Y$7))</f>
        <v>0</v>
      </c>
      <c r="AF200" s="90">
        <f t="shared" si="106"/>
        <v>0</v>
      </c>
      <c r="AG200" s="90">
        <v>0</v>
      </c>
    </row>
    <row r="201" spans="1:33" x14ac:dyDescent="0.2">
      <c r="A201" s="92" t="s">
        <v>1187</v>
      </c>
      <c r="B201" s="248" t="s">
        <v>1188</v>
      </c>
      <c r="C201" s="40" t="s">
        <v>1180</v>
      </c>
      <c r="D201" s="40">
        <v>2030</v>
      </c>
      <c r="E201" s="86">
        <f>GDPdeflator!$C$32*INDEX(Costs!$E$7:$O$89,MATCH($C201,Costs!$C$7:$C$89,0),MATCH(E$7,Costs!$E$6:$O$6,0))</f>
        <v>0</v>
      </c>
      <c r="F201" s="86">
        <f>GDPdeflator!$C$36*INDEX(Costs!$E$7:$O$89,MATCH($C201,Costs!$C$7:$C$89,0),MATCH(F$7,Costs!$E$6:$O$6,0))</f>
        <v>0</v>
      </c>
      <c r="G201" s="86">
        <f>GDPdeflator!$C$38*INDEX(Costs!$E$7:$O$89,MATCH($C201,Costs!$C$7:$C$89,0),MATCH(G$7,Costs!$E$6:$O$6,0))</f>
        <v>34.86830536561208</v>
      </c>
      <c r="H201" s="86">
        <f>GDPdeflator!$C$38*INDEX(Costs!$E$7:$O$89,MATCH($C201,Costs!$C$7:$C$89,0),MATCH(H$7,Costs!$E$6:$O$6,0))</f>
        <v>32.765693986781201</v>
      </c>
      <c r="I201" s="86">
        <f>GDPdeflator!$C$38*INDEX(Costs!$E$7:$O$89,MATCH($C201,Costs!$C$7:$C$89,0),MATCH(I$7,Costs!$E$6:$O$6,0))</f>
        <v>31.451561875011905</v>
      </c>
      <c r="J201" s="86">
        <f>GDPdeflator!$C$38*INDEX(Costs!$E$7:$O$89,MATCH($C201,Costs!$C$7:$C$89,0),MATCH(J$7,Costs!$E$6:$O$6,0))</f>
        <v>30.400256185596469</v>
      </c>
      <c r="K201" s="86">
        <f>GDPdeflator!$C$38*INDEX(Costs!$E$7:$O$89,MATCH($C201,Costs!$C$7:$C$89,0),MATCH(K$7,Costs!$E$6:$O$6,0))</f>
        <v>29.786994533437458</v>
      </c>
      <c r="L201" s="86">
        <f>GDPdeflator!$C$38*INDEX(Costs!$E$7:$O$89,MATCH($C201,Costs!$C$7:$C$89,0),MATCH(L$7,Costs!$E$6:$O$6,0))</f>
        <v>29.786994533437458</v>
      </c>
      <c r="M201" s="86">
        <f>GDPdeflator!$C$38*INDEX(Costs!$E$7:$O$89,MATCH($C201,Costs!$C$7:$C$89,0),MATCH(M$7,Costs!$E$6:$O$6,0))</f>
        <v>29.786994533437458</v>
      </c>
      <c r="N201" s="86">
        <f>GDPdeflator!$C$38*INDEX(Costs!$E$7:$O$89,MATCH($C201,Costs!$C$7:$C$89,0),MATCH(N$7,Costs!$E$6:$O$6,0))</f>
        <v>29.786994533437458</v>
      </c>
      <c r="O201" s="86">
        <f>GDPdeflator!$C$38*INDEX(Costs!$E$7:$O$89,MATCH($C201,Costs!$C$7:$C$89,0),MATCH(O$7,Costs!$E$6:$O$6,0))</f>
        <v>29.786994533437458</v>
      </c>
      <c r="P201" s="87">
        <f t="shared" si="107"/>
        <v>0</v>
      </c>
      <c r="Q201" s="87">
        <f t="shared" si="108"/>
        <v>0</v>
      </c>
      <c r="R201" s="87">
        <f t="shared" si="109"/>
        <v>2911.4389051829148</v>
      </c>
      <c r="S201" s="87">
        <f t="shared" si="110"/>
        <v>2735.8747500965083</v>
      </c>
      <c r="T201" s="87">
        <f t="shared" si="111"/>
        <v>2626.1471531675038</v>
      </c>
      <c r="U201" s="87">
        <f t="shared" si="112"/>
        <v>2538.365075624301</v>
      </c>
      <c r="V201" s="87">
        <f t="shared" si="113"/>
        <v>2487.1588637240984</v>
      </c>
      <c r="W201" s="87">
        <f t="shared" si="114"/>
        <v>2487.1588637240984</v>
      </c>
      <c r="X201" s="87">
        <f t="shared" si="115"/>
        <v>2487.1588637240984</v>
      </c>
      <c r="Y201" s="87">
        <f t="shared" si="116"/>
        <v>2487.1588637240984</v>
      </c>
      <c r="Z201" s="87">
        <f t="shared" si="117"/>
        <v>2487.1588637240984</v>
      </c>
      <c r="AA201" s="88">
        <v>450</v>
      </c>
      <c r="AB201" s="89">
        <f>AA201*GDPdeflator!$C$25/$AI$18*10^3</f>
        <v>43.267274341798768</v>
      </c>
      <c r="AC201" s="90">
        <f>INDEX(Efficiencies!$D$8:$M$89,MATCH(C201,Efficiencies!$C$8:$C$89),MATCH(D201,Efficiencies!$D$7:$M$7))</f>
        <v>0</v>
      </c>
      <c r="AD201" s="90">
        <f t="shared" si="103"/>
        <v>0</v>
      </c>
      <c r="AE201" s="90">
        <f>INDEX(Efficiencies!$P$8:$Y$89,MATCH(C201,Efficiencies!$C$8:$C$89),MATCH(D201,Efficiencies!$P$7:$Y$7))</f>
        <v>0</v>
      </c>
      <c r="AF201" s="90">
        <f t="shared" si="106"/>
        <v>0</v>
      </c>
      <c r="AG201" s="90">
        <v>0</v>
      </c>
    </row>
    <row r="202" spans="1:33" x14ac:dyDescent="0.2">
      <c r="A202" s="92" t="s">
        <v>1189</v>
      </c>
      <c r="B202" s="248" t="s">
        <v>1190</v>
      </c>
      <c r="C202" s="40" t="s">
        <v>1180</v>
      </c>
      <c r="D202" s="40">
        <v>2035</v>
      </c>
      <c r="E202" s="86">
        <f>GDPdeflator!$C$32*INDEX(Costs!$E$7:$O$89,MATCH($C202,Costs!$C$7:$C$89,0),MATCH(E$7,Costs!$E$6:$O$6,0))</f>
        <v>0</v>
      </c>
      <c r="F202" s="86">
        <f>GDPdeflator!$C$36*INDEX(Costs!$E$7:$O$89,MATCH($C202,Costs!$C$7:$C$89,0),MATCH(F$7,Costs!$E$6:$O$6,0))</f>
        <v>0</v>
      </c>
      <c r="G202" s="86">
        <f>GDPdeflator!$C$38*INDEX(Costs!$E$7:$O$89,MATCH($C202,Costs!$C$7:$C$89,0),MATCH(G$7,Costs!$E$6:$O$6,0))</f>
        <v>34.86830536561208</v>
      </c>
      <c r="H202" s="86">
        <f>GDPdeflator!$C$38*INDEX(Costs!$E$7:$O$89,MATCH($C202,Costs!$C$7:$C$89,0),MATCH(H$7,Costs!$E$6:$O$6,0))</f>
        <v>32.765693986781201</v>
      </c>
      <c r="I202" s="86">
        <f>GDPdeflator!$C$38*INDEX(Costs!$E$7:$O$89,MATCH($C202,Costs!$C$7:$C$89,0),MATCH(I$7,Costs!$E$6:$O$6,0))</f>
        <v>31.451561875011905</v>
      </c>
      <c r="J202" s="86">
        <f>GDPdeflator!$C$38*INDEX(Costs!$E$7:$O$89,MATCH($C202,Costs!$C$7:$C$89,0),MATCH(J$7,Costs!$E$6:$O$6,0))</f>
        <v>30.400256185596469</v>
      </c>
      <c r="K202" s="86">
        <f>GDPdeflator!$C$38*INDEX(Costs!$E$7:$O$89,MATCH($C202,Costs!$C$7:$C$89,0),MATCH(K$7,Costs!$E$6:$O$6,0))</f>
        <v>29.786994533437458</v>
      </c>
      <c r="L202" s="86">
        <f>GDPdeflator!$C$38*INDEX(Costs!$E$7:$O$89,MATCH($C202,Costs!$C$7:$C$89,0),MATCH(L$7,Costs!$E$6:$O$6,0))</f>
        <v>29.786994533437458</v>
      </c>
      <c r="M202" s="86">
        <f>GDPdeflator!$C$38*INDEX(Costs!$E$7:$O$89,MATCH($C202,Costs!$C$7:$C$89,0),MATCH(M$7,Costs!$E$6:$O$6,0))</f>
        <v>29.786994533437458</v>
      </c>
      <c r="N202" s="86">
        <f>GDPdeflator!$C$38*INDEX(Costs!$E$7:$O$89,MATCH($C202,Costs!$C$7:$C$89,0),MATCH(N$7,Costs!$E$6:$O$6,0))</f>
        <v>29.786994533437458</v>
      </c>
      <c r="O202" s="86">
        <f>GDPdeflator!$C$38*INDEX(Costs!$E$7:$O$89,MATCH($C202,Costs!$C$7:$C$89,0),MATCH(O$7,Costs!$E$6:$O$6,0))</f>
        <v>29.786994533437458</v>
      </c>
      <c r="P202" s="87">
        <f t="shared" si="107"/>
        <v>0</v>
      </c>
      <c r="Q202" s="87">
        <f t="shared" si="108"/>
        <v>0</v>
      </c>
      <c r="R202" s="87">
        <f t="shared" si="109"/>
        <v>2911.4389051829148</v>
      </c>
      <c r="S202" s="87">
        <f t="shared" si="110"/>
        <v>2735.8747500965083</v>
      </c>
      <c r="T202" s="87">
        <f t="shared" si="111"/>
        <v>2626.1471531675038</v>
      </c>
      <c r="U202" s="87">
        <f t="shared" si="112"/>
        <v>2538.365075624301</v>
      </c>
      <c r="V202" s="87">
        <f t="shared" si="113"/>
        <v>2487.1588637240984</v>
      </c>
      <c r="W202" s="87">
        <f t="shared" si="114"/>
        <v>2487.1588637240984</v>
      </c>
      <c r="X202" s="87">
        <f t="shared" si="115"/>
        <v>2487.1588637240984</v>
      </c>
      <c r="Y202" s="87">
        <f t="shared" si="116"/>
        <v>2487.1588637240984</v>
      </c>
      <c r="Z202" s="87">
        <f t="shared" si="117"/>
        <v>2487.1588637240984</v>
      </c>
      <c r="AA202" s="88">
        <v>450</v>
      </c>
      <c r="AB202" s="89">
        <f>AA202*GDPdeflator!$C$25/$AI$18*10^3</f>
        <v>43.267274341798768</v>
      </c>
      <c r="AC202" s="90">
        <f>INDEX(Efficiencies!$D$8:$M$89,MATCH(C202,Efficiencies!$C$8:$C$89),MATCH(D202,Efficiencies!$D$7:$M$7))</f>
        <v>0</v>
      </c>
      <c r="AD202" s="90">
        <f t="shared" si="103"/>
        <v>0</v>
      </c>
      <c r="AE202" s="90">
        <f>INDEX(Efficiencies!$P$8:$Y$89,MATCH(C202,Efficiencies!$C$8:$C$89),MATCH(D202,Efficiencies!$P$7:$Y$7))</f>
        <v>0</v>
      </c>
      <c r="AF202" s="90">
        <f t="shared" si="106"/>
        <v>0</v>
      </c>
      <c r="AG202" s="90">
        <v>0</v>
      </c>
    </row>
    <row r="203" spans="1:33" x14ac:dyDescent="0.2">
      <c r="A203" s="92" t="s">
        <v>1191</v>
      </c>
      <c r="B203" s="248" t="s">
        <v>1192</v>
      </c>
      <c r="C203" s="40" t="s">
        <v>1180</v>
      </c>
      <c r="D203" s="40">
        <v>2040</v>
      </c>
      <c r="E203" s="86">
        <f>GDPdeflator!$C$32*INDEX(Costs!$E$7:$O$89,MATCH($C203,Costs!$C$7:$C$89,0),MATCH(E$7,Costs!$E$6:$O$6,0))</f>
        <v>0</v>
      </c>
      <c r="F203" s="86">
        <f>GDPdeflator!$C$36*INDEX(Costs!$E$7:$O$89,MATCH($C203,Costs!$C$7:$C$89,0),MATCH(F$7,Costs!$E$6:$O$6,0))</f>
        <v>0</v>
      </c>
      <c r="G203" s="86">
        <f>GDPdeflator!$C$38*INDEX(Costs!$E$7:$O$89,MATCH($C203,Costs!$C$7:$C$89,0),MATCH(G$7,Costs!$E$6:$O$6,0))</f>
        <v>34.86830536561208</v>
      </c>
      <c r="H203" s="86">
        <f>GDPdeflator!$C$38*INDEX(Costs!$E$7:$O$89,MATCH($C203,Costs!$C$7:$C$89,0),MATCH(H$7,Costs!$E$6:$O$6,0))</f>
        <v>32.765693986781201</v>
      </c>
      <c r="I203" s="86">
        <f>GDPdeflator!$C$38*INDEX(Costs!$E$7:$O$89,MATCH($C203,Costs!$C$7:$C$89,0),MATCH(I$7,Costs!$E$6:$O$6,0))</f>
        <v>31.451561875011905</v>
      </c>
      <c r="J203" s="86">
        <f>GDPdeflator!$C$38*INDEX(Costs!$E$7:$O$89,MATCH($C203,Costs!$C$7:$C$89,0),MATCH(J$7,Costs!$E$6:$O$6,0))</f>
        <v>30.400256185596469</v>
      </c>
      <c r="K203" s="86">
        <f>GDPdeflator!$C$38*INDEX(Costs!$E$7:$O$89,MATCH($C203,Costs!$C$7:$C$89,0),MATCH(K$7,Costs!$E$6:$O$6,0))</f>
        <v>29.786994533437458</v>
      </c>
      <c r="L203" s="86">
        <f>GDPdeflator!$C$38*INDEX(Costs!$E$7:$O$89,MATCH($C203,Costs!$C$7:$C$89,0),MATCH(L$7,Costs!$E$6:$O$6,0))</f>
        <v>29.786994533437458</v>
      </c>
      <c r="M203" s="86">
        <f>GDPdeflator!$C$38*INDEX(Costs!$E$7:$O$89,MATCH($C203,Costs!$C$7:$C$89,0),MATCH(M$7,Costs!$E$6:$O$6,0))</f>
        <v>29.786994533437458</v>
      </c>
      <c r="N203" s="86">
        <f>GDPdeflator!$C$38*INDEX(Costs!$E$7:$O$89,MATCH($C203,Costs!$C$7:$C$89,0),MATCH(N$7,Costs!$E$6:$O$6,0))</f>
        <v>29.786994533437458</v>
      </c>
      <c r="O203" s="86">
        <f>GDPdeflator!$C$38*INDEX(Costs!$E$7:$O$89,MATCH($C203,Costs!$C$7:$C$89,0),MATCH(O$7,Costs!$E$6:$O$6,0))</f>
        <v>29.786994533437458</v>
      </c>
      <c r="P203" s="87">
        <f t="shared" si="107"/>
        <v>0</v>
      </c>
      <c r="Q203" s="87">
        <f t="shared" si="108"/>
        <v>0</v>
      </c>
      <c r="R203" s="87">
        <f t="shared" si="109"/>
        <v>2911.4389051829148</v>
      </c>
      <c r="S203" s="87">
        <f t="shared" si="110"/>
        <v>2735.8747500965083</v>
      </c>
      <c r="T203" s="87">
        <f t="shared" si="111"/>
        <v>2626.1471531675038</v>
      </c>
      <c r="U203" s="87">
        <f t="shared" si="112"/>
        <v>2538.365075624301</v>
      </c>
      <c r="V203" s="87">
        <f t="shared" si="113"/>
        <v>2487.1588637240984</v>
      </c>
      <c r="W203" s="87">
        <f t="shared" si="114"/>
        <v>2487.1588637240984</v>
      </c>
      <c r="X203" s="87">
        <f t="shared" si="115"/>
        <v>2487.1588637240984</v>
      </c>
      <c r="Y203" s="87">
        <f t="shared" si="116"/>
        <v>2487.1588637240984</v>
      </c>
      <c r="Z203" s="87">
        <f t="shared" si="117"/>
        <v>2487.1588637240984</v>
      </c>
      <c r="AA203" s="88">
        <v>450</v>
      </c>
      <c r="AB203" s="89">
        <f>AA203*GDPdeflator!$C$25/$AI$18*10^3</f>
        <v>43.267274341798768</v>
      </c>
      <c r="AC203" s="90">
        <f>INDEX(Efficiencies!$D$8:$M$89,MATCH(C203,Efficiencies!$C$8:$C$89),MATCH(D203,Efficiencies!$D$7:$M$7))</f>
        <v>0</v>
      </c>
      <c r="AD203" s="90">
        <f t="shared" si="103"/>
        <v>0</v>
      </c>
      <c r="AE203" s="90">
        <f>INDEX(Efficiencies!$P$8:$Y$89,MATCH(C203,Efficiencies!$C$8:$C$89),MATCH(D203,Efficiencies!$P$7:$Y$7))</f>
        <v>0</v>
      </c>
      <c r="AF203" s="90">
        <f t="shared" si="106"/>
        <v>0</v>
      </c>
      <c r="AG203" s="90">
        <v>0</v>
      </c>
    </row>
    <row r="204" spans="1:33" x14ac:dyDescent="0.2">
      <c r="A204" s="92" t="s">
        <v>1193</v>
      </c>
      <c r="B204" s="248" t="s">
        <v>1194</v>
      </c>
      <c r="C204" s="40" t="s">
        <v>1180</v>
      </c>
      <c r="D204" s="40">
        <v>2045</v>
      </c>
      <c r="E204" s="86">
        <f>GDPdeflator!$C$32*INDEX(Costs!$E$7:$O$89,MATCH($C204,Costs!$C$7:$C$89,0),MATCH(E$7,Costs!$E$6:$O$6,0))</f>
        <v>0</v>
      </c>
      <c r="F204" s="86">
        <f>GDPdeflator!$C$36*INDEX(Costs!$E$7:$O$89,MATCH($C204,Costs!$C$7:$C$89,0),MATCH(F$7,Costs!$E$6:$O$6,0))</f>
        <v>0</v>
      </c>
      <c r="G204" s="86">
        <f>GDPdeflator!$C$38*INDEX(Costs!$E$7:$O$89,MATCH($C204,Costs!$C$7:$C$89,0),MATCH(G$7,Costs!$E$6:$O$6,0))</f>
        <v>34.86830536561208</v>
      </c>
      <c r="H204" s="86">
        <f>GDPdeflator!$C$38*INDEX(Costs!$E$7:$O$89,MATCH($C204,Costs!$C$7:$C$89,0),MATCH(H$7,Costs!$E$6:$O$6,0))</f>
        <v>32.765693986781201</v>
      </c>
      <c r="I204" s="86">
        <f>GDPdeflator!$C$38*INDEX(Costs!$E$7:$O$89,MATCH($C204,Costs!$C$7:$C$89,0),MATCH(I$7,Costs!$E$6:$O$6,0))</f>
        <v>31.451561875011905</v>
      </c>
      <c r="J204" s="86">
        <f>GDPdeflator!$C$38*INDEX(Costs!$E$7:$O$89,MATCH($C204,Costs!$C$7:$C$89,0),MATCH(J$7,Costs!$E$6:$O$6,0))</f>
        <v>30.400256185596469</v>
      </c>
      <c r="K204" s="86">
        <f>GDPdeflator!$C$38*INDEX(Costs!$E$7:$O$89,MATCH($C204,Costs!$C$7:$C$89,0),MATCH(K$7,Costs!$E$6:$O$6,0))</f>
        <v>29.786994533437458</v>
      </c>
      <c r="L204" s="86">
        <f>GDPdeflator!$C$38*INDEX(Costs!$E$7:$O$89,MATCH($C204,Costs!$C$7:$C$89,0),MATCH(L$7,Costs!$E$6:$O$6,0))</f>
        <v>29.786994533437458</v>
      </c>
      <c r="M204" s="86">
        <f>GDPdeflator!$C$38*INDEX(Costs!$E$7:$O$89,MATCH($C204,Costs!$C$7:$C$89,0),MATCH(M$7,Costs!$E$6:$O$6,0))</f>
        <v>29.786994533437458</v>
      </c>
      <c r="N204" s="86">
        <f>GDPdeflator!$C$38*INDEX(Costs!$E$7:$O$89,MATCH($C204,Costs!$C$7:$C$89,0),MATCH(N$7,Costs!$E$6:$O$6,0))</f>
        <v>29.786994533437458</v>
      </c>
      <c r="O204" s="86">
        <f>GDPdeflator!$C$38*INDEX(Costs!$E$7:$O$89,MATCH($C204,Costs!$C$7:$C$89,0),MATCH(O$7,Costs!$E$6:$O$6,0))</f>
        <v>29.786994533437458</v>
      </c>
      <c r="P204" s="87">
        <f t="shared" si="107"/>
        <v>0</v>
      </c>
      <c r="Q204" s="87">
        <f t="shared" si="108"/>
        <v>0</v>
      </c>
      <c r="R204" s="87">
        <f t="shared" si="109"/>
        <v>2911.4389051829148</v>
      </c>
      <c r="S204" s="87">
        <f t="shared" si="110"/>
        <v>2735.8747500965083</v>
      </c>
      <c r="T204" s="87">
        <f t="shared" si="111"/>
        <v>2626.1471531675038</v>
      </c>
      <c r="U204" s="87">
        <f t="shared" si="112"/>
        <v>2538.365075624301</v>
      </c>
      <c r="V204" s="87">
        <f t="shared" si="113"/>
        <v>2487.1588637240984</v>
      </c>
      <c r="W204" s="87">
        <f t="shared" si="114"/>
        <v>2487.1588637240984</v>
      </c>
      <c r="X204" s="87">
        <f t="shared" si="115"/>
        <v>2487.1588637240984</v>
      </c>
      <c r="Y204" s="87">
        <f t="shared" si="116"/>
        <v>2487.1588637240984</v>
      </c>
      <c r="Z204" s="87">
        <f t="shared" si="117"/>
        <v>2487.1588637240984</v>
      </c>
      <c r="AA204" s="88">
        <v>450</v>
      </c>
      <c r="AB204" s="89">
        <f>AA204*GDPdeflator!$C$25/$AI$18*10^3</f>
        <v>43.267274341798768</v>
      </c>
      <c r="AC204" s="90">
        <f>INDEX(Efficiencies!$D$8:$M$89,MATCH(C204,Efficiencies!$C$8:$C$89),MATCH(D204,Efficiencies!$D$7:$M$7))</f>
        <v>0</v>
      </c>
      <c r="AD204" s="90">
        <f t="shared" si="103"/>
        <v>0</v>
      </c>
      <c r="AE204" s="90">
        <f>INDEX(Efficiencies!$P$8:$Y$89,MATCH(C204,Efficiencies!$C$8:$C$89),MATCH(D204,Efficiencies!$P$7:$Y$7))</f>
        <v>0</v>
      </c>
      <c r="AF204" s="90">
        <f t="shared" si="106"/>
        <v>0</v>
      </c>
      <c r="AG204" s="90">
        <v>0</v>
      </c>
    </row>
    <row r="205" spans="1:33" x14ac:dyDescent="0.2">
      <c r="A205" s="92" t="s">
        <v>1195</v>
      </c>
      <c r="B205" s="248" t="s">
        <v>1196</v>
      </c>
      <c r="C205" s="40" t="s">
        <v>1180</v>
      </c>
      <c r="D205" s="40">
        <v>2050</v>
      </c>
      <c r="E205" s="86">
        <f>GDPdeflator!$C$32*INDEX(Costs!$E$7:$O$89,MATCH($C205,Costs!$C$7:$C$89,0),MATCH(E$7,Costs!$E$6:$O$6,0))</f>
        <v>0</v>
      </c>
      <c r="F205" s="86">
        <f>GDPdeflator!$C$36*INDEX(Costs!$E$7:$O$89,MATCH($C205,Costs!$C$7:$C$89,0),MATCH(F$7,Costs!$E$6:$O$6,0))</f>
        <v>0</v>
      </c>
      <c r="G205" s="86">
        <f>GDPdeflator!$C$38*INDEX(Costs!$E$7:$O$89,MATCH($C205,Costs!$C$7:$C$89,0),MATCH(G$7,Costs!$E$6:$O$6,0))</f>
        <v>34.86830536561208</v>
      </c>
      <c r="H205" s="86">
        <f>GDPdeflator!$C$38*INDEX(Costs!$E$7:$O$89,MATCH($C205,Costs!$C$7:$C$89,0),MATCH(H$7,Costs!$E$6:$O$6,0))</f>
        <v>32.765693986781201</v>
      </c>
      <c r="I205" s="86">
        <f>GDPdeflator!$C$38*INDEX(Costs!$E$7:$O$89,MATCH($C205,Costs!$C$7:$C$89,0),MATCH(I$7,Costs!$E$6:$O$6,0))</f>
        <v>31.451561875011905</v>
      </c>
      <c r="J205" s="86">
        <f>GDPdeflator!$C$38*INDEX(Costs!$E$7:$O$89,MATCH($C205,Costs!$C$7:$C$89,0),MATCH(J$7,Costs!$E$6:$O$6,0))</f>
        <v>30.400256185596469</v>
      </c>
      <c r="K205" s="86">
        <f>GDPdeflator!$C$38*INDEX(Costs!$E$7:$O$89,MATCH($C205,Costs!$C$7:$C$89,0),MATCH(K$7,Costs!$E$6:$O$6,0))</f>
        <v>29.786994533437458</v>
      </c>
      <c r="L205" s="86">
        <f>GDPdeflator!$C$38*INDEX(Costs!$E$7:$O$89,MATCH($C205,Costs!$C$7:$C$89,0),MATCH(L$7,Costs!$E$6:$O$6,0))</f>
        <v>29.786994533437458</v>
      </c>
      <c r="M205" s="86">
        <f>GDPdeflator!$C$38*INDEX(Costs!$E$7:$O$89,MATCH($C205,Costs!$C$7:$C$89,0),MATCH(M$7,Costs!$E$6:$O$6,0))</f>
        <v>29.786994533437458</v>
      </c>
      <c r="N205" s="86">
        <f>GDPdeflator!$C$38*INDEX(Costs!$E$7:$O$89,MATCH($C205,Costs!$C$7:$C$89,0),MATCH(N$7,Costs!$E$6:$O$6,0))</f>
        <v>29.786994533437458</v>
      </c>
      <c r="O205" s="86">
        <f>GDPdeflator!$C$38*INDEX(Costs!$E$7:$O$89,MATCH($C205,Costs!$C$7:$C$89,0),MATCH(O$7,Costs!$E$6:$O$6,0))</f>
        <v>29.786994533437458</v>
      </c>
      <c r="P205" s="87">
        <f t="shared" si="107"/>
        <v>0</v>
      </c>
      <c r="Q205" s="87">
        <f t="shared" si="108"/>
        <v>0</v>
      </c>
      <c r="R205" s="87">
        <f t="shared" si="109"/>
        <v>2911.4389051829148</v>
      </c>
      <c r="S205" s="87">
        <f t="shared" si="110"/>
        <v>2735.8747500965083</v>
      </c>
      <c r="T205" s="87">
        <f t="shared" si="111"/>
        <v>2626.1471531675038</v>
      </c>
      <c r="U205" s="87">
        <f t="shared" si="112"/>
        <v>2538.365075624301</v>
      </c>
      <c r="V205" s="87">
        <f t="shared" si="113"/>
        <v>2487.1588637240984</v>
      </c>
      <c r="W205" s="87">
        <f t="shared" si="114"/>
        <v>2487.1588637240984</v>
      </c>
      <c r="X205" s="87">
        <f t="shared" si="115"/>
        <v>2487.1588637240984</v>
      </c>
      <c r="Y205" s="87">
        <f t="shared" si="116"/>
        <v>2487.1588637240984</v>
      </c>
      <c r="Z205" s="87">
        <f t="shared" si="117"/>
        <v>2487.1588637240984</v>
      </c>
      <c r="AA205" s="88">
        <v>450</v>
      </c>
      <c r="AB205" s="89">
        <f>AA205*GDPdeflator!$C$25/$AI$18*10^3</f>
        <v>43.267274341798768</v>
      </c>
      <c r="AC205" s="90">
        <f>INDEX(Efficiencies!$D$8:$M$89,MATCH(C205,Efficiencies!$C$8:$C$89),MATCH(D205,Efficiencies!$D$7:$M$7))</f>
        <v>0</v>
      </c>
      <c r="AD205" s="90">
        <f t="shared" si="103"/>
        <v>0</v>
      </c>
      <c r="AE205" s="90">
        <f>INDEX(Efficiencies!$P$8:$Y$89,MATCH(C205,Efficiencies!$C$8:$C$89),MATCH(D205,Efficiencies!$P$7:$Y$7))</f>
        <v>0</v>
      </c>
      <c r="AF205" s="90">
        <f t="shared" si="106"/>
        <v>0</v>
      </c>
      <c r="AG205" s="90">
        <v>0</v>
      </c>
    </row>
    <row r="206" spans="1:33" x14ac:dyDescent="0.2">
      <c r="A206" s="92" t="s">
        <v>1197</v>
      </c>
      <c r="B206" s="248" t="s">
        <v>1198</v>
      </c>
      <c r="C206" s="40" t="s">
        <v>1199</v>
      </c>
      <c r="D206" s="40">
        <v>2010</v>
      </c>
      <c r="E206" s="86">
        <f>GDPdeflator!$C$32*INDEX(Costs!$E$7:$O$89,MATCH($C206,Costs!$C$7:$C$89,0),MATCH(E$7,Costs!$E$6:$O$6,0))</f>
        <v>25.864574251671023</v>
      </c>
      <c r="F206" s="86">
        <f>GDPdeflator!$C$36*INDEX(Costs!$E$7:$O$89,MATCH($C206,Costs!$C$7:$C$89,0),MATCH(F$7,Costs!$E$6:$O$6,0))</f>
        <v>23.803946301468603</v>
      </c>
      <c r="G206" s="86">
        <f>GDPdeflator!$C$38*INDEX(Costs!$E$7:$O$89,MATCH($C206,Costs!$C$7:$C$89,0),MATCH(G$7,Costs!$E$6:$O$6,0))</f>
        <v>22.927224910001716</v>
      </c>
      <c r="H206" s="86">
        <f>GDPdeflator!$C$38*INDEX(Costs!$E$7:$O$89,MATCH($C206,Costs!$C$7:$C$89,0),MATCH(H$7,Costs!$E$6:$O$6,0))</f>
        <v>23.680660654082779</v>
      </c>
      <c r="I206" s="86">
        <f>GDPdeflator!$C$38*INDEX(Costs!$E$7:$O$89,MATCH($C206,Costs!$C$7:$C$89,0),MATCH(I$7,Costs!$E$6:$O$6,0))</f>
        <v>25.021075408087462</v>
      </c>
      <c r="J206" s="86">
        <f>GDPdeflator!$C$38*INDEX(Costs!$E$7:$O$89,MATCH($C206,Costs!$C$7:$C$89,0),MATCH(J$7,Costs!$E$6:$O$6,0))</f>
        <v>25.064879811813107</v>
      </c>
      <c r="K206" s="86">
        <f>GDPdeflator!$C$38*INDEX(Costs!$E$7:$O$89,MATCH($C206,Costs!$C$7:$C$89,0),MATCH(K$7,Costs!$E$6:$O$6,0))</f>
        <v>25.073640692558236</v>
      </c>
      <c r="L206" s="86">
        <f>GDPdeflator!$C$38*INDEX(Costs!$E$7:$O$89,MATCH($C206,Costs!$C$7:$C$89,0),MATCH(L$7,Costs!$E$6:$O$6,0))</f>
        <v>25.082401573303365</v>
      </c>
      <c r="M206" s="86">
        <f>GDPdeflator!$C$38*INDEX(Costs!$E$7:$O$89,MATCH($C206,Costs!$C$7:$C$89,0),MATCH(M$7,Costs!$E$6:$O$6,0))</f>
        <v>25.082401573303365</v>
      </c>
      <c r="N206" s="86">
        <f>GDPdeflator!$C$38*INDEX(Costs!$E$7:$O$89,MATCH($C206,Costs!$C$7:$C$89,0),MATCH(N$7,Costs!$E$6:$O$6,0))</f>
        <v>25.082401573303365</v>
      </c>
      <c r="O206" s="86">
        <f>GDPdeflator!$C$38*INDEX(Costs!$E$7:$O$89,MATCH($C206,Costs!$C$7:$C$89,0),MATCH(O$7,Costs!$E$6:$O$6,0))</f>
        <v>25.082401573303365</v>
      </c>
      <c r="P206" s="87">
        <f>E206/$AI$18*10^6</f>
        <v>2159.6440364025539</v>
      </c>
      <c r="Q206" s="87">
        <f t="shared" si="108"/>
        <v>1987.5854198331522</v>
      </c>
      <c r="R206" s="87">
        <f t="shared" si="109"/>
        <v>1914.3808077546958</v>
      </c>
      <c r="S206" s="87">
        <f t="shared" si="110"/>
        <v>1977.2912966606582</v>
      </c>
      <c r="T206" s="87">
        <f t="shared" si="111"/>
        <v>2089.2134455282426</v>
      </c>
      <c r="U206" s="87">
        <f t="shared" si="112"/>
        <v>2092.8710320925425</v>
      </c>
      <c r="V206" s="87">
        <f t="shared" si="113"/>
        <v>2093.6025494054024</v>
      </c>
      <c r="W206" s="87">
        <f t="shared" si="114"/>
        <v>2094.3340667182624</v>
      </c>
      <c r="X206" s="87">
        <f t="shared" si="115"/>
        <v>2094.3340667182624</v>
      </c>
      <c r="Y206" s="87">
        <f t="shared" si="116"/>
        <v>2094.3340667182624</v>
      </c>
      <c r="Z206" s="87">
        <f t="shared" si="117"/>
        <v>2094.3340667182624</v>
      </c>
      <c r="AA206" s="88">
        <v>450</v>
      </c>
      <c r="AB206" s="89">
        <f>AA206*GDPdeflator!$C$25/$AI$18*10^3</f>
        <v>43.267274341798768</v>
      </c>
      <c r="AC206" s="90" t="e">
        <f>INDEX(Efficiencies!$D$8:$M$89,MATCH(C206,Efficiencies!$C$8:$C$89),MATCH(D206,Efficiencies!$D$7:$M$7))</f>
        <v>#REF!</v>
      </c>
      <c r="AD206" s="90" t="e">
        <f t="shared" si="103"/>
        <v>#REF!</v>
      </c>
      <c r="AE206" s="90" t="e">
        <f>INDEX(Efficiencies!$P$8:$Y$89,MATCH(C206,Efficiencies!$C$8:$C$89),MATCH(D206,Efficiencies!$P$7:$Y$7))</f>
        <v>#REF!</v>
      </c>
      <c r="AF206" s="90" t="e">
        <f t="shared" si="106"/>
        <v>#REF!</v>
      </c>
      <c r="AG206" s="90">
        <v>0</v>
      </c>
    </row>
    <row r="207" spans="1:33" x14ac:dyDescent="0.2">
      <c r="A207" s="92" t="s">
        <v>1200</v>
      </c>
      <c r="B207" s="248" t="s">
        <v>1201</v>
      </c>
      <c r="C207" s="40" t="s">
        <v>1199</v>
      </c>
      <c r="D207" s="40">
        <v>2015</v>
      </c>
      <c r="E207" s="86">
        <f>GDPdeflator!$C$32*INDEX(Costs!$E$7:$O$89,MATCH($C207,Costs!$C$7:$C$89,0),MATCH(E$7,Costs!$E$6:$O$6,0))</f>
        <v>25.864574251671023</v>
      </c>
      <c r="F207" s="86">
        <f>GDPdeflator!$C$36*INDEX(Costs!$E$7:$O$89,MATCH($C207,Costs!$C$7:$C$89,0),MATCH(F$7,Costs!$E$6:$O$6,0))</f>
        <v>23.803946301468603</v>
      </c>
      <c r="G207" s="86">
        <f>GDPdeflator!$C$38*INDEX(Costs!$E$7:$O$89,MATCH($C207,Costs!$C$7:$C$89,0),MATCH(G$7,Costs!$E$6:$O$6,0))</f>
        <v>22.927224910001716</v>
      </c>
      <c r="H207" s="86">
        <f>GDPdeflator!$C$38*INDEX(Costs!$E$7:$O$89,MATCH($C207,Costs!$C$7:$C$89,0),MATCH(H$7,Costs!$E$6:$O$6,0))</f>
        <v>23.680660654082779</v>
      </c>
      <c r="I207" s="86">
        <f>GDPdeflator!$C$38*INDEX(Costs!$E$7:$O$89,MATCH($C207,Costs!$C$7:$C$89,0),MATCH(I$7,Costs!$E$6:$O$6,0))</f>
        <v>25.021075408087462</v>
      </c>
      <c r="J207" s="86">
        <f>GDPdeflator!$C$38*INDEX(Costs!$E$7:$O$89,MATCH($C207,Costs!$C$7:$C$89,0),MATCH(J$7,Costs!$E$6:$O$6,0))</f>
        <v>25.064879811813107</v>
      </c>
      <c r="K207" s="86">
        <f>GDPdeflator!$C$38*INDEX(Costs!$E$7:$O$89,MATCH($C207,Costs!$C$7:$C$89,0),MATCH(K$7,Costs!$E$6:$O$6,0))</f>
        <v>25.073640692558236</v>
      </c>
      <c r="L207" s="86">
        <f>GDPdeflator!$C$38*INDEX(Costs!$E$7:$O$89,MATCH($C207,Costs!$C$7:$C$89,0),MATCH(L$7,Costs!$E$6:$O$6,0))</f>
        <v>25.082401573303365</v>
      </c>
      <c r="M207" s="86">
        <f>GDPdeflator!$C$38*INDEX(Costs!$E$7:$O$89,MATCH($C207,Costs!$C$7:$C$89,0),MATCH(M$7,Costs!$E$6:$O$6,0))</f>
        <v>25.082401573303365</v>
      </c>
      <c r="N207" s="86">
        <f>GDPdeflator!$C$38*INDEX(Costs!$E$7:$O$89,MATCH($C207,Costs!$C$7:$C$89,0),MATCH(N$7,Costs!$E$6:$O$6,0))</f>
        <v>25.082401573303365</v>
      </c>
      <c r="O207" s="86">
        <f>GDPdeflator!$C$38*INDEX(Costs!$E$7:$O$89,MATCH($C207,Costs!$C$7:$C$89,0),MATCH(O$7,Costs!$E$6:$O$6,0))</f>
        <v>25.082401573303365</v>
      </c>
      <c r="P207" s="87">
        <f t="shared" ref="P207:P214" si="118">E207/$AI$18*10^6</f>
        <v>2159.6440364025539</v>
      </c>
      <c r="Q207" s="87">
        <f t="shared" si="108"/>
        <v>1987.5854198331522</v>
      </c>
      <c r="R207" s="87">
        <f t="shared" si="109"/>
        <v>1914.3808077546958</v>
      </c>
      <c r="S207" s="87">
        <f t="shared" si="110"/>
        <v>1977.2912966606582</v>
      </c>
      <c r="T207" s="87">
        <f t="shared" si="111"/>
        <v>2089.2134455282426</v>
      </c>
      <c r="U207" s="87">
        <f t="shared" si="112"/>
        <v>2092.8710320925425</v>
      </c>
      <c r="V207" s="87">
        <f t="shared" si="113"/>
        <v>2093.6025494054024</v>
      </c>
      <c r="W207" s="87">
        <f t="shared" si="114"/>
        <v>2094.3340667182624</v>
      </c>
      <c r="X207" s="87">
        <f t="shared" si="115"/>
        <v>2094.3340667182624</v>
      </c>
      <c r="Y207" s="87">
        <f t="shared" si="116"/>
        <v>2094.3340667182624</v>
      </c>
      <c r="Z207" s="87">
        <f t="shared" si="117"/>
        <v>2094.3340667182624</v>
      </c>
      <c r="AA207" s="88">
        <v>450</v>
      </c>
      <c r="AB207" s="89">
        <f>AA207*GDPdeflator!$C$25/$AI$18*10^3</f>
        <v>43.267274341798768</v>
      </c>
      <c r="AC207" s="90" t="e">
        <f>INDEX(Efficiencies!$D$8:$M$89,MATCH(C207,Efficiencies!$C$8:$C$89),MATCH(D207,Efficiencies!$D$7:$M$7))</f>
        <v>#REF!</v>
      </c>
      <c r="AD207" s="90" t="e">
        <f t="shared" si="103"/>
        <v>#REF!</v>
      </c>
      <c r="AE207" s="90" t="e">
        <f>INDEX(Efficiencies!$P$8:$Y$89,MATCH(C207,Efficiencies!$C$8:$C$89),MATCH(D207,Efficiencies!$P$7:$Y$7))</f>
        <v>#REF!</v>
      </c>
      <c r="AF207" s="90" t="e">
        <f t="shared" si="106"/>
        <v>#REF!</v>
      </c>
      <c r="AG207" s="90">
        <v>0</v>
      </c>
    </row>
    <row r="208" spans="1:33" x14ac:dyDescent="0.2">
      <c r="A208" s="92" t="s">
        <v>1202</v>
      </c>
      <c r="B208" s="248" t="s">
        <v>1203</v>
      </c>
      <c r="C208" s="40" t="s">
        <v>1199</v>
      </c>
      <c r="D208" s="40">
        <v>2020</v>
      </c>
      <c r="E208" s="86">
        <f>GDPdeflator!$C$32*INDEX(Costs!$E$7:$O$89,MATCH($C208,Costs!$C$7:$C$89,0),MATCH(E$7,Costs!$E$6:$O$6,0))</f>
        <v>25.864574251671023</v>
      </c>
      <c r="F208" s="86">
        <f>GDPdeflator!$C$36*INDEX(Costs!$E$7:$O$89,MATCH($C208,Costs!$C$7:$C$89,0),MATCH(F$7,Costs!$E$6:$O$6,0))</f>
        <v>23.803946301468603</v>
      </c>
      <c r="G208" s="86">
        <f>GDPdeflator!$C$38*INDEX(Costs!$E$7:$O$89,MATCH($C208,Costs!$C$7:$C$89,0),MATCH(G$7,Costs!$E$6:$O$6,0))</f>
        <v>22.927224910001716</v>
      </c>
      <c r="H208" s="86">
        <f>GDPdeflator!$C$38*INDEX(Costs!$E$7:$O$89,MATCH($C208,Costs!$C$7:$C$89,0),MATCH(H$7,Costs!$E$6:$O$6,0))</f>
        <v>23.680660654082779</v>
      </c>
      <c r="I208" s="86">
        <f>GDPdeflator!$C$38*INDEX(Costs!$E$7:$O$89,MATCH($C208,Costs!$C$7:$C$89,0),MATCH(I$7,Costs!$E$6:$O$6,0))</f>
        <v>25.021075408087462</v>
      </c>
      <c r="J208" s="86">
        <f>GDPdeflator!$C$38*INDEX(Costs!$E$7:$O$89,MATCH($C208,Costs!$C$7:$C$89,0),MATCH(J$7,Costs!$E$6:$O$6,0))</f>
        <v>25.064879811813107</v>
      </c>
      <c r="K208" s="86">
        <f>GDPdeflator!$C$38*INDEX(Costs!$E$7:$O$89,MATCH($C208,Costs!$C$7:$C$89,0),MATCH(K$7,Costs!$E$6:$O$6,0))</f>
        <v>25.073640692558236</v>
      </c>
      <c r="L208" s="86">
        <f>GDPdeflator!$C$38*INDEX(Costs!$E$7:$O$89,MATCH($C208,Costs!$C$7:$C$89,0),MATCH(L$7,Costs!$E$6:$O$6,0))</f>
        <v>25.082401573303365</v>
      </c>
      <c r="M208" s="86">
        <f>GDPdeflator!$C$38*INDEX(Costs!$E$7:$O$89,MATCH($C208,Costs!$C$7:$C$89,0),MATCH(M$7,Costs!$E$6:$O$6,0))</f>
        <v>25.082401573303365</v>
      </c>
      <c r="N208" s="86">
        <f>GDPdeflator!$C$38*INDEX(Costs!$E$7:$O$89,MATCH($C208,Costs!$C$7:$C$89,0),MATCH(N$7,Costs!$E$6:$O$6,0))</f>
        <v>25.082401573303365</v>
      </c>
      <c r="O208" s="86">
        <f>GDPdeflator!$C$38*INDEX(Costs!$E$7:$O$89,MATCH($C208,Costs!$C$7:$C$89,0),MATCH(O$7,Costs!$E$6:$O$6,0))</f>
        <v>25.082401573303365</v>
      </c>
      <c r="P208" s="87">
        <f t="shared" si="118"/>
        <v>2159.6440364025539</v>
      </c>
      <c r="Q208" s="87">
        <f t="shared" si="108"/>
        <v>1987.5854198331522</v>
      </c>
      <c r="R208" s="87">
        <f t="shared" si="109"/>
        <v>1914.3808077546958</v>
      </c>
      <c r="S208" s="87">
        <f t="shared" si="110"/>
        <v>1977.2912966606582</v>
      </c>
      <c r="T208" s="87">
        <f t="shared" si="111"/>
        <v>2089.2134455282426</v>
      </c>
      <c r="U208" s="87">
        <f t="shared" si="112"/>
        <v>2092.8710320925425</v>
      </c>
      <c r="V208" s="87">
        <f t="shared" si="113"/>
        <v>2093.6025494054024</v>
      </c>
      <c r="W208" s="87">
        <f t="shared" si="114"/>
        <v>2094.3340667182624</v>
      </c>
      <c r="X208" s="87">
        <f t="shared" si="115"/>
        <v>2094.3340667182624</v>
      </c>
      <c r="Y208" s="87">
        <f t="shared" si="116"/>
        <v>2094.3340667182624</v>
      </c>
      <c r="Z208" s="87">
        <f t="shared" si="117"/>
        <v>2094.3340667182624</v>
      </c>
      <c r="AA208" s="88">
        <v>450</v>
      </c>
      <c r="AB208" s="89">
        <f>AA208*GDPdeflator!$C$25/$AI$18*10^3</f>
        <v>43.267274341798768</v>
      </c>
      <c r="AC208" s="90" t="e">
        <f>INDEX(Efficiencies!$D$8:$M$89,MATCH(C208,Efficiencies!$C$8:$C$89),MATCH(D208,Efficiencies!$D$7:$M$7))</f>
        <v>#REF!</v>
      </c>
      <c r="AD208" s="90" t="e">
        <f t="shared" si="103"/>
        <v>#REF!</v>
      </c>
      <c r="AE208" s="90" t="e">
        <f>INDEX(Efficiencies!$P$8:$Y$89,MATCH(C208,Efficiencies!$C$8:$C$89),MATCH(D208,Efficiencies!$P$7:$Y$7))</f>
        <v>#REF!</v>
      </c>
      <c r="AF208" s="90" t="e">
        <f t="shared" si="106"/>
        <v>#REF!</v>
      </c>
      <c r="AG208" s="90">
        <v>0</v>
      </c>
    </row>
    <row r="209" spans="1:33" x14ac:dyDescent="0.2">
      <c r="A209" s="92" t="s">
        <v>1204</v>
      </c>
      <c r="B209" s="248" t="s">
        <v>1205</v>
      </c>
      <c r="C209" s="40" t="s">
        <v>1199</v>
      </c>
      <c r="D209" s="40">
        <v>2025</v>
      </c>
      <c r="E209" s="86">
        <f>GDPdeflator!$C$32*INDEX(Costs!$E$7:$O$89,MATCH($C209,Costs!$C$7:$C$89,0),MATCH(E$7,Costs!$E$6:$O$6,0))</f>
        <v>25.864574251671023</v>
      </c>
      <c r="F209" s="86">
        <f>GDPdeflator!$C$36*INDEX(Costs!$E$7:$O$89,MATCH($C209,Costs!$C$7:$C$89,0),MATCH(F$7,Costs!$E$6:$O$6,0))</f>
        <v>23.803946301468603</v>
      </c>
      <c r="G209" s="86">
        <f>GDPdeflator!$C$38*INDEX(Costs!$E$7:$O$89,MATCH($C209,Costs!$C$7:$C$89,0),MATCH(G$7,Costs!$E$6:$O$6,0))</f>
        <v>22.927224910001716</v>
      </c>
      <c r="H209" s="86">
        <f>GDPdeflator!$C$38*INDEX(Costs!$E$7:$O$89,MATCH($C209,Costs!$C$7:$C$89,0),MATCH(H$7,Costs!$E$6:$O$6,0))</f>
        <v>23.680660654082779</v>
      </c>
      <c r="I209" s="86">
        <f>GDPdeflator!$C$38*INDEX(Costs!$E$7:$O$89,MATCH($C209,Costs!$C$7:$C$89,0),MATCH(I$7,Costs!$E$6:$O$6,0))</f>
        <v>25.021075408087462</v>
      </c>
      <c r="J209" s="86">
        <f>GDPdeflator!$C$38*INDEX(Costs!$E$7:$O$89,MATCH($C209,Costs!$C$7:$C$89,0),MATCH(J$7,Costs!$E$6:$O$6,0))</f>
        <v>25.064879811813107</v>
      </c>
      <c r="K209" s="86">
        <f>GDPdeflator!$C$38*INDEX(Costs!$E$7:$O$89,MATCH($C209,Costs!$C$7:$C$89,0),MATCH(K$7,Costs!$E$6:$O$6,0))</f>
        <v>25.073640692558236</v>
      </c>
      <c r="L209" s="86">
        <f>GDPdeflator!$C$38*INDEX(Costs!$E$7:$O$89,MATCH($C209,Costs!$C$7:$C$89,0),MATCH(L$7,Costs!$E$6:$O$6,0))</f>
        <v>25.082401573303365</v>
      </c>
      <c r="M209" s="86">
        <f>GDPdeflator!$C$38*INDEX(Costs!$E$7:$O$89,MATCH($C209,Costs!$C$7:$C$89,0),MATCH(M$7,Costs!$E$6:$O$6,0))</f>
        <v>25.082401573303365</v>
      </c>
      <c r="N209" s="86">
        <f>GDPdeflator!$C$38*INDEX(Costs!$E$7:$O$89,MATCH($C209,Costs!$C$7:$C$89,0),MATCH(N$7,Costs!$E$6:$O$6,0))</f>
        <v>25.082401573303365</v>
      </c>
      <c r="O209" s="86">
        <f>GDPdeflator!$C$38*INDEX(Costs!$E$7:$O$89,MATCH($C209,Costs!$C$7:$C$89,0),MATCH(O$7,Costs!$E$6:$O$6,0))</f>
        <v>25.082401573303365</v>
      </c>
      <c r="P209" s="87">
        <f t="shared" si="118"/>
        <v>2159.6440364025539</v>
      </c>
      <c r="Q209" s="87">
        <f t="shared" si="108"/>
        <v>1987.5854198331522</v>
      </c>
      <c r="R209" s="87">
        <f t="shared" si="109"/>
        <v>1914.3808077546958</v>
      </c>
      <c r="S209" s="87">
        <f t="shared" si="110"/>
        <v>1977.2912966606582</v>
      </c>
      <c r="T209" s="87">
        <f t="shared" si="111"/>
        <v>2089.2134455282426</v>
      </c>
      <c r="U209" s="87">
        <f t="shared" si="112"/>
        <v>2092.8710320925425</v>
      </c>
      <c r="V209" s="87">
        <f t="shared" si="113"/>
        <v>2093.6025494054024</v>
      </c>
      <c r="W209" s="87">
        <f t="shared" si="114"/>
        <v>2094.3340667182624</v>
      </c>
      <c r="X209" s="87">
        <f t="shared" si="115"/>
        <v>2094.3340667182624</v>
      </c>
      <c r="Y209" s="87">
        <f t="shared" si="116"/>
        <v>2094.3340667182624</v>
      </c>
      <c r="Z209" s="87">
        <f t="shared" si="117"/>
        <v>2094.3340667182624</v>
      </c>
      <c r="AA209" s="88">
        <v>450</v>
      </c>
      <c r="AB209" s="89">
        <f>AA209*GDPdeflator!$C$25/$AI$18*10^3</f>
        <v>43.267274341798768</v>
      </c>
      <c r="AC209" s="90" t="e">
        <f>INDEX(Efficiencies!$D$8:$M$89,MATCH(C209,Efficiencies!$C$8:$C$89),MATCH(D209,Efficiencies!$D$7:$M$7))</f>
        <v>#REF!</v>
      </c>
      <c r="AD209" s="90" t="e">
        <f t="shared" si="103"/>
        <v>#REF!</v>
      </c>
      <c r="AE209" s="90" t="e">
        <f>INDEX(Efficiencies!$P$8:$Y$89,MATCH(C209,Efficiencies!$C$8:$C$89),MATCH(D209,Efficiencies!$P$7:$Y$7))</f>
        <v>#REF!</v>
      </c>
      <c r="AF209" s="90" t="e">
        <f t="shared" si="106"/>
        <v>#REF!</v>
      </c>
      <c r="AG209" s="90">
        <v>0</v>
      </c>
    </row>
    <row r="210" spans="1:33" x14ac:dyDescent="0.2">
      <c r="A210" s="92" t="s">
        <v>1206</v>
      </c>
      <c r="B210" s="248" t="s">
        <v>1207</v>
      </c>
      <c r="C210" s="40" t="s">
        <v>1199</v>
      </c>
      <c r="D210" s="40">
        <v>2030</v>
      </c>
      <c r="E210" s="86">
        <f>GDPdeflator!$C$32*INDEX(Costs!$E$7:$O$89,MATCH($C210,Costs!$C$7:$C$89,0),MATCH(E$7,Costs!$E$6:$O$6,0))</f>
        <v>25.864574251671023</v>
      </c>
      <c r="F210" s="86">
        <f>GDPdeflator!$C$36*INDEX(Costs!$E$7:$O$89,MATCH($C210,Costs!$C$7:$C$89,0),MATCH(F$7,Costs!$E$6:$O$6,0))</f>
        <v>23.803946301468603</v>
      </c>
      <c r="G210" s="86">
        <f>GDPdeflator!$C$38*INDEX(Costs!$E$7:$O$89,MATCH($C210,Costs!$C$7:$C$89,0),MATCH(G$7,Costs!$E$6:$O$6,0))</f>
        <v>22.927224910001716</v>
      </c>
      <c r="H210" s="86">
        <f>GDPdeflator!$C$38*INDEX(Costs!$E$7:$O$89,MATCH($C210,Costs!$C$7:$C$89,0),MATCH(H$7,Costs!$E$6:$O$6,0))</f>
        <v>23.680660654082779</v>
      </c>
      <c r="I210" s="86">
        <f>GDPdeflator!$C$38*INDEX(Costs!$E$7:$O$89,MATCH($C210,Costs!$C$7:$C$89,0),MATCH(I$7,Costs!$E$6:$O$6,0))</f>
        <v>25.021075408087462</v>
      </c>
      <c r="J210" s="86">
        <f>GDPdeflator!$C$38*INDEX(Costs!$E$7:$O$89,MATCH($C210,Costs!$C$7:$C$89,0),MATCH(J$7,Costs!$E$6:$O$6,0))</f>
        <v>25.064879811813107</v>
      </c>
      <c r="K210" s="86">
        <f>GDPdeflator!$C$38*INDEX(Costs!$E$7:$O$89,MATCH($C210,Costs!$C$7:$C$89,0),MATCH(K$7,Costs!$E$6:$O$6,0))</f>
        <v>25.073640692558236</v>
      </c>
      <c r="L210" s="86">
        <f>GDPdeflator!$C$38*INDEX(Costs!$E$7:$O$89,MATCH($C210,Costs!$C$7:$C$89,0),MATCH(L$7,Costs!$E$6:$O$6,0))</f>
        <v>25.082401573303365</v>
      </c>
      <c r="M210" s="86">
        <f>GDPdeflator!$C$38*INDEX(Costs!$E$7:$O$89,MATCH($C210,Costs!$C$7:$C$89,0),MATCH(M$7,Costs!$E$6:$O$6,0))</f>
        <v>25.082401573303365</v>
      </c>
      <c r="N210" s="86">
        <f>GDPdeflator!$C$38*INDEX(Costs!$E$7:$O$89,MATCH($C210,Costs!$C$7:$C$89,0),MATCH(N$7,Costs!$E$6:$O$6,0))</f>
        <v>25.082401573303365</v>
      </c>
      <c r="O210" s="86">
        <f>GDPdeflator!$C$38*INDEX(Costs!$E$7:$O$89,MATCH($C210,Costs!$C$7:$C$89,0),MATCH(O$7,Costs!$E$6:$O$6,0))</f>
        <v>25.082401573303365</v>
      </c>
      <c r="P210" s="87">
        <f t="shared" si="118"/>
        <v>2159.6440364025539</v>
      </c>
      <c r="Q210" s="87">
        <f t="shared" si="108"/>
        <v>1987.5854198331522</v>
      </c>
      <c r="R210" s="87">
        <f t="shared" si="109"/>
        <v>1914.3808077546958</v>
      </c>
      <c r="S210" s="87">
        <f t="shared" si="110"/>
        <v>1977.2912966606582</v>
      </c>
      <c r="T210" s="87">
        <f t="shared" si="111"/>
        <v>2089.2134455282426</v>
      </c>
      <c r="U210" s="87">
        <f t="shared" si="112"/>
        <v>2092.8710320925425</v>
      </c>
      <c r="V210" s="87">
        <f t="shared" si="113"/>
        <v>2093.6025494054024</v>
      </c>
      <c r="W210" s="87">
        <f t="shared" si="114"/>
        <v>2094.3340667182624</v>
      </c>
      <c r="X210" s="87">
        <f t="shared" si="115"/>
        <v>2094.3340667182624</v>
      </c>
      <c r="Y210" s="87">
        <f t="shared" si="116"/>
        <v>2094.3340667182624</v>
      </c>
      <c r="Z210" s="87">
        <f t="shared" si="117"/>
        <v>2094.3340667182624</v>
      </c>
      <c r="AA210" s="88">
        <v>450</v>
      </c>
      <c r="AB210" s="89">
        <f>AA210*GDPdeflator!$C$25/$AI$18*10^3</f>
        <v>43.267274341798768</v>
      </c>
      <c r="AC210" s="90" t="e">
        <f>INDEX(Efficiencies!$D$8:$M$89,MATCH(C210,Efficiencies!$C$8:$C$89),MATCH(D210,Efficiencies!$D$7:$M$7))</f>
        <v>#REF!</v>
      </c>
      <c r="AD210" s="90" t="e">
        <f t="shared" si="103"/>
        <v>#REF!</v>
      </c>
      <c r="AE210" s="90" t="e">
        <f>INDEX(Efficiencies!$P$8:$Y$89,MATCH(C210,Efficiencies!$C$8:$C$89),MATCH(D210,Efficiencies!$P$7:$Y$7))</f>
        <v>#REF!</v>
      </c>
      <c r="AF210" s="90" t="e">
        <f t="shared" si="106"/>
        <v>#REF!</v>
      </c>
      <c r="AG210" s="90">
        <v>0</v>
      </c>
    </row>
    <row r="211" spans="1:33" x14ac:dyDescent="0.2">
      <c r="A211" s="92" t="s">
        <v>1208</v>
      </c>
      <c r="B211" s="248" t="s">
        <v>1209</v>
      </c>
      <c r="C211" s="40" t="s">
        <v>1199</v>
      </c>
      <c r="D211" s="40">
        <v>2035</v>
      </c>
      <c r="E211" s="86">
        <f>GDPdeflator!$C$32*INDEX(Costs!$E$7:$O$89,MATCH($C211,Costs!$C$7:$C$89,0),MATCH(E$7,Costs!$E$6:$O$6,0))</f>
        <v>25.864574251671023</v>
      </c>
      <c r="F211" s="86">
        <f>GDPdeflator!$C$36*INDEX(Costs!$E$7:$O$89,MATCH($C211,Costs!$C$7:$C$89,0),MATCH(F$7,Costs!$E$6:$O$6,0))</f>
        <v>23.803946301468603</v>
      </c>
      <c r="G211" s="86">
        <f>GDPdeflator!$C$38*INDEX(Costs!$E$7:$O$89,MATCH($C211,Costs!$C$7:$C$89,0),MATCH(G$7,Costs!$E$6:$O$6,0))</f>
        <v>22.927224910001716</v>
      </c>
      <c r="H211" s="86">
        <f>GDPdeflator!$C$38*INDEX(Costs!$E$7:$O$89,MATCH($C211,Costs!$C$7:$C$89,0),MATCH(H$7,Costs!$E$6:$O$6,0))</f>
        <v>23.680660654082779</v>
      </c>
      <c r="I211" s="86">
        <f>GDPdeflator!$C$38*INDEX(Costs!$E$7:$O$89,MATCH($C211,Costs!$C$7:$C$89,0),MATCH(I$7,Costs!$E$6:$O$6,0))</f>
        <v>25.021075408087462</v>
      </c>
      <c r="J211" s="86">
        <f>GDPdeflator!$C$38*INDEX(Costs!$E$7:$O$89,MATCH($C211,Costs!$C$7:$C$89,0),MATCH(J$7,Costs!$E$6:$O$6,0))</f>
        <v>25.064879811813107</v>
      </c>
      <c r="K211" s="86">
        <f>GDPdeflator!$C$38*INDEX(Costs!$E$7:$O$89,MATCH($C211,Costs!$C$7:$C$89,0),MATCH(K$7,Costs!$E$6:$O$6,0))</f>
        <v>25.073640692558236</v>
      </c>
      <c r="L211" s="86">
        <f>GDPdeflator!$C$38*INDEX(Costs!$E$7:$O$89,MATCH($C211,Costs!$C$7:$C$89,0),MATCH(L$7,Costs!$E$6:$O$6,0))</f>
        <v>25.082401573303365</v>
      </c>
      <c r="M211" s="86">
        <f>GDPdeflator!$C$38*INDEX(Costs!$E$7:$O$89,MATCH($C211,Costs!$C$7:$C$89,0),MATCH(M$7,Costs!$E$6:$O$6,0))</f>
        <v>25.082401573303365</v>
      </c>
      <c r="N211" s="86">
        <f>GDPdeflator!$C$38*INDEX(Costs!$E$7:$O$89,MATCH($C211,Costs!$C$7:$C$89,0),MATCH(N$7,Costs!$E$6:$O$6,0))</f>
        <v>25.082401573303365</v>
      </c>
      <c r="O211" s="86">
        <f>GDPdeflator!$C$38*INDEX(Costs!$E$7:$O$89,MATCH($C211,Costs!$C$7:$C$89,0),MATCH(O$7,Costs!$E$6:$O$6,0))</f>
        <v>25.082401573303365</v>
      </c>
      <c r="P211" s="87">
        <f t="shared" si="118"/>
        <v>2159.6440364025539</v>
      </c>
      <c r="Q211" s="87">
        <f t="shared" si="108"/>
        <v>1987.5854198331522</v>
      </c>
      <c r="R211" s="87">
        <f t="shared" si="109"/>
        <v>1914.3808077546958</v>
      </c>
      <c r="S211" s="87">
        <f t="shared" si="110"/>
        <v>1977.2912966606582</v>
      </c>
      <c r="T211" s="87">
        <f t="shared" si="111"/>
        <v>2089.2134455282426</v>
      </c>
      <c r="U211" s="87">
        <f t="shared" si="112"/>
        <v>2092.8710320925425</v>
      </c>
      <c r="V211" s="87">
        <f t="shared" si="113"/>
        <v>2093.6025494054024</v>
      </c>
      <c r="W211" s="87">
        <f t="shared" si="114"/>
        <v>2094.3340667182624</v>
      </c>
      <c r="X211" s="87">
        <f t="shared" si="115"/>
        <v>2094.3340667182624</v>
      </c>
      <c r="Y211" s="87">
        <f t="shared" si="116"/>
        <v>2094.3340667182624</v>
      </c>
      <c r="Z211" s="87">
        <f t="shared" si="117"/>
        <v>2094.3340667182624</v>
      </c>
      <c r="AA211" s="88">
        <v>450</v>
      </c>
      <c r="AB211" s="89">
        <f>AA211*GDPdeflator!$C$25/$AI$18*10^3</f>
        <v>43.267274341798768</v>
      </c>
      <c r="AC211" s="90" t="e">
        <f>INDEX(Efficiencies!$D$8:$M$89,MATCH(C211,Efficiencies!$C$8:$C$89),MATCH(D211,Efficiencies!$D$7:$M$7))</f>
        <v>#REF!</v>
      </c>
      <c r="AD211" s="90" t="e">
        <f t="shared" si="103"/>
        <v>#REF!</v>
      </c>
      <c r="AE211" s="90" t="e">
        <f>INDEX(Efficiencies!$P$8:$Y$89,MATCH(C211,Efficiencies!$C$8:$C$89),MATCH(D211,Efficiencies!$P$7:$Y$7))</f>
        <v>#REF!</v>
      </c>
      <c r="AF211" s="90" t="e">
        <f t="shared" si="106"/>
        <v>#REF!</v>
      </c>
      <c r="AG211" s="90">
        <v>0</v>
      </c>
    </row>
    <row r="212" spans="1:33" x14ac:dyDescent="0.2">
      <c r="A212" s="92" t="s">
        <v>1210</v>
      </c>
      <c r="B212" s="248" t="s">
        <v>1211</v>
      </c>
      <c r="C212" s="40" t="s">
        <v>1199</v>
      </c>
      <c r="D212" s="40">
        <v>2040</v>
      </c>
      <c r="E212" s="86">
        <f>GDPdeflator!$C$32*INDEX(Costs!$E$7:$O$89,MATCH($C212,Costs!$C$7:$C$89,0),MATCH(E$7,Costs!$E$6:$O$6,0))</f>
        <v>25.864574251671023</v>
      </c>
      <c r="F212" s="86">
        <f>GDPdeflator!$C$36*INDEX(Costs!$E$7:$O$89,MATCH($C212,Costs!$C$7:$C$89,0),MATCH(F$7,Costs!$E$6:$O$6,0))</f>
        <v>23.803946301468603</v>
      </c>
      <c r="G212" s="86">
        <f>GDPdeflator!$C$38*INDEX(Costs!$E$7:$O$89,MATCH($C212,Costs!$C$7:$C$89,0),MATCH(G$7,Costs!$E$6:$O$6,0))</f>
        <v>22.927224910001716</v>
      </c>
      <c r="H212" s="86">
        <f>GDPdeflator!$C$38*INDEX(Costs!$E$7:$O$89,MATCH($C212,Costs!$C$7:$C$89,0),MATCH(H$7,Costs!$E$6:$O$6,0))</f>
        <v>23.680660654082779</v>
      </c>
      <c r="I212" s="86">
        <f>GDPdeflator!$C$38*INDEX(Costs!$E$7:$O$89,MATCH($C212,Costs!$C$7:$C$89,0),MATCH(I$7,Costs!$E$6:$O$6,0))</f>
        <v>25.021075408087462</v>
      </c>
      <c r="J212" s="86">
        <f>GDPdeflator!$C$38*INDEX(Costs!$E$7:$O$89,MATCH($C212,Costs!$C$7:$C$89,0),MATCH(J$7,Costs!$E$6:$O$6,0))</f>
        <v>25.064879811813107</v>
      </c>
      <c r="K212" s="86">
        <f>GDPdeflator!$C$38*INDEX(Costs!$E$7:$O$89,MATCH($C212,Costs!$C$7:$C$89,0),MATCH(K$7,Costs!$E$6:$O$6,0))</f>
        <v>25.073640692558236</v>
      </c>
      <c r="L212" s="86">
        <f>GDPdeflator!$C$38*INDEX(Costs!$E$7:$O$89,MATCH($C212,Costs!$C$7:$C$89,0),MATCH(L$7,Costs!$E$6:$O$6,0))</f>
        <v>25.082401573303365</v>
      </c>
      <c r="M212" s="86">
        <f>GDPdeflator!$C$38*INDEX(Costs!$E$7:$O$89,MATCH($C212,Costs!$C$7:$C$89,0),MATCH(M$7,Costs!$E$6:$O$6,0))</f>
        <v>25.082401573303365</v>
      </c>
      <c r="N212" s="86">
        <f>GDPdeflator!$C$38*INDEX(Costs!$E$7:$O$89,MATCH($C212,Costs!$C$7:$C$89,0),MATCH(N$7,Costs!$E$6:$O$6,0))</f>
        <v>25.082401573303365</v>
      </c>
      <c r="O212" s="86">
        <f>GDPdeflator!$C$38*INDEX(Costs!$E$7:$O$89,MATCH($C212,Costs!$C$7:$C$89,0),MATCH(O$7,Costs!$E$6:$O$6,0))</f>
        <v>25.082401573303365</v>
      </c>
      <c r="P212" s="87">
        <f t="shared" si="118"/>
        <v>2159.6440364025539</v>
      </c>
      <c r="Q212" s="87">
        <f t="shared" si="108"/>
        <v>1987.5854198331522</v>
      </c>
      <c r="R212" s="87">
        <f t="shared" si="109"/>
        <v>1914.3808077546958</v>
      </c>
      <c r="S212" s="87">
        <f t="shared" si="110"/>
        <v>1977.2912966606582</v>
      </c>
      <c r="T212" s="87">
        <f t="shared" si="111"/>
        <v>2089.2134455282426</v>
      </c>
      <c r="U212" s="87">
        <f t="shared" si="112"/>
        <v>2092.8710320925425</v>
      </c>
      <c r="V212" s="87">
        <f t="shared" si="113"/>
        <v>2093.6025494054024</v>
      </c>
      <c r="W212" s="87">
        <f t="shared" si="114"/>
        <v>2094.3340667182624</v>
      </c>
      <c r="X212" s="87">
        <f t="shared" si="115"/>
        <v>2094.3340667182624</v>
      </c>
      <c r="Y212" s="87">
        <f t="shared" si="116"/>
        <v>2094.3340667182624</v>
      </c>
      <c r="Z212" s="87">
        <f t="shared" si="117"/>
        <v>2094.3340667182624</v>
      </c>
      <c r="AA212" s="88">
        <v>450</v>
      </c>
      <c r="AB212" s="89">
        <f>AA212*GDPdeflator!$C$25/$AI$18*10^3</f>
        <v>43.267274341798768</v>
      </c>
      <c r="AC212" s="90" t="e">
        <f>INDEX(Efficiencies!$D$8:$M$89,MATCH(C212,Efficiencies!$C$8:$C$89),MATCH(D212,Efficiencies!$D$7:$M$7))</f>
        <v>#REF!</v>
      </c>
      <c r="AD212" s="90" t="e">
        <f t="shared" si="103"/>
        <v>#REF!</v>
      </c>
      <c r="AE212" s="90" t="e">
        <f>INDEX(Efficiencies!$P$8:$Y$89,MATCH(C212,Efficiencies!$C$8:$C$89),MATCH(D212,Efficiencies!$P$7:$Y$7))</f>
        <v>#REF!</v>
      </c>
      <c r="AF212" s="90" t="e">
        <f t="shared" si="106"/>
        <v>#REF!</v>
      </c>
      <c r="AG212" s="90">
        <v>0</v>
      </c>
    </row>
    <row r="213" spans="1:33" x14ac:dyDescent="0.2">
      <c r="A213" s="92" t="s">
        <v>1212</v>
      </c>
      <c r="B213" s="248" t="s">
        <v>1213</v>
      </c>
      <c r="C213" s="40" t="s">
        <v>1199</v>
      </c>
      <c r="D213" s="40">
        <v>2045</v>
      </c>
      <c r="E213" s="86">
        <f>GDPdeflator!$C$32*INDEX(Costs!$E$7:$O$89,MATCH($C213,Costs!$C$7:$C$89,0),MATCH(E$7,Costs!$E$6:$O$6,0))</f>
        <v>25.864574251671023</v>
      </c>
      <c r="F213" s="86">
        <f>GDPdeflator!$C$36*INDEX(Costs!$E$7:$O$89,MATCH($C213,Costs!$C$7:$C$89,0),MATCH(F$7,Costs!$E$6:$O$6,0))</f>
        <v>23.803946301468603</v>
      </c>
      <c r="G213" s="86">
        <f>GDPdeflator!$C$38*INDEX(Costs!$E$7:$O$89,MATCH($C213,Costs!$C$7:$C$89,0),MATCH(G$7,Costs!$E$6:$O$6,0))</f>
        <v>22.927224910001716</v>
      </c>
      <c r="H213" s="86">
        <f>GDPdeflator!$C$38*INDEX(Costs!$E$7:$O$89,MATCH($C213,Costs!$C$7:$C$89,0),MATCH(H$7,Costs!$E$6:$O$6,0))</f>
        <v>23.680660654082779</v>
      </c>
      <c r="I213" s="86">
        <f>GDPdeflator!$C$38*INDEX(Costs!$E$7:$O$89,MATCH($C213,Costs!$C$7:$C$89,0),MATCH(I$7,Costs!$E$6:$O$6,0))</f>
        <v>25.021075408087462</v>
      </c>
      <c r="J213" s="86">
        <f>GDPdeflator!$C$38*INDEX(Costs!$E$7:$O$89,MATCH($C213,Costs!$C$7:$C$89,0),MATCH(J$7,Costs!$E$6:$O$6,0))</f>
        <v>25.064879811813107</v>
      </c>
      <c r="K213" s="86">
        <f>GDPdeflator!$C$38*INDEX(Costs!$E$7:$O$89,MATCH($C213,Costs!$C$7:$C$89,0),MATCH(K$7,Costs!$E$6:$O$6,0))</f>
        <v>25.073640692558236</v>
      </c>
      <c r="L213" s="86">
        <f>GDPdeflator!$C$38*INDEX(Costs!$E$7:$O$89,MATCH($C213,Costs!$C$7:$C$89,0),MATCH(L$7,Costs!$E$6:$O$6,0))</f>
        <v>25.082401573303365</v>
      </c>
      <c r="M213" s="86">
        <f>GDPdeflator!$C$38*INDEX(Costs!$E$7:$O$89,MATCH($C213,Costs!$C$7:$C$89,0),MATCH(M$7,Costs!$E$6:$O$6,0))</f>
        <v>25.082401573303365</v>
      </c>
      <c r="N213" s="86">
        <f>GDPdeflator!$C$38*INDEX(Costs!$E$7:$O$89,MATCH($C213,Costs!$C$7:$C$89,0),MATCH(N$7,Costs!$E$6:$O$6,0))</f>
        <v>25.082401573303365</v>
      </c>
      <c r="O213" s="86">
        <f>GDPdeflator!$C$38*INDEX(Costs!$E$7:$O$89,MATCH($C213,Costs!$C$7:$C$89,0),MATCH(O$7,Costs!$E$6:$O$6,0))</f>
        <v>25.082401573303365</v>
      </c>
      <c r="P213" s="87">
        <f t="shared" si="118"/>
        <v>2159.6440364025539</v>
      </c>
      <c r="Q213" s="87">
        <f t="shared" si="108"/>
        <v>1987.5854198331522</v>
      </c>
      <c r="R213" s="87">
        <f t="shared" si="109"/>
        <v>1914.3808077546958</v>
      </c>
      <c r="S213" s="87">
        <f t="shared" si="110"/>
        <v>1977.2912966606582</v>
      </c>
      <c r="T213" s="87">
        <f t="shared" si="111"/>
        <v>2089.2134455282426</v>
      </c>
      <c r="U213" s="87">
        <f t="shared" si="112"/>
        <v>2092.8710320925425</v>
      </c>
      <c r="V213" s="87">
        <f t="shared" si="113"/>
        <v>2093.6025494054024</v>
      </c>
      <c r="W213" s="87">
        <f t="shared" si="114"/>
        <v>2094.3340667182624</v>
      </c>
      <c r="X213" s="87">
        <f t="shared" si="115"/>
        <v>2094.3340667182624</v>
      </c>
      <c r="Y213" s="87">
        <f t="shared" si="116"/>
        <v>2094.3340667182624</v>
      </c>
      <c r="Z213" s="87">
        <f t="shared" si="117"/>
        <v>2094.3340667182624</v>
      </c>
      <c r="AA213" s="88">
        <v>450</v>
      </c>
      <c r="AB213" s="89">
        <f>AA213*GDPdeflator!$C$25/$AI$18*10^3</f>
        <v>43.267274341798768</v>
      </c>
      <c r="AC213" s="90" t="e">
        <f>INDEX(Efficiencies!$D$8:$M$89,MATCH(C213,Efficiencies!$C$8:$C$89),MATCH(D213,Efficiencies!$D$7:$M$7))</f>
        <v>#REF!</v>
      </c>
      <c r="AD213" s="90" t="e">
        <f t="shared" si="103"/>
        <v>#REF!</v>
      </c>
      <c r="AE213" s="90" t="e">
        <f>INDEX(Efficiencies!$P$8:$Y$89,MATCH(C213,Efficiencies!$C$8:$C$89),MATCH(D213,Efficiencies!$P$7:$Y$7))</f>
        <v>#REF!</v>
      </c>
      <c r="AF213" s="90" t="e">
        <f t="shared" si="106"/>
        <v>#REF!</v>
      </c>
      <c r="AG213" s="90">
        <v>0</v>
      </c>
    </row>
    <row r="214" spans="1:33" x14ac:dyDescent="0.2">
      <c r="A214" s="92" t="s">
        <v>1214</v>
      </c>
      <c r="B214" s="248" t="s">
        <v>1215</v>
      </c>
      <c r="C214" s="40" t="s">
        <v>1199</v>
      </c>
      <c r="D214" s="40">
        <v>2050</v>
      </c>
      <c r="E214" s="86">
        <f>GDPdeflator!$C$32*INDEX(Costs!$E$7:$O$89,MATCH($C214,Costs!$C$7:$C$89,0),MATCH(E$7,Costs!$E$6:$O$6,0))</f>
        <v>25.864574251671023</v>
      </c>
      <c r="F214" s="86">
        <f>GDPdeflator!$C$36*INDEX(Costs!$E$7:$O$89,MATCH($C214,Costs!$C$7:$C$89,0),MATCH(F$7,Costs!$E$6:$O$6,0))</f>
        <v>23.803946301468603</v>
      </c>
      <c r="G214" s="86">
        <f>GDPdeflator!$C$38*INDEX(Costs!$E$7:$O$89,MATCH($C214,Costs!$C$7:$C$89,0),MATCH(G$7,Costs!$E$6:$O$6,0))</f>
        <v>22.927224910001716</v>
      </c>
      <c r="H214" s="86">
        <f>GDPdeflator!$C$38*INDEX(Costs!$E$7:$O$89,MATCH($C214,Costs!$C$7:$C$89,0),MATCH(H$7,Costs!$E$6:$O$6,0))</f>
        <v>23.680660654082779</v>
      </c>
      <c r="I214" s="86">
        <f>GDPdeflator!$C$38*INDEX(Costs!$E$7:$O$89,MATCH($C214,Costs!$C$7:$C$89,0),MATCH(I$7,Costs!$E$6:$O$6,0))</f>
        <v>25.021075408087462</v>
      </c>
      <c r="J214" s="86">
        <f>GDPdeflator!$C$38*INDEX(Costs!$E$7:$O$89,MATCH($C214,Costs!$C$7:$C$89,0),MATCH(J$7,Costs!$E$6:$O$6,0))</f>
        <v>25.064879811813107</v>
      </c>
      <c r="K214" s="86">
        <f>GDPdeflator!$C$38*INDEX(Costs!$E$7:$O$89,MATCH($C214,Costs!$C$7:$C$89,0),MATCH(K$7,Costs!$E$6:$O$6,0))</f>
        <v>25.073640692558236</v>
      </c>
      <c r="L214" s="86">
        <f>GDPdeflator!$C$38*INDEX(Costs!$E$7:$O$89,MATCH($C214,Costs!$C$7:$C$89,0),MATCH(L$7,Costs!$E$6:$O$6,0))</f>
        <v>25.082401573303365</v>
      </c>
      <c r="M214" s="86">
        <f>GDPdeflator!$C$38*INDEX(Costs!$E$7:$O$89,MATCH($C214,Costs!$C$7:$C$89,0),MATCH(M$7,Costs!$E$6:$O$6,0))</f>
        <v>25.082401573303365</v>
      </c>
      <c r="N214" s="86">
        <f>GDPdeflator!$C$38*INDEX(Costs!$E$7:$O$89,MATCH($C214,Costs!$C$7:$C$89,0),MATCH(N$7,Costs!$E$6:$O$6,0))</f>
        <v>25.082401573303365</v>
      </c>
      <c r="O214" s="86">
        <f>GDPdeflator!$C$38*INDEX(Costs!$E$7:$O$89,MATCH($C214,Costs!$C$7:$C$89,0),MATCH(O$7,Costs!$E$6:$O$6,0))</f>
        <v>25.082401573303365</v>
      </c>
      <c r="P214" s="87">
        <f t="shared" si="118"/>
        <v>2159.6440364025539</v>
      </c>
      <c r="Q214" s="87">
        <f t="shared" si="108"/>
        <v>1987.5854198331522</v>
      </c>
      <c r="R214" s="87">
        <f t="shared" si="109"/>
        <v>1914.3808077546958</v>
      </c>
      <c r="S214" s="87">
        <f t="shared" si="110"/>
        <v>1977.2912966606582</v>
      </c>
      <c r="T214" s="87">
        <f t="shared" si="111"/>
        <v>2089.2134455282426</v>
      </c>
      <c r="U214" s="87">
        <f t="shared" si="112"/>
        <v>2092.8710320925425</v>
      </c>
      <c r="V214" s="87">
        <f t="shared" si="113"/>
        <v>2093.6025494054024</v>
      </c>
      <c r="W214" s="87">
        <f t="shared" si="114"/>
        <v>2094.3340667182624</v>
      </c>
      <c r="X214" s="87">
        <f t="shared" si="115"/>
        <v>2094.3340667182624</v>
      </c>
      <c r="Y214" s="87">
        <f t="shared" si="116"/>
        <v>2094.3340667182624</v>
      </c>
      <c r="Z214" s="87">
        <f t="shared" si="117"/>
        <v>2094.3340667182624</v>
      </c>
      <c r="AA214" s="88">
        <v>450</v>
      </c>
      <c r="AB214" s="89">
        <f>AA214*GDPdeflator!$C$25/$AI$18*10^3</f>
        <v>43.267274341798768</v>
      </c>
      <c r="AC214" s="90" t="e">
        <f>INDEX(Efficiencies!$D$8:$M$89,MATCH(C214,Efficiencies!$C$8:$C$89),MATCH(D214,Efficiencies!$D$7:$M$7))</f>
        <v>#REF!</v>
      </c>
      <c r="AD214" s="90" t="e">
        <f t="shared" si="103"/>
        <v>#REF!</v>
      </c>
      <c r="AE214" s="90" t="e">
        <f>INDEX(Efficiencies!$P$8:$Y$89,MATCH(C214,Efficiencies!$C$8:$C$89),MATCH(D214,Efficiencies!$P$7:$Y$7))</f>
        <v>#REF!</v>
      </c>
      <c r="AF214" s="90" t="e">
        <f t="shared" si="106"/>
        <v>#REF!</v>
      </c>
      <c r="AG214" s="90">
        <v>0</v>
      </c>
    </row>
    <row r="215" spans="1:33" x14ac:dyDescent="0.2">
      <c r="A215" s="92" t="s">
        <v>1216</v>
      </c>
      <c r="B215" s="248" t="s">
        <v>1217</v>
      </c>
      <c r="C215" s="40" t="s">
        <v>1218</v>
      </c>
      <c r="D215" s="40">
        <v>2010</v>
      </c>
      <c r="E215" s="86">
        <f>GDPdeflator!$C$32*INDEX(Costs!$E$7:$O$89,MATCH($C215,Costs!$C$7:$C$89,0),MATCH(E$7,Costs!$E$6:$O$6,0))</f>
        <v>0</v>
      </c>
      <c r="F215" s="86">
        <f>GDPdeflator!$C$36*INDEX(Costs!$E$7:$O$89,MATCH($C215,Costs!$C$7:$C$89,0),MATCH(F$7,Costs!$E$6:$O$6,0))</f>
        <v>0</v>
      </c>
      <c r="G215" s="86">
        <f>GDPdeflator!$C$38*INDEX(Costs!$E$7:$O$89,MATCH($C215,Costs!$C$7:$C$89,0),MATCH(G$7,Costs!$E$6:$O$6,0))</f>
        <v>0</v>
      </c>
      <c r="H215" s="86">
        <f>GDPdeflator!$C$38*INDEX(Costs!$E$7:$O$89,MATCH($C215,Costs!$C$7:$C$89,0),MATCH(H$7,Costs!$E$6:$O$6,0))</f>
        <v>0</v>
      </c>
      <c r="I215" s="86">
        <f>GDPdeflator!$C$38*INDEX(Costs!$E$7:$O$89,MATCH($C215,Costs!$C$7:$C$89,0),MATCH(I$7,Costs!$E$6:$O$6,0))</f>
        <v>0</v>
      </c>
      <c r="J215" s="86">
        <f>GDPdeflator!$C$38*INDEX(Costs!$E$7:$O$89,MATCH($C215,Costs!$C$7:$C$89,0),MATCH(J$7,Costs!$E$6:$O$6,0))</f>
        <v>0</v>
      </c>
      <c r="K215" s="86">
        <f>GDPdeflator!$C$38*INDEX(Costs!$E$7:$O$89,MATCH($C215,Costs!$C$7:$C$89,0),MATCH(K$7,Costs!$E$6:$O$6,0))</f>
        <v>0</v>
      </c>
      <c r="L215" s="86">
        <f>GDPdeflator!$C$38*INDEX(Costs!$E$7:$O$89,MATCH($C215,Costs!$C$7:$C$89,0),MATCH(L$7,Costs!$E$6:$O$6,0))</f>
        <v>0</v>
      </c>
      <c r="M215" s="86">
        <f>GDPdeflator!$C$38*INDEX(Costs!$E$7:$O$89,MATCH($C215,Costs!$C$7:$C$89,0),MATCH(M$7,Costs!$E$6:$O$6,0))</f>
        <v>0</v>
      </c>
      <c r="N215" s="86">
        <f>GDPdeflator!$C$38*INDEX(Costs!$E$7:$O$89,MATCH($C215,Costs!$C$7:$C$89,0),MATCH(N$7,Costs!$E$6:$O$6,0))</f>
        <v>0</v>
      </c>
      <c r="O215" s="86">
        <f>GDPdeflator!$C$38*INDEX(Costs!$E$7:$O$89,MATCH($C215,Costs!$C$7:$C$89,0),MATCH(O$7,Costs!$E$6:$O$6,0))</f>
        <v>0</v>
      </c>
      <c r="P215" s="87">
        <f>E215/$AI$18*10^6</f>
        <v>0</v>
      </c>
      <c r="Q215" s="87">
        <f t="shared" si="108"/>
        <v>0</v>
      </c>
      <c r="R215" s="87">
        <f t="shared" si="109"/>
        <v>0</v>
      </c>
      <c r="S215" s="87">
        <f t="shared" si="110"/>
        <v>0</v>
      </c>
      <c r="T215" s="87">
        <f t="shared" si="111"/>
        <v>0</v>
      </c>
      <c r="U215" s="87">
        <f t="shared" si="112"/>
        <v>0</v>
      </c>
      <c r="V215" s="87">
        <f t="shared" si="113"/>
        <v>0</v>
      </c>
      <c r="W215" s="87">
        <f t="shared" si="114"/>
        <v>0</v>
      </c>
      <c r="X215" s="87">
        <f t="shared" si="115"/>
        <v>0</v>
      </c>
      <c r="Y215" s="87">
        <f t="shared" si="116"/>
        <v>0</v>
      </c>
      <c r="Z215" s="87">
        <f t="shared" si="117"/>
        <v>0</v>
      </c>
      <c r="AA215" s="88">
        <v>472.5</v>
      </c>
      <c r="AB215" s="89">
        <f>AA215*GDPdeflator!$C$25/$AI$18*10^3</f>
        <v>45.430638058888704</v>
      </c>
      <c r="AC215" s="90" t="e">
        <f>INDEX(Efficiencies!$D$8:$M$89,MATCH(C215,Efficiencies!$C$8:$C$89),MATCH(D215,Efficiencies!$D$7:$M$7))</f>
        <v>#REF!</v>
      </c>
      <c r="AD215" s="90" t="e">
        <f t="shared" si="103"/>
        <v>#REF!</v>
      </c>
      <c r="AE215" s="90" t="e">
        <f>INDEX(Efficiencies!$P$8:$Y$89,MATCH(C215,Efficiencies!$C$8:$C$89),MATCH(D215,Efficiencies!$P$7:$Y$7))</f>
        <v>#REF!</v>
      </c>
      <c r="AF215" s="90" t="e">
        <f t="shared" si="106"/>
        <v>#REF!</v>
      </c>
      <c r="AG215" s="90">
        <v>0</v>
      </c>
    </row>
    <row r="216" spans="1:33" x14ac:dyDescent="0.2">
      <c r="A216" s="92" t="s">
        <v>1219</v>
      </c>
      <c r="B216" s="248" t="s">
        <v>1220</v>
      </c>
      <c r="C216" s="40" t="s">
        <v>1218</v>
      </c>
      <c r="D216" s="40">
        <v>2015</v>
      </c>
      <c r="E216" s="86">
        <f>GDPdeflator!$C$32*INDEX(Costs!$E$7:$O$89,MATCH($C216,Costs!$C$7:$C$89,0),MATCH(E$7,Costs!$E$6:$O$6,0))</f>
        <v>0</v>
      </c>
      <c r="F216" s="86">
        <f>GDPdeflator!$C$36*INDEX(Costs!$E$7:$O$89,MATCH($C216,Costs!$C$7:$C$89,0),MATCH(F$7,Costs!$E$6:$O$6,0))</f>
        <v>0</v>
      </c>
      <c r="G216" s="86">
        <f>GDPdeflator!$C$38*INDEX(Costs!$E$7:$O$89,MATCH($C216,Costs!$C$7:$C$89,0),MATCH(G$7,Costs!$E$6:$O$6,0))</f>
        <v>0</v>
      </c>
      <c r="H216" s="86">
        <f>GDPdeflator!$C$38*INDEX(Costs!$E$7:$O$89,MATCH($C216,Costs!$C$7:$C$89,0),MATCH(H$7,Costs!$E$6:$O$6,0))</f>
        <v>0</v>
      </c>
      <c r="I216" s="86">
        <f>GDPdeflator!$C$38*INDEX(Costs!$E$7:$O$89,MATCH($C216,Costs!$C$7:$C$89,0),MATCH(I$7,Costs!$E$6:$O$6,0))</f>
        <v>0</v>
      </c>
      <c r="J216" s="86">
        <f>GDPdeflator!$C$38*INDEX(Costs!$E$7:$O$89,MATCH($C216,Costs!$C$7:$C$89,0),MATCH(J$7,Costs!$E$6:$O$6,0))</f>
        <v>0</v>
      </c>
      <c r="K216" s="86">
        <f>GDPdeflator!$C$38*INDEX(Costs!$E$7:$O$89,MATCH($C216,Costs!$C$7:$C$89,0),MATCH(K$7,Costs!$E$6:$O$6,0))</f>
        <v>0</v>
      </c>
      <c r="L216" s="86">
        <f>GDPdeflator!$C$38*INDEX(Costs!$E$7:$O$89,MATCH($C216,Costs!$C$7:$C$89,0),MATCH(L$7,Costs!$E$6:$O$6,0))</f>
        <v>0</v>
      </c>
      <c r="M216" s="86">
        <f>GDPdeflator!$C$38*INDEX(Costs!$E$7:$O$89,MATCH($C216,Costs!$C$7:$C$89,0),MATCH(M$7,Costs!$E$6:$O$6,0))</f>
        <v>0</v>
      </c>
      <c r="N216" s="86">
        <f>GDPdeflator!$C$38*INDEX(Costs!$E$7:$O$89,MATCH($C216,Costs!$C$7:$C$89,0),MATCH(N$7,Costs!$E$6:$O$6,0))</f>
        <v>0</v>
      </c>
      <c r="O216" s="86">
        <f>GDPdeflator!$C$38*INDEX(Costs!$E$7:$O$89,MATCH($C216,Costs!$C$7:$C$89,0),MATCH(O$7,Costs!$E$6:$O$6,0))</f>
        <v>0</v>
      </c>
      <c r="P216" s="87">
        <f t="shared" ref="P216:P223" si="119">E216/$AI$18*10^6</f>
        <v>0</v>
      </c>
      <c r="Q216" s="87">
        <f t="shared" si="108"/>
        <v>0</v>
      </c>
      <c r="R216" s="87">
        <f t="shared" si="109"/>
        <v>0</v>
      </c>
      <c r="S216" s="87">
        <f t="shared" si="110"/>
        <v>0</v>
      </c>
      <c r="T216" s="87">
        <f t="shared" si="111"/>
        <v>0</v>
      </c>
      <c r="U216" s="87">
        <f t="shared" si="112"/>
        <v>0</v>
      </c>
      <c r="V216" s="87">
        <f t="shared" si="113"/>
        <v>0</v>
      </c>
      <c r="W216" s="87">
        <f t="shared" si="114"/>
        <v>0</v>
      </c>
      <c r="X216" s="87">
        <f t="shared" si="115"/>
        <v>0</v>
      </c>
      <c r="Y216" s="87">
        <f t="shared" si="116"/>
        <v>0</v>
      </c>
      <c r="Z216" s="87">
        <f t="shared" si="117"/>
        <v>0</v>
      </c>
      <c r="AA216" s="88">
        <v>472.5</v>
      </c>
      <c r="AB216" s="89">
        <f>AA216*GDPdeflator!$C$25/$AI$18*10^3</f>
        <v>45.430638058888704</v>
      </c>
      <c r="AC216" s="90" t="e">
        <f>INDEX(Efficiencies!$D$8:$M$89,MATCH(C216,Efficiencies!$C$8:$C$89),MATCH(D216,Efficiencies!$D$7:$M$7))</f>
        <v>#REF!</v>
      </c>
      <c r="AD216" s="90" t="e">
        <f t="shared" si="103"/>
        <v>#REF!</v>
      </c>
      <c r="AE216" s="90" t="e">
        <f>INDEX(Efficiencies!$P$8:$Y$89,MATCH(C216,Efficiencies!$C$8:$C$89),MATCH(D216,Efficiencies!$P$7:$Y$7))</f>
        <v>#REF!</v>
      </c>
      <c r="AF216" s="90" t="e">
        <f t="shared" si="106"/>
        <v>#REF!</v>
      </c>
      <c r="AG216" s="90">
        <v>0</v>
      </c>
    </row>
    <row r="217" spans="1:33" x14ac:dyDescent="0.2">
      <c r="A217" s="92" t="s">
        <v>1221</v>
      </c>
      <c r="B217" s="248" t="s">
        <v>1222</v>
      </c>
      <c r="C217" s="40" t="s">
        <v>1218</v>
      </c>
      <c r="D217" s="40">
        <v>2020</v>
      </c>
      <c r="E217" s="86">
        <f>GDPdeflator!$C$32*INDEX(Costs!$E$7:$O$89,MATCH($C217,Costs!$C$7:$C$89,0),MATCH(E$7,Costs!$E$6:$O$6,0))</f>
        <v>0</v>
      </c>
      <c r="F217" s="86">
        <f>GDPdeflator!$C$36*INDEX(Costs!$E$7:$O$89,MATCH($C217,Costs!$C$7:$C$89,0),MATCH(F$7,Costs!$E$6:$O$6,0))</f>
        <v>0</v>
      </c>
      <c r="G217" s="86">
        <f>GDPdeflator!$C$38*INDEX(Costs!$E$7:$O$89,MATCH($C217,Costs!$C$7:$C$89,0),MATCH(G$7,Costs!$E$6:$O$6,0))</f>
        <v>0</v>
      </c>
      <c r="H217" s="86">
        <f>GDPdeflator!$C$38*INDEX(Costs!$E$7:$O$89,MATCH($C217,Costs!$C$7:$C$89,0),MATCH(H$7,Costs!$E$6:$O$6,0))</f>
        <v>0</v>
      </c>
      <c r="I217" s="86">
        <f>GDPdeflator!$C$38*INDEX(Costs!$E$7:$O$89,MATCH($C217,Costs!$C$7:$C$89,0),MATCH(I$7,Costs!$E$6:$O$6,0))</f>
        <v>0</v>
      </c>
      <c r="J217" s="86">
        <f>GDPdeflator!$C$38*INDEX(Costs!$E$7:$O$89,MATCH($C217,Costs!$C$7:$C$89,0),MATCH(J$7,Costs!$E$6:$O$6,0))</f>
        <v>0</v>
      </c>
      <c r="K217" s="86">
        <f>GDPdeflator!$C$38*INDEX(Costs!$E$7:$O$89,MATCH($C217,Costs!$C$7:$C$89,0),MATCH(K$7,Costs!$E$6:$O$6,0))</f>
        <v>0</v>
      </c>
      <c r="L217" s="86">
        <f>GDPdeflator!$C$38*INDEX(Costs!$E$7:$O$89,MATCH($C217,Costs!$C$7:$C$89,0),MATCH(L$7,Costs!$E$6:$O$6,0))</f>
        <v>0</v>
      </c>
      <c r="M217" s="86">
        <f>GDPdeflator!$C$38*INDEX(Costs!$E$7:$O$89,MATCH($C217,Costs!$C$7:$C$89,0),MATCH(M$7,Costs!$E$6:$O$6,0))</f>
        <v>0</v>
      </c>
      <c r="N217" s="86">
        <f>GDPdeflator!$C$38*INDEX(Costs!$E$7:$O$89,MATCH($C217,Costs!$C$7:$C$89,0),MATCH(N$7,Costs!$E$6:$O$6,0))</f>
        <v>0</v>
      </c>
      <c r="O217" s="86">
        <f>GDPdeflator!$C$38*INDEX(Costs!$E$7:$O$89,MATCH($C217,Costs!$C$7:$C$89,0),MATCH(O$7,Costs!$E$6:$O$6,0))</f>
        <v>0</v>
      </c>
      <c r="P217" s="87">
        <f t="shared" si="119"/>
        <v>0</v>
      </c>
      <c r="Q217" s="87">
        <f t="shared" si="108"/>
        <v>0</v>
      </c>
      <c r="R217" s="87">
        <f t="shared" si="109"/>
        <v>0</v>
      </c>
      <c r="S217" s="87">
        <f t="shared" si="110"/>
        <v>0</v>
      </c>
      <c r="T217" s="87">
        <f t="shared" si="111"/>
        <v>0</v>
      </c>
      <c r="U217" s="87">
        <f t="shared" si="112"/>
        <v>0</v>
      </c>
      <c r="V217" s="87">
        <f t="shared" si="113"/>
        <v>0</v>
      </c>
      <c r="W217" s="87">
        <f t="shared" si="114"/>
        <v>0</v>
      </c>
      <c r="X217" s="87">
        <f t="shared" si="115"/>
        <v>0</v>
      </c>
      <c r="Y217" s="87">
        <f t="shared" si="116"/>
        <v>0</v>
      </c>
      <c r="Z217" s="87">
        <f t="shared" si="117"/>
        <v>0</v>
      </c>
      <c r="AA217" s="88">
        <v>472.5</v>
      </c>
      <c r="AB217" s="89">
        <f>AA217*GDPdeflator!$C$25/$AI$18*10^3</f>
        <v>45.430638058888704</v>
      </c>
      <c r="AC217" s="90" t="e">
        <f>INDEX(Efficiencies!$D$8:$M$89,MATCH(C217,Efficiencies!$C$8:$C$89),MATCH(D217,Efficiencies!$D$7:$M$7))</f>
        <v>#REF!</v>
      </c>
      <c r="AD217" s="90" t="e">
        <f t="shared" si="103"/>
        <v>#REF!</v>
      </c>
      <c r="AE217" s="90" t="e">
        <f>INDEX(Efficiencies!$P$8:$Y$89,MATCH(C217,Efficiencies!$C$8:$C$89),MATCH(D217,Efficiencies!$P$7:$Y$7))</f>
        <v>#REF!</v>
      </c>
      <c r="AF217" s="90" t="e">
        <f t="shared" si="106"/>
        <v>#REF!</v>
      </c>
      <c r="AG217" s="90">
        <v>0</v>
      </c>
    </row>
    <row r="218" spans="1:33" x14ac:dyDescent="0.2">
      <c r="A218" s="92" t="s">
        <v>1223</v>
      </c>
      <c r="B218" s="248" t="s">
        <v>1224</v>
      </c>
      <c r="C218" s="40" t="s">
        <v>1218</v>
      </c>
      <c r="D218" s="40">
        <v>2025</v>
      </c>
      <c r="E218" s="86">
        <f>GDPdeflator!$C$32*INDEX(Costs!$E$7:$O$89,MATCH($C218,Costs!$C$7:$C$89,0),MATCH(E$7,Costs!$E$6:$O$6,0))</f>
        <v>0</v>
      </c>
      <c r="F218" s="86">
        <f>GDPdeflator!$C$36*INDEX(Costs!$E$7:$O$89,MATCH($C218,Costs!$C$7:$C$89,0),MATCH(F$7,Costs!$E$6:$O$6,0))</f>
        <v>0</v>
      </c>
      <c r="G218" s="86">
        <f>GDPdeflator!$C$38*INDEX(Costs!$E$7:$O$89,MATCH($C218,Costs!$C$7:$C$89,0),MATCH(G$7,Costs!$E$6:$O$6,0))</f>
        <v>0</v>
      </c>
      <c r="H218" s="86">
        <f>GDPdeflator!$C$38*INDEX(Costs!$E$7:$O$89,MATCH($C218,Costs!$C$7:$C$89,0),MATCH(H$7,Costs!$E$6:$O$6,0))</f>
        <v>0</v>
      </c>
      <c r="I218" s="86">
        <f>GDPdeflator!$C$38*INDEX(Costs!$E$7:$O$89,MATCH($C218,Costs!$C$7:$C$89,0),MATCH(I$7,Costs!$E$6:$O$6,0))</f>
        <v>0</v>
      </c>
      <c r="J218" s="86">
        <f>GDPdeflator!$C$38*INDEX(Costs!$E$7:$O$89,MATCH($C218,Costs!$C$7:$C$89,0),MATCH(J$7,Costs!$E$6:$O$6,0))</f>
        <v>0</v>
      </c>
      <c r="K218" s="86">
        <f>GDPdeflator!$C$38*INDEX(Costs!$E$7:$O$89,MATCH($C218,Costs!$C$7:$C$89,0),MATCH(K$7,Costs!$E$6:$O$6,0))</f>
        <v>0</v>
      </c>
      <c r="L218" s="86">
        <f>GDPdeflator!$C$38*INDEX(Costs!$E$7:$O$89,MATCH($C218,Costs!$C$7:$C$89,0),MATCH(L$7,Costs!$E$6:$O$6,0))</f>
        <v>0</v>
      </c>
      <c r="M218" s="86">
        <f>GDPdeflator!$C$38*INDEX(Costs!$E$7:$O$89,MATCH($C218,Costs!$C$7:$C$89,0),MATCH(M$7,Costs!$E$6:$O$6,0))</f>
        <v>0</v>
      </c>
      <c r="N218" s="86">
        <f>GDPdeflator!$C$38*INDEX(Costs!$E$7:$O$89,MATCH($C218,Costs!$C$7:$C$89,0),MATCH(N$7,Costs!$E$6:$O$6,0))</f>
        <v>0</v>
      </c>
      <c r="O218" s="86">
        <f>GDPdeflator!$C$38*INDEX(Costs!$E$7:$O$89,MATCH($C218,Costs!$C$7:$C$89,0),MATCH(O$7,Costs!$E$6:$O$6,0))</f>
        <v>0</v>
      </c>
      <c r="P218" s="87">
        <f t="shared" si="119"/>
        <v>0</v>
      </c>
      <c r="Q218" s="87">
        <f t="shared" si="108"/>
        <v>0</v>
      </c>
      <c r="R218" s="87">
        <f t="shared" si="109"/>
        <v>0</v>
      </c>
      <c r="S218" s="87">
        <f t="shared" si="110"/>
        <v>0</v>
      </c>
      <c r="T218" s="87">
        <f t="shared" si="111"/>
        <v>0</v>
      </c>
      <c r="U218" s="87">
        <f t="shared" si="112"/>
        <v>0</v>
      </c>
      <c r="V218" s="87">
        <f t="shared" si="113"/>
        <v>0</v>
      </c>
      <c r="W218" s="87">
        <f t="shared" si="114"/>
        <v>0</v>
      </c>
      <c r="X218" s="87">
        <f t="shared" si="115"/>
        <v>0</v>
      </c>
      <c r="Y218" s="87">
        <f t="shared" si="116"/>
        <v>0</v>
      </c>
      <c r="Z218" s="87">
        <f t="shared" si="117"/>
        <v>0</v>
      </c>
      <c r="AA218" s="88">
        <v>472.5</v>
      </c>
      <c r="AB218" s="89">
        <f>AA218*GDPdeflator!$C$25/$AI$18*10^3</f>
        <v>45.430638058888704</v>
      </c>
      <c r="AC218" s="90" t="e">
        <f>INDEX(Efficiencies!$D$8:$M$89,MATCH(C218,Efficiencies!$C$8:$C$89),MATCH(D218,Efficiencies!$D$7:$M$7))</f>
        <v>#REF!</v>
      </c>
      <c r="AD218" s="90" t="e">
        <f t="shared" si="103"/>
        <v>#REF!</v>
      </c>
      <c r="AE218" s="90" t="e">
        <f>INDEX(Efficiencies!$P$8:$Y$89,MATCH(C218,Efficiencies!$C$8:$C$89),MATCH(D218,Efficiencies!$P$7:$Y$7))</f>
        <v>#REF!</v>
      </c>
      <c r="AF218" s="90" t="e">
        <f t="shared" si="106"/>
        <v>#REF!</v>
      </c>
      <c r="AG218" s="90">
        <v>0</v>
      </c>
    </row>
    <row r="219" spans="1:33" x14ac:dyDescent="0.2">
      <c r="A219" s="92" t="s">
        <v>1225</v>
      </c>
      <c r="B219" s="248" t="s">
        <v>1226</v>
      </c>
      <c r="C219" s="40" t="s">
        <v>1218</v>
      </c>
      <c r="D219" s="40">
        <v>2030</v>
      </c>
      <c r="E219" s="86">
        <f>GDPdeflator!$C$32*INDEX(Costs!$E$7:$O$89,MATCH($C219,Costs!$C$7:$C$89,0),MATCH(E$7,Costs!$E$6:$O$6,0))</f>
        <v>0</v>
      </c>
      <c r="F219" s="86">
        <f>GDPdeflator!$C$36*INDEX(Costs!$E$7:$O$89,MATCH($C219,Costs!$C$7:$C$89,0),MATCH(F$7,Costs!$E$6:$O$6,0))</f>
        <v>0</v>
      </c>
      <c r="G219" s="86">
        <f>GDPdeflator!$C$38*INDEX(Costs!$E$7:$O$89,MATCH($C219,Costs!$C$7:$C$89,0),MATCH(G$7,Costs!$E$6:$O$6,0))</f>
        <v>0</v>
      </c>
      <c r="H219" s="86">
        <f>GDPdeflator!$C$38*INDEX(Costs!$E$7:$O$89,MATCH($C219,Costs!$C$7:$C$89,0),MATCH(H$7,Costs!$E$6:$O$6,0))</f>
        <v>0</v>
      </c>
      <c r="I219" s="86">
        <f>GDPdeflator!$C$38*INDEX(Costs!$E$7:$O$89,MATCH($C219,Costs!$C$7:$C$89,0),MATCH(I$7,Costs!$E$6:$O$6,0))</f>
        <v>0</v>
      </c>
      <c r="J219" s="86">
        <f>GDPdeflator!$C$38*INDEX(Costs!$E$7:$O$89,MATCH($C219,Costs!$C$7:$C$89,0),MATCH(J$7,Costs!$E$6:$O$6,0))</f>
        <v>0</v>
      </c>
      <c r="K219" s="86">
        <f>GDPdeflator!$C$38*INDEX(Costs!$E$7:$O$89,MATCH($C219,Costs!$C$7:$C$89,0),MATCH(K$7,Costs!$E$6:$O$6,0))</f>
        <v>0</v>
      </c>
      <c r="L219" s="86">
        <f>GDPdeflator!$C$38*INDEX(Costs!$E$7:$O$89,MATCH($C219,Costs!$C$7:$C$89,0),MATCH(L$7,Costs!$E$6:$O$6,0))</f>
        <v>0</v>
      </c>
      <c r="M219" s="86">
        <f>GDPdeflator!$C$38*INDEX(Costs!$E$7:$O$89,MATCH($C219,Costs!$C$7:$C$89,0),MATCH(M$7,Costs!$E$6:$O$6,0))</f>
        <v>0</v>
      </c>
      <c r="N219" s="86">
        <f>GDPdeflator!$C$38*INDEX(Costs!$E$7:$O$89,MATCH($C219,Costs!$C$7:$C$89,0),MATCH(N$7,Costs!$E$6:$O$6,0))</f>
        <v>0</v>
      </c>
      <c r="O219" s="86">
        <f>GDPdeflator!$C$38*INDEX(Costs!$E$7:$O$89,MATCH($C219,Costs!$C$7:$C$89,0),MATCH(O$7,Costs!$E$6:$O$6,0))</f>
        <v>0</v>
      </c>
      <c r="P219" s="87">
        <f t="shared" si="119"/>
        <v>0</v>
      </c>
      <c r="Q219" s="87">
        <f t="shared" si="108"/>
        <v>0</v>
      </c>
      <c r="R219" s="87">
        <f t="shared" si="109"/>
        <v>0</v>
      </c>
      <c r="S219" s="87">
        <f t="shared" si="110"/>
        <v>0</v>
      </c>
      <c r="T219" s="87">
        <f t="shared" si="111"/>
        <v>0</v>
      </c>
      <c r="U219" s="87">
        <f t="shared" si="112"/>
        <v>0</v>
      </c>
      <c r="V219" s="87">
        <f t="shared" si="113"/>
        <v>0</v>
      </c>
      <c r="W219" s="87">
        <f t="shared" si="114"/>
        <v>0</v>
      </c>
      <c r="X219" s="87">
        <f t="shared" si="115"/>
        <v>0</v>
      </c>
      <c r="Y219" s="87">
        <f t="shared" si="116"/>
        <v>0</v>
      </c>
      <c r="Z219" s="87">
        <f t="shared" si="117"/>
        <v>0</v>
      </c>
      <c r="AA219" s="88">
        <v>472.5</v>
      </c>
      <c r="AB219" s="89">
        <f>AA219*GDPdeflator!$C$25/$AI$18*10^3</f>
        <v>45.430638058888704</v>
      </c>
      <c r="AC219" s="90" t="e">
        <f>INDEX(Efficiencies!$D$8:$M$89,MATCH(C219,Efficiencies!$C$8:$C$89),MATCH(D219,Efficiencies!$D$7:$M$7))</f>
        <v>#REF!</v>
      </c>
      <c r="AD219" s="90" t="e">
        <f t="shared" si="103"/>
        <v>#REF!</v>
      </c>
      <c r="AE219" s="90" t="e">
        <f>INDEX(Efficiencies!$P$8:$Y$89,MATCH(C219,Efficiencies!$C$8:$C$89),MATCH(D219,Efficiencies!$P$7:$Y$7))</f>
        <v>#REF!</v>
      </c>
      <c r="AF219" s="90" t="e">
        <f t="shared" si="106"/>
        <v>#REF!</v>
      </c>
      <c r="AG219" s="90">
        <v>0</v>
      </c>
    </row>
    <row r="220" spans="1:33" x14ac:dyDescent="0.2">
      <c r="A220" s="92" t="s">
        <v>1227</v>
      </c>
      <c r="B220" s="248" t="s">
        <v>1228</v>
      </c>
      <c r="C220" s="40" t="s">
        <v>1218</v>
      </c>
      <c r="D220" s="40">
        <v>2035</v>
      </c>
      <c r="E220" s="86">
        <f>GDPdeflator!$C$32*INDEX(Costs!$E$7:$O$89,MATCH($C220,Costs!$C$7:$C$89,0),MATCH(E$7,Costs!$E$6:$O$6,0))</f>
        <v>0</v>
      </c>
      <c r="F220" s="86">
        <f>GDPdeflator!$C$36*INDEX(Costs!$E$7:$O$89,MATCH($C220,Costs!$C$7:$C$89,0),MATCH(F$7,Costs!$E$6:$O$6,0))</f>
        <v>0</v>
      </c>
      <c r="G220" s="86">
        <f>GDPdeflator!$C$38*INDEX(Costs!$E$7:$O$89,MATCH($C220,Costs!$C$7:$C$89,0),MATCH(G$7,Costs!$E$6:$O$6,0))</f>
        <v>0</v>
      </c>
      <c r="H220" s="86">
        <f>GDPdeflator!$C$38*INDEX(Costs!$E$7:$O$89,MATCH($C220,Costs!$C$7:$C$89,0),MATCH(H$7,Costs!$E$6:$O$6,0))</f>
        <v>0</v>
      </c>
      <c r="I220" s="86">
        <f>GDPdeflator!$C$38*INDEX(Costs!$E$7:$O$89,MATCH($C220,Costs!$C$7:$C$89,0),MATCH(I$7,Costs!$E$6:$O$6,0))</f>
        <v>0</v>
      </c>
      <c r="J220" s="86">
        <f>GDPdeflator!$C$38*INDEX(Costs!$E$7:$O$89,MATCH($C220,Costs!$C$7:$C$89,0),MATCH(J$7,Costs!$E$6:$O$6,0))</f>
        <v>0</v>
      </c>
      <c r="K220" s="86">
        <f>GDPdeflator!$C$38*INDEX(Costs!$E$7:$O$89,MATCH($C220,Costs!$C$7:$C$89,0),MATCH(K$7,Costs!$E$6:$O$6,0))</f>
        <v>0</v>
      </c>
      <c r="L220" s="86">
        <f>GDPdeflator!$C$38*INDEX(Costs!$E$7:$O$89,MATCH($C220,Costs!$C$7:$C$89,0),MATCH(L$7,Costs!$E$6:$O$6,0))</f>
        <v>0</v>
      </c>
      <c r="M220" s="86">
        <f>GDPdeflator!$C$38*INDEX(Costs!$E$7:$O$89,MATCH($C220,Costs!$C$7:$C$89,0),MATCH(M$7,Costs!$E$6:$O$6,0))</f>
        <v>0</v>
      </c>
      <c r="N220" s="86">
        <f>GDPdeflator!$C$38*INDEX(Costs!$E$7:$O$89,MATCH($C220,Costs!$C$7:$C$89,0),MATCH(N$7,Costs!$E$6:$O$6,0))</f>
        <v>0</v>
      </c>
      <c r="O220" s="86">
        <f>GDPdeflator!$C$38*INDEX(Costs!$E$7:$O$89,MATCH($C220,Costs!$C$7:$C$89,0),MATCH(O$7,Costs!$E$6:$O$6,0))</f>
        <v>0</v>
      </c>
      <c r="P220" s="87">
        <f t="shared" si="119"/>
        <v>0</v>
      </c>
      <c r="Q220" s="87">
        <f t="shared" si="108"/>
        <v>0</v>
      </c>
      <c r="R220" s="87">
        <f t="shared" si="109"/>
        <v>0</v>
      </c>
      <c r="S220" s="87">
        <f t="shared" si="110"/>
        <v>0</v>
      </c>
      <c r="T220" s="87">
        <f t="shared" si="111"/>
        <v>0</v>
      </c>
      <c r="U220" s="87">
        <f t="shared" si="112"/>
        <v>0</v>
      </c>
      <c r="V220" s="87">
        <f t="shared" si="113"/>
        <v>0</v>
      </c>
      <c r="W220" s="87">
        <f t="shared" si="114"/>
        <v>0</v>
      </c>
      <c r="X220" s="87">
        <f t="shared" si="115"/>
        <v>0</v>
      </c>
      <c r="Y220" s="87">
        <f t="shared" si="116"/>
        <v>0</v>
      </c>
      <c r="Z220" s="87">
        <f t="shared" si="117"/>
        <v>0</v>
      </c>
      <c r="AA220" s="88">
        <v>472.5</v>
      </c>
      <c r="AB220" s="89">
        <f>AA220*GDPdeflator!$C$25/$AI$18*10^3</f>
        <v>45.430638058888704</v>
      </c>
      <c r="AC220" s="90" t="e">
        <f>INDEX(Efficiencies!$D$8:$M$89,MATCH(C220,Efficiencies!$C$8:$C$89),MATCH(D220,Efficiencies!$D$7:$M$7))</f>
        <v>#REF!</v>
      </c>
      <c r="AD220" s="90" t="e">
        <f t="shared" si="103"/>
        <v>#REF!</v>
      </c>
      <c r="AE220" s="90" t="e">
        <f>INDEX(Efficiencies!$P$8:$Y$89,MATCH(C220,Efficiencies!$C$8:$C$89),MATCH(D220,Efficiencies!$P$7:$Y$7))</f>
        <v>#REF!</v>
      </c>
      <c r="AF220" s="90" t="e">
        <f t="shared" si="106"/>
        <v>#REF!</v>
      </c>
      <c r="AG220" s="90">
        <v>0</v>
      </c>
    </row>
    <row r="221" spans="1:33" x14ac:dyDescent="0.2">
      <c r="A221" s="92" t="s">
        <v>1229</v>
      </c>
      <c r="B221" s="248" t="s">
        <v>1230</v>
      </c>
      <c r="C221" s="40" t="s">
        <v>1218</v>
      </c>
      <c r="D221" s="40">
        <v>2040</v>
      </c>
      <c r="E221" s="86">
        <f>GDPdeflator!$C$32*INDEX(Costs!$E$7:$O$89,MATCH($C221,Costs!$C$7:$C$89,0),MATCH(E$7,Costs!$E$6:$O$6,0))</f>
        <v>0</v>
      </c>
      <c r="F221" s="86">
        <f>GDPdeflator!$C$36*INDEX(Costs!$E$7:$O$89,MATCH($C221,Costs!$C$7:$C$89,0),MATCH(F$7,Costs!$E$6:$O$6,0))</f>
        <v>0</v>
      </c>
      <c r="G221" s="86">
        <f>GDPdeflator!$C$38*INDEX(Costs!$E$7:$O$89,MATCH($C221,Costs!$C$7:$C$89,0),MATCH(G$7,Costs!$E$6:$O$6,0))</f>
        <v>0</v>
      </c>
      <c r="H221" s="86">
        <f>GDPdeflator!$C$38*INDEX(Costs!$E$7:$O$89,MATCH($C221,Costs!$C$7:$C$89,0),MATCH(H$7,Costs!$E$6:$O$6,0))</f>
        <v>0</v>
      </c>
      <c r="I221" s="86">
        <f>GDPdeflator!$C$38*INDEX(Costs!$E$7:$O$89,MATCH($C221,Costs!$C$7:$C$89,0),MATCH(I$7,Costs!$E$6:$O$6,0))</f>
        <v>0</v>
      </c>
      <c r="J221" s="86">
        <f>GDPdeflator!$C$38*INDEX(Costs!$E$7:$O$89,MATCH($C221,Costs!$C$7:$C$89,0),MATCH(J$7,Costs!$E$6:$O$6,0))</f>
        <v>0</v>
      </c>
      <c r="K221" s="86">
        <f>GDPdeflator!$C$38*INDEX(Costs!$E$7:$O$89,MATCH($C221,Costs!$C$7:$C$89,0),MATCH(K$7,Costs!$E$6:$O$6,0))</f>
        <v>0</v>
      </c>
      <c r="L221" s="86">
        <f>GDPdeflator!$C$38*INDEX(Costs!$E$7:$O$89,MATCH($C221,Costs!$C$7:$C$89,0),MATCH(L$7,Costs!$E$6:$O$6,0))</f>
        <v>0</v>
      </c>
      <c r="M221" s="86">
        <f>GDPdeflator!$C$38*INDEX(Costs!$E$7:$O$89,MATCH($C221,Costs!$C$7:$C$89,0),MATCH(M$7,Costs!$E$6:$O$6,0))</f>
        <v>0</v>
      </c>
      <c r="N221" s="86">
        <f>GDPdeflator!$C$38*INDEX(Costs!$E$7:$O$89,MATCH($C221,Costs!$C$7:$C$89,0),MATCH(N$7,Costs!$E$6:$O$6,0))</f>
        <v>0</v>
      </c>
      <c r="O221" s="86">
        <f>GDPdeflator!$C$38*INDEX(Costs!$E$7:$O$89,MATCH($C221,Costs!$C$7:$C$89,0),MATCH(O$7,Costs!$E$6:$O$6,0))</f>
        <v>0</v>
      </c>
      <c r="P221" s="87">
        <f t="shared" si="119"/>
        <v>0</v>
      </c>
      <c r="Q221" s="87">
        <f t="shared" si="108"/>
        <v>0</v>
      </c>
      <c r="R221" s="87">
        <f t="shared" si="109"/>
        <v>0</v>
      </c>
      <c r="S221" s="87">
        <f t="shared" si="110"/>
        <v>0</v>
      </c>
      <c r="T221" s="87">
        <f t="shared" si="111"/>
        <v>0</v>
      </c>
      <c r="U221" s="87">
        <f t="shared" si="112"/>
        <v>0</v>
      </c>
      <c r="V221" s="87">
        <f t="shared" si="113"/>
        <v>0</v>
      </c>
      <c r="W221" s="87">
        <f t="shared" si="114"/>
        <v>0</v>
      </c>
      <c r="X221" s="87">
        <f t="shared" si="115"/>
        <v>0</v>
      </c>
      <c r="Y221" s="87">
        <f t="shared" si="116"/>
        <v>0</v>
      </c>
      <c r="Z221" s="87">
        <f t="shared" si="117"/>
        <v>0</v>
      </c>
      <c r="AA221" s="88">
        <v>472.5</v>
      </c>
      <c r="AB221" s="89">
        <f>AA221*GDPdeflator!$C$25/$AI$18*10^3</f>
        <v>45.430638058888704</v>
      </c>
      <c r="AC221" s="90" t="e">
        <f>INDEX(Efficiencies!$D$8:$M$89,MATCH(C221,Efficiencies!$C$8:$C$89),MATCH(D221,Efficiencies!$D$7:$M$7))</f>
        <v>#REF!</v>
      </c>
      <c r="AD221" s="90" t="e">
        <f t="shared" si="103"/>
        <v>#REF!</v>
      </c>
      <c r="AE221" s="90" t="e">
        <f>INDEX(Efficiencies!$P$8:$Y$89,MATCH(C221,Efficiencies!$C$8:$C$89),MATCH(D221,Efficiencies!$P$7:$Y$7))</f>
        <v>#REF!</v>
      </c>
      <c r="AF221" s="90" t="e">
        <f t="shared" si="106"/>
        <v>#REF!</v>
      </c>
      <c r="AG221" s="90">
        <v>0</v>
      </c>
    </row>
    <row r="222" spans="1:33" x14ac:dyDescent="0.2">
      <c r="A222" s="92" t="s">
        <v>1231</v>
      </c>
      <c r="B222" s="248" t="s">
        <v>1232</v>
      </c>
      <c r="C222" s="40" t="s">
        <v>1218</v>
      </c>
      <c r="D222" s="40">
        <v>2045</v>
      </c>
      <c r="E222" s="86">
        <f>GDPdeflator!$C$32*INDEX(Costs!$E$7:$O$89,MATCH($C222,Costs!$C$7:$C$89,0),MATCH(E$7,Costs!$E$6:$O$6,0))</f>
        <v>0</v>
      </c>
      <c r="F222" s="86">
        <f>GDPdeflator!$C$36*INDEX(Costs!$E$7:$O$89,MATCH($C222,Costs!$C$7:$C$89,0),MATCH(F$7,Costs!$E$6:$O$6,0))</f>
        <v>0</v>
      </c>
      <c r="G222" s="86">
        <f>GDPdeflator!$C$38*INDEX(Costs!$E$7:$O$89,MATCH($C222,Costs!$C$7:$C$89,0),MATCH(G$7,Costs!$E$6:$O$6,0))</f>
        <v>0</v>
      </c>
      <c r="H222" s="86">
        <f>GDPdeflator!$C$38*INDEX(Costs!$E$7:$O$89,MATCH($C222,Costs!$C$7:$C$89,0),MATCH(H$7,Costs!$E$6:$O$6,0))</f>
        <v>0</v>
      </c>
      <c r="I222" s="86">
        <f>GDPdeflator!$C$38*INDEX(Costs!$E$7:$O$89,MATCH($C222,Costs!$C$7:$C$89,0),MATCH(I$7,Costs!$E$6:$O$6,0))</f>
        <v>0</v>
      </c>
      <c r="J222" s="86">
        <f>GDPdeflator!$C$38*INDEX(Costs!$E$7:$O$89,MATCH($C222,Costs!$C$7:$C$89,0),MATCH(J$7,Costs!$E$6:$O$6,0))</f>
        <v>0</v>
      </c>
      <c r="K222" s="86">
        <f>GDPdeflator!$C$38*INDEX(Costs!$E$7:$O$89,MATCH($C222,Costs!$C$7:$C$89,0),MATCH(K$7,Costs!$E$6:$O$6,0))</f>
        <v>0</v>
      </c>
      <c r="L222" s="86">
        <f>GDPdeflator!$C$38*INDEX(Costs!$E$7:$O$89,MATCH($C222,Costs!$C$7:$C$89,0),MATCH(L$7,Costs!$E$6:$O$6,0))</f>
        <v>0</v>
      </c>
      <c r="M222" s="86">
        <f>GDPdeflator!$C$38*INDEX(Costs!$E$7:$O$89,MATCH($C222,Costs!$C$7:$C$89,0),MATCH(M$7,Costs!$E$6:$O$6,0))</f>
        <v>0</v>
      </c>
      <c r="N222" s="86">
        <f>GDPdeflator!$C$38*INDEX(Costs!$E$7:$O$89,MATCH($C222,Costs!$C$7:$C$89,0),MATCH(N$7,Costs!$E$6:$O$6,0))</f>
        <v>0</v>
      </c>
      <c r="O222" s="86">
        <f>GDPdeflator!$C$38*INDEX(Costs!$E$7:$O$89,MATCH($C222,Costs!$C$7:$C$89,0),MATCH(O$7,Costs!$E$6:$O$6,0))</f>
        <v>0</v>
      </c>
      <c r="P222" s="87">
        <f t="shared" si="119"/>
        <v>0</v>
      </c>
      <c r="Q222" s="87">
        <f t="shared" si="108"/>
        <v>0</v>
      </c>
      <c r="R222" s="87">
        <f t="shared" si="109"/>
        <v>0</v>
      </c>
      <c r="S222" s="87">
        <f t="shared" si="110"/>
        <v>0</v>
      </c>
      <c r="T222" s="87">
        <f t="shared" si="111"/>
        <v>0</v>
      </c>
      <c r="U222" s="87">
        <f t="shared" si="112"/>
        <v>0</v>
      </c>
      <c r="V222" s="87">
        <f t="shared" si="113"/>
        <v>0</v>
      </c>
      <c r="W222" s="87">
        <f t="shared" si="114"/>
        <v>0</v>
      </c>
      <c r="X222" s="87">
        <f t="shared" si="115"/>
        <v>0</v>
      </c>
      <c r="Y222" s="87">
        <f t="shared" si="116"/>
        <v>0</v>
      </c>
      <c r="Z222" s="87">
        <f t="shared" si="117"/>
        <v>0</v>
      </c>
      <c r="AA222" s="88">
        <v>472.5</v>
      </c>
      <c r="AB222" s="89">
        <f>AA222*GDPdeflator!$C$25/$AI$18*10^3</f>
        <v>45.430638058888704</v>
      </c>
      <c r="AC222" s="90" t="e">
        <f>INDEX(Efficiencies!$D$8:$M$89,MATCH(C222,Efficiencies!$C$8:$C$89),MATCH(D222,Efficiencies!$D$7:$M$7))</f>
        <v>#REF!</v>
      </c>
      <c r="AD222" s="90" t="e">
        <f t="shared" si="103"/>
        <v>#REF!</v>
      </c>
      <c r="AE222" s="90" t="e">
        <f>INDEX(Efficiencies!$P$8:$Y$89,MATCH(C222,Efficiencies!$C$8:$C$89),MATCH(D222,Efficiencies!$P$7:$Y$7))</f>
        <v>#REF!</v>
      </c>
      <c r="AF222" s="90" t="e">
        <f t="shared" si="106"/>
        <v>#REF!</v>
      </c>
      <c r="AG222" s="90">
        <v>0</v>
      </c>
    </row>
    <row r="223" spans="1:33" x14ac:dyDescent="0.2">
      <c r="A223" s="92" t="s">
        <v>1233</v>
      </c>
      <c r="B223" s="248" t="s">
        <v>1234</v>
      </c>
      <c r="C223" s="40" t="s">
        <v>1218</v>
      </c>
      <c r="D223" s="40">
        <v>2050</v>
      </c>
      <c r="E223" s="86">
        <f>GDPdeflator!$C$32*INDEX(Costs!$E$7:$O$89,MATCH($C223,Costs!$C$7:$C$89,0),MATCH(E$7,Costs!$E$6:$O$6,0))</f>
        <v>0</v>
      </c>
      <c r="F223" s="86">
        <f>GDPdeflator!$C$36*INDEX(Costs!$E$7:$O$89,MATCH($C223,Costs!$C$7:$C$89,0),MATCH(F$7,Costs!$E$6:$O$6,0))</f>
        <v>0</v>
      </c>
      <c r="G223" s="86">
        <f>GDPdeflator!$C$38*INDEX(Costs!$E$7:$O$89,MATCH($C223,Costs!$C$7:$C$89,0),MATCH(G$7,Costs!$E$6:$O$6,0))</f>
        <v>0</v>
      </c>
      <c r="H223" s="86">
        <f>GDPdeflator!$C$38*INDEX(Costs!$E$7:$O$89,MATCH($C223,Costs!$C$7:$C$89,0),MATCH(H$7,Costs!$E$6:$O$6,0))</f>
        <v>0</v>
      </c>
      <c r="I223" s="86">
        <f>GDPdeflator!$C$38*INDEX(Costs!$E$7:$O$89,MATCH($C223,Costs!$C$7:$C$89,0),MATCH(I$7,Costs!$E$6:$O$6,0))</f>
        <v>0</v>
      </c>
      <c r="J223" s="86">
        <f>GDPdeflator!$C$38*INDEX(Costs!$E$7:$O$89,MATCH($C223,Costs!$C$7:$C$89,0),MATCH(J$7,Costs!$E$6:$O$6,0))</f>
        <v>0</v>
      </c>
      <c r="K223" s="86">
        <f>GDPdeflator!$C$38*INDEX(Costs!$E$7:$O$89,MATCH($C223,Costs!$C$7:$C$89,0),MATCH(K$7,Costs!$E$6:$O$6,0))</f>
        <v>0</v>
      </c>
      <c r="L223" s="86">
        <f>GDPdeflator!$C$38*INDEX(Costs!$E$7:$O$89,MATCH($C223,Costs!$C$7:$C$89,0),MATCH(L$7,Costs!$E$6:$O$6,0))</f>
        <v>0</v>
      </c>
      <c r="M223" s="86">
        <f>GDPdeflator!$C$38*INDEX(Costs!$E$7:$O$89,MATCH($C223,Costs!$C$7:$C$89,0),MATCH(M$7,Costs!$E$6:$O$6,0))</f>
        <v>0</v>
      </c>
      <c r="N223" s="86">
        <f>GDPdeflator!$C$38*INDEX(Costs!$E$7:$O$89,MATCH($C223,Costs!$C$7:$C$89,0),MATCH(N$7,Costs!$E$6:$O$6,0))</f>
        <v>0</v>
      </c>
      <c r="O223" s="86">
        <f>GDPdeflator!$C$38*INDEX(Costs!$E$7:$O$89,MATCH($C223,Costs!$C$7:$C$89,0),MATCH(O$7,Costs!$E$6:$O$6,0))</f>
        <v>0</v>
      </c>
      <c r="P223" s="87">
        <f t="shared" si="119"/>
        <v>0</v>
      </c>
      <c r="Q223" s="87">
        <f t="shared" si="108"/>
        <v>0</v>
      </c>
      <c r="R223" s="87">
        <f t="shared" si="109"/>
        <v>0</v>
      </c>
      <c r="S223" s="87">
        <f t="shared" si="110"/>
        <v>0</v>
      </c>
      <c r="T223" s="87">
        <f t="shared" si="111"/>
        <v>0</v>
      </c>
      <c r="U223" s="87">
        <f t="shared" si="112"/>
        <v>0</v>
      </c>
      <c r="V223" s="87">
        <f t="shared" si="113"/>
        <v>0</v>
      </c>
      <c r="W223" s="87">
        <f t="shared" si="114"/>
        <v>0</v>
      </c>
      <c r="X223" s="87">
        <f t="shared" si="115"/>
        <v>0</v>
      </c>
      <c r="Y223" s="87">
        <f t="shared" si="116"/>
        <v>0</v>
      </c>
      <c r="Z223" s="87">
        <f t="shared" si="117"/>
        <v>0</v>
      </c>
      <c r="AA223" s="88">
        <v>472.5</v>
      </c>
      <c r="AB223" s="89">
        <f>AA223*GDPdeflator!$C$25/$AI$18*10^3</f>
        <v>45.430638058888704</v>
      </c>
      <c r="AC223" s="90" t="e">
        <f>INDEX(Efficiencies!$D$8:$M$89,MATCH(C223,Efficiencies!$C$8:$C$89),MATCH(D223,Efficiencies!$D$7:$M$7))</f>
        <v>#REF!</v>
      </c>
      <c r="AD223" s="90" t="e">
        <f t="shared" si="103"/>
        <v>#REF!</v>
      </c>
      <c r="AE223" s="90" t="e">
        <f>INDEX(Efficiencies!$P$8:$Y$89,MATCH(C223,Efficiencies!$C$8:$C$89),MATCH(D223,Efficiencies!$P$7:$Y$7))</f>
        <v>#REF!</v>
      </c>
      <c r="AF223" s="90" t="e">
        <f t="shared" si="106"/>
        <v>#REF!</v>
      </c>
      <c r="AG223" s="90">
        <v>0</v>
      </c>
    </row>
    <row r="224" spans="1:33" x14ac:dyDescent="0.2">
      <c r="A224" s="92" t="s">
        <v>1235</v>
      </c>
      <c r="B224" s="248" t="s">
        <v>1236</v>
      </c>
      <c r="C224" s="40" t="s">
        <v>1237</v>
      </c>
      <c r="D224" s="40">
        <v>2015</v>
      </c>
      <c r="E224" s="86">
        <f>GDPdeflator!$C$32*INDEX(Costs!$E$7:$O$89,MATCH($C224,Costs!$C$7:$C$89,0),MATCH(E$7,Costs!$E$6:$O$6,0))</f>
        <v>0</v>
      </c>
      <c r="F224" s="86">
        <f>GDPdeflator!$C$36*INDEX(Costs!$E$7:$O$89,MATCH($C224,Costs!$C$7:$C$89,0),MATCH(F$7,Costs!$E$6:$O$6,0))</f>
        <v>0</v>
      </c>
      <c r="G224" s="86">
        <f>GDPdeflator!$C$38*INDEX(Costs!$E$7:$O$89,MATCH($C224,Costs!$C$7:$C$89,0),MATCH(G$7,Costs!$E$6:$O$6,0))</f>
        <v>0</v>
      </c>
      <c r="H224" s="86">
        <f>GDPdeflator!$C$38*INDEX(Costs!$E$7:$O$89,MATCH($C224,Costs!$C$7:$C$89,0),MATCH(H$7,Costs!$E$6:$O$6,0))</f>
        <v>59.144705910363619</v>
      </c>
      <c r="I224" s="86">
        <f>GDPdeflator!$C$38*INDEX(Costs!$E$7:$O$89,MATCH($C224,Costs!$C$7:$C$89,0),MATCH(I$7,Costs!$E$6:$O$6,0))</f>
        <v>52.363784213634027</v>
      </c>
      <c r="J224" s="86">
        <f>GDPdeflator!$C$38*INDEX(Costs!$E$7:$O$89,MATCH($C224,Costs!$C$7:$C$89,0),MATCH(J$7,Costs!$E$6:$O$6,0))</f>
        <v>47.755560941696345</v>
      </c>
      <c r="K224" s="86">
        <f>GDPdeflator!$C$38*INDEX(Costs!$E$7:$O$89,MATCH($C224,Costs!$C$7:$C$89,0),MATCH(K$7,Costs!$E$6:$O$6,0))</f>
        <v>44.119795432467953</v>
      </c>
      <c r="L224" s="86">
        <f>GDPdeflator!$C$38*INDEX(Costs!$E$7:$O$89,MATCH($C224,Costs!$C$7:$C$89,0),MATCH(L$7,Costs!$E$6:$O$6,0))</f>
        <v>41.254987428810885</v>
      </c>
      <c r="M224" s="86">
        <f>GDPdeflator!$C$38*INDEX(Costs!$E$7:$O$89,MATCH($C224,Costs!$C$7:$C$89,0),MATCH(M$7,Costs!$E$6:$O$6,0))</f>
        <v>41.254987428810885</v>
      </c>
      <c r="N224" s="86">
        <f>GDPdeflator!$C$38*INDEX(Costs!$E$7:$O$89,MATCH($C224,Costs!$C$7:$C$89,0),MATCH(N$7,Costs!$E$6:$O$6,0))</f>
        <v>41.254987428810885</v>
      </c>
      <c r="O224" s="86">
        <f>GDPdeflator!$C$38*INDEX(Costs!$E$7:$O$89,MATCH($C224,Costs!$C$7:$C$89,0),MATCH(O$7,Costs!$E$6:$O$6,0))</f>
        <v>41.254987428810885</v>
      </c>
      <c r="P224" s="87">
        <f>E224/$AI$18*10^6</f>
        <v>0</v>
      </c>
      <c r="Q224" s="87">
        <f t="shared" si="108"/>
        <v>0</v>
      </c>
      <c r="R224" s="87">
        <f t="shared" si="109"/>
        <v>0</v>
      </c>
      <c r="S224" s="87">
        <f t="shared" si="110"/>
        <v>4938.4733791180561</v>
      </c>
      <c r="T224" s="87">
        <f t="shared" si="111"/>
        <v>4372.278978964393</v>
      </c>
      <c r="U224" s="87">
        <f t="shared" si="112"/>
        <v>3987.5008724000172</v>
      </c>
      <c r="V224" s="87">
        <f t="shared" si="113"/>
        <v>3683.9211875631058</v>
      </c>
      <c r="W224" s="87">
        <f t="shared" si="114"/>
        <v>3444.7150262578771</v>
      </c>
      <c r="X224" s="87">
        <f t="shared" si="115"/>
        <v>3444.7150262578771</v>
      </c>
      <c r="Y224" s="87">
        <f t="shared" si="116"/>
        <v>3444.7150262578771</v>
      </c>
      <c r="Z224" s="87">
        <f t="shared" si="117"/>
        <v>3444.7150262578771</v>
      </c>
      <c r="AA224" s="88">
        <v>472.5</v>
      </c>
      <c r="AB224" s="89">
        <f>AA224*GDPdeflator!$C$25/$AI$18*10^3</f>
        <v>45.430638058888704</v>
      </c>
      <c r="AC224" s="90" t="e">
        <f>INDEX(Efficiencies!$D$8:$M$89,MATCH(C224,Efficiencies!$C$8:$C$89),MATCH(D224,Efficiencies!$D$7:$M$7))</f>
        <v>#REF!</v>
      </c>
      <c r="AD224" s="90" t="e">
        <f t="shared" si="103"/>
        <v>#REF!</v>
      </c>
      <c r="AE224" s="90" t="e">
        <f>INDEX(Efficiencies!$P$8:$Y$89,MATCH(C224,Efficiencies!$C$8:$C$89),MATCH(D224,Efficiencies!$P$7:$Y$7))</f>
        <v>#REF!</v>
      </c>
      <c r="AF224" s="90" t="e">
        <f t="shared" si="106"/>
        <v>#REF!</v>
      </c>
      <c r="AG224" s="90">
        <v>0</v>
      </c>
    </row>
    <row r="225" spans="1:33" x14ac:dyDescent="0.2">
      <c r="A225" s="92" t="s">
        <v>1238</v>
      </c>
      <c r="B225" s="248" t="s">
        <v>1239</v>
      </c>
      <c r="C225" s="40" t="s">
        <v>1237</v>
      </c>
      <c r="D225" s="40">
        <v>2020</v>
      </c>
      <c r="E225" s="86">
        <f>GDPdeflator!$C$32*INDEX(Costs!$E$7:$O$89,MATCH($C225,Costs!$C$7:$C$89,0),MATCH(E$7,Costs!$E$6:$O$6,0))</f>
        <v>0</v>
      </c>
      <c r="F225" s="86">
        <f>GDPdeflator!$C$36*INDEX(Costs!$E$7:$O$89,MATCH($C225,Costs!$C$7:$C$89,0),MATCH(F$7,Costs!$E$6:$O$6,0))</f>
        <v>0</v>
      </c>
      <c r="G225" s="86">
        <f>GDPdeflator!$C$38*INDEX(Costs!$E$7:$O$89,MATCH($C225,Costs!$C$7:$C$89,0),MATCH(G$7,Costs!$E$6:$O$6,0))</f>
        <v>0</v>
      </c>
      <c r="H225" s="86">
        <f>GDPdeflator!$C$38*INDEX(Costs!$E$7:$O$89,MATCH($C225,Costs!$C$7:$C$89,0),MATCH(H$7,Costs!$E$6:$O$6,0))</f>
        <v>59.144705910363619</v>
      </c>
      <c r="I225" s="86">
        <f>GDPdeflator!$C$38*INDEX(Costs!$E$7:$O$89,MATCH($C225,Costs!$C$7:$C$89,0),MATCH(I$7,Costs!$E$6:$O$6,0))</f>
        <v>52.363784213634027</v>
      </c>
      <c r="J225" s="86">
        <f>GDPdeflator!$C$38*INDEX(Costs!$E$7:$O$89,MATCH($C225,Costs!$C$7:$C$89,0),MATCH(J$7,Costs!$E$6:$O$6,0))</f>
        <v>47.755560941696345</v>
      </c>
      <c r="K225" s="86">
        <f>GDPdeflator!$C$38*INDEX(Costs!$E$7:$O$89,MATCH($C225,Costs!$C$7:$C$89,0),MATCH(K$7,Costs!$E$6:$O$6,0))</f>
        <v>44.119795432467953</v>
      </c>
      <c r="L225" s="86">
        <f>GDPdeflator!$C$38*INDEX(Costs!$E$7:$O$89,MATCH($C225,Costs!$C$7:$C$89,0),MATCH(L$7,Costs!$E$6:$O$6,0))</f>
        <v>41.254987428810885</v>
      </c>
      <c r="M225" s="86">
        <f>GDPdeflator!$C$38*INDEX(Costs!$E$7:$O$89,MATCH($C225,Costs!$C$7:$C$89,0),MATCH(M$7,Costs!$E$6:$O$6,0))</f>
        <v>41.254987428810885</v>
      </c>
      <c r="N225" s="86">
        <f>GDPdeflator!$C$38*INDEX(Costs!$E$7:$O$89,MATCH($C225,Costs!$C$7:$C$89,0),MATCH(N$7,Costs!$E$6:$O$6,0))</f>
        <v>41.254987428810885</v>
      </c>
      <c r="O225" s="86">
        <f>GDPdeflator!$C$38*INDEX(Costs!$E$7:$O$89,MATCH($C225,Costs!$C$7:$C$89,0),MATCH(O$7,Costs!$E$6:$O$6,0))</f>
        <v>41.254987428810885</v>
      </c>
      <c r="P225" s="87">
        <f t="shared" ref="P225:P231" si="120">E225/$AI$18*10^6</f>
        <v>0</v>
      </c>
      <c r="Q225" s="87">
        <f t="shared" ref="Q225:Q232" si="121">F225/$AI$18*10^6</f>
        <v>0</v>
      </c>
      <c r="R225" s="87">
        <f t="shared" ref="R225:R232" si="122">G225/$AI$18*10^6</f>
        <v>0</v>
      </c>
      <c r="S225" s="87">
        <f t="shared" ref="S225:S232" si="123">H225/$AI$18*10^6</f>
        <v>4938.4733791180561</v>
      </c>
      <c r="T225" s="87">
        <f t="shared" ref="T225:T232" si="124">I225/$AI$18*10^6</f>
        <v>4372.278978964393</v>
      </c>
      <c r="U225" s="87">
        <f t="shared" ref="U225:U232" si="125">J225/$AI$18*10^6</f>
        <v>3987.5008724000172</v>
      </c>
      <c r="V225" s="87">
        <f t="shared" ref="V225:V232" si="126">K225/$AI$18*10^6</f>
        <v>3683.9211875631058</v>
      </c>
      <c r="W225" s="87">
        <f t="shared" ref="W225:W232" si="127">L225/$AI$18*10^6</f>
        <v>3444.7150262578771</v>
      </c>
      <c r="X225" s="87">
        <f t="shared" ref="X225:X232" si="128">M225/$AI$18*10^6</f>
        <v>3444.7150262578771</v>
      </c>
      <c r="Y225" s="87">
        <f t="shared" ref="Y225:Y232" si="129">N225/$AI$18*10^6</f>
        <v>3444.7150262578771</v>
      </c>
      <c r="Z225" s="87">
        <f t="shared" ref="Z225:Z232" si="130">O225/$AI$18*10^6</f>
        <v>3444.7150262578771</v>
      </c>
      <c r="AA225" s="88">
        <v>472.5</v>
      </c>
      <c r="AB225" s="89">
        <f>AA225*GDPdeflator!$C$25/$AI$18*10^3</f>
        <v>45.430638058888704</v>
      </c>
      <c r="AC225" s="90" t="e">
        <f>INDEX(Efficiencies!$D$8:$M$89,MATCH(C225,Efficiencies!$C$8:$C$89),MATCH(D225,Efficiencies!$D$7:$M$7))</f>
        <v>#REF!</v>
      </c>
      <c r="AD225" s="90" t="e">
        <f t="shared" si="103"/>
        <v>#REF!</v>
      </c>
      <c r="AE225" s="90" t="e">
        <f>INDEX(Efficiencies!$P$8:$Y$89,MATCH(C225,Efficiencies!$C$8:$C$89),MATCH(D225,Efficiencies!$P$7:$Y$7))</f>
        <v>#REF!</v>
      </c>
      <c r="AF225" s="90" t="e">
        <f t="shared" si="106"/>
        <v>#REF!</v>
      </c>
      <c r="AG225" s="90">
        <v>0</v>
      </c>
    </row>
    <row r="226" spans="1:33" x14ac:dyDescent="0.2">
      <c r="A226" s="92" t="s">
        <v>1240</v>
      </c>
      <c r="B226" s="248" t="s">
        <v>1241</v>
      </c>
      <c r="C226" s="40" t="s">
        <v>1237</v>
      </c>
      <c r="D226" s="40">
        <v>2025</v>
      </c>
      <c r="E226" s="86">
        <f>GDPdeflator!$C$32*INDEX(Costs!$E$7:$O$89,MATCH($C226,Costs!$C$7:$C$89,0),MATCH(E$7,Costs!$E$6:$O$6,0))</f>
        <v>0</v>
      </c>
      <c r="F226" s="86">
        <f>GDPdeflator!$C$36*INDEX(Costs!$E$7:$O$89,MATCH($C226,Costs!$C$7:$C$89,0),MATCH(F$7,Costs!$E$6:$O$6,0))</f>
        <v>0</v>
      </c>
      <c r="G226" s="86">
        <f>GDPdeflator!$C$38*INDEX(Costs!$E$7:$O$89,MATCH($C226,Costs!$C$7:$C$89,0),MATCH(G$7,Costs!$E$6:$O$6,0))</f>
        <v>0</v>
      </c>
      <c r="H226" s="86">
        <f>GDPdeflator!$C$38*INDEX(Costs!$E$7:$O$89,MATCH($C226,Costs!$C$7:$C$89,0),MATCH(H$7,Costs!$E$6:$O$6,0))</f>
        <v>59.144705910363619</v>
      </c>
      <c r="I226" s="86">
        <f>GDPdeflator!$C$38*INDEX(Costs!$E$7:$O$89,MATCH($C226,Costs!$C$7:$C$89,0),MATCH(I$7,Costs!$E$6:$O$6,0))</f>
        <v>52.363784213634027</v>
      </c>
      <c r="J226" s="86">
        <f>GDPdeflator!$C$38*INDEX(Costs!$E$7:$O$89,MATCH($C226,Costs!$C$7:$C$89,0),MATCH(J$7,Costs!$E$6:$O$6,0))</f>
        <v>47.755560941696345</v>
      </c>
      <c r="K226" s="86">
        <f>GDPdeflator!$C$38*INDEX(Costs!$E$7:$O$89,MATCH($C226,Costs!$C$7:$C$89,0),MATCH(K$7,Costs!$E$6:$O$6,0))</f>
        <v>44.119795432467953</v>
      </c>
      <c r="L226" s="86">
        <f>GDPdeflator!$C$38*INDEX(Costs!$E$7:$O$89,MATCH($C226,Costs!$C$7:$C$89,0),MATCH(L$7,Costs!$E$6:$O$6,0))</f>
        <v>41.254987428810885</v>
      </c>
      <c r="M226" s="86">
        <f>GDPdeflator!$C$38*INDEX(Costs!$E$7:$O$89,MATCH($C226,Costs!$C$7:$C$89,0),MATCH(M$7,Costs!$E$6:$O$6,0))</f>
        <v>41.254987428810885</v>
      </c>
      <c r="N226" s="86">
        <f>GDPdeflator!$C$38*INDEX(Costs!$E$7:$O$89,MATCH($C226,Costs!$C$7:$C$89,0),MATCH(N$7,Costs!$E$6:$O$6,0))</f>
        <v>41.254987428810885</v>
      </c>
      <c r="O226" s="86">
        <f>GDPdeflator!$C$38*INDEX(Costs!$E$7:$O$89,MATCH($C226,Costs!$C$7:$C$89,0),MATCH(O$7,Costs!$E$6:$O$6,0))</f>
        <v>41.254987428810885</v>
      </c>
      <c r="P226" s="87">
        <f t="shared" si="120"/>
        <v>0</v>
      </c>
      <c r="Q226" s="87">
        <f t="shared" si="121"/>
        <v>0</v>
      </c>
      <c r="R226" s="87">
        <f t="shared" si="122"/>
        <v>0</v>
      </c>
      <c r="S226" s="87">
        <f t="shared" si="123"/>
        <v>4938.4733791180561</v>
      </c>
      <c r="T226" s="87">
        <f t="shared" si="124"/>
        <v>4372.278978964393</v>
      </c>
      <c r="U226" s="87">
        <f t="shared" si="125"/>
        <v>3987.5008724000172</v>
      </c>
      <c r="V226" s="87">
        <f t="shared" si="126"/>
        <v>3683.9211875631058</v>
      </c>
      <c r="W226" s="87">
        <f t="shared" si="127"/>
        <v>3444.7150262578771</v>
      </c>
      <c r="X226" s="87">
        <f t="shared" si="128"/>
        <v>3444.7150262578771</v>
      </c>
      <c r="Y226" s="87">
        <f t="shared" si="129"/>
        <v>3444.7150262578771</v>
      </c>
      <c r="Z226" s="87">
        <f t="shared" si="130"/>
        <v>3444.7150262578771</v>
      </c>
      <c r="AA226" s="88">
        <v>472.5</v>
      </c>
      <c r="AB226" s="89">
        <f>AA226*GDPdeflator!$C$25/$AI$18*10^3</f>
        <v>45.430638058888704</v>
      </c>
      <c r="AC226" s="90" t="e">
        <f>INDEX(Efficiencies!$D$8:$M$89,MATCH(C226,Efficiencies!$C$8:$C$89),MATCH(D226,Efficiencies!$D$7:$M$7))</f>
        <v>#REF!</v>
      </c>
      <c r="AD226" s="90" t="e">
        <f t="shared" si="103"/>
        <v>#REF!</v>
      </c>
      <c r="AE226" s="90" t="e">
        <f>INDEX(Efficiencies!$P$8:$Y$89,MATCH(C226,Efficiencies!$C$8:$C$89),MATCH(D226,Efficiencies!$P$7:$Y$7))</f>
        <v>#REF!</v>
      </c>
      <c r="AF226" s="90" t="e">
        <f t="shared" si="106"/>
        <v>#REF!</v>
      </c>
      <c r="AG226" s="90">
        <v>0</v>
      </c>
    </row>
    <row r="227" spans="1:33" x14ac:dyDescent="0.2">
      <c r="A227" s="92" t="s">
        <v>1242</v>
      </c>
      <c r="B227" s="248" t="s">
        <v>1243</v>
      </c>
      <c r="C227" s="40" t="s">
        <v>1237</v>
      </c>
      <c r="D227" s="40">
        <v>2030</v>
      </c>
      <c r="E227" s="86">
        <f>GDPdeflator!$C$32*INDEX(Costs!$E$7:$O$89,MATCH($C227,Costs!$C$7:$C$89,0),MATCH(E$7,Costs!$E$6:$O$6,0))</f>
        <v>0</v>
      </c>
      <c r="F227" s="86">
        <f>GDPdeflator!$C$36*INDEX(Costs!$E$7:$O$89,MATCH($C227,Costs!$C$7:$C$89,0),MATCH(F$7,Costs!$E$6:$O$6,0))</f>
        <v>0</v>
      </c>
      <c r="G227" s="86">
        <f>GDPdeflator!$C$38*INDEX(Costs!$E$7:$O$89,MATCH($C227,Costs!$C$7:$C$89,0),MATCH(G$7,Costs!$E$6:$O$6,0))</f>
        <v>0</v>
      </c>
      <c r="H227" s="86">
        <f>GDPdeflator!$C$38*INDEX(Costs!$E$7:$O$89,MATCH($C227,Costs!$C$7:$C$89,0),MATCH(H$7,Costs!$E$6:$O$6,0))</f>
        <v>59.144705910363619</v>
      </c>
      <c r="I227" s="86">
        <f>GDPdeflator!$C$38*INDEX(Costs!$E$7:$O$89,MATCH($C227,Costs!$C$7:$C$89,0),MATCH(I$7,Costs!$E$6:$O$6,0))</f>
        <v>52.363784213634027</v>
      </c>
      <c r="J227" s="86">
        <f>GDPdeflator!$C$38*INDEX(Costs!$E$7:$O$89,MATCH($C227,Costs!$C$7:$C$89,0),MATCH(J$7,Costs!$E$6:$O$6,0))</f>
        <v>47.755560941696345</v>
      </c>
      <c r="K227" s="86">
        <f>GDPdeflator!$C$38*INDEX(Costs!$E$7:$O$89,MATCH($C227,Costs!$C$7:$C$89,0),MATCH(K$7,Costs!$E$6:$O$6,0))</f>
        <v>44.119795432467953</v>
      </c>
      <c r="L227" s="86">
        <f>GDPdeflator!$C$38*INDEX(Costs!$E$7:$O$89,MATCH($C227,Costs!$C$7:$C$89,0),MATCH(L$7,Costs!$E$6:$O$6,0))</f>
        <v>41.254987428810885</v>
      </c>
      <c r="M227" s="86">
        <f>GDPdeflator!$C$38*INDEX(Costs!$E$7:$O$89,MATCH($C227,Costs!$C$7:$C$89,0),MATCH(M$7,Costs!$E$6:$O$6,0))</f>
        <v>41.254987428810885</v>
      </c>
      <c r="N227" s="86">
        <f>GDPdeflator!$C$38*INDEX(Costs!$E$7:$O$89,MATCH($C227,Costs!$C$7:$C$89,0),MATCH(N$7,Costs!$E$6:$O$6,0))</f>
        <v>41.254987428810885</v>
      </c>
      <c r="O227" s="86">
        <f>GDPdeflator!$C$38*INDEX(Costs!$E$7:$O$89,MATCH($C227,Costs!$C$7:$C$89,0),MATCH(O$7,Costs!$E$6:$O$6,0))</f>
        <v>41.254987428810885</v>
      </c>
      <c r="P227" s="87">
        <f t="shared" si="120"/>
        <v>0</v>
      </c>
      <c r="Q227" s="87">
        <f t="shared" si="121"/>
        <v>0</v>
      </c>
      <c r="R227" s="87">
        <f t="shared" si="122"/>
        <v>0</v>
      </c>
      <c r="S227" s="87">
        <f t="shared" si="123"/>
        <v>4938.4733791180561</v>
      </c>
      <c r="T227" s="87">
        <f t="shared" si="124"/>
        <v>4372.278978964393</v>
      </c>
      <c r="U227" s="87">
        <f t="shared" si="125"/>
        <v>3987.5008724000172</v>
      </c>
      <c r="V227" s="87">
        <f t="shared" si="126"/>
        <v>3683.9211875631058</v>
      </c>
      <c r="W227" s="87">
        <f t="shared" si="127"/>
        <v>3444.7150262578771</v>
      </c>
      <c r="X227" s="87">
        <f t="shared" si="128"/>
        <v>3444.7150262578771</v>
      </c>
      <c r="Y227" s="87">
        <f t="shared" si="129"/>
        <v>3444.7150262578771</v>
      </c>
      <c r="Z227" s="87">
        <f t="shared" si="130"/>
        <v>3444.7150262578771</v>
      </c>
      <c r="AA227" s="88">
        <v>472.5</v>
      </c>
      <c r="AB227" s="89">
        <f>AA227*GDPdeflator!$C$25/$AI$18*10^3</f>
        <v>45.430638058888704</v>
      </c>
      <c r="AC227" s="90" t="e">
        <f>INDEX(Efficiencies!$D$8:$M$89,MATCH(C227,Efficiencies!$C$8:$C$89),MATCH(D227,Efficiencies!$D$7:$M$7))</f>
        <v>#REF!</v>
      </c>
      <c r="AD227" s="90" t="e">
        <f t="shared" si="103"/>
        <v>#REF!</v>
      </c>
      <c r="AE227" s="90" t="e">
        <f>INDEX(Efficiencies!$P$8:$Y$89,MATCH(C227,Efficiencies!$C$8:$C$89),MATCH(D227,Efficiencies!$P$7:$Y$7))</f>
        <v>#REF!</v>
      </c>
      <c r="AF227" s="90" t="e">
        <f t="shared" si="106"/>
        <v>#REF!</v>
      </c>
      <c r="AG227" s="90">
        <v>0</v>
      </c>
    </row>
    <row r="228" spans="1:33" x14ac:dyDescent="0.2">
      <c r="A228" s="92" t="s">
        <v>1244</v>
      </c>
      <c r="B228" s="248" t="s">
        <v>1245</v>
      </c>
      <c r="C228" s="40" t="s">
        <v>1237</v>
      </c>
      <c r="D228" s="40">
        <v>2035</v>
      </c>
      <c r="E228" s="86">
        <f>GDPdeflator!$C$32*INDEX(Costs!$E$7:$O$89,MATCH($C228,Costs!$C$7:$C$89,0),MATCH(E$7,Costs!$E$6:$O$6,0))</f>
        <v>0</v>
      </c>
      <c r="F228" s="86">
        <f>GDPdeflator!$C$36*INDEX(Costs!$E$7:$O$89,MATCH($C228,Costs!$C$7:$C$89,0),MATCH(F$7,Costs!$E$6:$O$6,0))</f>
        <v>0</v>
      </c>
      <c r="G228" s="86">
        <f>GDPdeflator!$C$38*INDEX(Costs!$E$7:$O$89,MATCH($C228,Costs!$C$7:$C$89,0),MATCH(G$7,Costs!$E$6:$O$6,0))</f>
        <v>0</v>
      </c>
      <c r="H228" s="86">
        <f>GDPdeflator!$C$38*INDEX(Costs!$E$7:$O$89,MATCH($C228,Costs!$C$7:$C$89,0),MATCH(H$7,Costs!$E$6:$O$6,0))</f>
        <v>59.144705910363619</v>
      </c>
      <c r="I228" s="86">
        <f>GDPdeflator!$C$38*INDEX(Costs!$E$7:$O$89,MATCH($C228,Costs!$C$7:$C$89,0),MATCH(I$7,Costs!$E$6:$O$6,0))</f>
        <v>52.363784213634027</v>
      </c>
      <c r="J228" s="86">
        <f>GDPdeflator!$C$38*INDEX(Costs!$E$7:$O$89,MATCH($C228,Costs!$C$7:$C$89,0),MATCH(J$7,Costs!$E$6:$O$6,0))</f>
        <v>47.755560941696345</v>
      </c>
      <c r="K228" s="86">
        <f>GDPdeflator!$C$38*INDEX(Costs!$E$7:$O$89,MATCH($C228,Costs!$C$7:$C$89,0),MATCH(K$7,Costs!$E$6:$O$6,0))</f>
        <v>44.119795432467953</v>
      </c>
      <c r="L228" s="86">
        <f>GDPdeflator!$C$38*INDEX(Costs!$E$7:$O$89,MATCH($C228,Costs!$C$7:$C$89,0),MATCH(L$7,Costs!$E$6:$O$6,0))</f>
        <v>41.254987428810885</v>
      </c>
      <c r="M228" s="86">
        <f>GDPdeflator!$C$38*INDEX(Costs!$E$7:$O$89,MATCH($C228,Costs!$C$7:$C$89,0),MATCH(M$7,Costs!$E$6:$O$6,0))</f>
        <v>41.254987428810885</v>
      </c>
      <c r="N228" s="86">
        <f>GDPdeflator!$C$38*INDEX(Costs!$E$7:$O$89,MATCH($C228,Costs!$C$7:$C$89,0),MATCH(N$7,Costs!$E$6:$O$6,0))</f>
        <v>41.254987428810885</v>
      </c>
      <c r="O228" s="86">
        <f>GDPdeflator!$C$38*INDEX(Costs!$E$7:$O$89,MATCH($C228,Costs!$C$7:$C$89,0),MATCH(O$7,Costs!$E$6:$O$6,0))</f>
        <v>41.254987428810885</v>
      </c>
      <c r="P228" s="87">
        <f t="shared" si="120"/>
        <v>0</v>
      </c>
      <c r="Q228" s="87">
        <f t="shared" si="121"/>
        <v>0</v>
      </c>
      <c r="R228" s="87">
        <f t="shared" si="122"/>
        <v>0</v>
      </c>
      <c r="S228" s="87">
        <f t="shared" si="123"/>
        <v>4938.4733791180561</v>
      </c>
      <c r="T228" s="87">
        <f t="shared" si="124"/>
        <v>4372.278978964393</v>
      </c>
      <c r="U228" s="87">
        <f t="shared" si="125"/>
        <v>3987.5008724000172</v>
      </c>
      <c r="V228" s="87">
        <f t="shared" si="126"/>
        <v>3683.9211875631058</v>
      </c>
      <c r="W228" s="87">
        <f t="shared" si="127"/>
        <v>3444.7150262578771</v>
      </c>
      <c r="X228" s="87">
        <f t="shared" si="128"/>
        <v>3444.7150262578771</v>
      </c>
      <c r="Y228" s="87">
        <f t="shared" si="129"/>
        <v>3444.7150262578771</v>
      </c>
      <c r="Z228" s="87">
        <f t="shared" si="130"/>
        <v>3444.7150262578771</v>
      </c>
      <c r="AA228" s="88">
        <v>472.5</v>
      </c>
      <c r="AB228" s="89">
        <f>AA228*GDPdeflator!$C$25/$AI$18*10^3</f>
        <v>45.430638058888704</v>
      </c>
      <c r="AC228" s="90" t="e">
        <f>INDEX(Efficiencies!$D$8:$M$89,MATCH(C228,Efficiencies!$C$8:$C$89),MATCH(D228,Efficiencies!$D$7:$M$7))</f>
        <v>#REF!</v>
      </c>
      <c r="AD228" s="90" t="e">
        <f t="shared" si="103"/>
        <v>#REF!</v>
      </c>
      <c r="AE228" s="90" t="e">
        <f>INDEX(Efficiencies!$P$8:$Y$89,MATCH(C228,Efficiencies!$C$8:$C$89),MATCH(D228,Efficiencies!$P$7:$Y$7))</f>
        <v>#REF!</v>
      </c>
      <c r="AF228" s="90" t="e">
        <f t="shared" si="106"/>
        <v>#REF!</v>
      </c>
      <c r="AG228" s="90">
        <v>0</v>
      </c>
    </row>
    <row r="229" spans="1:33" x14ac:dyDescent="0.2">
      <c r="A229" s="92" t="s">
        <v>1246</v>
      </c>
      <c r="B229" s="248" t="s">
        <v>1247</v>
      </c>
      <c r="C229" s="40" t="s">
        <v>1237</v>
      </c>
      <c r="D229" s="40">
        <v>2040</v>
      </c>
      <c r="E229" s="86">
        <f>GDPdeflator!$C$32*INDEX(Costs!$E$7:$O$89,MATCH($C229,Costs!$C$7:$C$89,0),MATCH(E$7,Costs!$E$6:$O$6,0))</f>
        <v>0</v>
      </c>
      <c r="F229" s="86">
        <f>GDPdeflator!$C$36*INDEX(Costs!$E$7:$O$89,MATCH($C229,Costs!$C$7:$C$89,0),MATCH(F$7,Costs!$E$6:$O$6,0))</f>
        <v>0</v>
      </c>
      <c r="G229" s="86">
        <f>GDPdeflator!$C$38*INDEX(Costs!$E$7:$O$89,MATCH($C229,Costs!$C$7:$C$89,0),MATCH(G$7,Costs!$E$6:$O$6,0))</f>
        <v>0</v>
      </c>
      <c r="H229" s="86">
        <f>GDPdeflator!$C$38*INDEX(Costs!$E$7:$O$89,MATCH($C229,Costs!$C$7:$C$89,0),MATCH(H$7,Costs!$E$6:$O$6,0))</f>
        <v>59.144705910363619</v>
      </c>
      <c r="I229" s="86">
        <f>GDPdeflator!$C$38*INDEX(Costs!$E$7:$O$89,MATCH($C229,Costs!$C$7:$C$89,0),MATCH(I$7,Costs!$E$6:$O$6,0))</f>
        <v>52.363784213634027</v>
      </c>
      <c r="J229" s="86">
        <f>GDPdeflator!$C$38*INDEX(Costs!$E$7:$O$89,MATCH($C229,Costs!$C$7:$C$89,0),MATCH(J$7,Costs!$E$6:$O$6,0))</f>
        <v>47.755560941696345</v>
      </c>
      <c r="K229" s="86">
        <f>GDPdeflator!$C$38*INDEX(Costs!$E$7:$O$89,MATCH($C229,Costs!$C$7:$C$89,0),MATCH(K$7,Costs!$E$6:$O$6,0))</f>
        <v>44.119795432467953</v>
      </c>
      <c r="L229" s="86">
        <f>GDPdeflator!$C$38*INDEX(Costs!$E$7:$O$89,MATCH($C229,Costs!$C$7:$C$89,0),MATCH(L$7,Costs!$E$6:$O$6,0))</f>
        <v>41.254987428810885</v>
      </c>
      <c r="M229" s="86">
        <f>GDPdeflator!$C$38*INDEX(Costs!$E$7:$O$89,MATCH($C229,Costs!$C$7:$C$89,0),MATCH(M$7,Costs!$E$6:$O$6,0))</f>
        <v>41.254987428810885</v>
      </c>
      <c r="N229" s="86">
        <f>GDPdeflator!$C$38*INDEX(Costs!$E$7:$O$89,MATCH($C229,Costs!$C$7:$C$89,0),MATCH(N$7,Costs!$E$6:$O$6,0))</f>
        <v>41.254987428810885</v>
      </c>
      <c r="O229" s="86">
        <f>GDPdeflator!$C$38*INDEX(Costs!$E$7:$O$89,MATCH($C229,Costs!$C$7:$C$89,0),MATCH(O$7,Costs!$E$6:$O$6,0))</f>
        <v>41.254987428810885</v>
      </c>
      <c r="P229" s="87">
        <f t="shared" si="120"/>
        <v>0</v>
      </c>
      <c r="Q229" s="87">
        <f t="shared" si="121"/>
        <v>0</v>
      </c>
      <c r="R229" s="87">
        <f t="shared" si="122"/>
        <v>0</v>
      </c>
      <c r="S229" s="87">
        <f t="shared" si="123"/>
        <v>4938.4733791180561</v>
      </c>
      <c r="T229" s="87">
        <f t="shared" si="124"/>
        <v>4372.278978964393</v>
      </c>
      <c r="U229" s="87">
        <f t="shared" si="125"/>
        <v>3987.5008724000172</v>
      </c>
      <c r="V229" s="87">
        <f t="shared" si="126"/>
        <v>3683.9211875631058</v>
      </c>
      <c r="W229" s="87">
        <f t="shared" si="127"/>
        <v>3444.7150262578771</v>
      </c>
      <c r="X229" s="87">
        <f t="shared" si="128"/>
        <v>3444.7150262578771</v>
      </c>
      <c r="Y229" s="87">
        <f t="shared" si="129"/>
        <v>3444.7150262578771</v>
      </c>
      <c r="Z229" s="87">
        <f t="shared" si="130"/>
        <v>3444.7150262578771</v>
      </c>
      <c r="AA229" s="88">
        <v>472.5</v>
      </c>
      <c r="AB229" s="89">
        <f>AA229*GDPdeflator!$C$25/$AI$18*10^3</f>
        <v>45.430638058888704</v>
      </c>
      <c r="AC229" s="90" t="e">
        <f>INDEX(Efficiencies!$D$8:$M$89,MATCH(C229,Efficiencies!$C$8:$C$89),MATCH(D229,Efficiencies!$D$7:$M$7))</f>
        <v>#REF!</v>
      </c>
      <c r="AD229" s="90" t="e">
        <f t="shared" si="103"/>
        <v>#REF!</v>
      </c>
      <c r="AE229" s="90" t="e">
        <f>INDEX(Efficiencies!$P$8:$Y$89,MATCH(C229,Efficiencies!$C$8:$C$89),MATCH(D229,Efficiencies!$P$7:$Y$7))</f>
        <v>#REF!</v>
      </c>
      <c r="AF229" s="90" t="e">
        <f t="shared" si="106"/>
        <v>#REF!</v>
      </c>
      <c r="AG229" s="90">
        <v>0</v>
      </c>
    </row>
    <row r="230" spans="1:33" x14ac:dyDescent="0.2">
      <c r="A230" s="92" t="s">
        <v>1248</v>
      </c>
      <c r="B230" s="248" t="s">
        <v>1249</v>
      </c>
      <c r="C230" s="40" t="s">
        <v>1237</v>
      </c>
      <c r="D230" s="40">
        <v>2045</v>
      </c>
      <c r="E230" s="86">
        <f>GDPdeflator!$C$32*INDEX(Costs!$E$7:$O$89,MATCH($C230,Costs!$C$7:$C$89,0),MATCH(E$7,Costs!$E$6:$O$6,0))</f>
        <v>0</v>
      </c>
      <c r="F230" s="86">
        <f>GDPdeflator!$C$36*INDEX(Costs!$E$7:$O$89,MATCH($C230,Costs!$C$7:$C$89,0),MATCH(F$7,Costs!$E$6:$O$6,0))</f>
        <v>0</v>
      </c>
      <c r="G230" s="86">
        <f>GDPdeflator!$C$38*INDEX(Costs!$E$7:$O$89,MATCH($C230,Costs!$C$7:$C$89,0),MATCH(G$7,Costs!$E$6:$O$6,0))</f>
        <v>0</v>
      </c>
      <c r="H230" s="86">
        <f>GDPdeflator!$C$38*INDEX(Costs!$E$7:$O$89,MATCH($C230,Costs!$C$7:$C$89,0),MATCH(H$7,Costs!$E$6:$O$6,0))</f>
        <v>59.144705910363619</v>
      </c>
      <c r="I230" s="86">
        <f>GDPdeflator!$C$38*INDEX(Costs!$E$7:$O$89,MATCH($C230,Costs!$C$7:$C$89,0),MATCH(I$7,Costs!$E$6:$O$6,0))</f>
        <v>52.363784213634027</v>
      </c>
      <c r="J230" s="86">
        <f>GDPdeflator!$C$38*INDEX(Costs!$E$7:$O$89,MATCH($C230,Costs!$C$7:$C$89,0),MATCH(J$7,Costs!$E$6:$O$6,0))</f>
        <v>47.755560941696345</v>
      </c>
      <c r="K230" s="86">
        <f>GDPdeflator!$C$38*INDEX(Costs!$E$7:$O$89,MATCH($C230,Costs!$C$7:$C$89,0),MATCH(K$7,Costs!$E$6:$O$6,0))</f>
        <v>44.119795432467953</v>
      </c>
      <c r="L230" s="86">
        <f>GDPdeflator!$C$38*INDEX(Costs!$E$7:$O$89,MATCH($C230,Costs!$C$7:$C$89,0),MATCH(L$7,Costs!$E$6:$O$6,0))</f>
        <v>41.254987428810885</v>
      </c>
      <c r="M230" s="86">
        <f>GDPdeflator!$C$38*INDEX(Costs!$E$7:$O$89,MATCH($C230,Costs!$C$7:$C$89,0),MATCH(M$7,Costs!$E$6:$O$6,0))</f>
        <v>41.254987428810885</v>
      </c>
      <c r="N230" s="86">
        <f>GDPdeflator!$C$38*INDEX(Costs!$E$7:$O$89,MATCH($C230,Costs!$C$7:$C$89,0),MATCH(N$7,Costs!$E$6:$O$6,0))</f>
        <v>41.254987428810885</v>
      </c>
      <c r="O230" s="86">
        <f>GDPdeflator!$C$38*INDEX(Costs!$E$7:$O$89,MATCH($C230,Costs!$C$7:$C$89,0),MATCH(O$7,Costs!$E$6:$O$6,0))</f>
        <v>41.254987428810885</v>
      </c>
      <c r="P230" s="87">
        <f t="shared" si="120"/>
        <v>0</v>
      </c>
      <c r="Q230" s="87">
        <f t="shared" si="121"/>
        <v>0</v>
      </c>
      <c r="R230" s="87">
        <f t="shared" si="122"/>
        <v>0</v>
      </c>
      <c r="S230" s="87">
        <f t="shared" si="123"/>
        <v>4938.4733791180561</v>
      </c>
      <c r="T230" s="87">
        <f t="shared" si="124"/>
        <v>4372.278978964393</v>
      </c>
      <c r="U230" s="87">
        <f t="shared" si="125"/>
        <v>3987.5008724000172</v>
      </c>
      <c r="V230" s="87">
        <f t="shared" si="126"/>
        <v>3683.9211875631058</v>
      </c>
      <c r="W230" s="87">
        <f t="shared" si="127"/>
        <v>3444.7150262578771</v>
      </c>
      <c r="X230" s="87">
        <f t="shared" si="128"/>
        <v>3444.7150262578771</v>
      </c>
      <c r="Y230" s="87">
        <f t="shared" si="129"/>
        <v>3444.7150262578771</v>
      </c>
      <c r="Z230" s="87">
        <f t="shared" si="130"/>
        <v>3444.7150262578771</v>
      </c>
      <c r="AA230" s="88">
        <v>472.5</v>
      </c>
      <c r="AB230" s="89">
        <f>AA230*GDPdeflator!$C$25/$AI$18*10^3</f>
        <v>45.430638058888704</v>
      </c>
      <c r="AC230" s="90" t="e">
        <f>INDEX(Efficiencies!$D$8:$M$89,MATCH(C230,Efficiencies!$C$8:$C$89),MATCH(D230,Efficiencies!$D$7:$M$7))</f>
        <v>#REF!</v>
      </c>
      <c r="AD230" s="90" t="e">
        <f t="shared" si="103"/>
        <v>#REF!</v>
      </c>
      <c r="AE230" s="90" t="e">
        <f>INDEX(Efficiencies!$P$8:$Y$89,MATCH(C230,Efficiencies!$C$8:$C$89),MATCH(D230,Efficiencies!$P$7:$Y$7))</f>
        <v>#REF!</v>
      </c>
      <c r="AF230" s="90" t="e">
        <f t="shared" si="106"/>
        <v>#REF!</v>
      </c>
      <c r="AG230" s="90">
        <v>0</v>
      </c>
    </row>
    <row r="231" spans="1:33" x14ac:dyDescent="0.2">
      <c r="A231" s="92" t="s">
        <v>1250</v>
      </c>
      <c r="B231" s="248" t="s">
        <v>1251</v>
      </c>
      <c r="C231" s="40" t="s">
        <v>1237</v>
      </c>
      <c r="D231" s="40">
        <v>2050</v>
      </c>
      <c r="E231" s="86">
        <f>GDPdeflator!$C$32*INDEX(Costs!$E$7:$O$89,MATCH($C231,Costs!$C$7:$C$89,0),MATCH(E$7,Costs!$E$6:$O$6,0))</f>
        <v>0</v>
      </c>
      <c r="F231" s="86">
        <f>GDPdeflator!$C$36*INDEX(Costs!$E$7:$O$89,MATCH($C231,Costs!$C$7:$C$89,0),MATCH(F$7,Costs!$E$6:$O$6,0))</f>
        <v>0</v>
      </c>
      <c r="G231" s="86">
        <f>GDPdeflator!$C$38*INDEX(Costs!$E$7:$O$89,MATCH($C231,Costs!$C$7:$C$89,0),MATCH(G$7,Costs!$E$6:$O$6,0))</f>
        <v>0</v>
      </c>
      <c r="H231" s="86">
        <f>GDPdeflator!$C$38*INDEX(Costs!$E$7:$O$89,MATCH($C231,Costs!$C$7:$C$89,0),MATCH(H$7,Costs!$E$6:$O$6,0))</f>
        <v>59.144705910363619</v>
      </c>
      <c r="I231" s="86">
        <f>GDPdeflator!$C$38*INDEX(Costs!$E$7:$O$89,MATCH($C231,Costs!$C$7:$C$89,0),MATCH(I$7,Costs!$E$6:$O$6,0))</f>
        <v>52.363784213634027</v>
      </c>
      <c r="J231" s="86">
        <f>GDPdeflator!$C$38*INDEX(Costs!$E$7:$O$89,MATCH($C231,Costs!$C$7:$C$89,0),MATCH(J$7,Costs!$E$6:$O$6,0))</f>
        <v>47.755560941696345</v>
      </c>
      <c r="K231" s="86">
        <f>GDPdeflator!$C$38*INDEX(Costs!$E$7:$O$89,MATCH($C231,Costs!$C$7:$C$89,0),MATCH(K$7,Costs!$E$6:$O$6,0))</f>
        <v>44.119795432467953</v>
      </c>
      <c r="L231" s="86">
        <f>GDPdeflator!$C$38*INDEX(Costs!$E$7:$O$89,MATCH($C231,Costs!$C$7:$C$89,0),MATCH(L$7,Costs!$E$6:$O$6,0))</f>
        <v>41.254987428810885</v>
      </c>
      <c r="M231" s="86">
        <f>GDPdeflator!$C$38*INDEX(Costs!$E$7:$O$89,MATCH($C231,Costs!$C$7:$C$89,0),MATCH(M$7,Costs!$E$6:$O$6,0))</f>
        <v>41.254987428810885</v>
      </c>
      <c r="N231" s="86">
        <f>GDPdeflator!$C$38*INDEX(Costs!$E$7:$O$89,MATCH($C231,Costs!$C$7:$C$89,0),MATCH(N$7,Costs!$E$6:$O$6,0))</f>
        <v>41.254987428810885</v>
      </c>
      <c r="O231" s="86">
        <f>GDPdeflator!$C$38*INDEX(Costs!$E$7:$O$89,MATCH($C231,Costs!$C$7:$C$89,0),MATCH(O$7,Costs!$E$6:$O$6,0))</f>
        <v>41.254987428810885</v>
      </c>
      <c r="P231" s="87">
        <f t="shared" si="120"/>
        <v>0</v>
      </c>
      <c r="Q231" s="87">
        <f t="shared" si="121"/>
        <v>0</v>
      </c>
      <c r="R231" s="87">
        <f t="shared" si="122"/>
        <v>0</v>
      </c>
      <c r="S231" s="87">
        <f t="shared" si="123"/>
        <v>4938.4733791180561</v>
      </c>
      <c r="T231" s="87">
        <f t="shared" si="124"/>
        <v>4372.278978964393</v>
      </c>
      <c r="U231" s="87">
        <f t="shared" si="125"/>
        <v>3987.5008724000172</v>
      </c>
      <c r="V231" s="87">
        <f t="shared" si="126"/>
        <v>3683.9211875631058</v>
      </c>
      <c r="W231" s="87">
        <f t="shared" si="127"/>
        <v>3444.7150262578771</v>
      </c>
      <c r="X231" s="87">
        <f t="shared" si="128"/>
        <v>3444.7150262578771</v>
      </c>
      <c r="Y231" s="87">
        <f t="shared" si="129"/>
        <v>3444.7150262578771</v>
      </c>
      <c r="Z231" s="87">
        <f t="shared" si="130"/>
        <v>3444.7150262578771</v>
      </c>
      <c r="AA231" s="88">
        <v>472.5</v>
      </c>
      <c r="AB231" s="89">
        <f>AA231*GDPdeflator!$C$25/$AI$18*10^3</f>
        <v>45.430638058888704</v>
      </c>
      <c r="AC231" s="90" t="e">
        <f>INDEX(Efficiencies!$D$8:$M$89,MATCH(C231,Efficiencies!$C$8:$C$89),MATCH(D231,Efficiencies!$D$7:$M$7))</f>
        <v>#REF!</v>
      </c>
      <c r="AD231" s="90" t="e">
        <f t="shared" si="103"/>
        <v>#REF!</v>
      </c>
      <c r="AE231" s="90" t="e">
        <f>INDEX(Efficiencies!$P$8:$Y$89,MATCH(C231,Efficiencies!$C$8:$C$89),MATCH(D231,Efficiencies!$P$7:$Y$7))</f>
        <v>#REF!</v>
      </c>
      <c r="AF231" s="90" t="e">
        <f t="shared" si="106"/>
        <v>#REF!</v>
      </c>
      <c r="AG231" s="90">
        <v>0</v>
      </c>
    </row>
    <row r="232" spans="1:33" x14ac:dyDescent="0.2">
      <c r="A232" s="92" t="s">
        <v>1252</v>
      </c>
      <c r="B232" s="248" t="s">
        <v>1253</v>
      </c>
      <c r="C232" s="40" t="s">
        <v>1254</v>
      </c>
      <c r="D232" s="40">
        <v>2005</v>
      </c>
      <c r="E232" s="86">
        <f>GDPdeflator!$C$32*INDEX(Costs!$E$7:$O$89,MATCH($C232,Costs!$C$7:$C$89,0),MATCH(E$7,Costs!$E$6:$O$6,0))</f>
        <v>26.329555361813423</v>
      </c>
      <c r="F232" s="86">
        <f>GDPdeflator!$C$36*INDEX(Costs!$E$7:$O$89,MATCH($C232,Costs!$C$7:$C$89,0),MATCH(F$7,Costs!$E$6:$O$6,0))</f>
        <v>30.254977925939272</v>
      </c>
      <c r="G232" s="86">
        <f>GDPdeflator!$C$38*INDEX(Costs!$E$7:$O$89,MATCH($C232,Costs!$C$7:$C$89,0),MATCH(G$7,Costs!$E$6:$O$6,0))</f>
        <v>27.552969943429648</v>
      </c>
      <c r="H232" s="86">
        <f>GDPdeflator!$C$38*INDEX(Costs!$E$7:$O$89,MATCH($C232,Costs!$C$7:$C$89,0),MATCH(H$7,Costs!$E$6:$O$6,0))</f>
        <v>27.903405173234795</v>
      </c>
      <c r="I232" s="86">
        <f>GDPdeflator!$C$38*INDEX(Costs!$E$7:$O$89,MATCH($C232,Costs!$C$7:$C$89,0),MATCH(I$7,Costs!$E$6:$O$6,0))</f>
        <v>28.280123045275328</v>
      </c>
      <c r="J232" s="86">
        <f>GDPdeflator!$C$38*INDEX(Costs!$E$7:$O$89,MATCH($C232,Costs!$C$7:$C$89,0),MATCH(J$7,Costs!$E$6:$O$6,0))</f>
        <v>27.798274604293251</v>
      </c>
      <c r="K232" s="86">
        <f>GDPdeflator!$C$38*INDEX(Costs!$E$7:$O$89,MATCH($C232,Costs!$C$7:$C$89,0),MATCH(K$7,Costs!$E$6:$O$6,0))</f>
        <v>27.666861393116321</v>
      </c>
      <c r="L232" s="86">
        <f>GDPdeflator!$C$38*INDEX(Costs!$E$7:$O$89,MATCH($C232,Costs!$C$7:$C$89,0),MATCH(L$7,Costs!$E$6:$O$6,0))</f>
        <v>27.631817870135805</v>
      </c>
      <c r="M232" s="86">
        <f>GDPdeflator!$C$38*INDEX(Costs!$E$7:$O$89,MATCH($C232,Costs!$C$7:$C$89,0),MATCH(M$7,Costs!$E$6:$O$6,0))</f>
        <v>27.631817870135805</v>
      </c>
      <c r="N232" s="86">
        <f>GDPdeflator!$C$38*INDEX(Costs!$E$7:$O$89,MATCH($C232,Costs!$C$7:$C$89,0),MATCH(N$7,Costs!$E$6:$O$6,0))</f>
        <v>27.631817870135805</v>
      </c>
      <c r="O232" s="86">
        <f>GDPdeflator!$C$38*INDEX(Costs!$E$7:$O$89,MATCH($C232,Costs!$C$7:$C$89,0),MATCH(O$7,Costs!$E$6:$O$6,0))</f>
        <v>27.631817870135805</v>
      </c>
      <c r="P232" s="87">
        <f>E232/$AI$18*10^6</f>
        <v>2198.4690977311388</v>
      </c>
      <c r="Q232" s="87">
        <f t="shared" si="121"/>
        <v>2526.2346100680261</v>
      </c>
      <c r="R232" s="87">
        <f t="shared" si="122"/>
        <v>2300.6219489447908</v>
      </c>
      <c r="S232" s="87">
        <f t="shared" si="123"/>
        <v>2329.8826414591922</v>
      </c>
      <c r="T232" s="87">
        <f t="shared" si="124"/>
        <v>2361.3378859121731</v>
      </c>
      <c r="U232" s="87">
        <f t="shared" si="125"/>
        <v>2321.104433704872</v>
      </c>
      <c r="V232" s="87">
        <f t="shared" si="126"/>
        <v>2310.1316740119714</v>
      </c>
      <c r="W232" s="87">
        <f t="shared" si="127"/>
        <v>2307.2056047605311</v>
      </c>
      <c r="X232" s="87">
        <f t="shared" si="128"/>
        <v>2307.2056047605311</v>
      </c>
      <c r="Y232" s="87">
        <f t="shared" si="129"/>
        <v>2307.2056047605311</v>
      </c>
      <c r="Z232" s="87">
        <f t="shared" si="130"/>
        <v>2307.2056047605311</v>
      </c>
      <c r="AA232" s="88">
        <v>472.5</v>
      </c>
      <c r="AB232" s="89">
        <f>AA232*GDPdeflator!$C$25/$AI$18*10^3</f>
        <v>45.430638058888704</v>
      </c>
      <c r="AC232" s="90" t="e">
        <f>INDEX(Efficiencies!$D$8:$M$89,MATCH(C232,Efficiencies!$C$8:$C$89),MATCH(D232,Efficiencies!$D$7:$M$7))</f>
        <v>#REF!</v>
      </c>
      <c r="AD232" s="90" t="e">
        <f t="shared" si="103"/>
        <v>#REF!</v>
      </c>
      <c r="AE232" s="90" t="e">
        <f>INDEX(Efficiencies!$P$8:$Y$89,MATCH(C232,Efficiencies!$C$8:$C$89),MATCH(D232,Efficiencies!$P$7:$Y$7))</f>
        <v>#REF!</v>
      </c>
      <c r="AF232" s="90" t="e">
        <f t="shared" si="106"/>
        <v>#REF!</v>
      </c>
      <c r="AG232" s="90">
        <v>0</v>
      </c>
    </row>
    <row r="233" spans="1:33" x14ac:dyDescent="0.2">
      <c r="A233" s="92" t="s">
        <v>1255</v>
      </c>
      <c r="B233" s="248" t="s">
        <v>1256</v>
      </c>
      <c r="C233" s="40" t="s">
        <v>1254</v>
      </c>
      <c r="D233" s="40">
        <v>2010</v>
      </c>
      <c r="E233" s="86">
        <f>GDPdeflator!$C$32*INDEX(Costs!$E$7:$O$89,MATCH($C233,Costs!$C$7:$C$89,0),MATCH(E$7,Costs!$E$6:$O$6,0))</f>
        <v>26.329555361813423</v>
      </c>
      <c r="F233" s="86">
        <f>GDPdeflator!$C$36*INDEX(Costs!$E$7:$O$89,MATCH($C233,Costs!$C$7:$C$89,0),MATCH(F$7,Costs!$E$6:$O$6,0))</f>
        <v>30.254977925939272</v>
      </c>
      <c r="G233" s="86">
        <f>GDPdeflator!$C$38*INDEX(Costs!$E$7:$O$89,MATCH($C233,Costs!$C$7:$C$89,0),MATCH(G$7,Costs!$E$6:$O$6,0))</f>
        <v>27.552969943429648</v>
      </c>
      <c r="H233" s="86">
        <f>GDPdeflator!$C$38*INDEX(Costs!$E$7:$O$89,MATCH($C233,Costs!$C$7:$C$89,0),MATCH(H$7,Costs!$E$6:$O$6,0))</f>
        <v>27.903405173234795</v>
      </c>
      <c r="I233" s="86">
        <f>GDPdeflator!$C$38*INDEX(Costs!$E$7:$O$89,MATCH($C233,Costs!$C$7:$C$89,0),MATCH(I$7,Costs!$E$6:$O$6,0))</f>
        <v>28.280123045275328</v>
      </c>
      <c r="J233" s="86">
        <f>GDPdeflator!$C$38*INDEX(Costs!$E$7:$O$89,MATCH($C233,Costs!$C$7:$C$89,0),MATCH(J$7,Costs!$E$6:$O$6,0))</f>
        <v>27.798274604293251</v>
      </c>
      <c r="K233" s="86">
        <f>GDPdeflator!$C$38*INDEX(Costs!$E$7:$O$89,MATCH($C233,Costs!$C$7:$C$89,0),MATCH(K$7,Costs!$E$6:$O$6,0))</f>
        <v>27.666861393116321</v>
      </c>
      <c r="L233" s="86">
        <f>GDPdeflator!$C$38*INDEX(Costs!$E$7:$O$89,MATCH($C233,Costs!$C$7:$C$89,0),MATCH(L$7,Costs!$E$6:$O$6,0))</f>
        <v>27.631817870135805</v>
      </c>
      <c r="M233" s="86">
        <f>GDPdeflator!$C$38*INDEX(Costs!$E$7:$O$89,MATCH($C233,Costs!$C$7:$C$89,0),MATCH(M$7,Costs!$E$6:$O$6,0))</f>
        <v>27.631817870135805</v>
      </c>
      <c r="N233" s="86">
        <f>GDPdeflator!$C$38*INDEX(Costs!$E$7:$O$89,MATCH($C233,Costs!$C$7:$C$89,0),MATCH(N$7,Costs!$E$6:$O$6,0))</f>
        <v>27.631817870135805</v>
      </c>
      <c r="O233" s="86">
        <f>GDPdeflator!$C$38*INDEX(Costs!$E$7:$O$89,MATCH($C233,Costs!$C$7:$C$89,0),MATCH(O$7,Costs!$E$6:$O$6,0))</f>
        <v>27.631817870135805</v>
      </c>
      <c r="P233" s="87">
        <f t="shared" ref="P233:P241" si="131">E233/$AI$18*10^6</f>
        <v>2198.4690977311388</v>
      </c>
      <c r="Q233" s="87">
        <f t="shared" ref="Q233:Q294" si="132">F233/$AI$18*10^6</f>
        <v>2526.2346100680261</v>
      </c>
      <c r="R233" s="87">
        <f t="shared" ref="R233:R294" si="133">G233/$AI$18*10^6</f>
        <v>2300.6219489447908</v>
      </c>
      <c r="S233" s="87">
        <f t="shared" ref="S233:S295" si="134">H233/$AI$18*10^6</f>
        <v>2329.8826414591922</v>
      </c>
      <c r="T233" s="87">
        <f t="shared" ref="T233:T295" si="135">I233/$AI$18*10^6</f>
        <v>2361.3378859121731</v>
      </c>
      <c r="U233" s="87">
        <f t="shared" ref="U233:U295" si="136">J233/$AI$18*10^6</f>
        <v>2321.104433704872</v>
      </c>
      <c r="V233" s="87">
        <f t="shared" ref="V233:V295" si="137">K233/$AI$18*10^6</f>
        <v>2310.1316740119714</v>
      </c>
      <c r="W233" s="87">
        <f t="shared" ref="W233:W295" si="138">L233/$AI$18*10^6</f>
        <v>2307.2056047605311</v>
      </c>
      <c r="X233" s="87">
        <f t="shared" ref="X233:X295" si="139">M233/$AI$18*10^6</f>
        <v>2307.2056047605311</v>
      </c>
      <c r="Y233" s="87">
        <f t="shared" ref="Y233:Y295" si="140">N233/$AI$18*10^6</f>
        <v>2307.2056047605311</v>
      </c>
      <c r="Z233" s="87">
        <f t="shared" ref="Z233:Z295" si="141">O233/$AI$18*10^6</f>
        <v>2307.2056047605311</v>
      </c>
      <c r="AA233" s="88">
        <v>472.5</v>
      </c>
      <c r="AB233" s="89">
        <f>AA233*GDPdeflator!$C$25/$AI$18*10^3</f>
        <v>45.430638058888704</v>
      </c>
      <c r="AC233" s="90" t="e">
        <f>INDEX(Efficiencies!$D$8:$M$89,MATCH(C233,Efficiencies!$C$8:$C$89),MATCH(D233,Efficiencies!$D$7:$M$7))</f>
        <v>#REF!</v>
      </c>
      <c r="AD233" s="90" t="e">
        <f t="shared" si="103"/>
        <v>#REF!</v>
      </c>
      <c r="AE233" s="90" t="e">
        <f>INDEX(Efficiencies!$P$8:$Y$89,MATCH(C233,Efficiencies!$C$8:$C$89),MATCH(D233,Efficiencies!$P$7:$Y$7))</f>
        <v>#REF!</v>
      </c>
      <c r="AF233" s="90" t="e">
        <f t="shared" si="106"/>
        <v>#REF!</v>
      </c>
      <c r="AG233" s="90">
        <v>0</v>
      </c>
    </row>
    <row r="234" spans="1:33" x14ac:dyDescent="0.2">
      <c r="A234" s="92" t="s">
        <v>1257</v>
      </c>
      <c r="B234" s="248" t="s">
        <v>1258</v>
      </c>
      <c r="C234" s="40" t="s">
        <v>1254</v>
      </c>
      <c r="D234" s="40">
        <v>2015</v>
      </c>
      <c r="E234" s="86">
        <f>GDPdeflator!$C$32*INDEX(Costs!$E$7:$O$89,MATCH($C234,Costs!$C$7:$C$89,0),MATCH(E$7,Costs!$E$6:$O$6,0))</f>
        <v>26.329555361813423</v>
      </c>
      <c r="F234" s="86">
        <f>GDPdeflator!$C$36*INDEX(Costs!$E$7:$O$89,MATCH($C234,Costs!$C$7:$C$89,0),MATCH(F$7,Costs!$E$6:$O$6,0))</f>
        <v>30.254977925939272</v>
      </c>
      <c r="G234" s="86">
        <f>GDPdeflator!$C$38*INDEX(Costs!$E$7:$O$89,MATCH($C234,Costs!$C$7:$C$89,0),MATCH(G$7,Costs!$E$6:$O$6,0))</f>
        <v>27.552969943429648</v>
      </c>
      <c r="H234" s="86">
        <f>GDPdeflator!$C$38*INDEX(Costs!$E$7:$O$89,MATCH($C234,Costs!$C$7:$C$89,0),MATCH(H$7,Costs!$E$6:$O$6,0))</f>
        <v>27.903405173234795</v>
      </c>
      <c r="I234" s="86">
        <f>GDPdeflator!$C$38*INDEX(Costs!$E$7:$O$89,MATCH($C234,Costs!$C$7:$C$89,0),MATCH(I$7,Costs!$E$6:$O$6,0))</f>
        <v>28.280123045275328</v>
      </c>
      <c r="J234" s="86">
        <f>GDPdeflator!$C$38*INDEX(Costs!$E$7:$O$89,MATCH($C234,Costs!$C$7:$C$89,0),MATCH(J$7,Costs!$E$6:$O$6,0))</f>
        <v>27.798274604293251</v>
      </c>
      <c r="K234" s="86">
        <f>GDPdeflator!$C$38*INDEX(Costs!$E$7:$O$89,MATCH($C234,Costs!$C$7:$C$89,0),MATCH(K$7,Costs!$E$6:$O$6,0))</f>
        <v>27.666861393116321</v>
      </c>
      <c r="L234" s="86">
        <f>GDPdeflator!$C$38*INDEX(Costs!$E$7:$O$89,MATCH($C234,Costs!$C$7:$C$89,0),MATCH(L$7,Costs!$E$6:$O$6,0))</f>
        <v>27.631817870135805</v>
      </c>
      <c r="M234" s="86">
        <f>GDPdeflator!$C$38*INDEX(Costs!$E$7:$O$89,MATCH($C234,Costs!$C$7:$C$89,0),MATCH(M$7,Costs!$E$6:$O$6,0))</f>
        <v>27.631817870135805</v>
      </c>
      <c r="N234" s="86">
        <f>GDPdeflator!$C$38*INDEX(Costs!$E$7:$O$89,MATCH($C234,Costs!$C$7:$C$89,0),MATCH(N$7,Costs!$E$6:$O$6,0))</f>
        <v>27.631817870135805</v>
      </c>
      <c r="O234" s="86">
        <f>GDPdeflator!$C$38*INDEX(Costs!$E$7:$O$89,MATCH($C234,Costs!$C$7:$C$89,0),MATCH(O$7,Costs!$E$6:$O$6,0))</f>
        <v>27.631817870135805</v>
      </c>
      <c r="P234" s="87">
        <f t="shared" si="131"/>
        <v>2198.4690977311388</v>
      </c>
      <c r="Q234" s="87">
        <f t="shared" si="132"/>
        <v>2526.2346100680261</v>
      </c>
      <c r="R234" s="87">
        <f t="shared" si="133"/>
        <v>2300.6219489447908</v>
      </c>
      <c r="S234" s="87">
        <f t="shared" si="134"/>
        <v>2329.8826414591922</v>
      </c>
      <c r="T234" s="87">
        <f t="shared" si="135"/>
        <v>2361.3378859121731</v>
      </c>
      <c r="U234" s="87">
        <f t="shared" si="136"/>
        <v>2321.104433704872</v>
      </c>
      <c r="V234" s="87">
        <f t="shared" si="137"/>
        <v>2310.1316740119714</v>
      </c>
      <c r="W234" s="87">
        <f t="shared" si="138"/>
        <v>2307.2056047605311</v>
      </c>
      <c r="X234" s="87">
        <f t="shared" si="139"/>
        <v>2307.2056047605311</v>
      </c>
      <c r="Y234" s="87">
        <f t="shared" si="140"/>
        <v>2307.2056047605311</v>
      </c>
      <c r="Z234" s="87">
        <f t="shared" si="141"/>
        <v>2307.2056047605311</v>
      </c>
      <c r="AA234" s="88">
        <v>472.5</v>
      </c>
      <c r="AB234" s="89">
        <f>AA234*GDPdeflator!$C$25/$AI$18*10^3</f>
        <v>45.430638058888704</v>
      </c>
      <c r="AC234" s="90" t="e">
        <f>INDEX(Efficiencies!$D$8:$M$89,MATCH(C234,Efficiencies!$C$8:$C$89),MATCH(D234,Efficiencies!$D$7:$M$7))</f>
        <v>#REF!</v>
      </c>
      <c r="AD234" s="90" t="e">
        <f t="shared" si="103"/>
        <v>#REF!</v>
      </c>
      <c r="AE234" s="90" t="e">
        <f>INDEX(Efficiencies!$P$8:$Y$89,MATCH(C234,Efficiencies!$C$8:$C$89),MATCH(D234,Efficiencies!$P$7:$Y$7))</f>
        <v>#REF!</v>
      </c>
      <c r="AF234" s="90" t="e">
        <f t="shared" si="106"/>
        <v>#REF!</v>
      </c>
      <c r="AG234" s="90">
        <v>0</v>
      </c>
    </row>
    <row r="235" spans="1:33" x14ac:dyDescent="0.2">
      <c r="A235" s="92" t="s">
        <v>1259</v>
      </c>
      <c r="B235" s="248" t="s">
        <v>1260</v>
      </c>
      <c r="C235" s="40" t="s">
        <v>1254</v>
      </c>
      <c r="D235" s="40">
        <v>2020</v>
      </c>
      <c r="E235" s="86">
        <f>GDPdeflator!$C$32*INDEX(Costs!$E$7:$O$89,MATCH($C235,Costs!$C$7:$C$89,0),MATCH(E$7,Costs!$E$6:$O$6,0))</f>
        <v>26.329555361813423</v>
      </c>
      <c r="F235" s="86">
        <f>GDPdeflator!$C$36*INDEX(Costs!$E$7:$O$89,MATCH($C235,Costs!$C$7:$C$89,0),MATCH(F$7,Costs!$E$6:$O$6,0))</f>
        <v>30.254977925939272</v>
      </c>
      <c r="G235" s="86">
        <f>GDPdeflator!$C$38*INDEX(Costs!$E$7:$O$89,MATCH($C235,Costs!$C$7:$C$89,0),MATCH(G$7,Costs!$E$6:$O$6,0))</f>
        <v>27.552969943429648</v>
      </c>
      <c r="H235" s="86">
        <f>GDPdeflator!$C$38*INDEX(Costs!$E$7:$O$89,MATCH($C235,Costs!$C$7:$C$89,0),MATCH(H$7,Costs!$E$6:$O$6,0))</f>
        <v>27.903405173234795</v>
      </c>
      <c r="I235" s="86">
        <f>GDPdeflator!$C$38*INDEX(Costs!$E$7:$O$89,MATCH($C235,Costs!$C$7:$C$89,0),MATCH(I$7,Costs!$E$6:$O$6,0))</f>
        <v>28.280123045275328</v>
      </c>
      <c r="J235" s="86">
        <f>GDPdeflator!$C$38*INDEX(Costs!$E$7:$O$89,MATCH($C235,Costs!$C$7:$C$89,0),MATCH(J$7,Costs!$E$6:$O$6,0))</f>
        <v>27.798274604293251</v>
      </c>
      <c r="K235" s="86">
        <f>GDPdeflator!$C$38*INDEX(Costs!$E$7:$O$89,MATCH($C235,Costs!$C$7:$C$89,0),MATCH(K$7,Costs!$E$6:$O$6,0))</f>
        <v>27.666861393116321</v>
      </c>
      <c r="L235" s="86">
        <f>GDPdeflator!$C$38*INDEX(Costs!$E$7:$O$89,MATCH($C235,Costs!$C$7:$C$89,0),MATCH(L$7,Costs!$E$6:$O$6,0))</f>
        <v>27.631817870135805</v>
      </c>
      <c r="M235" s="86">
        <f>GDPdeflator!$C$38*INDEX(Costs!$E$7:$O$89,MATCH($C235,Costs!$C$7:$C$89,0),MATCH(M$7,Costs!$E$6:$O$6,0))</f>
        <v>27.631817870135805</v>
      </c>
      <c r="N235" s="86">
        <f>GDPdeflator!$C$38*INDEX(Costs!$E$7:$O$89,MATCH($C235,Costs!$C$7:$C$89,0),MATCH(N$7,Costs!$E$6:$O$6,0))</f>
        <v>27.631817870135805</v>
      </c>
      <c r="O235" s="86">
        <f>GDPdeflator!$C$38*INDEX(Costs!$E$7:$O$89,MATCH($C235,Costs!$C$7:$C$89,0),MATCH(O$7,Costs!$E$6:$O$6,0))</f>
        <v>27.631817870135805</v>
      </c>
      <c r="P235" s="87">
        <f t="shared" si="131"/>
        <v>2198.4690977311388</v>
      </c>
      <c r="Q235" s="87">
        <f t="shared" si="132"/>
        <v>2526.2346100680261</v>
      </c>
      <c r="R235" s="87">
        <f t="shared" si="133"/>
        <v>2300.6219489447908</v>
      </c>
      <c r="S235" s="87">
        <f t="shared" si="134"/>
        <v>2329.8826414591922</v>
      </c>
      <c r="T235" s="87">
        <f t="shared" si="135"/>
        <v>2361.3378859121731</v>
      </c>
      <c r="U235" s="87">
        <f t="shared" si="136"/>
        <v>2321.104433704872</v>
      </c>
      <c r="V235" s="87">
        <f t="shared" si="137"/>
        <v>2310.1316740119714</v>
      </c>
      <c r="W235" s="87">
        <f t="shared" si="138"/>
        <v>2307.2056047605311</v>
      </c>
      <c r="X235" s="87">
        <f t="shared" si="139"/>
        <v>2307.2056047605311</v>
      </c>
      <c r="Y235" s="87">
        <f t="shared" si="140"/>
        <v>2307.2056047605311</v>
      </c>
      <c r="Z235" s="87">
        <f t="shared" si="141"/>
        <v>2307.2056047605311</v>
      </c>
      <c r="AA235" s="88">
        <v>472.5</v>
      </c>
      <c r="AB235" s="89">
        <f>AA235*GDPdeflator!$C$25/$AI$18*10^3</f>
        <v>45.430638058888704</v>
      </c>
      <c r="AC235" s="90" t="e">
        <f>INDEX(Efficiencies!$D$8:$M$89,MATCH(C235,Efficiencies!$C$8:$C$89),MATCH(D235,Efficiencies!$D$7:$M$7))</f>
        <v>#REF!</v>
      </c>
      <c r="AD235" s="90" t="e">
        <f t="shared" si="103"/>
        <v>#REF!</v>
      </c>
      <c r="AE235" s="90" t="e">
        <f>INDEX(Efficiencies!$P$8:$Y$89,MATCH(C235,Efficiencies!$C$8:$C$89),MATCH(D235,Efficiencies!$P$7:$Y$7))</f>
        <v>#REF!</v>
      </c>
      <c r="AF235" s="90" t="e">
        <f t="shared" si="106"/>
        <v>#REF!</v>
      </c>
      <c r="AG235" s="90">
        <v>0</v>
      </c>
    </row>
    <row r="236" spans="1:33" x14ac:dyDescent="0.2">
      <c r="A236" s="92" t="s">
        <v>1261</v>
      </c>
      <c r="B236" s="248" t="s">
        <v>1262</v>
      </c>
      <c r="C236" s="40" t="s">
        <v>1254</v>
      </c>
      <c r="D236" s="40">
        <v>2025</v>
      </c>
      <c r="E236" s="86">
        <f>GDPdeflator!$C$32*INDEX(Costs!$E$7:$O$89,MATCH($C236,Costs!$C$7:$C$89,0),MATCH(E$7,Costs!$E$6:$O$6,0))</f>
        <v>26.329555361813423</v>
      </c>
      <c r="F236" s="86">
        <f>GDPdeflator!$C$36*INDEX(Costs!$E$7:$O$89,MATCH($C236,Costs!$C$7:$C$89,0),MATCH(F$7,Costs!$E$6:$O$6,0))</f>
        <v>30.254977925939272</v>
      </c>
      <c r="G236" s="86">
        <f>GDPdeflator!$C$38*INDEX(Costs!$E$7:$O$89,MATCH($C236,Costs!$C$7:$C$89,0),MATCH(G$7,Costs!$E$6:$O$6,0))</f>
        <v>27.552969943429648</v>
      </c>
      <c r="H236" s="86">
        <f>GDPdeflator!$C$38*INDEX(Costs!$E$7:$O$89,MATCH($C236,Costs!$C$7:$C$89,0),MATCH(H$7,Costs!$E$6:$O$6,0))</f>
        <v>27.903405173234795</v>
      </c>
      <c r="I236" s="86">
        <f>GDPdeflator!$C$38*INDEX(Costs!$E$7:$O$89,MATCH($C236,Costs!$C$7:$C$89,0),MATCH(I$7,Costs!$E$6:$O$6,0))</f>
        <v>28.280123045275328</v>
      </c>
      <c r="J236" s="86">
        <f>GDPdeflator!$C$38*INDEX(Costs!$E$7:$O$89,MATCH($C236,Costs!$C$7:$C$89,0),MATCH(J$7,Costs!$E$6:$O$6,0))</f>
        <v>27.798274604293251</v>
      </c>
      <c r="K236" s="86">
        <f>GDPdeflator!$C$38*INDEX(Costs!$E$7:$O$89,MATCH($C236,Costs!$C$7:$C$89,0),MATCH(K$7,Costs!$E$6:$O$6,0))</f>
        <v>27.666861393116321</v>
      </c>
      <c r="L236" s="86">
        <f>GDPdeflator!$C$38*INDEX(Costs!$E$7:$O$89,MATCH($C236,Costs!$C$7:$C$89,0),MATCH(L$7,Costs!$E$6:$O$6,0))</f>
        <v>27.631817870135805</v>
      </c>
      <c r="M236" s="86">
        <f>GDPdeflator!$C$38*INDEX(Costs!$E$7:$O$89,MATCH($C236,Costs!$C$7:$C$89,0),MATCH(M$7,Costs!$E$6:$O$6,0))</f>
        <v>27.631817870135805</v>
      </c>
      <c r="N236" s="86">
        <f>GDPdeflator!$C$38*INDEX(Costs!$E$7:$O$89,MATCH($C236,Costs!$C$7:$C$89,0),MATCH(N$7,Costs!$E$6:$O$6,0))</f>
        <v>27.631817870135805</v>
      </c>
      <c r="O236" s="86">
        <f>GDPdeflator!$C$38*INDEX(Costs!$E$7:$O$89,MATCH($C236,Costs!$C$7:$C$89,0),MATCH(O$7,Costs!$E$6:$O$6,0))</f>
        <v>27.631817870135805</v>
      </c>
      <c r="P236" s="87">
        <f t="shared" si="131"/>
        <v>2198.4690977311388</v>
      </c>
      <c r="Q236" s="87">
        <f t="shared" si="132"/>
        <v>2526.2346100680261</v>
      </c>
      <c r="R236" s="87">
        <f t="shared" si="133"/>
        <v>2300.6219489447908</v>
      </c>
      <c r="S236" s="87">
        <f t="shared" si="134"/>
        <v>2329.8826414591922</v>
      </c>
      <c r="T236" s="87">
        <f t="shared" si="135"/>
        <v>2361.3378859121731</v>
      </c>
      <c r="U236" s="87">
        <f t="shared" si="136"/>
        <v>2321.104433704872</v>
      </c>
      <c r="V236" s="87">
        <f t="shared" si="137"/>
        <v>2310.1316740119714</v>
      </c>
      <c r="W236" s="87">
        <f t="shared" si="138"/>
        <v>2307.2056047605311</v>
      </c>
      <c r="X236" s="87">
        <f t="shared" si="139"/>
        <v>2307.2056047605311</v>
      </c>
      <c r="Y236" s="87">
        <f t="shared" si="140"/>
        <v>2307.2056047605311</v>
      </c>
      <c r="Z236" s="87">
        <f t="shared" si="141"/>
        <v>2307.2056047605311</v>
      </c>
      <c r="AA236" s="88">
        <v>472.5</v>
      </c>
      <c r="AB236" s="89">
        <f>AA236*GDPdeflator!$C$25/$AI$18*10^3</f>
        <v>45.430638058888704</v>
      </c>
      <c r="AC236" s="90" t="e">
        <f>INDEX(Efficiencies!$D$8:$M$89,MATCH(C236,Efficiencies!$C$8:$C$89),MATCH(D236,Efficiencies!$D$7:$M$7))</f>
        <v>#REF!</v>
      </c>
      <c r="AD236" s="90" t="e">
        <f t="shared" si="103"/>
        <v>#REF!</v>
      </c>
      <c r="AE236" s="90" t="e">
        <f>INDEX(Efficiencies!$P$8:$Y$89,MATCH(C236,Efficiencies!$C$8:$C$89),MATCH(D236,Efficiencies!$P$7:$Y$7))</f>
        <v>#REF!</v>
      </c>
      <c r="AF236" s="90" t="e">
        <f t="shared" si="106"/>
        <v>#REF!</v>
      </c>
      <c r="AG236" s="90">
        <v>0</v>
      </c>
    </row>
    <row r="237" spans="1:33" x14ac:dyDescent="0.2">
      <c r="A237" s="92" t="s">
        <v>1263</v>
      </c>
      <c r="B237" s="248" t="s">
        <v>1264</v>
      </c>
      <c r="C237" s="40" t="s">
        <v>1254</v>
      </c>
      <c r="D237" s="40">
        <v>2030</v>
      </c>
      <c r="E237" s="86">
        <f>GDPdeflator!$C$32*INDEX(Costs!$E$7:$O$89,MATCH($C237,Costs!$C$7:$C$89,0),MATCH(E$7,Costs!$E$6:$O$6,0))</f>
        <v>26.329555361813423</v>
      </c>
      <c r="F237" s="86">
        <f>GDPdeflator!$C$36*INDEX(Costs!$E$7:$O$89,MATCH($C237,Costs!$C$7:$C$89,0),MATCH(F$7,Costs!$E$6:$O$6,0))</f>
        <v>30.254977925939272</v>
      </c>
      <c r="G237" s="86">
        <f>GDPdeflator!$C$38*INDEX(Costs!$E$7:$O$89,MATCH($C237,Costs!$C$7:$C$89,0),MATCH(G$7,Costs!$E$6:$O$6,0))</f>
        <v>27.552969943429648</v>
      </c>
      <c r="H237" s="86">
        <f>GDPdeflator!$C$38*INDEX(Costs!$E$7:$O$89,MATCH($C237,Costs!$C$7:$C$89,0),MATCH(H$7,Costs!$E$6:$O$6,0))</f>
        <v>27.903405173234795</v>
      </c>
      <c r="I237" s="86">
        <f>GDPdeflator!$C$38*INDEX(Costs!$E$7:$O$89,MATCH($C237,Costs!$C$7:$C$89,0),MATCH(I$7,Costs!$E$6:$O$6,0))</f>
        <v>28.280123045275328</v>
      </c>
      <c r="J237" s="86">
        <f>GDPdeflator!$C$38*INDEX(Costs!$E$7:$O$89,MATCH($C237,Costs!$C$7:$C$89,0),MATCH(J$7,Costs!$E$6:$O$6,0))</f>
        <v>27.798274604293251</v>
      </c>
      <c r="K237" s="86">
        <f>GDPdeflator!$C$38*INDEX(Costs!$E$7:$O$89,MATCH($C237,Costs!$C$7:$C$89,0),MATCH(K$7,Costs!$E$6:$O$6,0))</f>
        <v>27.666861393116321</v>
      </c>
      <c r="L237" s="86">
        <f>GDPdeflator!$C$38*INDEX(Costs!$E$7:$O$89,MATCH($C237,Costs!$C$7:$C$89,0),MATCH(L$7,Costs!$E$6:$O$6,0))</f>
        <v>27.631817870135805</v>
      </c>
      <c r="M237" s="86">
        <f>GDPdeflator!$C$38*INDEX(Costs!$E$7:$O$89,MATCH($C237,Costs!$C$7:$C$89,0),MATCH(M$7,Costs!$E$6:$O$6,0))</f>
        <v>27.631817870135805</v>
      </c>
      <c r="N237" s="86">
        <f>GDPdeflator!$C$38*INDEX(Costs!$E$7:$O$89,MATCH($C237,Costs!$C$7:$C$89,0),MATCH(N$7,Costs!$E$6:$O$6,0))</f>
        <v>27.631817870135805</v>
      </c>
      <c r="O237" s="86">
        <f>GDPdeflator!$C$38*INDEX(Costs!$E$7:$O$89,MATCH($C237,Costs!$C$7:$C$89,0),MATCH(O$7,Costs!$E$6:$O$6,0))</f>
        <v>27.631817870135805</v>
      </c>
      <c r="P237" s="87">
        <f t="shared" si="131"/>
        <v>2198.4690977311388</v>
      </c>
      <c r="Q237" s="87">
        <f t="shared" si="132"/>
        <v>2526.2346100680261</v>
      </c>
      <c r="R237" s="87">
        <f t="shared" si="133"/>
        <v>2300.6219489447908</v>
      </c>
      <c r="S237" s="87">
        <f t="shared" si="134"/>
        <v>2329.8826414591922</v>
      </c>
      <c r="T237" s="87">
        <f t="shared" si="135"/>
        <v>2361.3378859121731</v>
      </c>
      <c r="U237" s="87">
        <f t="shared" si="136"/>
        <v>2321.104433704872</v>
      </c>
      <c r="V237" s="87">
        <f t="shared" si="137"/>
        <v>2310.1316740119714</v>
      </c>
      <c r="W237" s="87">
        <f t="shared" si="138"/>
        <v>2307.2056047605311</v>
      </c>
      <c r="X237" s="87">
        <f t="shared" si="139"/>
        <v>2307.2056047605311</v>
      </c>
      <c r="Y237" s="87">
        <f t="shared" si="140"/>
        <v>2307.2056047605311</v>
      </c>
      <c r="Z237" s="87">
        <f t="shared" si="141"/>
        <v>2307.2056047605311</v>
      </c>
      <c r="AA237" s="88">
        <v>472.5</v>
      </c>
      <c r="AB237" s="89">
        <f>AA237*GDPdeflator!$C$25/$AI$18*10^3</f>
        <v>45.430638058888704</v>
      </c>
      <c r="AC237" s="90" t="e">
        <f>INDEX(Efficiencies!$D$8:$M$89,MATCH(C237,Efficiencies!$C$8:$C$89),MATCH(D237,Efficiencies!$D$7:$M$7))</f>
        <v>#REF!</v>
      </c>
      <c r="AD237" s="90" t="e">
        <f t="shared" ref="AD237:AD280" si="142">AC237/($AI$11*$AI$15*10 ^ 9)</f>
        <v>#REF!</v>
      </c>
      <c r="AE237" s="90" t="e">
        <f>INDEX(Efficiencies!$P$8:$Y$89,MATCH(C237,Efficiencies!$C$8:$C$89),MATCH(D237,Efficiencies!$P$7:$Y$7))</f>
        <v>#REF!</v>
      </c>
      <c r="AF237" s="90" t="e">
        <f t="shared" si="106"/>
        <v>#REF!</v>
      </c>
      <c r="AG237" s="90">
        <v>0</v>
      </c>
    </row>
    <row r="238" spans="1:33" x14ac:dyDescent="0.2">
      <c r="A238" s="92" t="s">
        <v>1265</v>
      </c>
      <c r="B238" s="248" t="s">
        <v>1266</v>
      </c>
      <c r="C238" s="40" t="s">
        <v>1254</v>
      </c>
      <c r="D238" s="40">
        <v>2035</v>
      </c>
      <c r="E238" s="86">
        <f>GDPdeflator!$C$32*INDEX(Costs!$E$7:$O$89,MATCH($C238,Costs!$C$7:$C$89,0),MATCH(E$7,Costs!$E$6:$O$6,0))</f>
        <v>26.329555361813423</v>
      </c>
      <c r="F238" s="86">
        <f>GDPdeflator!$C$36*INDEX(Costs!$E$7:$O$89,MATCH($C238,Costs!$C$7:$C$89,0),MATCH(F$7,Costs!$E$6:$O$6,0))</f>
        <v>30.254977925939272</v>
      </c>
      <c r="G238" s="86">
        <f>GDPdeflator!$C$38*INDEX(Costs!$E$7:$O$89,MATCH($C238,Costs!$C$7:$C$89,0),MATCH(G$7,Costs!$E$6:$O$6,0))</f>
        <v>27.552969943429648</v>
      </c>
      <c r="H238" s="86">
        <f>GDPdeflator!$C$38*INDEX(Costs!$E$7:$O$89,MATCH($C238,Costs!$C$7:$C$89,0),MATCH(H$7,Costs!$E$6:$O$6,0))</f>
        <v>27.903405173234795</v>
      </c>
      <c r="I238" s="86">
        <f>GDPdeflator!$C$38*INDEX(Costs!$E$7:$O$89,MATCH($C238,Costs!$C$7:$C$89,0),MATCH(I$7,Costs!$E$6:$O$6,0))</f>
        <v>28.280123045275328</v>
      </c>
      <c r="J238" s="86">
        <f>GDPdeflator!$C$38*INDEX(Costs!$E$7:$O$89,MATCH($C238,Costs!$C$7:$C$89,0),MATCH(J$7,Costs!$E$6:$O$6,0))</f>
        <v>27.798274604293251</v>
      </c>
      <c r="K238" s="86">
        <f>GDPdeflator!$C$38*INDEX(Costs!$E$7:$O$89,MATCH($C238,Costs!$C$7:$C$89,0),MATCH(K$7,Costs!$E$6:$O$6,0))</f>
        <v>27.666861393116321</v>
      </c>
      <c r="L238" s="86">
        <f>GDPdeflator!$C$38*INDEX(Costs!$E$7:$O$89,MATCH($C238,Costs!$C$7:$C$89,0),MATCH(L$7,Costs!$E$6:$O$6,0))</f>
        <v>27.631817870135805</v>
      </c>
      <c r="M238" s="86">
        <f>GDPdeflator!$C$38*INDEX(Costs!$E$7:$O$89,MATCH($C238,Costs!$C$7:$C$89,0),MATCH(M$7,Costs!$E$6:$O$6,0))</f>
        <v>27.631817870135805</v>
      </c>
      <c r="N238" s="86">
        <f>GDPdeflator!$C$38*INDEX(Costs!$E$7:$O$89,MATCH($C238,Costs!$C$7:$C$89,0),MATCH(N$7,Costs!$E$6:$O$6,0))</f>
        <v>27.631817870135805</v>
      </c>
      <c r="O238" s="86">
        <f>GDPdeflator!$C$38*INDEX(Costs!$E$7:$O$89,MATCH($C238,Costs!$C$7:$C$89,0),MATCH(O$7,Costs!$E$6:$O$6,0))</f>
        <v>27.631817870135805</v>
      </c>
      <c r="P238" s="87">
        <f t="shared" si="131"/>
        <v>2198.4690977311388</v>
      </c>
      <c r="Q238" s="87">
        <f t="shared" si="132"/>
        <v>2526.2346100680261</v>
      </c>
      <c r="R238" s="87">
        <f t="shared" si="133"/>
        <v>2300.6219489447908</v>
      </c>
      <c r="S238" s="87">
        <f t="shared" si="134"/>
        <v>2329.8826414591922</v>
      </c>
      <c r="T238" s="87">
        <f t="shared" si="135"/>
        <v>2361.3378859121731</v>
      </c>
      <c r="U238" s="87">
        <f t="shared" si="136"/>
        <v>2321.104433704872</v>
      </c>
      <c r="V238" s="87">
        <f t="shared" si="137"/>
        <v>2310.1316740119714</v>
      </c>
      <c r="W238" s="87">
        <f t="shared" si="138"/>
        <v>2307.2056047605311</v>
      </c>
      <c r="X238" s="87">
        <f t="shared" si="139"/>
        <v>2307.2056047605311</v>
      </c>
      <c r="Y238" s="87">
        <f t="shared" si="140"/>
        <v>2307.2056047605311</v>
      </c>
      <c r="Z238" s="87">
        <f t="shared" si="141"/>
        <v>2307.2056047605311</v>
      </c>
      <c r="AA238" s="88">
        <v>472.5</v>
      </c>
      <c r="AB238" s="89">
        <f>AA238*GDPdeflator!$C$25/$AI$18*10^3</f>
        <v>45.430638058888704</v>
      </c>
      <c r="AC238" s="90" t="e">
        <f>INDEX(Efficiencies!$D$8:$M$89,MATCH(C238,Efficiencies!$C$8:$C$89),MATCH(D238,Efficiencies!$D$7:$M$7))</f>
        <v>#REF!</v>
      </c>
      <c r="AD238" s="90" t="e">
        <f t="shared" si="142"/>
        <v>#REF!</v>
      </c>
      <c r="AE238" s="90" t="e">
        <f>INDEX(Efficiencies!$P$8:$Y$89,MATCH(C238,Efficiencies!$C$8:$C$89),MATCH(D238,Efficiencies!$P$7:$Y$7))</f>
        <v>#REF!</v>
      </c>
      <c r="AF238" s="90" t="e">
        <f t="shared" si="106"/>
        <v>#REF!</v>
      </c>
      <c r="AG238" s="90">
        <v>0</v>
      </c>
    </row>
    <row r="239" spans="1:33" x14ac:dyDescent="0.2">
      <c r="A239" s="92" t="s">
        <v>1267</v>
      </c>
      <c r="B239" s="248" t="s">
        <v>1268</v>
      </c>
      <c r="C239" s="40" t="s">
        <v>1254</v>
      </c>
      <c r="D239" s="40">
        <v>2040</v>
      </c>
      <c r="E239" s="86">
        <f>GDPdeflator!$C$32*INDEX(Costs!$E$7:$O$89,MATCH($C239,Costs!$C$7:$C$89,0),MATCH(E$7,Costs!$E$6:$O$6,0))</f>
        <v>26.329555361813423</v>
      </c>
      <c r="F239" s="86">
        <f>GDPdeflator!$C$36*INDEX(Costs!$E$7:$O$89,MATCH($C239,Costs!$C$7:$C$89,0),MATCH(F$7,Costs!$E$6:$O$6,0))</f>
        <v>30.254977925939272</v>
      </c>
      <c r="G239" s="86">
        <f>GDPdeflator!$C$38*INDEX(Costs!$E$7:$O$89,MATCH($C239,Costs!$C$7:$C$89,0),MATCH(G$7,Costs!$E$6:$O$6,0))</f>
        <v>27.552969943429648</v>
      </c>
      <c r="H239" s="86">
        <f>GDPdeflator!$C$38*INDEX(Costs!$E$7:$O$89,MATCH($C239,Costs!$C$7:$C$89,0),MATCH(H$7,Costs!$E$6:$O$6,0))</f>
        <v>27.903405173234795</v>
      </c>
      <c r="I239" s="86">
        <f>GDPdeflator!$C$38*INDEX(Costs!$E$7:$O$89,MATCH($C239,Costs!$C$7:$C$89,0),MATCH(I$7,Costs!$E$6:$O$6,0))</f>
        <v>28.280123045275328</v>
      </c>
      <c r="J239" s="86">
        <f>GDPdeflator!$C$38*INDEX(Costs!$E$7:$O$89,MATCH($C239,Costs!$C$7:$C$89,0),MATCH(J$7,Costs!$E$6:$O$6,0))</f>
        <v>27.798274604293251</v>
      </c>
      <c r="K239" s="86">
        <f>GDPdeflator!$C$38*INDEX(Costs!$E$7:$O$89,MATCH($C239,Costs!$C$7:$C$89,0),MATCH(K$7,Costs!$E$6:$O$6,0))</f>
        <v>27.666861393116321</v>
      </c>
      <c r="L239" s="86">
        <f>GDPdeflator!$C$38*INDEX(Costs!$E$7:$O$89,MATCH($C239,Costs!$C$7:$C$89,0),MATCH(L$7,Costs!$E$6:$O$6,0))</f>
        <v>27.631817870135805</v>
      </c>
      <c r="M239" s="86">
        <f>GDPdeflator!$C$38*INDEX(Costs!$E$7:$O$89,MATCH($C239,Costs!$C$7:$C$89,0),MATCH(M$7,Costs!$E$6:$O$6,0))</f>
        <v>27.631817870135805</v>
      </c>
      <c r="N239" s="86">
        <f>GDPdeflator!$C$38*INDEX(Costs!$E$7:$O$89,MATCH($C239,Costs!$C$7:$C$89,0),MATCH(N$7,Costs!$E$6:$O$6,0))</f>
        <v>27.631817870135805</v>
      </c>
      <c r="O239" s="86">
        <f>GDPdeflator!$C$38*INDEX(Costs!$E$7:$O$89,MATCH($C239,Costs!$C$7:$C$89,0),MATCH(O$7,Costs!$E$6:$O$6,0))</f>
        <v>27.631817870135805</v>
      </c>
      <c r="P239" s="87">
        <f t="shared" si="131"/>
        <v>2198.4690977311388</v>
      </c>
      <c r="Q239" s="87">
        <f t="shared" si="132"/>
        <v>2526.2346100680261</v>
      </c>
      <c r="R239" s="87">
        <f t="shared" si="133"/>
        <v>2300.6219489447908</v>
      </c>
      <c r="S239" s="87">
        <f t="shared" si="134"/>
        <v>2329.8826414591922</v>
      </c>
      <c r="T239" s="87">
        <f t="shared" si="135"/>
        <v>2361.3378859121731</v>
      </c>
      <c r="U239" s="87">
        <f t="shared" si="136"/>
        <v>2321.104433704872</v>
      </c>
      <c r="V239" s="87">
        <f t="shared" si="137"/>
        <v>2310.1316740119714</v>
      </c>
      <c r="W239" s="87">
        <f t="shared" si="138"/>
        <v>2307.2056047605311</v>
      </c>
      <c r="X239" s="87">
        <f t="shared" si="139"/>
        <v>2307.2056047605311</v>
      </c>
      <c r="Y239" s="87">
        <f t="shared" si="140"/>
        <v>2307.2056047605311</v>
      </c>
      <c r="Z239" s="87">
        <f t="shared" si="141"/>
        <v>2307.2056047605311</v>
      </c>
      <c r="AA239" s="88">
        <v>472.5</v>
      </c>
      <c r="AB239" s="89">
        <f>AA239*GDPdeflator!$C$25/$AI$18*10^3</f>
        <v>45.430638058888704</v>
      </c>
      <c r="AC239" s="90" t="e">
        <f>INDEX(Efficiencies!$D$8:$M$89,MATCH(C239,Efficiencies!$C$8:$C$89),MATCH(D239,Efficiencies!$D$7:$M$7))</f>
        <v>#REF!</v>
      </c>
      <c r="AD239" s="90" t="e">
        <f t="shared" si="142"/>
        <v>#REF!</v>
      </c>
      <c r="AE239" s="90" t="e">
        <f>INDEX(Efficiencies!$P$8:$Y$89,MATCH(C239,Efficiencies!$C$8:$C$89),MATCH(D239,Efficiencies!$P$7:$Y$7))</f>
        <v>#REF!</v>
      </c>
      <c r="AF239" s="90" t="e">
        <f t="shared" si="106"/>
        <v>#REF!</v>
      </c>
      <c r="AG239" s="90">
        <v>0</v>
      </c>
    </row>
    <row r="240" spans="1:33" x14ac:dyDescent="0.2">
      <c r="A240" s="92" t="s">
        <v>1269</v>
      </c>
      <c r="B240" s="248" t="s">
        <v>1270</v>
      </c>
      <c r="C240" s="40" t="s">
        <v>1254</v>
      </c>
      <c r="D240" s="40">
        <v>2045</v>
      </c>
      <c r="E240" s="86">
        <f>GDPdeflator!$C$32*INDEX(Costs!$E$7:$O$89,MATCH($C240,Costs!$C$7:$C$89,0),MATCH(E$7,Costs!$E$6:$O$6,0))</f>
        <v>26.329555361813423</v>
      </c>
      <c r="F240" s="86">
        <f>GDPdeflator!$C$36*INDEX(Costs!$E$7:$O$89,MATCH($C240,Costs!$C$7:$C$89,0),MATCH(F$7,Costs!$E$6:$O$6,0))</f>
        <v>30.254977925939272</v>
      </c>
      <c r="G240" s="86">
        <f>GDPdeflator!$C$38*INDEX(Costs!$E$7:$O$89,MATCH($C240,Costs!$C$7:$C$89,0),MATCH(G$7,Costs!$E$6:$O$6,0))</f>
        <v>27.552969943429648</v>
      </c>
      <c r="H240" s="86">
        <f>GDPdeflator!$C$38*INDEX(Costs!$E$7:$O$89,MATCH($C240,Costs!$C$7:$C$89,0),MATCH(H$7,Costs!$E$6:$O$6,0))</f>
        <v>27.903405173234795</v>
      </c>
      <c r="I240" s="86">
        <f>GDPdeflator!$C$38*INDEX(Costs!$E$7:$O$89,MATCH($C240,Costs!$C$7:$C$89,0),MATCH(I$7,Costs!$E$6:$O$6,0))</f>
        <v>28.280123045275328</v>
      </c>
      <c r="J240" s="86">
        <f>GDPdeflator!$C$38*INDEX(Costs!$E$7:$O$89,MATCH($C240,Costs!$C$7:$C$89,0),MATCH(J$7,Costs!$E$6:$O$6,0))</f>
        <v>27.798274604293251</v>
      </c>
      <c r="K240" s="86">
        <f>GDPdeflator!$C$38*INDEX(Costs!$E$7:$O$89,MATCH($C240,Costs!$C$7:$C$89,0),MATCH(K$7,Costs!$E$6:$O$6,0))</f>
        <v>27.666861393116321</v>
      </c>
      <c r="L240" s="86">
        <f>GDPdeflator!$C$38*INDEX(Costs!$E$7:$O$89,MATCH($C240,Costs!$C$7:$C$89,0),MATCH(L$7,Costs!$E$6:$O$6,0))</f>
        <v>27.631817870135805</v>
      </c>
      <c r="M240" s="86">
        <f>GDPdeflator!$C$38*INDEX(Costs!$E$7:$O$89,MATCH($C240,Costs!$C$7:$C$89,0),MATCH(M$7,Costs!$E$6:$O$6,0))</f>
        <v>27.631817870135805</v>
      </c>
      <c r="N240" s="86">
        <f>GDPdeflator!$C$38*INDEX(Costs!$E$7:$O$89,MATCH($C240,Costs!$C$7:$C$89,0),MATCH(N$7,Costs!$E$6:$O$6,0))</f>
        <v>27.631817870135805</v>
      </c>
      <c r="O240" s="86">
        <f>GDPdeflator!$C$38*INDEX(Costs!$E$7:$O$89,MATCH($C240,Costs!$C$7:$C$89,0),MATCH(O$7,Costs!$E$6:$O$6,0))</f>
        <v>27.631817870135805</v>
      </c>
      <c r="P240" s="87">
        <f t="shared" si="131"/>
        <v>2198.4690977311388</v>
      </c>
      <c r="Q240" s="87">
        <f t="shared" si="132"/>
        <v>2526.2346100680261</v>
      </c>
      <c r="R240" s="87">
        <f t="shared" si="133"/>
        <v>2300.6219489447908</v>
      </c>
      <c r="S240" s="87">
        <f t="shared" si="134"/>
        <v>2329.8826414591922</v>
      </c>
      <c r="T240" s="87">
        <f t="shared" si="135"/>
        <v>2361.3378859121731</v>
      </c>
      <c r="U240" s="87">
        <f t="shared" si="136"/>
        <v>2321.104433704872</v>
      </c>
      <c r="V240" s="87">
        <f t="shared" si="137"/>
        <v>2310.1316740119714</v>
      </c>
      <c r="W240" s="87">
        <f t="shared" si="138"/>
        <v>2307.2056047605311</v>
      </c>
      <c r="X240" s="87">
        <f t="shared" si="139"/>
        <v>2307.2056047605311</v>
      </c>
      <c r="Y240" s="87">
        <f t="shared" si="140"/>
        <v>2307.2056047605311</v>
      </c>
      <c r="Z240" s="87">
        <f t="shared" si="141"/>
        <v>2307.2056047605311</v>
      </c>
      <c r="AA240" s="88">
        <v>472.5</v>
      </c>
      <c r="AB240" s="89">
        <f>AA240*GDPdeflator!$C$25/$AI$18*10^3</f>
        <v>45.430638058888704</v>
      </c>
      <c r="AC240" s="90" t="e">
        <f>INDEX(Efficiencies!$D$8:$M$89,MATCH(C240,Efficiencies!$C$8:$C$89),MATCH(D240,Efficiencies!$D$7:$M$7))</f>
        <v>#REF!</v>
      </c>
      <c r="AD240" s="90" t="e">
        <f t="shared" si="142"/>
        <v>#REF!</v>
      </c>
      <c r="AE240" s="90" t="e">
        <f>INDEX(Efficiencies!$P$8:$Y$89,MATCH(C240,Efficiencies!$C$8:$C$89),MATCH(D240,Efficiencies!$P$7:$Y$7))</f>
        <v>#REF!</v>
      </c>
      <c r="AF240" s="90" t="e">
        <f t="shared" si="106"/>
        <v>#REF!</v>
      </c>
      <c r="AG240" s="90">
        <v>0</v>
      </c>
    </row>
    <row r="241" spans="1:33" x14ac:dyDescent="0.2">
      <c r="A241" s="92" t="s">
        <v>1271</v>
      </c>
      <c r="B241" s="248" t="s">
        <v>1272</v>
      </c>
      <c r="C241" s="40" t="s">
        <v>1254</v>
      </c>
      <c r="D241" s="40">
        <v>2050</v>
      </c>
      <c r="E241" s="86">
        <f>GDPdeflator!$C$32*INDEX(Costs!$E$7:$O$89,MATCH($C241,Costs!$C$7:$C$89,0),MATCH(E$7,Costs!$E$6:$O$6,0))</f>
        <v>26.329555361813423</v>
      </c>
      <c r="F241" s="86">
        <f>GDPdeflator!$C$36*INDEX(Costs!$E$7:$O$89,MATCH($C241,Costs!$C$7:$C$89,0),MATCH(F$7,Costs!$E$6:$O$6,0))</f>
        <v>30.254977925939272</v>
      </c>
      <c r="G241" s="86">
        <f>GDPdeflator!$C$38*INDEX(Costs!$E$7:$O$89,MATCH($C241,Costs!$C$7:$C$89,0),MATCH(G$7,Costs!$E$6:$O$6,0))</f>
        <v>27.552969943429648</v>
      </c>
      <c r="H241" s="86">
        <f>GDPdeflator!$C$38*INDEX(Costs!$E$7:$O$89,MATCH($C241,Costs!$C$7:$C$89,0),MATCH(H$7,Costs!$E$6:$O$6,0))</f>
        <v>27.903405173234795</v>
      </c>
      <c r="I241" s="86">
        <f>GDPdeflator!$C$38*INDEX(Costs!$E$7:$O$89,MATCH($C241,Costs!$C$7:$C$89,0),MATCH(I$7,Costs!$E$6:$O$6,0))</f>
        <v>28.280123045275328</v>
      </c>
      <c r="J241" s="86">
        <f>GDPdeflator!$C$38*INDEX(Costs!$E$7:$O$89,MATCH($C241,Costs!$C$7:$C$89,0),MATCH(J$7,Costs!$E$6:$O$6,0))</f>
        <v>27.798274604293251</v>
      </c>
      <c r="K241" s="86">
        <f>GDPdeflator!$C$38*INDEX(Costs!$E$7:$O$89,MATCH($C241,Costs!$C$7:$C$89,0),MATCH(K$7,Costs!$E$6:$O$6,0))</f>
        <v>27.666861393116321</v>
      </c>
      <c r="L241" s="86">
        <f>GDPdeflator!$C$38*INDEX(Costs!$E$7:$O$89,MATCH($C241,Costs!$C$7:$C$89,0),MATCH(L$7,Costs!$E$6:$O$6,0))</f>
        <v>27.631817870135805</v>
      </c>
      <c r="M241" s="86">
        <f>GDPdeflator!$C$38*INDEX(Costs!$E$7:$O$89,MATCH($C241,Costs!$C$7:$C$89,0),MATCH(M$7,Costs!$E$6:$O$6,0))</f>
        <v>27.631817870135805</v>
      </c>
      <c r="N241" s="86">
        <f>GDPdeflator!$C$38*INDEX(Costs!$E$7:$O$89,MATCH($C241,Costs!$C$7:$C$89,0),MATCH(N$7,Costs!$E$6:$O$6,0))</f>
        <v>27.631817870135805</v>
      </c>
      <c r="O241" s="86">
        <f>GDPdeflator!$C$38*INDEX(Costs!$E$7:$O$89,MATCH($C241,Costs!$C$7:$C$89,0),MATCH(O$7,Costs!$E$6:$O$6,0))</f>
        <v>27.631817870135805</v>
      </c>
      <c r="P241" s="87">
        <f t="shared" si="131"/>
        <v>2198.4690977311388</v>
      </c>
      <c r="Q241" s="87">
        <f t="shared" si="132"/>
        <v>2526.2346100680261</v>
      </c>
      <c r="R241" s="87">
        <f t="shared" si="133"/>
        <v>2300.6219489447908</v>
      </c>
      <c r="S241" s="87">
        <f t="shared" si="134"/>
        <v>2329.8826414591922</v>
      </c>
      <c r="T241" s="87">
        <f t="shared" si="135"/>
        <v>2361.3378859121731</v>
      </c>
      <c r="U241" s="87">
        <f t="shared" si="136"/>
        <v>2321.104433704872</v>
      </c>
      <c r="V241" s="87">
        <f t="shared" si="137"/>
        <v>2310.1316740119714</v>
      </c>
      <c r="W241" s="87">
        <f t="shared" si="138"/>
        <v>2307.2056047605311</v>
      </c>
      <c r="X241" s="87">
        <f t="shared" si="139"/>
        <v>2307.2056047605311</v>
      </c>
      <c r="Y241" s="87">
        <f t="shared" si="140"/>
        <v>2307.2056047605311</v>
      </c>
      <c r="Z241" s="87">
        <f t="shared" si="141"/>
        <v>2307.2056047605311</v>
      </c>
      <c r="AA241" s="88">
        <v>472.5</v>
      </c>
      <c r="AB241" s="89">
        <f>AA241*GDPdeflator!$C$25/$AI$18*10^3</f>
        <v>45.430638058888704</v>
      </c>
      <c r="AC241" s="90" t="e">
        <f>INDEX(Efficiencies!$D$8:$M$89,MATCH(C241,Efficiencies!$C$8:$C$89),MATCH(D241,Efficiencies!$D$7:$M$7))</f>
        <v>#REF!</v>
      </c>
      <c r="AD241" s="90" t="e">
        <f t="shared" si="142"/>
        <v>#REF!</v>
      </c>
      <c r="AE241" s="90" t="e">
        <f>INDEX(Efficiencies!$P$8:$Y$89,MATCH(C241,Efficiencies!$C$8:$C$89),MATCH(D241,Efficiencies!$P$7:$Y$7))</f>
        <v>#REF!</v>
      </c>
      <c r="AF241" s="90" t="e">
        <f t="shared" si="106"/>
        <v>#REF!</v>
      </c>
      <c r="AG241" s="90">
        <v>0</v>
      </c>
    </row>
    <row r="242" spans="1:33" x14ac:dyDescent="0.2">
      <c r="A242" s="92" t="s">
        <v>1273</v>
      </c>
      <c r="B242" s="248" t="s">
        <v>1274</v>
      </c>
      <c r="C242" s="40" t="s">
        <v>1275</v>
      </c>
      <c r="D242" s="40">
        <v>2060</v>
      </c>
      <c r="E242" s="86">
        <f>GDPdeflator!$C$32*INDEX(Costs!$E$7:$O$89,MATCH($C242,Costs!$C$7:$C$89,0),MATCH(E$7,Costs!$E$6:$O$6,0))</f>
        <v>29.981594497723528</v>
      </c>
      <c r="F242" s="86">
        <f>GDPdeflator!$C$36*INDEX(Costs!$E$7:$O$89,MATCH($C242,Costs!$C$7:$C$89,0),MATCH(F$7,Costs!$E$6:$O$6,0))</f>
        <v>28.66924948193531</v>
      </c>
      <c r="G242" s="86">
        <f>GDPdeflator!$C$38*INDEX(Costs!$E$7:$O$89,MATCH($C242,Costs!$C$7:$C$89,0),MATCH(G$7,Costs!$E$6:$O$6,0))</f>
        <v>27.798274604293251</v>
      </c>
      <c r="H242" s="86">
        <f>GDPdeflator!$C$38*INDEX(Costs!$E$7:$O$89,MATCH($C242,Costs!$C$7:$C$89,0),MATCH(H$7,Costs!$E$6:$O$6,0))</f>
        <v>28.551710348374318</v>
      </c>
      <c r="I242" s="86">
        <f>GDPdeflator!$C$38*INDEX(Costs!$E$7:$O$89,MATCH($C242,Costs!$C$7:$C$89,0),MATCH(I$7,Costs!$E$6:$O$6,0))</f>
        <v>29.900885983124134</v>
      </c>
      <c r="J242" s="86">
        <f>GDPdeflator!$C$38*INDEX(Costs!$E$7:$O$89,MATCH($C242,Costs!$C$7:$C$89,0),MATCH(J$7,Costs!$E$6:$O$6,0))</f>
        <v>29.944690386849775</v>
      </c>
      <c r="K242" s="86">
        <f>GDPdeflator!$C$38*INDEX(Costs!$E$7:$O$89,MATCH($C242,Costs!$C$7:$C$89,0),MATCH(K$7,Costs!$E$6:$O$6,0))</f>
        <v>29.9534512675949</v>
      </c>
      <c r="L242" s="86">
        <f>GDPdeflator!$C$38*INDEX(Costs!$E$7:$O$89,MATCH($C242,Costs!$C$7:$C$89,0),MATCH(L$7,Costs!$E$6:$O$6,0))</f>
        <v>29.970973029085162</v>
      </c>
      <c r="M242" s="86">
        <f>GDPdeflator!$C$38*INDEX(Costs!$E$7:$O$89,MATCH($C242,Costs!$C$7:$C$89,0),MATCH(M$7,Costs!$E$6:$O$6,0))</f>
        <v>29.970973029085162</v>
      </c>
      <c r="N242" s="86">
        <f>GDPdeflator!$C$38*INDEX(Costs!$E$7:$O$89,MATCH($C242,Costs!$C$7:$C$89,0),MATCH(N$7,Costs!$E$6:$O$6,0))</f>
        <v>29.970973029085162</v>
      </c>
      <c r="O242" s="86">
        <f>GDPdeflator!$C$38*INDEX(Costs!$E$7:$O$89,MATCH($C242,Costs!$C$7:$C$89,0),MATCH(O$7,Costs!$E$6:$O$6,0))</f>
        <v>29.970973029085162</v>
      </c>
      <c r="P242" s="87">
        <f>E242/$AI$18*10^6</f>
        <v>2503.4076002494021</v>
      </c>
      <c r="Q242" s="87">
        <f t="shared" si="132"/>
        <v>2393.8292225242581</v>
      </c>
      <c r="R242" s="87">
        <f t="shared" si="133"/>
        <v>2321.104433704872</v>
      </c>
      <c r="S242" s="87">
        <f t="shared" si="134"/>
        <v>2384.0149226108342</v>
      </c>
      <c r="T242" s="87">
        <f t="shared" si="135"/>
        <v>2496.668588791279</v>
      </c>
      <c r="U242" s="87">
        <f t="shared" si="136"/>
        <v>2500.3261753555794</v>
      </c>
      <c r="V242" s="87">
        <f t="shared" si="137"/>
        <v>2501.0576926684389</v>
      </c>
      <c r="W242" s="87">
        <f t="shared" si="138"/>
        <v>2502.5207272941593</v>
      </c>
      <c r="X242" s="87">
        <f t="shared" si="139"/>
        <v>2502.5207272941593</v>
      </c>
      <c r="Y242" s="87">
        <f t="shared" si="140"/>
        <v>2502.5207272941593</v>
      </c>
      <c r="Z242" s="87">
        <f t="shared" si="141"/>
        <v>2502.5207272941593</v>
      </c>
      <c r="AA242" s="88">
        <v>405</v>
      </c>
      <c r="AB242" s="89">
        <f>AA242*GDPdeflator!$C$25/$AI$18*10^3</f>
        <v>38.940546907618888</v>
      </c>
      <c r="AC242" s="90" t="e">
        <f>INDEX(Efficiencies!$D$8:$M$89,MATCH(C242,Efficiencies!$C$8:$C$89),MATCH(D242,Efficiencies!$D$7:$M$7))</f>
        <v>#REF!</v>
      </c>
      <c r="AD242" s="90" t="e">
        <f t="shared" si="142"/>
        <v>#REF!</v>
      </c>
      <c r="AE242" s="90" t="e">
        <f>INDEX(Efficiencies!$P$8:$Y$89,MATCH(C242,Efficiencies!$C$8:$C$89),MATCH(D242,Efficiencies!$P$7:$Y$7))</f>
        <v>#REF!</v>
      </c>
      <c r="AF242" s="90" t="e">
        <f t="shared" ref="AF242:AF294" si="143">AE242/($AI$11*$AI$15*10 ^ 9)</f>
        <v>#REF!</v>
      </c>
      <c r="AG242" s="90">
        <v>0</v>
      </c>
    </row>
    <row r="243" spans="1:33" x14ac:dyDescent="0.2">
      <c r="A243" s="92" t="s">
        <v>1276</v>
      </c>
      <c r="B243" s="248" t="s">
        <v>1277</v>
      </c>
      <c r="C243" s="40" t="s">
        <v>1275</v>
      </c>
      <c r="D243" s="40">
        <v>2005</v>
      </c>
      <c r="E243" s="86">
        <f>GDPdeflator!$C$32*INDEX(Costs!$E$7:$O$89,MATCH($C243,Costs!$C$7:$C$89,0),MATCH(E$7,Costs!$E$6:$O$6,0))</f>
        <v>29.981594497723528</v>
      </c>
      <c r="F243" s="86">
        <f>GDPdeflator!$C$36*INDEX(Costs!$E$7:$O$89,MATCH($C243,Costs!$C$7:$C$89,0),MATCH(F$7,Costs!$E$6:$O$6,0))</f>
        <v>28.66924948193531</v>
      </c>
      <c r="G243" s="86">
        <f>GDPdeflator!$C$38*INDEX(Costs!$E$7:$O$89,MATCH($C243,Costs!$C$7:$C$89,0),MATCH(G$7,Costs!$E$6:$O$6,0))</f>
        <v>27.798274604293251</v>
      </c>
      <c r="H243" s="86">
        <f>GDPdeflator!$C$38*INDEX(Costs!$E$7:$O$89,MATCH($C243,Costs!$C$7:$C$89,0),MATCH(H$7,Costs!$E$6:$O$6,0))</f>
        <v>28.551710348374318</v>
      </c>
      <c r="I243" s="86">
        <f>GDPdeflator!$C$38*INDEX(Costs!$E$7:$O$89,MATCH($C243,Costs!$C$7:$C$89,0),MATCH(I$7,Costs!$E$6:$O$6,0))</f>
        <v>29.900885983124134</v>
      </c>
      <c r="J243" s="86">
        <f>GDPdeflator!$C$38*INDEX(Costs!$E$7:$O$89,MATCH($C243,Costs!$C$7:$C$89,0),MATCH(J$7,Costs!$E$6:$O$6,0))</f>
        <v>29.944690386849775</v>
      </c>
      <c r="K243" s="86">
        <f>GDPdeflator!$C$38*INDEX(Costs!$E$7:$O$89,MATCH($C243,Costs!$C$7:$C$89,0),MATCH(K$7,Costs!$E$6:$O$6,0))</f>
        <v>29.9534512675949</v>
      </c>
      <c r="L243" s="86">
        <f>GDPdeflator!$C$38*INDEX(Costs!$E$7:$O$89,MATCH($C243,Costs!$C$7:$C$89,0),MATCH(L$7,Costs!$E$6:$O$6,0))</f>
        <v>29.970973029085162</v>
      </c>
      <c r="M243" s="86">
        <f>GDPdeflator!$C$38*INDEX(Costs!$E$7:$O$89,MATCH($C243,Costs!$C$7:$C$89,0),MATCH(M$7,Costs!$E$6:$O$6,0))</f>
        <v>29.970973029085162</v>
      </c>
      <c r="N243" s="86">
        <f>GDPdeflator!$C$38*INDEX(Costs!$E$7:$O$89,MATCH($C243,Costs!$C$7:$C$89,0),MATCH(N$7,Costs!$E$6:$O$6,0))</f>
        <v>29.970973029085162</v>
      </c>
      <c r="O243" s="86">
        <f>GDPdeflator!$C$38*INDEX(Costs!$E$7:$O$89,MATCH($C243,Costs!$C$7:$C$89,0),MATCH(O$7,Costs!$E$6:$O$6,0))</f>
        <v>29.970973029085162</v>
      </c>
      <c r="P243" s="87">
        <f t="shared" ref="P243:P252" si="144">E243/$AI$18*10^6</f>
        <v>2503.4076002494021</v>
      </c>
      <c r="Q243" s="87">
        <f t="shared" si="132"/>
        <v>2393.8292225242581</v>
      </c>
      <c r="R243" s="87">
        <f t="shared" si="133"/>
        <v>2321.104433704872</v>
      </c>
      <c r="S243" s="87">
        <f t="shared" si="134"/>
        <v>2384.0149226108342</v>
      </c>
      <c r="T243" s="87">
        <f t="shared" si="135"/>
        <v>2496.668588791279</v>
      </c>
      <c r="U243" s="87">
        <f t="shared" si="136"/>
        <v>2500.3261753555794</v>
      </c>
      <c r="V243" s="87">
        <f t="shared" si="137"/>
        <v>2501.0576926684389</v>
      </c>
      <c r="W243" s="87">
        <f t="shared" si="138"/>
        <v>2502.5207272941593</v>
      </c>
      <c r="X243" s="87">
        <f t="shared" si="139"/>
        <v>2502.5207272941593</v>
      </c>
      <c r="Y243" s="87">
        <f t="shared" si="140"/>
        <v>2502.5207272941593</v>
      </c>
      <c r="Z243" s="87">
        <f t="shared" si="141"/>
        <v>2502.5207272941593</v>
      </c>
      <c r="AA243" s="88">
        <v>405</v>
      </c>
      <c r="AB243" s="89">
        <f>AA243*GDPdeflator!$C$25/$AI$18*10^3</f>
        <v>38.940546907618888</v>
      </c>
      <c r="AC243" s="90" t="e">
        <f>INDEX(Efficiencies!$D$8:$M$89,MATCH(C243,Efficiencies!$C$8:$C$89),MATCH(D243,Efficiencies!$D$7:$M$7))</f>
        <v>#REF!</v>
      </c>
      <c r="AD243" s="90" t="e">
        <f t="shared" si="142"/>
        <v>#REF!</v>
      </c>
      <c r="AE243" s="90" t="e">
        <f>INDEX(Efficiencies!$P$8:$Y$89,MATCH(C243,Efficiencies!$C$8:$C$89),MATCH(D243,Efficiencies!$P$7:$Y$7))</f>
        <v>#REF!</v>
      </c>
      <c r="AF243" s="90" t="e">
        <f t="shared" si="143"/>
        <v>#REF!</v>
      </c>
      <c r="AG243" s="90">
        <v>0</v>
      </c>
    </row>
    <row r="244" spans="1:33" x14ac:dyDescent="0.2">
      <c r="A244" s="92" t="s">
        <v>1278</v>
      </c>
      <c r="B244" s="248" t="s">
        <v>1279</v>
      </c>
      <c r="C244" s="40" t="s">
        <v>1275</v>
      </c>
      <c r="D244" s="40">
        <v>2010</v>
      </c>
      <c r="E244" s="86">
        <f>GDPdeflator!$C$32*INDEX(Costs!$E$7:$O$89,MATCH($C244,Costs!$C$7:$C$89,0),MATCH(E$7,Costs!$E$6:$O$6,0))</f>
        <v>29.981594497723528</v>
      </c>
      <c r="F244" s="86">
        <f>GDPdeflator!$C$36*INDEX(Costs!$E$7:$O$89,MATCH($C244,Costs!$C$7:$C$89,0),MATCH(F$7,Costs!$E$6:$O$6,0))</f>
        <v>28.66924948193531</v>
      </c>
      <c r="G244" s="86">
        <f>GDPdeflator!$C$38*INDEX(Costs!$E$7:$O$89,MATCH($C244,Costs!$C$7:$C$89,0),MATCH(G$7,Costs!$E$6:$O$6,0))</f>
        <v>27.798274604293251</v>
      </c>
      <c r="H244" s="86">
        <f>GDPdeflator!$C$38*INDEX(Costs!$E$7:$O$89,MATCH($C244,Costs!$C$7:$C$89,0),MATCH(H$7,Costs!$E$6:$O$6,0))</f>
        <v>28.551710348374318</v>
      </c>
      <c r="I244" s="86">
        <f>GDPdeflator!$C$38*INDEX(Costs!$E$7:$O$89,MATCH($C244,Costs!$C$7:$C$89,0),MATCH(I$7,Costs!$E$6:$O$6,0))</f>
        <v>29.900885983124134</v>
      </c>
      <c r="J244" s="86">
        <f>GDPdeflator!$C$38*INDEX(Costs!$E$7:$O$89,MATCH($C244,Costs!$C$7:$C$89,0),MATCH(J$7,Costs!$E$6:$O$6,0))</f>
        <v>29.944690386849775</v>
      </c>
      <c r="K244" s="86">
        <f>GDPdeflator!$C$38*INDEX(Costs!$E$7:$O$89,MATCH($C244,Costs!$C$7:$C$89,0),MATCH(K$7,Costs!$E$6:$O$6,0))</f>
        <v>29.9534512675949</v>
      </c>
      <c r="L244" s="86">
        <f>GDPdeflator!$C$38*INDEX(Costs!$E$7:$O$89,MATCH($C244,Costs!$C$7:$C$89,0),MATCH(L$7,Costs!$E$6:$O$6,0))</f>
        <v>29.970973029085162</v>
      </c>
      <c r="M244" s="86">
        <f>GDPdeflator!$C$38*INDEX(Costs!$E$7:$O$89,MATCH($C244,Costs!$C$7:$C$89,0),MATCH(M$7,Costs!$E$6:$O$6,0))</f>
        <v>29.970973029085162</v>
      </c>
      <c r="N244" s="86">
        <f>GDPdeflator!$C$38*INDEX(Costs!$E$7:$O$89,MATCH($C244,Costs!$C$7:$C$89,0),MATCH(N$7,Costs!$E$6:$O$6,0))</f>
        <v>29.970973029085162</v>
      </c>
      <c r="O244" s="86">
        <f>GDPdeflator!$C$38*INDEX(Costs!$E$7:$O$89,MATCH($C244,Costs!$C$7:$C$89,0),MATCH(O$7,Costs!$E$6:$O$6,0))</f>
        <v>29.970973029085162</v>
      </c>
      <c r="P244" s="87">
        <f t="shared" si="144"/>
        <v>2503.4076002494021</v>
      </c>
      <c r="Q244" s="87">
        <f t="shared" si="132"/>
        <v>2393.8292225242581</v>
      </c>
      <c r="R244" s="87">
        <f t="shared" si="133"/>
        <v>2321.104433704872</v>
      </c>
      <c r="S244" s="87">
        <f t="shared" si="134"/>
        <v>2384.0149226108342</v>
      </c>
      <c r="T244" s="87">
        <f t="shared" si="135"/>
        <v>2496.668588791279</v>
      </c>
      <c r="U244" s="87">
        <f t="shared" si="136"/>
        <v>2500.3261753555794</v>
      </c>
      <c r="V244" s="87">
        <f t="shared" si="137"/>
        <v>2501.0576926684389</v>
      </c>
      <c r="W244" s="87">
        <f t="shared" si="138"/>
        <v>2502.5207272941593</v>
      </c>
      <c r="X244" s="87">
        <f t="shared" si="139"/>
        <v>2502.5207272941593</v>
      </c>
      <c r="Y244" s="87">
        <f t="shared" si="140"/>
        <v>2502.5207272941593</v>
      </c>
      <c r="Z244" s="87">
        <f t="shared" si="141"/>
        <v>2502.5207272941593</v>
      </c>
      <c r="AA244" s="88">
        <v>405</v>
      </c>
      <c r="AB244" s="89">
        <f>AA244*GDPdeflator!$C$25/$AI$18*10^3</f>
        <v>38.940546907618888</v>
      </c>
      <c r="AC244" s="90" t="e">
        <f>INDEX(Efficiencies!$D$8:$M$89,MATCH(C244,Efficiencies!$C$8:$C$89),MATCH(D244,Efficiencies!$D$7:$M$7))</f>
        <v>#REF!</v>
      </c>
      <c r="AD244" s="90" t="e">
        <f t="shared" si="142"/>
        <v>#REF!</v>
      </c>
      <c r="AE244" s="90" t="e">
        <f>INDEX(Efficiencies!$P$8:$Y$89,MATCH(C244,Efficiencies!$C$8:$C$89),MATCH(D244,Efficiencies!$P$7:$Y$7))</f>
        <v>#REF!</v>
      </c>
      <c r="AF244" s="90" t="e">
        <f t="shared" si="143"/>
        <v>#REF!</v>
      </c>
      <c r="AG244" s="90">
        <v>0</v>
      </c>
    </row>
    <row r="245" spans="1:33" x14ac:dyDescent="0.2">
      <c r="A245" s="92" t="s">
        <v>1280</v>
      </c>
      <c r="B245" s="248" t="s">
        <v>1281</v>
      </c>
      <c r="C245" s="40" t="s">
        <v>1275</v>
      </c>
      <c r="D245" s="40">
        <v>2015</v>
      </c>
      <c r="E245" s="86">
        <f>GDPdeflator!$C$32*INDEX(Costs!$E$7:$O$89,MATCH($C245,Costs!$C$7:$C$89,0),MATCH(E$7,Costs!$E$6:$O$6,0))</f>
        <v>29.981594497723528</v>
      </c>
      <c r="F245" s="86">
        <f>GDPdeflator!$C$36*INDEX(Costs!$E$7:$O$89,MATCH($C245,Costs!$C$7:$C$89,0),MATCH(F$7,Costs!$E$6:$O$6,0))</f>
        <v>28.66924948193531</v>
      </c>
      <c r="G245" s="86">
        <f>GDPdeflator!$C$38*INDEX(Costs!$E$7:$O$89,MATCH($C245,Costs!$C$7:$C$89,0),MATCH(G$7,Costs!$E$6:$O$6,0))</f>
        <v>27.798274604293251</v>
      </c>
      <c r="H245" s="86">
        <f>GDPdeflator!$C$38*INDEX(Costs!$E$7:$O$89,MATCH($C245,Costs!$C$7:$C$89,0),MATCH(H$7,Costs!$E$6:$O$6,0))</f>
        <v>28.551710348374318</v>
      </c>
      <c r="I245" s="86">
        <f>GDPdeflator!$C$38*INDEX(Costs!$E$7:$O$89,MATCH($C245,Costs!$C$7:$C$89,0),MATCH(I$7,Costs!$E$6:$O$6,0))</f>
        <v>29.900885983124134</v>
      </c>
      <c r="J245" s="86">
        <f>GDPdeflator!$C$38*INDEX(Costs!$E$7:$O$89,MATCH($C245,Costs!$C$7:$C$89,0),MATCH(J$7,Costs!$E$6:$O$6,0))</f>
        <v>29.944690386849775</v>
      </c>
      <c r="K245" s="86">
        <f>GDPdeflator!$C$38*INDEX(Costs!$E$7:$O$89,MATCH($C245,Costs!$C$7:$C$89,0),MATCH(K$7,Costs!$E$6:$O$6,0))</f>
        <v>29.9534512675949</v>
      </c>
      <c r="L245" s="86">
        <f>GDPdeflator!$C$38*INDEX(Costs!$E$7:$O$89,MATCH($C245,Costs!$C$7:$C$89,0),MATCH(L$7,Costs!$E$6:$O$6,0))</f>
        <v>29.970973029085162</v>
      </c>
      <c r="M245" s="86">
        <f>GDPdeflator!$C$38*INDEX(Costs!$E$7:$O$89,MATCH($C245,Costs!$C$7:$C$89,0),MATCH(M$7,Costs!$E$6:$O$6,0))</f>
        <v>29.970973029085162</v>
      </c>
      <c r="N245" s="86">
        <f>GDPdeflator!$C$38*INDEX(Costs!$E$7:$O$89,MATCH($C245,Costs!$C$7:$C$89,0),MATCH(N$7,Costs!$E$6:$O$6,0))</f>
        <v>29.970973029085162</v>
      </c>
      <c r="O245" s="86">
        <f>GDPdeflator!$C$38*INDEX(Costs!$E$7:$O$89,MATCH($C245,Costs!$C$7:$C$89,0),MATCH(O$7,Costs!$E$6:$O$6,0))</f>
        <v>29.970973029085162</v>
      </c>
      <c r="P245" s="87">
        <f t="shared" si="144"/>
        <v>2503.4076002494021</v>
      </c>
      <c r="Q245" s="87">
        <f t="shared" si="132"/>
        <v>2393.8292225242581</v>
      </c>
      <c r="R245" s="87">
        <f t="shared" si="133"/>
        <v>2321.104433704872</v>
      </c>
      <c r="S245" s="87">
        <f t="shared" si="134"/>
        <v>2384.0149226108342</v>
      </c>
      <c r="T245" s="87">
        <f t="shared" si="135"/>
        <v>2496.668588791279</v>
      </c>
      <c r="U245" s="87">
        <f t="shared" si="136"/>
        <v>2500.3261753555794</v>
      </c>
      <c r="V245" s="87">
        <f t="shared" si="137"/>
        <v>2501.0576926684389</v>
      </c>
      <c r="W245" s="87">
        <f t="shared" si="138"/>
        <v>2502.5207272941593</v>
      </c>
      <c r="X245" s="87">
        <f t="shared" si="139"/>
        <v>2502.5207272941593</v>
      </c>
      <c r="Y245" s="87">
        <f t="shared" si="140"/>
        <v>2502.5207272941593</v>
      </c>
      <c r="Z245" s="87">
        <f t="shared" si="141"/>
        <v>2502.5207272941593</v>
      </c>
      <c r="AA245" s="88">
        <v>405</v>
      </c>
      <c r="AB245" s="89">
        <f>AA245*GDPdeflator!$C$25/$AI$18*10^3</f>
        <v>38.940546907618888</v>
      </c>
      <c r="AC245" s="90" t="e">
        <f>INDEX(Efficiencies!$D$8:$M$89,MATCH(C245,Efficiencies!$C$8:$C$89),MATCH(D245,Efficiencies!$D$7:$M$7))</f>
        <v>#REF!</v>
      </c>
      <c r="AD245" s="90" t="e">
        <f t="shared" si="142"/>
        <v>#REF!</v>
      </c>
      <c r="AE245" s="90" t="e">
        <f>INDEX(Efficiencies!$P$8:$Y$89,MATCH(C245,Efficiencies!$C$8:$C$89),MATCH(D245,Efficiencies!$P$7:$Y$7))</f>
        <v>#REF!</v>
      </c>
      <c r="AF245" s="90" t="e">
        <f t="shared" si="143"/>
        <v>#REF!</v>
      </c>
      <c r="AG245" s="90">
        <v>0</v>
      </c>
    </row>
    <row r="246" spans="1:33" x14ac:dyDescent="0.2">
      <c r="A246" s="92" t="s">
        <v>1282</v>
      </c>
      <c r="B246" s="248" t="s">
        <v>1283</v>
      </c>
      <c r="C246" s="40" t="s">
        <v>1275</v>
      </c>
      <c r="D246" s="40">
        <v>2020</v>
      </c>
      <c r="E246" s="86">
        <f>GDPdeflator!$C$32*INDEX(Costs!$E$7:$O$89,MATCH($C246,Costs!$C$7:$C$89,0),MATCH(E$7,Costs!$E$6:$O$6,0))</f>
        <v>29.981594497723528</v>
      </c>
      <c r="F246" s="86">
        <f>GDPdeflator!$C$36*INDEX(Costs!$E$7:$O$89,MATCH($C246,Costs!$C$7:$C$89,0),MATCH(F$7,Costs!$E$6:$O$6,0))</f>
        <v>28.66924948193531</v>
      </c>
      <c r="G246" s="86">
        <f>GDPdeflator!$C$38*INDEX(Costs!$E$7:$O$89,MATCH($C246,Costs!$C$7:$C$89,0),MATCH(G$7,Costs!$E$6:$O$6,0))</f>
        <v>27.798274604293251</v>
      </c>
      <c r="H246" s="86">
        <f>GDPdeflator!$C$38*INDEX(Costs!$E$7:$O$89,MATCH($C246,Costs!$C$7:$C$89,0),MATCH(H$7,Costs!$E$6:$O$6,0))</f>
        <v>28.551710348374318</v>
      </c>
      <c r="I246" s="86">
        <f>GDPdeflator!$C$38*INDEX(Costs!$E$7:$O$89,MATCH($C246,Costs!$C$7:$C$89,0),MATCH(I$7,Costs!$E$6:$O$6,0))</f>
        <v>29.900885983124134</v>
      </c>
      <c r="J246" s="86">
        <f>GDPdeflator!$C$38*INDEX(Costs!$E$7:$O$89,MATCH($C246,Costs!$C$7:$C$89,0),MATCH(J$7,Costs!$E$6:$O$6,0))</f>
        <v>29.944690386849775</v>
      </c>
      <c r="K246" s="86">
        <f>GDPdeflator!$C$38*INDEX(Costs!$E$7:$O$89,MATCH($C246,Costs!$C$7:$C$89,0),MATCH(K$7,Costs!$E$6:$O$6,0))</f>
        <v>29.9534512675949</v>
      </c>
      <c r="L246" s="86">
        <f>GDPdeflator!$C$38*INDEX(Costs!$E$7:$O$89,MATCH($C246,Costs!$C$7:$C$89,0),MATCH(L$7,Costs!$E$6:$O$6,0))</f>
        <v>29.970973029085162</v>
      </c>
      <c r="M246" s="86">
        <f>GDPdeflator!$C$38*INDEX(Costs!$E$7:$O$89,MATCH($C246,Costs!$C$7:$C$89,0),MATCH(M$7,Costs!$E$6:$O$6,0))</f>
        <v>29.970973029085162</v>
      </c>
      <c r="N246" s="86">
        <f>GDPdeflator!$C$38*INDEX(Costs!$E$7:$O$89,MATCH($C246,Costs!$C$7:$C$89,0),MATCH(N$7,Costs!$E$6:$O$6,0))</f>
        <v>29.970973029085162</v>
      </c>
      <c r="O246" s="86">
        <f>GDPdeflator!$C$38*INDEX(Costs!$E$7:$O$89,MATCH($C246,Costs!$C$7:$C$89,0),MATCH(O$7,Costs!$E$6:$O$6,0))</f>
        <v>29.970973029085162</v>
      </c>
      <c r="P246" s="87">
        <f t="shared" si="144"/>
        <v>2503.4076002494021</v>
      </c>
      <c r="Q246" s="87">
        <f t="shared" si="132"/>
        <v>2393.8292225242581</v>
      </c>
      <c r="R246" s="87">
        <f t="shared" si="133"/>
        <v>2321.104433704872</v>
      </c>
      <c r="S246" s="87">
        <f t="shared" si="134"/>
        <v>2384.0149226108342</v>
      </c>
      <c r="T246" s="87">
        <f t="shared" si="135"/>
        <v>2496.668588791279</v>
      </c>
      <c r="U246" s="87">
        <f t="shared" si="136"/>
        <v>2500.3261753555794</v>
      </c>
      <c r="V246" s="87">
        <f t="shared" si="137"/>
        <v>2501.0576926684389</v>
      </c>
      <c r="W246" s="87">
        <f t="shared" si="138"/>
        <v>2502.5207272941593</v>
      </c>
      <c r="X246" s="87">
        <f t="shared" si="139"/>
        <v>2502.5207272941593</v>
      </c>
      <c r="Y246" s="87">
        <f t="shared" si="140"/>
        <v>2502.5207272941593</v>
      </c>
      <c r="Z246" s="87">
        <f t="shared" si="141"/>
        <v>2502.5207272941593</v>
      </c>
      <c r="AA246" s="88">
        <v>405</v>
      </c>
      <c r="AB246" s="89">
        <f>AA246*GDPdeflator!$C$25/$AI$18*10^3</f>
        <v>38.940546907618888</v>
      </c>
      <c r="AC246" s="90" t="e">
        <f>INDEX(Efficiencies!$D$8:$M$89,MATCH(C246,Efficiencies!$C$8:$C$89),MATCH(D246,Efficiencies!$D$7:$M$7))</f>
        <v>#REF!</v>
      </c>
      <c r="AD246" s="90" t="e">
        <f t="shared" si="142"/>
        <v>#REF!</v>
      </c>
      <c r="AE246" s="90" t="e">
        <f>INDEX(Efficiencies!$P$8:$Y$89,MATCH(C246,Efficiencies!$C$8:$C$89),MATCH(D246,Efficiencies!$P$7:$Y$7))</f>
        <v>#REF!</v>
      </c>
      <c r="AF246" s="90" t="e">
        <f t="shared" si="143"/>
        <v>#REF!</v>
      </c>
      <c r="AG246" s="90">
        <v>0</v>
      </c>
    </row>
    <row r="247" spans="1:33" x14ac:dyDescent="0.2">
      <c r="A247" s="92" t="s">
        <v>1284</v>
      </c>
      <c r="B247" s="248" t="s">
        <v>1285</v>
      </c>
      <c r="C247" s="40" t="s">
        <v>1275</v>
      </c>
      <c r="D247" s="40">
        <v>2025</v>
      </c>
      <c r="E247" s="86">
        <f>GDPdeflator!$C$32*INDEX(Costs!$E$7:$O$89,MATCH($C247,Costs!$C$7:$C$89,0),MATCH(E$7,Costs!$E$6:$O$6,0))</f>
        <v>29.981594497723528</v>
      </c>
      <c r="F247" s="86">
        <f>GDPdeflator!$C$36*INDEX(Costs!$E$7:$O$89,MATCH($C247,Costs!$C$7:$C$89,0),MATCH(F$7,Costs!$E$6:$O$6,0))</f>
        <v>28.66924948193531</v>
      </c>
      <c r="G247" s="86">
        <f>GDPdeflator!$C$38*INDEX(Costs!$E$7:$O$89,MATCH($C247,Costs!$C$7:$C$89,0),MATCH(G$7,Costs!$E$6:$O$6,0))</f>
        <v>27.798274604293251</v>
      </c>
      <c r="H247" s="86">
        <f>GDPdeflator!$C$38*INDEX(Costs!$E$7:$O$89,MATCH($C247,Costs!$C$7:$C$89,0),MATCH(H$7,Costs!$E$6:$O$6,0))</f>
        <v>28.551710348374318</v>
      </c>
      <c r="I247" s="86">
        <f>GDPdeflator!$C$38*INDEX(Costs!$E$7:$O$89,MATCH($C247,Costs!$C$7:$C$89,0),MATCH(I$7,Costs!$E$6:$O$6,0))</f>
        <v>29.900885983124134</v>
      </c>
      <c r="J247" s="86">
        <f>GDPdeflator!$C$38*INDEX(Costs!$E$7:$O$89,MATCH($C247,Costs!$C$7:$C$89,0),MATCH(J$7,Costs!$E$6:$O$6,0))</f>
        <v>29.944690386849775</v>
      </c>
      <c r="K247" s="86">
        <f>GDPdeflator!$C$38*INDEX(Costs!$E$7:$O$89,MATCH($C247,Costs!$C$7:$C$89,0),MATCH(K$7,Costs!$E$6:$O$6,0))</f>
        <v>29.9534512675949</v>
      </c>
      <c r="L247" s="86">
        <f>GDPdeflator!$C$38*INDEX(Costs!$E$7:$O$89,MATCH($C247,Costs!$C$7:$C$89,0),MATCH(L$7,Costs!$E$6:$O$6,0))</f>
        <v>29.970973029085162</v>
      </c>
      <c r="M247" s="86">
        <f>GDPdeflator!$C$38*INDEX(Costs!$E$7:$O$89,MATCH($C247,Costs!$C$7:$C$89,0),MATCH(M$7,Costs!$E$6:$O$6,0))</f>
        <v>29.970973029085162</v>
      </c>
      <c r="N247" s="86">
        <f>GDPdeflator!$C$38*INDEX(Costs!$E$7:$O$89,MATCH($C247,Costs!$C$7:$C$89,0),MATCH(N$7,Costs!$E$6:$O$6,0))</f>
        <v>29.970973029085162</v>
      </c>
      <c r="O247" s="86">
        <f>GDPdeflator!$C$38*INDEX(Costs!$E$7:$O$89,MATCH($C247,Costs!$C$7:$C$89,0),MATCH(O$7,Costs!$E$6:$O$6,0))</f>
        <v>29.970973029085162</v>
      </c>
      <c r="P247" s="87">
        <f t="shared" si="144"/>
        <v>2503.4076002494021</v>
      </c>
      <c r="Q247" s="87">
        <f t="shared" si="132"/>
        <v>2393.8292225242581</v>
      </c>
      <c r="R247" s="87">
        <f t="shared" si="133"/>
        <v>2321.104433704872</v>
      </c>
      <c r="S247" s="87">
        <f t="shared" si="134"/>
        <v>2384.0149226108342</v>
      </c>
      <c r="T247" s="87">
        <f t="shared" si="135"/>
        <v>2496.668588791279</v>
      </c>
      <c r="U247" s="87">
        <f t="shared" si="136"/>
        <v>2500.3261753555794</v>
      </c>
      <c r="V247" s="87">
        <f t="shared" si="137"/>
        <v>2501.0576926684389</v>
      </c>
      <c r="W247" s="87">
        <f t="shared" si="138"/>
        <v>2502.5207272941593</v>
      </c>
      <c r="X247" s="87">
        <f t="shared" si="139"/>
        <v>2502.5207272941593</v>
      </c>
      <c r="Y247" s="87">
        <f t="shared" si="140"/>
        <v>2502.5207272941593</v>
      </c>
      <c r="Z247" s="87">
        <f t="shared" si="141"/>
        <v>2502.5207272941593</v>
      </c>
      <c r="AA247" s="88">
        <v>405</v>
      </c>
      <c r="AB247" s="89">
        <f>AA247*GDPdeflator!$C$25/$AI$18*10^3</f>
        <v>38.940546907618888</v>
      </c>
      <c r="AC247" s="90" t="e">
        <f>INDEX(Efficiencies!$D$8:$M$89,MATCH(C247,Efficiencies!$C$8:$C$89),MATCH(D247,Efficiencies!$D$7:$M$7))</f>
        <v>#REF!</v>
      </c>
      <c r="AD247" s="90" t="e">
        <f t="shared" si="142"/>
        <v>#REF!</v>
      </c>
      <c r="AE247" s="90" t="e">
        <f>INDEX(Efficiencies!$P$8:$Y$89,MATCH(C247,Efficiencies!$C$8:$C$89),MATCH(D247,Efficiencies!$P$7:$Y$7))</f>
        <v>#REF!</v>
      </c>
      <c r="AF247" s="90" t="e">
        <f t="shared" si="143"/>
        <v>#REF!</v>
      </c>
      <c r="AG247" s="90">
        <v>0</v>
      </c>
    </row>
    <row r="248" spans="1:33" x14ac:dyDescent="0.2">
      <c r="A248" s="92" t="s">
        <v>1286</v>
      </c>
      <c r="B248" s="248" t="s">
        <v>1287</v>
      </c>
      <c r="C248" s="40" t="s">
        <v>1275</v>
      </c>
      <c r="D248" s="40">
        <v>2030</v>
      </c>
      <c r="E248" s="86">
        <f>GDPdeflator!$C$32*INDEX(Costs!$E$7:$O$89,MATCH($C248,Costs!$C$7:$C$89,0),MATCH(E$7,Costs!$E$6:$O$6,0))</f>
        <v>29.981594497723528</v>
      </c>
      <c r="F248" s="86">
        <f>GDPdeflator!$C$36*INDEX(Costs!$E$7:$O$89,MATCH($C248,Costs!$C$7:$C$89,0),MATCH(F$7,Costs!$E$6:$O$6,0))</f>
        <v>28.66924948193531</v>
      </c>
      <c r="G248" s="86">
        <f>GDPdeflator!$C$38*INDEX(Costs!$E$7:$O$89,MATCH($C248,Costs!$C$7:$C$89,0),MATCH(G$7,Costs!$E$6:$O$6,0))</f>
        <v>27.798274604293251</v>
      </c>
      <c r="H248" s="86">
        <f>GDPdeflator!$C$38*INDEX(Costs!$E$7:$O$89,MATCH($C248,Costs!$C$7:$C$89,0),MATCH(H$7,Costs!$E$6:$O$6,0))</f>
        <v>28.551710348374318</v>
      </c>
      <c r="I248" s="86">
        <f>GDPdeflator!$C$38*INDEX(Costs!$E$7:$O$89,MATCH($C248,Costs!$C$7:$C$89,0),MATCH(I$7,Costs!$E$6:$O$6,0))</f>
        <v>29.900885983124134</v>
      </c>
      <c r="J248" s="86">
        <f>GDPdeflator!$C$38*INDEX(Costs!$E$7:$O$89,MATCH($C248,Costs!$C$7:$C$89,0),MATCH(J$7,Costs!$E$6:$O$6,0))</f>
        <v>29.944690386849775</v>
      </c>
      <c r="K248" s="86">
        <f>GDPdeflator!$C$38*INDEX(Costs!$E$7:$O$89,MATCH($C248,Costs!$C$7:$C$89,0),MATCH(K$7,Costs!$E$6:$O$6,0))</f>
        <v>29.9534512675949</v>
      </c>
      <c r="L248" s="86">
        <f>GDPdeflator!$C$38*INDEX(Costs!$E$7:$O$89,MATCH($C248,Costs!$C$7:$C$89,0),MATCH(L$7,Costs!$E$6:$O$6,0))</f>
        <v>29.970973029085162</v>
      </c>
      <c r="M248" s="86">
        <f>GDPdeflator!$C$38*INDEX(Costs!$E$7:$O$89,MATCH($C248,Costs!$C$7:$C$89,0),MATCH(M$7,Costs!$E$6:$O$6,0))</f>
        <v>29.970973029085162</v>
      </c>
      <c r="N248" s="86">
        <f>GDPdeflator!$C$38*INDEX(Costs!$E$7:$O$89,MATCH($C248,Costs!$C$7:$C$89,0),MATCH(N$7,Costs!$E$6:$O$6,0))</f>
        <v>29.970973029085162</v>
      </c>
      <c r="O248" s="86">
        <f>GDPdeflator!$C$38*INDEX(Costs!$E$7:$O$89,MATCH($C248,Costs!$C$7:$C$89,0),MATCH(O$7,Costs!$E$6:$O$6,0))</f>
        <v>29.970973029085162</v>
      </c>
      <c r="P248" s="87">
        <f t="shared" si="144"/>
        <v>2503.4076002494021</v>
      </c>
      <c r="Q248" s="87">
        <f t="shared" si="132"/>
        <v>2393.8292225242581</v>
      </c>
      <c r="R248" s="87">
        <f t="shared" si="133"/>
        <v>2321.104433704872</v>
      </c>
      <c r="S248" s="87">
        <f t="shared" si="134"/>
        <v>2384.0149226108342</v>
      </c>
      <c r="T248" s="87">
        <f t="shared" si="135"/>
        <v>2496.668588791279</v>
      </c>
      <c r="U248" s="87">
        <f t="shared" si="136"/>
        <v>2500.3261753555794</v>
      </c>
      <c r="V248" s="87">
        <f t="shared" si="137"/>
        <v>2501.0576926684389</v>
      </c>
      <c r="W248" s="87">
        <f t="shared" si="138"/>
        <v>2502.5207272941593</v>
      </c>
      <c r="X248" s="87">
        <f t="shared" si="139"/>
        <v>2502.5207272941593</v>
      </c>
      <c r="Y248" s="87">
        <f t="shared" si="140"/>
        <v>2502.5207272941593</v>
      </c>
      <c r="Z248" s="87">
        <f t="shared" si="141"/>
        <v>2502.5207272941593</v>
      </c>
      <c r="AA248" s="88">
        <v>405</v>
      </c>
      <c r="AB248" s="89">
        <f>AA248*GDPdeflator!$C$25/$AI$18*10^3</f>
        <v>38.940546907618888</v>
      </c>
      <c r="AC248" s="90" t="e">
        <f>INDEX(Efficiencies!$D$8:$M$89,MATCH(C248,Efficiencies!$C$8:$C$89),MATCH(D248,Efficiencies!$D$7:$M$7))</f>
        <v>#REF!</v>
      </c>
      <c r="AD248" s="90" t="e">
        <f t="shared" si="142"/>
        <v>#REF!</v>
      </c>
      <c r="AE248" s="90" t="e">
        <f>INDEX(Efficiencies!$P$8:$Y$89,MATCH(C248,Efficiencies!$C$8:$C$89),MATCH(D248,Efficiencies!$P$7:$Y$7))</f>
        <v>#REF!</v>
      </c>
      <c r="AF248" s="90" t="e">
        <f t="shared" si="143"/>
        <v>#REF!</v>
      </c>
      <c r="AG248" s="90">
        <v>0</v>
      </c>
    </row>
    <row r="249" spans="1:33" x14ac:dyDescent="0.2">
      <c r="A249" s="92" t="s">
        <v>1288</v>
      </c>
      <c r="B249" s="248" t="s">
        <v>1289</v>
      </c>
      <c r="C249" s="40" t="s">
        <v>1275</v>
      </c>
      <c r="D249" s="40">
        <v>2035</v>
      </c>
      <c r="E249" s="86">
        <f>GDPdeflator!$C$32*INDEX(Costs!$E$7:$O$89,MATCH($C249,Costs!$C$7:$C$89,0),MATCH(E$7,Costs!$E$6:$O$6,0))</f>
        <v>29.981594497723528</v>
      </c>
      <c r="F249" s="86">
        <f>GDPdeflator!$C$36*INDEX(Costs!$E$7:$O$89,MATCH($C249,Costs!$C$7:$C$89,0),MATCH(F$7,Costs!$E$6:$O$6,0))</f>
        <v>28.66924948193531</v>
      </c>
      <c r="G249" s="86">
        <f>GDPdeflator!$C$38*INDEX(Costs!$E$7:$O$89,MATCH($C249,Costs!$C$7:$C$89,0),MATCH(G$7,Costs!$E$6:$O$6,0))</f>
        <v>27.798274604293251</v>
      </c>
      <c r="H249" s="86">
        <f>GDPdeflator!$C$38*INDEX(Costs!$E$7:$O$89,MATCH($C249,Costs!$C$7:$C$89,0),MATCH(H$7,Costs!$E$6:$O$6,0))</f>
        <v>28.551710348374318</v>
      </c>
      <c r="I249" s="86">
        <f>GDPdeflator!$C$38*INDEX(Costs!$E$7:$O$89,MATCH($C249,Costs!$C$7:$C$89,0),MATCH(I$7,Costs!$E$6:$O$6,0))</f>
        <v>29.900885983124134</v>
      </c>
      <c r="J249" s="86">
        <f>GDPdeflator!$C$38*INDEX(Costs!$E$7:$O$89,MATCH($C249,Costs!$C$7:$C$89,0),MATCH(J$7,Costs!$E$6:$O$6,0))</f>
        <v>29.944690386849775</v>
      </c>
      <c r="K249" s="86">
        <f>GDPdeflator!$C$38*INDEX(Costs!$E$7:$O$89,MATCH($C249,Costs!$C$7:$C$89,0),MATCH(K$7,Costs!$E$6:$O$6,0))</f>
        <v>29.9534512675949</v>
      </c>
      <c r="L249" s="86">
        <f>GDPdeflator!$C$38*INDEX(Costs!$E$7:$O$89,MATCH($C249,Costs!$C$7:$C$89,0),MATCH(L$7,Costs!$E$6:$O$6,0))</f>
        <v>29.970973029085162</v>
      </c>
      <c r="M249" s="86">
        <f>GDPdeflator!$C$38*INDEX(Costs!$E$7:$O$89,MATCH($C249,Costs!$C$7:$C$89,0),MATCH(M$7,Costs!$E$6:$O$6,0))</f>
        <v>29.970973029085162</v>
      </c>
      <c r="N249" s="86">
        <f>GDPdeflator!$C$38*INDEX(Costs!$E$7:$O$89,MATCH($C249,Costs!$C$7:$C$89,0),MATCH(N$7,Costs!$E$6:$O$6,0))</f>
        <v>29.970973029085162</v>
      </c>
      <c r="O249" s="86">
        <f>GDPdeflator!$C$38*INDEX(Costs!$E$7:$O$89,MATCH($C249,Costs!$C$7:$C$89,0),MATCH(O$7,Costs!$E$6:$O$6,0))</f>
        <v>29.970973029085162</v>
      </c>
      <c r="P249" s="87">
        <f t="shared" si="144"/>
        <v>2503.4076002494021</v>
      </c>
      <c r="Q249" s="87">
        <f t="shared" si="132"/>
        <v>2393.8292225242581</v>
      </c>
      <c r="R249" s="87">
        <f t="shared" si="133"/>
        <v>2321.104433704872</v>
      </c>
      <c r="S249" s="87">
        <f t="shared" si="134"/>
        <v>2384.0149226108342</v>
      </c>
      <c r="T249" s="87">
        <f t="shared" si="135"/>
        <v>2496.668588791279</v>
      </c>
      <c r="U249" s="87">
        <f t="shared" si="136"/>
        <v>2500.3261753555794</v>
      </c>
      <c r="V249" s="87">
        <f t="shared" si="137"/>
        <v>2501.0576926684389</v>
      </c>
      <c r="W249" s="87">
        <f t="shared" si="138"/>
        <v>2502.5207272941593</v>
      </c>
      <c r="X249" s="87">
        <f t="shared" si="139"/>
        <v>2502.5207272941593</v>
      </c>
      <c r="Y249" s="87">
        <f t="shared" si="140"/>
        <v>2502.5207272941593</v>
      </c>
      <c r="Z249" s="87">
        <f t="shared" si="141"/>
        <v>2502.5207272941593</v>
      </c>
      <c r="AA249" s="88">
        <v>405</v>
      </c>
      <c r="AB249" s="89">
        <f>AA249*GDPdeflator!$C$25/$AI$18*10^3</f>
        <v>38.940546907618888</v>
      </c>
      <c r="AC249" s="90" t="e">
        <f>INDEX(Efficiencies!$D$8:$M$89,MATCH(C249,Efficiencies!$C$8:$C$89),MATCH(D249,Efficiencies!$D$7:$M$7))</f>
        <v>#REF!</v>
      </c>
      <c r="AD249" s="90" t="e">
        <f t="shared" si="142"/>
        <v>#REF!</v>
      </c>
      <c r="AE249" s="90" t="e">
        <f>INDEX(Efficiencies!$P$8:$Y$89,MATCH(C249,Efficiencies!$C$8:$C$89),MATCH(D249,Efficiencies!$P$7:$Y$7))</f>
        <v>#REF!</v>
      </c>
      <c r="AF249" s="90" t="e">
        <f t="shared" si="143"/>
        <v>#REF!</v>
      </c>
      <c r="AG249" s="90">
        <v>0</v>
      </c>
    </row>
    <row r="250" spans="1:33" x14ac:dyDescent="0.2">
      <c r="A250" s="92" t="s">
        <v>1290</v>
      </c>
      <c r="B250" s="248" t="s">
        <v>1291</v>
      </c>
      <c r="C250" s="40" t="s">
        <v>1275</v>
      </c>
      <c r="D250" s="40">
        <v>2040</v>
      </c>
      <c r="E250" s="86">
        <f>GDPdeflator!$C$32*INDEX(Costs!$E$7:$O$89,MATCH($C250,Costs!$C$7:$C$89,0),MATCH(E$7,Costs!$E$6:$O$6,0))</f>
        <v>29.981594497723528</v>
      </c>
      <c r="F250" s="86">
        <f>GDPdeflator!$C$36*INDEX(Costs!$E$7:$O$89,MATCH($C250,Costs!$C$7:$C$89,0),MATCH(F$7,Costs!$E$6:$O$6,0))</f>
        <v>28.66924948193531</v>
      </c>
      <c r="G250" s="86">
        <f>GDPdeflator!$C$38*INDEX(Costs!$E$7:$O$89,MATCH($C250,Costs!$C$7:$C$89,0),MATCH(G$7,Costs!$E$6:$O$6,0))</f>
        <v>27.798274604293251</v>
      </c>
      <c r="H250" s="86">
        <f>GDPdeflator!$C$38*INDEX(Costs!$E$7:$O$89,MATCH($C250,Costs!$C$7:$C$89,0),MATCH(H$7,Costs!$E$6:$O$6,0))</f>
        <v>28.551710348374318</v>
      </c>
      <c r="I250" s="86">
        <f>GDPdeflator!$C$38*INDEX(Costs!$E$7:$O$89,MATCH($C250,Costs!$C$7:$C$89,0),MATCH(I$7,Costs!$E$6:$O$6,0))</f>
        <v>29.900885983124134</v>
      </c>
      <c r="J250" s="86">
        <f>GDPdeflator!$C$38*INDEX(Costs!$E$7:$O$89,MATCH($C250,Costs!$C$7:$C$89,0),MATCH(J$7,Costs!$E$6:$O$6,0))</f>
        <v>29.944690386849775</v>
      </c>
      <c r="K250" s="86">
        <f>GDPdeflator!$C$38*INDEX(Costs!$E$7:$O$89,MATCH($C250,Costs!$C$7:$C$89,0),MATCH(K$7,Costs!$E$6:$O$6,0))</f>
        <v>29.9534512675949</v>
      </c>
      <c r="L250" s="86">
        <f>GDPdeflator!$C$38*INDEX(Costs!$E$7:$O$89,MATCH($C250,Costs!$C$7:$C$89,0),MATCH(L$7,Costs!$E$6:$O$6,0))</f>
        <v>29.970973029085162</v>
      </c>
      <c r="M250" s="86">
        <f>GDPdeflator!$C$38*INDEX(Costs!$E$7:$O$89,MATCH($C250,Costs!$C$7:$C$89,0),MATCH(M$7,Costs!$E$6:$O$6,0))</f>
        <v>29.970973029085162</v>
      </c>
      <c r="N250" s="86">
        <f>GDPdeflator!$C$38*INDEX(Costs!$E$7:$O$89,MATCH($C250,Costs!$C$7:$C$89,0),MATCH(N$7,Costs!$E$6:$O$6,0))</f>
        <v>29.970973029085162</v>
      </c>
      <c r="O250" s="86">
        <f>GDPdeflator!$C$38*INDEX(Costs!$E$7:$O$89,MATCH($C250,Costs!$C$7:$C$89,0),MATCH(O$7,Costs!$E$6:$O$6,0))</f>
        <v>29.970973029085162</v>
      </c>
      <c r="P250" s="87">
        <f t="shared" si="144"/>
        <v>2503.4076002494021</v>
      </c>
      <c r="Q250" s="87">
        <f t="shared" si="132"/>
        <v>2393.8292225242581</v>
      </c>
      <c r="R250" s="87">
        <f t="shared" si="133"/>
        <v>2321.104433704872</v>
      </c>
      <c r="S250" s="87">
        <f t="shared" si="134"/>
        <v>2384.0149226108342</v>
      </c>
      <c r="T250" s="87">
        <f t="shared" si="135"/>
        <v>2496.668588791279</v>
      </c>
      <c r="U250" s="87">
        <f t="shared" si="136"/>
        <v>2500.3261753555794</v>
      </c>
      <c r="V250" s="87">
        <f t="shared" si="137"/>
        <v>2501.0576926684389</v>
      </c>
      <c r="W250" s="87">
        <f t="shared" si="138"/>
        <v>2502.5207272941593</v>
      </c>
      <c r="X250" s="87">
        <f t="shared" si="139"/>
        <v>2502.5207272941593</v>
      </c>
      <c r="Y250" s="87">
        <f t="shared" si="140"/>
        <v>2502.5207272941593</v>
      </c>
      <c r="Z250" s="87">
        <f t="shared" si="141"/>
        <v>2502.5207272941593</v>
      </c>
      <c r="AA250" s="88">
        <v>405</v>
      </c>
      <c r="AB250" s="89">
        <f>AA250*GDPdeflator!$C$25/$AI$18*10^3</f>
        <v>38.940546907618888</v>
      </c>
      <c r="AC250" s="90" t="e">
        <f>INDEX(Efficiencies!$D$8:$M$89,MATCH(C250,Efficiencies!$C$8:$C$89),MATCH(D250,Efficiencies!$D$7:$M$7))</f>
        <v>#REF!</v>
      </c>
      <c r="AD250" s="90" t="e">
        <f t="shared" si="142"/>
        <v>#REF!</v>
      </c>
      <c r="AE250" s="90" t="e">
        <f>INDEX(Efficiencies!$P$8:$Y$89,MATCH(C250,Efficiencies!$C$8:$C$89),MATCH(D250,Efficiencies!$P$7:$Y$7))</f>
        <v>#REF!</v>
      </c>
      <c r="AF250" s="90" t="e">
        <f t="shared" si="143"/>
        <v>#REF!</v>
      </c>
      <c r="AG250" s="90">
        <v>0</v>
      </c>
    </row>
    <row r="251" spans="1:33" x14ac:dyDescent="0.2">
      <c r="A251" s="92" t="s">
        <v>1292</v>
      </c>
      <c r="B251" s="248" t="s">
        <v>1293</v>
      </c>
      <c r="C251" s="40" t="s">
        <v>1275</v>
      </c>
      <c r="D251" s="40">
        <v>2045</v>
      </c>
      <c r="E251" s="86">
        <f>GDPdeflator!$C$32*INDEX(Costs!$E$7:$O$89,MATCH($C251,Costs!$C$7:$C$89,0),MATCH(E$7,Costs!$E$6:$O$6,0))</f>
        <v>29.981594497723528</v>
      </c>
      <c r="F251" s="86">
        <f>GDPdeflator!$C$36*INDEX(Costs!$E$7:$O$89,MATCH($C251,Costs!$C$7:$C$89,0),MATCH(F$7,Costs!$E$6:$O$6,0))</f>
        <v>28.66924948193531</v>
      </c>
      <c r="G251" s="86">
        <f>GDPdeflator!$C$38*INDEX(Costs!$E$7:$O$89,MATCH($C251,Costs!$C$7:$C$89,0),MATCH(G$7,Costs!$E$6:$O$6,0))</f>
        <v>27.798274604293251</v>
      </c>
      <c r="H251" s="86">
        <f>GDPdeflator!$C$38*INDEX(Costs!$E$7:$O$89,MATCH($C251,Costs!$C$7:$C$89,0),MATCH(H$7,Costs!$E$6:$O$6,0))</f>
        <v>28.551710348374318</v>
      </c>
      <c r="I251" s="86">
        <f>GDPdeflator!$C$38*INDEX(Costs!$E$7:$O$89,MATCH($C251,Costs!$C$7:$C$89,0),MATCH(I$7,Costs!$E$6:$O$6,0))</f>
        <v>29.900885983124134</v>
      </c>
      <c r="J251" s="86">
        <f>GDPdeflator!$C$38*INDEX(Costs!$E$7:$O$89,MATCH($C251,Costs!$C$7:$C$89,0),MATCH(J$7,Costs!$E$6:$O$6,0))</f>
        <v>29.944690386849775</v>
      </c>
      <c r="K251" s="86">
        <f>GDPdeflator!$C$38*INDEX(Costs!$E$7:$O$89,MATCH($C251,Costs!$C$7:$C$89,0),MATCH(K$7,Costs!$E$6:$O$6,0))</f>
        <v>29.9534512675949</v>
      </c>
      <c r="L251" s="86">
        <f>GDPdeflator!$C$38*INDEX(Costs!$E$7:$O$89,MATCH($C251,Costs!$C$7:$C$89,0),MATCH(L$7,Costs!$E$6:$O$6,0))</f>
        <v>29.970973029085162</v>
      </c>
      <c r="M251" s="86">
        <f>GDPdeflator!$C$38*INDEX(Costs!$E$7:$O$89,MATCH($C251,Costs!$C$7:$C$89,0),MATCH(M$7,Costs!$E$6:$O$6,0))</f>
        <v>29.970973029085162</v>
      </c>
      <c r="N251" s="86">
        <f>GDPdeflator!$C$38*INDEX(Costs!$E$7:$O$89,MATCH($C251,Costs!$C$7:$C$89,0),MATCH(N$7,Costs!$E$6:$O$6,0))</f>
        <v>29.970973029085162</v>
      </c>
      <c r="O251" s="86">
        <f>GDPdeflator!$C$38*INDEX(Costs!$E$7:$O$89,MATCH($C251,Costs!$C$7:$C$89,0),MATCH(O$7,Costs!$E$6:$O$6,0))</f>
        <v>29.970973029085162</v>
      </c>
      <c r="P251" s="87">
        <f t="shared" si="144"/>
        <v>2503.4076002494021</v>
      </c>
      <c r="Q251" s="87">
        <f t="shared" si="132"/>
        <v>2393.8292225242581</v>
      </c>
      <c r="R251" s="87">
        <f t="shared" si="133"/>
        <v>2321.104433704872</v>
      </c>
      <c r="S251" s="87">
        <f t="shared" si="134"/>
        <v>2384.0149226108342</v>
      </c>
      <c r="T251" s="87">
        <f t="shared" si="135"/>
        <v>2496.668588791279</v>
      </c>
      <c r="U251" s="87">
        <f t="shared" si="136"/>
        <v>2500.3261753555794</v>
      </c>
      <c r="V251" s="87">
        <f t="shared" si="137"/>
        <v>2501.0576926684389</v>
      </c>
      <c r="W251" s="87">
        <f t="shared" si="138"/>
        <v>2502.5207272941593</v>
      </c>
      <c r="X251" s="87">
        <f t="shared" si="139"/>
        <v>2502.5207272941593</v>
      </c>
      <c r="Y251" s="87">
        <f t="shared" si="140"/>
        <v>2502.5207272941593</v>
      </c>
      <c r="Z251" s="87">
        <f t="shared" si="141"/>
        <v>2502.5207272941593</v>
      </c>
      <c r="AA251" s="88">
        <v>405</v>
      </c>
      <c r="AB251" s="89">
        <f>AA251*GDPdeflator!$C$25/$AI$18*10^3</f>
        <v>38.940546907618888</v>
      </c>
      <c r="AC251" s="90" t="e">
        <f>INDEX(Efficiencies!$D$8:$M$89,MATCH(C251,Efficiencies!$C$8:$C$89),MATCH(D251,Efficiencies!$D$7:$M$7))</f>
        <v>#REF!</v>
      </c>
      <c r="AD251" s="90" t="e">
        <f t="shared" si="142"/>
        <v>#REF!</v>
      </c>
      <c r="AE251" s="90" t="e">
        <f>INDEX(Efficiencies!$P$8:$Y$89,MATCH(C251,Efficiencies!$C$8:$C$89),MATCH(D251,Efficiencies!$P$7:$Y$7))</f>
        <v>#REF!</v>
      </c>
      <c r="AF251" s="90" t="e">
        <f t="shared" si="143"/>
        <v>#REF!</v>
      </c>
      <c r="AG251" s="90">
        <v>0</v>
      </c>
    </row>
    <row r="252" spans="1:33" x14ac:dyDescent="0.2">
      <c r="A252" s="92" t="s">
        <v>1294</v>
      </c>
      <c r="B252" s="248" t="s">
        <v>1295</v>
      </c>
      <c r="C252" s="40" t="s">
        <v>1275</v>
      </c>
      <c r="D252" s="40">
        <v>2050</v>
      </c>
      <c r="E252" s="86">
        <f>GDPdeflator!$C$32*INDEX(Costs!$E$7:$O$89,MATCH($C252,Costs!$C$7:$C$89,0),MATCH(E$7,Costs!$E$6:$O$6,0))</f>
        <v>29.981594497723528</v>
      </c>
      <c r="F252" s="86">
        <f>GDPdeflator!$C$36*INDEX(Costs!$E$7:$O$89,MATCH($C252,Costs!$C$7:$C$89,0),MATCH(F$7,Costs!$E$6:$O$6,0))</f>
        <v>28.66924948193531</v>
      </c>
      <c r="G252" s="86">
        <f>GDPdeflator!$C$38*INDEX(Costs!$E$7:$O$89,MATCH($C252,Costs!$C$7:$C$89,0),MATCH(G$7,Costs!$E$6:$O$6,0))</f>
        <v>27.798274604293251</v>
      </c>
      <c r="H252" s="86">
        <f>GDPdeflator!$C$38*INDEX(Costs!$E$7:$O$89,MATCH($C252,Costs!$C$7:$C$89,0),MATCH(H$7,Costs!$E$6:$O$6,0))</f>
        <v>28.551710348374318</v>
      </c>
      <c r="I252" s="86">
        <f>GDPdeflator!$C$38*INDEX(Costs!$E$7:$O$89,MATCH($C252,Costs!$C$7:$C$89,0),MATCH(I$7,Costs!$E$6:$O$6,0))</f>
        <v>29.900885983124134</v>
      </c>
      <c r="J252" s="86">
        <f>GDPdeflator!$C$38*INDEX(Costs!$E$7:$O$89,MATCH($C252,Costs!$C$7:$C$89,0),MATCH(J$7,Costs!$E$6:$O$6,0))</f>
        <v>29.944690386849775</v>
      </c>
      <c r="K252" s="86">
        <f>GDPdeflator!$C$38*INDEX(Costs!$E$7:$O$89,MATCH($C252,Costs!$C$7:$C$89,0),MATCH(K$7,Costs!$E$6:$O$6,0))</f>
        <v>29.9534512675949</v>
      </c>
      <c r="L252" s="86">
        <f>GDPdeflator!$C$38*INDEX(Costs!$E$7:$O$89,MATCH($C252,Costs!$C$7:$C$89,0),MATCH(L$7,Costs!$E$6:$O$6,0))</f>
        <v>29.970973029085162</v>
      </c>
      <c r="M252" s="86">
        <f>GDPdeflator!$C$38*INDEX(Costs!$E$7:$O$89,MATCH($C252,Costs!$C$7:$C$89,0),MATCH(M$7,Costs!$E$6:$O$6,0))</f>
        <v>29.970973029085162</v>
      </c>
      <c r="N252" s="86">
        <f>GDPdeflator!$C$38*INDEX(Costs!$E$7:$O$89,MATCH($C252,Costs!$C$7:$C$89,0),MATCH(N$7,Costs!$E$6:$O$6,0))</f>
        <v>29.970973029085162</v>
      </c>
      <c r="O252" s="86">
        <f>GDPdeflator!$C$38*INDEX(Costs!$E$7:$O$89,MATCH($C252,Costs!$C$7:$C$89,0),MATCH(O$7,Costs!$E$6:$O$6,0))</f>
        <v>29.970973029085162</v>
      </c>
      <c r="P252" s="87">
        <f t="shared" si="144"/>
        <v>2503.4076002494021</v>
      </c>
      <c r="Q252" s="87">
        <f t="shared" si="132"/>
        <v>2393.8292225242581</v>
      </c>
      <c r="R252" s="87">
        <f t="shared" si="133"/>
        <v>2321.104433704872</v>
      </c>
      <c r="S252" s="87">
        <f t="shared" si="134"/>
        <v>2384.0149226108342</v>
      </c>
      <c r="T252" s="87">
        <f t="shared" si="135"/>
        <v>2496.668588791279</v>
      </c>
      <c r="U252" s="87">
        <f t="shared" si="136"/>
        <v>2500.3261753555794</v>
      </c>
      <c r="V252" s="87">
        <f t="shared" si="137"/>
        <v>2501.0576926684389</v>
      </c>
      <c r="W252" s="87">
        <f t="shared" si="138"/>
        <v>2502.5207272941593</v>
      </c>
      <c r="X252" s="87">
        <f t="shared" si="139"/>
        <v>2502.5207272941593</v>
      </c>
      <c r="Y252" s="87">
        <f t="shared" si="140"/>
        <v>2502.5207272941593</v>
      </c>
      <c r="Z252" s="87">
        <f t="shared" si="141"/>
        <v>2502.5207272941593</v>
      </c>
      <c r="AA252" s="88">
        <v>405</v>
      </c>
      <c r="AB252" s="89">
        <f>AA252*GDPdeflator!$C$25/$AI$18*10^3</f>
        <v>38.940546907618888</v>
      </c>
      <c r="AC252" s="90" t="e">
        <f>INDEX(Efficiencies!$D$8:$M$89,MATCH(C252,Efficiencies!$C$8:$C$89),MATCH(D252,Efficiencies!$D$7:$M$7))</f>
        <v>#REF!</v>
      </c>
      <c r="AD252" s="90" t="e">
        <f t="shared" si="142"/>
        <v>#REF!</v>
      </c>
      <c r="AE252" s="90" t="e">
        <f>INDEX(Efficiencies!$P$8:$Y$89,MATCH(C252,Efficiencies!$C$8:$C$89),MATCH(D252,Efficiencies!$P$7:$Y$7))</f>
        <v>#REF!</v>
      </c>
      <c r="AF252" s="90" t="e">
        <f t="shared" si="143"/>
        <v>#REF!</v>
      </c>
      <c r="AG252" s="90">
        <v>0</v>
      </c>
    </row>
    <row r="253" spans="1:33" x14ac:dyDescent="0.2">
      <c r="A253" s="92" t="s">
        <v>1296</v>
      </c>
      <c r="B253" s="248" t="s">
        <v>1297</v>
      </c>
      <c r="C253" s="40" t="s">
        <v>1298</v>
      </c>
      <c r="D253" s="40">
        <v>2010</v>
      </c>
      <c r="E253" s="86">
        <f>GDPdeflator!$C$32*INDEX(Costs!$E$7:$O$89,MATCH($C253,Costs!$C$7:$C$89,0),MATCH(E$7,Costs!$E$6:$O$6,0))</f>
        <v>0</v>
      </c>
      <c r="F253" s="86">
        <f>GDPdeflator!$C$36*INDEX(Costs!$E$7:$O$89,MATCH($C253,Costs!$C$7:$C$89,0),MATCH(F$7,Costs!$E$6:$O$6,0))</f>
        <v>28.570141454185062</v>
      </c>
      <c r="G253" s="86">
        <f>GDPdeflator!$C$38*INDEX(Costs!$E$7:$O$89,MATCH($C253,Costs!$C$7:$C$89,0),MATCH(G$7,Costs!$E$6:$O$6,0))</f>
        <v>27.552969943429648</v>
      </c>
      <c r="H253" s="86">
        <f>GDPdeflator!$C$38*INDEX(Costs!$E$7:$O$89,MATCH($C253,Costs!$C$7:$C$89,0),MATCH(H$7,Costs!$E$6:$O$6,0))</f>
        <v>28.306405687510715</v>
      </c>
      <c r="I253" s="86">
        <f>GDPdeflator!$C$38*INDEX(Costs!$E$7:$O$89,MATCH($C253,Costs!$C$7:$C$89,0),MATCH(I$7,Costs!$E$6:$O$6,0))</f>
        <v>29.655581322260531</v>
      </c>
      <c r="J253" s="86">
        <f>GDPdeflator!$C$38*INDEX(Costs!$E$7:$O$89,MATCH($C253,Costs!$C$7:$C$89,0),MATCH(J$7,Costs!$E$6:$O$6,0))</f>
        <v>29.690624845241043</v>
      </c>
      <c r="K253" s="86">
        <f>GDPdeflator!$C$38*INDEX(Costs!$E$7:$O$89,MATCH($C253,Costs!$C$7:$C$89,0),MATCH(K$7,Costs!$E$6:$O$6,0))</f>
        <v>29.708146606731297</v>
      </c>
      <c r="L253" s="86">
        <f>GDPdeflator!$C$38*INDEX(Costs!$E$7:$O$89,MATCH($C253,Costs!$C$7:$C$89,0),MATCH(L$7,Costs!$E$6:$O$6,0))</f>
        <v>29.71690748747643</v>
      </c>
      <c r="M253" s="86">
        <f>GDPdeflator!$C$38*INDEX(Costs!$E$7:$O$89,MATCH($C253,Costs!$C$7:$C$89,0),MATCH(M$7,Costs!$E$6:$O$6,0))</f>
        <v>29.71690748747643</v>
      </c>
      <c r="N253" s="86">
        <f>GDPdeflator!$C$38*INDEX(Costs!$E$7:$O$89,MATCH($C253,Costs!$C$7:$C$89,0),MATCH(N$7,Costs!$E$6:$O$6,0))</f>
        <v>29.71690748747643</v>
      </c>
      <c r="O253" s="86">
        <f>GDPdeflator!$C$38*INDEX(Costs!$E$7:$O$89,MATCH($C253,Costs!$C$7:$C$89,0),MATCH(O$7,Costs!$E$6:$O$6,0))</f>
        <v>29.71690748747643</v>
      </c>
      <c r="P253" s="87">
        <f>E253/$AI$18*10^6</f>
        <v>0</v>
      </c>
      <c r="Q253" s="87">
        <f t="shared" si="132"/>
        <v>2385.553885802773</v>
      </c>
      <c r="R253" s="87">
        <f t="shared" si="133"/>
        <v>2300.6219489447908</v>
      </c>
      <c r="S253" s="87">
        <f t="shared" si="134"/>
        <v>2363.5324378507539</v>
      </c>
      <c r="T253" s="87">
        <f t="shared" si="135"/>
        <v>2476.1861040311983</v>
      </c>
      <c r="U253" s="87">
        <f t="shared" si="136"/>
        <v>2479.1121732826382</v>
      </c>
      <c r="V253" s="87">
        <f t="shared" si="137"/>
        <v>2480.5752079083582</v>
      </c>
      <c r="W253" s="87">
        <f t="shared" si="138"/>
        <v>2481.3067252212181</v>
      </c>
      <c r="X253" s="87">
        <f t="shared" si="139"/>
        <v>2481.3067252212181</v>
      </c>
      <c r="Y253" s="87">
        <f t="shared" si="140"/>
        <v>2481.3067252212181</v>
      </c>
      <c r="Z253" s="87">
        <f t="shared" si="141"/>
        <v>2481.3067252212181</v>
      </c>
      <c r="AA253" s="88">
        <v>473</v>
      </c>
      <c r="AB253" s="89">
        <f>AA253*GDPdeflator!$C$25/$AI$18*10^3</f>
        <v>45.478712808157368</v>
      </c>
      <c r="AC253" s="90" t="e">
        <f>INDEX(Efficiencies!$D$8:$M$89,MATCH(C253,Efficiencies!$C$8:$C$89),MATCH(D253,Efficiencies!$D$7:$M$7))</f>
        <v>#REF!</v>
      </c>
      <c r="AD253" s="90" t="e">
        <f t="shared" si="142"/>
        <v>#REF!</v>
      </c>
      <c r="AE253" s="90" t="e">
        <f>INDEX(Efficiencies!$P$8:$Y$89,MATCH(C253,Efficiencies!$C$8:$C$89),MATCH(D253,Efficiencies!$P$7:$Y$7))</f>
        <v>#REF!</v>
      </c>
      <c r="AF253" s="90" t="e">
        <f t="shared" si="143"/>
        <v>#REF!</v>
      </c>
      <c r="AG253" s="90">
        <f>AdditionalVehs!$C$28</f>
        <v>0.26521554647620627</v>
      </c>
    </row>
    <row r="254" spans="1:33" x14ac:dyDescent="0.2">
      <c r="A254" s="92" t="s">
        <v>1299</v>
      </c>
      <c r="B254" s="248" t="s">
        <v>1300</v>
      </c>
      <c r="C254" s="40" t="s">
        <v>1298</v>
      </c>
      <c r="D254" s="40">
        <v>2015</v>
      </c>
      <c r="E254" s="86">
        <f>GDPdeflator!$C$32*INDEX(Costs!$E$7:$O$89,MATCH($C254,Costs!$C$7:$C$89,0),MATCH(E$7,Costs!$E$6:$O$6,0))</f>
        <v>0</v>
      </c>
      <c r="F254" s="86">
        <f>GDPdeflator!$C$36*INDEX(Costs!$E$7:$O$89,MATCH($C254,Costs!$C$7:$C$89,0),MATCH(F$7,Costs!$E$6:$O$6,0))</f>
        <v>28.570141454185062</v>
      </c>
      <c r="G254" s="86">
        <f>GDPdeflator!$C$38*INDEX(Costs!$E$7:$O$89,MATCH($C254,Costs!$C$7:$C$89,0),MATCH(G$7,Costs!$E$6:$O$6,0))</f>
        <v>27.552969943429648</v>
      </c>
      <c r="H254" s="86">
        <f>GDPdeflator!$C$38*INDEX(Costs!$E$7:$O$89,MATCH($C254,Costs!$C$7:$C$89,0),MATCH(H$7,Costs!$E$6:$O$6,0))</f>
        <v>28.306405687510715</v>
      </c>
      <c r="I254" s="86">
        <f>GDPdeflator!$C$38*INDEX(Costs!$E$7:$O$89,MATCH($C254,Costs!$C$7:$C$89,0),MATCH(I$7,Costs!$E$6:$O$6,0))</f>
        <v>29.655581322260531</v>
      </c>
      <c r="J254" s="86">
        <f>GDPdeflator!$C$38*INDEX(Costs!$E$7:$O$89,MATCH($C254,Costs!$C$7:$C$89,0),MATCH(J$7,Costs!$E$6:$O$6,0))</f>
        <v>29.690624845241043</v>
      </c>
      <c r="K254" s="86">
        <f>GDPdeflator!$C$38*INDEX(Costs!$E$7:$O$89,MATCH($C254,Costs!$C$7:$C$89,0),MATCH(K$7,Costs!$E$6:$O$6,0))</f>
        <v>29.708146606731297</v>
      </c>
      <c r="L254" s="86">
        <f>GDPdeflator!$C$38*INDEX(Costs!$E$7:$O$89,MATCH($C254,Costs!$C$7:$C$89,0),MATCH(L$7,Costs!$E$6:$O$6,0))</f>
        <v>29.71690748747643</v>
      </c>
      <c r="M254" s="86">
        <f>GDPdeflator!$C$38*INDEX(Costs!$E$7:$O$89,MATCH($C254,Costs!$C$7:$C$89,0),MATCH(M$7,Costs!$E$6:$O$6,0))</f>
        <v>29.71690748747643</v>
      </c>
      <c r="N254" s="86">
        <f>GDPdeflator!$C$38*INDEX(Costs!$E$7:$O$89,MATCH($C254,Costs!$C$7:$C$89,0),MATCH(N$7,Costs!$E$6:$O$6,0))</f>
        <v>29.71690748747643</v>
      </c>
      <c r="O254" s="86">
        <f>GDPdeflator!$C$38*INDEX(Costs!$E$7:$O$89,MATCH($C254,Costs!$C$7:$C$89,0),MATCH(O$7,Costs!$E$6:$O$6,0))</f>
        <v>29.71690748747643</v>
      </c>
      <c r="P254" s="87">
        <f t="shared" ref="P254:P261" si="145">E254/$AI$18*10^6</f>
        <v>0</v>
      </c>
      <c r="Q254" s="87">
        <f t="shared" si="132"/>
        <v>2385.553885802773</v>
      </c>
      <c r="R254" s="87">
        <f t="shared" si="133"/>
        <v>2300.6219489447908</v>
      </c>
      <c r="S254" s="87">
        <f t="shared" si="134"/>
        <v>2363.5324378507539</v>
      </c>
      <c r="T254" s="87">
        <f t="shared" si="135"/>
        <v>2476.1861040311983</v>
      </c>
      <c r="U254" s="87">
        <f t="shared" si="136"/>
        <v>2479.1121732826382</v>
      </c>
      <c r="V254" s="87">
        <f t="shared" si="137"/>
        <v>2480.5752079083582</v>
      </c>
      <c r="W254" s="87">
        <f t="shared" si="138"/>
        <v>2481.3067252212181</v>
      </c>
      <c r="X254" s="87">
        <f t="shared" si="139"/>
        <v>2481.3067252212181</v>
      </c>
      <c r="Y254" s="87">
        <f t="shared" si="140"/>
        <v>2481.3067252212181</v>
      </c>
      <c r="Z254" s="87">
        <f t="shared" si="141"/>
        <v>2481.3067252212181</v>
      </c>
      <c r="AA254" s="88">
        <v>473</v>
      </c>
      <c r="AB254" s="89">
        <f>AA254*GDPdeflator!$C$25/$AI$18*10^3</f>
        <v>45.478712808157368</v>
      </c>
      <c r="AC254" s="90" t="e">
        <f>INDEX(Efficiencies!$D$8:$M$89,MATCH(C254,Efficiencies!$C$8:$C$89),MATCH(D254,Efficiencies!$D$7:$M$7))</f>
        <v>#REF!</v>
      </c>
      <c r="AD254" s="90" t="e">
        <f t="shared" si="142"/>
        <v>#REF!</v>
      </c>
      <c r="AE254" s="90" t="e">
        <f>INDEX(Efficiencies!$P$8:$Y$89,MATCH(C254,Efficiencies!$C$8:$C$89),MATCH(D254,Efficiencies!$P$7:$Y$7))</f>
        <v>#REF!</v>
      </c>
      <c r="AF254" s="90" t="e">
        <f t="shared" si="143"/>
        <v>#REF!</v>
      </c>
      <c r="AG254" s="90">
        <f>AdditionalVehs!$C$28</f>
        <v>0.26521554647620627</v>
      </c>
    </row>
    <row r="255" spans="1:33" x14ac:dyDescent="0.2">
      <c r="A255" s="92" t="s">
        <v>1301</v>
      </c>
      <c r="B255" s="248" t="s">
        <v>1302</v>
      </c>
      <c r="C255" s="40" t="s">
        <v>1298</v>
      </c>
      <c r="D255" s="40">
        <v>2020</v>
      </c>
      <c r="E255" s="86">
        <f>GDPdeflator!$C$32*INDEX(Costs!$E$7:$O$89,MATCH($C255,Costs!$C$7:$C$89,0),MATCH(E$7,Costs!$E$6:$O$6,0))</f>
        <v>0</v>
      </c>
      <c r="F255" s="86">
        <f>GDPdeflator!$C$36*INDEX(Costs!$E$7:$O$89,MATCH($C255,Costs!$C$7:$C$89,0),MATCH(F$7,Costs!$E$6:$O$6,0))</f>
        <v>28.570141454185062</v>
      </c>
      <c r="G255" s="86">
        <f>GDPdeflator!$C$38*INDEX(Costs!$E$7:$O$89,MATCH($C255,Costs!$C$7:$C$89,0),MATCH(G$7,Costs!$E$6:$O$6,0))</f>
        <v>27.552969943429648</v>
      </c>
      <c r="H255" s="86">
        <f>GDPdeflator!$C$38*INDEX(Costs!$E$7:$O$89,MATCH($C255,Costs!$C$7:$C$89,0),MATCH(H$7,Costs!$E$6:$O$6,0))</f>
        <v>28.306405687510715</v>
      </c>
      <c r="I255" s="86">
        <f>GDPdeflator!$C$38*INDEX(Costs!$E$7:$O$89,MATCH($C255,Costs!$C$7:$C$89,0),MATCH(I$7,Costs!$E$6:$O$6,0))</f>
        <v>29.655581322260531</v>
      </c>
      <c r="J255" s="86">
        <f>GDPdeflator!$C$38*INDEX(Costs!$E$7:$O$89,MATCH($C255,Costs!$C$7:$C$89,0),MATCH(J$7,Costs!$E$6:$O$6,0))</f>
        <v>29.690624845241043</v>
      </c>
      <c r="K255" s="86">
        <f>GDPdeflator!$C$38*INDEX(Costs!$E$7:$O$89,MATCH($C255,Costs!$C$7:$C$89,0),MATCH(K$7,Costs!$E$6:$O$6,0))</f>
        <v>29.708146606731297</v>
      </c>
      <c r="L255" s="86">
        <f>GDPdeflator!$C$38*INDEX(Costs!$E$7:$O$89,MATCH($C255,Costs!$C$7:$C$89,0),MATCH(L$7,Costs!$E$6:$O$6,0))</f>
        <v>29.71690748747643</v>
      </c>
      <c r="M255" s="86">
        <f>GDPdeflator!$C$38*INDEX(Costs!$E$7:$O$89,MATCH($C255,Costs!$C$7:$C$89,0),MATCH(M$7,Costs!$E$6:$O$6,0))</f>
        <v>29.71690748747643</v>
      </c>
      <c r="N255" s="86">
        <f>GDPdeflator!$C$38*INDEX(Costs!$E$7:$O$89,MATCH($C255,Costs!$C$7:$C$89,0),MATCH(N$7,Costs!$E$6:$O$6,0))</f>
        <v>29.71690748747643</v>
      </c>
      <c r="O255" s="86">
        <f>GDPdeflator!$C$38*INDEX(Costs!$E$7:$O$89,MATCH($C255,Costs!$C$7:$C$89,0),MATCH(O$7,Costs!$E$6:$O$6,0))</f>
        <v>29.71690748747643</v>
      </c>
      <c r="P255" s="87">
        <f t="shared" si="145"/>
        <v>0</v>
      </c>
      <c r="Q255" s="87">
        <f t="shared" si="132"/>
        <v>2385.553885802773</v>
      </c>
      <c r="R255" s="87">
        <f t="shared" si="133"/>
        <v>2300.6219489447908</v>
      </c>
      <c r="S255" s="87">
        <f t="shared" si="134"/>
        <v>2363.5324378507539</v>
      </c>
      <c r="T255" s="87">
        <f t="shared" si="135"/>
        <v>2476.1861040311983</v>
      </c>
      <c r="U255" s="87">
        <f t="shared" si="136"/>
        <v>2479.1121732826382</v>
      </c>
      <c r="V255" s="87">
        <f t="shared" si="137"/>
        <v>2480.5752079083582</v>
      </c>
      <c r="W255" s="87">
        <f t="shared" si="138"/>
        <v>2481.3067252212181</v>
      </c>
      <c r="X255" s="87">
        <f t="shared" si="139"/>
        <v>2481.3067252212181</v>
      </c>
      <c r="Y255" s="87">
        <f t="shared" si="140"/>
        <v>2481.3067252212181</v>
      </c>
      <c r="Z255" s="87">
        <f t="shared" si="141"/>
        <v>2481.3067252212181</v>
      </c>
      <c r="AA255" s="88">
        <v>473</v>
      </c>
      <c r="AB255" s="89">
        <f>AA255*GDPdeflator!$C$25/$AI$18*10^3</f>
        <v>45.478712808157368</v>
      </c>
      <c r="AC255" s="90" t="e">
        <f>INDEX(Efficiencies!$D$8:$M$89,MATCH(C255,Efficiencies!$C$8:$C$89),MATCH(D255,Efficiencies!$D$7:$M$7))</f>
        <v>#REF!</v>
      </c>
      <c r="AD255" s="90" t="e">
        <f t="shared" si="142"/>
        <v>#REF!</v>
      </c>
      <c r="AE255" s="90" t="e">
        <f>INDEX(Efficiencies!$P$8:$Y$89,MATCH(C255,Efficiencies!$C$8:$C$89),MATCH(D255,Efficiencies!$P$7:$Y$7))</f>
        <v>#REF!</v>
      </c>
      <c r="AF255" s="90" t="e">
        <f t="shared" si="143"/>
        <v>#REF!</v>
      </c>
      <c r="AG255" s="90">
        <f>AdditionalVehs!$C$28</f>
        <v>0.26521554647620627</v>
      </c>
    </row>
    <row r="256" spans="1:33" x14ac:dyDescent="0.2">
      <c r="A256" s="92" t="s">
        <v>1303</v>
      </c>
      <c r="B256" s="248" t="s">
        <v>1304</v>
      </c>
      <c r="C256" s="40" t="s">
        <v>1298</v>
      </c>
      <c r="D256" s="40">
        <v>2025</v>
      </c>
      <c r="E256" s="86">
        <f>GDPdeflator!$C$32*INDEX(Costs!$E$7:$O$89,MATCH($C256,Costs!$C$7:$C$89,0),MATCH(E$7,Costs!$E$6:$O$6,0))</f>
        <v>0</v>
      </c>
      <c r="F256" s="86">
        <f>GDPdeflator!$C$36*INDEX(Costs!$E$7:$O$89,MATCH($C256,Costs!$C$7:$C$89,0),MATCH(F$7,Costs!$E$6:$O$6,0))</f>
        <v>28.570141454185062</v>
      </c>
      <c r="G256" s="86">
        <f>GDPdeflator!$C$38*INDEX(Costs!$E$7:$O$89,MATCH($C256,Costs!$C$7:$C$89,0),MATCH(G$7,Costs!$E$6:$O$6,0))</f>
        <v>27.552969943429648</v>
      </c>
      <c r="H256" s="86">
        <f>GDPdeflator!$C$38*INDEX(Costs!$E$7:$O$89,MATCH($C256,Costs!$C$7:$C$89,0),MATCH(H$7,Costs!$E$6:$O$6,0))</f>
        <v>28.306405687510715</v>
      </c>
      <c r="I256" s="86">
        <f>GDPdeflator!$C$38*INDEX(Costs!$E$7:$O$89,MATCH($C256,Costs!$C$7:$C$89,0),MATCH(I$7,Costs!$E$6:$O$6,0))</f>
        <v>29.655581322260531</v>
      </c>
      <c r="J256" s="86">
        <f>GDPdeflator!$C$38*INDEX(Costs!$E$7:$O$89,MATCH($C256,Costs!$C$7:$C$89,0),MATCH(J$7,Costs!$E$6:$O$6,0))</f>
        <v>29.690624845241043</v>
      </c>
      <c r="K256" s="86">
        <f>GDPdeflator!$C$38*INDEX(Costs!$E$7:$O$89,MATCH($C256,Costs!$C$7:$C$89,0),MATCH(K$7,Costs!$E$6:$O$6,0))</f>
        <v>29.708146606731297</v>
      </c>
      <c r="L256" s="86">
        <f>GDPdeflator!$C$38*INDEX(Costs!$E$7:$O$89,MATCH($C256,Costs!$C$7:$C$89,0),MATCH(L$7,Costs!$E$6:$O$6,0))</f>
        <v>29.71690748747643</v>
      </c>
      <c r="M256" s="86">
        <f>GDPdeflator!$C$38*INDEX(Costs!$E$7:$O$89,MATCH($C256,Costs!$C$7:$C$89,0),MATCH(M$7,Costs!$E$6:$O$6,0))</f>
        <v>29.71690748747643</v>
      </c>
      <c r="N256" s="86">
        <f>GDPdeflator!$C$38*INDEX(Costs!$E$7:$O$89,MATCH($C256,Costs!$C$7:$C$89,0),MATCH(N$7,Costs!$E$6:$O$6,0))</f>
        <v>29.71690748747643</v>
      </c>
      <c r="O256" s="86">
        <f>GDPdeflator!$C$38*INDEX(Costs!$E$7:$O$89,MATCH($C256,Costs!$C$7:$C$89,0),MATCH(O$7,Costs!$E$6:$O$6,0))</f>
        <v>29.71690748747643</v>
      </c>
      <c r="P256" s="87">
        <f t="shared" si="145"/>
        <v>0</v>
      </c>
      <c r="Q256" s="87">
        <f t="shared" si="132"/>
        <v>2385.553885802773</v>
      </c>
      <c r="R256" s="87">
        <f t="shared" si="133"/>
        <v>2300.6219489447908</v>
      </c>
      <c r="S256" s="87">
        <f t="shared" si="134"/>
        <v>2363.5324378507539</v>
      </c>
      <c r="T256" s="87">
        <f t="shared" si="135"/>
        <v>2476.1861040311983</v>
      </c>
      <c r="U256" s="87">
        <f t="shared" si="136"/>
        <v>2479.1121732826382</v>
      </c>
      <c r="V256" s="87">
        <f t="shared" si="137"/>
        <v>2480.5752079083582</v>
      </c>
      <c r="W256" s="87">
        <f t="shared" si="138"/>
        <v>2481.3067252212181</v>
      </c>
      <c r="X256" s="87">
        <f t="shared" si="139"/>
        <v>2481.3067252212181</v>
      </c>
      <c r="Y256" s="87">
        <f t="shared" si="140"/>
        <v>2481.3067252212181</v>
      </c>
      <c r="Z256" s="87">
        <f t="shared" si="141"/>
        <v>2481.3067252212181</v>
      </c>
      <c r="AA256" s="88">
        <v>473</v>
      </c>
      <c r="AB256" s="89">
        <f>AA256*GDPdeflator!$C$25/$AI$18*10^3</f>
        <v>45.478712808157368</v>
      </c>
      <c r="AC256" s="90" t="e">
        <f>INDEX(Efficiencies!$D$8:$M$89,MATCH(C256,Efficiencies!$C$8:$C$89),MATCH(D256,Efficiencies!$D$7:$M$7))</f>
        <v>#REF!</v>
      </c>
      <c r="AD256" s="90" t="e">
        <f t="shared" si="142"/>
        <v>#REF!</v>
      </c>
      <c r="AE256" s="90" t="e">
        <f>INDEX(Efficiencies!$P$8:$Y$89,MATCH(C256,Efficiencies!$C$8:$C$89),MATCH(D256,Efficiencies!$P$7:$Y$7))</f>
        <v>#REF!</v>
      </c>
      <c r="AF256" s="90" t="e">
        <f t="shared" si="143"/>
        <v>#REF!</v>
      </c>
      <c r="AG256" s="90">
        <f>AdditionalVehs!$C$28</f>
        <v>0.26521554647620627</v>
      </c>
    </row>
    <row r="257" spans="1:33" x14ac:dyDescent="0.2">
      <c r="A257" s="92" t="s">
        <v>1305</v>
      </c>
      <c r="B257" s="248" t="s">
        <v>1306</v>
      </c>
      <c r="C257" s="40" t="s">
        <v>1298</v>
      </c>
      <c r="D257" s="40">
        <v>2030</v>
      </c>
      <c r="E257" s="86">
        <f>GDPdeflator!$C$32*INDEX(Costs!$E$7:$O$89,MATCH($C257,Costs!$C$7:$C$89,0),MATCH(E$7,Costs!$E$6:$O$6,0))</f>
        <v>0</v>
      </c>
      <c r="F257" s="86">
        <f>GDPdeflator!$C$36*INDEX(Costs!$E$7:$O$89,MATCH($C257,Costs!$C$7:$C$89,0),MATCH(F$7,Costs!$E$6:$O$6,0))</f>
        <v>28.570141454185062</v>
      </c>
      <c r="G257" s="86">
        <f>GDPdeflator!$C$38*INDEX(Costs!$E$7:$O$89,MATCH($C257,Costs!$C$7:$C$89,0),MATCH(G$7,Costs!$E$6:$O$6,0))</f>
        <v>27.552969943429648</v>
      </c>
      <c r="H257" s="86">
        <f>GDPdeflator!$C$38*INDEX(Costs!$E$7:$O$89,MATCH($C257,Costs!$C$7:$C$89,0),MATCH(H$7,Costs!$E$6:$O$6,0))</f>
        <v>28.306405687510715</v>
      </c>
      <c r="I257" s="86">
        <f>GDPdeflator!$C$38*INDEX(Costs!$E$7:$O$89,MATCH($C257,Costs!$C$7:$C$89,0),MATCH(I$7,Costs!$E$6:$O$6,0))</f>
        <v>29.655581322260531</v>
      </c>
      <c r="J257" s="86">
        <f>GDPdeflator!$C$38*INDEX(Costs!$E$7:$O$89,MATCH($C257,Costs!$C$7:$C$89,0),MATCH(J$7,Costs!$E$6:$O$6,0))</f>
        <v>29.690624845241043</v>
      </c>
      <c r="K257" s="86">
        <f>GDPdeflator!$C$38*INDEX(Costs!$E$7:$O$89,MATCH($C257,Costs!$C$7:$C$89,0),MATCH(K$7,Costs!$E$6:$O$6,0))</f>
        <v>29.708146606731297</v>
      </c>
      <c r="L257" s="86">
        <f>GDPdeflator!$C$38*INDEX(Costs!$E$7:$O$89,MATCH($C257,Costs!$C$7:$C$89,0),MATCH(L$7,Costs!$E$6:$O$6,0))</f>
        <v>29.71690748747643</v>
      </c>
      <c r="M257" s="86">
        <f>GDPdeflator!$C$38*INDEX(Costs!$E$7:$O$89,MATCH($C257,Costs!$C$7:$C$89,0),MATCH(M$7,Costs!$E$6:$O$6,0))</f>
        <v>29.71690748747643</v>
      </c>
      <c r="N257" s="86">
        <f>GDPdeflator!$C$38*INDEX(Costs!$E$7:$O$89,MATCH($C257,Costs!$C$7:$C$89,0),MATCH(N$7,Costs!$E$6:$O$6,0))</f>
        <v>29.71690748747643</v>
      </c>
      <c r="O257" s="86">
        <f>GDPdeflator!$C$38*INDEX(Costs!$E$7:$O$89,MATCH($C257,Costs!$C$7:$C$89,0),MATCH(O$7,Costs!$E$6:$O$6,0))</f>
        <v>29.71690748747643</v>
      </c>
      <c r="P257" s="87">
        <f t="shared" si="145"/>
        <v>0</v>
      </c>
      <c r="Q257" s="87">
        <f t="shared" si="132"/>
        <v>2385.553885802773</v>
      </c>
      <c r="R257" s="87">
        <f t="shared" si="133"/>
        <v>2300.6219489447908</v>
      </c>
      <c r="S257" s="87">
        <f t="shared" si="134"/>
        <v>2363.5324378507539</v>
      </c>
      <c r="T257" s="87">
        <f t="shared" si="135"/>
        <v>2476.1861040311983</v>
      </c>
      <c r="U257" s="87">
        <f t="shared" si="136"/>
        <v>2479.1121732826382</v>
      </c>
      <c r="V257" s="87">
        <f t="shared" si="137"/>
        <v>2480.5752079083582</v>
      </c>
      <c r="W257" s="87">
        <f t="shared" si="138"/>
        <v>2481.3067252212181</v>
      </c>
      <c r="X257" s="87">
        <f t="shared" si="139"/>
        <v>2481.3067252212181</v>
      </c>
      <c r="Y257" s="87">
        <f t="shared" si="140"/>
        <v>2481.3067252212181</v>
      </c>
      <c r="Z257" s="87">
        <f t="shared" si="141"/>
        <v>2481.3067252212181</v>
      </c>
      <c r="AA257" s="88">
        <v>473</v>
      </c>
      <c r="AB257" s="89">
        <f>AA257*GDPdeflator!$C$25/$AI$18*10^3</f>
        <v>45.478712808157368</v>
      </c>
      <c r="AC257" s="90" t="e">
        <f>INDEX(Efficiencies!$D$8:$M$89,MATCH(C257,Efficiencies!$C$8:$C$89),MATCH(D257,Efficiencies!$D$7:$M$7))</f>
        <v>#REF!</v>
      </c>
      <c r="AD257" s="90" t="e">
        <f t="shared" si="142"/>
        <v>#REF!</v>
      </c>
      <c r="AE257" s="90" t="e">
        <f>INDEX(Efficiencies!$P$8:$Y$89,MATCH(C257,Efficiencies!$C$8:$C$89),MATCH(D257,Efficiencies!$P$7:$Y$7))</f>
        <v>#REF!</v>
      </c>
      <c r="AF257" s="90" t="e">
        <f t="shared" si="143"/>
        <v>#REF!</v>
      </c>
      <c r="AG257" s="90">
        <f>AdditionalVehs!$C$28</f>
        <v>0.26521554647620627</v>
      </c>
    </row>
    <row r="258" spans="1:33" x14ac:dyDescent="0.2">
      <c r="A258" s="92" t="s">
        <v>1307</v>
      </c>
      <c r="B258" s="248" t="s">
        <v>1308</v>
      </c>
      <c r="C258" s="40" t="s">
        <v>1298</v>
      </c>
      <c r="D258" s="40">
        <v>2035</v>
      </c>
      <c r="E258" s="86">
        <f>GDPdeflator!$C$32*INDEX(Costs!$E$7:$O$89,MATCH($C258,Costs!$C$7:$C$89,0),MATCH(E$7,Costs!$E$6:$O$6,0))</f>
        <v>0</v>
      </c>
      <c r="F258" s="86">
        <f>GDPdeflator!$C$36*INDEX(Costs!$E$7:$O$89,MATCH($C258,Costs!$C$7:$C$89,0),MATCH(F$7,Costs!$E$6:$O$6,0))</f>
        <v>28.570141454185062</v>
      </c>
      <c r="G258" s="86">
        <f>GDPdeflator!$C$38*INDEX(Costs!$E$7:$O$89,MATCH($C258,Costs!$C$7:$C$89,0),MATCH(G$7,Costs!$E$6:$O$6,0))</f>
        <v>27.552969943429648</v>
      </c>
      <c r="H258" s="86">
        <f>GDPdeflator!$C$38*INDEX(Costs!$E$7:$O$89,MATCH($C258,Costs!$C$7:$C$89,0),MATCH(H$7,Costs!$E$6:$O$6,0))</f>
        <v>28.306405687510715</v>
      </c>
      <c r="I258" s="86">
        <f>GDPdeflator!$C$38*INDEX(Costs!$E$7:$O$89,MATCH($C258,Costs!$C$7:$C$89,0),MATCH(I$7,Costs!$E$6:$O$6,0))</f>
        <v>29.655581322260531</v>
      </c>
      <c r="J258" s="86">
        <f>GDPdeflator!$C$38*INDEX(Costs!$E$7:$O$89,MATCH($C258,Costs!$C$7:$C$89,0),MATCH(J$7,Costs!$E$6:$O$6,0))</f>
        <v>29.690624845241043</v>
      </c>
      <c r="K258" s="86">
        <f>GDPdeflator!$C$38*INDEX(Costs!$E$7:$O$89,MATCH($C258,Costs!$C$7:$C$89,0),MATCH(K$7,Costs!$E$6:$O$6,0))</f>
        <v>29.708146606731297</v>
      </c>
      <c r="L258" s="86">
        <f>GDPdeflator!$C$38*INDEX(Costs!$E$7:$O$89,MATCH($C258,Costs!$C$7:$C$89,0),MATCH(L$7,Costs!$E$6:$O$6,0))</f>
        <v>29.71690748747643</v>
      </c>
      <c r="M258" s="86">
        <f>GDPdeflator!$C$38*INDEX(Costs!$E$7:$O$89,MATCH($C258,Costs!$C$7:$C$89,0),MATCH(M$7,Costs!$E$6:$O$6,0))</f>
        <v>29.71690748747643</v>
      </c>
      <c r="N258" s="86">
        <f>GDPdeflator!$C$38*INDEX(Costs!$E$7:$O$89,MATCH($C258,Costs!$C$7:$C$89,0),MATCH(N$7,Costs!$E$6:$O$6,0))</f>
        <v>29.71690748747643</v>
      </c>
      <c r="O258" s="86">
        <f>GDPdeflator!$C$38*INDEX(Costs!$E$7:$O$89,MATCH($C258,Costs!$C$7:$C$89,0),MATCH(O$7,Costs!$E$6:$O$6,0))</f>
        <v>29.71690748747643</v>
      </c>
      <c r="P258" s="87">
        <f t="shared" si="145"/>
        <v>0</v>
      </c>
      <c r="Q258" s="87">
        <f t="shared" si="132"/>
        <v>2385.553885802773</v>
      </c>
      <c r="R258" s="87">
        <f t="shared" si="133"/>
        <v>2300.6219489447908</v>
      </c>
      <c r="S258" s="87">
        <f t="shared" si="134"/>
        <v>2363.5324378507539</v>
      </c>
      <c r="T258" s="87">
        <f t="shared" si="135"/>
        <v>2476.1861040311983</v>
      </c>
      <c r="U258" s="87">
        <f t="shared" si="136"/>
        <v>2479.1121732826382</v>
      </c>
      <c r="V258" s="87">
        <f t="shared" si="137"/>
        <v>2480.5752079083582</v>
      </c>
      <c r="W258" s="87">
        <f t="shared" si="138"/>
        <v>2481.3067252212181</v>
      </c>
      <c r="X258" s="87">
        <f t="shared" si="139"/>
        <v>2481.3067252212181</v>
      </c>
      <c r="Y258" s="87">
        <f t="shared" si="140"/>
        <v>2481.3067252212181</v>
      </c>
      <c r="Z258" s="87">
        <f t="shared" si="141"/>
        <v>2481.3067252212181</v>
      </c>
      <c r="AA258" s="88">
        <v>473</v>
      </c>
      <c r="AB258" s="89">
        <f>AA258*GDPdeflator!$C$25/$AI$18*10^3</f>
        <v>45.478712808157368</v>
      </c>
      <c r="AC258" s="90" t="e">
        <f>INDEX(Efficiencies!$D$8:$M$89,MATCH(C258,Efficiencies!$C$8:$C$89),MATCH(D258,Efficiencies!$D$7:$M$7))</f>
        <v>#REF!</v>
      </c>
      <c r="AD258" s="90" t="e">
        <f t="shared" si="142"/>
        <v>#REF!</v>
      </c>
      <c r="AE258" s="90" t="e">
        <f>INDEX(Efficiencies!$P$8:$Y$89,MATCH(C258,Efficiencies!$C$8:$C$89),MATCH(D258,Efficiencies!$P$7:$Y$7))</f>
        <v>#REF!</v>
      </c>
      <c r="AF258" s="90" t="e">
        <f t="shared" si="143"/>
        <v>#REF!</v>
      </c>
      <c r="AG258" s="90">
        <f>AdditionalVehs!$C$28</f>
        <v>0.26521554647620627</v>
      </c>
    </row>
    <row r="259" spans="1:33" x14ac:dyDescent="0.2">
      <c r="A259" s="92" t="s">
        <v>1309</v>
      </c>
      <c r="B259" s="248" t="s">
        <v>1310</v>
      </c>
      <c r="C259" s="40" t="s">
        <v>1298</v>
      </c>
      <c r="D259" s="40">
        <v>2040</v>
      </c>
      <c r="E259" s="86">
        <f>GDPdeflator!$C$32*INDEX(Costs!$E$7:$O$89,MATCH($C259,Costs!$C$7:$C$89,0),MATCH(E$7,Costs!$E$6:$O$6,0))</f>
        <v>0</v>
      </c>
      <c r="F259" s="86">
        <f>GDPdeflator!$C$36*INDEX(Costs!$E$7:$O$89,MATCH($C259,Costs!$C$7:$C$89,0),MATCH(F$7,Costs!$E$6:$O$6,0))</f>
        <v>28.570141454185062</v>
      </c>
      <c r="G259" s="86">
        <f>GDPdeflator!$C$38*INDEX(Costs!$E$7:$O$89,MATCH($C259,Costs!$C$7:$C$89,0),MATCH(G$7,Costs!$E$6:$O$6,0))</f>
        <v>27.552969943429648</v>
      </c>
      <c r="H259" s="86">
        <f>GDPdeflator!$C$38*INDEX(Costs!$E$7:$O$89,MATCH($C259,Costs!$C$7:$C$89,0),MATCH(H$7,Costs!$E$6:$O$6,0))</f>
        <v>28.306405687510715</v>
      </c>
      <c r="I259" s="86">
        <f>GDPdeflator!$C$38*INDEX(Costs!$E$7:$O$89,MATCH($C259,Costs!$C$7:$C$89,0),MATCH(I$7,Costs!$E$6:$O$6,0))</f>
        <v>29.655581322260531</v>
      </c>
      <c r="J259" s="86">
        <f>GDPdeflator!$C$38*INDEX(Costs!$E$7:$O$89,MATCH($C259,Costs!$C$7:$C$89,0),MATCH(J$7,Costs!$E$6:$O$6,0))</f>
        <v>29.690624845241043</v>
      </c>
      <c r="K259" s="86">
        <f>GDPdeflator!$C$38*INDEX(Costs!$E$7:$O$89,MATCH($C259,Costs!$C$7:$C$89,0),MATCH(K$7,Costs!$E$6:$O$6,0))</f>
        <v>29.708146606731297</v>
      </c>
      <c r="L259" s="86">
        <f>GDPdeflator!$C$38*INDEX(Costs!$E$7:$O$89,MATCH($C259,Costs!$C$7:$C$89,0),MATCH(L$7,Costs!$E$6:$O$6,0))</f>
        <v>29.71690748747643</v>
      </c>
      <c r="M259" s="86">
        <f>GDPdeflator!$C$38*INDEX(Costs!$E$7:$O$89,MATCH($C259,Costs!$C$7:$C$89,0),MATCH(M$7,Costs!$E$6:$O$6,0))</f>
        <v>29.71690748747643</v>
      </c>
      <c r="N259" s="86">
        <f>GDPdeflator!$C$38*INDEX(Costs!$E$7:$O$89,MATCH($C259,Costs!$C$7:$C$89,0),MATCH(N$7,Costs!$E$6:$O$6,0))</f>
        <v>29.71690748747643</v>
      </c>
      <c r="O259" s="86">
        <f>GDPdeflator!$C$38*INDEX(Costs!$E$7:$O$89,MATCH($C259,Costs!$C$7:$C$89,0),MATCH(O$7,Costs!$E$6:$O$6,0))</f>
        <v>29.71690748747643</v>
      </c>
      <c r="P259" s="87">
        <f t="shared" si="145"/>
        <v>0</v>
      </c>
      <c r="Q259" s="87">
        <f t="shared" si="132"/>
        <v>2385.553885802773</v>
      </c>
      <c r="R259" s="87">
        <f t="shared" si="133"/>
        <v>2300.6219489447908</v>
      </c>
      <c r="S259" s="87">
        <f t="shared" si="134"/>
        <v>2363.5324378507539</v>
      </c>
      <c r="T259" s="87">
        <f t="shared" si="135"/>
        <v>2476.1861040311983</v>
      </c>
      <c r="U259" s="87">
        <f t="shared" si="136"/>
        <v>2479.1121732826382</v>
      </c>
      <c r="V259" s="87">
        <f t="shared" si="137"/>
        <v>2480.5752079083582</v>
      </c>
      <c r="W259" s="87">
        <f t="shared" si="138"/>
        <v>2481.3067252212181</v>
      </c>
      <c r="X259" s="87">
        <f t="shared" si="139"/>
        <v>2481.3067252212181</v>
      </c>
      <c r="Y259" s="87">
        <f t="shared" si="140"/>
        <v>2481.3067252212181</v>
      </c>
      <c r="Z259" s="87">
        <f t="shared" si="141"/>
        <v>2481.3067252212181</v>
      </c>
      <c r="AA259" s="88">
        <v>473</v>
      </c>
      <c r="AB259" s="89">
        <f>AA259*GDPdeflator!$C$25/$AI$18*10^3</f>
        <v>45.478712808157368</v>
      </c>
      <c r="AC259" s="90" t="e">
        <f>INDEX(Efficiencies!$D$8:$M$89,MATCH(C259,Efficiencies!$C$8:$C$89),MATCH(D259,Efficiencies!$D$7:$M$7))</f>
        <v>#REF!</v>
      </c>
      <c r="AD259" s="90" t="e">
        <f t="shared" si="142"/>
        <v>#REF!</v>
      </c>
      <c r="AE259" s="90" t="e">
        <f>INDEX(Efficiencies!$P$8:$Y$89,MATCH(C259,Efficiencies!$C$8:$C$89),MATCH(D259,Efficiencies!$P$7:$Y$7))</f>
        <v>#REF!</v>
      </c>
      <c r="AF259" s="90" t="e">
        <f t="shared" si="143"/>
        <v>#REF!</v>
      </c>
      <c r="AG259" s="90">
        <f>AdditionalVehs!$C$28</f>
        <v>0.26521554647620627</v>
      </c>
    </row>
    <row r="260" spans="1:33" x14ac:dyDescent="0.2">
      <c r="A260" s="92" t="s">
        <v>1311</v>
      </c>
      <c r="B260" s="248" t="s">
        <v>1312</v>
      </c>
      <c r="C260" s="40" t="s">
        <v>1298</v>
      </c>
      <c r="D260" s="40">
        <v>2045</v>
      </c>
      <c r="E260" s="86">
        <f>GDPdeflator!$C$32*INDEX(Costs!$E$7:$O$89,MATCH($C260,Costs!$C$7:$C$89,0),MATCH(E$7,Costs!$E$6:$O$6,0))</f>
        <v>0</v>
      </c>
      <c r="F260" s="86">
        <f>GDPdeflator!$C$36*INDEX(Costs!$E$7:$O$89,MATCH($C260,Costs!$C$7:$C$89,0),MATCH(F$7,Costs!$E$6:$O$6,0))</f>
        <v>28.570141454185062</v>
      </c>
      <c r="G260" s="86">
        <f>GDPdeflator!$C$38*INDEX(Costs!$E$7:$O$89,MATCH($C260,Costs!$C$7:$C$89,0),MATCH(G$7,Costs!$E$6:$O$6,0))</f>
        <v>27.552969943429648</v>
      </c>
      <c r="H260" s="86">
        <f>GDPdeflator!$C$38*INDEX(Costs!$E$7:$O$89,MATCH($C260,Costs!$C$7:$C$89,0),MATCH(H$7,Costs!$E$6:$O$6,0))</f>
        <v>28.306405687510715</v>
      </c>
      <c r="I260" s="86">
        <f>GDPdeflator!$C$38*INDEX(Costs!$E$7:$O$89,MATCH($C260,Costs!$C$7:$C$89,0),MATCH(I$7,Costs!$E$6:$O$6,0))</f>
        <v>29.655581322260531</v>
      </c>
      <c r="J260" s="86">
        <f>GDPdeflator!$C$38*INDEX(Costs!$E$7:$O$89,MATCH($C260,Costs!$C$7:$C$89,0),MATCH(J$7,Costs!$E$6:$O$6,0))</f>
        <v>29.690624845241043</v>
      </c>
      <c r="K260" s="86">
        <f>GDPdeflator!$C$38*INDEX(Costs!$E$7:$O$89,MATCH($C260,Costs!$C$7:$C$89,0),MATCH(K$7,Costs!$E$6:$O$6,0))</f>
        <v>29.708146606731297</v>
      </c>
      <c r="L260" s="86">
        <f>GDPdeflator!$C$38*INDEX(Costs!$E$7:$O$89,MATCH($C260,Costs!$C$7:$C$89,0),MATCH(L$7,Costs!$E$6:$O$6,0))</f>
        <v>29.71690748747643</v>
      </c>
      <c r="M260" s="86">
        <f>GDPdeflator!$C$38*INDEX(Costs!$E$7:$O$89,MATCH($C260,Costs!$C$7:$C$89,0),MATCH(M$7,Costs!$E$6:$O$6,0))</f>
        <v>29.71690748747643</v>
      </c>
      <c r="N260" s="86">
        <f>GDPdeflator!$C$38*INDEX(Costs!$E$7:$O$89,MATCH($C260,Costs!$C$7:$C$89,0),MATCH(N$7,Costs!$E$6:$O$6,0))</f>
        <v>29.71690748747643</v>
      </c>
      <c r="O260" s="86">
        <f>GDPdeflator!$C$38*INDEX(Costs!$E$7:$O$89,MATCH($C260,Costs!$C$7:$C$89,0),MATCH(O$7,Costs!$E$6:$O$6,0))</f>
        <v>29.71690748747643</v>
      </c>
      <c r="P260" s="87">
        <f t="shared" si="145"/>
        <v>0</v>
      </c>
      <c r="Q260" s="87">
        <f t="shared" si="132"/>
        <v>2385.553885802773</v>
      </c>
      <c r="R260" s="87">
        <f t="shared" si="133"/>
        <v>2300.6219489447908</v>
      </c>
      <c r="S260" s="87">
        <f t="shared" si="134"/>
        <v>2363.5324378507539</v>
      </c>
      <c r="T260" s="87">
        <f t="shared" si="135"/>
        <v>2476.1861040311983</v>
      </c>
      <c r="U260" s="87">
        <f t="shared" si="136"/>
        <v>2479.1121732826382</v>
      </c>
      <c r="V260" s="87">
        <f t="shared" si="137"/>
        <v>2480.5752079083582</v>
      </c>
      <c r="W260" s="87">
        <f t="shared" si="138"/>
        <v>2481.3067252212181</v>
      </c>
      <c r="X260" s="87">
        <f t="shared" si="139"/>
        <v>2481.3067252212181</v>
      </c>
      <c r="Y260" s="87">
        <f t="shared" si="140"/>
        <v>2481.3067252212181</v>
      </c>
      <c r="Z260" s="87">
        <f t="shared" si="141"/>
        <v>2481.3067252212181</v>
      </c>
      <c r="AA260" s="88">
        <v>473</v>
      </c>
      <c r="AB260" s="89">
        <f>AA260*GDPdeflator!$C$25/$AI$18*10^3</f>
        <v>45.478712808157368</v>
      </c>
      <c r="AC260" s="90" t="e">
        <f>INDEX(Efficiencies!$D$8:$M$89,MATCH(C260,Efficiencies!$C$8:$C$89),MATCH(D260,Efficiencies!$D$7:$M$7))</f>
        <v>#REF!</v>
      </c>
      <c r="AD260" s="90" t="e">
        <f t="shared" si="142"/>
        <v>#REF!</v>
      </c>
      <c r="AE260" s="90" t="e">
        <f>INDEX(Efficiencies!$P$8:$Y$89,MATCH(C260,Efficiencies!$C$8:$C$89),MATCH(D260,Efficiencies!$P$7:$Y$7))</f>
        <v>#REF!</v>
      </c>
      <c r="AF260" s="90" t="e">
        <f t="shared" si="143"/>
        <v>#REF!</v>
      </c>
      <c r="AG260" s="90">
        <f>AdditionalVehs!$C$28</f>
        <v>0.26521554647620627</v>
      </c>
    </row>
    <row r="261" spans="1:33" x14ac:dyDescent="0.2">
      <c r="A261" s="92" t="s">
        <v>1313</v>
      </c>
      <c r="B261" s="248" t="s">
        <v>1314</v>
      </c>
      <c r="C261" s="40" t="s">
        <v>1298</v>
      </c>
      <c r="D261" s="40">
        <v>2050</v>
      </c>
      <c r="E261" s="86">
        <f>GDPdeflator!$C$32*INDEX(Costs!$E$7:$O$89,MATCH($C261,Costs!$C$7:$C$89,0),MATCH(E$7,Costs!$E$6:$O$6,0))</f>
        <v>0</v>
      </c>
      <c r="F261" s="86">
        <f>GDPdeflator!$C$36*INDEX(Costs!$E$7:$O$89,MATCH($C261,Costs!$C$7:$C$89,0),MATCH(F$7,Costs!$E$6:$O$6,0))</f>
        <v>28.570141454185062</v>
      </c>
      <c r="G261" s="86">
        <f>GDPdeflator!$C$38*INDEX(Costs!$E$7:$O$89,MATCH($C261,Costs!$C$7:$C$89,0),MATCH(G$7,Costs!$E$6:$O$6,0))</f>
        <v>27.552969943429648</v>
      </c>
      <c r="H261" s="86">
        <f>GDPdeflator!$C$38*INDEX(Costs!$E$7:$O$89,MATCH($C261,Costs!$C$7:$C$89,0),MATCH(H$7,Costs!$E$6:$O$6,0))</f>
        <v>28.306405687510715</v>
      </c>
      <c r="I261" s="86">
        <f>GDPdeflator!$C$38*INDEX(Costs!$E$7:$O$89,MATCH($C261,Costs!$C$7:$C$89,0),MATCH(I$7,Costs!$E$6:$O$6,0))</f>
        <v>29.655581322260531</v>
      </c>
      <c r="J261" s="86">
        <f>GDPdeflator!$C$38*INDEX(Costs!$E$7:$O$89,MATCH($C261,Costs!$C$7:$C$89,0),MATCH(J$7,Costs!$E$6:$O$6,0))</f>
        <v>29.690624845241043</v>
      </c>
      <c r="K261" s="86">
        <f>GDPdeflator!$C$38*INDEX(Costs!$E$7:$O$89,MATCH($C261,Costs!$C$7:$C$89,0),MATCH(K$7,Costs!$E$6:$O$6,0))</f>
        <v>29.708146606731297</v>
      </c>
      <c r="L261" s="86">
        <f>GDPdeflator!$C$38*INDEX(Costs!$E$7:$O$89,MATCH($C261,Costs!$C$7:$C$89,0),MATCH(L$7,Costs!$E$6:$O$6,0))</f>
        <v>29.71690748747643</v>
      </c>
      <c r="M261" s="86">
        <f>GDPdeflator!$C$38*INDEX(Costs!$E$7:$O$89,MATCH($C261,Costs!$C$7:$C$89,0),MATCH(M$7,Costs!$E$6:$O$6,0))</f>
        <v>29.71690748747643</v>
      </c>
      <c r="N261" s="86">
        <f>GDPdeflator!$C$38*INDEX(Costs!$E$7:$O$89,MATCH($C261,Costs!$C$7:$C$89,0),MATCH(N$7,Costs!$E$6:$O$6,0))</f>
        <v>29.71690748747643</v>
      </c>
      <c r="O261" s="86">
        <f>GDPdeflator!$C$38*INDEX(Costs!$E$7:$O$89,MATCH($C261,Costs!$C$7:$C$89,0),MATCH(O$7,Costs!$E$6:$O$6,0))</f>
        <v>29.71690748747643</v>
      </c>
      <c r="P261" s="87">
        <f t="shared" si="145"/>
        <v>0</v>
      </c>
      <c r="Q261" s="87">
        <f t="shared" si="132"/>
        <v>2385.553885802773</v>
      </c>
      <c r="R261" s="87">
        <f t="shared" si="133"/>
        <v>2300.6219489447908</v>
      </c>
      <c r="S261" s="87">
        <f t="shared" si="134"/>
        <v>2363.5324378507539</v>
      </c>
      <c r="T261" s="87">
        <f t="shared" si="135"/>
        <v>2476.1861040311983</v>
      </c>
      <c r="U261" s="87">
        <f t="shared" si="136"/>
        <v>2479.1121732826382</v>
      </c>
      <c r="V261" s="87">
        <f t="shared" si="137"/>
        <v>2480.5752079083582</v>
      </c>
      <c r="W261" s="87">
        <f t="shared" si="138"/>
        <v>2481.3067252212181</v>
      </c>
      <c r="X261" s="87">
        <f t="shared" si="139"/>
        <v>2481.3067252212181</v>
      </c>
      <c r="Y261" s="87">
        <f t="shared" si="140"/>
        <v>2481.3067252212181</v>
      </c>
      <c r="Z261" s="87">
        <f t="shared" si="141"/>
        <v>2481.3067252212181</v>
      </c>
      <c r="AA261" s="88">
        <v>473</v>
      </c>
      <c r="AB261" s="89">
        <f>AA261*GDPdeflator!$C$25/$AI$18*10^3</f>
        <v>45.478712808157368</v>
      </c>
      <c r="AC261" s="90" t="e">
        <f>INDEX(Efficiencies!$D$8:$M$89,MATCH(C261,Efficiencies!$C$8:$C$89),MATCH(D261,Efficiencies!$D$7:$M$7))</f>
        <v>#REF!</v>
      </c>
      <c r="AD261" s="90" t="e">
        <f t="shared" si="142"/>
        <v>#REF!</v>
      </c>
      <c r="AE261" s="90" t="e">
        <f>INDEX(Efficiencies!$P$8:$Y$89,MATCH(C261,Efficiencies!$C$8:$C$89),MATCH(D261,Efficiencies!$P$7:$Y$7))</f>
        <v>#REF!</v>
      </c>
      <c r="AF261" s="90" t="e">
        <f t="shared" si="143"/>
        <v>#REF!</v>
      </c>
      <c r="AG261" s="90">
        <f>AdditionalVehs!$C$28</f>
        <v>0.26521554647620627</v>
      </c>
    </row>
    <row r="262" spans="1:33" x14ac:dyDescent="0.2">
      <c r="A262" s="92" t="s">
        <v>1315</v>
      </c>
      <c r="B262" s="248" t="s">
        <v>1316</v>
      </c>
      <c r="C262" s="40" t="s">
        <v>1317</v>
      </c>
      <c r="D262" s="40">
        <v>2060</v>
      </c>
      <c r="E262" s="86">
        <f>GDPdeflator!$C$32*INDEX(Costs!$E$7:$O$89,MATCH($C262,Costs!$C$7:$C$89,0),MATCH(E$7,Costs!$E$6:$O$6,0))</f>
        <v>24.111207982175724</v>
      </c>
      <c r="F262" s="86">
        <f>GDPdeflator!$C$36*INDEX(Costs!$E$7:$O$89,MATCH($C262,Costs!$C$7:$C$89,0),MATCH(F$7,Costs!$E$6:$O$6,0))</f>
        <v>22.911974051716371</v>
      </c>
      <c r="G262" s="86">
        <f>GDPdeflator!$C$38*INDEX(Costs!$E$7:$O$89,MATCH($C262,Costs!$C$7:$C$89,0),MATCH(G$7,Costs!$E$6:$O$6,0))</f>
        <v>24.162509095064856</v>
      </c>
      <c r="H262" s="86">
        <f>GDPdeflator!$C$38*INDEX(Costs!$E$7:$O$89,MATCH($C262,Costs!$C$7:$C$89,0),MATCH(H$7,Costs!$E$6:$O$6,0))</f>
        <v>24.907183958400793</v>
      </c>
      <c r="I262" s="86">
        <f>GDPdeflator!$C$38*INDEX(Costs!$E$7:$O$89,MATCH($C262,Costs!$C$7:$C$89,0),MATCH(I$7,Costs!$E$6:$O$6,0))</f>
        <v>25.862119959619815</v>
      </c>
      <c r="J262" s="86">
        <f>GDPdeflator!$C$38*INDEX(Costs!$E$7:$O$89,MATCH($C262,Costs!$C$7:$C$89,0),MATCH(J$7,Costs!$E$6:$O$6,0))</f>
        <v>25.905924363345459</v>
      </c>
      <c r="K262" s="86">
        <f>GDPdeflator!$C$38*INDEX(Costs!$E$7:$O$89,MATCH($C262,Costs!$C$7:$C$89,0),MATCH(K$7,Costs!$E$6:$O$6,0))</f>
        <v>25.923446124835717</v>
      </c>
      <c r="L262" s="86">
        <f>GDPdeflator!$C$38*INDEX(Costs!$E$7:$O$89,MATCH($C262,Costs!$C$7:$C$89,0),MATCH(L$7,Costs!$E$6:$O$6,0))</f>
        <v>25.940967886325975</v>
      </c>
      <c r="M262" s="86">
        <f>GDPdeflator!$C$38*INDEX(Costs!$E$7:$O$89,MATCH($C262,Costs!$C$7:$C$89,0),MATCH(M$7,Costs!$E$6:$O$6,0))</f>
        <v>25.940967886325975</v>
      </c>
      <c r="N262" s="86">
        <f>GDPdeflator!$C$38*INDEX(Costs!$E$7:$O$89,MATCH($C262,Costs!$C$7:$C$89,0),MATCH(N$7,Costs!$E$6:$O$6,0))</f>
        <v>25.940967886325975</v>
      </c>
      <c r="O262" s="86">
        <f>GDPdeflator!$C$38*INDEX(Costs!$E$7:$O$89,MATCH($C262,Costs!$C$7:$C$89,0),MATCH(O$7,Costs!$E$6:$O$6,0))</f>
        <v>25.940967886325975</v>
      </c>
      <c r="P262" s="87">
        <f>E262/$AI$18*10^6</f>
        <v>2013.2412009760139</v>
      </c>
      <c r="Q262" s="87">
        <f t="shared" si="132"/>
        <v>1913.1073893397827</v>
      </c>
      <c r="R262" s="87">
        <f t="shared" si="133"/>
        <v>2017.5247488679599</v>
      </c>
      <c r="S262" s="87">
        <f t="shared" si="134"/>
        <v>2079.7037204610624</v>
      </c>
      <c r="T262" s="87">
        <f t="shared" si="135"/>
        <v>2159.4391075628055</v>
      </c>
      <c r="U262" s="87">
        <f t="shared" si="136"/>
        <v>2163.0966941271054</v>
      </c>
      <c r="V262" s="87">
        <f t="shared" si="137"/>
        <v>2164.5597287528258</v>
      </c>
      <c r="W262" s="87">
        <f t="shared" si="138"/>
        <v>2166.0227633785457</v>
      </c>
      <c r="X262" s="87">
        <f t="shared" si="139"/>
        <v>2166.0227633785457</v>
      </c>
      <c r="Y262" s="87">
        <f t="shared" si="140"/>
        <v>2166.0227633785457</v>
      </c>
      <c r="Z262" s="87">
        <f t="shared" si="141"/>
        <v>2166.0227633785457</v>
      </c>
      <c r="AA262" s="88">
        <v>450</v>
      </c>
      <c r="AB262" s="89">
        <f>AA262*GDPdeflator!$C$25/$AI$18*10^3</f>
        <v>43.267274341798768</v>
      </c>
      <c r="AC262" s="90" t="e">
        <f>INDEX(Efficiencies!$D$8:$M$89,MATCH(C262,Efficiencies!$C$8:$C$89),MATCH(D262,Efficiencies!$D$7:$M$7))</f>
        <v>#REF!</v>
      </c>
      <c r="AD262" s="90" t="e">
        <f t="shared" si="142"/>
        <v>#REF!</v>
      </c>
      <c r="AE262" s="90" t="e">
        <f>INDEX(Efficiencies!$P$8:$Y$89,MATCH(C262,Efficiencies!$C$8:$C$89),MATCH(D262,Efficiencies!$P$7:$Y$7))</f>
        <v>#REF!</v>
      </c>
      <c r="AF262" s="90" t="e">
        <f t="shared" si="143"/>
        <v>#REF!</v>
      </c>
      <c r="AG262" s="90">
        <v>0</v>
      </c>
    </row>
    <row r="263" spans="1:33" x14ac:dyDescent="0.2">
      <c r="A263" s="92" t="s">
        <v>1318</v>
      </c>
      <c r="B263" s="248" t="s">
        <v>1319</v>
      </c>
      <c r="C263" s="40" t="s">
        <v>1317</v>
      </c>
      <c r="D263" s="40">
        <v>2005</v>
      </c>
      <c r="E263" s="86">
        <f>GDPdeflator!$C$32*INDEX(Costs!$E$7:$O$89,MATCH($C263,Costs!$C$7:$C$89,0),MATCH(E$7,Costs!$E$6:$O$6,0))</f>
        <v>24.111207982175724</v>
      </c>
      <c r="F263" s="86">
        <f>GDPdeflator!$C$36*INDEX(Costs!$E$7:$O$89,MATCH($C263,Costs!$C$7:$C$89,0),MATCH(F$7,Costs!$E$6:$O$6,0))</f>
        <v>22.911974051716371</v>
      </c>
      <c r="G263" s="86">
        <f>GDPdeflator!$C$38*INDEX(Costs!$E$7:$O$89,MATCH($C263,Costs!$C$7:$C$89,0),MATCH(G$7,Costs!$E$6:$O$6,0))</f>
        <v>24.162509095064856</v>
      </c>
      <c r="H263" s="86">
        <f>GDPdeflator!$C$38*INDEX(Costs!$E$7:$O$89,MATCH($C263,Costs!$C$7:$C$89,0),MATCH(H$7,Costs!$E$6:$O$6,0))</f>
        <v>24.907183958400793</v>
      </c>
      <c r="I263" s="86">
        <f>GDPdeflator!$C$38*INDEX(Costs!$E$7:$O$89,MATCH($C263,Costs!$C$7:$C$89,0),MATCH(I$7,Costs!$E$6:$O$6,0))</f>
        <v>25.862119959619815</v>
      </c>
      <c r="J263" s="86">
        <f>GDPdeflator!$C$38*INDEX(Costs!$E$7:$O$89,MATCH($C263,Costs!$C$7:$C$89,0),MATCH(J$7,Costs!$E$6:$O$6,0))</f>
        <v>25.905924363345459</v>
      </c>
      <c r="K263" s="86">
        <f>GDPdeflator!$C$38*INDEX(Costs!$E$7:$O$89,MATCH($C263,Costs!$C$7:$C$89,0),MATCH(K$7,Costs!$E$6:$O$6,0))</f>
        <v>25.923446124835717</v>
      </c>
      <c r="L263" s="86">
        <f>GDPdeflator!$C$38*INDEX(Costs!$E$7:$O$89,MATCH($C263,Costs!$C$7:$C$89,0),MATCH(L$7,Costs!$E$6:$O$6,0))</f>
        <v>25.940967886325975</v>
      </c>
      <c r="M263" s="86">
        <f>GDPdeflator!$C$38*INDEX(Costs!$E$7:$O$89,MATCH($C263,Costs!$C$7:$C$89,0),MATCH(M$7,Costs!$E$6:$O$6,0))</f>
        <v>25.940967886325975</v>
      </c>
      <c r="N263" s="86">
        <f>GDPdeflator!$C$38*INDEX(Costs!$E$7:$O$89,MATCH($C263,Costs!$C$7:$C$89,0),MATCH(N$7,Costs!$E$6:$O$6,0))</f>
        <v>25.940967886325975</v>
      </c>
      <c r="O263" s="86">
        <f>GDPdeflator!$C$38*INDEX(Costs!$E$7:$O$89,MATCH($C263,Costs!$C$7:$C$89,0),MATCH(O$7,Costs!$E$6:$O$6,0))</f>
        <v>25.940967886325975</v>
      </c>
      <c r="P263" s="87">
        <f t="shared" ref="P263:P272" si="146">E263/$AI$18*10^6</f>
        <v>2013.2412009760139</v>
      </c>
      <c r="Q263" s="87">
        <f t="shared" si="132"/>
        <v>1913.1073893397827</v>
      </c>
      <c r="R263" s="87">
        <f t="shared" si="133"/>
        <v>2017.5247488679599</v>
      </c>
      <c r="S263" s="87">
        <f t="shared" si="134"/>
        <v>2079.7037204610624</v>
      </c>
      <c r="T263" s="87">
        <f t="shared" si="135"/>
        <v>2159.4391075628055</v>
      </c>
      <c r="U263" s="87">
        <f t="shared" si="136"/>
        <v>2163.0966941271054</v>
      </c>
      <c r="V263" s="87">
        <f t="shared" si="137"/>
        <v>2164.5597287528258</v>
      </c>
      <c r="W263" s="87">
        <f t="shared" si="138"/>
        <v>2166.0227633785457</v>
      </c>
      <c r="X263" s="87">
        <f t="shared" si="139"/>
        <v>2166.0227633785457</v>
      </c>
      <c r="Y263" s="87">
        <f t="shared" si="140"/>
        <v>2166.0227633785457</v>
      </c>
      <c r="Z263" s="87">
        <f t="shared" si="141"/>
        <v>2166.0227633785457</v>
      </c>
      <c r="AA263" s="88">
        <v>450</v>
      </c>
      <c r="AB263" s="89">
        <f>AA263*GDPdeflator!$C$25/$AI$18*10^3</f>
        <v>43.267274341798768</v>
      </c>
      <c r="AC263" s="90" t="e">
        <f>INDEX(Efficiencies!$D$8:$M$89,MATCH(C263,Efficiencies!$C$8:$C$89),MATCH(D263,Efficiencies!$D$7:$M$7))</f>
        <v>#REF!</v>
      </c>
      <c r="AD263" s="90" t="e">
        <f t="shared" si="142"/>
        <v>#REF!</v>
      </c>
      <c r="AE263" s="90" t="e">
        <f>INDEX(Efficiencies!$P$8:$Y$89,MATCH(C263,Efficiencies!$C$8:$C$89),MATCH(D263,Efficiencies!$P$7:$Y$7))</f>
        <v>#REF!</v>
      </c>
      <c r="AF263" s="90" t="e">
        <f t="shared" si="143"/>
        <v>#REF!</v>
      </c>
      <c r="AG263" s="90">
        <v>0</v>
      </c>
    </row>
    <row r="264" spans="1:33" x14ac:dyDescent="0.2">
      <c r="A264" s="92" t="s">
        <v>1320</v>
      </c>
      <c r="B264" s="248" t="s">
        <v>1321</v>
      </c>
      <c r="C264" s="40" t="s">
        <v>1317</v>
      </c>
      <c r="D264" s="40">
        <v>2010</v>
      </c>
      <c r="E264" s="86">
        <f>GDPdeflator!$C$32*INDEX(Costs!$E$7:$O$89,MATCH($C264,Costs!$C$7:$C$89,0),MATCH(E$7,Costs!$E$6:$O$6,0))</f>
        <v>24.111207982175724</v>
      </c>
      <c r="F264" s="86">
        <f>GDPdeflator!$C$36*INDEX(Costs!$E$7:$O$89,MATCH($C264,Costs!$C$7:$C$89,0),MATCH(F$7,Costs!$E$6:$O$6,0))</f>
        <v>22.911974051716371</v>
      </c>
      <c r="G264" s="86">
        <f>GDPdeflator!$C$38*INDEX(Costs!$E$7:$O$89,MATCH($C264,Costs!$C$7:$C$89,0),MATCH(G$7,Costs!$E$6:$O$6,0))</f>
        <v>24.162509095064856</v>
      </c>
      <c r="H264" s="86">
        <f>GDPdeflator!$C$38*INDEX(Costs!$E$7:$O$89,MATCH($C264,Costs!$C$7:$C$89,0),MATCH(H$7,Costs!$E$6:$O$6,0))</f>
        <v>24.907183958400793</v>
      </c>
      <c r="I264" s="86">
        <f>GDPdeflator!$C$38*INDEX(Costs!$E$7:$O$89,MATCH($C264,Costs!$C$7:$C$89,0),MATCH(I$7,Costs!$E$6:$O$6,0))</f>
        <v>25.862119959619815</v>
      </c>
      <c r="J264" s="86">
        <f>GDPdeflator!$C$38*INDEX(Costs!$E$7:$O$89,MATCH($C264,Costs!$C$7:$C$89,0),MATCH(J$7,Costs!$E$6:$O$6,0))</f>
        <v>25.905924363345459</v>
      </c>
      <c r="K264" s="86">
        <f>GDPdeflator!$C$38*INDEX(Costs!$E$7:$O$89,MATCH($C264,Costs!$C$7:$C$89,0),MATCH(K$7,Costs!$E$6:$O$6,0))</f>
        <v>25.923446124835717</v>
      </c>
      <c r="L264" s="86">
        <f>GDPdeflator!$C$38*INDEX(Costs!$E$7:$O$89,MATCH($C264,Costs!$C$7:$C$89,0),MATCH(L$7,Costs!$E$6:$O$6,0))</f>
        <v>25.940967886325975</v>
      </c>
      <c r="M264" s="86">
        <f>GDPdeflator!$C$38*INDEX(Costs!$E$7:$O$89,MATCH($C264,Costs!$C$7:$C$89,0),MATCH(M$7,Costs!$E$6:$O$6,0))</f>
        <v>25.940967886325975</v>
      </c>
      <c r="N264" s="86">
        <f>GDPdeflator!$C$38*INDEX(Costs!$E$7:$O$89,MATCH($C264,Costs!$C$7:$C$89,0),MATCH(N$7,Costs!$E$6:$O$6,0))</f>
        <v>25.940967886325975</v>
      </c>
      <c r="O264" s="86">
        <f>GDPdeflator!$C$38*INDEX(Costs!$E$7:$O$89,MATCH($C264,Costs!$C$7:$C$89,0),MATCH(O$7,Costs!$E$6:$O$6,0))</f>
        <v>25.940967886325975</v>
      </c>
      <c r="P264" s="87">
        <f t="shared" si="146"/>
        <v>2013.2412009760139</v>
      </c>
      <c r="Q264" s="87">
        <f t="shared" si="132"/>
        <v>1913.1073893397827</v>
      </c>
      <c r="R264" s="87">
        <f t="shared" si="133"/>
        <v>2017.5247488679599</v>
      </c>
      <c r="S264" s="87">
        <f t="shared" si="134"/>
        <v>2079.7037204610624</v>
      </c>
      <c r="T264" s="87">
        <f t="shared" si="135"/>
        <v>2159.4391075628055</v>
      </c>
      <c r="U264" s="87">
        <f t="shared" si="136"/>
        <v>2163.0966941271054</v>
      </c>
      <c r="V264" s="87">
        <f t="shared" si="137"/>
        <v>2164.5597287528258</v>
      </c>
      <c r="W264" s="87">
        <f t="shared" si="138"/>
        <v>2166.0227633785457</v>
      </c>
      <c r="X264" s="87">
        <f t="shared" si="139"/>
        <v>2166.0227633785457</v>
      </c>
      <c r="Y264" s="87">
        <f t="shared" si="140"/>
        <v>2166.0227633785457</v>
      </c>
      <c r="Z264" s="87">
        <f t="shared" si="141"/>
        <v>2166.0227633785457</v>
      </c>
      <c r="AA264" s="88">
        <v>450</v>
      </c>
      <c r="AB264" s="89">
        <f>AA264*GDPdeflator!$C$25/$AI$18*10^3</f>
        <v>43.267274341798768</v>
      </c>
      <c r="AC264" s="90" t="e">
        <f>INDEX(Efficiencies!$D$8:$M$89,MATCH(C264,Efficiencies!$C$8:$C$89),MATCH(D264,Efficiencies!$D$7:$M$7))</f>
        <v>#REF!</v>
      </c>
      <c r="AD264" s="90" t="e">
        <f t="shared" si="142"/>
        <v>#REF!</v>
      </c>
      <c r="AE264" s="90" t="e">
        <f>INDEX(Efficiencies!$P$8:$Y$89,MATCH(C264,Efficiencies!$C$8:$C$89),MATCH(D264,Efficiencies!$P$7:$Y$7))</f>
        <v>#REF!</v>
      </c>
      <c r="AF264" s="90" t="e">
        <f t="shared" si="143"/>
        <v>#REF!</v>
      </c>
      <c r="AG264" s="90">
        <v>0</v>
      </c>
    </row>
    <row r="265" spans="1:33" x14ac:dyDescent="0.2">
      <c r="A265" s="92" t="s">
        <v>1322</v>
      </c>
      <c r="B265" s="248" t="s">
        <v>1323</v>
      </c>
      <c r="C265" s="40" t="s">
        <v>1317</v>
      </c>
      <c r="D265" s="40">
        <v>2015</v>
      </c>
      <c r="E265" s="86">
        <f>GDPdeflator!$C$32*INDEX(Costs!$E$7:$O$89,MATCH($C265,Costs!$C$7:$C$89,0),MATCH(E$7,Costs!$E$6:$O$6,0))</f>
        <v>24.111207982175724</v>
      </c>
      <c r="F265" s="86">
        <f>GDPdeflator!$C$36*INDEX(Costs!$E$7:$O$89,MATCH($C265,Costs!$C$7:$C$89,0),MATCH(F$7,Costs!$E$6:$O$6,0))</f>
        <v>22.911974051716371</v>
      </c>
      <c r="G265" s="86">
        <f>GDPdeflator!$C$38*INDEX(Costs!$E$7:$O$89,MATCH($C265,Costs!$C$7:$C$89,0),MATCH(G$7,Costs!$E$6:$O$6,0))</f>
        <v>24.162509095064856</v>
      </c>
      <c r="H265" s="86">
        <f>GDPdeflator!$C$38*INDEX(Costs!$E$7:$O$89,MATCH($C265,Costs!$C$7:$C$89,0),MATCH(H$7,Costs!$E$6:$O$6,0))</f>
        <v>24.907183958400793</v>
      </c>
      <c r="I265" s="86">
        <f>GDPdeflator!$C$38*INDEX(Costs!$E$7:$O$89,MATCH($C265,Costs!$C$7:$C$89,0),MATCH(I$7,Costs!$E$6:$O$6,0))</f>
        <v>25.862119959619815</v>
      </c>
      <c r="J265" s="86">
        <f>GDPdeflator!$C$38*INDEX(Costs!$E$7:$O$89,MATCH($C265,Costs!$C$7:$C$89,0),MATCH(J$7,Costs!$E$6:$O$6,0))</f>
        <v>25.905924363345459</v>
      </c>
      <c r="K265" s="86">
        <f>GDPdeflator!$C$38*INDEX(Costs!$E$7:$O$89,MATCH($C265,Costs!$C$7:$C$89,0),MATCH(K$7,Costs!$E$6:$O$6,0))</f>
        <v>25.923446124835717</v>
      </c>
      <c r="L265" s="86">
        <f>GDPdeflator!$C$38*INDEX(Costs!$E$7:$O$89,MATCH($C265,Costs!$C$7:$C$89,0),MATCH(L$7,Costs!$E$6:$O$6,0))</f>
        <v>25.940967886325975</v>
      </c>
      <c r="M265" s="86">
        <f>GDPdeflator!$C$38*INDEX(Costs!$E$7:$O$89,MATCH($C265,Costs!$C$7:$C$89,0),MATCH(M$7,Costs!$E$6:$O$6,0))</f>
        <v>25.940967886325975</v>
      </c>
      <c r="N265" s="86">
        <f>GDPdeflator!$C$38*INDEX(Costs!$E$7:$O$89,MATCH($C265,Costs!$C$7:$C$89,0),MATCH(N$7,Costs!$E$6:$O$6,0))</f>
        <v>25.940967886325975</v>
      </c>
      <c r="O265" s="86">
        <f>GDPdeflator!$C$38*INDEX(Costs!$E$7:$O$89,MATCH($C265,Costs!$C$7:$C$89,0),MATCH(O$7,Costs!$E$6:$O$6,0))</f>
        <v>25.940967886325975</v>
      </c>
      <c r="P265" s="87">
        <f t="shared" si="146"/>
        <v>2013.2412009760139</v>
      </c>
      <c r="Q265" s="87">
        <f t="shared" si="132"/>
        <v>1913.1073893397827</v>
      </c>
      <c r="R265" s="87">
        <f t="shared" si="133"/>
        <v>2017.5247488679599</v>
      </c>
      <c r="S265" s="87">
        <f t="shared" si="134"/>
        <v>2079.7037204610624</v>
      </c>
      <c r="T265" s="87">
        <f t="shared" si="135"/>
        <v>2159.4391075628055</v>
      </c>
      <c r="U265" s="87">
        <f t="shared" si="136"/>
        <v>2163.0966941271054</v>
      </c>
      <c r="V265" s="87">
        <f t="shared" si="137"/>
        <v>2164.5597287528258</v>
      </c>
      <c r="W265" s="87">
        <f t="shared" si="138"/>
        <v>2166.0227633785457</v>
      </c>
      <c r="X265" s="87">
        <f t="shared" si="139"/>
        <v>2166.0227633785457</v>
      </c>
      <c r="Y265" s="87">
        <f t="shared" si="140"/>
        <v>2166.0227633785457</v>
      </c>
      <c r="Z265" s="87">
        <f t="shared" si="141"/>
        <v>2166.0227633785457</v>
      </c>
      <c r="AA265" s="88">
        <v>450</v>
      </c>
      <c r="AB265" s="89">
        <f>AA265*GDPdeflator!$C$25/$AI$18*10^3</f>
        <v>43.267274341798768</v>
      </c>
      <c r="AC265" s="90" t="e">
        <f>INDEX(Efficiencies!$D$8:$M$89,MATCH(C265,Efficiencies!$C$8:$C$89),MATCH(D265,Efficiencies!$D$7:$M$7))</f>
        <v>#REF!</v>
      </c>
      <c r="AD265" s="90" t="e">
        <f t="shared" si="142"/>
        <v>#REF!</v>
      </c>
      <c r="AE265" s="90" t="e">
        <f>INDEX(Efficiencies!$P$8:$Y$89,MATCH(C265,Efficiencies!$C$8:$C$89),MATCH(D265,Efficiencies!$P$7:$Y$7))</f>
        <v>#REF!</v>
      </c>
      <c r="AF265" s="90" t="e">
        <f t="shared" si="143"/>
        <v>#REF!</v>
      </c>
      <c r="AG265" s="90">
        <v>0</v>
      </c>
    </row>
    <row r="266" spans="1:33" x14ac:dyDescent="0.2">
      <c r="A266" s="92" t="s">
        <v>1324</v>
      </c>
      <c r="B266" s="248" t="s">
        <v>1325</v>
      </c>
      <c r="C266" s="40" t="s">
        <v>1317</v>
      </c>
      <c r="D266" s="40">
        <v>2020</v>
      </c>
      <c r="E266" s="86">
        <f>GDPdeflator!$C$32*INDEX(Costs!$E$7:$O$89,MATCH($C266,Costs!$C$7:$C$89,0),MATCH(E$7,Costs!$E$6:$O$6,0))</f>
        <v>24.111207982175724</v>
      </c>
      <c r="F266" s="86">
        <f>GDPdeflator!$C$36*INDEX(Costs!$E$7:$O$89,MATCH($C266,Costs!$C$7:$C$89,0),MATCH(F$7,Costs!$E$6:$O$6,0))</f>
        <v>22.911974051716371</v>
      </c>
      <c r="G266" s="86">
        <f>GDPdeflator!$C$38*INDEX(Costs!$E$7:$O$89,MATCH($C266,Costs!$C$7:$C$89,0),MATCH(G$7,Costs!$E$6:$O$6,0))</f>
        <v>24.162509095064856</v>
      </c>
      <c r="H266" s="86">
        <f>GDPdeflator!$C$38*INDEX(Costs!$E$7:$O$89,MATCH($C266,Costs!$C$7:$C$89,0),MATCH(H$7,Costs!$E$6:$O$6,0))</f>
        <v>24.907183958400793</v>
      </c>
      <c r="I266" s="86">
        <f>GDPdeflator!$C$38*INDEX(Costs!$E$7:$O$89,MATCH($C266,Costs!$C$7:$C$89,0),MATCH(I$7,Costs!$E$6:$O$6,0))</f>
        <v>25.862119959619815</v>
      </c>
      <c r="J266" s="86">
        <f>GDPdeflator!$C$38*INDEX(Costs!$E$7:$O$89,MATCH($C266,Costs!$C$7:$C$89,0),MATCH(J$7,Costs!$E$6:$O$6,0))</f>
        <v>25.905924363345459</v>
      </c>
      <c r="K266" s="86">
        <f>GDPdeflator!$C$38*INDEX(Costs!$E$7:$O$89,MATCH($C266,Costs!$C$7:$C$89,0),MATCH(K$7,Costs!$E$6:$O$6,0))</f>
        <v>25.923446124835717</v>
      </c>
      <c r="L266" s="86">
        <f>GDPdeflator!$C$38*INDEX(Costs!$E$7:$O$89,MATCH($C266,Costs!$C$7:$C$89,0),MATCH(L$7,Costs!$E$6:$O$6,0))</f>
        <v>25.940967886325975</v>
      </c>
      <c r="M266" s="86">
        <f>GDPdeflator!$C$38*INDEX(Costs!$E$7:$O$89,MATCH($C266,Costs!$C$7:$C$89,0),MATCH(M$7,Costs!$E$6:$O$6,0))</f>
        <v>25.940967886325975</v>
      </c>
      <c r="N266" s="86">
        <f>GDPdeflator!$C$38*INDEX(Costs!$E$7:$O$89,MATCH($C266,Costs!$C$7:$C$89,0),MATCH(N$7,Costs!$E$6:$O$6,0))</f>
        <v>25.940967886325975</v>
      </c>
      <c r="O266" s="86">
        <f>GDPdeflator!$C$38*INDEX(Costs!$E$7:$O$89,MATCH($C266,Costs!$C$7:$C$89,0),MATCH(O$7,Costs!$E$6:$O$6,0))</f>
        <v>25.940967886325975</v>
      </c>
      <c r="P266" s="87">
        <f t="shared" si="146"/>
        <v>2013.2412009760139</v>
      </c>
      <c r="Q266" s="87">
        <f t="shared" si="132"/>
        <v>1913.1073893397827</v>
      </c>
      <c r="R266" s="87">
        <f t="shared" si="133"/>
        <v>2017.5247488679599</v>
      </c>
      <c r="S266" s="87">
        <f t="shared" si="134"/>
        <v>2079.7037204610624</v>
      </c>
      <c r="T266" s="87">
        <f t="shared" si="135"/>
        <v>2159.4391075628055</v>
      </c>
      <c r="U266" s="87">
        <f t="shared" si="136"/>
        <v>2163.0966941271054</v>
      </c>
      <c r="V266" s="87">
        <f t="shared" si="137"/>
        <v>2164.5597287528258</v>
      </c>
      <c r="W266" s="87">
        <f t="shared" si="138"/>
        <v>2166.0227633785457</v>
      </c>
      <c r="X266" s="87">
        <f t="shared" si="139"/>
        <v>2166.0227633785457</v>
      </c>
      <c r="Y266" s="87">
        <f t="shared" si="140"/>
        <v>2166.0227633785457</v>
      </c>
      <c r="Z266" s="87">
        <f t="shared" si="141"/>
        <v>2166.0227633785457</v>
      </c>
      <c r="AA266" s="88">
        <v>450</v>
      </c>
      <c r="AB266" s="89">
        <f>AA266*GDPdeflator!$C$25/$AI$18*10^3</f>
        <v>43.267274341798768</v>
      </c>
      <c r="AC266" s="90" t="e">
        <f>INDEX(Efficiencies!$D$8:$M$89,MATCH(C266,Efficiencies!$C$8:$C$89),MATCH(D266,Efficiencies!$D$7:$M$7))</f>
        <v>#REF!</v>
      </c>
      <c r="AD266" s="90" t="e">
        <f t="shared" si="142"/>
        <v>#REF!</v>
      </c>
      <c r="AE266" s="90" t="e">
        <f>INDEX(Efficiencies!$P$8:$Y$89,MATCH(C266,Efficiencies!$C$8:$C$89),MATCH(D266,Efficiencies!$P$7:$Y$7))</f>
        <v>#REF!</v>
      </c>
      <c r="AF266" s="90" t="e">
        <f t="shared" si="143"/>
        <v>#REF!</v>
      </c>
      <c r="AG266" s="90">
        <v>0</v>
      </c>
    </row>
    <row r="267" spans="1:33" x14ac:dyDescent="0.2">
      <c r="A267" s="92" t="s">
        <v>1326</v>
      </c>
      <c r="B267" s="248" t="s">
        <v>1327</v>
      </c>
      <c r="C267" s="40" t="s">
        <v>1317</v>
      </c>
      <c r="D267" s="40">
        <v>2025</v>
      </c>
      <c r="E267" s="86">
        <f>GDPdeflator!$C$32*INDEX(Costs!$E$7:$O$89,MATCH($C267,Costs!$C$7:$C$89,0),MATCH(E$7,Costs!$E$6:$O$6,0))</f>
        <v>24.111207982175724</v>
      </c>
      <c r="F267" s="86">
        <f>GDPdeflator!$C$36*INDEX(Costs!$E$7:$O$89,MATCH($C267,Costs!$C$7:$C$89,0),MATCH(F$7,Costs!$E$6:$O$6,0))</f>
        <v>22.911974051716371</v>
      </c>
      <c r="G267" s="86">
        <f>GDPdeflator!$C$38*INDEX(Costs!$E$7:$O$89,MATCH($C267,Costs!$C$7:$C$89,0),MATCH(G$7,Costs!$E$6:$O$6,0))</f>
        <v>24.162509095064856</v>
      </c>
      <c r="H267" s="86">
        <f>GDPdeflator!$C$38*INDEX(Costs!$E$7:$O$89,MATCH($C267,Costs!$C$7:$C$89,0),MATCH(H$7,Costs!$E$6:$O$6,0))</f>
        <v>24.907183958400793</v>
      </c>
      <c r="I267" s="86">
        <f>GDPdeflator!$C$38*INDEX(Costs!$E$7:$O$89,MATCH($C267,Costs!$C$7:$C$89,0),MATCH(I$7,Costs!$E$6:$O$6,0))</f>
        <v>25.862119959619815</v>
      </c>
      <c r="J267" s="86">
        <f>GDPdeflator!$C$38*INDEX(Costs!$E$7:$O$89,MATCH($C267,Costs!$C$7:$C$89,0),MATCH(J$7,Costs!$E$6:$O$6,0))</f>
        <v>25.905924363345459</v>
      </c>
      <c r="K267" s="86">
        <f>GDPdeflator!$C$38*INDEX(Costs!$E$7:$O$89,MATCH($C267,Costs!$C$7:$C$89,0),MATCH(K$7,Costs!$E$6:$O$6,0))</f>
        <v>25.923446124835717</v>
      </c>
      <c r="L267" s="86">
        <f>GDPdeflator!$C$38*INDEX(Costs!$E$7:$O$89,MATCH($C267,Costs!$C$7:$C$89,0),MATCH(L$7,Costs!$E$6:$O$6,0))</f>
        <v>25.940967886325975</v>
      </c>
      <c r="M267" s="86">
        <f>GDPdeflator!$C$38*INDEX(Costs!$E$7:$O$89,MATCH($C267,Costs!$C$7:$C$89,0),MATCH(M$7,Costs!$E$6:$O$6,0))</f>
        <v>25.940967886325975</v>
      </c>
      <c r="N267" s="86">
        <f>GDPdeflator!$C$38*INDEX(Costs!$E$7:$O$89,MATCH($C267,Costs!$C$7:$C$89,0),MATCH(N$7,Costs!$E$6:$O$6,0))</f>
        <v>25.940967886325975</v>
      </c>
      <c r="O267" s="86">
        <f>GDPdeflator!$C$38*INDEX(Costs!$E$7:$O$89,MATCH($C267,Costs!$C$7:$C$89,0),MATCH(O$7,Costs!$E$6:$O$6,0))</f>
        <v>25.940967886325975</v>
      </c>
      <c r="P267" s="87">
        <f t="shared" si="146"/>
        <v>2013.2412009760139</v>
      </c>
      <c r="Q267" s="87">
        <f t="shared" si="132"/>
        <v>1913.1073893397827</v>
      </c>
      <c r="R267" s="87">
        <f t="shared" si="133"/>
        <v>2017.5247488679599</v>
      </c>
      <c r="S267" s="87">
        <f t="shared" si="134"/>
        <v>2079.7037204610624</v>
      </c>
      <c r="T267" s="87">
        <f t="shared" si="135"/>
        <v>2159.4391075628055</v>
      </c>
      <c r="U267" s="87">
        <f t="shared" si="136"/>
        <v>2163.0966941271054</v>
      </c>
      <c r="V267" s="87">
        <f t="shared" si="137"/>
        <v>2164.5597287528258</v>
      </c>
      <c r="W267" s="87">
        <f t="shared" si="138"/>
        <v>2166.0227633785457</v>
      </c>
      <c r="X267" s="87">
        <f t="shared" si="139"/>
        <v>2166.0227633785457</v>
      </c>
      <c r="Y267" s="87">
        <f t="shared" si="140"/>
        <v>2166.0227633785457</v>
      </c>
      <c r="Z267" s="87">
        <f t="shared" si="141"/>
        <v>2166.0227633785457</v>
      </c>
      <c r="AA267" s="88">
        <v>450</v>
      </c>
      <c r="AB267" s="89">
        <f>AA267*GDPdeflator!$C$25/$AI$18*10^3</f>
        <v>43.267274341798768</v>
      </c>
      <c r="AC267" s="90" t="e">
        <f>INDEX(Efficiencies!$D$8:$M$89,MATCH(C267,Efficiencies!$C$8:$C$89),MATCH(D267,Efficiencies!$D$7:$M$7))</f>
        <v>#REF!</v>
      </c>
      <c r="AD267" s="90" t="e">
        <f t="shared" si="142"/>
        <v>#REF!</v>
      </c>
      <c r="AE267" s="90" t="e">
        <f>INDEX(Efficiencies!$P$8:$Y$89,MATCH(C267,Efficiencies!$C$8:$C$89),MATCH(D267,Efficiencies!$P$7:$Y$7))</f>
        <v>#REF!</v>
      </c>
      <c r="AF267" s="90" t="e">
        <f t="shared" si="143"/>
        <v>#REF!</v>
      </c>
      <c r="AG267" s="90">
        <v>0</v>
      </c>
    </row>
    <row r="268" spans="1:33" x14ac:dyDescent="0.2">
      <c r="A268" s="92" t="s">
        <v>1328</v>
      </c>
      <c r="B268" s="248" t="s">
        <v>1329</v>
      </c>
      <c r="C268" s="40" t="s">
        <v>1317</v>
      </c>
      <c r="D268" s="40">
        <v>2030</v>
      </c>
      <c r="E268" s="86">
        <f>GDPdeflator!$C$32*INDEX(Costs!$E$7:$O$89,MATCH($C268,Costs!$C$7:$C$89,0),MATCH(E$7,Costs!$E$6:$O$6,0))</f>
        <v>24.111207982175724</v>
      </c>
      <c r="F268" s="86">
        <f>GDPdeflator!$C$36*INDEX(Costs!$E$7:$O$89,MATCH($C268,Costs!$C$7:$C$89,0),MATCH(F$7,Costs!$E$6:$O$6,0))</f>
        <v>22.911974051716371</v>
      </c>
      <c r="G268" s="86">
        <f>GDPdeflator!$C$38*INDEX(Costs!$E$7:$O$89,MATCH($C268,Costs!$C$7:$C$89,0),MATCH(G$7,Costs!$E$6:$O$6,0))</f>
        <v>24.162509095064856</v>
      </c>
      <c r="H268" s="86">
        <f>GDPdeflator!$C$38*INDEX(Costs!$E$7:$O$89,MATCH($C268,Costs!$C$7:$C$89,0),MATCH(H$7,Costs!$E$6:$O$6,0))</f>
        <v>24.907183958400793</v>
      </c>
      <c r="I268" s="86">
        <f>GDPdeflator!$C$38*INDEX(Costs!$E$7:$O$89,MATCH($C268,Costs!$C$7:$C$89,0),MATCH(I$7,Costs!$E$6:$O$6,0))</f>
        <v>25.862119959619815</v>
      </c>
      <c r="J268" s="86">
        <f>GDPdeflator!$C$38*INDEX(Costs!$E$7:$O$89,MATCH($C268,Costs!$C$7:$C$89,0),MATCH(J$7,Costs!$E$6:$O$6,0))</f>
        <v>25.905924363345459</v>
      </c>
      <c r="K268" s="86">
        <f>GDPdeflator!$C$38*INDEX(Costs!$E$7:$O$89,MATCH($C268,Costs!$C$7:$C$89,0),MATCH(K$7,Costs!$E$6:$O$6,0))</f>
        <v>25.923446124835717</v>
      </c>
      <c r="L268" s="86">
        <f>GDPdeflator!$C$38*INDEX(Costs!$E$7:$O$89,MATCH($C268,Costs!$C$7:$C$89,0),MATCH(L$7,Costs!$E$6:$O$6,0))</f>
        <v>25.940967886325975</v>
      </c>
      <c r="M268" s="86">
        <f>GDPdeflator!$C$38*INDEX(Costs!$E$7:$O$89,MATCH($C268,Costs!$C$7:$C$89,0),MATCH(M$7,Costs!$E$6:$O$6,0))</f>
        <v>25.940967886325975</v>
      </c>
      <c r="N268" s="86">
        <f>GDPdeflator!$C$38*INDEX(Costs!$E$7:$O$89,MATCH($C268,Costs!$C$7:$C$89,0),MATCH(N$7,Costs!$E$6:$O$6,0))</f>
        <v>25.940967886325975</v>
      </c>
      <c r="O268" s="86">
        <f>GDPdeflator!$C$38*INDEX(Costs!$E$7:$O$89,MATCH($C268,Costs!$C$7:$C$89,0),MATCH(O$7,Costs!$E$6:$O$6,0))</f>
        <v>25.940967886325975</v>
      </c>
      <c r="P268" s="87">
        <f t="shared" si="146"/>
        <v>2013.2412009760139</v>
      </c>
      <c r="Q268" s="87">
        <f t="shared" si="132"/>
        <v>1913.1073893397827</v>
      </c>
      <c r="R268" s="87">
        <f t="shared" si="133"/>
        <v>2017.5247488679599</v>
      </c>
      <c r="S268" s="87">
        <f t="shared" si="134"/>
        <v>2079.7037204610624</v>
      </c>
      <c r="T268" s="87">
        <f t="shared" si="135"/>
        <v>2159.4391075628055</v>
      </c>
      <c r="U268" s="87">
        <f t="shared" si="136"/>
        <v>2163.0966941271054</v>
      </c>
      <c r="V268" s="87">
        <f t="shared" si="137"/>
        <v>2164.5597287528258</v>
      </c>
      <c r="W268" s="87">
        <f t="shared" si="138"/>
        <v>2166.0227633785457</v>
      </c>
      <c r="X268" s="87">
        <f t="shared" si="139"/>
        <v>2166.0227633785457</v>
      </c>
      <c r="Y268" s="87">
        <f t="shared" si="140"/>
        <v>2166.0227633785457</v>
      </c>
      <c r="Z268" s="87">
        <f t="shared" si="141"/>
        <v>2166.0227633785457</v>
      </c>
      <c r="AA268" s="88">
        <v>450</v>
      </c>
      <c r="AB268" s="89">
        <f>AA268*GDPdeflator!$C$25/$AI$18*10^3</f>
        <v>43.267274341798768</v>
      </c>
      <c r="AC268" s="90" t="e">
        <f>INDEX(Efficiencies!$D$8:$M$89,MATCH(C268,Efficiencies!$C$8:$C$89),MATCH(D268,Efficiencies!$D$7:$M$7))</f>
        <v>#REF!</v>
      </c>
      <c r="AD268" s="90" t="e">
        <f t="shared" si="142"/>
        <v>#REF!</v>
      </c>
      <c r="AE268" s="90" t="e">
        <f>INDEX(Efficiencies!$P$8:$Y$89,MATCH(C268,Efficiencies!$C$8:$C$89),MATCH(D268,Efficiencies!$P$7:$Y$7))</f>
        <v>#REF!</v>
      </c>
      <c r="AF268" s="90" t="e">
        <f t="shared" si="143"/>
        <v>#REF!</v>
      </c>
      <c r="AG268" s="90">
        <v>0</v>
      </c>
    </row>
    <row r="269" spans="1:33" x14ac:dyDescent="0.2">
      <c r="A269" s="92" t="s">
        <v>1330</v>
      </c>
      <c r="B269" s="248" t="s">
        <v>1331</v>
      </c>
      <c r="C269" s="40" t="s">
        <v>1317</v>
      </c>
      <c r="D269" s="40">
        <v>2035</v>
      </c>
      <c r="E269" s="86">
        <f>GDPdeflator!$C$32*INDEX(Costs!$E$7:$O$89,MATCH($C269,Costs!$C$7:$C$89,0),MATCH(E$7,Costs!$E$6:$O$6,0))</f>
        <v>24.111207982175724</v>
      </c>
      <c r="F269" s="86">
        <f>GDPdeflator!$C$36*INDEX(Costs!$E$7:$O$89,MATCH($C269,Costs!$C$7:$C$89,0),MATCH(F$7,Costs!$E$6:$O$6,0))</f>
        <v>22.911974051716371</v>
      </c>
      <c r="G269" s="86">
        <f>GDPdeflator!$C$38*INDEX(Costs!$E$7:$O$89,MATCH($C269,Costs!$C$7:$C$89,0),MATCH(G$7,Costs!$E$6:$O$6,0))</f>
        <v>24.162509095064856</v>
      </c>
      <c r="H269" s="86">
        <f>GDPdeflator!$C$38*INDEX(Costs!$E$7:$O$89,MATCH($C269,Costs!$C$7:$C$89,0),MATCH(H$7,Costs!$E$6:$O$6,0))</f>
        <v>24.907183958400793</v>
      </c>
      <c r="I269" s="86">
        <f>GDPdeflator!$C$38*INDEX(Costs!$E$7:$O$89,MATCH($C269,Costs!$C$7:$C$89,0),MATCH(I$7,Costs!$E$6:$O$6,0))</f>
        <v>25.862119959619815</v>
      </c>
      <c r="J269" s="86">
        <f>GDPdeflator!$C$38*INDEX(Costs!$E$7:$O$89,MATCH($C269,Costs!$C$7:$C$89,0),MATCH(J$7,Costs!$E$6:$O$6,0))</f>
        <v>25.905924363345459</v>
      </c>
      <c r="K269" s="86">
        <f>GDPdeflator!$C$38*INDEX(Costs!$E$7:$O$89,MATCH($C269,Costs!$C$7:$C$89,0),MATCH(K$7,Costs!$E$6:$O$6,0))</f>
        <v>25.923446124835717</v>
      </c>
      <c r="L269" s="86">
        <f>GDPdeflator!$C$38*INDEX(Costs!$E$7:$O$89,MATCH($C269,Costs!$C$7:$C$89,0),MATCH(L$7,Costs!$E$6:$O$6,0))</f>
        <v>25.940967886325975</v>
      </c>
      <c r="M269" s="86">
        <f>GDPdeflator!$C$38*INDEX(Costs!$E$7:$O$89,MATCH($C269,Costs!$C$7:$C$89,0),MATCH(M$7,Costs!$E$6:$O$6,0))</f>
        <v>25.940967886325975</v>
      </c>
      <c r="N269" s="86">
        <f>GDPdeflator!$C$38*INDEX(Costs!$E$7:$O$89,MATCH($C269,Costs!$C$7:$C$89,0),MATCH(N$7,Costs!$E$6:$O$6,0))</f>
        <v>25.940967886325975</v>
      </c>
      <c r="O269" s="86">
        <f>GDPdeflator!$C$38*INDEX(Costs!$E$7:$O$89,MATCH($C269,Costs!$C$7:$C$89,0),MATCH(O$7,Costs!$E$6:$O$6,0))</f>
        <v>25.940967886325975</v>
      </c>
      <c r="P269" s="87">
        <f t="shared" si="146"/>
        <v>2013.2412009760139</v>
      </c>
      <c r="Q269" s="87">
        <f t="shared" si="132"/>
        <v>1913.1073893397827</v>
      </c>
      <c r="R269" s="87">
        <f t="shared" si="133"/>
        <v>2017.5247488679599</v>
      </c>
      <c r="S269" s="87">
        <f t="shared" si="134"/>
        <v>2079.7037204610624</v>
      </c>
      <c r="T269" s="87">
        <f t="shared" si="135"/>
        <v>2159.4391075628055</v>
      </c>
      <c r="U269" s="87">
        <f t="shared" si="136"/>
        <v>2163.0966941271054</v>
      </c>
      <c r="V269" s="87">
        <f t="shared" si="137"/>
        <v>2164.5597287528258</v>
      </c>
      <c r="W269" s="87">
        <f t="shared" si="138"/>
        <v>2166.0227633785457</v>
      </c>
      <c r="X269" s="87">
        <f t="shared" si="139"/>
        <v>2166.0227633785457</v>
      </c>
      <c r="Y269" s="87">
        <f t="shared" si="140"/>
        <v>2166.0227633785457</v>
      </c>
      <c r="Z269" s="87">
        <f t="shared" si="141"/>
        <v>2166.0227633785457</v>
      </c>
      <c r="AA269" s="88">
        <v>450</v>
      </c>
      <c r="AB269" s="89">
        <f>AA269*GDPdeflator!$C$25/$AI$18*10^3</f>
        <v>43.267274341798768</v>
      </c>
      <c r="AC269" s="90" t="e">
        <f>INDEX(Efficiencies!$D$8:$M$89,MATCH(C269,Efficiencies!$C$8:$C$89),MATCH(D269,Efficiencies!$D$7:$M$7))</f>
        <v>#REF!</v>
      </c>
      <c r="AD269" s="90" t="e">
        <f t="shared" si="142"/>
        <v>#REF!</v>
      </c>
      <c r="AE269" s="90" t="e">
        <f>INDEX(Efficiencies!$P$8:$Y$89,MATCH(C269,Efficiencies!$C$8:$C$89),MATCH(D269,Efficiencies!$P$7:$Y$7))</f>
        <v>#REF!</v>
      </c>
      <c r="AF269" s="90" t="e">
        <f t="shared" si="143"/>
        <v>#REF!</v>
      </c>
      <c r="AG269" s="90">
        <v>0</v>
      </c>
    </row>
    <row r="270" spans="1:33" x14ac:dyDescent="0.2">
      <c r="A270" s="92" t="s">
        <v>1332</v>
      </c>
      <c r="B270" s="248" t="s">
        <v>1333</v>
      </c>
      <c r="C270" s="40" t="s">
        <v>1317</v>
      </c>
      <c r="D270" s="40">
        <v>2040</v>
      </c>
      <c r="E270" s="86">
        <f>GDPdeflator!$C$32*INDEX(Costs!$E$7:$O$89,MATCH($C270,Costs!$C$7:$C$89,0),MATCH(E$7,Costs!$E$6:$O$6,0))</f>
        <v>24.111207982175724</v>
      </c>
      <c r="F270" s="86">
        <f>GDPdeflator!$C$36*INDEX(Costs!$E$7:$O$89,MATCH($C270,Costs!$C$7:$C$89,0),MATCH(F$7,Costs!$E$6:$O$6,0))</f>
        <v>22.911974051716371</v>
      </c>
      <c r="G270" s="86">
        <f>GDPdeflator!$C$38*INDEX(Costs!$E$7:$O$89,MATCH($C270,Costs!$C$7:$C$89,0),MATCH(G$7,Costs!$E$6:$O$6,0))</f>
        <v>24.162509095064856</v>
      </c>
      <c r="H270" s="86">
        <f>GDPdeflator!$C$38*INDEX(Costs!$E$7:$O$89,MATCH($C270,Costs!$C$7:$C$89,0),MATCH(H$7,Costs!$E$6:$O$6,0))</f>
        <v>24.907183958400793</v>
      </c>
      <c r="I270" s="86">
        <f>GDPdeflator!$C$38*INDEX(Costs!$E$7:$O$89,MATCH($C270,Costs!$C$7:$C$89,0),MATCH(I$7,Costs!$E$6:$O$6,0))</f>
        <v>25.862119959619815</v>
      </c>
      <c r="J270" s="86">
        <f>GDPdeflator!$C$38*INDEX(Costs!$E$7:$O$89,MATCH($C270,Costs!$C$7:$C$89,0),MATCH(J$7,Costs!$E$6:$O$6,0))</f>
        <v>25.905924363345459</v>
      </c>
      <c r="K270" s="86">
        <f>GDPdeflator!$C$38*INDEX(Costs!$E$7:$O$89,MATCH($C270,Costs!$C$7:$C$89,0),MATCH(K$7,Costs!$E$6:$O$6,0))</f>
        <v>25.923446124835717</v>
      </c>
      <c r="L270" s="86">
        <f>GDPdeflator!$C$38*INDEX(Costs!$E$7:$O$89,MATCH($C270,Costs!$C$7:$C$89,0),MATCH(L$7,Costs!$E$6:$O$6,0))</f>
        <v>25.940967886325975</v>
      </c>
      <c r="M270" s="86">
        <f>GDPdeflator!$C$38*INDEX(Costs!$E$7:$O$89,MATCH($C270,Costs!$C$7:$C$89,0),MATCH(M$7,Costs!$E$6:$O$6,0))</f>
        <v>25.940967886325975</v>
      </c>
      <c r="N270" s="86">
        <f>GDPdeflator!$C$38*INDEX(Costs!$E$7:$O$89,MATCH($C270,Costs!$C$7:$C$89,0),MATCH(N$7,Costs!$E$6:$O$6,0))</f>
        <v>25.940967886325975</v>
      </c>
      <c r="O270" s="86">
        <f>GDPdeflator!$C$38*INDEX(Costs!$E$7:$O$89,MATCH($C270,Costs!$C$7:$C$89,0),MATCH(O$7,Costs!$E$6:$O$6,0))</f>
        <v>25.940967886325975</v>
      </c>
      <c r="P270" s="87">
        <f t="shared" si="146"/>
        <v>2013.2412009760139</v>
      </c>
      <c r="Q270" s="87">
        <f t="shared" si="132"/>
        <v>1913.1073893397827</v>
      </c>
      <c r="R270" s="87">
        <f t="shared" si="133"/>
        <v>2017.5247488679599</v>
      </c>
      <c r="S270" s="87">
        <f t="shared" si="134"/>
        <v>2079.7037204610624</v>
      </c>
      <c r="T270" s="87">
        <f t="shared" si="135"/>
        <v>2159.4391075628055</v>
      </c>
      <c r="U270" s="87">
        <f t="shared" si="136"/>
        <v>2163.0966941271054</v>
      </c>
      <c r="V270" s="87">
        <f t="shared" si="137"/>
        <v>2164.5597287528258</v>
      </c>
      <c r="W270" s="87">
        <f t="shared" si="138"/>
        <v>2166.0227633785457</v>
      </c>
      <c r="X270" s="87">
        <f t="shared" si="139"/>
        <v>2166.0227633785457</v>
      </c>
      <c r="Y270" s="87">
        <f t="shared" si="140"/>
        <v>2166.0227633785457</v>
      </c>
      <c r="Z270" s="87">
        <f t="shared" si="141"/>
        <v>2166.0227633785457</v>
      </c>
      <c r="AA270" s="88">
        <v>450</v>
      </c>
      <c r="AB270" s="89">
        <f>AA270*GDPdeflator!$C$25/$AI$18*10^3</f>
        <v>43.267274341798768</v>
      </c>
      <c r="AC270" s="90" t="e">
        <f>INDEX(Efficiencies!$D$8:$M$89,MATCH(C270,Efficiencies!$C$8:$C$89),MATCH(D270,Efficiencies!$D$7:$M$7))</f>
        <v>#REF!</v>
      </c>
      <c r="AD270" s="90" t="e">
        <f t="shared" si="142"/>
        <v>#REF!</v>
      </c>
      <c r="AE270" s="90" t="e">
        <f>INDEX(Efficiencies!$P$8:$Y$89,MATCH(C270,Efficiencies!$C$8:$C$89),MATCH(D270,Efficiencies!$P$7:$Y$7))</f>
        <v>#REF!</v>
      </c>
      <c r="AF270" s="90" t="e">
        <f t="shared" si="143"/>
        <v>#REF!</v>
      </c>
      <c r="AG270" s="90">
        <v>0</v>
      </c>
    </row>
    <row r="271" spans="1:33" x14ac:dyDescent="0.2">
      <c r="A271" s="92" t="s">
        <v>1334</v>
      </c>
      <c r="B271" s="248" t="s">
        <v>1335</v>
      </c>
      <c r="C271" s="40" t="s">
        <v>1317</v>
      </c>
      <c r="D271" s="40">
        <v>2045</v>
      </c>
      <c r="E271" s="86">
        <f>GDPdeflator!$C$32*INDEX(Costs!$E$7:$O$89,MATCH($C271,Costs!$C$7:$C$89,0),MATCH(E$7,Costs!$E$6:$O$6,0))</f>
        <v>24.111207982175724</v>
      </c>
      <c r="F271" s="86">
        <f>GDPdeflator!$C$36*INDEX(Costs!$E$7:$O$89,MATCH($C271,Costs!$C$7:$C$89,0),MATCH(F$7,Costs!$E$6:$O$6,0))</f>
        <v>22.911974051716371</v>
      </c>
      <c r="G271" s="86">
        <f>GDPdeflator!$C$38*INDEX(Costs!$E$7:$O$89,MATCH($C271,Costs!$C$7:$C$89,0),MATCH(G$7,Costs!$E$6:$O$6,0))</f>
        <v>24.162509095064856</v>
      </c>
      <c r="H271" s="86">
        <f>GDPdeflator!$C$38*INDEX(Costs!$E$7:$O$89,MATCH($C271,Costs!$C$7:$C$89,0),MATCH(H$7,Costs!$E$6:$O$6,0))</f>
        <v>24.907183958400793</v>
      </c>
      <c r="I271" s="86">
        <f>GDPdeflator!$C$38*INDEX(Costs!$E$7:$O$89,MATCH($C271,Costs!$C$7:$C$89,0),MATCH(I$7,Costs!$E$6:$O$6,0))</f>
        <v>25.862119959619815</v>
      </c>
      <c r="J271" s="86">
        <f>GDPdeflator!$C$38*INDEX(Costs!$E$7:$O$89,MATCH($C271,Costs!$C$7:$C$89,0),MATCH(J$7,Costs!$E$6:$O$6,0))</f>
        <v>25.905924363345459</v>
      </c>
      <c r="K271" s="86">
        <f>GDPdeflator!$C$38*INDEX(Costs!$E$7:$O$89,MATCH($C271,Costs!$C$7:$C$89,0),MATCH(K$7,Costs!$E$6:$O$6,0))</f>
        <v>25.923446124835717</v>
      </c>
      <c r="L271" s="86">
        <f>GDPdeflator!$C$38*INDEX(Costs!$E$7:$O$89,MATCH($C271,Costs!$C$7:$C$89,0),MATCH(L$7,Costs!$E$6:$O$6,0))</f>
        <v>25.940967886325975</v>
      </c>
      <c r="M271" s="86">
        <f>GDPdeflator!$C$38*INDEX(Costs!$E$7:$O$89,MATCH($C271,Costs!$C$7:$C$89,0),MATCH(M$7,Costs!$E$6:$O$6,0))</f>
        <v>25.940967886325975</v>
      </c>
      <c r="N271" s="86">
        <f>GDPdeflator!$C$38*INDEX(Costs!$E$7:$O$89,MATCH($C271,Costs!$C$7:$C$89,0),MATCH(N$7,Costs!$E$6:$O$6,0))</f>
        <v>25.940967886325975</v>
      </c>
      <c r="O271" s="86">
        <f>GDPdeflator!$C$38*INDEX(Costs!$E$7:$O$89,MATCH($C271,Costs!$C$7:$C$89,0),MATCH(O$7,Costs!$E$6:$O$6,0))</f>
        <v>25.940967886325975</v>
      </c>
      <c r="P271" s="87">
        <f t="shared" si="146"/>
        <v>2013.2412009760139</v>
      </c>
      <c r="Q271" s="87">
        <f t="shared" si="132"/>
        <v>1913.1073893397827</v>
      </c>
      <c r="R271" s="87">
        <f t="shared" si="133"/>
        <v>2017.5247488679599</v>
      </c>
      <c r="S271" s="87">
        <f t="shared" si="134"/>
        <v>2079.7037204610624</v>
      </c>
      <c r="T271" s="87">
        <f t="shared" si="135"/>
        <v>2159.4391075628055</v>
      </c>
      <c r="U271" s="87">
        <f t="shared" si="136"/>
        <v>2163.0966941271054</v>
      </c>
      <c r="V271" s="87">
        <f t="shared" si="137"/>
        <v>2164.5597287528258</v>
      </c>
      <c r="W271" s="87">
        <f t="shared" si="138"/>
        <v>2166.0227633785457</v>
      </c>
      <c r="X271" s="87">
        <f t="shared" si="139"/>
        <v>2166.0227633785457</v>
      </c>
      <c r="Y271" s="87">
        <f t="shared" si="140"/>
        <v>2166.0227633785457</v>
      </c>
      <c r="Z271" s="87">
        <f t="shared" si="141"/>
        <v>2166.0227633785457</v>
      </c>
      <c r="AA271" s="88">
        <v>450</v>
      </c>
      <c r="AB271" s="89">
        <f>AA271*GDPdeflator!$C$25/$AI$18*10^3</f>
        <v>43.267274341798768</v>
      </c>
      <c r="AC271" s="90" t="e">
        <f>INDEX(Efficiencies!$D$8:$M$89,MATCH(C271,Efficiencies!$C$8:$C$89),MATCH(D271,Efficiencies!$D$7:$M$7))</f>
        <v>#REF!</v>
      </c>
      <c r="AD271" s="90" t="e">
        <f t="shared" si="142"/>
        <v>#REF!</v>
      </c>
      <c r="AE271" s="90" t="e">
        <f>INDEX(Efficiencies!$P$8:$Y$89,MATCH(C271,Efficiencies!$C$8:$C$89),MATCH(D271,Efficiencies!$P$7:$Y$7))</f>
        <v>#REF!</v>
      </c>
      <c r="AF271" s="90" t="e">
        <f t="shared" si="143"/>
        <v>#REF!</v>
      </c>
      <c r="AG271" s="90">
        <v>0</v>
      </c>
    </row>
    <row r="272" spans="1:33" x14ac:dyDescent="0.2">
      <c r="A272" s="92" t="s">
        <v>1336</v>
      </c>
      <c r="B272" s="248" t="s">
        <v>1337</v>
      </c>
      <c r="C272" s="40" t="s">
        <v>1317</v>
      </c>
      <c r="D272" s="40">
        <v>2050</v>
      </c>
      <c r="E272" s="86">
        <f>GDPdeflator!$C$32*INDEX(Costs!$E$7:$O$89,MATCH($C272,Costs!$C$7:$C$89,0),MATCH(E$7,Costs!$E$6:$O$6,0))</f>
        <v>24.111207982175724</v>
      </c>
      <c r="F272" s="86">
        <f>GDPdeflator!$C$36*INDEX(Costs!$E$7:$O$89,MATCH($C272,Costs!$C$7:$C$89,0),MATCH(F$7,Costs!$E$6:$O$6,0))</f>
        <v>22.911974051716371</v>
      </c>
      <c r="G272" s="86">
        <f>GDPdeflator!$C$38*INDEX(Costs!$E$7:$O$89,MATCH($C272,Costs!$C$7:$C$89,0),MATCH(G$7,Costs!$E$6:$O$6,0))</f>
        <v>24.162509095064856</v>
      </c>
      <c r="H272" s="86">
        <f>GDPdeflator!$C$38*INDEX(Costs!$E$7:$O$89,MATCH($C272,Costs!$C$7:$C$89,0),MATCH(H$7,Costs!$E$6:$O$6,0))</f>
        <v>24.907183958400793</v>
      </c>
      <c r="I272" s="86">
        <f>GDPdeflator!$C$38*INDEX(Costs!$E$7:$O$89,MATCH($C272,Costs!$C$7:$C$89,0),MATCH(I$7,Costs!$E$6:$O$6,0))</f>
        <v>25.862119959619815</v>
      </c>
      <c r="J272" s="86">
        <f>GDPdeflator!$C$38*INDEX(Costs!$E$7:$O$89,MATCH($C272,Costs!$C$7:$C$89,0),MATCH(J$7,Costs!$E$6:$O$6,0))</f>
        <v>25.905924363345459</v>
      </c>
      <c r="K272" s="86">
        <f>GDPdeflator!$C$38*INDEX(Costs!$E$7:$O$89,MATCH($C272,Costs!$C$7:$C$89,0),MATCH(K$7,Costs!$E$6:$O$6,0))</f>
        <v>25.923446124835717</v>
      </c>
      <c r="L272" s="86">
        <f>GDPdeflator!$C$38*INDEX(Costs!$E$7:$O$89,MATCH($C272,Costs!$C$7:$C$89,0),MATCH(L$7,Costs!$E$6:$O$6,0))</f>
        <v>25.940967886325975</v>
      </c>
      <c r="M272" s="86">
        <f>GDPdeflator!$C$38*INDEX(Costs!$E$7:$O$89,MATCH($C272,Costs!$C$7:$C$89,0),MATCH(M$7,Costs!$E$6:$O$6,0))</f>
        <v>25.940967886325975</v>
      </c>
      <c r="N272" s="86">
        <f>GDPdeflator!$C$38*INDEX(Costs!$E$7:$O$89,MATCH($C272,Costs!$C$7:$C$89,0),MATCH(N$7,Costs!$E$6:$O$6,0))</f>
        <v>25.940967886325975</v>
      </c>
      <c r="O272" s="86">
        <f>GDPdeflator!$C$38*INDEX(Costs!$E$7:$O$89,MATCH($C272,Costs!$C$7:$C$89,0),MATCH(O$7,Costs!$E$6:$O$6,0))</f>
        <v>25.940967886325975</v>
      </c>
      <c r="P272" s="87">
        <f t="shared" si="146"/>
        <v>2013.2412009760139</v>
      </c>
      <c r="Q272" s="87">
        <f t="shared" si="132"/>
        <v>1913.1073893397827</v>
      </c>
      <c r="R272" s="87">
        <f t="shared" si="133"/>
        <v>2017.5247488679599</v>
      </c>
      <c r="S272" s="87">
        <f t="shared" si="134"/>
        <v>2079.7037204610624</v>
      </c>
      <c r="T272" s="87">
        <f t="shared" si="135"/>
        <v>2159.4391075628055</v>
      </c>
      <c r="U272" s="87">
        <f t="shared" si="136"/>
        <v>2163.0966941271054</v>
      </c>
      <c r="V272" s="87">
        <f t="shared" si="137"/>
        <v>2164.5597287528258</v>
      </c>
      <c r="W272" s="87">
        <f t="shared" si="138"/>
        <v>2166.0227633785457</v>
      </c>
      <c r="X272" s="87">
        <f t="shared" si="139"/>
        <v>2166.0227633785457</v>
      </c>
      <c r="Y272" s="87">
        <f t="shared" si="140"/>
        <v>2166.0227633785457</v>
      </c>
      <c r="Z272" s="87">
        <f t="shared" si="141"/>
        <v>2166.0227633785457</v>
      </c>
      <c r="AA272" s="88">
        <v>450</v>
      </c>
      <c r="AB272" s="89">
        <f>AA272*GDPdeflator!$C$25/$AI$18*10^3</f>
        <v>43.267274341798768</v>
      </c>
      <c r="AC272" s="90" t="e">
        <f>INDEX(Efficiencies!$D$8:$M$89,MATCH(C272,Efficiencies!$C$8:$C$89),MATCH(D272,Efficiencies!$D$7:$M$7))</f>
        <v>#REF!</v>
      </c>
      <c r="AD272" s="90" t="e">
        <f t="shared" si="142"/>
        <v>#REF!</v>
      </c>
      <c r="AE272" s="90" t="e">
        <f>INDEX(Efficiencies!$P$8:$Y$89,MATCH(C272,Efficiencies!$C$8:$C$89),MATCH(D272,Efficiencies!$P$7:$Y$7))</f>
        <v>#REF!</v>
      </c>
      <c r="AF272" s="90" t="e">
        <f t="shared" si="143"/>
        <v>#REF!</v>
      </c>
      <c r="AG272" s="90">
        <v>0</v>
      </c>
    </row>
    <row r="273" spans="1:33" x14ac:dyDescent="0.2">
      <c r="A273" s="92" t="s">
        <v>1338</v>
      </c>
      <c r="B273" s="248" t="s">
        <v>1339</v>
      </c>
      <c r="C273" s="40" t="s">
        <v>1340</v>
      </c>
      <c r="D273" s="40">
        <v>2060</v>
      </c>
      <c r="E273" s="86">
        <f>GDPdeflator!$C$32*INDEX(Costs!$E$7:$O$89,MATCH($C273,Costs!$C$7:$C$89,0),MATCH(E$7,Costs!$E$6:$O$6,0))</f>
        <v>31.221544124769927</v>
      </c>
      <c r="F273" s="86">
        <f>GDPdeflator!$C$36*INDEX(Costs!$E$7:$O$89,MATCH($C273,Costs!$C$7:$C$89,0),MATCH(F$7,Costs!$E$6:$O$6,0))</f>
        <v>30.363095774394093</v>
      </c>
      <c r="G273" s="86">
        <f>GDPdeflator!$C$38*INDEX(Costs!$E$7:$O$89,MATCH($C273,Costs!$C$7:$C$89,0),MATCH(G$7,Costs!$E$6:$O$6,0))</f>
        <v>31.872084150778083</v>
      </c>
      <c r="H273" s="86">
        <f>GDPdeflator!$C$38*INDEX(Costs!$E$7:$O$89,MATCH($C273,Costs!$C$7:$C$89,0),MATCH(H$7,Costs!$E$6:$O$6,0))</f>
        <v>32.599237252623759</v>
      </c>
      <c r="I273" s="86">
        <f>GDPdeflator!$C$38*INDEX(Costs!$E$7:$O$89,MATCH($C273,Costs!$C$7:$C$89,0),MATCH(I$7,Costs!$E$6:$O$6,0))</f>
        <v>33.492847088626881</v>
      </c>
      <c r="J273" s="86">
        <f>GDPdeflator!$C$38*INDEX(Costs!$E$7:$O$89,MATCH($C273,Costs!$C$7:$C$89,0),MATCH(J$7,Costs!$E$6:$O$6,0))</f>
        <v>33.536651492352526</v>
      </c>
      <c r="K273" s="86">
        <f>GDPdeflator!$C$38*INDEX(Costs!$E$7:$O$89,MATCH($C273,Costs!$C$7:$C$89,0),MATCH(K$7,Costs!$E$6:$O$6,0))</f>
        <v>33.554173253842784</v>
      </c>
      <c r="L273" s="86">
        <f>GDPdeflator!$C$38*INDEX(Costs!$E$7:$O$89,MATCH($C273,Costs!$C$7:$C$89,0),MATCH(L$7,Costs!$E$6:$O$6,0))</f>
        <v>33.58045589607817</v>
      </c>
      <c r="M273" s="86">
        <f>GDPdeflator!$C$38*INDEX(Costs!$E$7:$O$89,MATCH($C273,Costs!$C$7:$C$89,0),MATCH(M$7,Costs!$E$6:$O$6,0))</f>
        <v>33.58045589607817</v>
      </c>
      <c r="N273" s="86">
        <f>GDPdeflator!$C$38*INDEX(Costs!$E$7:$O$89,MATCH($C273,Costs!$C$7:$C$89,0),MATCH(N$7,Costs!$E$6:$O$6,0))</f>
        <v>33.58045589607817</v>
      </c>
      <c r="O273" s="86">
        <f>GDPdeflator!$C$38*INDEX(Costs!$E$7:$O$89,MATCH($C273,Costs!$C$7:$C$89,0),MATCH(O$7,Costs!$E$6:$O$6,0))</f>
        <v>33.58045589607817</v>
      </c>
      <c r="P273" s="87">
        <f>E273/$AI$18*10^6</f>
        <v>2606.9410971256293</v>
      </c>
      <c r="Q273" s="87">
        <f t="shared" si="132"/>
        <v>2535.2622501278288</v>
      </c>
      <c r="R273" s="87">
        <f t="shared" si="133"/>
        <v>2661.2599841847855</v>
      </c>
      <c r="S273" s="87">
        <f t="shared" si="134"/>
        <v>2721.9759211521678</v>
      </c>
      <c r="T273" s="87">
        <f t="shared" si="135"/>
        <v>2796.5906870638905</v>
      </c>
      <c r="U273" s="87">
        <f t="shared" si="136"/>
        <v>2800.2482736281909</v>
      </c>
      <c r="V273" s="87">
        <f t="shared" si="137"/>
        <v>2801.7113082539108</v>
      </c>
      <c r="W273" s="87">
        <f t="shared" si="138"/>
        <v>2803.9058601924912</v>
      </c>
      <c r="X273" s="87">
        <f t="shared" si="139"/>
        <v>2803.9058601924912</v>
      </c>
      <c r="Y273" s="87">
        <f t="shared" si="140"/>
        <v>2803.9058601924912</v>
      </c>
      <c r="Z273" s="87">
        <f t="shared" si="141"/>
        <v>2803.9058601924912</v>
      </c>
      <c r="AA273" s="88">
        <v>405</v>
      </c>
      <c r="AB273" s="89">
        <f>AA273*GDPdeflator!$C$25/$AI$18*10^3</f>
        <v>38.940546907618888</v>
      </c>
      <c r="AC273" s="90" t="e">
        <f>INDEX(Efficiencies!$D$8:$M$89,MATCH(C273,Efficiencies!$C$8:$C$89),MATCH(D273,Efficiencies!$D$7:$M$7))</f>
        <v>#REF!</v>
      </c>
      <c r="AD273" s="90" t="e">
        <f t="shared" si="142"/>
        <v>#REF!</v>
      </c>
      <c r="AE273" s="90" t="e">
        <f>INDEX(Efficiencies!$P$8:$Y$89,MATCH(C273,Efficiencies!$C$8:$C$89),MATCH(D273,Efficiencies!$P$7:$Y$7))</f>
        <v>#REF!</v>
      </c>
      <c r="AF273" s="90" t="e">
        <f t="shared" si="143"/>
        <v>#REF!</v>
      </c>
      <c r="AG273" s="90">
        <v>0</v>
      </c>
    </row>
    <row r="274" spans="1:33" x14ac:dyDescent="0.2">
      <c r="A274" s="92" t="s">
        <v>1341</v>
      </c>
      <c r="B274" s="248" t="s">
        <v>1342</v>
      </c>
      <c r="C274" s="40" t="s">
        <v>1340</v>
      </c>
      <c r="D274" s="40">
        <v>2005</v>
      </c>
      <c r="E274" s="86">
        <f>GDPdeflator!$C$32*INDEX(Costs!$E$7:$O$89,MATCH($C274,Costs!$C$7:$C$89,0),MATCH(E$7,Costs!$E$6:$O$6,0))</f>
        <v>31.221544124769927</v>
      </c>
      <c r="F274" s="86">
        <f>GDPdeflator!$C$36*INDEX(Costs!$E$7:$O$89,MATCH($C274,Costs!$C$7:$C$89,0),MATCH(F$7,Costs!$E$6:$O$6,0))</f>
        <v>30.363095774394093</v>
      </c>
      <c r="G274" s="86">
        <f>GDPdeflator!$C$38*INDEX(Costs!$E$7:$O$89,MATCH($C274,Costs!$C$7:$C$89,0),MATCH(G$7,Costs!$E$6:$O$6,0))</f>
        <v>31.872084150778083</v>
      </c>
      <c r="H274" s="86">
        <f>GDPdeflator!$C$38*INDEX(Costs!$E$7:$O$89,MATCH($C274,Costs!$C$7:$C$89,0),MATCH(H$7,Costs!$E$6:$O$6,0))</f>
        <v>32.599237252623759</v>
      </c>
      <c r="I274" s="86">
        <f>GDPdeflator!$C$38*INDEX(Costs!$E$7:$O$89,MATCH($C274,Costs!$C$7:$C$89,0),MATCH(I$7,Costs!$E$6:$O$6,0))</f>
        <v>33.492847088626881</v>
      </c>
      <c r="J274" s="86">
        <f>GDPdeflator!$C$38*INDEX(Costs!$E$7:$O$89,MATCH($C274,Costs!$C$7:$C$89,0),MATCH(J$7,Costs!$E$6:$O$6,0))</f>
        <v>33.536651492352526</v>
      </c>
      <c r="K274" s="86">
        <f>GDPdeflator!$C$38*INDEX(Costs!$E$7:$O$89,MATCH($C274,Costs!$C$7:$C$89,0),MATCH(K$7,Costs!$E$6:$O$6,0))</f>
        <v>33.554173253842784</v>
      </c>
      <c r="L274" s="86">
        <f>GDPdeflator!$C$38*INDEX(Costs!$E$7:$O$89,MATCH($C274,Costs!$C$7:$C$89,0),MATCH(L$7,Costs!$E$6:$O$6,0))</f>
        <v>33.58045589607817</v>
      </c>
      <c r="M274" s="86">
        <f>GDPdeflator!$C$38*INDEX(Costs!$E$7:$O$89,MATCH($C274,Costs!$C$7:$C$89,0),MATCH(M$7,Costs!$E$6:$O$6,0))</f>
        <v>33.58045589607817</v>
      </c>
      <c r="N274" s="86">
        <f>GDPdeflator!$C$38*INDEX(Costs!$E$7:$O$89,MATCH($C274,Costs!$C$7:$C$89,0),MATCH(N$7,Costs!$E$6:$O$6,0))</f>
        <v>33.58045589607817</v>
      </c>
      <c r="O274" s="86">
        <f>GDPdeflator!$C$38*INDEX(Costs!$E$7:$O$89,MATCH($C274,Costs!$C$7:$C$89,0),MATCH(O$7,Costs!$E$6:$O$6,0))</f>
        <v>33.58045589607817</v>
      </c>
      <c r="P274" s="87">
        <f t="shared" ref="P274:P283" si="147">E274/$AI$18*10^6</f>
        <v>2606.9410971256293</v>
      </c>
      <c r="Q274" s="87">
        <f t="shared" si="132"/>
        <v>2535.2622501278288</v>
      </c>
      <c r="R274" s="87">
        <f t="shared" si="133"/>
        <v>2661.2599841847855</v>
      </c>
      <c r="S274" s="87">
        <f t="shared" si="134"/>
        <v>2721.9759211521678</v>
      </c>
      <c r="T274" s="87">
        <f t="shared" si="135"/>
        <v>2796.5906870638905</v>
      </c>
      <c r="U274" s="87">
        <f t="shared" si="136"/>
        <v>2800.2482736281909</v>
      </c>
      <c r="V274" s="87">
        <f t="shared" si="137"/>
        <v>2801.7113082539108</v>
      </c>
      <c r="W274" s="87">
        <f t="shared" si="138"/>
        <v>2803.9058601924912</v>
      </c>
      <c r="X274" s="87">
        <f t="shared" si="139"/>
        <v>2803.9058601924912</v>
      </c>
      <c r="Y274" s="87">
        <f t="shared" si="140"/>
        <v>2803.9058601924912</v>
      </c>
      <c r="Z274" s="87">
        <f t="shared" si="141"/>
        <v>2803.9058601924912</v>
      </c>
      <c r="AA274" s="88">
        <v>405</v>
      </c>
      <c r="AB274" s="89">
        <f>AA274*GDPdeflator!$C$25/$AI$18*10^3</f>
        <v>38.940546907618888</v>
      </c>
      <c r="AC274" s="90" t="e">
        <f>INDEX(Efficiencies!$D$8:$M$89,MATCH(C274,Efficiencies!$C$8:$C$89),MATCH(D274,Efficiencies!$D$7:$M$7))</f>
        <v>#REF!</v>
      </c>
      <c r="AD274" s="90" t="e">
        <f t="shared" si="142"/>
        <v>#REF!</v>
      </c>
      <c r="AE274" s="90" t="e">
        <f>INDEX(Efficiencies!$P$8:$Y$89,MATCH(C274,Efficiencies!$C$8:$C$89),MATCH(D274,Efficiencies!$P$7:$Y$7))</f>
        <v>#REF!</v>
      </c>
      <c r="AF274" s="90" t="e">
        <f t="shared" si="143"/>
        <v>#REF!</v>
      </c>
      <c r="AG274" s="90">
        <v>0</v>
      </c>
    </row>
    <row r="275" spans="1:33" x14ac:dyDescent="0.2">
      <c r="A275" s="92" t="s">
        <v>1343</v>
      </c>
      <c r="B275" s="248" t="s">
        <v>1344</v>
      </c>
      <c r="C275" s="40" t="s">
        <v>1340</v>
      </c>
      <c r="D275" s="40">
        <v>2010</v>
      </c>
      <c r="E275" s="86">
        <f>GDPdeflator!$C$32*INDEX(Costs!$E$7:$O$89,MATCH($C275,Costs!$C$7:$C$89,0),MATCH(E$7,Costs!$E$6:$O$6,0))</f>
        <v>31.221544124769927</v>
      </c>
      <c r="F275" s="86">
        <f>GDPdeflator!$C$36*INDEX(Costs!$E$7:$O$89,MATCH($C275,Costs!$C$7:$C$89,0),MATCH(F$7,Costs!$E$6:$O$6,0))</f>
        <v>30.363095774394093</v>
      </c>
      <c r="G275" s="86">
        <f>GDPdeflator!$C$38*INDEX(Costs!$E$7:$O$89,MATCH($C275,Costs!$C$7:$C$89,0),MATCH(G$7,Costs!$E$6:$O$6,0))</f>
        <v>31.872084150778083</v>
      </c>
      <c r="H275" s="86">
        <f>GDPdeflator!$C$38*INDEX(Costs!$E$7:$O$89,MATCH($C275,Costs!$C$7:$C$89,0),MATCH(H$7,Costs!$E$6:$O$6,0))</f>
        <v>32.599237252623759</v>
      </c>
      <c r="I275" s="86">
        <f>GDPdeflator!$C$38*INDEX(Costs!$E$7:$O$89,MATCH($C275,Costs!$C$7:$C$89,0),MATCH(I$7,Costs!$E$6:$O$6,0))</f>
        <v>33.492847088626881</v>
      </c>
      <c r="J275" s="86">
        <f>GDPdeflator!$C$38*INDEX(Costs!$E$7:$O$89,MATCH($C275,Costs!$C$7:$C$89,0),MATCH(J$7,Costs!$E$6:$O$6,0))</f>
        <v>33.536651492352526</v>
      </c>
      <c r="K275" s="86">
        <f>GDPdeflator!$C$38*INDEX(Costs!$E$7:$O$89,MATCH($C275,Costs!$C$7:$C$89,0),MATCH(K$7,Costs!$E$6:$O$6,0))</f>
        <v>33.554173253842784</v>
      </c>
      <c r="L275" s="86">
        <f>GDPdeflator!$C$38*INDEX(Costs!$E$7:$O$89,MATCH($C275,Costs!$C$7:$C$89,0),MATCH(L$7,Costs!$E$6:$O$6,0))</f>
        <v>33.58045589607817</v>
      </c>
      <c r="M275" s="86">
        <f>GDPdeflator!$C$38*INDEX(Costs!$E$7:$O$89,MATCH($C275,Costs!$C$7:$C$89,0),MATCH(M$7,Costs!$E$6:$O$6,0))</f>
        <v>33.58045589607817</v>
      </c>
      <c r="N275" s="86">
        <f>GDPdeflator!$C$38*INDEX(Costs!$E$7:$O$89,MATCH($C275,Costs!$C$7:$C$89,0),MATCH(N$7,Costs!$E$6:$O$6,0))</f>
        <v>33.58045589607817</v>
      </c>
      <c r="O275" s="86">
        <f>GDPdeflator!$C$38*INDEX(Costs!$E$7:$O$89,MATCH($C275,Costs!$C$7:$C$89,0),MATCH(O$7,Costs!$E$6:$O$6,0))</f>
        <v>33.58045589607817</v>
      </c>
      <c r="P275" s="87">
        <f t="shared" si="147"/>
        <v>2606.9410971256293</v>
      </c>
      <c r="Q275" s="87">
        <f t="shared" si="132"/>
        <v>2535.2622501278288</v>
      </c>
      <c r="R275" s="87">
        <f t="shared" si="133"/>
        <v>2661.2599841847855</v>
      </c>
      <c r="S275" s="87">
        <f t="shared" si="134"/>
        <v>2721.9759211521678</v>
      </c>
      <c r="T275" s="87">
        <f t="shared" si="135"/>
        <v>2796.5906870638905</v>
      </c>
      <c r="U275" s="87">
        <f t="shared" si="136"/>
        <v>2800.2482736281909</v>
      </c>
      <c r="V275" s="87">
        <f t="shared" si="137"/>
        <v>2801.7113082539108</v>
      </c>
      <c r="W275" s="87">
        <f t="shared" si="138"/>
        <v>2803.9058601924912</v>
      </c>
      <c r="X275" s="87">
        <f t="shared" si="139"/>
        <v>2803.9058601924912</v>
      </c>
      <c r="Y275" s="87">
        <f t="shared" si="140"/>
        <v>2803.9058601924912</v>
      </c>
      <c r="Z275" s="87">
        <f t="shared" si="141"/>
        <v>2803.9058601924912</v>
      </c>
      <c r="AA275" s="88">
        <v>405</v>
      </c>
      <c r="AB275" s="89">
        <f>AA275*GDPdeflator!$C$25/$AI$18*10^3</f>
        <v>38.940546907618888</v>
      </c>
      <c r="AC275" s="90" t="e">
        <f>INDEX(Efficiencies!$D$8:$M$89,MATCH(C275,Efficiencies!$C$8:$C$89),MATCH(D275,Efficiencies!$D$7:$M$7))</f>
        <v>#REF!</v>
      </c>
      <c r="AD275" s="90" t="e">
        <f t="shared" si="142"/>
        <v>#REF!</v>
      </c>
      <c r="AE275" s="90" t="e">
        <f>INDEX(Efficiencies!$P$8:$Y$89,MATCH(C275,Efficiencies!$C$8:$C$89),MATCH(D275,Efficiencies!$P$7:$Y$7))</f>
        <v>#REF!</v>
      </c>
      <c r="AF275" s="90" t="e">
        <f t="shared" si="143"/>
        <v>#REF!</v>
      </c>
      <c r="AG275" s="90">
        <v>0</v>
      </c>
    </row>
    <row r="276" spans="1:33" x14ac:dyDescent="0.2">
      <c r="A276" s="92" t="s">
        <v>1345</v>
      </c>
      <c r="B276" s="248" t="s">
        <v>1346</v>
      </c>
      <c r="C276" s="40" t="s">
        <v>1340</v>
      </c>
      <c r="D276" s="40">
        <v>2015</v>
      </c>
      <c r="E276" s="86">
        <f>GDPdeflator!$C$32*INDEX(Costs!$E$7:$O$89,MATCH($C276,Costs!$C$7:$C$89,0),MATCH(E$7,Costs!$E$6:$O$6,0))</f>
        <v>31.221544124769927</v>
      </c>
      <c r="F276" s="86">
        <f>GDPdeflator!$C$36*INDEX(Costs!$E$7:$O$89,MATCH($C276,Costs!$C$7:$C$89,0),MATCH(F$7,Costs!$E$6:$O$6,0))</f>
        <v>30.363095774394093</v>
      </c>
      <c r="G276" s="86">
        <f>GDPdeflator!$C$38*INDEX(Costs!$E$7:$O$89,MATCH($C276,Costs!$C$7:$C$89,0),MATCH(G$7,Costs!$E$6:$O$6,0))</f>
        <v>31.872084150778083</v>
      </c>
      <c r="H276" s="86">
        <f>GDPdeflator!$C$38*INDEX(Costs!$E$7:$O$89,MATCH($C276,Costs!$C$7:$C$89,0),MATCH(H$7,Costs!$E$6:$O$6,0))</f>
        <v>32.599237252623759</v>
      </c>
      <c r="I276" s="86">
        <f>GDPdeflator!$C$38*INDEX(Costs!$E$7:$O$89,MATCH($C276,Costs!$C$7:$C$89,0),MATCH(I$7,Costs!$E$6:$O$6,0))</f>
        <v>33.492847088626881</v>
      </c>
      <c r="J276" s="86">
        <f>GDPdeflator!$C$38*INDEX(Costs!$E$7:$O$89,MATCH($C276,Costs!$C$7:$C$89,0),MATCH(J$7,Costs!$E$6:$O$6,0))</f>
        <v>33.536651492352526</v>
      </c>
      <c r="K276" s="86">
        <f>GDPdeflator!$C$38*INDEX(Costs!$E$7:$O$89,MATCH($C276,Costs!$C$7:$C$89,0),MATCH(K$7,Costs!$E$6:$O$6,0))</f>
        <v>33.554173253842784</v>
      </c>
      <c r="L276" s="86">
        <f>GDPdeflator!$C$38*INDEX(Costs!$E$7:$O$89,MATCH($C276,Costs!$C$7:$C$89,0),MATCH(L$7,Costs!$E$6:$O$6,0))</f>
        <v>33.58045589607817</v>
      </c>
      <c r="M276" s="86">
        <f>GDPdeflator!$C$38*INDEX(Costs!$E$7:$O$89,MATCH($C276,Costs!$C$7:$C$89,0),MATCH(M$7,Costs!$E$6:$O$6,0))</f>
        <v>33.58045589607817</v>
      </c>
      <c r="N276" s="86">
        <f>GDPdeflator!$C$38*INDEX(Costs!$E$7:$O$89,MATCH($C276,Costs!$C$7:$C$89,0),MATCH(N$7,Costs!$E$6:$O$6,0))</f>
        <v>33.58045589607817</v>
      </c>
      <c r="O276" s="86">
        <f>GDPdeflator!$C$38*INDEX(Costs!$E$7:$O$89,MATCH($C276,Costs!$C$7:$C$89,0),MATCH(O$7,Costs!$E$6:$O$6,0))</f>
        <v>33.58045589607817</v>
      </c>
      <c r="P276" s="87">
        <f t="shared" si="147"/>
        <v>2606.9410971256293</v>
      </c>
      <c r="Q276" s="87">
        <f t="shared" si="132"/>
        <v>2535.2622501278288</v>
      </c>
      <c r="R276" s="87">
        <f t="shared" si="133"/>
        <v>2661.2599841847855</v>
      </c>
      <c r="S276" s="87">
        <f t="shared" si="134"/>
        <v>2721.9759211521678</v>
      </c>
      <c r="T276" s="87">
        <f t="shared" si="135"/>
        <v>2796.5906870638905</v>
      </c>
      <c r="U276" s="87">
        <f t="shared" si="136"/>
        <v>2800.2482736281909</v>
      </c>
      <c r="V276" s="87">
        <f t="shared" si="137"/>
        <v>2801.7113082539108</v>
      </c>
      <c r="W276" s="87">
        <f t="shared" si="138"/>
        <v>2803.9058601924912</v>
      </c>
      <c r="X276" s="87">
        <f t="shared" si="139"/>
        <v>2803.9058601924912</v>
      </c>
      <c r="Y276" s="87">
        <f t="shared" si="140"/>
        <v>2803.9058601924912</v>
      </c>
      <c r="Z276" s="87">
        <f t="shared" si="141"/>
        <v>2803.9058601924912</v>
      </c>
      <c r="AA276" s="88">
        <v>405</v>
      </c>
      <c r="AB276" s="89">
        <f>AA276*GDPdeflator!$C$25/$AI$18*10^3</f>
        <v>38.940546907618888</v>
      </c>
      <c r="AC276" s="90" t="e">
        <f>INDEX(Efficiencies!$D$8:$M$89,MATCH(C276,Efficiencies!$C$8:$C$89),MATCH(D276,Efficiencies!$D$7:$M$7))</f>
        <v>#REF!</v>
      </c>
      <c r="AD276" s="90" t="e">
        <f t="shared" si="142"/>
        <v>#REF!</v>
      </c>
      <c r="AE276" s="90" t="e">
        <f>INDEX(Efficiencies!$P$8:$Y$89,MATCH(C276,Efficiencies!$C$8:$C$89),MATCH(D276,Efficiencies!$P$7:$Y$7))</f>
        <v>#REF!</v>
      </c>
      <c r="AF276" s="90" t="e">
        <f t="shared" si="143"/>
        <v>#REF!</v>
      </c>
      <c r="AG276" s="90">
        <v>0</v>
      </c>
    </row>
    <row r="277" spans="1:33" x14ac:dyDescent="0.2">
      <c r="A277" s="92" t="s">
        <v>1347</v>
      </c>
      <c r="B277" s="248" t="s">
        <v>1348</v>
      </c>
      <c r="C277" s="40" t="s">
        <v>1340</v>
      </c>
      <c r="D277" s="40">
        <v>2020</v>
      </c>
      <c r="E277" s="86">
        <f>GDPdeflator!$C$32*INDEX(Costs!$E$7:$O$89,MATCH($C277,Costs!$C$7:$C$89,0),MATCH(E$7,Costs!$E$6:$O$6,0))</f>
        <v>31.221544124769927</v>
      </c>
      <c r="F277" s="86">
        <f>GDPdeflator!$C$36*INDEX(Costs!$E$7:$O$89,MATCH($C277,Costs!$C$7:$C$89,0),MATCH(F$7,Costs!$E$6:$O$6,0))</f>
        <v>30.363095774394093</v>
      </c>
      <c r="G277" s="86">
        <f>GDPdeflator!$C$38*INDEX(Costs!$E$7:$O$89,MATCH($C277,Costs!$C$7:$C$89,0),MATCH(G$7,Costs!$E$6:$O$6,0))</f>
        <v>31.872084150778083</v>
      </c>
      <c r="H277" s="86">
        <f>GDPdeflator!$C$38*INDEX(Costs!$E$7:$O$89,MATCH($C277,Costs!$C$7:$C$89,0),MATCH(H$7,Costs!$E$6:$O$6,0))</f>
        <v>32.599237252623759</v>
      </c>
      <c r="I277" s="86">
        <f>GDPdeflator!$C$38*INDEX(Costs!$E$7:$O$89,MATCH($C277,Costs!$C$7:$C$89,0),MATCH(I$7,Costs!$E$6:$O$6,0))</f>
        <v>33.492847088626881</v>
      </c>
      <c r="J277" s="86">
        <f>GDPdeflator!$C$38*INDEX(Costs!$E$7:$O$89,MATCH($C277,Costs!$C$7:$C$89,0),MATCH(J$7,Costs!$E$6:$O$6,0))</f>
        <v>33.536651492352526</v>
      </c>
      <c r="K277" s="86">
        <f>GDPdeflator!$C$38*INDEX(Costs!$E$7:$O$89,MATCH($C277,Costs!$C$7:$C$89,0),MATCH(K$7,Costs!$E$6:$O$6,0))</f>
        <v>33.554173253842784</v>
      </c>
      <c r="L277" s="86">
        <f>GDPdeflator!$C$38*INDEX(Costs!$E$7:$O$89,MATCH($C277,Costs!$C$7:$C$89,0),MATCH(L$7,Costs!$E$6:$O$6,0))</f>
        <v>33.58045589607817</v>
      </c>
      <c r="M277" s="86">
        <f>GDPdeflator!$C$38*INDEX(Costs!$E$7:$O$89,MATCH($C277,Costs!$C$7:$C$89,0),MATCH(M$7,Costs!$E$6:$O$6,0))</f>
        <v>33.58045589607817</v>
      </c>
      <c r="N277" s="86">
        <f>GDPdeflator!$C$38*INDEX(Costs!$E$7:$O$89,MATCH($C277,Costs!$C$7:$C$89,0),MATCH(N$7,Costs!$E$6:$O$6,0))</f>
        <v>33.58045589607817</v>
      </c>
      <c r="O277" s="86">
        <f>GDPdeflator!$C$38*INDEX(Costs!$E$7:$O$89,MATCH($C277,Costs!$C$7:$C$89,0),MATCH(O$7,Costs!$E$6:$O$6,0))</f>
        <v>33.58045589607817</v>
      </c>
      <c r="P277" s="87">
        <f t="shared" si="147"/>
        <v>2606.9410971256293</v>
      </c>
      <c r="Q277" s="87">
        <f t="shared" si="132"/>
        <v>2535.2622501278288</v>
      </c>
      <c r="R277" s="87">
        <f t="shared" si="133"/>
        <v>2661.2599841847855</v>
      </c>
      <c r="S277" s="87">
        <f t="shared" si="134"/>
        <v>2721.9759211521678</v>
      </c>
      <c r="T277" s="87">
        <f t="shared" si="135"/>
        <v>2796.5906870638905</v>
      </c>
      <c r="U277" s="87">
        <f t="shared" si="136"/>
        <v>2800.2482736281909</v>
      </c>
      <c r="V277" s="87">
        <f t="shared" si="137"/>
        <v>2801.7113082539108</v>
      </c>
      <c r="W277" s="87">
        <f t="shared" si="138"/>
        <v>2803.9058601924912</v>
      </c>
      <c r="X277" s="87">
        <f t="shared" si="139"/>
        <v>2803.9058601924912</v>
      </c>
      <c r="Y277" s="87">
        <f t="shared" si="140"/>
        <v>2803.9058601924912</v>
      </c>
      <c r="Z277" s="87">
        <f t="shared" si="141"/>
        <v>2803.9058601924912</v>
      </c>
      <c r="AA277" s="88">
        <v>405</v>
      </c>
      <c r="AB277" s="89">
        <f>AA277*GDPdeflator!$C$25/$AI$18*10^3</f>
        <v>38.940546907618888</v>
      </c>
      <c r="AC277" s="90" t="e">
        <f>INDEX(Efficiencies!$D$8:$M$89,MATCH(C277,Efficiencies!$C$8:$C$89),MATCH(D277,Efficiencies!$D$7:$M$7))</f>
        <v>#REF!</v>
      </c>
      <c r="AD277" s="90" t="e">
        <f t="shared" si="142"/>
        <v>#REF!</v>
      </c>
      <c r="AE277" s="90" t="e">
        <f>INDEX(Efficiencies!$P$8:$Y$89,MATCH(C277,Efficiencies!$C$8:$C$89),MATCH(D277,Efficiencies!$P$7:$Y$7))</f>
        <v>#REF!</v>
      </c>
      <c r="AF277" s="90" t="e">
        <f t="shared" si="143"/>
        <v>#REF!</v>
      </c>
      <c r="AG277" s="90">
        <v>0</v>
      </c>
    </row>
    <row r="278" spans="1:33" x14ac:dyDescent="0.2">
      <c r="A278" s="92" t="s">
        <v>1349</v>
      </c>
      <c r="B278" s="248" t="s">
        <v>1350</v>
      </c>
      <c r="C278" s="40" t="s">
        <v>1340</v>
      </c>
      <c r="D278" s="40">
        <v>2025</v>
      </c>
      <c r="E278" s="86">
        <f>GDPdeflator!$C$32*INDEX(Costs!$E$7:$O$89,MATCH($C278,Costs!$C$7:$C$89,0),MATCH(E$7,Costs!$E$6:$O$6,0))</f>
        <v>31.221544124769927</v>
      </c>
      <c r="F278" s="86">
        <f>GDPdeflator!$C$36*INDEX(Costs!$E$7:$O$89,MATCH($C278,Costs!$C$7:$C$89,0),MATCH(F$7,Costs!$E$6:$O$6,0))</f>
        <v>30.363095774394093</v>
      </c>
      <c r="G278" s="86">
        <f>GDPdeflator!$C$38*INDEX(Costs!$E$7:$O$89,MATCH($C278,Costs!$C$7:$C$89,0),MATCH(G$7,Costs!$E$6:$O$6,0))</f>
        <v>31.872084150778083</v>
      </c>
      <c r="H278" s="86">
        <f>GDPdeflator!$C$38*INDEX(Costs!$E$7:$O$89,MATCH($C278,Costs!$C$7:$C$89,0),MATCH(H$7,Costs!$E$6:$O$6,0))</f>
        <v>32.599237252623759</v>
      </c>
      <c r="I278" s="86">
        <f>GDPdeflator!$C$38*INDEX(Costs!$E$7:$O$89,MATCH($C278,Costs!$C$7:$C$89,0),MATCH(I$7,Costs!$E$6:$O$6,0))</f>
        <v>33.492847088626881</v>
      </c>
      <c r="J278" s="86">
        <f>GDPdeflator!$C$38*INDEX(Costs!$E$7:$O$89,MATCH($C278,Costs!$C$7:$C$89,0),MATCH(J$7,Costs!$E$6:$O$6,0))</f>
        <v>33.536651492352526</v>
      </c>
      <c r="K278" s="86">
        <f>GDPdeflator!$C$38*INDEX(Costs!$E$7:$O$89,MATCH($C278,Costs!$C$7:$C$89,0),MATCH(K$7,Costs!$E$6:$O$6,0))</f>
        <v>33.554173253842784</v>
      </c>
      <c r="L278" s="86">
        <f>GDPdeflator!$C$38*INDEX(Costs!$E$7:$O$89,MATCH($C278,Costs!$C$7:$C$89,0),MATCH(L$7,Costs!$E$6:$O$6,0))</f>
        <v>33.58045589607817</v>
      </c>
      <c r="M278" s="86">
        <f>GDPdeflator!$C$38*INDEX(Costs!$E$7:$O$89,MATCH($C278,Costs!$C$7:$C$89,0),MATCH(M$7,Costs!$E$6:$O$6,0))</f>
        <v>33.58045589607817</v>
      </c>
      <c r="N278" s="86">
        <f>GDPdeflator!$C$38*INDEX(Costs!$E$7:$O$89,MATCH($C278,Costs!$C$7:$C$89,0),MATCH(N$7,Costs!$E$6:$O$6,0))</f>
        <v>33.58045589607817</v>
      </c>
      <c r="O278" s="86">
        <f>GDPdeflator!$C$38*INDEX(Costs!$E$7:$O$89,MATCH($C278,Costs!$C$7:$C$89,0),MATCH(O$7,Costs!$E$6:$O$6,0))</f>
        <v>33.58045589607817</v>
      </c>
      <c r="P278" s="87">
        <f t="shared" si="147"/>
        <v>2606.9410971256293</v>
      </c>
      <c r="Q278" s="87">
        <f t="shared" si="132"/>
        <v>2535.2622501278288</v>
      </c>
      <c r="R278" s="87">
        <f t="shared" si="133"/>
        <v>2661.2599841847855</v>
      </c>
      <c r="S278" s="87">
        <f t="shared" si="134"/>
        <v>2721.9759211521678</v>
      </c>
      <c r="T278" s="87">
        <f t="shared" si="135"/>
        <v>2796.5906870638905</v>
      </c>
      <c r="U278" s="87">
        <f t="shared" si="136"/>
        <v>2800.2482736281909</v>
      </c>
      <c r="V278" s="87">
        <f t="shared" si="137"/>
        <v>2801.7113082539108</v>
      </c>
      <c r="W278" s="87">
        <f t="shared" si="138"/>
        <v>2803.9058601924912</v>
      </c>
      <c r="X278" s="87">
        <f t="shared" si="139"/>
        <v>2803.9058601924912</v>
      </c>
      <c r="Y278" s="87">
        <f t="shared" si="140"/>
        <v>2803.9058601924912</v>
      </c>
      <c r="Z278" s="87">
        <f t="shared" si="141"/>
        <v>2803.9058601924912</v>
      </c>
      <c r="AA278" s="88">
        <v>405</v>
      </c>
      <c r="AB278" s="89">
        <f>AA278*GDPdeflator!$C$25/$AI$18*10^3</f>
        <v>38.940546907618888</v>
      </c>
      <c r="AC278" s="90" t="e">
        <f>INDEX(Efficiencies!$D$8:$M$89,MATCH(C278,Efficiencies!$C$8:$C$89),MATCH(D278,Efficiencies!$D$7:$M$7))</f>
        <v>#REF!</v>
      </c>
      <c r="AD278" s="90" t="e">
        <f t="shared" si="142"/>
        <v>#REF!</v>
      </c>
      <c r="AE278" s="90" t="e">
        <f>INDEX(Efficiencies!$P$8:$Y$89,MATCH(C278,Efficiencies!$C$8:$C$89),MATCH(D278,Efficiencies!$P$7:$Y$7))</f>
        <v>#REF!</v>
      </c>
      <c r="AF278" s="90" t="e">
        <f t="shared" si="143"/>
        <v>#REF!</v>
      </c>
      <c r="AG278" s="90">
        <v>0</v>
      </c>
    </row>
    <row r="279" spans="1:33" x14ac:dyDescent="0.2">
      <c r="A279" s="92" t="s">
        <v>1351</v>
      </c>
      <c r="B279" s="248" t="s">
        <v>1352</v>
      </c>
      <c r="C279" s="40" t="s">
        <v>1340</v>
      </c>
      <c r="D279" s="40">
        <v>2030</v>
      </c>
      <c r="E279" s="86">
        <f>GDPdeflator!$C$32*INDEX(Costs!$E$7:$O$89,MATCH($C279,Costs!$C$7:$C$89,0),MATCH(E$7,Costs!$E$6:$O$6,0))</f>
        <v>31.221544124769927</v>
      </c>
      <c r="F279" s="86">
        <f>GDPdeflator!$C$36*INDEX(Costs!$E$7:$O$89,MATCH($C279,Costs!$C$7:$C$89,0),MATCH(F$7,Costs!$E$6:$O$6,0))</f>
        <v>30.363095774394093</v>
      </c>
      <c r="G279" s="86">
        <f>GDPdeflator!$C$38*INDEX(Costs!$E$7:$O$89,MATCH($C279,Costs!$C$7:$C$89,0),MATCH(G$7,Costs!$E$6:$O$6,0))</f>
        <v>31.872084150778083</v>
      </c>
      <c r="H279" s="86">
        <f>GDPdeflator!$C$38*INDEX(Costs!$E$7:$O$89,MATCH($C279,Costs!$C$7:$C$89,0),MATCH(H$7,Costs!$E$6:$O$6,0))</f>
        <v>32.599237252623759</v>
      </c>
      <c r="I279" s="86">
        <f>GDPdeflator!$C$38*INDEX(Costs!$E$7:$O$89,MATCH($C279,Costs!$C$7:$C$89,0),MATCH(I$7,Costs!$E$6:$O$6,0))</f>
        <v>33.492847088626881</v>
      </c>
      <c r="J279" s="86">
        <f>GDPdeflator!$C$38*INDEX(Costs!$E$7:$O$89,MATCH($C279,Costs!$C$7:$C$89,0),MATCH(J$7,Costs!$E$6:$O$6,0))</f>
        <v>33.536651492352526</v>
      </c>
      <c r="K279" s="86">
        <f>GDPdeflator!$C$38*INDEX(Costs!$E$7:$O$89,MATCH($C279,Costs!$C$7:$C$89,0),MATCH(K$7,Costs!$E$6:$O$6,0))</f>
        <v>33.554173253842784</v>
      </c>
      <c r="L279" s="86">
        <f>GDPdeflator!$C$38*INDEX(Costs!$E$7:$O$89,MATCH($C279,Costs!$C$7:$C$89,0),MATCH(L$7,Costs!$E$6:$O$6,0))</f>
        <v>33.58045589607817</v>
      </c>
      <c r="M279" s="86">
        <f>GDPdeflator!$C$38*INDEX(Costs!$E$7:$O$89,MATCH($C279,Costs!$C$7:$C$89,0),MATCH(M$7,Costs!$E$6:$O$6,0))</f>
        <v>33.58045589607817</v>
      </c>
      <c r="N279" s="86">
        <f>GDPdeflator!$C$38*INDEX(Costs!$E$7:$O$89,MATCH($C279,Costs!$C$7:$C$89,0),MATCH(N$7,Costs!$E$6:$O$6,0))</f>
        <v>33.58045589607817</v>
      </c>
      <c r="O279" s="86">
        <f>GDPdeflator!$C$38*INDEX(Costs!$E$7:$O$89,MATCH($C279,Costs!$C$7:$C$89,0),MATCH(O$7,Costs!$E$6:$O$6,0))</f>
        <v>33.58045589607817</v>
      </c>
      <c r="P279" s="87">
        <f t="shared" si="147"/>
        <v>2606.9410971256293</v>
      </c>
      <c r="Q279" s="87">
        <f t="shared" si="132"/>
        <v>2535.2622501278288</v>
      </c>
      <c r="R279" s="87">
        <f t="shared" si="133"/>
        <v>2661.2599841847855</v>
      </c>
      <c r="S279" s="87">
        <f t="shared" si="134"/>
        <v>2721.9759211521678</v>
      </c>
      <c r="T279" s="87">
        <f t="shared" si="135"/>
        <v>2796.5906870638905</v>
      </c>
      <c r="U279" s="87">
        <f t="shared" si="136"/>
        <v>2800.2482736281909</v>
      </c>
      <c r="V279" s="87">
        <f t="shared" si="137"/>
        <v>2801.7113082539108</v>
      </c>
      <c r="W279" s="87">
        <f t="shared" si="138"/>
        <v>2803.9058601924912</v>
      </c>
      <c r="X279" s="87">
        <f t="shared" si="139"/>
        <v>2803.9058601924912</v>
      </c>
      <c r="Y279" s="87">
        <f t="shared" si="140"/>
        <v>2803.9058601924912</v>
      </c>
      <c r="Z279" s="87">
        <f t="shared" si="141"/>
        <v>2803.9058601924912</v>
      </c>
      <c r="AA279" s="88">
        <v>405</v>
      </c>
      <c r="AB279" s="89">
        <f>AA279*GDPdeflator!$C$25/$AI$18*10^3</f>
        <v>38.940546907618888</v>
      </c>
      <c r="AC279" s="90" t="e">
        <f>INDEX(Efficiencies!$D$8:$M$89,MATCH(C279,Efficiencies!$C$8:$C$89),MATCH(D279,Efficiencies!$D$7:$M$7))</f>
        <v>#REF!</v>
      </c>
      <c r="AD279" s="90" t="e">
        <f t="shared" si="142"/>
        <v>#REF!</v>
      </c>
      <c r="AE279" s="90" t="e">
        <f>INDEX(Efficiencies!$P$8:$Y$89,MATCH(C279,Efficiencies!$C$8:$C$89),MATCH(D279,Efficiencies!$P$7:$Y$7))</f>
        <v>#REF!</v>
      </c>
      <c r="AF279" s="90" t="e">
        <f t="shared" si="143"/>
        <v>#REF!</v>
      </c>
      <c r="AG279" s="90">
        <v>0</v>
      </c>
    </row>
    <row r="280" spans="1:33" x14ac:dyDescent="0.2">
      <c r="A280" s="92" t="s">
        <v>1353</v>
      </c>
      <c r="B280" s="248" t="s">
        <v>1354</v>
      </c>
      <c r="C280" s="40" t="s">
        <v>1340</v>
      </c>
      <c r="D280" s="40">
        <v>2035</v>
      </c>
      <c r="E280" s="86">
        <f>GDPdeflator!$C$32*INDEX(Costs!$E$7:$O$89,MATCH($C280,Costs!$C$7:$C$89,0),MATCH(E$7,Costs!$E$6:$O$6,0))</f>
        <v>31.221544124769927</v>
      </c>
      <c r="F280" s="86">
        <f>GDPdeflator!$C$36*INDEX(Costs!$E$7:$O$89,MATCH($C280,Costs!$C$7:$C$89,0),MATCH(F$7,Costs!$E$6:$O$6,0))</f>
        <v>30.363095774394093</v>
      </c>
      <c r="G280" s="86">
        <f>GDPdeflator!$C$38*INDEX(Costs!$E$7:$O$89,MATCH($C280,Costs!$C$7:$C$89,0),MATCH(G$7,Costs!$E$6:$O$6,0))</f>
        <v>31.872084150778083</v>
      </c>
      <c r="H280" s="86">
        <f>GDPdeflator!$C$38*INDEX(Costs!$E$7:$O$89,MATCH($C280,Costs!$C$7:$C$89,0),MATCH(H$7,Costs!$E$6:$O$6,0))</f>
        <v>32.599237252623759</v>
      </c>
      <c r="I280" s="86">
        <f>GDPdeflator!$C$38*INDEX(Costs!$E$7:$O$89,MATCH($C280,Costs!$C$7:$C$89,0),MATCH(I$7,Costs!$E$6:$O$6,0))</f>
        <v>33.492847088626881</v>
      </c>
      <c r="J280" s="86">
        <f>GDPdeflator!$C$38*INDEX(Costs!$E$7:$O$89,MATCH($C280,Costs!$C$7:$C$89,0),MATCH(J$7,Costs!$E$6:$O$6,0))</f>
        <v>33.536651492352526</v>
      </c>
      <c r="K280" s="86">
        <f>GDPdeflator!$C$38*INDEX(Costs!$E$7:$O$89,MATCH($C280,Costs!$C$7:$C$89,0),MATCH(K$7,Costs!$E$6:$O$6,0))</f>
        <v>33.554173253842784</v>
      </c>
      <c r="L280" s="86">
        <f>GDPdeflator!$C$38*INDEX(Costs!$E$7:$O$89,MATCH($C280,Costs!$C$7:$C$89,0),MATCH(L$7,Costs!$E$6:$O$6,0))</f>
        <v>33.58045589607817</v>
      </c>
      <c r="M280" s="86">
        <f>GDPdeflator!$C$38*INDEX(Costs!$E$7:$O$89,MATCH($C280,Costs!$C$7:$C$89,0),MATCH(M$7,Costs!$E$6:$O$6,0))</f>
        <v>33.58045589607817</v>
      </c>
      <c r="N280" s="86">
        <f>GDPdeflator!$C$38*INDEX(Costs!$E$7:$O$89,MATCH($C280,Costs!$C$7:$C$89,0),MATCH(N$7,Costs!$E$6:$O$6,0))</f>
        <v>33.58045589607817</v>
      </c>
      <c r="O280" s="86">
        <f>GDPdeflator!$C$38*INDEX(Costs!$E$7:$O$89,MATCH($C280,Costs!$C$7:$C$89,0),MATCH(O$7,Costs!$E$6:$O$6,0))</f>
        <v>33.58045589607817</v>
      </c>
      <c r="P280" s="87">
        <f t="shared" si="147"/>
        <v>2606.9410971256293</v>
      </c>
      <c r="Q280" s="87">
        <f t="shared" si="132"/>
        <v>2535.2622501278288</v>
      </c>
      <c r="R280" s="87">
        <f t="shared" si="133"/>
        <v>2661.2599841847855</v>
      </c>
      <c r="S280" s="87">
        <f t="shared" si="134"/>
        <v>2721.9759211521678</v>
      </c>
      <c r="T280" s="87">
        <f t="shared" si="135"/>
        <v>2796.5906870638905</v>
      </c>
      <c r="U280" s="87">
        <f t="shared" si="136"/>
        <v>2800.2482736281909</v>
      </c>
      <c r="V280" s="87">
        <f t="shared" si="137"/>
        <v>2801.7113082539108</v>
      </c>
      <c r="W280" s="87">
        <f t="shared" si="138"/>
        <v>2803.9058601924912</v>
      </c>
      <c r="X280" s="87">
        <f t="shared" si="139"/>
        <v>2803.9058601924912</v>
      </c>
      <c r="Y280" s="87">
        <f t="shared" si="140"/>
        <v>2803.9058601924912</v>
      </c>
      <c r="Z280" s="87">
        <f t="shared" si="141"/>
        <v>2803.9058601924912</v>
      </c>
      <c r="AA280" s="88">
        <v>405</v>
      </c>
      <c r="AB280" s="89">
        <f>AA280*GDPdeflator!$C$25/$AI$18*10^3</f>
        <v>38.940546907618888</v>
      </c>
      <c r="AC280" s="90" t="e">
        <f>INDEX(Efficiencies!$D$8:$M$89,MATCH(C280,Efficiencies!$C$8:$C$89),MATCH(D280,Efficiencies!$D$7:$M$7))</f>
        <v>#REF!</v>
      </c>
      <c r="AD280" s="90" t="e">
        <f t="shared" si="142"/>
        <v>#REF!</v>
      </c>
      <c r="AE280" s="90" t="e">
        <f>INDEX(Efficiencies!$P$8:$Y$89,MATCH(C280,Efficiencies!$C$8:$C$89),MATCH(D280,Efficiencies!$P$7:$Y$7))</f>
        <v>#REF!</v>
      </c>
      <c r="AF280" s="90" t="e">
        <f t="shared" si="143"/>
        <v>#REF!</v>
      </c>
      <c r="AG280" s="90">
        <v>0</v>
      </c>
    </row>
    <row r="281" spans="1:33" x14ac:dyDescent="0.2">
      <c r="A281" s="92" t="s">
        <v>1355</v>
      </c>
      <c r="B281" s="248" t="s">
        <v>1356</v>
      </c>
      <c r="C281" s="40" t="s">
        <v>1340</v>
      </c>
      <c r="D281" s="40">
        <v>2040</v>
      </c>
      <c r="E281" s="86">
        <f>GDPdeflator!$C$32*INDEX(Costs!$E$7:$O$89,MATCH($C281,Costs!$C$7:$C$89,0),MATCH(E$7,Costs!$E$6:$O$6,0))</f>
        <v>31.221544124769927</v>
      </c>
      <c r="F281" s="86">
        <f>GDPdeflator!$C$36*INDEX(Costs!$E$7:$O$89,MATCH($C281,Costs!$C$7:$C$89,0),MATCH(F$7,Costs!$E$6:$O$6,0))</f>
        <v>30.363095774394093</v>
      </c>
      <c r="G281" s="86">
        <f>GDPdeflator!$C$38*INDEX(Costs!$E$7:$O$89,MATCH($C281,Costs!$C$7:$C$89,0),MATCH(G$7,Costs!$E$6:$O$6,0))</f>
        <v>31.872084150778083</v>
      </c>
      <c r="H281" s="86">
        <f>GDPdeflator!$C$38*INDEX(Costs!$E$7:$O$89,MATCH($C281,Costs!$C$7:$C$89,0),MATCH(H$7,Costs!$E$6:$O$6,0))</f>
        <v>32.599237252623759</v>
      </c>
      <c r="I281" s="86">
        <f>GDPdeflator!$C$38*INDEX(Costs!$E$7:$O$89,MATCH($C281,Costs!$C$7:$C$89,0),MATCH(I$7,Costs!$E$6:$O$6,0))</f>
        <v>33.492847088626881</v>
      </c>
      <c r="J281" s="86">
        <f>GDPdeflator!$C$38*INDEX(Costs!$E$7:$O$89,MATCH($C281,Costs!$C$7:$C$89,0),MATCH(J$7,Costs!$E$6:$O$6,0))</f>
        <v>33.536651492352526</v>
      </c>
      <c r="K281" s="86">
        <f>GDPdeflator!$C$38*INDEX(Costs!$E$7:$O$89,MATCH($C281,Costs!$C$7:$C$89,0),MATCH(K$7,Costs!$E$6:$O$6,0))</f>
        <v>33.554173253842784</v>
      </c>
      <c r="L281" s="86">
        <f>GDPdeflator!$C$38*INDEX(Costs!$E$7:$O$89,MATCH($C281,Costs!$C$7:$C$89,0),MATCH(L$7,Costs!$E$6:$O$6,0))</f>
        <v>33.58045589607817</v>
      </c>
      <c r="M281" s="86">
        <f>GDPdeflator!$C$38*INDEX(Costs!$E$7:$O$89,MATCH($C281,Costs!$C$7:$C$89,0),MATCH(M$7,Costs!$E$6:$O$6,0))</f>
        <v>33.58045589607817</v>
      </c>
      <c r="N281" s="86">
        <f>GDPdeflator!$C$38*INDEX(Costs!$E$7:$O$89,MATCH($C281,Costs!$C$7:$C$89,0),MATCH(N$7,Costs!$E$6:$O$6,0))</f>
        <v>33.58045589607817</v>
      </c>
      <c r="O281" s="86">
        <f>GDPdeflator!$C$38*INDEX(Costs!$E$7:$O$89,MATCH($C281,Costs!$C$7:$C$89,0),MATCH(O$7,Costs!$E$6:$O$6,0))</f>
        <v>33.58045589607817</v>
      </c>
      <c r="P281" s="87">
        <f t="shared" si="147"/>
        <v>2606.9410971256293</v>
      </c>
      <c r="Q281" s="87">
        <f t="shared" si="132"/>
        <v>2535.2622501278288</v>
      </c>
      <c r="R281" s="87">
        <f t="shared" si="133"/>
        <v>2661.2599841847855</v>
      </c>
      <c r="S281" s="87">
        <f t="shared" si="134"/>
        <v>2721.9759211521678</v>
      </c>
      <c r="T281" s="87">
        <f t="shared" si="135"/>
        <v>2796.5906870638905</v>
      </c>
      <c r="U281" s="87">
        <f t="shared" si="136"/>
        <v>2800.2482736281909</v>
      </c>
      <c r="V281" s="87">
        <f t="shared" si="137"/>
        <v>2801.7113082539108</v>
      </c>
      <c r="W281" s="87">
        <f t="shared" si="138"/>
        <v>2803.9058601924912</v>
      </c>
      <c r="X281" s="87">
        <f t="shared" si="139"/>
        <v>2803.9058601924912</v>
      </c>
      <c r="Y281" s="87">
        <f t="shared" si="140"/>
        <v>2803.9058601924912</v>
      </c>
      <c r="Z281" s="87">
        <f t="shared" si="141"/>
        <v>2803.9058601924912</v>
      </c>
      <c r="AA281" s="88">
        <v>405</v>
      </c>
      <c r="AB281" s="89">
        <f>AA281*GDPdeflator!$C$25/$AI$18*10^3</f>
        <v>38.940546907618888</v>
      </c>
      <c r="AC281" s="90" t="e">
        <f>INDEX(Efficiencies!$D$8:$M$89,MATCH(C281,Efficiencies!$C$8:$C$89),MATCH(D281,Efficiencies!$D$7:$M$7))</f>
        <v>#REF!</v>
      </c>
      <c r="AD281" s="90" t="e">
        <f t="shared" ref="AD281:AD344" si="148">AC281/($AI$11*$AI$15*10 ^ 9)</f>
        <v>#REF!</v>
      </c>
      <c r="AE281" s="90" t="e">
        <f>INDEX(Efficiencies!$P$8:$Y$89,MATCH(C281,Efficiencies!$C$8:$C$89),MATCH(D281,Efficiencies!$P$7:$Y$7))</f>
        <v>#REF!</v>
      </c>
      <c r="AF281" s="90" t="e">
        <f t="shared" si="143"/>
        <v>#REF!</v>
      </c>
      <c r="AG281" s="90">
        <v>0</v>
      </c>
    </row>
    <row r="282" spans="1:33" x14ac:dyDescent="0.2">
      <c r="A282" s="92" t="s">
        <v>1357</v>
      </c>
      <c r="B282" s="248" t="s">
        <v>1358</v>
      </c>
      <c r="C282" s="40" t="s">
        <v>1340</v>
      </c>
      <c r="D282" s="40">
        <v>2045</v>
      </c>
      <c r="E282" s="86">
        <f>GDPdeflator!$C$32*INDEX(Costs!$E$7:$O$89,MATCH($C282,Costs!$C$7:$C$89,0),MATCH(E$7,Costs!$E$6:$O$6,0))</f>
        <v>31.221544124769927</v>
      </c>
      <c r="F282" s="86">
        <f>GDPdeflator!$C$36*INDEX(Costs!$E$7:$O$89,MATCH($C282,Costs!$C$7:$C$89,0),MATCH(F$7,Costs!$E$6:$O$6,0))</f>
        <v>30.363095774394093</v>
      </c>
      <c r="G282" s="86">
        <f>GDPdeflator!$C$38*INDEX(Costs!$E$7:$O$89,MATCH($C282,Costs!$C$7:$C$89,0),MATCH(G$7,Costs!$E$6:$O$6,0))</f>
        <v>31.872084150778083</v>
      </c>
      <c r="H282" s="86">
        <f>GDPdeflator!$C$38*INDEX(Costs!$E$7:$O$89,MATCH($C282,Costs!$C$7:$C$89,0),MATCH(H$7,Costs!$E$6:$O$6,0))</f>
        <v>32.599237252623759</v>
      </c>
      <c r="I282" s="86">
        <f>GDPdeflator!$C$38*INDEX(Costs!$E$7:$O$89,MATCH($C282,Costs!$C$7:$C$89,0),MATCH(I$7,Costs!$E$6:$O$6,0))</f>
        <v>33.492847088626881</v>
      </c>
      <c r="J282" s="86">
        <f>GDPdeflator!$C$38*INDEX(Costs!$E$7:$O$89,MATCH($C282,Costs!$C$7:$C$89,0),MATCH(J$7,Costs!$E$6:$O$6,0))</f>
        <v>33.536651492352526</v>
      </c>
      <c r="K282" s="86">
        <f>GDPdeflator!$C$38*INDEX(Costs!$E$7:$O$89,MATCH($C282,Costs!$C$7:$C$89,0),MATCH(K$7,Costs!$E$6:$O$6,0))</f>
        <v>33.554173253842784</v>
      </c>
      <c r="L282" s="86">
        <f>GDPdeflator!$C$38*INDEX(Costs!$E$7:$O$89,MATCH($C282,Costs!$C$7:$C$89,0),MATCH(L$7,Costs!$E$6:$O$6,0))</f>
        <v>33.58045589607817</v>
      </c>
      <c r="M282" s="86">
        <f>GDPdeflator!$C$38*INDEX(Costs!$E$7:$O$89,MATCH($C282,Costs!$C$7:$C$89,0),MATCH(M$7,Costs!$E$6:$O$6,0))</f>
        <v>33.58045589607817</v>
      </c>
      <c r="N282" s="86">
        <f>GDPdeflator!$C$38*INDEX(Costs!$E$7:$O$89,MATCH($C282,Costs!$C$7:$C$89,0),MATCH(N$7,Costs!$E$6:$O$6,0))</f>
        <v>33.58045589607817</v>
      </c>
      <c r="O282" s="86">
        <f>GDPdeflator!$C$38*INDEX(Costs!$E$7:$O$89,MATCH($C282,Costs!$C$7:$C$89,0),MATCH(O$7,Costs!$E$6:$O$6,0))</f>
        <v>33.58045589607817</v>
      </c>
      <c r="P282" s="87">
        <f t="shared" si="147"/>
        <v>2606.9410971256293</v>
      </c>
      <c r="Q282" s="87">
        <f t="shared" si="132"/>
        <v>2535.2622501278288</v>
      </c>
      <c r="R282" s="87">
        <f t="shared" si="133"/>
        <v>2661.2599841847855</v>
      </c>
      <c r="S282" s="87">
        <f t="shared" si="134"/>
        <v>2721.9759211521678</v>
      </c>
      <c r="T282" s="87">
        <f t="shared" si="135"/>
        <v>2796.5906870638905</v>
      </c>
      <c r="U282" s="87">
        <f t="shared" si="136"/>
        <v>2800.2482736281909</v>
      </c>
      <c r="V282" s="87">
        <f t="shared" si="137"/>
        <v>2801.7113082539108</v>
      </c>
      <c r="W282" s="87">
        <f t="shared" si="138"/>
        <v>2803.9058601924912</v>
      </c>
      <c r="X282" s="87">
        <f t="shared" si="139"/>
        <v>2803.9058601924912</v>
      </c>
      <c r="Y282" s="87">
        <f t="shared" si="140"/>
        <v>2803.9058601924912</v>
      </c>
      <c r="Z282" s="87">
        <f t="shared" si="141"/>
        <v>2803.9058601924912</v>
      </c>
      <c r="AA282" s="88">
        <v>405</v>
      </c>
      <c r="AB282" s="89">
        <f>AA282*GDPdeflator!$C$25/$AI$18*10^3</f>
        <v>38.940546907618888</v>
      </c>
      <c r="AC282" s="90" t="e">
        <f>INDEX(Efficiencies!$D$8:$M$89,MATCH(C282,Efficiencies!$C$8:$C$89),MATCH(D282,Efficiencies!$D$7:$M$7))</f>
        <v>#REF!</v>
      </c>
      <c r="AD282" s="90" t="e">
        <f t="shared" si="148"/>
        <v>#REF!</v>
      </c>
      <c r="AE282" s="90" t="e">
        <f>INDEX(Efficiencies!$P$8:$Y$89,MATCH(C282,Efficiencies!$C$8:$C$89),MATCH(D282,Efficiencies!$P$7:$Y$7))</f>
        <v>#REF!</v>
      </c>
      <c r="AF282" s="90" t="e">
        <f t="shared" si="143"/>
        <v>#REF!</v>
      </c>
      <c r="AG282" s="90">
        <v>0</v>
      </c>
    </row>
    <row r="283" spans="1:33" x14ac:dyDescent="0.2">
      <c r="A283" s="92" t="s">
        <v>1359</v>
      </c>
      <c r="B283" s="248" t="s">
        <v>1360</v>
      </c>
      <c r="C283" s="40" t="s">
        <v>1340</v>
      </c>
      <c r="D283" s="40">
        <v>2050</v>
      </c>
      <c r="E283" s="86">
        <f>GDPdeflator!$C$32*INDEX(Costs!$E$7:$O$89,MATCH($C283,Costs!$C$7:$C$89,0),MATCH(E$7,Costs!$E$6:$O$6,0))</f>
        <v>31.221544124769927</v>
      </c>
      <c r="F283" s="86">
        <f>GDPdeflator!$C$36*INDEX(Costs!$E$7:$O$89,MATCH($C283,Costs!$C$7:$C$89,0),MATCH(F$7,Costs!$E$6:$O$6,0))</f>
        <v>30.363095774394093</v>
      </c>
      <c r="G283" s="86">
        <f>GDPdeflator!$C$38*INDEX(Costs!$E$7:$O$89,MATCH($C283,Costs!$C$7:$C$89,0),MATCH(G$7,Costs!$E$6:$O$6,0))</f>
        <v>31.872084150778083</v>
      </c>
      <c r="H283" s="86">
        <f>GDPdeflator!$C$38*INDEX(Costs!$E$7:$O$89,MATCH($C283,Costs!$C$7:$C$89,0),MATCH(H$7,Costs!$E$6:$O$6,0))</f>
        <v>32.599237252623759</v>
      </c>
      <c r="I283" s="86">
        <f>GDPdeflator!$C$38*INDEX(Costs!$E$7:$O$89,MATCH($C283,Costs!$C$7:$C$89,0),MATCH(I$7,Costs!$E$6:$O$6,0))</f>
        <v>33.492847088626881</v>
      </c>
      <c r="J283" s="86">
        <f>GDPdeflator!$C$38*INDEX(Costs!$E$7:$O$89,MATCH($C283,Costs!$C$7:$C$89,0),MATCH(J$7,Costs!$E$6:$O$6,0))</f>
        <v>33.536651492352526</v>
      </c>
      <c r="K283" s="86">
        <f>GDPdeflator!$C$38*INDEX(Costs!$E$7:$O$89,MATCH($C283,Costs!$C$7:$C$89,0),MATCH(K$7,Costs!$E$6:$O$6,0))</f>
        <v>33.554173253842784</v>
      </c>
      <c r="L283" s="86">
        <f>GDPdeflator!$C$38*INDEX(Costs!$E$7:$O$89,MATCH($C283,Costs!$C$7:$C$89,0),MATCH(L$7,Costs!$E$6:$O$6,0))</f>
        <v>33.58045589607817</v>
      </c>
      <c r="M283" s="86">
        <f>GDPdeflator!$C$38*INDEX(Costs!$E$7:$O$89,MATCH($C283,Costs!$C$7:$C$89,0),MATCH(M$7,Costs!$E$6:$O$6,0))</f>
        <v>33.58045589607817</v>
      </c>
      <c r="N283" s="86">
        <f>GDPdeflator!$C$38*INDEX(Costs!$E$7:$O$89,MATCH($C283,Costs!$C$7:$C$89,0),MATCH(N$7,Costs!$E$6:$O$6,0))</f>
        <v>33.58045589607817</v>
      </c>
      <c r="O283" s="86">
        <f>GDPdeflator!$C$38*INDEX(Costs!$E$7:$O$89,MATCH($C283,Costs!$C$7:$C$89,0),MATCH(O$7,Costs!$E$6:$O$6,0))</f>
        <v>33.58045589607817</v>
      </c>
      <c r="P283" s="87">
        <f t="shared" si="147"/>
        <v>2606.9410971256293</v>
      </c>
      <c r="Q283" s="87">
        <f t="shared" si="132"/>
        <v>2535.2622501278288</v>
      </c>
      <c r="R283" s="87">
        <f t="shared" si="133"/>
        <v>2661.2599841847855</v>
      </c>
      <c r="S283" s="87">
        <f t="shared" si="134"/>
        <v>2721.9759211521678</v>
      </c>
      <c r="T283" s="87">
        <f t="shared" si="135"/>
        <v>2796.5906870638905</v>
      </c>
      <c r="U283" s="87">
        <f t="shared" si="136"/>
        <v>2800.2482736281909</v>
      </c>
      <c r="V283" s="87">
        <f t="shared" si="137"/>
        <v>2801.7113082539108</v>
      </c>
      <c r="W283" s="87">
        <f t="shared" si="138"/>
        <v>2803.9058601924912</v>
      </c>
      <c r="X283" s="87">
        <f t="shared" si="139"/>
        <v>2803.9058601924912</v>
      </c>
      <c r="Y283" s="87">
        <f t="shared" si="140"/>
        <v>2803.9058601924912</v>
      </c>
      <c r="Z283" s="87">
        <f t="shared" si="141"/>
        <v>2803.9058601924912</v>
      </c>
      <c r="AA283" s="88">
        <v>405</v>
      </c>
      <c r="AB283" s="89">
        <f>AA283*GDPdeflator!$C$25/$AI$18*10^3</f>
        <v>38.940546907618888</v>
      </c>
      <c r="AC283" s="90" t="e">
        <f>INDEX(Efficiencies!$D$8:$M$89,MATCH(C283,Efficiencies!$C$8:$C$89),MATCH(D283,Efficiencies!$D$7:$M$7))</f>
        <v>#REF!</v>
      </c>
      <c r="AD283" s="90" t="e">
        <f t="shared" si="148"/>
        <v>#REF!</v>
      </c>
      <c r="AE283" s="90" t="e">
        <f>INDEX(Efficiencies!$P$8:$Y$89,MATCH(C283,Efficiencies!$C$8:$C$89),MATCH(D283,Efficiencies!$P$7:$Y$7))</f>
        <v>#REF!</v>
      </c>
      <c r="AF283" s="90" t="e">
        <f t="shared" si="143"/>
        <v>#REF!</v>
      </c>
      <c r="AG283" s="90">
        <v>0</v>
      </c>
    </row>
    <row r="284" spans="1:33" x14ac:dyDescent="0.2">
      <c r="A284" s="92" t="s">
        <v>1361</v>
      </c>
      <c r="B284" s="248" t="s">
        <v>1362</v>
      </c>
      <c r="C284" s="40" t="s">
        <v>1363</v>
      </c>
      <c r="D284" s="40">
        <v>2060</v>
      </c>
      <c r="E284" s="86">
        <f>GDPdeflator!$C$32*INDEX(Costs!$E$7:$O$89,MATCH($C284,Costs!$C$7:$C$89,0),MATCH(E$7,Costs!$E$6:$O$6,0))</f>
        <v>30.18502373341083</v>
      </c>
      <c r="F284" s="86">
        <f>GDPdeflator!$C$36*INDEX(Costs!$E$7:$O$89,MATCH($C284,Costs!$C$7:$C$89,0),MATCH(F$7,Costs!$E$6:$O$6,0))</f>
        <v>29.552211910982969</v>
      </c>
      <c r="G284" s="86">
        <f>GDPdeflator!$C$38*INDEX(Costs!$E$7:$O$89,MATCH($C284,Costs!$C$7:$C$89,0),MATCH(G$7,Costs!$E$6:$O$6,0))</f>
        <v>31.048561360735984</v>
      </c>
      <c r="H284" s="86">
        <f>GDPdeflator!$C$38*INDEX(Costs!$E$7:$O$89,MATCH($C284,Costs!$C$7:$C$89,0),MATCH(H$7,Costs!$E$6:$O$6,0))</f>
        <v>31.819518866307309</v>
      </c>
      <c r="I284" s="86">
        <f>GDPdeflator!$C$38*INDEX(Costs!$E$7:$O$89,MATCH($C284,Costs!$C$7:$C$89,0),MATCH(I$7,Costs!$E$6:$O$6,0))</f>
        <v>32.730650463800686</v>
      </c>
      <c r="J284" s="86">
        <f>GDPdeflator!$C$38*INDEX(Costs!$E$7:$O$89,MATCH($C284,Costs!$C$7:$C$89,0),MATCH(J$7,Costs!$E$6:$O$6,0))</f>
        <v>32.77445486752633</v>
      </c>
      <c r="K284" s="86">
        <f>GDPdeflator!$C$38*INDEX(Costs!$E$7:$O$89,MATCH($C284,Costs!$C$7:$C$89,0),MATCH(K$7,Costs!$E$6:$O$6,0))</f>
        <v>32.800737509761717</v>
      </c>
      <c r="L284" s="86">
        <f>GDPdeflator!$C$38*INDEX(Costs!$E$7:$O$89,MATCH($C284,Costs!$C$7:$C$89,0),MATCH(L$7,Costs!$E$6:$O$6,0))</f>
        <v>32.818259271251975</v>
      </c>
      <c r="M284" s="86">
        <f>GDPdeflator!$C$38*INDEX(Costs!$E$7:$O$89,MATCH($C284,Costs!$C$7:$C$89,0),MATCH(M$7,Costs!$E$6:$O$6,0))</f>
        <v>32.818259271251975</v>
      </c>
      <c r="N284" s="86">
        <f>GDPdeflator!$C$38*INDEX(Costs!$E$7:$O$89,MATCH($C284,Costs!$C$7:$C$89,0),MATCH(N$7,Costs!$E$6:$O$6,0))</f>
        <v>32.818259271251975</v>
      </c>
      <c r="O284" s="86">
        <f>GDPdeflator!$C$38*INDEX(Costs!$E$7:$O$89,MATCH($C284,Costs!$C$7:$C$89,0),MATCH(O$7,Costs!$E$6:$O$6,0))</f>
        <v>32.818259271251975</v>
      </c>
      <c r="P284" s="87">
        <f>E284/$AI$18*10^6</f>
        <v>2520.3935645806582</v>
      </c>
      <c r="Q284" s="87">
        <f t="shared" si="132"/>
        <v>2467.5549496793105</v>
      </c>
      <c r="R284" s="87">
        <f t="shared" si="133"/>
        <v>2592.4973567759425</v>
      </c>
      <c r="S284" s="87">
        <f t="shared" si="134"/>
        <v>2656.8708803076252</v>
      </c>
      <c r="T284" s="87">
        <f t="shared" si="135"/>
        <v>2732.9486808450679</v>
      </c>
      <c r="U284" s="87">
        <f t="shared" si="136"/>
        <v>2736.6062674093682</v>
      </c>
      <c r="V284" s="87">
        <f t="shared" si="137"/>
        <v>2738.8008193479486</v>
      </c>
      <c r="W284" s="87">
        <f t="shared" si="138"/>
        <v>2740.2638539736686</v>
      </c>
      <c r="X284" s="87">
        <f t="shared" si="139"/>
        <v>2740.2638539736686</v>
      </c>
      <c r="Y284" s="87">
        <f t="shared" si="140"/>
        <v>2740.2638539736686</v>
      </c>
      <c r="Z284" s="87">
        <f t="shared" si="141"/>
        <v>2740.2638539736686</v>
      </c>
      <c r="AA284" s="88">
        <v>405</v>
      </c>
      <c r="AB284" s="89">
        <f>AA284*GDPdeflator!$C$25/$AI$18*10^3</f>
        <v>38.940546907618888</v>
      </c>
      <c r="AC284" s="90" t="e">
        <f>INDEX(Efficiencies!$D$8:$M$89,MATCH(C284,Efficiencies!$C$8:$C$89),MATCH(D284,Efficiencies!$D$7:$M$7))</f>
        <v>#REF!</v>
      </c>
      <c r="AD284" s="90" t="e">
        <f t="shared" si="148"/>
        <v>#REF!</v>
      </c>
      <c r="AE284" s="90" t="e">
        <f>INDEX(Efficiencies!$P$8:$Y$89,MATCH(C284,Efficiencies!$C$8:$C$89),MATCH(D284,Efficiencies!$P$7:$Y$7))</f>
        <v>#REF!</v>
      </c>
      <c r="AF284" s="90" t="e">
        <f t="shared" si="143"/>
        <v>#REF!</v>
      </c>
      <c r="AG284" s="90">
        <v>0</v>
      </c>
    </row>
    <row r="285" spans="1:33" x14ac:dyDescent="0.2">
      <c r="A285" s="92" t="s">
        <v>1364</v>
      </c>
      <c r="B285" s="248" t="s">
        <v>1365</v>
      </c>
      <c r="C285" s="40" t="s">
        <v>1363</v>
      </c>
      <c r="D285" s="40">
        <v>2005</v>
      </c>
      <c r="E285" s="86">
        <f>GDPdeflator!$C$32*INDEX(Costs!$E$7:$O$89,MATCH($C285,Costs!$C$7:$C$89,0),MATCH(E$7,Costs!$E$6:$O$6,0))</f>
        <v>30.18502373341083</v>
      </c>
      <c r="F285" s="86">
        <f>GDPdeflator!$C$36*INDEX(Costs!$E$7:$O$89,MATCH($C285,Costs!$C$7:$C$89,0),MATCH(F$7,Costs!$E$6:$O$6,0))</f>
        <v>29.552211910982969</v>
      </c>
      <c r="G285" s="86">
        <f>GDPdeflator!$C$38*INDEX(Costs!$E$7:$O$89,MATCH($C285,Costs!$C$7:$C$89,0),MATCH(G$7,Costs!$E$6:$O$6,0))</f>
        <v>31.048561360735984</v>
      </c>
      <c r="H285" s="86">
        <f>GDPdeflator!$C$38*INDEX(Costs!$E$7:$O$89,MATCH($C285,Costs!$C$7:$C$89,0),MATCH(H$7,Costs!$E$6:$O$6,0))</f>
        <v>31.819518866307309</v>
      </c>
      <c r="I285" s="86">
        <f>GDPdeflator!$C$38*INDEX(Costs!$E$7:$O$89,MATCH($C285,Costs!$C$7:$C$89,0),MATCH(I$7,Costs!$E$6:$O$6,0))</f>
        <v>32.730650463800686</v>
      </c>
      <c r="J285" s="86">
        <f>GDPdeflator!$C$38*INDEX(Costs!$E$7:$O$89,MATCH($C285,Costs!$C$7:$C$89,0),MATCH(J$7,Costs!$E$6:$O$6,0))</f>
        <v>32.77445486752633</v>
      </c>
      <c r="K285" s="86">
        <f>GDPdeflator!$C$38*INDEX(Costs!$E$7:$O$89,MATCH($C285,Costs!$C$7:$C$89,0),MATCH(K$7,Costs!$E$6:$O$6,0))</f>
        <v>32.800737509761717</v>
      </c>
      <c r="L285" s="86">
        <f>GDPdeflator!$C$38*INDEX(Costs!$E$7:$O$89,MATCH($C285,Costs!$C$7:$C$89,0),MATCH(L$7,Costs!$E$6:$O$6,0))</f>
        <v>32.818259271251975</v>
      </c>
      <c r="M285" s="86">
        <f>GDPdeflator!$C$38*INDEX(Costs!$E$7:$O$89,MATCH($C285,Costs!$C$7:$C$89,0),MATCH(M$7,Costs!$E$6:$O$6,0))</f>
        <v>32.818259271251975</v>
      </c>
      <c r="N285" s="86">
        <f>GDPdeflator!$C$38*INDEX(Costs!$E$7:$O$89,MATCH($C285,Costs!$C$7:$C$89,0),MATCH(N$7,Costs!$E$6:$O$6,0))</f>
        <v>32.818259271251975</v>
      </c>
      <c r="O285" s="86">
        <f>GDPdeflator!$C$38*INDEX(Costs!$E$7:$O$89,MATCH($C285,Costs!$C$7:$C$89,0),MATCH(O$7,Costs!$E$6:$O$6,0))</f>
        <v>32.818259271251975</v>
      </c>
      <c r="P285" s="87">
        <f t="shared" ref="P285:P294" si="149">E285/$AI$18*10^6</f>
        <v>2520.3935645806582</v>
      </c>
      <c r="Q285" s="87">
        <f t="shared" si="132"/>
        <v>2467.5549496793105</v>
      </c>
      <c r="R285" s="87">
        <f t="shared" si="133"/>
        <v>2592.4973567759425</v>
      </c>
      <c r="S285" s="87">
        <f t="shared" si="134"/>
        <v>2656.8708803076252</v>
      </c>
      <c r="T285" s="87">
        <f t="shared" si="135"/>
        <v>2732.9486808450679</v>
      </c>
      <c r="U285" s="87">
        <f t="shared" si="136"/>
        <v>2736.6062674093682</v>
      </c>
      <c r="V285" s="87">
        <f t="shared" si="137"/>
        <v>2738.8008193479486</v>
      </c>
      <c r="W285" s="87">
        <f t="shared" si="138"/>
        <v>2740.2638539736686</v>
      </c>
      <c r="X285" s="87">
        <f t="shared" si="139"/>
        <v>2740.2638539736686</v>
      </c>
      <c r="Y285" s="87">
        <f t="shared" si="140"/>
        <v>2740.2638539736686</v>
      </c>
      <c r="Z285" s="87">
        <f t="shared" si="141"/>
        <v>2740.2638539736686</v>
      </c>
      <c r="AA285" s="88">
        <v>405</v>
      </c>
      <c r="AB285" s="89">
        <f>AA285*GDPdeflator!$C$25/$AI$18*10^3</f>
        <v>38.940546907618888</v>
      </c>
      <c r="AC285" s="90" t="e">
        <f>INDEX(Efficiencies!$D$8:$M$89,MATCH(C285,Efficiencies!$C$8:$C$89),MATCH(D285,Efficiencies!$D$7:$M$7))</f>
        <v>#REF!</v>
      </c>
      <c r="AD285" s="90" t="e">
        <f t="shared" si="148"/>
        <v>#REF!</v>
      </c>
      <c r="AE285" s="90" t="e">
        <f>INDEX(Efficiencies!$P$8:$Y$89,MATCH(C285,Efficiencies!$C$8:$C$89),MATCH(D285,Efficiencies!$P$7:$Y$7))</f>
        <v>#REF!</v>
      </c>
      <c r="AF285" s="90" t="e">
        <f t="shared" si="143"/>
        <v>#REF!</v>
      </c>
      <c r="AG285" s="90">
        <v>0</v>
      </c>
    </row>
    <row r="286" spans="1:33" x14ac:dyDescent="0.2">
      <c r="A286" s="92" t="s">
        <v>1366</v>
      </c>
      <c r="B286" s="248" t="s">
        <v>1367</v>
      </c>
      <c r="C286" s="40" t="s">
        <v>1363</v>
      </c>
      <c r="D286" s="40">
        <v>2010</v>
      </c>
      <c r="E286" s="86">
        <f>GDPdeflator!$C$32*INDEX(Costs!$E$7:$O$89,MATCH($C286,Costs!$C$7:$C$89,0),MATCH(E$7,Costs!$E$6:$O$6,0))</f>
        <v>30.18502373341083</v>
      </c>
      <c r="F286" s="86">
        <f>GDPdeflator!$C$36*INDEX(Costs!$E$7:$O$89,MATCH($C286,Costs!$C$7:$C$89,0),MATCH(F$7,Costs!$E$6:$O$6,0))</f>
        <v>29.552211910982969</v>
      </c>
      <c r="G286" s="86">
        <f>GDPdeflator!$C$38*INDEX(Costs!$E$7:$O$89,MATCH($C286,Costs!$C$7:$C$89,0),MATCH(G$7,Costs!$E$6:$O$6,0))</f>
        <v>31.048561360735984</v>
      </c>
      <c r="H286" s="86">
        <f>GDPdeflator!$C$38*INDEX(Costs!$E$7:$O$89,MATCH($C286,Costs!$C$7:$C$89,0),MATCH(H$7,Costs!$E$6:$O$6,0))</f>
        <v>31.819518866307309</v>
      </c>
      <c r="I286" s="86">
        <f>GDPdeflator!$C$38*INDEX(Costs!$E$7:$O$89,MATCH($C286,Costs!$C$7:$C$89,0),MATCH(I$7,Costs!$E$6:$O$6,0))</f>
        <v>32.730650463800686</v>
      </c>
      <c r="J286" s="86">
        <f>GDPdeflator!$C$38*INDEX(Costs!$E$7:$O$89,MATCH($C286,Costs!$C$7:$C$89,0),MATCH(J$7,Costs!$E$6:$O$6,0))</f>
        <v>32.77445486752633</v>
      </c>
      <c r="K286" s="86">
        <f>GDPdeflator!$C$38*INDEX(Costs!$E$7:$O$89,MATCH($C286,Costs!$C$7:$C$89,0),MATCH(K$7,Costs!$E$6:$O$6,0))</f>
        <v>32.800737509761717</v>
      </c>
      <c r="L286" s="86">
        <f>GDPdeflator!$C$38*INDEX(Costs!$E$7:$O$89,MATCH($C286,Costs!$C$7:$C$89,0),MATCH(L$7,Costs!$E$6:$O$6,0))</f>
        <v>32.818259271251975</v>
      </c>
      <c r="M286" s="86">
        <f>GDPdeflator!$C$38*INDEX(Costs!$E$7:$O$89,MATCH($C286,Costs!$C$7:$C$89,0),MATCH(M$7,Costs!$E$6:$O$6,0))</f>
        <v>32.818259271251975</v>
      </c>
      <c r="N286" s="86">
        <f>GDPdeflator!$C$38*INDEX(Costs!$E$7:$O$89,MATCH($C286,Costs!$C$7:$C$89,0),MATCH(N$7,Costs!$E$6:$O$6,0))</f>
        <v>32.818259271251975</v>
      </c>
      <c r="O286" s="86">
        <f>GDPdeflator!$C$38*INDEX(Costs!$E$7:$O$89,MATCH($C286,Costs!$C$7:$C$89,0),MATCH(O$7,Costs!$E$6:$O$6,0))</f>
        <v>32.818259271251975</v>
      </c>
      <c r="P286" s="87">
        <f t="shared" si="149"/>
        <v>2520.3935645806582</v>
      </c>
      <c r="Q286" s="87">
        <f t="shared" si="132"/>
        <v>2467.5549496793105</v>
      </c>
      <c r="R286" s="87">
        <f t="shared" si="133"/>
        <v>2592.4973567759425</v>
      </c>
      <c r="S286" s="87">
        <f t="shared" si="134"/>
        <v>2656.8708803076252</v>
      </c>
      <c r="T286" s="87">
        <f t="shared" si="135"/>
        <v>2732.9486808450679</v>
      </c>
      <c r="U286" s="87">
        <f t="shared" si="136"/>
        <v>2736.6062674093682</v>
      </c>
      <c r="V286" s="87">
        <f t="shared" si="137"/>
        <v>2738.8008193479486</v>
      </c>
      <c r="W286" s="87">
        <f t="shared" si="138"/>
        <v>2740.2638539736686</v>
      </c>
      <c r="X286" s="87">
        <f t="shared" si="139"/>
        <v>2740.2638539736686</v>
      </c>
      <c r="Y286" s="87">
        <f t="shared" si="140"/>
        <v>2740.2638539736686</v>
      </c>
      <c r="Z286" s="87">
        <f t="shared" si="141"/>
        <v>2740.2638539736686</v>
      </c>
      <c r="AA286" s="88">
        <v>405</v>
      </c>
      <c r="AB286" s="89">
        <f>AA286*GDPdeflator!$C$25/$AI$18*10^3</f>
        <v>38.940546907618888</v>
      </c>
      <c r="AC286" s="90" t="e">
        <f>INDEX(Efficiencies!$D$8:$M$89,MATCH(C286,Efficiencies!$C$8:$C$89),MATCH(D286,Efficiencies!$D$7:$M$7))</f>
        <v>#REF!</v>
      </c>
      <c r="AD286" s="90" t="e">
        <f t="shared" si="148"/>
        <v>#REF!</v>
      </c>
      <c r="AE286" s="90" t="e">
        <f>INDEX(Efficiencies!$P$8:$Y$89,MATCH(C286,Efficiencies!$C$8:$C$89),MATCH(D286,Efficiencies!$P$7:$Y$7))</f>
        <v>#REF!</v>
      </c>
      <c r="AF286" s="90" t="e">
        <f t="shared" si="143"/>
        <v>#REF!</v>
      </c>
      <c r="AG286" s="90">
        <v>0</v>
      </c>
    </row>
    <row r="287" spans="1:33" x14ac:dyDescent="0.2">
      <c r="A287" s="92" t="s">
        <v>1368</v>
      </c>
      <c r="B287" s="248" t="s">
        <v>1369</v>
      </c>
      <c r="C287" s="40" t="s">
        <v>1363</v>
      </c>
      <c r="D287" s="40">
        <v>2015</v>
      </c>
      <c r="E287" s="86">
        <f>GDPdeflator!$C$32*INDEX(Costs!$E$7:$O$89,MATCH($C287,Costs!$C$7:$C$89,0),MATCH(E$7,Costs!$E$6:$O$6,0))</f>
        <v>30.18502373341083</v>
      </c>
      <c r="F287" s="86">
        <f>GDPdeflator!$C$36*INDEX(Costs!$E$7:$O$89,MATCH($C287,Costs!$C$7:$C$89,0),MATCH(F$7,Costs!$E$6:$O$6,0))</f>
        <v>29.552211910982969</v>
      </c>
      <c r="G287" s="86">
        <f>GDPdeflator!$C$38*INDEX(Costs!$E$7:$O$89,MATCH($C287,Costs!$C$7:$C$89,0),MATCH(G$7,Costs!$E$6:$O$6,0))</f>
        <v>31.048561360735984</v>
      </c>
      <c r="H287" s="86">
        <f>GDPdeflator!$C$38*INDEX(Costs!$E$7:$O$89,MATCH($C287,Costs!$C$7:$C$89,0),MATCH(H$7,Costs!$E$6:$O$6,0))</f>
        <v>31.819518866307309</v>
      </c>
      <c r="I287" s="86">
        <f>GDPdeflator!$C$38*INDEX(Costs!$E$7:$O$89,MATCH($C287,Costs!$C$7:$C$89,0),MATCH(I$7,Costs!$E$6:$O$6,0))</f>
        <v>32.730650463800686</v>
      </c>
      <c r="J287" s="86">
        <f>GDPdeflator!$C$38*INDEX(Costs!$E$7:$O$89,MATCH($C287,Costs!$C$7:$C$89,0),MATCH(J$7,Costs!$E$6:$O$6,0))</f>
        <v>32.77445486752633</v>
      </c>
      <c r="K287" s="86">
        <f>GDPdeflator!$C$38*INDEX(Costs!$E$7:$O$89,MATCH($C287,Costs!$C$7:$C$89,0),MATCH(K$7,Costs!$E$6:$O$6,0))</f>
        <v>32.800737509761717</v>
      </c>
      <c r="L287" s="86">
        <f>GDPdeflator!$C$38*INDEX(Costs!$E$7:$O$89,MATCH($C287,Costs!$C$7:$C$89,0),MATCH(L$7,Costs!$E$6:$O$6,0))</f>
        <v>32.818259271251975</v>
      </c>
      <c r="M287" s="86">
        <f>GDPdeflator!$C$38*INDEX(Costs!$E$7:$O$89,MATCH($C287,Costs!$C$7:$C$89,0),MATCH(M$7,Costs!$E$6:$O$6,0))</f>
        <v>32.818259271251975</v>
      </c>
      <c r="N287" s="86">
        <f>GDPdeflator!$C$38*INDEX(Costs!$E$7:$O$89,MATCH($C287,Costs!$C$7:$C$89,0),MATCH(N$7,Costs!$E$6:$O$6,0))</f>
        <v>32.818259271251975</v>
      </c>
      <c r="O287" s="86">
        <f>GDPdeflator!$C$38*INDEX(Costs!$E$7:$O$89,MATCH($C287,Costs!$C$7:$C$89,0),MATCH(O$7,Costs!$E$6:$O$6,0))</f>
        <v>32.818259271251975</v>
      </c>
      <c r="P287" s="87">
        <f t="shared" si="149"/>
        <v>2520.3935645806582</v>
      </c>
      <c r="Q287" s="87">
        <f t="shared" si="132"/>
        <v>2467.5549496793105</v>
      </c>
      <c r="R287" s="87">
        <f t="shared" si="133"/>
        <v>2592.4973567759425</v>
      </c>
      <c r="S287" s="87">
        <f t="shared" si="134"/>
        <v>2656.8708803076252</v>
      </c>
      <c r="T287" s="87">
        <f t="shared" si="135"/>
        <v>2732.9486808450679</v>
      </c>
      <c r="U287" s="87">
        <f t="shared" si="136"/>
        <v>2736.6062674093682</v>
      </c>
      <c r="V287" s="87">
        <f t="shared" si="137"/>
        <v>2738.8008193479486</v>
      </c>
      <c r="W287" s="87">
        <f t="shared" si="138"/>
        <v>2740.2638539736686</v>
      </c>
      <c r="X287" s="87">
        <f t="shared" si="139"/>
        <v>2740.2638539736686</v>
      </c>
      <c r="Y287" s="87">
        <f t="shared" si="140"/>
        <v>2740.2638539736686</v>
      </c>
      <c r="Z287" s="87">
        <f t="shared" si="141"/>
        <v>2740.2638539736686</v>
      </c>
      <c r="AA287" s="88">
        <v>405</v>
      </c>
      <c r="AB287" s="89">
        <f>AA287*GDPdeflator!$C$25/$AI$18*10^3</f>
        <v>38.940546907618888</v>
      </c>
      <c r="AC287" s="90" t="e">
        <f>INDEX(Efficiencies!$D$8:$M$89,MATCH(C287,Efficiencies!$C$8:$C$89),MATCH(D287,Efficiencies!$D$7:$M$7))</f>
        <v>#REF!</v>
      </c>
      <c r="AD287" s="90" t="e">
        <f t="shared" si="148"/>
        <v>#REF!</v>
      </c>
      <c r="AE287" s="90" t="e">
        <f>INDEX(Efficiencies!$P$8:$Y$89,MATCH(C287,Efficiencies!$C$8:$C$89),MATCH(D287,Efficiencies!$P$7:$Y$7))</f>
        <v>#REF!</v>
      </c>
      <c r="AF287" s="90" t="e">
        <f t="shared" si="143"/>
        <v>#REF!</v>
      </c>
      <c r="AG287" s="90">
        <v>0</v>
      </c>
    </row>
    <row r="288" spans="1:33" x14ac:dyDescent="0.2">
      <c r="A288" s="92" t="s">
        <v>1370</v>
      </c>
      <c r="B288" s="248" t="s">
        <v>1371</v>
      </c>
      <c r="C288" s="40" t="s">
        <v>1363</v>
      </c>
      <c r="D288" s="40">
        <v>2020</v>
      </c>
      <c r="E288" s="86">
        <f>GDPdeflator!$C$32*INDEX(Costs!$E$7:$O$89,MATCH($C288,Costs!$C$7:$C$89,0),MATCH(E$7,Costs!$E$6:$O$6,0))</f>
        <v>30.18502373341083</v>
      </c>
      <c r="F288" s="86">
        <f>GDPdeflator!$C$36*INDEX(Costs!$E$7:$O$89,MATCH($C288,Costs!$C$7:$C$89,0),MATCH(F$7,Costs!$E$6:$O$6,0))</f>
        <v>29.552211910982969</v>
      </c>
      <c r="G288" s="86">
        <f>GDPdeflator!$C$38*INDEX(Costs!$E$7:$O$89,MATCH($C288,Costs!$C$7:$C$89,0),MATCH(G$7,Costs!$E$6:$O$6,0))</f>
        <v>31.048561360735984</v>
      </c>
      <c r="H288" s="86">
        <f>GDPdeflator!$C$38*INDEX(Costs!$E$7:$O$89,MATCH($C288,Costs!$C$7:$C$89,0),MATCH(H$7,Costs!$E$6:$O$6,0))</f>
        <v>31.819518866307309</v>
      </c>
      <c r="I288" s="86">
        <f>GDPdeflator!$C$38*INDEX(Costs!$E$7:$O$89,MATCH($C288,Costs!$C$7:$C$89,0),MATCH(I$7,Costs!$E$6:$O$6,0))</f>
        <v>32.730650463800686</v>
      </c>
      <c r="J288" s="86">
        <f>GDPdeflator!$C$38*INDEX(Costs!$E$7:$O$89,MATCH($C288,Costs!$C$7:$C$89,0),MATCH(J$7,Costs!$E$6:$O$6,0))</f>
        <v>32.77445486752633</v>
      </c>
      <c r="K288" s="86">
        <f>GDPdeflator!$C$38*INDEX(Costs!$E$7:$O$89,MATCH($C288,Costs!$C$7:$C$89,0),MATCH(K$7,Costs!$E$6:$O$6,0))</f>
        <v>32.800737509761717</v>
      </c>
      <c r="L288" s="86">
        <f>GDPdeflator!$C$38*INDEX(Costs!$E$7:$O$89,MATCH($C288,Costs!$C$7:$C$89,0),MATCH(L$7,Costs!$E$6:$O$6,0))</f>
        <v>32.818259271251975</v>
      </c>
      <c r="M288" s="86">
        <f>GDPdeflator!$C$38*INDEX(Costs!$E$7:$O$89,MATCH($C288,Costs!$C$7:$C$89,0),MATCH(M$7,Costs!$E$6:$O$6,0))</f>
        <v>32.818259271251975</v>
      </c>
      <c r="N288" s="86">
        <f>GDPdeflator!$C$38*INDEX(Costs!$E$7:$O$89,MATCH($C288,Costs!$C$7:$C$89,0),MATCH(N$7,Costs!$E$6:$O$6,0))</f>
        <v>32.818259271251975</v>
      </c>
      <c r="O288" s="86">
        <f>GDPdeflator!$C$38*INDEX(Costs!$E$7:$O$89,MATCH($C288,Costs!$C$7:$C$89,0),MATCH(O$7,Costs!$E$6:$O$6,0))</f>
        <v>32.818259271251975</v>
      </c>
      <c r="P288" s="87">
        <f t="shared" si="149"/>
        <v>2520.3935645806582</v>
      </c>
      <c r="Q288" s="87">
        <f t="shared" si="132"/>
        <v>2467.5549496793105</v>
      </c>
      <c r="R288" s="87">
        <f t="shared" si="133"/>
        <v>2592.4973567759425</v>
      </c>
      <c r="S288" s="87">
        <f t="shared" si="134"/>
        <v>2656.8708803076252</v>
      </c>
      <c r="T288" s="87">
        <f t="shared" si="135"/>
        <v>2732.9486808450679</v>
      </c>
      <c r="U288" s="87">
        <f t="shared" si="136"/>
        <v>2736.6062674093682</v>
      </c>
      <c r="V288" s="87">
        <f t="shared" si="137"/>
        <v>2738.8008193479486</v>
      </c>
      <c r="W288" s="87">
        <f t="shared" si="138"/>
        <v>2740.2638539736686</v>
      </c>
      <c r="X288" s="87">
        <f t="shared" si="139"/>
        <v>2740.2638539736686</v>
      </c>
      <c r="Y288" s="87">
        <f t="shared" si="140"/>
        <v>2740.2638539736686</v>
      </c>
      <c r="Z288" s="87">
        <f t="shared" si="141"/>
        <v>2740.2638539736686</v>
      </c>
      <c r="AA288" s="88">
        <v>405</v>
      </c>
      <c r="AB288" s="89">
        <f>AA288*GDPdeflator!$C$25/$AI$18*10^3</f>
        <v>38.940546907618888</v>
      </c>
      <c r="AC288" s="90" t="e">
        <f>INDEX(Efficiencies!$D$8:$M$89,MATCH(C288,Efficiencies!$C$8:$C$89),MATCH(D288,Efficiencies!$D$7:$M$7))</f>
        <v>#REF!</v>
      </c>
      <c r="AD288" s="90" t="e">
        <f t="shared" si="148"/>
        <v>#REF!</v>
      </c>
      <c r="AE288" s="90" t="e">
        <f>INDEX(Efficiencies!$P$8:$Y$89,MATCH(C288,Efficiencies!$C$8:$C$89),MATCH(D288,Efficiencies!$P$7:$Y$7))</f>
        <v>#REF!</v>
      </c>
      <c r="AF288" s="90" t="e">
        <f t="shared" si="143"/>
        <v>#REF!</v>
      </c>
      <c r="AG288" s="90">
        <v>0</v>
      </c>
    </row>
    <row r="289" spans="1:33" x14ac:dyDescent="0.2">
      <c r="A289" s="92" t="s">
        <v>1372</v>
      </c>
      <c r="B289" s="248" t="s">
        <v>1373</v>
      </c>
      <c r="C289" s="40" t="s">
        <v>1363</v>
      </c>
      <c r="D289" s="40">
        <v>2025</v>
      </c>
      <c r="E289" s="86">
        <f>GDPdeflator!$C$32*INDEX(Costs!$E$7:$O$89,MATCH($C289,Costs!$C$7:$C$89,0),MATCH(E$7,Costs!$E$6:$O$6,0))</f>
        <v>30.18502373341083</v>
      </c>
      <c r="F289" s="86">
        <f>GDPdeflator!$C$36*INDEX(Costs!$E$7:$O$89,MATCH($C289,Costs!$C$7:$C$89,0),MATCH(F$7,Costs!$E$6:$O$6,0))</f>
        <v>29.552211910982969</v>
      </c>
      <c r="G289" s="86">
        <f>GDPdeflator!$C$38*INDEX(Costs!$E$7:$O$89,MATCH($C289,Costs!$C$7:$C$89,0),MATCH(G$7,Costs!$E$6:$O$6,0))</f>
        <v>31.048561360735984</v>
      </c>
      <c r="H289" s="86">
        <f>GDPdeflator!$C$38*INDEX(Costs!$E$7:$O$89,MATCH($C289,Costs!$C$7:$C$89,0),MATCH(H$7,Costs!$E$6:$O$6,0))</f>
        <v>31.819518866307309</v>
      </c>
      <c r="I289" s="86">
        <f>GDPdeflator!$C$38*INDEX(Costs!$E$7:$O$89,MATCH($C289,Costs!$C$7:$C$89,0),MATCH(I$7,Costs!$E$6:$O$6,0))</f>
        <v>32.730650463800686</v>
      </c>
      <c r="J289" s="86">
        <f>GDPdeflator!$C$38*INDEX(Costs!$E$7:$O$89,MATCH($C289,Costs!$C$7:$C$89,0),MATCH(J$7,Costs!$E$6:$O$6,0))</f>
        <v>32.77445486752633</v>
      </c>
      <c r="K289" s="86">
        <f>GDPdeflator!$C$38*INDEX(Costs!$E$7:$O$89,MATCH($C289,Costs!$C$7:$C$89,0),MATCH(K$7,Costs!$E$6:$O$6,0))</f>
        <v>32.800737509761717</v>
      </c>
      <c r="L289" s="86">
        <f>GDPdeflator!$C$38*INDEX(Costs!$E$7:$O$89,MATCH($C289,Costs!$C$7:$C$89,0),MATCH(L$7,Costs!$E$6:$O$6,0))</f>
        <v>32.818259271251975</v>
      </c>
      <c r="M289" s="86">
        <f>GDPdeflator!$C$38*INDEX(Costs!$E$7:$O$89,MATCH($C289,Costs!$C$7:$C$89,0),MATCH(M$7,Costs!$E$6:$O$6,0))</f>
        <v>32.818259271251975</v>
      </c>
      <c r="N289" s="86">
        <f>GDPdeflator!$C$38*INDEX(Costs!$E$7:$O$89,MATCH($C289,Costs!$C$7:$C$89,0),MATCH(N$7,Costs!$E$6:$O$6,0))</f>
        <v>32.818259271251975</v>
      </c>
      <c r="O289" s="86">
        <f>GDPdeflator!$C$38*INDEX(Costs!$E$7:$O$89,MATCH($C289,Costs!$C$7:$C$89,0),MATCH(O$7,Costs!$E$6:$O$6,0))</f>
        <v>32.818259271251975</v>
      </c>
      <c r="P289" s="87">
        <f t="shared" si="149"/>
        <v>2520.3935645806582</v>
      </c>
      <c r="Q289" s="87">
        <f t="shared" si="132"/>
        <v>2467.5549496793105</v>
      </c>
      <c r="R289" s="87">
        <f t="shared" si="133"/>
        <v>2592.4973567759425</v>
      </c>
      <c r="S289" s="87">
        <f t="shared" si="134"/>
        <v>2656.8708803076252</v>
      </c>
      <c r="T289" s="87">
        <f t="shared" si="135"/>
        <v>2732.9486808450679</v>
      </c>
      <c r="U289" s="87">
        <f t="shared" si="136"/>
        <v>2736.6062674093682</v>
      </c>
      <c r="V289" s="87">
        <f t="shared" si="137"/>
        <v>2738.8008193479486</v>
      </c>
      <c r="W289" s="87">
        <f t="shared" si="138"/>
        <v>2740.2638539736686</v>
      </c>
      <c r="X289" s="87">
        <f t="shared" si="139"/>
        <v>2740.2638539736686</v>
      </c>
      <c r="Y289" s="87">
        <f t="shared" si="140"/>
        <v>2740.2638539736686</v>
      </c>
      <c r="Z289" s="87">
        <f t="shared" si="141"/>
        <v>2740.2638539736686</v>
      </c>
      <c r="AA289" s="88">
        <v>405</v>
      </c>
      <c r="AB289" s="89">
        <f>AA289*GDPdeflator!$C$25/$AI$18*10^3</f>
        <v>38.940546907618888</v>
      </c>
      <c r="AC289" s="90" t="e">
        <f>INDEX(Efficiencies!$D$8:$M$89,MATCH(C289,Efficiencies!$C$8:$C$89),MATCH(D289,Efficiencies!$D$7:$M$7))</f>
        <v>#REF!</v>
      </c>
      <c r="AD289" s="90" t="e">
        <f t="shared" si="148"/>
        <v>#REF!</v>
      </c>
      <c r="AE289" s="90" t="e">
        <f>INDEX(Efficiencies!$P$8:$Y$89,MATCH(C289,Efficiencies!$C$8:$C$89),MATCH(D289,Efficiencies!$P$7:$Y$7))</f>
        <v>#REF!</v>
      </c>
      <c r="AF289" s="90" t="e">
        <f t="shared" si="143"/>
        <v>#REF!</v>
      </c>
      <c r="AG289" s="90">
        <v>0</v>
      </c>
    </row>
    <row r="290" spans="1:33" x14ac:dyDescent="0.2">
      <c r="A290" s="92" t="s">
        <v>1374</v>
      </c>
      <c r="B290" s="248" t="s">
        <v>1375</v>
      </c>
      <c r="C290" s="40" t="s">
        <v>1363</v>
      </c>
      <c r="D290" s="40">
        <v>2030</v>
      </c>
      <c r="E290" s="86">
        <f>GDPdeflator!$C$32*INDEX(Costs!$E$7:$O$89,MATCH($C290,Costs!$C$7:$C$89,0),MATCH(E$7,Costs!$E$6:$O$6,0))</f>
        <v>30.18502373341083</v>
      </c>
      <c r="F290" s="86">
        <f>GDPdeflator!$C$36*INDEX(Costs!$E$7:$O$89,MATCH($C290,Costs!$C$7:$C$89,0),MATCH(F$7,Costs!$E$6:$O$6,0))</f>
        <v>29.552211910982969</v>
      </c>
      <c r="G290" s="86">
        <f>GDPdeflator!$C$38*INDEX(Costs!$E$7:$O$89,MATCH($C290,Costs!$C$7:$C$89,0),MATCH(G$7,Costs!$E$6:$O$6,0))</f>
        <v>31.048561360735984</v>
      </c>
      <c r="H290" s="86">
        <f>GDPdeflator!$C$38*INDEX(Costs!$E$7:$O$89,MATCH($C290,Costs!$C$7:$C$89,0),MATCH(H$7,Costs!$E$6:$O$6,0))</f>
        <v>31.819518866307309</v>
      </c>
      <c r="I290" s="86">
        <f>GDPdeflator!$C$38*INDEX(Costs!$E$7:$O$89,MATCH($C290,Costs!$C$7:$C$89,0),MATCH(I$7,Costs!$E$6:$O$6,0))</f>
        <v>32.730650463800686</v>
      </c>
      <c r="J290" s="86">
        <f>GDPdeflator!$C$38*INDEX(Costs!$E$7:$O$89,MATCH($C290,Costs!$C$7:$C$89,0),MATCH(J$7,Costs!$E$6:$O$6,0))</f>
        <v>32.77445486752633</v>
      </c>
      <c r="K290" s="86">
        <f>GDPdeflator!$C$38*INDEX(Costs!$E$7:$O$89,MATCH($C290,Costs!$C$7:$C$89,0),MATCH(K$7,Costs!$E$6:$O$6,0))</f>
        <v>32.800737509761717</v>
      </c>
      <c r="L290" s="86">
        <f>GDPdeflator!$C$38*INDEX(Costs!$E$7:$O$89,MATCH($C290,Costs!$C$7:$C$89,0),MATCH(L$7,Costs!$E$6:$O$6,0))</f>
        <v>32.818259271251975</v>
      </c>
      <c r="M290" s="86">
        <f>GDPdeflator!$C$38*INDEX(Costs!$E$7:$O$89,MATCH($C290,Costs!$C$7:$C$89,0),MATCH(M$7,Costs!$E$6:$O$6,0))</f>
        <v>32.818259271251975</v>
      </c>
      <c r="N290" s="86">
        <f>GDPdeflator!$C$38*INDEX(Costs!$E$7:$O$89,MATCH($C290,Costs!$C$7:$C$89,0),MATCH(N$7,Costs!$E$6:$O$6,0))</f>
        <v>32.818259271251975</v>
      </c>
      <c r="O290" s="86">
        <f>GDPdeflator!$C$38*INDEX(Costs!$E$7:$O$89,MATCH($C290,Costs!$C$7:$C$89,0),MATCH(O$7,Costs!$E$6:$O$6,0))</f>
        <v>32.818259271251975</v>
      </c>
      <c r="P290" s="87">
        <f t="shared" si="149"/>
        <v>2520.3935645806582</v>
      </c>
      <c r="Q290" s="87">
        <f t="shared" si="132"/>
        <v>2467.5549496793105</v>
      </c>
      <c r="R290" s="87">
        <f t="shared" si="133"/>
        <v>2592.4973567759425</v>
      </c>
      <c r="S290" s="87">
        <f t="shared" si="134"/>
        <v>2656.8708803076252</v>
      </c>
      <c r="T290" s="87">
        <f t="shared" si="135"/>
        <v>2732.9486808450679</v>
      </c>
      <c r="U290" s="87">
        <f t="shared" si="136"/>
        <v>2736.6062674093682</v>
      </c>
      <c r="V290" s="87">
        <f t="shared" si="137"/>
        <v>2738.8008193479486</v>
      </c>
      <c r="W290" s="87">
        <f t="shared" si="138"/>
        <v>2740.2638539736686</v>
      </c>
      <c r="X290" s="87">
        <f t="shared" si="139"/>
        <v>2740.2638539736686</v>
      </c>
      <c r="Y290" s="87">
        <f t="shared" si="140"/>
        <v>2740.2638539736686</v>
      </c>
      <c r="Z290" s="87">
        <f t="shared" si="141"/>
        <v>2740.2638539736686</v>
      </c>
      <c r="AA290" s="88">
        <v>405</v>
      </c>
      <c r="AB290" s="89">
        <f>AA290*GDPdeflator!$C$25/$AI$18*10^3</f>
        <v>38.940546907618888</v>
      </c>
      <c r="AC290" s="90" t="e">
        <f>INDEX(Efficiencies!$D$8:$M$89,MATCH(C290,Efficiencies!$C$8:$C$89),MATCH(D290,Efficiencies!$D$7:$M$7))</f>
        <v>#REF!</v>
      </c>
      <c r="AD290" s="90" t="e">
        <f t="shared" si="148"/>
        <v>#REF!</v>
      </c>
      <c r="AE290" s="90" t="e">
        <f>INDEX(Efficiencies!$P$8:$Y$89,MATCH(C290,Efficiencies!$C$8:$C$89),MATCH(D290,Efficiencies!$P$7:$Y$7))</f>
        <v>#REF!</v>
      </c>
      <c r="AF290" s="90" t="e">
        <f t="shared" si="143"/>
        <v>#REF!</v>
      </c>
      <c r="AG290" s="90">
        <v>0</v>
      </c>
    </row>
    <row r="291" spans="1:33" x14ac:dyDescent="0.2">
      <c r="A291" s="92" t="s">
        <v>1376</v>
      </c>
      <c r="B291" s="248" t="s">
        <v>1377</v>
      </c>
      <c r="C291" s="40" t="s">
        <v>1363</v>
      </c>
      <c r="D291" s="40">
        <v>2035</v>
      </c>
      <c r="E291" s="86">
        <f>GDPdeflator!$C$32*INDEX(Costs!$E$7:$O$89,MATCH($C291,Costs!$C$7:$C$89,0),MATCH(E$7,Costs!$E$6:$O$6,0))</f>
        <v>30.18502373341083</v>
      </c>
      <c r="F291" s="86">
        <f>GDPdeflator!$C$36*INDEX(Costs!$E$7:$O$89,MATCH($C291,Costs!$C$7:$C$89,0),MATCH(F$7,Costs!$E$6:$O$6,0))</f>
        <v>29.552211910982969</v>
      </c>
      <c r="G291" s="86">
        <f>GDPdeflator!$C$38*INDEX(Costs!$E$7:$O$89,MATCH($C291,Costs!$C$7:$C$89,0),MATCH(G$7,Costs!$E$6:$O$6,0))</f>
        <v>31.048561360735984</v>
      </c>
      <c r="H291" s="86">
        <f>GDPdeflator!$C$38*INDEX(Costs!$E$7:$O$89,MATCH($C291,Costs!$C$7:$C$89,0),MATCH(H$7,Costs!$E$6:$O$6,0))</f>
        <v>31.819518866307309</v>
      </c>
      <c r="I291" s="86">
        <f>GDPdeflator!$C$38*INDEX(Costs!$E$7:$O$89,MATCH($C291,Costs!$C$7:$C$89,0),MATCH(I$7,Costs!$E$6:$O$6,0))</f>
        <v>32.730650463800686</v>
      </c>
      <c r="J291" s="86">
        <f>GDPdeflator!$C$38*INDEX(Costs!$E$7:$O$89,MATCH($C291,Costs!$C$7:$C$89,0),MATCH(J$7,Costs!$E$6:$O$6,0))</f>
        <v>32.77445486752633</v>
      </c>
      <c r="K291" s="86">
        <f>GDPdeflator!$C$38*INDEX(Costs!$E$7:$O$89,MATCH($C291,Costs!$C$7:$C$89,0),MATCH(K$7,Costs!$E$6:$O$6,0))</f>
        <v>32.800737509761717</v>
      </c>
      <c r="L291" s="86">
        <f>GDPdeflator!$C$38*INDEX(Costs!$E$7:$O$89,MATCH($C291,Costs!$C$7:$C$89,0),MATCH(L$7,Costs!$E$6:$O$6,0))</f>
        <v>32.818259271251975</v>
      </c>
      <c r="M291" s="86">
        <f>GDPdeflator!$C$38*INDEX(Costs!$E$7:$O$89,MATCH($C291,Costs!$C$7:$C$89,0),MATCH(M$7,Costs!$E$6:$O$6,0))</f>
        <v>32.818259271251975</v>
      </c>
      <c r="N291" s="86">
        <f>GDPdeflator!$C$38*INDEX(Costs!$E$7:$O$89,MATCH($C291,Costs!$C$7:$C$89,0),MATCH(N$7,Costs!$E$6:$O$6,0))</f>
        <v>32.818259271251975</v>
      </c>
      <c r="O291" s="86">
        <f>GDPdeflator!$C$38*INDEX(Costs!$E$7:$O$89,MATCH($C291,Costs!$C$7:$C$89,0),MATCH(O$7,Costs!$E$6:$O$6,0))</f>
        <v>32.818259271251975</v>
      </c>
      <c r="P291" s="87">
        <f t="shared" si="149"/>
        <v>2520.3935645806582</v>
      </c>
      <c r="Q291" s="87">
        <f t="shared" si="132"/>
        <v>2467.5549496793105</v>
      </c>
      <c r="R291" s="87">
        <f t="shared" si="133"/>
        <v>2592.4973567759425</v>
      </c>
      <c r="S291" s="87">
        <f t="shared" si="134"/>
        <v>2656.8708803076252</v>
      </c>
      <c r="T291" s="87">
        <f t="shared" si="135"/>
        <v>2732.9486808450679</v>
      </c>
      <c r="U291" s="87">
        <f t="shared" si="136"/>
        <v>2736.6062674093682</v>
      </c>
      <c r="V291" s="87">
        <f t="shared" si="137"/>
        <v>2738.8008193479486</v>
      </c>
      <c r="W291" s="87">
        <f t="shared" si="138"/>
        <v>2740.2638539736686</v>
      </c>
      <c r="X291" s="87">
        <f t="shared" si="139"/>
        <v>2740.2638539736686</v>
      </c>
      <c r="Y291" s="87">
        <f t="shared" si="140"/>
        <v>2740.2638539736686</v>
      </c>
      <c r="Z291" s="87">
        <f t="shared" si="141"/>
        <v>2740.2638539736686</v>
      </c>
      <c r="AA291" s="88">
        <v>405</v>
      </c>
      <c r="AB291" s="89">
        <f>AA291*GDPdeflator!$C$25/$AI$18*10^3</f>
        <v>38.940546907618888</v>
      </c>
      <c r="AC291" s="90" t="e">
        <f>INDEX(Efficiencies!$D$8:$M$89,MATCH(C291,Efficiencies!$C$8:$C$89),MATCH(D291,Efficiencies!$D$7:$M$7))</f>
        <v>#REF!</v>
      </c>
      <c r="AD291" s="90" t="e">
        <f t="shared" si="148"/>
        <v>#REF!</v>
      </c>
      <c r="AE291" s="90" t="e">
        <f>INDEX(Efficiencies!$P$8:$Y$89,MATCH(C291,Efficiencies!$C$8:$C$89),MATCH(D291,Efficiencies!$P$7:$Y$7))</f>
        <v>#REF!</v>
      </c>
      <c r="AF291" s="90" t="e">
        <f t="shared" si="143"/>
        <v>#REF!</v>
      </c>
      <c r="AG291" s="90">
        <v>0</v>
      </c>
    </row>
    <row r="292" spans="1:33" x14ac:dyDescent="0.2">
      <c r="A292" s="92" t="s">
        <v>1378</v>
      </c>
      <c r="B292" s="248" t="s">
        <v>1379</v>
      </c>
      <c r="C292" s="40" t="s">
        <v>1363</v>
      </c>
      <c r="D292" s="40">
        <v>2040</v>
      </c>
      <c r="E292" s="86">
        <f>GDPdeflator!$C$32*INDEX(Costs!$E$7:$O$89,MATCH($C292,Costs!$C$7:$C$89,0),MATCH(E$7,Costs!$E$6:$O$6,0))</f>
        <v>30.18502373341083</v>
      </c>
      <c r="F292" s="86">
        <f>GDPdeflator!$C$36*INDEX(Costs!$E$7:$O$89,MATCH($C292,Costs!$C$7:$C$89,0),MATCH(F$7,Costs!$E$6:$O$6,0))</f>
        <v>29.552211910982969</v>
      </c>
      <c r="G292" s="86">
        <f>GDPdeflator!$C$38*INDEX(Costs!$E$7:$O$89,MATCH($C292,Costs!$C$7:$C$89,0),MATCH(G$7,Costs!$E$6:$O$6,0))</f>
        <v>31.048561360735984</v>
      </c>
      <c r="H292" s="86">
        <f>GDPdeflator!$C$38*INDEX(Costs!$E$7:$O$89,MATCH($C292,Costs!$C$7:$C$89,0),MATCH(H$7,Costs!$E$6:$O$6,0))</f>
        <v>31.819518866307309</v>
      </c>
      <c r="I292" s="86">
        <f>GDPdeflator!$C$38*INDEX(Costs!$E$7:$O$89,MATCH($C292,Costs!$C$7:$C$89,0),MATCH(I$7,Costs!$E$6:$O$6,0))</f>
        <v>32.730650463800686</v>
      </c>
      <c r="J292" s="86">
        <f>GDPdeflator!$C$38*INDEX(Costs!$E$7:$O$89,MATCH($C292,Costs!$C$7:$C$89,0),MATCH(J$7,Costs!$E$6:$O$6,0))</f>
        <v>32.77445486752633</v>
      </c>
      <c r="K292" s="86">
        <f>GDPdeflator!$C$38*INDEX(Costs!$E$7:$O$89,MATCH($C292,Costs!$C$7:$C$89,0),MATCH(K$7,Costs!$E$6:$O$6,0))</f>
        <v>32.800737509761717</v>
      </c>
      <c r="L292" s="86">
        <f>GDPdeflator!$C$38*INDEX(Costs!$E$7:$O$89,MATCH($C292,Costs!$C$7:$C$89,0),MATCH(L$7,Costs!$E$6:$O$6,0))</f>
        <v>32.818259271251975</v>
      </c>
      <c r="M292" s="86">
        <f>GDPdeflator!$C$38*INDEX(Costs!$E$7:$O$89,MATCH($C292,Costs!$C$7:$C$89,0),MATCH(M$7,Costs!$E$6:$O$6,0))</f>
        <v>32.818259271251975</v>
      </c>
      <c r="N292" s="86">
        <f>GDPdeflator!$C$38*INDEX(Costs!$E$7:$O$89,MATCH($C292,Costs!$C$7:$C$89,0),MATCH(N$7,Costs!$E$6:$O$6,0))</f>
        <v>32.818259271251975</v>
      </c>
      <c r="O292" s="86">
        <f>GDPdeflator!$C$38*INDEX(Costs!$E$7:$O$89,MATCH($C292,Costs!$C$7:$C$89,0),MATCH(O$7,Costs!$E$6:$O$6,0))</f>
        <v>32.818259271251975</v>
      </c>
      <c r="P292" s="87">
        <f t="shared" si="149"/>
        <v>2520.3935645806582</v>
      </c>
      <c r="Q292" s="87">
        <f t="shared" si="132"/>
        <v>2467.5549496793105</v>
      </c>
      <c r="R292" s="87">
        <f t="shared" si="133"/>
        <v>2592.4973567759425</v>
      </c>
      <c r="S292" s="87">
        <f t="shared" si="134"/>
        <v>2656.8708803076252</v>
      </c>
      <c r="T292" s="87">
        <f t="shared" si="135"/>
        <v>2732.9486808450679</v>
      </c>
      <c r="U292" s="87">
        <f t="shared" si="136"/>
        <v>2736.6062674093682</v>
      </c>
      <c r="V292" s="87">
        <f t="shared" si="137"/>
        <v>2738.8008193479486</v>
      </c>
      <c r="W292" s="87">
        <f t="shared" si="138"/>
        <v>2740.2638539736686</v>
      </c>
      <c r="X292" s="87">
        <f t="shared" si="139"/>
        <v>2740.2638539736686</v>
      </c>
      <c r="Y292" s="87">
        <f t="shared" si="140"/>
        <v>2740.2638539736686</v>
      </c>
      <c r="Z292" s="87">
        <f t="shared" si="141"/>
        <v>2740.2638539736686</v>
      </c>
      <c r="AA292" s="88">
        <v>405</v>
      </c>
      <c r="AB292" s="89">
        <f>AA292*GDPdeflator!$C$25/$AI$18*10^3</f>
        <v>38.940546907618888</v>
      </c>
      <c r="AC292" s="90" t="e">
        <f>INDEX(Efficiencies!$D$8:$M$89,MATCH(C292,Efficiencies!$C$8:$C$89),MATCH(D292,Efficiencies!$D$7:$M$7))</f>
        <v>#REF!</v>
      </c>
      <c r="AD292" s="90" t="e">
        <f t="shared" si="148"/>
        <v>#REF!</v>
      </c>
      <c r="AE292" s="90" t="e">
        <f>INDEX(Efficiencies!$P$8:$Y$89,MATCH(C292,Efficiencies!$C$8:$C$89),MATCH(D292,Efficiencies!$P$7:$Y$7))</f>
        <v>#REF!</v>
      </c>
      <c r="AF292" s="90" t="e">
        <f t="shared" si="143"/>
        <v>#REF!</v>
      </c>
      <c r="AG292" s="90">
        <v>0</v>
      </c>
    </row>
    <row r="293" spans="1:33" x14ac:dyDescent="0.2">
      <c r="A293" s="92" t="s">
        <v>1380</v>
      </c>
      <c r="B293" s="248" t="s">
        <v>1381</v>
      </c>
      <c r="C293" s="40" t="s">
        <v>1363</v>
      </c>
      <c r="D293" s="40">
        <v>2045</v>
      </c>
      <c r="E293" s="86">
        <f>GDPdeflator!$C$32*INDEX(Costs!$E$7:$O$89,MATCH($C293,Costs!$C$7:$C$89,0),MATCH(E$7,Costs!$E$6:$O$6,0))</f>
        <v>30.18502373341083</v>
      </c>
      <c r="F293" s="86">
        <f>GDPdeflator!$C$36*INDEX(Costs!$E$7:$O$89,MATCH($C293,Costs!$C$7:$C$89,0),MATCH(F$7,Costs!$E$6:$O$6,0))</f>
        <v>29.552211910982969</v>
      </c>
      <c r="G293" s="86">
        <f>GDPdeflator!$C$38*INDEX(Costs!$E$7:$O$89,MATCH($C293,Costs!$C$7:$C$89,0),MATCH(G$7,Costs!$E$6:$O$6,0))</f>
        <v>31.048561360735984</v>
      </c>
      <c r="H293" s="86">
        <f>GDPdeflator!$C$38*INDEX(Costs!$E$7:$O$89,MATCH($C293,Costs!$C$7:$C$89,0),MATCH(H$7,Costs!$E$6:$O$6,0))</f>
        <v>31.819518866307309</v>
      </c>
      <c r="I293" s="86">
        <f>GDPdeflator!$C$38*INDEX(Costs!$E$7:$O$89,MATCH($C293,Costs!$C$7:$C$89,0),MATCH(I$7,Costs!$E$6:$O$6,0))</f>
        <v>32.730650463800686</v>
      </c>
      <c r="J293" s="86">
        <f>GDPdeflator!$C$38*INDEX(Costs!$E$7:$O$89,MATCH($C293,Costs!$C$7:$C$89,0),MATCH(J$7,Costs!$E$6:$O$6,0))</f>
        <v>32.77445486752633</v>
      </c>
      <c r="K293" s="86">
        <f>GDPdeflator!$C$38*INDEX(Costs!$E$7:$O$89,MATCH($C293,Costs!$C$7:$C$89,0),MATCH(K$7,Costs!$E$6:$O$6,0))</f>
        <v>32.800737509761717</v>
      </c>
      <c r="L293" s="86">
        <f>GDPdeflator!$C$38*INDEX(Costs!$E$7:$O$89,MATCH($C293,Costs!$C$7:$C$89,0),MATCH(L$7,Costs!$E$6:$O$6,0))</f>
        <v>32.818259271251975</v>
      </c>
      <c r="M293" s="86">
        <f>GDPdeflator!$C$38*INDEX(Costs!$E$7:$O$89,MATCH($C293,Costs!$C$7:$C$89,0),MATCH(M$7,Costs!$E$6:$O$6,0))</f>
        <v>32.818259271251975</v>
      </c>
      <c r="N293" s="86">
        <f>GDPdeflator!$C$38*INDEX(Costs!$E$7:$O$89,MATCH($C293,Costs!$C$7:$C$89,0),MATCH(N$7,Costs!$E$6:$O$6,0))</f>
        <v>32.818259271251975</v>
      </c>
      <c r="O293" s="86">
        <f>GDPdeflator!$C$38*INDEX(Costs!$E$7:$O$89,MATCH($C293,Costs!$C$7:$C$89,0),MATCH(O$7,Costs!$E$6:$O$6,0))</f>
        <v>32.818259271251975</v>
      </c>
      <c r="P293" s="87">
        <f t="shared" si="149"/>
        <v>2520.3935645806582</v>
      </c>
      <c r="Q293" s="87">
        <f t="shared" si="132"/>
        <v>2467.5549496793105</v>
      </c>
      <c r="R293" s="87">
        <f t="shared" si="133"/>
        <v>2592.4973567759425</v>
      </c>
      <c r="S293" s="87">
        <f t="shared" si="134"/>
        <v>2656.8708803076252</v>
      </c>
      <c r="T293" s="87">
        <f t="shared" si="135"/>
        <v>2732.9486808450679</v>
      </c>
      <c r="U293" s="87">
        <f t="shared" si="136"/>
        <v>2736.6062674093682</v>
      </c>
      <c r="V293" s="87">
        <f t="shared" si="137"/>
        <v>2738.8008193479486</v>
      </c>
      <c r="W293" s="87">
        <f t="shared" si="138"/>
        <v>2740.2638539736686</v>
      </c>
      <c r="X293" s="87">
        <f t="shared" si="139"/>
        <v>2740.2638539736686</v>
      </c>
      <c r="Y293" s="87">
        <f t="shared" si="140"/>
        <v>2740.2638539736686</v>
      </c>
      <c r="Z293" s="87">
        <f t="shared" si="141"/>
        <v>2740.2638539736686</v>
      </c>
      <c r="AA293" s="88">
        <v>405</v>
      </c>
      <c r="AB293" s="89">
        <f>AA293*GDPdeflator!$C$25/$AI$18*10^3</f>
        <v>38.940546907618888</v>
      </c>
      <c r="AC293" s="90" t="e">
        <f>INDEX(Efficiencies!$D$8:$M$89,MATCH(C293,Efficiencies!$C$8:$C$89),MATCH(D293,Efficiencies!$D$7:$M$7))</f>
        <v>#REF!</v>
      </c>
      <c r="AD293" s="90" t="e">
        <f t="shared" si="148"/>
        <v>#REF!</v>
      </c>
      <c r="AE293" s="90" t="e">
        <f>INDEX(Efficiencies!$P$8:$Y$89,MATCH(C293,Efficiencies!$C$8:$C$89),MATCH(D293,Efficiencies!$P$7:$Y$7))</f>
        <v>#REF!</v>
      </c>
      <c r="AF293" s="90" t="e">
        <f t="shared" si="143"/>
        <v>#REF!</v>
      </c>
      <c r="AG293" s="90">
        <v>0</v>
      </c>
    </row>
    <row r="294" spans="1:33" x14ac:dyDescent="0.2">
      <c r="A294" s="92" t="s">
        <v>1382</v>
      </c>
      <c r="B294" s="248" t="s">
        <v>1383</v>
      </c>
      <c r="C294" s="40" t="s">
        <v>1363</v>
      </c>
      <c r="D294" s="40">
        <v>2050</v>
      </c>
      <c r="E294" s="86">
        <f>GDPdeflator!$C$32*INDEX(Costs!$E$7:$O$89,MATCH($C294,Costs!$C$7:$C$89,0),MATCH(E$7,Costs!$E$6:$O$6,0))</f>
        <v>30.18502373341083</v>
      </c>
      <c r="F294" s="86">
        <f>GDPdeflator!$C$36*INDEX(Costs!$E$7:$O$89,MATCH($C294,Costs!$C$7:$C$89,0),MATCH(F$7,Costs!$E$6:$O$6,0))</f>
        <v>29.552211910982969</v>
      </c>
      <c r="G294" s="86">
        <f>GDPdeflator!$C$38*INDEX(Costs!$E$7:$O$89,MATCH($C294,Costs!$C$7:$C$89,0),MATCH(G$7,Costs!$E$6:$O$6,0))</f>
        <v>31.048561360735984</v>
      </c>
      <c r="H294" s="86">
        <f>GDPdeflator!$C$38*INDEX(Costs!$E$7:$O$89,MATCH($C294,Costs!$C$7:$C$89,0),MATCH(H$7,Costs!$E$6:$O$6,0))</f>
        <v>31.819518866307309</v>
      </c>
      <c r="I294" s="86">
        <f>GDPdeflator!$C$38*INDEX(Costs!$E$7:$O$89,MATCH($C294,Costs!$C$7:$C$89,0),MATCH(I$7,Costs!$E$6:$O$6,0))</f>
        <v>32.730650463800686</v>
      </c>
      <c r="J294" s="86">
        <f>GDPdeflator!$C$38*INDEX(Costs!$E$7:$O$89,MATCH($C294,Costs!$C$7:$C$89,0),MATCH(J$7,Costs!$E$6:$O$6,0))</f>
        <v>32.77445486752633</v>
      </c>
      <c r="K294" s="86">
        <f>GDPdeflator!$C$38*INDEX(Costs!$E$7:$O$89,MATCH($C294,Costs!$C$7:$C$89,0),MATCH(K$7,Costs!$E$6:$O$6,0))</f>
        <v>32.800737509761717</v>
      </c>
      <c r="L294" s="86">
        <f>GDPdeflator!$C$38*INDEX(Costs!$E$7:$O$89,MATCH($C294,Costs!$C$7:$C$89,0),MATCH(L$7,Costs!$E$6:$O$6,0))</f>
        <v>32.818259271251975</v>
      </c>
      <c r="M294" s="86">
        <f>GDPdeflator!$C$38*INDEX(Costs!$E$7:$O$89,MATCH($C294,Costs!$C$7:$C$89,0),MATCH(M$7,Costs!$E$6:$O$6,0))</f>
        <v>32.818259271251975</v>
      </c>
      <c r="N294" s="86">
        <f>GDPdeflator!$C$38*INDEX(Costs!$E$7:$O$89,MATCH($C294,Costs!$C$7:$C$89,0),MATCH(N$7,Costs!$E$6:$O$6,0))</f>
        <v>32.818259271251975</v>
      </c>
      <c r="O294" s="86">
        <f>GDPdeflator!$C$38*INDEX(Costs!$E$7:$O$89,MATCH($C294,Costs!$C$7:$C$89,0),MATCH(O$7,Costs!$E$6:$O$6,0))</f>
        <v>32.818259271251975</v>
      </c>
      <c r="P294" s="87">
        <f t="shared" si="149"/>
        <v>2520.3935645806582</v>
      </c>
      <c r="Q294" s="87">
        <f t="shared" si="132"/>
        <v>2467.5549496793105</v>
      </c>
      <c r="R294" s="87">
        <f t="shared" si="133"/>
        <v>2592.4973567759425</v>
      </c>
      <c r="S294" s="87">
        <f t="shared" si="134"/>
        <v>2656.8708803076252</v>
      </c>
      <c r="T294" s="87">
        <f t="shared" si="135"/>
        <v>2732.9486808450679</v>
      </c>
      <c r="U294" s="87">
        <f t="shared" si="136"/>
        <v>2736.6062674093682</v>
      </c>
      <c r="V294" s="87">
        <f t="shared" si="137"/>
        <v>2738.8008193479486</v>
      </c>
      <c r="W294" s="87">
        <f t="shared" si="138"/>
        <v>2740.2638539736686</v>
      </c>
      <c r="X294" s="87">
        <f t="shared" si="139"/>
        <v>2740.2638539736686</v>
      </c>
      <c r="Y294" s="87">
        <f t="shared" si="140"/>
        <v>2740.2638539736686</v>
      </c>
      <c r="Z294" s="87">
        <f t="shared" si="141"/>
        <v>2740.2638539736686</v>
      </c>
      <c r="AA294" s="88">
        <v>405</v>
      </c>
      <c r="AB294" s="89">
        <f>AA294*GDPdeflator!$C$25/$AI$18*10^3</f>
        <v>38.940546907618888</v>
      </c>
      <c r="AC294" s="90" t="e">
        <f>INDEX(Efficiencies!$D$8:$M$89,MATCH(C294,Efficiencies!$C$8:$C$89),MATCH(D294,Efficiencies!$D$7:$M$7))</f>
        <v>#REF!</v>
      </c>
      <c r="AD294" s="90" t="e">
        <f t="shared" si="148"/>
        <v>#REF!</v>
      </c>
      <c r="AE294" s="90" t="e">
        <f>INDEX(Efficiencies!$P$8:$Y$89,MATCH(C294,Efficiencies!$C$8:$C$89),MATCH(D294,Efficiencies!$P$7:$Y$7))</f>
        <v>#REF!</v>
      </c>
      <c r="AF294" s="90" t="e">
        <f t="shared" si="143"/>
        <v>#REF!</v>
      </c>
      <c r="AG294" s="90">
        <v>0</v>
      </c>
    </row>
    <row r="295" spans="1:33" x14ac:dyDescent="0.2">
      <c r="A295" s="92" t="s">
        <v>1384</v>
      </c>
      <c r="B295" s="248" t="s">
        <v>1385</v>
      </c>
      <c r="C295" s="40" t="s">
        <v>1386</v>
      </c>
      <c r="D295" s="40">
        <v>2015</v>
      </c>
      <c r="E295" s="86">
        <f>GDPdeflator!$C$32*INDEX(Costs!$E$7:$O$89,MATCH($C295,Costs!$C$7:$C$89,0),MATCH(E$7,Costs!$E$6:$O$6,0))</f>
        <v>0</v>
      </c>
      <c r="F295" s="86">
        <f>GDPdeflator!$C$36*INDEX(Costs!$E$7:$O$89,MATCH($C295,Costs!$C$7:$C$89,0),MATCH(F$7,Costs!$E$6:$O$6,0))</f>
        <v>0</v>
      </c>
      <c r="G295" s="86">
        <f>GDPdeflator!$C$38*INDEX(Costs!$E$7:$O$89,MATCH($C295,Costs!$C$7:$C$89,0),MATCH(G$7,Costs!$E$6:$O$6,0))</f>
        <v>0</v>
      </c>
      <c r="H295" s="86">
        <f>GDPdeflator!$C$38*INDEX(Costs!$E$7:$O$89,MATCH($C295,Costs!$C$7:$C$89,0),MATCH(H$7,Costs!$E$6:$O$6,0))</f>
        <v>0</v>
      </c>
      <c r="I295" s="86">
        <f>GDPdeflator!$C$38*INDEX(Costs!$E$7:$O$89,MATCH($C295,Costs!$C$7:$C$89,0),MATCH(I$7,Costs!$E$6:$O$6,0))</f>
        <v>32.073584407916037</v>
      </c>
      <c r="J295" s="86">
        <f>GDPdeflator!$C$38*INDEX(Costs!$E$7:$O$89,MATCH($C295,Costs!$C$7:$C$89,0),MATCH(J$7,Costs!$E$6:$O$6,0))</f>
        <v>31.600496847679093</v>
      </c>
      <c r="K295" s="86">
        <f>GDPdeflator!$C$38*INDEX(Costs!$E$7:$O$89,MATCH($C295,Costs!$C$7:$C$89,0),MATCH(K$7,Costs!$E$6:$O$6,0))</f>
        <v>31.486605397992417</v>
      </c>
      <c r="L295" s="86">
        <f>GDPdeflator!$C$38*INDEX(Costs!$E$7:$O$89,MATCH($C295,Costs!$C$7:$C$89,0),MATCH(L$7,Costs!$E$6:$O$6,0))</f>
        <v>31.46032275575703</v>
      </c>
      <c r="M295" s="86">
        <f>GDPdeflator!$C$38*INDEX(Costs!$E$7:$O$89,MATCH($C295,Costs!$C$7:$C$89,0),MATCH(M$7,Costs!$E$6:$O$6,0))</f>
        <v>31.46032275575703</v>
      </c>
      <c r="N295" s="86">
        <f>GDPdeflator!$C$38*INDEX(Costs!$E$7:$O$89,MATCH($C295,Costs!$C$7:$C$89,0),MATCH(N$7,Costs!$E$6:$O$6,0))</f>
        <v>31.46032275575703</v>
      </c>
      <c r="O295" s="86">
        <f>GDPdeflator!$C$38*INDEX(Costs!$E$7:$O$89,MATCH($C295,Costs!$C$7:$C$89,0),MATCH(O$7,Costs!$E$6:$O$6,0))</f>
        <v>31.46032275575703</v>
      </c>
      <c r="P295" s="87">
        <v>0</v>
      </c>
      <c r="Q295" s="87">
        <v>0</v>
      </c>
      <c r="R295" s="87">
        <f>G295/$AI$18*10^6</f>
        <v>0</v>
      </c>
      <c r="S295" s="87">
        <f t="shared" si="134"/>
        <v>0</v>
      </c>
      <c r="T295" s="87">
        <f t="shared" si="135"/>
        <v>2678.0848823805659</v>
      </c>
      <c r="U295" s="87">
        <f t="shared" si="136"/>
        <v>2638.5829474861248</v>
      </c>
      <c r="V295" s="87">
        <f t="shared" si="137"/>
        <v>2629.0732224189437</v>
      </c>
      <c r="W295" s="87">
        <f t="shared" si="138"/>
        <v>2626.8786704803633</v>
      </c>
      <c r="X295" s="87">
        <f t="shared" si="139"/>
        <v>2626.8786704803633</v>
      </c>
      <c r="Y295" s="87">
        <f t="shared" si="140"/>
        <v>2626.8786704803633</v>
      </c>
      <c r="Z295" s="87">
        <f t="shared" si="141"/>
        <v>2626.8786704803633</v>
      </c>
      <c r="AA295" s="88">
        <v>472.5</v>
      </c>
      <c r="AB295" s="89">
        <f>AA295*GDPdeflator!$C$25/$AI$18*10^3</f>
        <v>45.430638058888704</v>
      </c>
      <c r="AC295" s="90" t="e">
        <f>INDEX(Efficiencies!$D$8:$M$89,MATCH(C295,Efficiencies!$C$8:$C$89),MATCH(D295,Efficiencies!$D$7:$M$7))</f>
        <v>#REF!</v>
      </c>
      <c r="AD295" s="90" t="e">
        <f t="shared" si="148"/>
        <v>#REF!</v>
      </c>
      <c r="AE295" s="90" t="e">
        <f>INDEX(Efficiencies!$P$8:$Y$89,MATCH(C295,Efficiencies!$C$8:$C$89),MATCH(D295,Efficiencies!$P$7:$Y$7))</f>
        <v>#REF!</v>
      </c>
      <c r="AF295" s="90" t="e">
        <f t="shared" ref="AF295:AF358" si="150">AE295/($AI$11*$AI$15*10 ^ 9)</f>
        <v>#REF!</v>
      </c>
      <c r="AG295" s="90">
        <v>0</v>
      </c>
    </row>
    <row r="296" spans="1:33" x14ac:dyDescent="0.2">
      <c r="A296" s="92" t="s">
        <v>1387</v>
      </c>
      <c r="B296" s="248" t="s">
        <v>1388</v>
      </c>
      <c r="C296" s="40" t="s">
        <v>1386</v>
      </c>
      <c r="D296" s="40">
        <v>2020</v>
      </c>
      <c r="E296" s="86">
        <f>GDPdeflator!$C$32*INDEX(Costs!$E$7:$O$89,MATCH($C296,Costs!$C$7:$C$89,0),MATCH(E$7,Costs!$E$6:$O$6,0))</f>
        <v>0</v>
      </c>
      <c r="F296" s="86">
        <f>GDPdeflator!$C$36*INDEX(Costs!$E$7:$O$89,MATCH($C296,Costs!$C$7:$C$89,0),MATCH(F$7,Costs!$E$6:$O$6,0))</f>
        <v>0</v>
      </c>
      <c r="G296" s="86">
        <f>GDPdeflator!$C$38*INDEX(Costs!$E$7:$O$89,MATCH($C296,Costs!$C$7:$C$89,0),MATCH(G$7,Costs!$E$6:$O$6,0))</f>
        <v>0</v>
      </c>
      <c r="H296" s="86">
        <f>GDPdeflator!$C$38*INDEX(Costs!$E$7:$O$89,MATCH($C296,Costs!$C$7:$C$89,0),MATCH(H$7,Costs!$E$6:$O$6,0))</f>
        <v>0</v>
      </c>
      <c r="I296" s="86">
        <f>GDPdeflator!$C$38*INDEX(Costs!$E$7:$O$89,MATCH($C296,Costs!$C$7:$C$89,0),MATCH(I$7,Costs!$E$6:$O$6,0))</f>
        <v>32.073584407916037</v>
      </c>
      <c r="J296" s="86">
        <f>GDPdeflator!$C$38*INDEX(Costs!$E$7:$O$89,MATCH($C296,Costs!$C$7:$C$89,0),MATCH(J$7,Costs!$E$6:$O$6,0))</f>
        <v>31.600496847679093</v>
      </c>
      <c r="K296" s="86">
        <f>GDPdeflator!$C$38*INDEX(Costs!$E$7:$O$89,MATCH($C296,Costs!$C$7:$C$89,0),MATCH(K$7,Costs!$E$6:$O$6,0))</f>
        <v>31.486605397992417</v>
      </c>
      <c r="L296" s="86">
        <f>GDPdeflator!$C$38*INDEX(Costs!$E$7:$O$89,MATCH($C296,Costs!$C$7:$C$89,0),MATCH(L$7,Costs!$E$6:$O$6,0))</f>
        <v>31.46032275575703</v>
      </c>
      <c r="M296" s="86">
        <f>GDPdeflator!$C$38*INDEX(Costs!$E$7:$O$89,MATCH($C296,Costs!$C$7:$C$89,0),MATCH(M$7,Costs!$E$6:$O$6,0))</f>
        <v>31.46032275575703</v>
      </c>
      <c r="N296" s="86">
        <f>GDPdeflator!$C$38*INDEX(Costs!$E$7:$O$89,MATCH($C296,Costs!$C$7:$C$89,0),MATCH(N$7,Costs!$E$6:$O$6,0))</f>
        <v>31.46032275575703</v>
      </c>
      <c r="O296" s="86">
        <f>GDPdeflator!$C$38*INDEX(Costs!$E$7:$O$89,MATCH($C296,Costs!$C$7:$C$89,0),MATCH(O$7,Costs!$E$6:$O$6,0))</f>
        <v>31.46032275575703</v>
      </c>
      <c r="P296" s="87">
        <v>0</v>
      </c>
      <c r="Q296" s="87">
        <v>0</v>
      </c>
      <c r="R296" s="87">
        <f t="shared" ref="R296:R303" si="151">G296/$AI$18*10^6</f>
        <v>0</v>
      </c>
      <c r="S296" s="87">
        <f t="shared" ref="S296:S303" si="152">H296/$AI$18*10^6</f>
        <v>0</v>
      </c>
      <c r="T296" s="87">
        <f t="shared" ref="T296:T303" si="153">I296/$AI$18*10^6</f>
        <v>2678.0848823805659</v>
      </c>
      <c r="U296" s="87">
        <f t="shared" ref="U296:U303" si="154">J296/$AI$18*10^6</f>
        <v>2638.5829474861248</v>
      </c>
      <c r="V296" s="87">
        <f t="shared" ref="V296:V303" si="155">K296/$AI$18*10^6</f>
        <v>2629.0732224189437</v>
      </c>
      <c r="W296" s="87">
        <f t="shared" ref="W296:W303" si="156">L296/$AI$18*10^6</f>
        <v>2626.8786704803633</v>
      </c>
      <c r="X296" s="87">
        <f t="shared" ref="X296:X303" si="157">M296/$AI$18*10^6</f>
        <v>2626.8786704803633</v>
      </c>
      <c r="Y296" s="87">
        <f t="shared" ref="Y296:Y303" si="158">N296/$AI$18*10^6</f>
        <v>2626.8786704803633</v>
      </c>
      <c r="Z296" s="87">
        <f t="shared" ref="Z296:Z303" si="159">O296/$AI$18*10^6</f>
        <v>2626.8786704803633</v>
      </c>
      <c r="AA296" s="88">
        <v>472.5</v>
      </c>
      <c r="AB296" s="89">
        <f>AA296*GDPdeflator!$C$25/$AI$18*10^3</f>
        <v>45.430638058888704</v>
      </c>
      <c r="AC296" s="90" t="e">
        <f>INDEX(Efficiencies!$D$8:$M$89,MATCH(C296,Efficiencies!$C$8:$C$89),MATCH(D296,Efficiencies!$D$7:$M$7))</f>
        <v>#REF!</v>
      </c>
      <c r="AD296" s="90" t="e">
        <f t="shared" si="148"/>
        <v>#REF!</v>
      </c>
      <c r="AE296" s="90" t="e">
        <f>INDEX(Efficiencies!$P$8:$Y$89,MATCH(C296,Efficiencies!$C$8:$C$89),MATCH(D296,Efficiencies!$P$7:$Y$7))</f>
        <v>#REF!</v>
      </c>
      <c r="AF296" s="90" t="e">
        <f t="shared" si="150"/>
        <v>#REF!</v>
      </c>
      <c r="AG296" s="90">
        <v>0</v>
      </c>
    </row>
    <row r="297" spans="1:33" x14ac:dyDescent="0.2">
      <c r="A297" s="92" t="s">
        <v>1389</v>
      </c>
      <c r="B297" s="248" t="s">
        <v>1390</v>
      </c>
      <c r="C297" s="40" t="s">
        <v>1386</v>
      </c>
      <c r="D297" s="40">
        <v>2025</v>
      </c>
      <c r="E297" s="86">
        <f>GDPdeflator!$C$32*INDEX(Costs!$E$7:$O$89,MATCH($C297,Costs!$C$7:$C$89,0),MATCH(E$7,Costs!$E$6:$O$6,0))</f>
        <v>0</v>
      </c>
      <c r="F297" s="86">
        <f>GDPdeflator!$C$36*INDEX(Costs!$E$7:$O$89,MATCH($C297,Costs!$C$7:$C$89,0),MATCH(F$7,Costs!$E$6:$O$6,0))</f>
        <v>0</v>
      </c>
      <c r="G297" s="86">
        <f>GDPdeflator!$C$38*INDEX(Costs!$E$7:$O$89,MATCH($C297,Costs!$C$7:$C$89,0),MATCH(G$7,Costs!$E$6:$O$6,0))</f>
        <v>0</v>
      </c>
      <c r="H297" s="86">
        <f>GDPdeflator!$C$38*INDEX(Costs!$E$7:$O$89,MATCH($C297,Costs!$C$7:$C$89,0),MATCH(H$7,Costs!$E$6:$O$6,0))</f>
        <v>0</v>
      </c>
      <c r="I297" s="86">
        <f>GDPdeflator!$C$38*INDEX(Costs!$E$7:$O$89,MATCH($C297,Costs!$C$7:$C$89,0),MATCH(I$7,Costs!$E$6:$O$6,0))</f>
        <v>32.073584407916037</v>
      </c>
      <c r="J297" s="86">
        <f>GDPdeflator!$C$38*INDEX(Costs!$E$7:$O$89,MATCH($C297,Costs!$C$7:$C$89,0),MATCH(J$7,Costs!$E$6:$O$6,0))</f>
        <v>31.600496847679093</v>
      </c>
      <c r="K297" s="86">
        <f>GDPdeflator!$C$38*INDEX(Costs!$E$7:$O$89,MATCH($C297,Costs!$C$7:$C$89,0),MATCH(K$7,Costs!$E$6:$O$6,0))</f>
        <v>31.486605397992417</v>
      </c>
      <c r="L297" s="86">
        <f>GDPdeflator!$C$38*INDEX(Costs!$E$7:$O$89,MATCH($C297,Costs!$C$7:$C$89,0),MATCH(L$7,Costs!$E$6:$O$6,0))</f>
        <v>31.46032275575703</v>
      </c>
      <c r="M297" s="86">
        <f>GDPdeflator!$C$38*INDEX(Costs!$E$7:$O$89,MATCH($C297,Costs!$C$7:$C$89,0),MATCH(M$7,Costs!$E$6:$O$6,0))</f>
        <v>31.46032275575703</v>
      </c>
      <c r="N297" s="86">
        <f>GDPdeflator!$C$38*INDEX(Costs!$E$7:$O$89,MATCH($C297,Costs!$C$7:$C$89,0),MATCH(N$7,Costs!$E$6:$O$6,0))</f>
        <v>31.46032275575703</v>
      </c>
      <c r="O297" s="86">
        <f>GDPdeflator!$C$38*INDEX(Costs!$E$7:$O$89,MATCH($C297,Costs!$C$7:$C$89,0),MATCH(O$7,Costs!$E$6:$O$6,0))</f>
        <v>31.46032275575703</v>
      </c>
      <c r="P297" s="87">
        <v>0</v>
      </c>
      <c r="Q297" s="87">
        <v>0</v>
      </c>
      <c r="R297" s="87">
        <f t="shared" si="151"/>
        <v>0</v>
      </c>
      <c r="S297" s="87">
        <f t="shared" si="152"/>
        <v>0</v>
      </c>
      <c r="T297" s="87">
        <f t="shared" si="153"/>
        <v>2678.0848823805659</v>
      </c>
      <c r="U297" s="87">
        <f t="shared" si="154"/>
        <v>2638.5829474861248</v>
      </c>
      <c r="V297" s="87">
        <f t="shared" si="155"/>
        <v>2629.0732224189437</v>
      </c>
      <c r="W297" s="87">
        <f t="shared" si="156"/>
        <v>2626.8786704803633</v>
      </c>
      <c r="X297" s="87">
        <f t="shared" si="157"/>
        <v>2626.8786704803633</v>
      </c>
      <c r="Y297" s="87">
        <f t="shared" si="158"/>
        <v>2626.8786704803633</v>
      </c>
      <c r="Z297" s="87">
        <f t="shared" si="159"/>
        <v>2626.8786704803633</v>
      </c>
      <c r="AA297" s="88">
        <v>472.5</v>
      </c>
      <c r="AB297" s="89">
        <f>AA297*GDPdeflator!$C$25/$AI$18*10^3</f>
        <v>45.430638058888704</v>
      </c>
      <c r="AC297" s="90" t="e">
        <f>INDEX(Efficiencies!$D$8:$M$89,MATCH(C297,Efficiencies!$C$8:$C$89),MATCH(D297,Efficiencies!$D$7:$M$7))</f>
        <v>#REF!</v>
      </c>
      <c r="AD297" s="90" t="e">
        <f t="shared" si="148"/>
        <v>#REF!</v>
      </c>
      <c r="AE297" s="90" t="e">
        <f>INDEX(Efficiencies!$P$8:$Y$89,MATCH(C297,Efficiencies!$C$8:$C$89),MATCH(D297,Efficiencies!$P$7:$Y$7))</f>
        <v>#REF!</v>
      </c>
      <c r="AF297" s="90" t="e">
        <f t="shared" si="150"/>
        <v>#REF!</v>
      </c>
      <c r="AG297" s="90">
        <v>0</v>
      </c>
    </row>
    <row r="298" spans="1:33" x14ac:dyDescent="0.2">
      <c r="A298" s="92" t="s">
        <v>1391</v>
      </c>
      <c r="B298" s="248" t="s">
        <v>1392</v>
      </c>
      <c r="C298" s="40" t="s">
        <v>1386</v>
      </c>
      <c r="D298" s="40">
        <v>2030</v>
      </c>
      <c r="E298" s="86">
        <f>GDPdeflator!$C$32*INDEX(Costs!$E$7:$O$89,MATCH($C298,Costs!$C$7:$C$89,0),MATCH(E$7,Costs!$E$6:$O$6,0))</f>
        <v>0</v>
      </c>
      <c r="F298" s="86">
        <f>GDPdeflator!$C$36*INDEX(Costs!$E$7:$O$89,MATCH($C298,Costs!$C$7:$C$89,0),MATCH(F$7,Costs!$E$6:$O$6,0))</f>
        <v>0</v>
      </c>
      <c r="G298" s="86">
        <f>GDPdeflator!$C$38*INDEX(Costs!$E$7:$O$89,MATCH($C298,Costs!$C$7:$C$89,0),MATCH(G$7,Costs!$E$6:$O$6,0))</f>
        <v>0</v>
      </c>
      <c r="H298" s="86">
        <f>GDPdeflator!$C$38*INDEX(Costs!$E$7:$O$89,MATCH($C298,Costs!$C$7:$C$89,0),MATCH(H$7,Costs!$E$6:$O$6,0))</f>
        <v>0</v>
      </c>
      <c r="I298" s="86">
        <f>GDPdeflator!$C$38*INDEX(Costs!$E$7:$O$89,MATCH($C298,Costs!$C$7:$C$89,0),MATCH(I$7,Costs!$E$6:$O$6,0))</f>
        <v>32.073584407916037</v>
      </c>
      <c r="J298" s="86">
        <f>GDPdeflator!$C$38*INDEX(Costs!$E$7:$O$89,MATCH($C298,Costs!$C$7:$C$89,0),MATCH(J$7,Costs!$E$6:$O$6,0))</f>
        <v>31.600496847679093</v>
      </c>
      <c r="K298" s="86">
        <f>GDPdeflator!$C$38*INDEX(Costs!$E$7:$O$89,MATCH($C298,Costs!$C$7:$C$89,0),MATCH(K$7,Costs!$E$6:$O$6,0))</f>
        <v>31.486605397992417</v>
      </c>
      <c r="L298" s="86">
        <f>GDPdeflator!$C$38*INDEX(Costs!$E$7:$O$89,MATCH($C298,Costs!$C$7:$C$89,0),MATCH(L$7,Costs!$E$6:$O$6,0))</f>
        <v>31.46032275575703</v>
      </c>
      <c r="M298" s="86">
        <f>GDPdeflator!$C$38*INDEX(Costs!$E$7:$O$89,MATCH($C298,Costs!$C$7:$C$89,0),MATCH(M$7,Costs!$E$6:$O$6,0))</f>
        <v>31.46032275575703</v>
      </c>
      <c r="N298" s="86">
        <f>GDPdeflator!$C$38*INDEX(Costs!$E$7:$O$89,MATCH($C298,Costs!$C$7:$C$89,0),MATCH(N$7,Costs!$E$6:$O$6,0))</f>
        <v>31.46032275575703</v>
      </c>
      <c r="O298" s="86">
        <f>GDPdeflator!$C$38*INDEX(Costs!$E$7:$O$89,MATCH($C298,Costs!$C$7:$C$89,0),MATCH(O$7,Costs!$E$6:$O$6,0))</f>
        <v>31.46032275575703</v>
      </c>
      <c r="P298" s="87">
        <v>0</v>
      </c>
      <c r="Q298" s="87">
        <v>0</v>
      </c>
      <c r="R298" s="87">
        <f t="shared" si="151"/>
        <v>0</v>
      </c>
      <c r="S298" s="87">
        <f t="shared" si="152"/>
        <v>0</v>
      </c>
      <c r="T298" s="87">
        <f t="shared" si="153"/>
        <v>2678.0848823805659</v>
      </c>
      <c r="U298" s="87">
        <f t="shared" si="154"/>
        <v>2638.5829474861248</v>
      </c>
      <c r="V298" s="87">
        <f t="shared" si="155"/>
        <v>2629.0732224189437</v>
      </c>
      <c r="W298" s="87">
        <f t="shared" si="156"/>
        <v>2626.8786704803633</v>
      </c>
      <c r="X298" s="87">
        <f t="shared" si="157"/>
        <v>2626.8786704803633</v>
      </c>
      <c r="Y298" s="87">
        <f t="shared" si="158"/>
        <v>2626.8786704803633</v>
      </c>
      <c r="Z298" s="87">
        <f t="shared" si="159"/>
        <v>2626.8786704803633</v>
      </c>
      <c r="AA298" s="88">
        <v>472.5</v>
      </c>
      <c r="AB298" s="89">
        <f>AA298*GDPdeflator!$C$25/$AI$18*10^3</f>
        <v>45.430638058888704</v>
      </c>
      <c r="AC298" s="90" t="e">
        <f>INDEX(Efficiencies!$D$8:$M$89,MATCH(C298,Efficiencies!$C$8:$C$89),MATCH(D298,Efficiencies!$D$7:$M$7))</f>
        <v>#REF!</v>
      </c>
      <c r="AD298" s="90" t="e">
        <f t="shared" si="148"/>
        <v>#REF!</v>
      </c>
      <c r="AE298" s="90" t="e">
        <f>INDEX(Efficiencies!$P$8:$Y$89,MATCH(C298,Efficiencies!$C$8:$C$89),MATCH(D298,Efficiencies!$P$7:$Y$7))</f>
        <v>#REF!</v>
      </c>
      <c r="AF298" s="90" t="e">
        <f t="shared" si="150"/>
        <v>#REF!</v>
      </c>
      <c r="AG298" s="90">
        <v>0</v>
      </c>
    </row>
    <row r="299" spans="1:33" x14ac:dyDescent="0.2">
      <c r="A299" s="92" t="s">
        <v>1393</v>
      </c>
      <c r="B299" s="248" t="s">
        <v>1394</v>
      </c>
      <c r="C299" s="40" t="s">
        <v>1386</v>
      </c>
      <c r="D299" s="40">
        <v>2035</v>
      </c>
      <c r="E299" s="86">
        <f>GDPdeflator!$C$32*INDEX(Costs!$E$7:$O$89,MATCH($C299,Costs!$C$7:$C$89,0),MATCH(E$7,Costs!$E$6:$O$6,0))</f>
        <v>0</v>
      </c>
      <c r="F299" s="86">
        <f>GDPdeflator!$C$36*INDEX(Costs!$E$7:$O$89,MATCH($C299,Costs!$C$7:$C$89,0),MATCH(F$7,Costs!$E$6:$O$6,0))</f>
        <v>0</v>
      </c>
      <c r="G299" s="86">
        <f>GDPdeflator!$C$38*INDEX(Costs!$E$7:$O$89,MATCH($C299,Costs!$C$7:$C$89,0),MATCH(G$7,Costs!$E$6:$O$6,0))</f>
        <v>0</v>
      </c>
      <c r="H299" s="86">
        <f>GDPdeflator!$C$38*INDEX(Costs!$E$7:$O$89,MATCH($C299,Costs!$C$7:$C$89,0),MATCH(H$7,Costs!$E$6:$O$6,0))</f>
        <v>0</v>
      </c>
      <c r="I299" s="86">
        <f>GDPdeflator!$C$38*INDEX(Costs!$E$7:$O$89,MATCH($C299,Costs!$C$7:$C$89,0),MATCH(I$7,Costs!$E$6:$O$6,0))</f>
        <v>32.073584407916037</v>
      </c>
      <c r="J299" s="86">
        <f>GDPdeflator!$C$38*INDEX(Costs!$E$7:$O$89,MATCH($C299,Costs!$C$7:$C$89,0),MATCH(J$7,Costs!$E$6:$O$6,0))</f>
        <v>31.600496847679093</v>
      </c>
      <c r="K299" s="86">
        <f>GDPdeflator!$C$38*INDEX(Costs!$E$7:$O$89,MATCH($C299,Costs!$C$7:$C$89,0),MATCH(K$7,Costs!$E$6:$O$6,0))</f>
        <v>31.486605397992417</v>
      </c>
      <c r="L299" s="86">
        <f>GDPdeflator!$C$38*INDEX(Costs!$E$7:$O$89,MATCH($C299,Costs!$C$7:$C$89,0),MATCH(L$7,Costs!$E$6:$O$6,0))</f>
        <v>31.46032275575703</v>
      </c>
      <c r="M299" s="86">
        <f>GDPdeflator!$C$38*INDEX(Costs!$E$7:$O$89,MATCH($C299,Costs!$C$7:$C$89,0),MATCH(M$7,Costs!$E$6:$O$6,0))</f>
        <v>31.46032275575703</v>
      </c>
      <c r="N299" s="86">
        <f>GDPdeflator!$C$38*INDEX(Costs!$E$7:$O$89,MATCH($C299,Costs!$C$7:$C$89,0),MATCH(N$7,Costs!$E$6:$O$6,0))</f>
        <v>31.46032275575703</v>
      </c>
      <c r="O299" s="86">
        <f>GDPdeflator!$C$38*INDEX(Costs!$E$7:$O$89,MATCH($C299,Costs!$C$7:$C$89,0),MATCH(O$7,Costs!$E$6:$O$6,0))</f>
        <v>31.46032275575703</v>
      </c>
      <c r="P299" s="87">
        <v>0</v>
      </c>
      <c r="Q299" s="87">
        <v>0</v>
      </c>
      <c r="R299" s="87">
        <f t="shared" si="151"/>
        <v>0</v>
      </c>
      <c r="S299" s="87">
        <f t="shared" si="152"/>
        <v>0</v>
      </c>
      <c r="T299" s="87">
        <f t="shared" si="153"/>
        <v>2678.0848823805659</v>
      </c>
      <c r="U299" s="87">
        <f t="shared" si="154"/>
        <v>2638.5829474861248</v>
      </c>
      <c r="V299" s="87">
        <f t="shared" si="155"/>
        <v>2629.0732224189437</v>
      </c>
      <c r="W299" s="87">
        <f t="shared" si="156"/>
        <v>2626.8786704803633</v>
      </c>
      <c r="X299" s="87">
        <f t="shared" si="157"/>
        <v>2626.8786704803633</v>
      </c>
      <c r="Y299" s="87">
        <f t="shared" si="158"/>
        <v>2626.8786704803633</v>
      </c>
      <c r="Z299" s="87">
        <f t="shared" si="159"/>
        <v>2626.8786704803633</v>
      </c>
      <c r="AA299" s="88">
        <v>472.5</v>
      </c>
      <c r="AB299" s="89">
        <f>AA299*GDPdeflator!$C$25/$AI$18*10^3</f>
        <v>45.430638058888704</v>
      </c>
      <c r="AC299" s="90" t="e">
        <f>INDEX(Efficiencies!$D$8:$M$89,MATCH(C299,Efficiencies!$C$8:$C$89),MATCH(D299,Efficiencies!$D$7:$M$7))</f>
        <v>#REF!</v>
      </c>
      <c r="AD299" s="90" t="e">
        <f t="shared" si="148"/>
        <v>#REF!</v>
      </c>
      <c r="AE299" s="90" t="e">
        <f>INDEX(Efficiencies!$P$8:$Y$89,MATCH(C299,Efficiencies!$C$8:$C$89),MATCH(D299,Efficiencies!$P$7:$Y$7))</f>
        <v>#REF!</v>
      </c>
      <c r="AF299" s="90" t="e">
        <f t="shared" si="150"/>
        <v>#REF!</v>
      </c>
      <c r="AG299" s="90">
        <v>0</v>
      </c>
    </row>
    <row r="300" spans="1:33" x14ac:dyDescent="0.2">
      <c r="A300" s="92" t="s">
        <v>1395</v>
      </c>
      <c r="B300" s="248" t="s">
        <v>1396</v>
      </c>
      <c r="C300" s="40" t="s">
        <v>1386</v>
      </c>
      <c r="D300" s="40">
        <v>2040</v>
      </c>
      <c r="E300" s="86">
        <f>GDPdeflator!$C$32*INDEX(Costs!$E$7:$O$89,MATCH($C300,Costs!$C$7:$C$89,0),MATCH(E$7,Costs!$E$6:$O$6,0))</f>
        <v>0</v>
      </c>
      <c r="F300" s="86">
        <f>GDPdeflator!$C$36*INDEX(Costs!$E$7:$O$89,MATCH($C300,Costs!$C$7:$C$89,0),MATCH(F$7,Costs!$E$6:$O$6,0))</f>
        <v>0</v>
      </c>
      <c r="G300" s="86">
        <f>GDPdeflator!$C$38*INDEX(Costs!$E$7:$O$89,MATCH($C300,Costs!$C$7:$C$89,0),MATCH(G$7,Costs!$E$6:$O$6,0))</f>
        <v>0</v>
      </c>
      <c r="H300" s="86">
        <f>GDPdeflator!$C$38*INDEX(Costs!$E$7:$O$89,MATCH($C300,Costs!$C$7:$C$89,0),MATCH(H$7,Costs!$E$6:$O$6,0))</f>
        <v>0</v>
      </c>
      <c r="I300" s="86">
        <f>GDPdeflator!$C$38*INDEX(Costs!$E$7:$O$89,MATCH($C300,Costs!$C$7:$C$89,0),MATCH(I$7,Costs!$E$6:$O$6,0))</f>
        <v>32.073584407916037</v>
      </c>
      <c r="J300" s="86">
        <f>GDPdeflator!$C$38*INDEX(Costs!$E$7:$O$89,MATCH($C300,Costs!$C$7:$C$89,0),MATCH(J$7,Costs!$E$6:$O$6,0))</f>
        <v>31.600496847679093</v>
      </c>
      <c r="K300" s="86">
        <f>GDPdeflator!$C$38*INDEX(Costs!$E$7:$O$89,MATCH($C300,Costs!$C$7:$C$89,0),MATCH(K$7,Costs!$E$6:$O$6,0))</f>
        <v>31.486605397992417</v>
      </c>
      <c r="L300" s="86">
        <f>GDPdeflator!$C$38*INDEX(Costs!$E$7:$O$89,MATCH($C300,Costs!$C$7:$C$89,0),MATCH(L$7,Costs!$E$6:$O$6,0))</f>
        <v>31.46032275575703</v>
      </c>
      <c r="M300" s="86">
        <f>GDPdeflator!$C$38*INDEX(Costs!$E$7:$O$89,MATCH($C300,Costs!$C$7:$C$89,0),MATCH(M$7,Costs!$E$6:$O$6,0))</f>
        <v>31.46032275575703</v>
      </c>
      <c r="N300" s="86">
        <f>GDPdeflator!$C$38*INDEX(Costs!$E$7:$O$89,MATCH($C300,Costs!$C$7:$C$89,0),MATCH(N$7,Costs!$E$6:$O$6,0))</f>
        <v>31.46032275575703</v>
      </c>
      <c r="O300" s="86">
        <f>GDPdeflator!$C$38*INDEX(Costs!$E$7:$O$89,MATCH($C300,Costs!$C$7:$C$89,0),MATCH(O$7,Costs!$E$6:$O$6,0))</f>
        <v>31.46032275575703</v>
      </c>
      <c r="P300" s="87">
        <v>0</v>
      </c>
      <c r="Q300" s="87">
        <v>0</v>
      </c>
      <c r="R300" s="87">
        <f t="shared" si="151"/>
        <v>0</v>
      </c>
      <c r="S300" s="87">
        <f t="shared" si="152"/>
        <v>0</v>
      </c>
      <c r="T300" s="87">
        <f t="shared" si="153"/>
        <v>2678.0848823805659</v>
      </c>
      <c r="U300" s="87">
        <f t="shared" si="154"/>
        <v>2638.5829474861248</v>
      </c>
      <c r="V300" s="87">
        <f t="shared" si="155"/>
        <v>2629.0732224189437</v>
      </c>
      <c r="W300" s="87">
        <f t="shared" si="156"/>
        <v>2626.8786704803633</v>
      </c>
      <c r="X300" s="87">
        <f t="shared" si="157"/>
        <v>2626.8786704803633</v>
      </c>
      <c r="Y300" s="87">
        <f t="shared" si="158"/>
        <v>2626.8786704803633</v>
      </c>
      <c r="Z300" s="87">
        <f t="shared" si="159"/>
        <v>2626.8786704803633</v>
      </c>
      <c r="AA300" s="88">
        <v>472.5</v>
      </c>
      <c r="AB300" s="89">
        <f>AA300*GDPdeflator!$C$25/$AI$18*10^3</f>
        <v>45.430638058888704</v>
      </c>
      <c r="AC300" s="90" t="e">
        <f>INDEX(Efficiencies!$D$8:$M$89,MATCH(C300,Efficiencies!$C$8:$C$89),MATCH(D300,Efficiencies!$D$7:$M$7))</f>
        <v>#REF!</v>
      </c>
      <c r="AD300" s="90" t="e">
        <f t="shared" si="148"/>
        <v>#REF!</v>
      </c>
      <c r="AE300" s="90" t="e">
        <f>INDEX(Efficiencies!$P$8:$Y$89,MATCH(C300,Efficiencies!$C$8:$C$89),MATCH(D300,Efficiencies!$P$7:$Y$7))</f>
        <v>#REF!</v>
      </c>
      <c r="AF300" s="90" t="e">
        <f t="shared" si="150"/>
        <v>#REF!</v>
      </c>
      <c r="AG300" s="90">
        <v>0</v>
      </c>
    </row>
    <row r="301" spans="1:33" x14ac:dyDescent="0.2">
      <c r="A301" s="92" t="s">
        <v>1397</v>
      </c>
      <c r="B301" s="248" t="s">
        <v>1398</v>
      </c>
      <c r="C301" s="40" t="s">
        <v>1386</v>
      </c>
      <c r="D301" s="40">
        <v>2045</v>
      </c>
      <c r="E301" s="86">
        <f>GDPdeflator!$C$32*INDEX(Costs!$E$7:$O$89,MATCH($C301,Costs!$C$7:$C$89,0),MATCH(E$7,Costs!$E$6:$O$6,0))</f>
        <v>0</v>
      </c>
      <c r="F301" s="86">
        <f>GDPdeflator!$C$36*INDEX(Costs!$E$7:$O$89,MATCH($C301,Costs!$C$7:$C$89,0),MATCH(F$7,Costs!$E$6:$O$6,0))</f>
        <v>0</v>
      </c>
      <c r="G301" s="86">
        <f>GDPdeflator!$C$38*INDEX(Costs!$E$7:$O$89,MATCH($C301,Costs!$C$7:$C$89,0),MATCH(G$7,Costs!$E$6:$O$6,0))</f>
        <v>0</v>
      </c>
      <c r="H301" s="86">
        <f>GDPdeflator!$C$38*INDEX(Costs!$E$7:$O$89,MATCH($C301,Costs!$C$7:$C$89,0),MATCH(H$7,Costs!$E$6:$O$6,0))</f>
        <v>0</v>
      </c>
      <c r="I301" s="86">
        <f>GDPdeflator!$C$38*INDEX(Costs!$E$7:$O$89,MATCH($C301,Costs!$C$7:$C$89,0),MATCH(I$7,Costs!$E$6:$O$6,0))</f>
        <v>32.073584407916037</v>
      </c>
      <c r="J301" s="86">
        <f>GDPdeflator!$C$38*INDEX(Costs!$E$7:$O$89,MATCH($C301,Costs!$C$7:$C$89,0),MATCH(J$7,Costs!$E$6:$O$6,0))</f>
        <v>31.600496847679093</v>
      </c>
      <c r="K301" s="86">
        <f>GDPdeflator!$C$38*INDEX(Costs!$E$7:$O$89,MATCH($C301,Costs!$C$7:$C$89,0),MATCH(K$7,Costs!$E$6:$O$6,0))</f>
        <v>31.486605397992417</v>
      </c>
      <c r="L301" s="86">
        <f>GDPdeflator!$C$38*INDEX(Costs!$E$7:$O$89,MATCH($C301,Costs!$C$7:$C$89,0),MATCH(L$7,Costs!$E$6:$O$6,0))</f>
        <v>31.46032275575703</v>
      </c>
      <c r="M301" s="86">
        <f>GDPdeflator!$C$38*INDEX(Costs!$E$7:$O$89,MATCH($C301,Costs!$C$7:$C$89,0),MATCH(M$7,Costs!$E$6:$O$6,0))</f>
        <v>31.46032275575703</v>
      </c>
      <c r="N301" s="86">
        <f>GDPdeflator!$C$38*INDEX(Costs!$E$7:$O$89,MATCH($C301,Costs!$C$7:$C$89,0),MATCH(N$7,Costs!$E$6:$O$6,0))</f>
        <v>31.46032275575703</v>
      </c>
      <c r="O301" s="86">
        <f>GDPdeflator!$C$38*INDEX(Costs!$E$7:$O$89,MATCH($C301,Costs!$C$7:$C$89,0),MATCH(O$7,Costs!$E$6:$O$6,0))</f>
        <v>31.46032275575703</v>
      </c>
      <c r="P301" s="87">
        <v>0</v>
      </c>
      <c r="Q301" s="87">
        <v>0</v>
      </c>
      <c r="R301" s="87">
        <f t="shared" si="151"/>
        <v>0</v>
      </c>
      <c r="S301" s="87">
        <f t="shared" si="152"/>
        <v>0</v>
      </c>
      <c r="T301" s="87">
        <f t="shared" si="153"/>
        <v>2678.0848823805659</v>
      </c>
      <c r="U301" s="87">
        <f t="shared" si="154"/>
        <v>2638.5829474861248</v>
      </c>
      <c r="V301" s="87">
        <f t="shared" si="155"/>
        <v>2629.0732224189437</v>
      </c>
      <c r="W301" s="87">
        <f t="shared" si="156"/>
        <v>2626.8786704803633</v>
      </c>
      <c r="X301" s="87">
        <f t="shared" si="157"/>
        <v>2626.8786704803633</v>
      </c>
      <c r="Y301" s="87">
        <f t="shared" si="158"/>
        <v>2626.8786704803633</v>
      </c>
      <c r="Z301" s="87">
        <f t="shared" si="159"/>
        <v>2626.8786704803633</v>
      </c>
      <c r="AA301" s="88">
        <v>472.5</v>
      </c>
      <c r="AB301" s="89">
        <f>AA301*GDPdeflator!$C$25/$AI$18*10^3</f>
        <v>45.430638058888704</v>
      </c>
      <c r="AC301" s="90" t="e">
        <f>INDEX(Efficiencies!$D$8:$M$89,MATCH(C301,Efficiencies!$C$8:$C$89),MATCH(D301,Efficiencies!$D$7:$M$7))</f>
        <v>#REF!</v>
      </c>
      <c r="AD301" s="90" t="e">
        <f t="shared" si="148"/>
        <v>#REF!</v>
      </c>
      <c r="AE301" s="90" t="e">
        <f>INDEX(Efficiencies!$P$8:$Y$89,MATCH(C301,Efficiencies!$C$8:$C$89),MATCH(D301,Efficiencies!$P$7:$Y$7))</f>
        <v>#REF!</v>
      </c>
      <c r="AF301" s="90" t="e">
        <f t="shared" si="150"/>
        <v>#REF!</v>
      </c>
      <c r="AG301" s="90">
        <v>0</v>
      </c>
    </row>
    <row r="302" spans="1:33" x14ac:dyDescent="0.2">
      <c r="A302" s="92" t="s">
        <v>1399</v>
      </c>
      <c r="B302" s="248" t="s">
        <v>1400</v>
      </c>
      <c r="C302" s="40" t="s">
        <v>1386</v>
      </c>
      <c r="D302" s="40">
        <v>2050</v>
      </c>
      <c r="E302" s="86">
        <f>GDPdeflator!$C$32*INDEX(Costs!$E$7:$O$89,MATCH($C302,Costs!$C$7:$C$89,0),MATCH(E$7,Costs!$E$6:$O$6,0))</f>
        <v>0</v>
      </c>
      <c r="F302" s="86">
        <f>GDPdeflator!$C$36*INDEX(Costs!$E$7:$O$89,MATCH($C302,Costs!$C$7:$C$89,0),MATCH(F$7,Costs!$E$6:$O$6,0))</f>
        <v>0</v>
      </c>
      <c r="G302" s="86">
        <f>GDPdeflator!$C$38*INDEX(Costs!$E$7:$O$89,MATCH($C302,Costs!$C$7:$C$89,0),MATCH(G$7,Costs!$E$6:$O$6,0))</f>
        <v>0</v>
      </c>
      <c r="H302" s="86">
        <f>GDPdeflator!$C$38*INDEX(Costs!$E$7:$O$89,MATCH($C302,Costs!$C$7:$C$89,0),MATCH(H$7,Costs!$E$6:$O$6,0))</f>
        <v>0</v>
      </c>
      <c r="I302" s="86">
        <f>GDPdeflator!$C$38*INDEX(Costs!$E$7:$O$89,MATCH($C302,Costs!$C$7:$C$89,0),MATCH(I$7,Costs!$E$6:$O$6,0))</f>
        <v>32.073584407916037</v>
      </c>
      <c r="J302" s="86">
        <f>GDPdeflator!$C$38*INDEX(Costs!$E$7:$O$89,MATCH($C302,Costs!$C$7:$C$89,0),MATCH(J$7,Costs!$E$6:$O$6,0))</f>
        <v>31.600496847679093</v>
      </c>
      <c r="K302" s="86">
        <f>GDPdeflator!$C$38*INDEX(Costs!$E$7:$O$89,MATCH($C302,Costs!$C$7:$C$89,0),MATCH(K$7,Costs!$E$6:$O$6,0))</f>
        <v>31.486605397992417</v>
      </c>
      <c r="L302" s="86">
        <f>GDPdeflator!$C$38*INDEX(Costs!$E$7:$O$89,MATCH($C302,Costs!$C$7:$C$89,0),MATCH(L$7,Costs!$E$6:$O$6,0))</f>
        <v>31.46032275575703</v>
      </c>
      <c r="M302" s="86">
        <f>GDPdeflator!$C$38*INDEX(Costs!$E$7:$O$89,MATCH($C302,Costs!$C$7:$C$89,0),MATCH(M$7,Costs!$E$6:$O$6,0))</f>
        <v>31.46032275575703</v>
      </c>
      <c r="N302" s="86">
        <f>GDPdeflator!$C$38*INDEX(Costs!$E$7:$O$89,MATCH($C302,Costs!$C$7:$C$89,0),MATCH(N$7,Costs!$E$6:$O$6,0))</f>
        <v>31.46032275575703</v>
      </c>
      <c r="O302" s="86">
        <f>GDPdeflator!$C$38*INDEX(Costs!$E$7:$O$89,MATCH($C302,Costs!$C$7:$C$89,0),MATCH(O$7,Costs!$E$6:$O$6,0))</f>
        <v>31.46032275575703</v>
      </c>
      <c r="P302" s="87">
        <v>0</v>
      </c>
      <c r="Q302" s="87">
        <v>0</v>
      </c>
      <c r="R302" s="87">
        <f t="shared" si="151"/>
        <v>0</v>
      </c>
      <c r="S302" s="87">
        <f t="shared" si="152"/>
        <v>0</v>
      </c>
      <c r="T302" s="87">
        <f t="shared" si="153"/>
        <v>2678.0848823805659</v>
      </c>
      <c r="U302" s="87">
        <f t="shared" si="154"/>
        <v>2638.5829474861248</v>
      </c>
      <c r="V302" s="87">
        <f t="shared" si="155"/>
        <v>2629.0732224189437</v>
      </c>
      <c r="W302" s="87">
        <f t="shared" si="156"/>
        <v>2626.8786704803633</v>
      </c>
      <c r="X302" s="87">
        <f t="shared" si="157"/>
        <v>2626.8786704803633</v>
      </c>
      <c r="Y302" s="87">
        <f t="shared" si="158"/>
        <v>2626.8786704803633</v>
      </c>
      <c r="Z302" s="87">
        <f t="shared" si="159"/>
        <v>2626.8786704803633</v>
      </c>
      <c r="AA302" s="88">
        <v>472.5</v>
      </c>
      <c r="AB302" s="89">
        <f>AA302*GDPdeflator!$C$25/$AI$18*10^3</f>
        <v>45.430638058888704</v>
      </c>
      <c r="AC302" s="90" t="e">
        <f>INDEX(Efficiencies!$D$8:$M$89,MATCH(C302,Efficiencies!$C$8:$C$89),MATCH(D302,Efficiencies!$D$7:$M$7))</f>
        <v>#REF!</v>
      </c>
      <c r="AD302" s="90" t="e">
        <f t="shared" si="148"/>
        <v>#REF!</v>
      </c>
      <c r="AE302" s="90" t="e">
        <f>INDEX(Efficiencies!$P$8:$Y$89,MATCH(C302,Efficiencies!$C$8:$C$89),MATCH(D302,Efficiencies!$P$7:$Y$7))</f>
        <v>#REF!</v>
      </c>
      <c r="AF302" s="90" t="e">
        <f t="shared" si="150"/>
        <v>#REF!</v>
      </c>
      <c r="AG302" s="90">
        <v>0</v>
      </c>
    </row>
    <row r="303" spans="1:33" x14ac:dyDescent="0.2">
      <c r="A303" s="92" t="s">
        <v>1401</v>
      </c>
      <c r="B303" s="248" t="s">
        <v>1402</v>
      </c>
      <c r="C303" s="40" t="s">
        <v>1403</v>
      </c>
      <c r="D303" s="40">
        <v>2060</v>
      </c>
      <c r="E303" s="86">
        <f>GDPdeflator!$C$32*INDEX(Costs!$E$7:$O$89,MATCH($C303,Costs!$C$7:$C$89,0),MATCH(E$7,Costs!$E$6:$O$6,0))</f>
        <v>26.184248764893926</v>
      </c>
      <c r="F303" s="86">
        <f>GDPdeflator!$C$36*INDEX(Costs!$E$7:$O$89,MATCH($C303,Costs!$C$7:$C$89,0),MATCH(F$7,Costs!$E$6:$O$6,0))</f>
        <v>27.6871790251374</v>
      </c>
      <c r="G303" s="86">
        <f>GDPdeflator!$C$38*INDEX(Costs!$E$7:$O$89,MATCH($C303,Costs!$C$7:$C$89,0),MATCH(G$7,Costs!$E$6:$O$6,0))</f>
        <v>29.059841431591781</v>
      </c>
      <c r="H303" s="86">
        <f>GDPdeflator!$C$38*INDEX(Costs!$E$7:$O$89,MATCH($C303,Costs!$C$7:$C$89,0),MATCH(H$7,Costs!$E$6:$O$6,0))</f>
        <v>29.357711376926151</v>
      </c>
      <c r="I303" s="86">
        <f>GDPdeflator!$C$38*INDEX(Costs!$E$7:$O$89,MATCH($C303,Costs!$C$7:$C$89,0),MATCH(I$7,Costs!$E$6:$O$6,0))</f>
        <v>29.9534512675949</v>
      </c>
      <c r="J303" s="86">
        <f>GDPdeflator!$C$38*INDEX(Costs!$E$7:$O$89,MATCH($C303,Costs!$C$7:$C$89,0),MATCH(J$7,Costs!$E$6:$O$6,0))</f>
        <v>29.979733909830287</v>
      </c>
      <c r="K303" s="86">
        <f>GDPdeflator!$C$38*INDEX(Costs!$E$7:$O$89,MATCH($C303,Costs!$C$7:$C$89,0),MATCH(K$7,Costs!$E$6:$O$6,0))</f>
        <v>30.006016552065674</v>
      </c>
      <c r="L303" s="86">
        <f>GDPdeflator!$C$38*INDEX(Costs!$E$7:$O$89,MATCH($C303,Costs!$C$7:$C$89,0),MATCH(L$7,Costs!$E$6:$O$6,0))</f>
        <v>30.023538313555935</v>
      </c>
      <c r="M303" s="86">
        <f>GDPdeflator!$C$38*INDEX(Costs!$E$7:$O$89,MATCH($C303,Costs!$C$7:$C$89,0),MATCH(M$7,Costs!$E$6:$O$6,0))</f>
        <v>30.023538313555935</v>
      </c>
      <c r="N303" s="86">
        <f>GDPdeflator!$C$38*INDEX(Costs!$E$7:$O$89,MATCH($C303,Costs!$C$7:$C$89,0),MATCH(N$7,Costs!$E$6:$O$6,0))</f>
        <v>30.023538313555935</v>
      </c>
      <c r="O303" s="86">
        <f>GDPdeflator!$C$38*INDEX(Costs!$E$7:$O$89,MATCH($C303,Costs!$C$7:$C$89,0),MATCH(O$7,Costs!$E$6:$O$6,0))</f>
        <v>30.023538313555935</v>
      </c>
      <c r="P303" s="87">
        <f>E303/$AI$18*10^6</f>
        <v>2186.3362660659564</v>
      </c>
      <c r="Q303" s="87">
        <f t="shared" ref="Q303" si="160">F303/$AI$18*10^6</f>
        <v>2311.8281586477201</v>
      </c>
      <c r="R303" s="87">
        <f t="shared" si="151"/>
        <v>2426.4429267567161</v>
      </c>
      <c r="S303" s="87">
        <f t="shared" si="152"/>
        <v>2451.3145153939568</v>
      </c>
      <c r="T303" s="87">
        <f t="shared" si="153"/>
        <v>2501.0576926684389</v>
      </c>
      <c r="U303" s="87">
        <f t="shared" si="154"/>
        <v>2503.2522446070188</v>
      </c>
      <c r="V303" s="87">
        <f t="shared" si="155"/>
        <v>2505.4467965455992</v>
      </c>
      <c r="W303" s="87">
        <f t="shared" si="156"/>
        <v>2506.9098311713196</v>
      </c>
      <c r="X303" s="87">
        <f t="shared" si="157"/>
        <v>2506.9098311713196</v>
      </c>
      <c r="Y303" s="87">
        <f t="shared" si="158"/>
        <v>2506.9098311713196</v>
      </c>
      <c r="Z303" s="87">
        <f t="shared" si="159"/>
        <v>2506.9098311713196</v>
      </c>
      <c r="AA303" s="88">
        <v>450</v>
      </c>
      <c r="AB303" s="89">
        <f>AA303*GDPdeflator!$C$25/$AI$18*10^3</f>
        <v>43.267274341798768</v>
      </c>
      <c r="AC303" s="90" t="e">
        <f>INDEX(Efficiencies!$D$8:$M$89,MATCH(C303,Efficiencies!$C$8:$C$89),MATCH(D303,Efficiencies!$D$7:$M$7))</f>
        <v>#REF!</v>
      </c>
      <c r="AD303" s="90" t="e">
        <f t="shared" si="148"/>
        <v>#REF!</v>
      </c>
      <c r="AE303" s="90" t="e">
        <f>INDEX(Efficiencies!$P$8:$Y$89,MATCH(C303,Efficiencies!$C$8:$C$89),MATCH(D303,Efficiencies!$P$7:$Y$7))</f>
        <v>#REF!</v>
      </c>
      <c r="AF303" s="90" t="e">
        <f t="shared" si="150"/>
        <v>#REF!</v>
      </c>
      <c r="AG303" s="90">
        <v>0</v>
      </c>
    </row>
    <row r="304" spans="1:33" x14ac:dyDescent="0.2">
      <c r="A304" s="92" t="s">
        <v>1404</v>
      </c>
      <c r="B304" s="248" t="s">
        <v>1405</v>
      </c>
      <c r="C304" s="40" t="s">
        <v>1403</v>
      </c>
      <c r="D304" s="40">
        <v>2005</v>
      </c>
      <c r="E304" s="86">
        <f>GDPdeflator!$C$32*INDEX(Costs!$E$7:$O$89,MATCH($C304,Costs!$C$7:$C$89,0),MATCH(E$7,Costs!$E$6:$O$6,0))</f>
        <v>26.184248764893926</v>
      </c>
      <c r="F304" s="86">
        <f>GDPdeflator!$C$36*INDEX(Costs!$E$7:$O$89,MATCH($C304,Costs!$C$7:$C$89,0),MATCH(F$7,Costs!$E$6:$O$6,0))</f>
        <v>27.6871790251374</v>
      </c>
      <c r="G304" s="86">
        <f>GDPdeflator!$C$38*INDEX(Costs!$E$7:$O$89,MATCH($C304,Costs!$C$7:$C$89,0),MATCH(G$7,Costs!$E$6:$O$6,0))</f>
        <v>29.059841431591781</v>
      </c>
      <c r="H304" s="86">
        <f>GDPdeflator!$C$38*INDEX(Costs!$E$7:$O$89,MATCH($C304,Costs!$C$7:$C$89,0),MATCH(H$7,Costs!$E$6:$O$6,0))</f>
        <v>29.357711376926151</v>
      </c>
      <c r="I304" s="86">
        <f>GDPdeflator!$C$38*INDEX(Costs!$E$7:$O$89,MATCH($C304,Costs!$C$7:$C$89,0),MATCH(I$7,Costs!$E$6:$O$6,0))</f>
        <v>29.9534512675949</v>
      </c>
      <c r="J304" s="86">
        <f>GDPdeflator!$C$38*INDEX(Costs!$E$7:$O$89,MATCH($C304,Costs!$C$7:$C$89,0),MATCH(J$7,Costs!$E$6:$O$6,0))</f>
        <v>29.979733909830287</v>
      </c>
      <c r="K304" s="86">
        <f>GDPdeflator!$C$38*INDEX(Costs!$E$7:$O$89,MATCH($C304,Costs!$C$7:$C$89,0),MATCH(K$7,Costs!$E$6:$O$6,0))</f>
        <v>30.006016552065674</v>
      </c>
      <c r="L304" s="86">
        <f>GDPdeflator!$C$38*INDEX(Costs!$E$7:$O$89,MATCH($C304,Costs!$C$7:$C$89,0),MATCH(L$7,Costs!$E$6:$O$6,0))</f>
        <v>30.023538313555935</v>
      </c>
      <c r="M304" s="86">
        <f>GDPdeflator!$C$38*INDEX(Costs!$E$7:$O$89,MATCH($C304,Costs!$C$7:$C$89,0),MATCH(M$7,Costs!$E$6:$O$6,0))</f>
        <v>30.023538313555935</v>
      </c>
      <c r="N304" s="86">
        <f>GDPdeflator!$C$38*INDEX(Costs!$E$7:$O$89,MATCH($C304,Costs!$C$7:$C$89,0),MATCH(N$7,Costs!$E$6:$O$6,0))</f>
        <v>30.023538313555935</v>
      </c>
      <c r="O304" s="86">
        <f>GDPdeflator!$C$38*INDEX(Costs!$E$7:$O$89,MATCH($C304,Costs!$C$7:$C$89,0),MATCH(O$7,Costs!$E$6:$O$6,0))</f>
        <v>30.023538313555935</v>
      </c>
      <c r="P304" s="87">
        <f t="shared" ref="P304:P313" si="161">E304/$AI$18*10^6</f>
        <v>2186.3362660659564</v>
      </c>
      <c r="Q304" s="87">
        <f t="shared" ref="Q304:Q332" si="162">F304/$AI$18*10^6</f>
        <v>2311.8281586477201</v>
      </c>
      <c r="R304" s="87">
        <f t="shared" ref="R304:R332" si="163">G304/$AI$18*10^6</f>
        <v>2426.4429267567161</v>
      </c>
      <c r="S304" s="87">
        <f t="shared" ref="S304:S332" si="164">H304/$AI$18*10^6</f>
        <v>2451.3145153939568</v>
      </c>
      <c r="T304" s="87">
        <f t="shared" ref="T304:T332" si="165">I304/$AI$18*10^6</f>
        <v>2501.0576926684389</v>
      </c>
      <c r="U304" s="87">
        <f t="shared" ref="U304:U332" si="166">J304/$AI$18*10^6</f>
        <v>2503.2522446070188</v>
      </c>
      <c r="V304" s="87">
        <f t="shared" ref="V304:V332" si="167">K304/$AI$18*10^6</f>
        <v>2505.4467965455992</v>
      </c>
      <c r="W304" s="87">
        <f t="shared" ref="W304:W332" si="168">L304/$AI$18*10^6</f>
        <v>2506.9098311713196</v>
      </c>
      <c r="X304" s="87">
        <f t="shared" ref="X304:X332" si="169">M304/$AI$18*10^6</f>
        <v>2506.9098311713196</v>
      </c>
      <c r="Y304" s="87">
        <f t="shared" ref="Y304:Y332" si="170">N304/$AI$18*10^6</f>
        <v>2506.9098311713196</v>
      </c>
      <c r="Z304" s="87">
        <f t="shared" ref="Z304:Z332" si="171">O304/$AI$18*10^6</f>
        <v>2506.9098311713196</v>
      </c>
      <c r="AA304" s="88">
        <v>450</v>
      </c>
      <c r="AB304" s="89">
        <f>AA304*GDPdeflator!$C$25/$AI$18*10^3</f>
        <v>43.267274341798768</v>
      </c>
      <c r="AC304" s="90" t="e">
        <f>INDEX(Efficiencies!$D$8:$M$89,MATCH(C304,Efficiencies!$C$8:$C$89),MATCH(D304,Efficiencies!$D$7:$M$7))</f>
        <v>#REF!</v>
      </c>
      <c r="AD304" s="90" t="e">
        <f t="shared" si="148"/>
        <v>#REF!</v>
      </c>
      <c r="AE304" s="90" t="e">
        <f>INDEX(Efficiencies!$P$8:$Y$89,MATCH(C304,Efficiencies!$C$8:$C$89),MATCH(D304,Efficiencies!$P$7:$Y$7))</f>
        <v>#REF!</v>
      </c>
      <c r="AF304" s="90" t="e">
        <f t="shared" si="150"/>
        <v>#REF!</v>
      </c>
      <c r="AG304" s="90">
        <v>0</v>
      </c>
    </row>
    <row r="305" spans="1:33" x14ac:dyDescent="0.2">
      <c r="A305" s="92" t="s">
        <v>1406</v>
      </c>
      <c r="B305" s="248" t="s">
        <v>1407</v>
      </c>
      <c r="C305" s="40" t="s">
        <v>1403</v>
      </c>
      <c r="D305" s="40">
        <v>2010</v>
      </c>
      <c r="E305" s="86">
        <f>GDPdeflator!$C$32*INDEX(Costs!$E$7:$O$89,MATCH($C305,Costs!$C$7:$C$89,0),MATCH(E$7,Costs!$E$6:$O$6,0))</f>
        <v>26.184248764893926</v>
      </c>
      <c r="F305" s="86">
        <f>GDPdeflator!$C$36*INDEX(Costs!$E$7:$O$89,MATCH($C305,Costs!$C$7:$C$89,0),MATCH(F$7,Costs!$E$6:$O$6,0))</f>
        <v>27.6871790251374</v>
      </c>
      <c r="G305" s="86">
        <f>GDPdeflator!$C$38*INDEX(Costs!$E$7:$O$89,MATCH($C305,Costs!$C$7:$C$89,0),MATCH(G$7,Costs!$E$6:$O$6,0))</f>
        <v>29.059841431591781</v>
      </c>
      <c r="H305" s="86">
        <f>GDPdeflator!$C$38*INDEX(Costs!$E$7:$O$89,MATCH($C305,Costs!$C$7:$C$89,0),MATCH(H$7,Costs!$E$6:$O$6,0))</f>
        <v>29.357711376926151</v>
      </c>
      <c r="I305" s="86">
        <f>GDPdeflator!$C$38*INDEX(Costs!$E$7:$O$89,MATCH($C305,Costs!$C$7:$C$89,0),MATCH(I$7,Costs!$E$6:$O$6,0))</f>
        <v>29.9534512675949</v>
      </c>
      <c r="J305" s="86">
        <f>GDPdeflator!$C$38*INDEX(Costs!$E$7:$O$89,MATCH($C305,Costs!$C$7:$C$89,0),MATCH(J$7,Costs!$E$6:$O$6,0))</f>
        <v>29.979733909830287</v>
      </c>
      <c r="K305" s="86">
        <f>GDPdeflator!$C$38*INDEX(Costs!$E$7:$O$89,MATCH($C305,Costs!$C$7:$C$89,0),MATCH(K$7,Costs!$E$6:$O$6,0))</f>
        <v>30.006016552065674</v>
      </c>
      <c r="L305" s="86">
        <f>GDPdeflator!$C$38*INDEX(Costs!$E$7:$O$89,MATCH($C305,Costs!$C$7:$C$89,0),MATCH(L$7,Costs!$E$6:$O$6,0))</f>
        <v>30.023538313555935</v>
      </c>
      <c r="M305" s="86">
        <f>GDPdeflator!$C$38*INDEX(Costs!$E$7:$O$89,MATCH($C305,Costs!$C$7:$C$89,0),MATCH(M$7,Costs!$E$6:$O$6,0))</f>
        <v>30.023538313555935</v>
      </c>
      <c r="N305" s="86">
        <f>GDPdeflator!$C$38*INDEX(Costs!$E$7:$O$89,MATCH($C305,Costs!$C$7:$C$89,0),MATCH(N$7,Costs!$E$6:$O$6,0))</f>
        <v>30.023538313555935</v>
      </c>
      <c r="O305" s="86">
        <f>GDPdeflator!$C$38*INDEX(Costs!$E$7:$O$89,MATCH($C305,Costs!$C$7:$C$89,0),MATCH(O$7,Costs!$E$6:$O$6,0))</f>
        <v>30.023538313555935</v>
      </c>
      <c r="P305" s="87">
        <f t="shared" si="161"/>
        <v>2186.3362660659564</v>
      </c>
      <c r="Q305" s="87">
        <f t="shared" si="162"/>
        <v>2311.8281586477201</v>
      </c>
      <c r="R305" s="87">
        <f t="shared" si="163"/>
        <v>2426.4429267567161</v>
      </c>
      <c r="S305" s="87">
        <f t="shared" si="164"/>
        <v>2451.3145153939568</v>
      </c>
      <c r="T305" s="87">
        <f t="shared" si="165"/>
        <v>2501.0576926684389</v>
      </c>
      <c r="U305" s="87">
        <f t="shared" si="166"/>
        <v>2503.2522446070188</v>
      </c>
      <c r="V305" s="87">
        <f t="shared" si="167"/>
        <v>2505.4467965455992</v>
      </c>
      <c r="W305" s="87">
        <f t="shared" si="168"/>
        <v>2506.9098311713196</v>
      </c>
      <c r="X305" s="87">
        <f t="shared" si="169"/>
        <v>2506.9098311713196</v>
      </c>
      <c r="Y305" s="87">
        <f t="shared" si="170"/>
        <v>2506.9098311713196</v>
      </c>
      <c r="Z305" s="87">
        <f t="shared" si="171"/>
        <v>2506.9098311713196</v>
      </c>
      <c r="AA305" s="88">
        <v>450</v>
      </c>
      <c r="AB305" s="89">
        <f>AA305*GDPdeflator!$C$25/$AI$18*10^3</f>
        <v>43.267274341798768</v>
      </c>
      <c r="AC305" s="90" t="e">
        <f>INDEX(Efficiencies!$D$8:$M$89,MATCH(C305,Efficiencies!$C$8:$C$89),MATCH(D305,Efficiencies!$D$7:$M$7))</f>
        <v>#REF!</v>
      </c>
      <c r="AD305" s="90" t="e">
        <f t="shared" si="148"/>
        <v>#REF!</v>
      </c>
      <c r="AE305" s="90" t="e">
        <f>INDEX(Efficiencies!$P$8:$Y$89,MATCH(C305,Efficiencies!$C$8:$C$89),MATCH(D305,Efficiencies!$P$7:$Y$7))</f>
        <v>#REF!</v>
      </c>
      <c r="AF305" s="90" t="e">
        <f t="shared" si="150"/>
        <v>#REF!</v>
      </c>
      <c r="AG305" s="90">
        <v>0</v>
      </c>
    </row>
    <row r="306" spans="1:33" x14ac:dyDescent="0.2">
      <c r="A306" s="92" t="s">
        <v>1408</v>
      </c>
      <c r="B306" s="248" t="s">
        <v>1409</v>
      </c>
      <c r="C306" s="40" t="s">
        <v>1403</v>
      </c>
      <c r="D306" s="40">
        <v>2015</v>
      </c>
      <c r="E306" s="86">
        <f>GDPdeflator!$C$32*INDEX(Costs!$E$7:$O$89,MATCH($C306,Costs!$C$7:$C$89,0),MATCH(E$7,Costs!$E$6:$O$6,0))</f>
        <v>26.184248764893926</v>
      </c>
      <c r="F306" s="86">
        <f>GDPdeflator!$C$36*INDEX(Costs!$E$7:$O$89,MATCH($C306,Costs!$C$7:$C$89,0),MATCH(F$7,Costs!$E$6:$O$6,0))</f>
        <v>27.6871790251374</v>
      </c>
      <c r="G306" s="86">
        <f>GDPdeflator!$C$38*INDEX(Costs!$E$7:$O$89,MATCH($C306,Costs!$C$7:$C$89,0),MATCH(G$7,Costs!$E$6:$O$6,0))</f>
        <v>29.059841431591781</v>
      </c>
      <c r="H306" s="86">
        <f>GDPdeflator!$C$38*INDEX(Costs!$E$7:$O$89,MATCH($C306,Costs!$C$7:$C$89,0),MATCH(H$7,Costs!$E$6:$O$6,0))</f>
        <v>29.357711376926151</v>
      </c>
      <c r="I306" s="86">
        <f>GDPdeflator!$C$38*INDEX(Costs!$E$7:$O$89,MATCH($C306,Costs!$C$7:$C$89,0),MATCH(I$7,Costs!$E$6:$O$6,0))</f>
        <v>29.9534512675949</v>
      </c>
      <c r="J306" s="86">
        <f>GDPdeflator!$C$38*INDEX(Costs!$E$7:$O$89,MATCH($C306,Costs!$C$7:$C$89,0),MATCH(J$7,Costs!$E$6:$O$6,0))</f>
        <v>29.979733909830287</v>
      </c>
      <c r="K306" s="86">
        <f>GDPdeflator!$C$38*INDEX(Costs!$E$7:$O$89,MATCH($C306,Costs!$C$7:$C$89,0),MATCH(K$7,Costs!$E$6:$O$6,0))</f>
        <v>30.006016552065674</v>
      </c>
      <c r="L306" s="86">
        <f>GDPdeflator!$C$38*INDEX(Costs!$E$7:$O$89,MATCH($C306,Costs!$C$7:$C$89,0),MATCH(L$7,Costs!$E$6:$O$6,0))</f>
        <v>30.023538313555935</v>
      </c>
      <c r="M306" s="86">
        <f>GDPdeflator!$C$38*INDEX(Costs!$E$7:$O$89,MATCH($C306,Costs!$C$7:$C$89,0),MATCH(M$7,Costs!$E$6:$O$6,0))</f>
        <v>30.023538313555935</v>
      </c>
      <c r="N306" s="86">
        <f>GDPdeflator!$C$38*INDEX(Costs!$E$7:$O$89,MATCH($C306,Costs!$C$7:$C$89,0),MATCH(N$7,Costs!$E$6:$O$6,0))</f>
        <v>30.023538313555935</v>
      </c>
      <c r="O306" s="86">
        <f>GDPdeflator!$C$38*INDEX(Costs!$E$7:$O$89,MATCH($C306,Costs!$C$7:$C$89,0),MATCH(O$7,Costs!$E$6:$O$6,0))</f>
        <v>30.023538313555935</v>
      </c>
      <c r="P306" s="87">
        <f t="shared" si="161"/>
        <v>2186.3362660659564</v>
      </c>
      <c r="Q306" s="87">
        <f t="shared" si="162"/>
        <v>2311.8281586477201</v>
      </c>
      <c r="R306" s="87">
        <f t="shared" si="163"/>
        <v>2426.4429267567161</v>
      </c>
      <c r="S306" s="87">
        <f t="shared" si="164"/>
        <v>2451.3145153939568</v>
      </c>
      <c r="T306" s="87">
        <f t="shared" si="165"/>
        <v>2501.0576926684389</v>
      </c>
      <c r="U306" s="87">
        <f t="shared" si="166"/>
        <v>2503.2522446070188</v>
      </c>
      <c r="V306" s="87">
        <f t="shared" si="167"/>
        <v>2505.4467965455992</v>
      </c>
      <c r="W306" s="87">
        <f t="shared" si="168"/>
        <v>2506.9098311713196</v>
      </c>
      <c r="X306" s="87">
        <f t="shared" si="169"/>
        <v>2506.9098311713196</v>
      </c>
      <c r="Y306" s="87">
        <f t="shared" si="170"/>
        <v>2506.9098311713196</v>
      </c>
      <c r="Z306" s="87">
        <f t="shared" si="171"/>
        <v>2506.9098311713196</v>
      </c>
      <c r="AA306" s="88">
        <v>450</v>
      </c>
      <c r="AB306" s="89">
        <f>AA306*GDPdeflator!$C$25/$AI$18*10^3</f>
        <v>43.267274341798768</v>
      </c>
      <c r="AC306" s="90" t="e">
        <f>INDEX(Efficiencies!$D$8:$M$89,MATCH(C306,Efficiencies!$C$8:$C$89),MATCH(D306,Efficiencies!$D$7:$M$7))</f>
        <v>#REF!</v>
      </c>
      <c r="AD306" s="90" t="e">
        <f t="shared" si="148"/>
        <v>#REF!</v>
      </c>
      <c r="AE306" s="90" t="e">
        <f>INDEX(Efficiencies!$P$8:$Y$89,MATCH(C306,Efficiencies!$C$8:$C$89),MATCH(D306,Efficiencies!$P$7:$Y$7))</f>
        <v>#REF!</v>
      </c>
      <c r="AF306" s="90" t="e">
        <f t="shared" si="150"/>
        <v>#REF!</v>
      </c>
      <c r="AG306" s="90">
        <v>0</v>
      </c>
    </row>
    <row r="307" spans="1:33" x14ac:dyDescent="0.2">
      <c r="A307" s="92" t="s">
        <v>1410</v>
      </c>
      <c r="B307" s="248" t="s">
        <v>1411</v>
      </c>
      <c r="C307" s="40" t="s">
        <v>1403</v>
      </c>
      <c r="D307" s="40">
        <v>2020</v>
      </c>
      <c r="E307" s="86">
        <f>GDPdeflator!$C$32*INDEX(Costs!$E$7:$O$89,MATCH($C307,Costs!$C$7:$C$89,0),MATCH(E$7,Costs!$E$6:$O$6,0))</f>
        <v>26.184248764893926</v>
      </c>
      <c r="F307" s="86">
        <f>GDPdeflator!$C$36*INDEX(Costs!$E$7:$O$89,MATCH($C307,Costs!$C$7:$C$89,0),MATCH(F$7,Costs!$E$6:$O$6,0))</f>
        <v>27.6871790251374</v>
      </c>
      <c r="G307" s="86">
        <f>GDPdeflator!$C$38*INDEX(Costs!$E$7:$O$89,MATCH($C307,Costs!$C$7:$C$89,0),MATCH(G$7,Costs!$E$6:$O$6,0))</f>
        <v>29.059841431591781</v>
      </c>
      <c r="H307" s="86">
        <f>GDPdeflator!$C$38*INDEX(Costs!$E$7:$O$89,MATCH($C307,Costs!$C$7:$C$89,0),MATCH(H$7,Costs!$E$6:$O$6,0))</f>
        <v>29.357711376926151</v>
      </c>
      <c r="I307" s="86">
        <f>GDPdeflator!$C$38*INDEX(Costs!$E$7:$O$89,MATCH($C307,Costs!$C$7:$C$89,0),MATCH(I$7,Costs!$E$6:$O$6,0))</f>
        <v>29.9534512675949</v>
      </c>
      <c r="J307" s="86">
        <f>GDPdeflator!$C$38*INDEX(Costs!$E$7:$O$89,MATCH($C307,Costs!$C$7:$C$89,0),MATCH(J$7,Costs!$E$6:$O$6,0))</f>
        <v>29.979733909830287</v>
      </c>
      <c r="K307" s="86">
        <f>GDPdeflator!$C$38*INDEX(Costs!$E$7:$O$89,MATCH($C307,Costs!$C$7:$C$89,0),MATCH(K$7,Costs!$E$6:$O$6,0))</f>
        <v>30.006016552065674</v>
      </c>
      <c r="L307" s="86">
        <f>GDPdeflator!$C$38*INDEX(Costs!$E$7:$O$89,MATCH($C307,Costs!$C$7:$C$89,0),MATCH(L$7,Costs!$E$6:$O$6,0))</f>
        <v>30.023538313555935</v>
      </c>
      <c r="M307" s="86">
        <f>GDPdeflator!$C$38*INDEX(Costs!$E$7:$O$89,MATCH($C307,Costs!$C$7:$C$89,0),MATCH(M$7,Costs!$E$6:$O$6,0))</f>
        <v>30.023538313555935</v>
      </c>
      <c r="N307" s="86">
        <f>GDPdeflator!$C$38*INDEX(Costs!$E$7:$O$89,MATCH($C307,Costs!$C$7:$C$89,0),MATCH(N$7,Costs!$E$6:$O$6,0))</f>
        <v>30.023538313555935</v>
      </c>
      <c r="O307" s="86">
        <f>GDPdeflator!$C$38*INDEX(Costs!$E$7:$O$89,MATCH($C307,Costs!$C$7:$C$89,0),MATCH(O$7,Costs!$E$6:$O$6,0))</f>
        <v>30.023538313555935</v>
      </c>
      <c r="P307" s="87">
        <f t="shared" si="161"/>
        <v>2186.3362660659564</v>
      </c>
      <c r="Q307" s="87">
        <f t="shared" si="162"/>
        <v>2311.8281586477201</v>
      </c>
      <c r="R307" s="87">
        <f t="shared" si="163"/>
        <v>2426.4429267567161</v>
      </c>
      <c r="S307" s="87">
        <f t="shared" si="164"/>
        <v>2451.3145153939568</v>
      </c>
      <c r="T307" s="87">
        <f t="shared" si="165"/>
        <v>2501.0576926684389</v>
      </c>
      <c r="U307" s="87">
        <f t="shared" si="166"/>
        <v>2503.2522446070188</v>
      </c>
      <c r="V307" s="87">
        <f t="shared" si="167"/>
        <v>2505.4467965455992</v>
      </c>
      <c r="W307" s="87">
        <f t="shared" si="168"/>
        <v>2506.9098311713196</v>
      </c>
      <c r="X307" s="87">
        <f t="shared" si="169"/>
        <v>2506.9098311713196</v>
      </c>
      <c r="Y307" s="87">
        <f t="shared" si="170"/>
        <v>2506.9098311713196</v>
      </c>
      <c r="Z307" s="87">
        <f t="shared" si="171"/>
        <v>2506.9098311713196</v>
      </c>
      <c r="AA307" s="88">
        <v>450</v>
      </c>
      <c r="AB307" s="89">
        <f>AA307*GDPdeflator!$C$25/$AI$18*10^3</f>
        <v>43.267274341798768</v>
      </c>
      <c r="AC307" s="90" t="e">
        <f>INDEX(Efficiencies!$D$8:$M$89,MATCH(C307,Efficiencies!$C$8:$C$89),MATCH(D307,Efficiencies!$D$7:$M$7))</f>
        <v>#REF!</v>
      </c>
      <c r="AD307" s="90" t="e">
        <f t="shared" si="148"/>
        <v>#REF!</v>
      </c>
      <c r="AE307" s="90" t="e">
        <f>INDEX(Efficiencies!$P$8:$Y$89,MATCH(C307,Efficiencies!$C$8:$C$89),MATCH(D307,Efficiencies!$P$7:$Y$7))</f>
        <v>#REF!</v>
      </c>
      <c r="AF307" s="90" t="e">
        <f t="shared" si="150"/>
        <v>#REF!</v>
      </c>
      <c r="AG307" s="90">
        <v>0</v>
      </c>
    </row>
    <row r="308" spans="1:33" x14ac:dyDescent="0.2">
      <c r="A308" s="92" t="s">
        <v>1412</v>
      </c>
      <c r="B308" s="248" t="s">
        <v>1413</v>
      </c>
      <c r="C308" s="40" t="s">
        <v>1403</v>
      </c>
      <c r="D308" s="40">
        <v>2025</v>
      </c>
      <c r="E308" s="86">
        <f>GDPdeflator!$C$32*INDEX(Costs!$E$7:$O$89,MATCH($C308,Costs!$C$7:$C$89,0),MATCH(E$7,Costs!$E$6:$O$6,0))</f>
        <v>26.184248764893926</v>
      </c>
      <c r="F308" s="86">
        <f>GDPdeflator!$C$36*INDEX(Costs!$E$7:$O$89,MATCH($C308,Costs!$C$7:$C$89,0),MATCH(F$7,Costs!$E$6:$O$6,0))</f>
        <v>27.6871790251374</v>
      </c>
      <c r="G308" s="86">
        <f>GDPdeflator!$C$38*INDEX(Costs!$E$7:$O$89,MATCH($C308,Costs!$C$7:$C$89,0),MATCH(G$7,Costs!$E$6:$O$6,0))</f>
        <v>29.059841431591781</v>
      </c>
      <c r="H308" s="86">
        <f>GDPdeflator!$C$38*INDEX(Costs!$E$7:$O$89,MATCH($C308,Costs!$C$7:$C$89,0),MATCH(H$7,Costs!$E$6:$O$6,0))</f>
        <v>29.357711376926151</v>
      </c>
      <c r="I308" s="86">
        <f>GDPdeflator!$C$38*INDEX(Costs!$E$7:$O$89,MATCH($C308,Costs!$C$7:$C$89,0),MATCH(I$7,Costs!$E$6:$O$6,0))</f>
        <v>29.9534512675949</v>
      </c>
      <c r="J308" s="86">
        <f>GDPdeflator!$C$38*INDEX(Costs!$E$7:$O$89,MATCH($C308,Costs!$C$7:$C$89,0),MATCH(J$7,Costs!$E$6:$O$6,0))</f>
        <v>29.979733909830287</v>
      </c>
      <c r="K308" s="86">
        <f>GDPdeflator!$C$38*INDEX(Costs!$E$7:$O$89,MATCH($C308,Costs!$C$7:$C$89,0),MATCH(K$7,Costs!$E$6:$O$6,0))</f>
        <v>30.006016552065674</v>
      </c>
      <c r="L308" s="86">
        <f>GDPdeflator!$C$38*INDEX(Costs!$E$7:$O$89,MATCH($C308,Costs!$C$7:$C$89,0),MATCH(L$7,Costs!$E$6:$O$6,0))</f>
        <v>30.023538313555935</v>
      </c>
      <c r="M308" s="86">
        <f>GDPdeflator!$C$38*INDEX(Costs!$E$7:$O$89,MATCH($C308,Costs!$C$7:$C$89,0),MATCH(M$7,Costs!$E$6:$O$6,0))</f>
        <v>30.023538313555935</v>
      </c>
      <c r="N308" s="86">
        <f>GDPdeflator!$C$38*INDEX(Costs!$E$7:$O$89,MATCH($C308,Costs!$C$7:$C$89,0),MATCH(N$7,Costs!$E$6:$O$6,0))</f>
        <v>30.023538313555935</v>
      </c>
      <c r="O308" s="86">
        <f>GDPdeflator!$C$38*INDEX(Costs!$E$7:$O$89,MATCH($C308,Costs!$C$7:$C$89,0),MATCH(O$7,Costs!$E$6:$O$6,0))</f>
        <v>30.023538313555935</v>
      </c>
      <c r="P308" s="87">
        <f t="shared" si="161"/>
        <v>2186.3362660659564</v>
      </c>
      <c r="Q308" s="87">
        <f t="shared" si="162"/>
        <v>2311.8281586477201</v>
      </c>
      <c r="R308" s="87">
        <f t="shared" si="163"/>
        <v>2426.4429267567161</v>
      </c>
      <c r="S308" s="87">
        <f t="shared" si="164"/>
        <v>2451.3145153939568</v>
      </c>
      <c r="T308" s="87">
        <f t="shared" si="165"/>
        <v>2501.0576926684389</v>
      </c>
      <c r="U308" s="87">
        <f t="shared" si="166"/>
        <v>2503.2522446070188</v>
      </c>
      <c r="V308" s="87">
        <f t="shared" si="167"/>
        <v>2505.4467965455992</v>
      </c>
      <c r="W308" s="87">
        <f t="shared" si="168"/>
        <v>2506.9098311713196</v>
      </c>
      <c r="X308" s="87">
        <f t="shared" si="169"/>
        <v>2506.9098311713196</v>
      </c>
      <c r="Y308" s="87">
        <f t="shared" si="170"/>
        <v>2506.9098311713196</v>
      </c>
      <c r="Z308" s="87">
        <f t="shared" si="171"/>
        <v>2506.9098311713196</v>
      </c>
      <c r="AA308" s="88">
        <v>450</v>
      </c>
      <c r="AB308" s="89">
        <f>AA308*GDPdeflator!$C$25/$AI$18*10^3</f>
        <v>43.267274341798768</v>
      </c>
      <c r="AC308" s="90" t="e">
        <f>INDEX(Efficiencies!$D$8:$M$89,MATCH(C308,Efficiencies!$C$8:$C$89),MATCH(D308,Efficiencies!$D$7:$M$7))</f>
        <v>#REF!</v>
      </c>
      <c r="AD308" s="90" t="e">
        <f t="shared" si="148"/>
        <v>#REF!</v>
      </c>
      <c r="AE308" s="90" t="e">
        <f>INDEX(Efficiencies!$P$8:$Y$89,MATCH(C308,Efficiencies!$C$8:$C$89),MATCH(D308,Efficiencies!$P$7:$Y$7))</f>
        <v>#REF!</v>
      </c>
      <c r="AF308" s="90" t="e">
        <f t="shared" si="150"/>
        <v>#REF!</v>
      </c>
      <c r="AG308" s="90">
        <v>0</v>
      </c>
    </row>
    <row r="309" spans="1:33" x14ac:dyDescent="0.2">
      <c r="A309" s="92" t="s">
        <v>1414</v>
      </c>
      <c r="B309" s="248" t="s">
        <v>1415</v>
      </c>
      <c r="C309" s="40" t="s">
        <v>1403</v>
      </c>
      <c r="D309" s="40">
        <v>2030</v>
      </c>
      <c r="E309" s="86">
        <f>GDPdeflator!$C$32*INDEX(Costs!$E$7:$O$89,MATCH($C309,Costs!$C$7:$C$89,0),MATCH(E$7,Costs!$E$6:$O$6,0))</f>
        <v>26.184248764893926</v>
      </c>
      <c r="F309" s="86">
        <f>GDPdeflator!$C$36*INDEX(Costs!$E$7:$O$89,MATCH($C309,Costs!$C$7:$C$89,0),MATCH(F$7,Costs!$E$6:$O$6,0))</f>
        <v>27.6871790251374</v>
      </c>
      <c r="G309" s="86">
        <f>GDPdeflator!$C$38*INDEX(Costs!$E$7:$O$89,MATCH($C309,Costs!$C$7:$C$89,0),MATCH(G$7,Costs!$E$6:$O$6,0))</f>
        <v>29.059841431591781</v>
      </c>
      <c r="H309" s="86">
        <f>GDPdeflator!$C$38*INDEX(Costs!$E$7:$O$89,MATCH($C309,Costs!$C$7:$C$89,0),MATCH(H$7,Costs!$E$6:$O$6,0))</f>
        <v>29.357711376926151</v>
      </c>
      <c r="I309" s="86">
        <f>GDPdeflator!$C$38*INDEX(Costs!$E$7:$O$89,MATCH($C309,Costs!$C$7:$C$89,0),MATCH(I$7,Costs!$E$6:$O$6,0))</f>
        <v>29.9534512675949</v>
      </c>
      <c r="J309" s="86">
        <f>GDPdeflator!$C$38*INDEX(Costs!$E$7:$O$89,MATCH($C309,Costs!$C$7:$C$89,0),MATCH(J$7,Costs!$E$6:$O$6,0))</f>
        <v>29.979733909830287</v>
      </c>
      <c r="K309" s="86">
        <f>GDPdeflator!$C$38*INDEX(Costs!$E$7:$O$89,MATCH($C309,Costs!$C$7:$C$89,0),MATCH(K$7,Costs!$E$6:$O$6,0))</f>
        <v>30.006016552065674</v>
      </c>
      <c r="L309" s="86">
        <f>GDPdeflator!$C$38*INDEX(Costs!$E$7:$O$89,MATCH($C309,Costs!$C$7:$C$89,0),MATCH(L$7,Costs!$E$6:$O$6,0))</f>
        <v>30.023538313555935</v>
      </c>
      <c r="M309" s="86">
        <f>GDPdeflator!$C$38*INDEX(Costs!$E$7:$O$89,MATCH($C309,Costs!$C$7:$C$89,0),MATCH(M$7,Costs!$E$6:$O$6,0))</f>
        <v>30.023538313555935</v>
      </c>
      <c r="N309" s="86">
        <f>GDPdeflator!$C$38*INDEX(Costs!$E$7:$O$89,MATCH($C309,Costs!$C$7:$C$89,0),MATCH(N$7,Costs!$E$6:$O$6,0))</f>
        <v>30.023538313555935</v>
      </c>
      <c r="O309" s="86">
        <f>GDPdeflator!$C$38*INDEX(Costs!$E$7:$O$89,MATCH($C309,Costs!$C$7:$C$89,0),MATCH(O$7,Costs!$E$6:$O$6,0))</f>
        <v>30.023538313555935</v>
      </c>
      <c r="P309" s="87">
        <f t="shared" si="161"/>
        <v>2186.3362660659564</v>
      </c>
      <c r="Q309" s="87">
        <f t="shared" si="162"/>
        <v>2311.8281586477201</v>
      </c>
      <c r="R309" s="87">
        <f t="shared" si="163"/>
        <v>2426.4429267567161</v>
      </c>
      <c r="S309" s="87">
        <f t="shared" si="164"/>
        <v>2451.3145153939568</v>
      </c>
      <c r="T309" s="87">
        <f t="shared" si="165"/>
        <v>2501.0576926684389</v>
      </c>
      <c r="U309" s="87">
        <f t="shared" si="166"/>
        <v>2503.2522446070188</v>
      </c>
      <c r="V309" s="87">
        <f t="shared" si="167"/>
        <v>2505.4467965455992</v>
      </c>
      <c r="W309" s="87">
        <f t="shared" si="168"/>
        <v>2506.9098311713196</v>
      </c>
      <c r="X309" s="87">
        <f t="shared" si="169"/>
        <v>2506.9098311713196</v>
      </c>
      <c r="Y309" s="87">
        <f t="shared" si="170"/>
        <v>2506.9098311713196</v>
      </c>
      <c r="Z309" s="87">
        <f t="shared" si="171"/>
        <v>2506.9098311713196</v>
      </c>
      <c r="AA309" s="88">
        <v>450</v>
      </c>
      <c r="AB309" s="89">
        <f>AA309*GDPdeflator!$C$25/$AI$18*10^3</f>
        <v>43.267274341798768</v>
      </c>
      <c r="AC309" s="90" t="e">
        <f>INDEX(Efficiencies!$D$8:$M$89,MATCH(C309,Efficiencies!$C$8:$C$89),MATCH(D309,Efficiencies!$D$7:$M$7))</f>
        <v>#REF!</v>
      </c>
      <c r="AD309" s="90" t="e">
        <f t="shared" si="148"/>
        <v>#REF!</v>
      </c>
      <c r="AE309" s="90" t="e">
        <f>INDEX(Efficiencies!$P$8:$Y$89,MATCH(C309,Efficiencies!$C$8:$C$89),MATCH(D309,Efficiencies!$P$7:$Y$7))</f>
        <v>#REF!</v>
      </c>
      <c r="AF309" s="90" t="e">
        <f t="shared" si="150"/>
        <v>#REF!</v>
      </c>
      <c r="AG309" s="90">
        <v>0</v>
      </c>
    </row>
    <row r="310" spans="1:33" x14ac:dyDescent="0.2">
      <c r="A310" s="92" t="s">
        <v>1416</v>
      </c>
      <c r="B310" s="248" t="s">
        <v>1417</v>
      </c>
      <c r="C310" s="40" t="s">
        <v>1403</v>
      </c>
      <c r="D310" s="40">
        <v>2035</v>
      </c>
      <c r="E310" s="86">
        <f>GDPdeflator!$C$32*INDEX(Costs!$E$7:$O$89,MATCH($C310,Costs!$C$7:$C$89,0),MATCH(E$7,Costs!$E$6:$O$6,0))</f>
        <v>26.184248764893926</v>
      </c>
      <c r="F310" s="86">
        <f>GDPdeflator!$C$36*INDEX(Costs!$E$7:$O$89,MATCH($C310,Costs!$C$7:$C$89,0),MATCH(F$7,Costs!$E$6:$O$6,0))</f>
        <v>27.6871790251374</v>
      </c>
      <c r="G310" s="86">
        <f>GDPdeflator!$C$38*INDEX(Costs!$E$7:$O$89,MATCH($C310,Costs!$C$7:$C$89,0),MATCH(G$7,Costs!$E$6:$O$6,0))</f>
        <v>29.059841431591781</v>
      </c>
      <c r="H310" s="86">
        <f>GDPdeflator!$C$38*INDEX(Costs!$E$7:$O$89,MATCH($C310,Costs!$C$7:$C$89,0),MATCH(H$7,Costs!$E$6:$O$6,0))</f>
        <v>29.357711376926151</v>
      </c>
      <c r="I310" s="86">
        <f>GDPdeflator!$C$38*INDEX(Costs!$E$7:$O$89,MATCH($C310,Costs!$C$7:$C$89,0),MATCH(I$7,Costs!$E$6:$O$6,0))</f>
        <v>29.9534512675949</v>
      </c>
      <c r="J310" s="86">
        <f>GDPdeflator!$C$38*INDEX(Costs!$E$7:$O$89,MATCH($C310,Costs!$C$7:$C$89,0),MATCH(J$7,Costs!$E$6:$O$6,0))</f>
        <v>29.979733909830287</v>
      </c>
      <c r="K310" s="86">
        <f>GDPdeflator!$C$38*INDEX(Costs!$E$7:$O$89,MATCH($C310,Costs!$C$7:$C$89,0),MATCH(K$7,Costs!$E$6:$O$6,0))</f>
        <v>30.006016552065674</v>
      </c>
      <c r="L310" s="86">
        <f>GDPdeflator!$C$38*INDEX(Costs!$E$7:$O$89,MATCH($C310,Costs!$C$7:$C$89,0),MATCH(L$7,Costs!$E$6:$O$6,0))</f>
        <v>30.023538313555935</v>
      </c>
      <c r="M310" s="86">
        <f>GDPdeflator!$C$38*INDEX(Costs!$E$7:$O$89,MATCH($C310,Costs!$C$7:$C$89,0),MATCH(M$7,Costs!$E$6:$O$6,0))</f>
        <v>30.023538313555935</v>
      </c>
      <c r="N310" s="86">
        <f>GDPdeflator!$C$38*INDEX(Costs!$E$7:$O$89,MATCH($C310,Costs!$C$7:$C$89,0),MATCH(N$7,Costs!$E$6:$O$6,0))</f>
        <v>30.023538313555935</v>
      </c>
      <c r="O310" s="86">
        <f>GDPdeflator!$C$38*INDEX(Costs!$E$7:$O$89,MATCH($C310,Costs!$C$7:$C$89,0),MATCH(O$7,Costs!$E$6:$O$6,0))</f>
        <v>30.023538313555935</v>
      </c>
      <c r="P310" s="87">
        <f t="shared" si="161"/>
        <v>2186.3362660659564</v>
      </c>
      <c r="Q310" s="87">
        <f t="shared" si="162"/>
        <v>2311.8281586477201</v>
      </c>
      <c r="R310" s="87">
        <f t="shared" si="163"/>
        <v>2426.4429267567161</v>
      </c>
      <c r="S310" s="87">
        <f t="shared" si="164"/>
        <v>2451.3145153939568</v>
      </c>
      <c r="T310" s="87">
        <f t="shared" si="165"/>
        <v>2501.0576926684389</v>
      </c>
      <c r="U310" s="87">
        <f t="shared" si="166"/>
        <v>2503.2522446070188</v>
      </c>
      <c r="V310" s="87">
        <f t="shared" si="167"/>
        <v>2505.4467965455992</v>
      </c>
      <c r="W310" s="87">
        <f t="shared" si="168"/>
        <v>2506.9098311713196</v>
      </c>
      <c r="X310" s="87">
        <f t="shared" si="169"/>
        <v>2506.9098311713196</v>
      </c>
      <c r="Y310" s="87">
        <f t="shared" si="170"/>
        <v>2506.9098311713196</v>
      </c>
      <c r="Z310" s="87">
        <f t="shared" si="171"/>
        <v>2506.9098311713196</v>
      </c>
      <c r="AA310" s="88">
        <v>450</v>
      </c>
      <c r="AB310" s="89">
        <f>AA310*GDPdeflator!$C$25/$AI$18*10^3</f>
        <v>43.267274341798768</v>
      </c>
      <c r="AC310" s="90" t="e">
        <f>INDEX(Efficiencies!$D$8:$M$89,MATCH(C310,Efficiencies!$C$8:$C$89),MATCH(D310,Efficiencies!$D$7:$M$7))</f>
        <v>#REF!</v>
      </c>
      <c r="AD310" s="90" t="e">
        <f t="shared" si="148"/>
        <v>#REF!</v>
      </c>
      <c r="AE310" s="90" t="e">
        <f>INDEX(Efficiencies!$P$8:$Y$89,MATCH(C310,Efficiencies!$C$8:$C$89),MATCH(D310,Efficiencies!$P$7:$Y$7))</f>
        <v>#REF!</v>
      </c>
      <c r="AF310" s="90" t="e">
        <f t="shared" si="150"/>
        <v>#REF!</v>
      </c>
      <c r="AG310" s="90">
        <v>0</v>
      </c>
    </row>
    <row r="311" spans="1:33" x14ac:dyDescent="0.2">
      <c r="A311" s="92" t="s">
        <v>1418</v>
      </c>
      <c r="B311" s="248" t="s">
        <v>1419</v>
      </c>
      <c r="C311" s="40" t="s">
        <v>1403</v>
      </c>
      <c r="D311" s="40">
        <v>2040</v>
      </c>
      <c r="E311" s="86">
        <f>GDPdeflator!$C$32*INDEX(Costs!$E$7:$O$89,MATCH($C311,Costs!$C$7:$C$89,0),MATCH(E$7,Costs!$E$6:$O$6,0))</f>
        <v>26.184248764893926</v>
      </c>
      <c r="F311" s="86">
        <f>GDPdeflator!$C$36*INDEX(Costs!$E$7:$O$89,MATCH($C311,Costs!$C$7:$C$89,0),MATCH(F$7,Costs!$E$6:$O$6,0))</f>
        <v>27.6871790251374</v>
      </c>
      <c r="G311" s="86">
        <f>GDPdeflator!$C$38*INDEX(Costs!$E$7:$O$89,MATCH($C311,Costs!$C$7:$C$89,0),MATCH(G$7,Costs!$E$6:$O$6,0))</f>
        <v>29.059841431591781</v>
      </c>
      <c r="H311" s="86">
        <f>GDPdeflator!$C$38*INDEX(Costs!$E$7:$O$89,MATCH($C311,Costs!$C$7:$C$89,0),MATCH(H$7,Costs!$E$6:$O$6,0))</f>
        <v>29.357711376926151</v>
      </c>
      <c r="I311" s="86">
        <f>GDPdeflator!$C$38*INDEX(Costs!$E$7:$O$89,MATCH($C311,Costs!$C$7:$C$89,0),MATCH(I$7,Costs!$E$6:$O$6,0))</f>
        <v>29.9534512675949</v>
      </c>
      <c r="J311" s="86">
        <f>GDPdeflator!$C$38*INDEX(Costs!$E$7:$O$89,MATCH($C311,Costs!$C$7:$C$89,0),MATCH(J$7,Costs!$E$6:$O$6,0))</f>
        <v>29.979733909830287</v>
      </c>
      <c r="K311" s="86">
        <f>GDPdeflator!$C$38*INDEX(Costs!$E$7:$O$89,MATCH($C311,Costs!$C$7:$C$89,0),MATCH(K$7,Costs!$E$6:$O$6,0))</f>
        <v>30.006016552065674</v>
      </c>
      <c r="L311" s="86">
        <f>GDPdeflator!$C$38*INDEX(Costs!$E$7:$O$89,MATCH($C311,Costs!$C$7:$C$89,0),MATCH(L$7,Costs!$E$6:$O$6,0))</f>
        <v>30.023538313555935</v>
      </c>
      <c r="M311" s="86">
        <f>GDPdeflator!$C$38*INDEX(Costs!$E$7:$O$89,MATCH($C311,Costs!$C$7:$C$89,0),MATCH(M$7,Costs!$E$6:$O$6,0))</f>
        <v>30.023538313555935</v>
      </c>
      <c r="N311" s="86">
        <f>GDPdeflator!$C$38*INDEX(Costs!$E$7:$O$89,MATCH($C311,Costs!$C$7:$C$89,0),MATCH(N$7,Costs!$E$6:$O$6,0))</f>
        <v>30.023538313555935</v>
      </c>
      <c r="O311" s="86">
        <f>GDPdeflator!$C$38*INDEX(Costs!$E$7:$O$89,MATCH($C311,Costs!$C$7:$C$89,0),MATCH(O$7,Costs!$E$6:$O$6,0))</f>
        <v>30.023538313555935</v>
      </c>
      <c r="P311" s="87">
        <f t="shared" si="161"/>
        <v>2186.3362660659564</v>
      </c>
      <c r="Q311" s="87">
        <f t="shared" si="162"/>
        <v>2311.8281586477201</v>
      </c>
      <c r="R311" s="87">
        <f t="shared" si="163"/>
        <v>2426.4429267567161</v>
      </c>
      <c r="S311" s="87">
        <f t="shared" si="164"/>
        <v>2451.3145153939568</v>
      </c>
      <c r="T311" s="87">
        <f t="shared" si="165"/>
        <v>2501.0576926684389</v>
      </c>
      <c r="U311" s="87">
        <f t="shared" si="166"/>
        <v>2503.2522446070188</v>
      </c>
      <c r="V311" s="87">
        <f t="shared" si="167"/>
        <v>2505.4467965455992</v>
      </c>
      <c r="W311" s="87">
        <f t="shared" si="168"/>
        <v>2506.9098311713196</v>
      </c>
      <c r="X311" s="87">
        <f t="shared" si="169"/>
        <v>2506.9098311713196</v>
      </c>
      <c r="Y311" s="87">
        <f t="shared" si="170"/>
        <v>2506.9098311713196</v>
      </c>
      <c r="Z311" s="87">
        <f t="shared" si="171"/>
        <v>2506.9098311713196</v>
      </c>
      <c r="AA311" s="88">
        <v>450</v>
      </c>
      <c r="AB311" s="89">
        <f>AA311*GDPdeflator!$C$25/$AI$18*10^3</f>
        <v>43.267274341798768</v>
      </c>
      <c r="AC311" s="90" t="e">
        <f>INDEX(Efficiencies!$D$8:$M$89,MATCH(C311,Efficiencies!$C$8:$C$89),MATCH(D311,Efficiencies!$D$7:$M$7))</f>
        <v>#REF!</v>
      </c>
      <c r="AD311" s="90" t="e">
        <f t="shared" si="148"/>
        <v>#REF!</v>
      </c>
      <c r="AE311" s="90" t="e">
        <f>INDEX(Efficiencies!$P$8:$Y$89,MATCH(C311,Efficiencies!$C$8:$C$89),MATCH(D311,Efficiencies!$P$7:$Y$7))</f>
        <v>#REF!</v>
      </c>
      <c r="AF311" s="90" t="e">
        <f t="shared" si="150"/>
        <v>#REF!</v>
      </c>
      <c r="AG311" s="90">
        <v>0</v>
      </c>
    </row>
    <row r="312" spans="1:33" x14ac:dyDescent="0.2">
      <c r="A312" s="92" t="s">
        <v>1420</v>
      </c>
      <c r="B312" s="248" t="s">
        <v>1421</v>
      </c>
      <c r="C312" s="40" t="s">
        <v>1403</v>
      </c>
      <c r="D312" s="40">
        <v>2045</v>
      </c>
      <c r="E312" s="86">
        <f>GDPdeflator!$C$32*INDEX(Costs!$E$7:$O$89,MATCH($C312,Costs!$C$7:$C$89,0),MATCH(E$7,Costs!$E$6:$O$6,0))</f>
        <v>26.184248764893926</v>
      </c>
      <c r="F312" s="86">
        <f>GDPdeflator!$C$36*INDEX(Costs!$E$7:$O$89,MATCH($C312,Costs!$C$7:$C$89,0),MATCH(F$7,Costs!$E$6:$O$6,0))</f>
        <v>27.6871790251374</v>
      </c>
      <c r="G312" s="86">
        <f>GDPdeflator!$C$38*INDEX(Costs!$E$7:$O$89,MATCH($C312,Costs!$C$7:$C$89,0),MATCH(G$7,Costs!$E$6:$O$6,0))</f>
        <v>29.059841431591781</v>
      </c>
      <c r="H312" s="86">
        <f>GDPdeflator!$C$38*INDEX(Costs!$E$7:$O$89,MATCH($C312,Costs!$C$7:$C$89,0),MATCH(H$7,Costs!$E$6:$O$6,0))</f>
        <v>29.357711376926151</v>
      </c>
      <c r="I312" s="86">
        <f>GDPdeflator!$C$38*INDEX(Costs!$E$7:$O$89,MATCH($C312,Costs!$C$7:$C$89,0),MATCH(I$7,Costs!$E$6:$O$6,0))</f>
        <v>29.9534512675949</v>
      </c>
      <c r="J312" s="86">
        <f>GDPdeflator!$C$38*INDEX(Costs!$E$7:$O$89,MATCH($C312,Costs!$C$7:$C$89,0),MATCH(J$7,Costs!$E$6:$O$6,0))</f>
        <v>29.979733909830287</v>
      </c>
      <c r="K312" s="86">
        <f>GDPdeflator!$C$38*INDEX(Costs!$E$7:$O$89,MATCH($C312,Costs!$C$7:$C$89,0),MATCH(K$7,Costs!$E$6:$O$6,0))</f>
        <v>30.006016552065674</v>
      </c>
      <c r="L312" s="86">
        <f>GDPdeflator!$C$38*INDEX(Costs!$E$7:$O$89,MATCH($C312,Costs!$C$7:$C$89,0),MATCH(L$7,Costs!$E$6:$O$6,0))</f>
        <v>30.023538313555935</v>
      </c>
      <c r="M312" s="86">
        <f>GDPdeflator!$C$38*INDEX(Costs!$E$7:$O$89,MATCH($C312,Costs!$C$7:$C$89,0),MATCH(M$7,Costs!$E$6:$O$6,0))</f>
        <v>30.023538313555935</v>
      </c>
      <c r="N312" s="86">
        <f>GDPdeflator!$C$38*INDEX(Costs!$E$7:$O$89,MATCH($C312,Costs!$C$7:$C$89,0),MATCH(N$7,Costs!$E$6:$O$6,0))</f>
        <v>30.023538313555935</v>
      </c>
      <c r="O312" s="86">
        <f>GDPdeflator!$C$38*INDEX(Costs!$E$7:$O$89,MATCH($C312,Costs!$C$7:$C$89,0),MATCH(O$7,Costs!$E$6:$O$6,0))</f>
        <v>30.023538313555935</v>
      </c>
      <c r="P312" s="87">
        <f t="shared" si="161"/>
        <v>2186.3362660659564</v>
      </c>
      <c r="Q312" s="87">
        <f t="shared" si="162"/>
        <v>2311.8281586477201</v>
      </c>
      <c r="R312" s="87">
        <f t="shared" si="163"/>
        <v>2426.4429267567161</v>
      </c>
      <c r="S312" s="87">
        <f t="shared" si="164"/>
        <v>2451.3145153939568</v>
      </c>
      <c r="T312" s="87">
        <f t="shared" si="165"/>
        <v>2501.0576926684389</v>
      </c>
      <c r="U312" s="87">
        <f t="shared" si="166"/>
        <v>2503.2522446070188</v>
      </c>
      <c r="V312" s="87">
        <f t="shared" si="167"/>
        <v>2505.4467965455992</v>
      </c>
      <c r="W312" s="87">
        <f t="shared" si="168"/>
        <v>2506.9098311713196</v>
      </c>
      <c r="X312" s="87">
        <f t="shared" si="169"/>
        <v>2506.9098311713196</v>
      </c>
      <c r="Y312" s="87">
        <f t="shared" si="170"/>
        <v>2506.9098311713196</v>
      </c>
      <c r="Z312" s="87">
        <f t="shared" si="171"/>
        <v>2506.9098311713196</v>
      </c>
      <c r="AA312" s="88">
        <v>450</v>
      </c>
      <c r="AB312" s="89">
        <f>AA312*GDPdeflator!$C$25/$AI$18*10^3</f>
        <v>43.267274341798768</v>
      </c>
      <c r="AC312" s="90" t="e">
        <f>INDEX(Efficiencies!$D$8:$M$89,MATCH(C312,Efficiencies!$C$8:$C$89),MATCH(D312,Efficiencies!$D$7:$M$7))</f>
        <v>#REF!</v>
      </c>
      <c r="AD312" s="90" t="e">
        <f t="shared" si="148"/>
        <v>#REF!</v>
      </c>
      <c r="AE312" s="90" t="e">
        <f>INDEX(Efficiencies!$P$8:$Y$89,MATCH(C312,Efficiencies!$C$8:$C$89),MATCH(D312,Efficiencies!$P$7:$Y$7))</f>
        <v>#REF!</v>
      </c>
      <c r="AF312" s="90" t="e">
        <f t="shared" si="150"/>
        <v>#REF!</v>
      </c>
      <c r="AG312" s="90">
        <v>0</v>
      </c>
    </row>
    <row r="313" spans="1:33" x14ac:dyDescent="0.2">
      <c r="A313" s="92" t="s">
        <v>1422</v>
      </c>
      <c r="B313" s="248" t="s">
        <v>1423</v>
      </c>
      <c r="C313" s="40" t="s">
        <v>1403</v>
      </c>
      <c r="D313" s="40">
        <v>2050</v>
      </c>
      <c r="E313" s="86">
        <f>GDPdeflator!$C$32*INDEX(Costs!$E$7:$O$89,MATCH($C313,Costs!$C$7:$C$89,0),MATCH(E$7,Costs!$E$6:$O$6,0))</f>
        <v>26.184248764893926</v>
      </c>
      <c r="F313" s="86">
        <f>GDPdeflator!$C$36*INDEX(Costs!$E$7:$O$89,MATCH($C313,Costs!$C$7:$C$89,0),MATCH(F$7,Costs!$E$6:$O$6,0))</f>
        <v>27.6871790251374</v>
      </c>
      <c r="G313" s="86">
        <f>GDPdeflator!$C$38*INDEX(Costs!$E$7:$O$89,MATCH($C313,Costs!$C$7:$C$89,0),MATCH(G$7,Costs!$E$6:$O$6,0))</f>
        <v>29.059841431591781</v>
      </c>
      <c r="H313" s="86">
        <f>GDPdeflator!$C$38*INDEX(Costs!$E$7:$O$89,MATCH($C313,Costs!$C$7:$C$89,0),MATCH(H$7,Costs!$E$6:$O$6,0))</f>
        <v>29.357711376926151</v>
      </c>
      <c r="I313" s="86">
        <f>GDPdeflator!$C$38*INDEX(Costs!$E$7:$O$89,MATCH($C313,Costs!$C$7:$C$89,0),MATCH(I$7,Costs!$E$6:$O$6,0))</f>
        <v>29.9534512675949</v>
      </c>
      <c r="J313" s="86">
        <f>GDPdeflator!$C$38*INDEX(Costs!$E$7:$O$89,MATCH($C313,Costs!$C$7:$C$89,0),MATCH(J$7,Costs!$E$6:$O$6,0))</f>
        <v>29.979733909830287</v>
      </c>
      <c r="K313" s="86">
        <f>GDPdeflator!$C$38*INDEX(Costs!$E$7:$O$89,MATCH($C313,Costs!$C$7:$C$89,0),MATCH(K$7,Costs!$E$6:$O$6,0))</f>
        <v>30.006016552065674</v>
      </c>
      <c r="L313" s="86">
        <f>GDPdeflator!$C$38*INDEX(Costs!$E$7:$O$89,MATCH($C313,Costs!$C$7:$C$89,0),MATCH(L$7,Costs!$E$6:$O$6,0))</f>
        <v>30.023538313555935</v>
      </c>
      <c r="M313" s="86">
        <f>GDPdeflator!$C$38*INDEX(Costs!$E$7:$O$89,MATCH($C313,Costs!$C$7:$C$89,0),MATCH(M$7,Costs!$E$6:$O$6,0))</f>
        <v>30.023538313555935</v>
      </c>
      <c r="N313" s="86">
        <f>GDPdeflator!$C$38*INDEX(Costs!$E$7:$O$89,MATCH($C313,Costs!$C$7:$C$89,0),MATCH(N$7,Costs!$E$6:$O$6,0))</f>
        <v>30.023538313555935</v>
      </c>
      <c r="O313" s="86">
        <f>GDPdeflator!$C$38*INDEX(Costs!$E$7:$O$89,MATCH($C313,Costs!$C$7:$C$89,0),MATCH(O$7,Costs!$E$6:$O$6,0))</f>
        <v>30.023538313555935</v>
      </c>
      <c r="P313" s="87">
        <f t="shared" si="161"/>
        <v>2186.3362660659564</v>
      </c>
      <c r="Q313" s="87">
        <f t="shared" si="162"/>
        <v>2311.8281586477201</v>
      </c>
      <c r="R313" s="87">
        <f t="shared" si="163"/>
        <v>2426.4429267567161</v>
      </c>
      <c r="S313" s="87">
        <f t="shared" si="164"/>
        <v>2451.3145153939568</v>
      </c>
      <c r="T313" s="87">
        <f t="shared" si="165"/>
        <v>2501.0576926684389</v>
      </c>
      <c r="U313" s="87">
        <f t="shared" si="166"/>
        <v>2503.2522446070188</v>
      </c>
      <c r="V313" s="87">
        <f t="shared" si="167"/>
        <v>2505.4467965455992</v>
      </c>
      <c r="W313" s="87">
        <f t="shared" si="168"/>
        <v>2506.9098311713196</v>
      </c>
      <c r="X313" s="87">
        <f t="shared" si="169"/>
        <v>2506.9098311713196</v>
      </c>
      <c r="Y313" s="87">
        <f t="shared" si="170"/>
        <v>2506.9098311713196</v>
      </c>
      <c r="Z313" s="87">
        <f t="shared" si="171"/>
        <v>2506.9098311713196</v>
      </c>
      <c r="AA313" s="88">
        <v>450</v>
      </c>
      <c r="AB313" s="89">
        <f>AA313*GDPdeflator!$C$25/$AI$18*10^3</f>
        <v>43.267274341798768</v>
      </c>
      <c r="AC313" s="90" t="e">
        <f>INDEX(Efficiencies!$D$8:$M$89,MATCH(C313,Efficiencies!$C$8:$C$89),MATCH(D313,Efficiencies!$D$7:$M$7))</f>
        <v>#REF!</v>
      </c>
      <c r="AD313" s="90" t="e">
        <f t="shared" si="148"/>
        <v>#REF!</v>
      </c>
      <c r="AE313" s="90" t="e">
        <f>INDEX(Efficiencies!$P$8:$Y$89,MATCH(C313,Efficiencies!$C$8:$C$89),MATCH(D313,Efficiencies!$P$7:$Y$7))</f>
        <v>#REF!</v>
      </c>
      <c r="AF313" s="90" t="e">
        <f t="shared" si="150"/>
        <v>#REF!</v>
      </c>
      <c r="AG313" s="90">
        <v>0</v>
      </c>
    </row>
    <row r="314" spans="1:33" x14ac:dyDescent="0.2">
      <c r="A314" s="92" t="s">
        <v>1424</v>
      </c>
      <c r="B314" s="248" t="s">
        <v>1425</v>
      </c>
      <c r="C314" s="40" t="s">
        <v>1426</v>
      </c>
      <c r="D314" s="40">
        <v>2005</v>
      </c>
      <c r="E314" s="86">
        <f>GDPdeflator!$C$32*INDEX(Costs!$E$7:$O$89,MATCH($C314,Costs!$C$7:$C$89,0),MATCH(E$7,Costs!$E$6:$O$6,0))</f>
        <v>26.038942167974422</v>
      </c>
      <c r="F314" s="86">
        <f>GDPdeflator!$C$36*INDEX(Costs!$E$7:$O$89,MATCH($C314,Costs!$C$7:$C$89,0),MATCH(F$7,Costs!$E$6:$O$6,0))</f>
        <v>23.002072258762052</v>
      </c>
      <c r="G314" s="86">
        <f>GDPdeflator!$C$38*INDEX(Costs!$E$7:$O$89,MATCH($C314,Costs!$C$7:$C$89,0),MATCH(G$7,Costs!$E$6:$O$6,0))</f>
        <v>24.258878783261274</v>
      </c>
      <c r="H314" s="86">
        <f>GDPdeflator!$C$38*INDEX(Costs!$E$7:$O$89,MATCH($C314,Costs!$C$7:$C$89,0),MATCH(H$7,Costs!$E$6:$O$6,0))</f>
        <v>24.994792765852079</v>
      </c>
      <c r="I314" s="86">
        <f>GDPdeflator!$C$38*INDEX(Costs!$E$7:$O$89,MATCH($C314,Costs!$C$7:$C$89,0),MATCH(I$7,Costs!$E$6:$O$6,0))</f>
        <v>25.949728767071104</v>
      </c>
      <c r="J314" s="86">
        <f>GDPdeflator!$C$38*INDEX(Costs!$E$7:$O$89,MATCH($C314,Costs!$C$7:$C$89,0),MATCH(J$7,Costs!$E$6:$O$6,0))</f>
        <v>25.98477229005162</v>
      </c>
      <c r="K314" s="86">
        <f>GDPdeflator!$C$38*INDEX(Costs!$E$7:$O$89,MATCH($C314,Costs!$C$7:$C$89,0),MATCH(K$7,Costs!$E$6:$O$6,0))</f>
        <v>26.011054932287006</v>
      </c>
      <c r="L314" s="86">
        <f>GDPdeflator!$C$38*INDEX(Costs!$E$7:$O$89,MATCH($C314,Costs!$C$7:$C$89,0),MATCH(L$7,Costs!$E$6:$O$6,0))</f>
        <v>26.028576693777261</v>
      </c>
      <c r="M314" s="86">
        <f>GDPdeflator!$C$38*INDEX(Costs!$E$7:$O$89,MATCH($C314,Costs!$C$7:$C$89,0),MATCH(M$7,Costs!$E$6:$O$6,0))</f>
        <v>26.028576693777261</v>
      </c>
      <c r="N314" s="86">
        <f>GDPdeflator!$C$38*INDEX(Costs!$E$7:$O$89,MATCH($C314,Costs!$C$7:$C$89,0),MATCH(N$7,Costs!$E$6:$O$6,0))</f>
        <v>26.028576693777261</v>
      </c>
      <c r="O314" s="86">
        <f>GDPdeflator!$C$38*INDEX(Costs!$E$7:$O$89,MATCH($C314,Costs!$C$7:$C$89,0),MATCH(O$7,Costs!$E$6:$O$6,0))</f>
        <v>26.028576693777261</v>
      </c>
      <c r="P314" s="87">
        <f>E314/$AI$18*10^6</f>
        <v>2174.2034344007729</v>
      </c>
      <c r="Q314" s="87">
        <f t="shared" si="162"/>
        <v>1920.6304227229514</v>
      </c>
      <c r="R314" s="87">
        <f t="shared" si="163"/>
        <v>2025.5714393094204</v>
      </c>
      <c r="S314" s="87">
        <f t="shared" si="164"/>
        <v>2087.0188935896626</v>
      </c>
      <c r="T314" s="87">
        <f t="shared" si="165"/>
        <v>2166.7542806914057</v>
      </c>
      <c r="U314" s="87">
        <f t="shared" si="166"/>
        <v>2169.6803499428461</v>
      </c>
      <c r="V314" s="87">
        <f t="shared" si="167"/>
        <v>2171.874901881426</v>
      </c>
      <c r="W314" s="87">
        <f t="shared" si="168"/>
        <v>2173.337936507146</v>
      </c>
      <c r="X314" s="87">
        <f t="shared" si="169"/>
        <v>2173.337936507146</v>
      </c>
      <c r="Y314" s="87">
        <f t="shared" si="170"/>
        <v>2173.337936507146</v>
      </c>
      <c r="Z314" s="87">
        <f t="shared" si="171"/>
        <v>2173.337936507146</v>
      </c>
      <c r="AA314" s="88">
        <v>450</v>
      </c>
      <c r="AB314" s="89">
        <f>AA314*GDPdeflator!$C$25/$AI$18*10^3</f>
        <v>43.267274341798768</v>
      </c>
      <c r="AC314" s="90" t="e">
        <f>INDEX(Efficiencies!$D$8:$M$89,MATCH(C314,Efficiencies!$C$8:$C$89),MATCH(D314,Efficiencies!$D$7:$M$7))</f>
        <v>#REF!</v>
      </c>
      <c r="AD314" s="90" t="e">
        <f t="shared" si="148"/>
        <v>#REF!</v>
      </c>
      <c r="AE314" s="90" t="e">
        <f>INDEX(Efficiencies!$P$8:$Y$89,MATCH(C314,Efficiencies!$C$8:$C$89),MATCH(D314,Efficiencies!$P$7:$Y$7))</f>
        <v>#REF!</v>
      </c>
      <c r="AF314" s="90" t="e">
        <f t="shared" si="150"/>
        <v>#REF!</v>
      </c>
      <c r="AG314" s="90">
        <v>0</v>
      </c>
    </row>
    <row r="315" spans="1:33" x14ac:dyDescent="0.2">
      <c r="A315" s="92" t="s">
        <v>1427</v>
      </c>
      <c r="B315" s="248" t="s">
        <v>1428</v>
      </c>
      <c r="C315" s="40" t="s">
        <v>1426</v>
      </c>
      <c r="D315" s="40">
        <v>2010</v>
      </c>
      <c r="E315" s="86">
        <f>GDPdeflator!$C$32*INDEX(Costs!$E$7:$O$89,MATCH($C315,Costs!$C$7:$C$89,0),MATCH(E$7,Costs!$E$6:$O$6,0))</f>
        <v>26.038942167974422</v>
      </c>
      <c r="F315" s="86">
        <f>GDPdeflator!$C$36*INDEX(Costs!$E$7:$O$89,MATCH($C315,Costs!$C$7:$C$89,0),MATCH(F$7,Costs!$E$6:$O$6,0))</f>
        <v>23.002072258762052</v>
      </c>
      <c r="G315" s="86">
        <f>GDPdeflator!$C$38*INDEX(Costs!$E$7:$O$89,MATCH($C315,Costs!$C$7:$C$89,0),MATCH(G$7,Costs!$E$6:$O$6,0))</f>
        <v>24.258878783261274</v>
      </c>
      <c r="H315" s="86">
        <f>GDPdeflator!$C$38*INDEX(Costs!$E$7:$O$89,MATCH($C315,Costs!$C$7:$C$89,0),MATCH(H$7,Costs!$E$6:$O$6,0))</f>
        <v>24.994792765852079</v>
      </c>
      <c r="I315" s="86">
        <f>GDPdeflator!$C$38*INDEX(Costs!$E$7:$O$89,MATCH($C315,Costs!$C$7:$C$89,0),MATCH(I$7,Costs!$E$6:$O$6,0))</f>
        <v>25.949728767071104</v>
      </c>
      <c r="J315" s="86">
        <f>GDPdeflator!$C$38*INDEX(Costs!$E$7:$O$89,MATCH($C315,Costs!$C$7:$C$89,0),MATCH(J$7,Costs!$E$6:$O$6,0))</f>
        <v>25.98477229005162</v>
      </c>
      <c r="K315" s="86">
        <f>GDPdeflator!$C$38*INDEX(Costs!$E$7:$O$89,MATCH($C315,Costs!$C$7:$C$89,0),MATCH(K$7,Costs!$E$6:$O$6,0))</f>
        <v>26.011054932287006</v>
      </c>
      <c r="L315" s="86">
        <f>GDPdeflator!$C$38*INDEX(Costs!$E$7:$O$89,MATCH($C315,Costs!$C$7:$C$89,0),MATCH(L$7,Costs!$E$6:$O$6,0))</f>
        <v>26.028576693777261</v>
      </c>
      <c r="M315" s="86">
        <f>GDPdeflator!$C$38*INDEX(Costs!$E$7:$O$89,MATCH($C315,Costs!$C$7:$C$89,0),MATCH(M$7,Costs!$E$6:$O$6,0))</f>
        <v>26.028576693777261</v>
      </c>
      <c r="N315" s="86">
        <f>GDPdeflator!$C$38*INDEX(Costs!$E$7:$O$89,MATCH($C315,Costs!$C$7:$C$89,0),MATCH(N$7,Costs!$E$6:$O$6,0))</f>
        <v>26.028576693777261</v>
      </c>
      <c r="O315" s="86">
        <f>GDPdeflator!$C$38*INDEX(Costs!$E$7:$O$89,MATCH($C315,Costs!$C$7:$C$89,0),MATCH(O$7,Costs!$E$6:$O$6,0))</f>
        <v>26.028576693777261</v>
      </c>
      <c r="P315" s="87">
        <f t="shared" ref="P315:P323" si="172">E315/$AI$18*10^6</f>
        <v>2174.2034344007729</v>
      </c>
      <c r="Q315" s="87">
        <f t="shared" si="162"/>
        <v>1920.6304227229514</v>
      </c>
      <c r="R315" s="87">
        <f t="shared" si="163"/>
        <v>2025.5714393094204</v>
      </c>
      <c r="S315" s="87">
        <f t="shared" si="164"/>
        <v>2087.0188935896626</v>
      </c>
      <c r="T315" s="87">
        <f t="shared" si="165"/>
        <v>2166.7542806914057</v>
      </c>
      <c r="U315" s="87">
        <f t="shared" si="166"/>
        <v>2169.6803499428461</v>
      </c>
      <c r="V315" s="87">
        <f t="shared" si="167"/>
        <v>2171.874901881426</v>
      </c>
      <c r="W315" s="87">
        <f t="shared" si="168"/>
        <v>2173.337936507146</v>
      </c>
      <c r="X315" s="87">
        <f t="shared" si="169"/>
        <v>2173.337936507146</v>
      </c>
      <c r="Y315" s="87">
        <f t="shared" si="170"/>
        <v>2173.337936507146</v>
      </c>
      <c r="Z315" s="87">
        <f t="shared" si="171"/>
        <v>2173.337936507146</v>
      </c>
      <c r="AA315" s="88">
        <v>450</v>
      </c>
      <c r="AB315" s="89">
        <f>AA315*GDPdeflator!$C$25/$AI$18*10^3</f>
        <v>43.267274341798768</v>
      </c>
      <c r="AC315" s="90" t="e">
        <f>INDEX(Efficiencies!$D$8:$M$89,MATCH(C315,Efficiencies!$C$8:$C$89),MATCH(D315,Efficiencies!$D$7:$M$7))</f>
        <v>#REF!</v>
      </c>
      <c r="AD315" s="90" t="e">
        <f t="shared" si="148"/>
        <v>#REF!</v>
      </c>
      <c r="AE315" s="90" t="e">
        <f>INDEX(Efficiencies!$P$8:$Y$89,MATCH(C315,Efficiencies!$C$8:$C$89),MATCH(D315,Efficiencies!$P$7:$Y$7))</f>
        <v>#REF!</v>
      </c>
      <c r="AF315" s="90" t="e">
        <f t="shared" si="150"/>
        <v>#REF!</v>
      </c>
      <c r="AG315" s="90">
        <v>0</v>
      </c>
    </row>
    <row r="316" spans="1:33" x14ac:dyDescent="0.2">
      <c r="A316" s="92" t="s">
        <v>1429</v>
      </c>
      <c r="B316" s="248" t="s">
        <v>1430</v>
      </c>
      <c r="C316" s="40" t="s">
        <v>1426</v>
      </c>
      <c r="D316" s="40">
        <v>2015</v>
      </c>
      <c r="E316" s="86">
        <f>GDPdeflator!$C$32*INDEX(Costs!$E$7:$O$89,MATCH($C316,Costs!$C$7:$C$89,0),MATCH(E$7,Costs!$E$6:$O$6,0))</f>
        <v>26.038942167974422</v>
      </c>
      <c r="F316" s="86">
        <f>GDPdeflator!$C$36*INDEX(Costs!$E$7:$O$89,MATCH($C316,Costs!$C$7:$C$89,0),MATCH(F$7,Costs!$E$6:$O$6,0))</f>
        <v>23.002072258762052</v>
      </c>
      <c r="G316" s="86">
        <f>GDPdeflator!$C$38*INDEX(Costs!$E$7:$O$89,MATCH($C316,Costs!$C$7:$C$89,0),MATCH(G$7,Costs!$E$6:$O$6,0))</f>
        <v>24.258878783261274</v>
      </c>
      <c r="H316" s="86">
        <f>GDPdeflator!$C$38*INDEX(Costs!$E$7:$O$89,MATCH($C316,Costs!$C$7:$C$89,0),MATCH(H$7,Costs!$E$6:$O$6,0))</f>
        <v>24.994792765852079</v>
      </c>
      <c r="I316" s="86">
        <f>GDPdeflator!$C$38*INDEX(Costs!$E$7:$O$89,MATCH($C316,Costs!$C$7:$C$89,0),MATCH(I$7,Costs!$E$6:$O$6,0))</f>
        <v>25.949728767071104</v>
      </c>
      <c r="J316" s="86">
        <f>GDPdeflator!$C$38*INDEX(Costs!$E$7:$O$89,MATCH($C316,Costs!$C$7:$C$89,0),MATCH(J$7,Costs!$E$6:$O$6,0))</f>
        <v>25.98477229005162</v>
      </c>
      <c r="K316" s="86">
        <f>GDPdeflator!$C$38*INDEX(Costs!$E$7:$O$89,MATCH($C316,Costs!$C$7:$C$89,0),MATCH(K$7,Costs!$E$6:$O$6,0))</f>
        <v>26.011054932287006</v>
      </c>
      <c r="L316" s="86">
        <f>GDPdeflator!$C$38*INDEX(Costs!$E$7:$O$89,MATCH($C316,Costs!$C$7:$C$89,0),MATCH(L$7,Costs!$E$6:$O$6,0))</f>
        <v>26.028576693777261</v>
      </c>
      <c r="M316" s="86">
        <f>GDPdeflator!$C$38*INDEX(Costs!$E$7:$O$89,MATCH($C316,Costs!$C$7:$C$89,0),MATCH(M$7,Costs!$E$6:$O$6,0))</f>
        <v>26.028576693777261</v>
      </c>
      <c r="N316" s="86">
        <f>GDPdeflator!$C$38*INDEX(Costs!$E$7:$O$89,MATCH($C316,Costs!$C$7:$C$89,0),MATCH(N$7,Costs!$E$6:$O$6,0))</f>
        <v>26.028576693777261</v>
      </c>
      <c r="O316" s="86">
        <f>GDPdeflator!$C$38*INDEX(Costs!$E$7:$O$89,MATCH($C316,Costs!$C$7:$C$89,0),MATCH(O$7,Costs!$E$6:$O$6,0))</f>
        <v>26.028576693777261</v>
      </c>
      <c r="P316" s="87">
        <f t="shared" si="172"/>
        <v>2174.2034344007729</v>
      </c>
      <c r="Q316" s="87">
        <f t="shared" si="162"/>
        <v>1920.6304227229514</v>
      </c>
      <c r="R316" s="87">
        <f t="shared" si="163"/>
        <v>2025.5714393094204</v>
      </c>
      <c r="S316" s="87">
        <f t="shared" si="164"/>
        <v>2087.0188935896626</v>
      </c>
      <c r="T316" s="87">
        <f t="shared" si="165"/>
        <v>2166.7542806914057</v>
      </c>
      <c r="U316" s="87">
        <f t="shared" si="166"/>
        <v>2169.6803499428461</v>
      </c>
      <c r="V316" s="87">
        <f t="shared" si="167"/>
        <v>2171.874901881426</v>
      </c>
      <c r="W316" s="87">
        <f t="shared" si="168"/>
        <v>2173.337936507146</v>
      </c>
      <c r="X316" s="87">
        <f t="shared" si="169"/>
        <v>2173.337936507146</v>
      </c>
      <c r="Y316" s="87">
        <f t="shared" si="170"/>
        <v>2173.337936507146</v>
      </c>
      <c r="Z316" s="87">
        <f t="shared" si="171"/>
        <v>2173.337936507146</v>
      </c>
      <c r="AA316" s="88">
        <v>450</v>
      </c>
      <c r="AB316" s="89">
        <f>AA316*GDPdeflator!$C$25/$AI$18*10^3</f>
        <v>43.267274341798768</v>
      </c>
      <c r="AC316" s="90" t="e">
        <f>INDEX(Efficiencies!$D$8:$M$89,MATCH(C316,Efficiencies!$C$8:$C$89),MATCH(D316,Efficiencies!$D$7:$M$7))</f>
        <v>#REF!</v>
      </c>
      <c r="AD316" s="90" t="e">
        <f t="shared" si="148"/>
        <v>#REF!</v>
      </c>
      <c r="AE316" s="90" t="e">
        <f>INDEX(Efficiencies!$P$8:$Y$89,MATCH(C316,Efficiencies!$C$8:$C$89),MATCH(D316,Efficiencies!$P$7:$Y$7))</f>
        <v>#REF!</v>
      </c>
      <c r="AF316" s="90" t="e">
        <f t="shared" si="150"/>
        <v>#REF!</v>
      </c>
      <c r="AG316" s="90">
        <v>0</v>
      </c>
    </row>
    <row r="317" spans="1:33" x14ac:dyDescent="0.2">
      <c r="A317" s="92" t="s">
        <v>1431</v>
      </c>
      <c r="B317" s="248" t="s">
        <v>1432</v>
      </c>
      <c r="C317" s="40" t="s">
        <v>1426</v>
      </c>
      <c r="D317" s="40">
        <v>2020</v>
      </c>
      <c r="E317" s="86">
        <f>GDPdeflator!$C$32*INDEX(Costs!$E$7:$O$89,MATCH($C317,Costs!$C$7:$C$89,0),MATCH(E$7,Costs!$E$6:$O$6,0))</f>
        <v>26.038942167974422</v>
      </c>
      <c r="F317" s="86">
        <f>GDPdeflator!$C$36*INDEX(Costs!$E$7:$O$89,MATCH($C317,Costs!$C$7:$C$89,0),MATCH(F$7,Costs!$E$6:$O$6,0))</f>
        <v>23.002072258762052</v>
      </c>
      <c r="G317" s="86">
        <f>GDPdeflator!$C$38*INDEX(Costs!$E$7:$O$89,MATCH($C317,Costs!$C$7:$C$89,0),MATCH(G$7,Costs!$E$6:$O$6,0))</f>
        <v>24.258878783261274</v>
      </c>
      <c r="H317" s="86">
        <f>GDPdeflator!$C$38*INDEX(Costs!$E$7:$O$89,MATCH($C317,Costs!$C$7:$C$89,0),MATCH(H$7,Costs!$E$6:$O$6,0))</f>
        <v>24.994792765852079</v>
      </c>
      <c r="I317" s="86">
        <f>GDPdeflator!$C$38*INDEX(Costs!$E$7:$O$89,MATCH($C317,Costs!$C$7:$C$89,0),MATCH(I$7,Costs!$E$6:$O$6,0))</f>
        <v>25.949728767071104</v>
      </c>
      <c r="J317" s="86">
        <f>GDPdeflator!$C$38*INDEX(Costs!$E$7:$O$89,MATCH($C317,Costs!$C$7:$C$89,0),MATCH(J$7,Costs!$E$6:$O$6,0))</f>
        <v>25.98477229005162</v>
      </c>
      <c r="K317" s="86">
        <f>GDPdeflator!$C$38*INDEX(Costs!$E$7:$O$89,MATCH($C317,Costs!$C$7:$C$89,0),MATCH(K$7,Costs!$E$6:$O$6,0))</f>
        <v>26.011054932287006</v>
      </c>
      <c r="L317" s="86">
        <f>GDPdeflator!$C$38*INDEX(Costs!$E$7:$O$89,MATCH($C317,Costs!$C$7:$C$89,0),MATCH(L$7,Costs!$E$6:$O$6,0))</f>
        <v>26.028576693777261</v>
      </c>
      <c r="M317" s="86">
        <f>GDPdeflator!$C$38*INDEX(Costs!$E$7:$O$89,MATCH($C317,Costs!$C$7:$C$89,0),MATCH(M$7,Costs!$E$6:$O$6,0))</f>
        <v>26.028576693777261</v>
      </c>
      <c r="N317" s="86">
        <f>GDPdeflator!$C$38*INDEX(Costs!$E$7:$O$89,MATCH($C317,Costs!$C$7:$C$89,0),MATCH(N$7,Costs!$E$6:$O$6,0))</f>
        <v>26.028576693777261</v>
      </c>
      <c r="O317" s="86">
        <f>GDPdeflator!$C$38*INDEX(Costs!$E$7:$O$89,MATCH($C317,Costs!$C$7:$C$89,0),MATCH(O$7,Costs!$E$6:$O$6,0))</f>
        <v>26.028576693777261</v>
      </c>
      <c r="P317" s="87">
        <f t="shared" si="172"/>
        <v>2174.2034344007729</v>
      </c>
      <c r="Q317" s="87">
        <f t="shared" si="162"/>
        <v>1920.6304227229514</v>
      </c>
      <c r="R317" s="87">
        <f t="shared" si="163"/>
        <v>2025.5714393094204</v>
      </c>
      <c r="S317" s="87">
        <f t="shared" si="164"/>
        <v>2087.0188935896626</v>
      </c>
      <c r="T317" s="87">
        <f t="shared" si="165"/>
        <v>2166.7542806914057</v>
      </c>
      <c r="U317" s="87">
        <f t="shared" si="166"/>
        <v>2169.6803499428461</v>
      </c>
      <c r="V317" s="87">
        <f t="shared" si="167"/>
        <v>2171.874901881426</v>
      </c>
      <c r="W317" s="87">
        <f t="shared" si="168"/>
        <v>2173.337936507146</v>
      </c>
      <c r="X317" s="87">
        <f t="shared" si="169"/>
        <v>2173.337936507146</v>
      </c>
      <c r="Y317" s="87">
        <f t="shared" si="170"/>
        <v>2173.337936507146</v>
      </c>
      <c r="Z317" s="87">
        <f t="shared" si="171"/>
        <v>2173.337936507146</v>
      </c>
      <c r="AA317" s="88">
        <v>450</v>
      </c>
      <c r="AB317" s="89">
        <f>AA317*GDPdeflator!$C$25/$AI$18*10^3</f>
        <v>43.267274341798768</v>
      </c>
      <c r="AC317" s="90" t="e">
        <f>INDEX(Efficiencies!$D$8:$M$89,MATCH(C317,Efficiencies!$C$8:$C$89),MATCH(D317,Efficiencies!$D$7:$M$7))</f>
        <v>#REF!</v>
      </c>
      <c r="AD317" s="90" t="e">
        <f t="shared" si="148"/>
        <v>#REF!</v>
      </c>
      <c r="AE317" s="90" t="e">
        <f>INDEX(Efficiencies!$P$8:$Y$89,MATCH(C317,Efficiencies!$C$8:$C$89),MATCH(D317,Efficiencies!$P$7:$Y$7))</f>
        <v>#REF!</v>
      </c>
      <c r="AF317" s="90" t="e">
        <f t="shared" si="150"/>
        <v>#REF!</v>
      </c>
      <c r="AG317" s="90">
        <v>0</v>
      </c>
    </row>
    <row r="318" spans="1:33" x14ac:dyDescent="0.2">
      <c r="A318" s="92" t="s">
        <v>1433</v>
      </c>
      <c r="B318" s="248" t="s">
        <v>1434</v>
      </c>
      <c r="C318" s="40" t="s">
        <v>1426</v>
      </c>
      <c r="D318" s="40">
        <v>2025</v>
      </c>
      <c r="E318" s="86">
        <f>GDPdeflator!$C$32*INDEX(Costs!$E$7:$O$89,MATCH($C318,Costs!$C$7:$C$89,0),MATCH(E$7,Costs!$E$6:$O$6,0))</f>
        <v>26.038942167974422</v>
      </c>
      <c r="F318" s="86">
        <f>GDPdeflator!$C$36*INDEX(Costs!$E$7:$O$89,MATCH($C318,Costs!$C$7:$C$89,0),MATCH(F$7,Costs!$E$6:$O$6,0))</f>
        <v>23.002072258762052</v>
      </c>
      <c r="G318" s="86">
        <f>GDPdeflator!$C$38*INDEX(Costs!$E$7:$O$89,MATCH($C318,Costs!$C$7:$C$89,0),MATCH(G$7,Costs!$E$6:$O$6,0))</f>
        <v>24.258878783261274</v>
      </c>
      <c r="H318" s="86">
        <f>GDPdeflator!$C$38*INDEX(Costs!$E$7:$O$89,MATCH($C318,Costs!$C$7:$C$89,0),MATCH(H$7,Costs!$E$6:$O$6,0))</f>
        <v>24.994792765852079</v>
      </c>
      <c r="I318" s="86">
        <f>GDPdeflator!$C$38*INDEX(Costs!$E$7:$O$89,MATCH($C318,Costs!$C$7:$C$89,0),MATCH(I$7,Costs!$E$6:$O$6,0))</f>
        <v>25.949728767071104</v>
      </c>
      <c r="J318" s="86">
        <f>GDPdeflator!$C$38*INDEX(Costs!$E$7:$O$89,MATCH($C318,Costs!$C$7:$C$89,0),MATCH(J$7,Costs!$E$6:$O$6,0))</f>
        <v>25.98477229005162</v>
      </c>
      <c r="K318" s="86">
        <f>GDPdeflator!$C$38*INDEX(Costs!$E$7:$O$89,MATCH($C318,Costs!$C$7:$C$89,0),MATCH(K$7,Costs!$E$6:$O$6,0))</f>
        <v>26.011054932287006</v>
      </c>
      <c r="L318" s="86">
        <f>GDPdeflator!$C$38*INDEX(Costs!$E$7:$O$89,MATCH($C318,Costs!$C$7:$C$89,0),MATCH(L$7,Costs!$E$6:$O$6,0))</f>
        <v>26.028576693777261</v>
      </c>
      <c r="M318" s="86">
        <f>GDPdeflator!$C$38*INDEX(Costs!$E$7:$O$89,MATCH($C318,Costs!$C$7:$C$89,0),MATCH(M$7,Costs!$E$6:$O$6,0))</f>
        <v>26.028576693777261</v>
      </c>
      <c r="N318" s="86">
        <f>GDPdeflator!$C$38*INDEX(Costs!$E$7:$O$89,MATCH($C318,Costs!$C$7:$C$89,0),MATCH(N$7,Costs!$E$6:$O$6,0))</f>
        <v>26.028576693777261</v>
      </c>
      <c r="O318" s="86">
        <f>GDPdeflator!$C$38*INDEX(Costs!$E$7:$O$89,MATCH($C318,Costs!$C$7:$C$89,0),MATCH(O$7,Costs!$E$6:$O$6,0))</f>
        <v>26.028576693777261</v>
      </c>
      <c r="P318" s="87">
        <f t="shared" si="172"/>
        <v>2174.2034344007729</v>
      </c>
      <c r="Q318" s="87">
        <f t="shared" si="162"/>
        <v>1920.6304227229514</v>
      </c>
      <c r="R318" s="87">
        <f t="shared" si="163"/>
        <v>2025.5714393094204</v>
      </c>
      <c r="S318" s="87">
        <f t="shared" si="164"/>
        <v>2087.0188935896626</v>
      </c>
      <c r="T318" s="87">
        <f t="shared" si="165"/>
        <v>2166.7542806914057</v>
      </c>
      <c r="U318" s="87">
        <f t="shared" si="166"/>
        <v>2169.6803499428461</v>
      </c>
      <c r="V318" s="87">
        <f t="shared" si="167"/>
        <v>2171.874901881426</v>
      </c>
      <c r="W318" s="87">
        <f t="shared" si="168"/>
        <v>2173.337936507146</v>
      </c>
      <c r="X318" s="87">
        <f t="shared" si="169"/>
        <v>2173.337936507146</v>
      </c>
      <c r="Y318" s="87">
        <f t="shared" si="170"/>
        <v>2173.337936507146</v>
      </c>
      <c r="Z318" s="87">
        <f t="shared" si="171"/>
        <v>2173.337936507146</v>
      </c>
      <c r="AA318" s="88">
        <v>450</v>
      </c>
      <c r="AB318" s="89">
        <f>AA318*GDPdeflator!$C$25/$AI$18*10^3</f>
        <v>43.267274341798768</v>
      </c>
      <c r="AC318" s="90" t="e">
        <f>INDEX(Efficiencies!$D$8:$M$89,MATCH(C318,Efficiencies!$C$8:$C$89),MATCH(D318,Efficiencies!$D$7:$M$7))</f>
        <v>#REF!</v>
      </c>
      <c r="AD318" s="90" t="e">
        <f t="shared" si="148"/>
        <v>#REF!</v>
      </c>
      <c r="AE318" s="90" t="e">
        <f>INDEX(Efficiencies!$P$8:$Y$89,MATCH(C318,Efficiencies!$C$8:$C$89),MATCH(D318,Efficiencies!$P$7:$Y$7))</f>
        <v>#REF!</v>
      </c>
      <c r="AF318" s="90" t="e">
        <f t="shared" si="150"/>
        <v>#REF!</v>
      </c>
      <c r="AG318" s="90">
        <v>0</v>
      </c>
    </row>
    <row r="319" spans="1:33" x14ac:dyDescent="0.2">
      <c r="A319" s="92" t="s">
        <v>1435</v>
      </c>
      <c r="B319" s="248" t="s">
        <v>1436</v>
      </c>
      <c r="C319" s="40" t="s">
        <v>1426</v>
      </c>
      <c r="D319" s="40">
        <v>2030</v>
      </c>
      <c r="E319" s="86">
        <f>GDPdeflator!$C$32*INDEX(Costs!$E$7:$O$89,MATCH($C319,Costs!$C$7:$C$89,0),MATCH(E$7,Costs!$E$6:$O$6,0))</f>
        <v>26.038942167974422</v>
      </c>
      <c r="F319" s="86">
        <f>GDPdeflator!$C$36*INDEX(Costs!$E$7:$O$89,MATCH($C319,Costs!$C$7:$C$89,0),MATCH(F$7,Costs!$E$6:$O$6,0))</f>
        <v>23.002072258762052</v>
      </c>
      <c r="G319" s="86">
        <f>GDPdeflator!$C$38*INDEX(Costs!$E$7:$O$89,MATCH($C319,Costs!$C$7:$C$89,0),MATCH(G$7,Costs!$E$6:$O$6,0))</f>
        <v>24.258878783261274</v>
      </c>
      <c r="H319" s="86">
        <f>GDPdeflator!$C$38*INDEX(Costs!$E$7:$O$89,MATCH($C319,Costs!$C$7:$C$89,0),MATCH(H$7,Costs!$E$6:$O$6,0))</f>
        <v>24.994792765852079</v>
      </c>
      <c r="I319" s="86">
        <f>GDPdeflator!$C$38*INDEX(Costs!$E$7:$O$89,MATCH($C319,Costs!$C$7:$C$89,0),MATCH(I$7,Costs!$E$6:$O$6,0))</f>
        <v>25.949728767071104</v>
      </c>
      <c r="J319" s="86">
        <f>GDPdeflator!$C$38*INDEX(Costs!$E$7:$O$89,MATCH($C319,Costs!$C$7:$C$89,0),MATCH(J$7,Costs!$E$6:$O$6,0))</f>
        <v>25.98477229005162</v>
      </c>
      <c r="K319" s="86">
        <f>GDPdeflator!$C$38*INDEX(Costs!$E$7:$O$89,MATCH($C319,Costs!$C$7:$C$89,0),MATCH(K$7,Costs!$E$6:$O$6,0))</f>
        <v>26.011054932287006</v>
      </c>
      <c r="L319" s="86">
        <f>GDPdeflator!$C$38*INDEX(Costs!$E$7:$O$89,MATCH($C319,Costs!$C$7:$C$89,0),MATCH(L$7,Costs!$E$6:$O$6,0))</f>
        <v>26.028576693777261</v>
      </c>
      <c r="M319" s="86">
        <f>GDPdeflator!$C$38*INDEX(Costs!$E$7:$O$89,MATCH($C319,Costs!$C$7:$C$89,0),MATCH(M$7,Costs!$E$6:$O$6,0))</f>
        <v>26.028576693777261</v>
      </c>
      <c r="N319" s="86">
        <f>GDPdeflator!$C$38*INDEX(Costs!$E$7:$O$89,MATCH($C319,Costs!$C$7:$C$89,0),MATCH(N$7,Costs!$E$6:$O$6,0))</f>
        <v>26.028576693777261</v>
      </c>
      <c r="O319" s="86">
        <f>GDPdeflator!$C$38*INDEX(Costs!$E$7:$O$89,MATCH($C319,Costs!$C$7:$C$89,0),MATCH(O$7,Costs!$E$6:$O$6,0))</f>
        <v>26.028576693777261</v>
      </c>
      <c r="P319" s="87">
        <f t="shared" si="172"/>
        <v>2174.2034344007729</v>
      </c>
      <c r="Q319" s="87">
        <f t="shared" si="162"/>
        <v>1920.6304227229514</v>
      </c>
      <c r="R319" s="87">
        <f t="shared" si="163"/>
        <v>2025.5714393094204</v>
      </c>
      <c r="S319" s="87">
        <f t="shared" si="164"/>
        <v>2087.0188935896626</v>
      </c>
      <c r="T319" s="87">
        <f t="shared" si="165"/>
        <v>2166.7542806914057</v>
      </c>
      <c r="U319" s="87">
        <f t="shared" si="166"/>
        <v>2169.6803499428461</v>
      </c>
      <c r="V319" s="87">
        <f t="shared" si="167"/>
        <v>2171.874901881426</v>
      </c>
      <c r="W319" s="87">
        <f t="shared" si="168"/>
        <v>2173.337936507146</v>
      </c>
      <c r="X319" s="87">
        <f t="shared" si="169"/>
        <v>2173.337936507146</v>
      </c>
      <c r="Y319" s="87">
        <f t="shared" si="170"/>
        <v>2173.337936507146</v>
      </c>
      <c r="Z319" s="87">
        <f t="shared" si="171"/>
        <v>2173.337936507146</v>
      </c>
      <c r="AA319" s="88">
        <v>450</v>
      </c>
      <c r="AB319" s="89">
        <f>AA319*GDPdeflator!$C$25/$AI$18*10^3</f>
        <v>43.267274341798768</v>
      </c>
      <c r="AC319" s="90" t="e">
        <f>INDEX(Efficiencies!$D$8:$M$89,MATCH(C319,Efficiencies!$C$8:$C$89),MATCH(D319,Efficiencies!$D$7:$M$7))</f>
        <v>#REF!</v>
      </c>
      <c r="AD319" s="90" t="e">
        <f t="shared" si="148"/>
        <v>#REF!</v>
      </c>
      <c r="AE319" s="90" t="e">
        <f>INDEX(Efficiencies!$P$8:$Y$89,MATCH(C319,Efficiencies!$C$8:$C$89),MATCH(D319,Efficiencies!$P$7:$Y$7))</f>
        <v>#REF!</v>
      </c>
      <c r="AF319" s="90" t="e">
        <f t="shared" si="150"/>
        <v>#REF!</v>
      </c>
      <c r="AG319" s="90">
        <v>0</v>
      </c>
    </row>
    <row r="320" spans="1:33" x14ac:dyDescent="0.2">
      <c r="A320" s="92" t="s">
        <v>1437</v>
      </c>
      <c r="B320" s="248" t="s">
        <v>1438</v>
      </c>
      <c r="C320" s="40" t="s">
        <v>1426</v>
      </c>
      <c r="D320" s="40">
        <v>2035</v>
      </c>
      <c r="E320" s="86">
        <f>GDPdeflator!$C$32*INDEX(Costs!$E$7:$O$89,MATCH($C320,Costs!$C$7:$C$89,0),MATCH(E$7,Costs!$E$6:$O$6,0))</f>
        <v>26.038942167974422</v>
      </c>
      <c r="F320" s="86">
        <f>GDPdeflator!$C$36*INDEX(Costs!$E$7:$O$89,MATCH($C320,Costs!$C$7:$C$89,0),MATCH(F$7,Costs!$E$6:$O$6,0))</f>
        <v>23.002072258762052</v>
      </c>
      <c r="G320" s="86">
        <f>GDPdeflator!$C$38*INDEX(Costs!$E$7:$O$89,MATCH($C320,Costs!$C$7:$C$89,0),MATCH(G$7,Costs!$E$6:$O$6,0))</f>
        <v>24.258878783261274</v>
      </c>
      <c r="H320" s="86">
        <f>GDPdeflator!$C$38*INDEX(Costs!$E$7:$O$89,MATCH($C320,Costs!$C$7:$C$89,0),MATCH(H$7,Costs!$E$6:$O$6,0))</f>
        <v>24.994792765852079</v>
      </c>
      <c r="I320" s="86">
        <f>GDPdeflator!$C$38*INDEX(Costs!$E$7:$O$89,MATCH($C320,Costs!$C$7:$C$89,0),MATCH(I$7,Costs!$E$6:$O$6,0))</f>
        <v>25.949728767071104</v>
      </c>
      <c r="J320" s="86">
        <f>GDPdeflator!$C$38*INDEX(Costs!$E$7:$O$89,MATCH($C320,Costs!$C$7:$C$89,0),MATCH(J$7,Costs!$E$6:$O$6,0))</f>
        <v>25.98477229005162</v>
      </c>
      <c r="K320" s="86">
        <f>GDPdeflator!$C$38*INDEX(Costs!$E$7:$O$89,MATCH($C320,Costs!$C$7:$C$89,0),MATCH(K$7,Costs!$E$6:$O$6,0))</f>
        <v>26.011054932287006</v>
      </c>
      <c r="L320" s="86">
        <f>GDPdeflator!$C$38*INDEX(Costs!$E$7:$O$89,MATCH($C320,Costs!$C$7:$C$89,0),MATCH(L$7,Costs!$E$6:$O$6,0))</f>
        <v>26.028576693777261</v>
      </c>
      <c r="M320" s="86">
        <f>GDPdeflator!$C$38*INDEX(Costs!$E$7:$O$89,MATCH($C320,Costs!$C$7:$C$89,0),MATCH(M$7,Costs!$E$6:$O$6,0))</f>
        <v>26.028576693777261</v>
      </c>
      <c r="N320" s="86">
        <f>GDPdeflator!$C$38*INDEX(Costs!$E$7:$O$89,MATCH($C320,Costs!$C$7:$C$89,0),MATCH(N$7,Costs!$E$6:$O$6,0))</f>
        <v>26.028576693777261</v>
      </c>
      <c r="O320" s="86">
        <f>GDPdeflator!$C$38*INDEX(Costs!$E$7:$O$89,MATCH($C320,Costs!$C$7:$C$89,0),MATCH(O$7,Costs!$E$6:$O$6,0))</f>
        <v>26.028576693777261</v>
      </c>
      <c r="P320" s="87">
        <f t="shared" si="172"/>
        <v>2174.2034344007729</v>
      </c>
      <c r="Q320" s="87">
        <f t="shared" si="162"/>
        <v>1920.6304227229514</v>
      </c>
      <c r="R320" s="87">
        <f t="shared" si="163"/>
        <v>2025.5714393094204</v>
      </c>
      <c r="S320" s="87">
        <f t="shared" si="164"/>
        <v>2087.0188935896626</v>
      </c>
      <c r="T320" s="87">
        <f t="shared" si="165"/>
        <v>2166.7542806914057</v>
      </c>
      <c r="U320" s="87">
        <f t="shared" si="166"/>
        <v>2169.6803499428461</v>
      </c>
      <c r="V320" s="87">
        <f t="shared" si="167"/>
        <v>2171.874901881426</v>
      </c>
      <c r="W320" s="87">
        <f t="shared" si="168"/>
        <v>2173.337936507146</v>
      </c>
      <c r="X320" s="87">
        <f t="shared" si="169"/>
        <v>2173.337936507146</v>
      </c>
      <c r="Y320" s="87">
        <f t="shared" si="170"/>
        <v>2173.337936507146</v>
      </c>
      <c r="Z320" s="87">
        <f t="shared" si="171"/>
        <v>2173.337936507146</v>
      </c>
      <c r="AA320" s="88">
        <v>450</v>
      </c>
      <c r="AB320" s="89">
        <f>AA320*GDPdeflator!$C$25/$AI$18*10^3</f>
        <v>43.267274341798768</v>
      </c>
      <c r="AC320" s="90" t="e">
        <f>INDEX(Efficiencies!$D$8:$M$89,MATCH(C320,Efficiencies!$C$8:$C$89),MATCH(D320,Efficiencies!$D$7:$M$7))</f>
        <v>#REF!</v>
      </c>
      <c r="AD320" s="90" t="e">
        <f t="shared" si="148"/>
        <v>#REF!</v>
      </c>
      <c r="AE320" s="90" t="e">
        <f>INDEX(Efficiencies!$P$8:$Y$89,MATCH(C320,Efficiencies!$C$8:$C$89),MATCH(D320,Efficiencies!$P$7:$Y$7))</f>
        <v>#REF!</v>
      </c>
      <c r="AF320" s="90" t="e">
        <f t="shared" si="150"/>
        <v>#REF!</v>
      </c>
      <c r="AG320" s="90">
        <v>0</v>
      </c>
    </row>
    <row r="321" spans="1:33" x14ac:dyDescent="0.2">
      <c r="A321" s="92" t="s">
        <v>1439</v>
      </c>
      <c r="B321" s="248" t="s">
        <v>1440</v>
      </c>
      <c r="C321" s="40" t="s">
        <v>1426</v>
      </c>
      <c r="D321" s="40">
        <v>2040</v>
      </c>
      <c r="E321" s="86">
        <f>GDPdeflator!$C$32*INDEX(Costs!$E$7:$O$89,MATCH($C321,Costs!$C$7:$C$89,0),MATCH(E$7,Costs!$E$6:$O$6,0))</f>
        <v>26.038942167974422</v>
      </c>
      <c r="F321" s="86">
        <f>GDPdeflator!$C$36*INDEX(Costs!$E$7:$O$89,MATCH($C321,Costs!$C$7:$C$89,0),MATCH(F$7,Costs!$E$6:$O$6,0))</f>
        <v>23.002072258762052</v>
      </c>
      <c r="G321" s="86">
        <f>GDPdeflator!$C$38*INDEX(Costs!$E$7:$O$89,MATCH($C321,Costs!$C$7:$C$89,0),MATCH(G$7,Costs!$E$6:$O$6,0))</f>
        <v>24.258878783261274</v>
      </c>
      <c r="H321" s="86">
        <f>GDPdeflator!$C$38*INDEX(Costs!$E$7:$O$89,MATCH($C321,Costs!$C$7:$C$89,0),MATCH(H$7,Costs!$E$6:$O$6,0))</f>
        <v>24.994792765852079</v>
      </c>
      <c r="I321" s="86">
        <f>GDPdeflator!$C$38*INDEX(Costs!$E$7:$O$89,MATCH($C321,Costs!$C$7:$C$89,0),MATCH(I$7,Costs!$E$6:$O$6,0))</f>
        <v>25.949728767071104</v>
      </c>
      <c r="J321" s="86">
        <f>GDPdeflator!$C$38*INDEX(Costs!$E$7:$O$89,MATCH($C321,Costs!$C$7:$C$89,0),MATCH(J$7,Costs!$E$6:$O$6,0))</f>
        <v>25.98477229005162</v>
      </c>
      <c r="K321" s="86">
        <f>GDPdeflator!$C$38*INDEX(Costs!$E$7:$O$89,MATCH($C321,Costs!$C$7:$C$89,0),MATCH(K$7,Costs!$E$6:$O$6,0))</f>
        <v>26.011054932287006</v>
      </c>
      <c r="L321" s="86">
        <f>GDPdeflator!$C$38*INDEX(Costs!$E$7:$O$89,MATCH($C321,Costs!$C$7:$C$89,0),MATCH(L$7,Costs!$E$6:$O$6,0))</f>
        <v>26.028576693777261</v>
      </c>
      <c r="M321" s="86">
        <f>GDPdeflator!$C$38*INDEX(Costs!$E$7:$O$89,MATCH($C321,Costs!$C$7:$C$89,0),MATCH(M$7,Costs!$E$6:$O$6,0))</f>
        <v>26.028576693777261</v>
      </c>
      <c r="N321" s="86">
        <f>GDPdeflator!$C$38*INDEX(Costs!$E$7:$O$89,MATCH($C321,Costs!$C$7:$C$89,0),MATCH(N$7,Costs!$E$6:$O$6,0))</f>
        <v>26.028576693777261</v>
      </c>
      <c r="O321" s="86">
        <f>GDPdeflator!$C$38*INDEX(Costs!$E$7:$O$89,MATCH($C321,Costs!$C$7:$C$89,0),MATCH(O$7,Costs!$E$6:$O$6,0))</f>
        <v>26.028576693777261</v>
      </c>
      <c r="P321" s="87">
        <f t="shared" si="172"/>
        <v>2174.2034344007729</v>
      </c>
      <c r="Q321" s="87">
        <f t="shared" si="162"/>
        <v>1920.6304227229514</v>
      </c>
      <c r="R321" s="87">
        <f t="shared" si="163"/>
        <v>2025.5714393094204</v>
      </c>
      <c r="S321" s="87">
        <f t="shared" si="164"/>
        <v>2087.0188935896626</v>
      </c>
      <c r="T321" s="87">
        <f t="shared" si="165"/>
        <v>2166.7542806914057</v>
      </c>
      <c r="U321" s="87">
        <f t="shared" si="166"/>
        <v>2169.6803499428461</v>
      </c>
      <c r="V321" s="87">
        <f t="shared" si="167"/>
        <v>2171.874901881426</v>
      </c>
      <c r="W321" s="87">
        <f t="shared" si="168"/>
        <v>2173.337936507146</v>
      </c>
      <c r="X321" s="87">
        <f t="shared" si="169"/>
        <v>2173.337936507146</v>
      </c>
      <c r="Y321" s="87">
        <f t="shared" si="170"/>
        <v>2173.337936507146</v>
      </c>
      <c r="Z321" s="87">
        <f t="shared" si="171"/>
        <v>2173.337936507146</v>
      </c>
      <c r="AA321" s="88">
        <v>450</v>
      </c>
      <c r="AB321" s="89">
        <f>AA321*GDPdeflator!$C$25/$AI$18*10^3</f>
        <v>43.267274341798768</v>
      </c>
      <c r="AC321" s="90" t="e">
        <f>INDEX(Efficiencies!$D$8:$M$89,MATCH(C321,Efficiencies!$C$8:$C$89),MATCH(D321,Efficiencies!$D$7:$M$7))</f>
        <v>#REF!</v>
      </c>
      <c r="AD321" s="90" t="e">
        <f t="shared" si="148"/>
        <v>#REF!</v>
      </c>
      <c r="AE321" s="90" t="e">
        <f>INDEX(Efficiencies!$P$8:$Y$89,MATCH(C321,Efficiencies!$C$8:$C$89),MATCH(D321,Efficiencies!$P$7:$Y$7))</f>
        <v>#REF!</v>
      </c>
      <c r="AF321" s="90" t="e">
        <f t="shared" si="150"/>
        <v>#REF!</v>
      </c>
      <c r="AG321" s="90">
        <v>0</v>
      </c>
    </row>
    <row r="322" spans="1:33" x14ac:dyDescent="0.2">
      <c r="A322" s="92" t="s">
        <v>1441</v>
      </c>
      <c r="B322" s="248" t="s">
        <v>1442</v>
      </c>
      <c r="C322" s="40" t="s">
        <v>1426</v>
      </c>
      <c r="D322" s="40">
        <v>2045</v>
      </c>
      <c r="E322" s="86">
        <f>GDPdeflator!$C$32*INDEX(Costs!$E$7:$O$89,MATCH($C322,Costs!$C$7:$C$89,0),MATCH(E$7,Costs!$E$6:$O$6,0))</f>
        <v>26.038942167974422</v>
      </c>
      <c r="F322" s="86">
        <f>GDPdeflator!$C$36*INDEX(Costs!$E$7:$O$89,MATCH($C322,Costs!$C$7:$C$89,0),MATCH(F$7,Costs!$E$6:$O$6,0))</f>
        <v>23.002072258762052</v>
      </c>
      <c r="G322" s="86">
        <f>GDPdeflator!$C$38*INDEX(Costs!$E$7:$O$89,MATCH($C322,Costs!$C$7:$C$89,0),MATCH(G$7,Costs!$E$6:$O$6,0))</f>
        <v>24.258878783261274</v>
      </c>
      <c r="H322" s="86">
        <f>GDPdeflator!$C$38*INDEX(Costs!$E$7:$O$89,MATCH($C322,Costs!$C$7:$C$89,0),MATCH(H$7,Costs!$E$6:$O$6,0))</f>
        <v>24.994792765852079</v>
      </c>
      <c r="I322" s="86">
        <f>GDPdeflator!$C$38*INDEX(Costs!$E$7:$O$89,MATCH($C322,Costs!$C$7:$C$89,0),MATCH(I$7,Costs!$E$6:$O$6,0))</f>
        <v>25.949728767071104</v>
      </c>
      <c r="J322" s="86">
        <f>GDPdeflator!$C$38*INDEX(Costs!$E$7:$O$89,MATCH($C322,Costs!$C$7:$C$89,0),MATCH(J$7,Costs!$E$6:$O$6,0))</f>
        <v>25.98477229005162</v>
      </c>
      <c r="K322" s="86">
        <f>GDPdeflator!$C$38*INDEX(Costs!$E$7:$O$89,MATCH($C322,Costs!$C$7:$C$89,0),MATCH(K$7,Costs!$E$6:$O$6,0))</f>
        <v>26.011054932287006</v>
      </c>
      <c r="L322" s="86">
        <f>GDPdeflator!$C$38*INDEX(Costs!$E$7:$O$89,MATCH($C322,Costs!$C$7:$C$89,0),MATCH(L$7,Costs!$E$6:$O$6,0))</f>
        <v>26.028576693777261</v>
      </c>
      <c r="M322" s="86">
        <f>GDPdeflator!$C$38*INDEX(Costs!$E$7:$O$89,MATCH($C322,Costs!$C$7:$C$89,0),MATCH(M$7,Costs!$E$6:$O$6,0))</f>
        <v>26.028576693777261</v>
      </c>
      <c r="N322" s="86">
        <f>GDPdeflator!$C$38*INDEX(Costs!$E$7:$O$89,MATCH($C322,Costs!$C$7:$C$89,0),MATCH(N$7,Costs!$E$6:$O$6,0))</f>
        <v>26.028576693777261</v>
      </c>
      <c r="O322" s="86">
        <f>GDPdeflator!$C$38*INDEX(Costs!$E$7:$O$89,MATCH($C322,Costs!$C$7:$C$89,0),MATCH(O$7,Costs!$E$6:$O$6,0))</f>
        <v>26.028576693777261</v>
      </c>
      <c r="P322" s="87">
        <f t="shared" si="172"/>
        <v>2174.2034344007729</v>
      </c>
      <c r="Q322" s="87">
        <f t="shared" si="162"/>
        <v>1920.6304227229514</v>
      </c>
      <c r="R322" s="87">
        <f t="shared" si="163"/>
        <v>2025.5714393094204</v>
      </c>
      <c r="S322" s="87">
        <f t="shared" si="164"/>
        <v>2087.0188935896626</v>
      </c>
      <c r="T322" s="87">
        <f t="shared" si="165"/>
        <v>2166.7542806914057</v>
      </c>
      <c r="U322" s="87">
        <f t="shared" si="166"/>
        <v>2169.6803499428461</v>
      </c>
      <c r="V322" s="87">
        <f t="shared" si="167"/>
        <v>2171.874901881426</v>
      </c>
      <c r="W322" s="87">
        <f t="shared" si="168"/>
        <v>2173.337936507146</v>
      </c>
      <c r="X322" s="87">
        <f t="shared" si="169"/>
        <v>2173.337936507146</v>
      </c>
      <c r="Y322" s="87">
        <f t="shared" si="170"/>
        <v>2173.337936507146</v>
      </c>
      <c r="Z322" s="87">
        <f t="shared" si="171"/>
        <v>2173.337936507146</v>
      </c>
      <c r="AA322" s="88">
        <v>450</v>
      </c>
      <c r="AB322" s="89">
        <f>AA322*GDPdeflator!$C$25/$AI$18*10^3</f>
        <v>43.267274341798768</v>
      </c>
      <c r="AC322" s="90" t="e">
        <f>INDEX(Efficiencies!$D$8:$M$89,MATCH(C322,Efficiencies!$C$8:$C$89),MATCH(D322,Efficiencies!$D$7:$M$7))</f>
        <v>#REF!</v>
      </c>
      <c r="AD322" s="90" t="e">
        <f t="shared" si="148"/>
        <v>#REF!</v>
      </c>
      <c r="AE322" s="90" t="e">
        <f>INDEX(Efficiencies!$P$8:$Y$89,MATCH(C322,Efficiencies!$C$8:$C$89),MATCH(D322,Efficiencies!$P$7:$Y$7))</f>
        <v>#REF!</v>
      </c>
      <c r="AF322" s="90" t="e">
        <f t="shared" si="150"/>
        <v>#REF!</v>
      </c>
      <c r="AG322" s="90">
        <v>0</v>
      </c>
    </row>
    <row r="323" spans="1:33" x14ac:dyDescent="0.2">
      <c r="A323" s="92" t="s">
        <v>1443</v>
      </c>
      <c r="B323" s="248" t="s">
        <v>1444</v>
      </c>
      <c r="C323" s="40" t="s">
        <v>1426</v>
      </c>
      <c r="D323" s="40">
        <v>2050</v>
      </c>
      <c r="E323" s="86">
        <f>GDPdeflator!$C$32*INDEX(Costs!$E$7:$O$89,MATCH($C323,Costs!$C$7:$C$89,0),MATCH(E$7,Costs!$E$6:$O$6,0))</f>
        <v>26.038942167974422</v>
      </c>
      <c r="F323" s="86">
        <f>GDPdeflator!$C$36*INDEX(Costs!$E$7:$O$89,MATCH($C323,Costs!$C$7:$C$89,0),MATCH(F$7,Costs!$E$6:$O$6,0))</f>
        <v>23.002072258762052</v>
      </c>
      <c r="G323" s="86">
        <f>GDPdeflator!$C$38*INDEX(Costs!$E$7:$O$89,MATCH($C323,Costs!$C$7:$C$89,0),MATCH(G$7,Costs!$E$6:$O$6,0))</f>
        <v>24.258878783261274</v>
      </c>
      <c r="H323" s="86">
        <f>GDPdeflator!$C$38*INDEX(Costs!$E$7:$O$89,MATCH($C323,Costs!$C$7:$C$89,0),MATCH(H$7,Costs!$E$6:$O$6,0))</f>
        <v>24.994792765852079</v>
      </c>
      <c r="I323" s="86">
        <f>GDPdeflator!$C$38*INDEX(Costs!$E$7:$O$89,MATCH($C323,Costs!$C$7:$C$89,0),MATCH(I$7,Costs!$E$6:$O$6,0))</f>
        <v>25.949728767071104</v>
      </c>
      <c r="J323" s="86">
        <f>GDPdeflator!$C$38*INDEX(Costs!$E$7:$O$89,MATCH($C323,Costs!$C$7:$C$89,0),MATCH(J$7,Costs!$E$6:$O$6,0))</f>
        <v>25.98477229005162</v>
      </c>
      <c r="K323" s="86">
        <f>GDPdeflator!$C$38*INDEX(Costs!$E$7:$O$89,MATCH($C323,Costs!$C$7:$C$89,0),MATCH(K$7,Costs!$E$6:$O$6,0))</f>
        <v>26.011054932287006</v>
      </c>
      <c r="L323" s="86">
        <f>GDPdeflator!$C$38*INDEX(Costs!$E$7:$O$89,MATCH($C323,Costs!$C$7:$C$89,0),MATCH(L$7,Costs!$E$6:$O$6,0))</f>
        <v>26.028576693777261</v>
      </c>
      <c r="M323" s="86">
        <f>GDPdeflator!$C$38*INDEX(Costs!$E$7:$O$89,MATCH($C323,Costs!$C$7:$C$89,0),MATCH(M$7,Costs!$E$6:$O$6,0))</f>
        <v>26.028576693777261</v>
      </c>
      <c r="N323" s="86">
        <f>GDPdeflator!$C$38*INDEX(Costs!$E$7:$O$89,MATCH($C323,Costs!$C$7:$C$89,0),MATCH(N$7,Costs!$E$6:$O$6,0))</f>
        <v>26.028576693777261</v>
      </c>
      <c r="O323" s="86">
        <f>GDPdeflator!$C$38*INDEX(Costs!$E$7:$O$89,MATCH($C323,Costs!$C$7:$C$89,0),MATCH(O$7,Costs!$E$6:$O$6,0))</f>
        <v>26.028576693777261</v>
      </c>
      <c r="P323" s="87">
        <f t="shared" si="172"/>
        <v>2174.2034344007729</v>
      </c>
      <c r="Q323" s="87">
        <f t="shared" si="162"/>
        <v>1920.6304227229514</v>
      </c>
      <c r="R323" s="87">
        <f t="shared" si="163"/>
        <v>2025.5714393094204</v>
      </c>
      <c r="S323" s="87">
        <f t="shared" si="164"/>
        <v>2087.0188935896626</v>
      </c>
      <c r="T323" s="87">
        <f t="shared" si="165"/>
        <v>2166.7542806914057</v>
      </c>
      <c r="U323" s="87">
        <f t="shared" si="166"/>
        <v>2169.6803499428461</v>
      </c>
      <c r="V323" s="87">
        <f t="shared" si="167"/>
        <v>2171.874901881426</v>
      </c>
      <c r="W323" s="87">
        <f t="shared" si="168"/>
        <v>2173.337936507146</v>
      </c>
      <c r="X323" s="87">
        <f t="shared" si="169"/>
        <v>2173.337936507146</v>
      </c>
      <c r="Y323" s="87">
        <f t="shared" si="170"/>
        <v>2173.337936507146</v>
      </c>
      <c r="Z323" s="87">
        <f t="shared" si="171"/>
        <v>2173.337936507146</v>
      </c>
      <c r="AA323" s="88">
        <v>450</v>
      </c>
      <c r="AB323" s="89">
        <f>AA323*GDPdeflator!$C$25/$AI$18*10^3</f>
        <v>43.267274341798768</v>
      </c>
      <c r="AC323" s="90" t="e">
        <f>INDEX(Efficiencies!$D$8:$M$89,MATCH(C323,Efficiencies!$C$8:$C$89),MATCH(D323,Efficiencies!$D$7:$M$7))</f>
        <v>#REF!</v>
      </c>
      <c r="AD323" s="90" t="e">
        <f t="shared" si="148"/>
        <v>#REF!</v>
      </c>
      <c r="AE323" s="90" t="e">
        <f>INDEX(Efficiencies!$P$8:$Y$89,MATCH(C323,Efficiencies!$C$8:$C$89),MATCH(D323,Efficiencies!$P$7:$Y$7))</f>
        <v>#REF!</v>
      </c>
      <c r="AF323" s="90" t="e">
        <f t="shared" si="150"/>
        <v>#REF!</v>
      </c>
      <c r="AG323" s="90">
        <v>0</v>
      </c>
    </row>
    <row r="324" spans="1:33" x14ac:dyDescent="0.2">
      <c r="A324" s="92" t="s">
        <v>1445</v>
      </c>
      <c r="B324" s="248" t="s">
        <v>1446</v>
      </c>
      <c r="C324" s="40" t="s">
        <v>1447</v>
      </c>
      <c r="D324" s="40">
        <v>2015</v>
      </c>
      <c r="E324" s="86">
        <f>GDPdeflator!$C$32*INDEX(Costs!$E$7:$O$89,MATCH($C324,Costs!$C$7:$C$89,0),MATCH(E$7,Costs!$E$6:$O$6,0))</f>
        <v>0</v>
      </c>
      <c r="F324" s="86">
        <f>GDPdeflator!$C$36*INDEX(Costs!$E$7:$O$89,MATCH($C324,Costs!$C$7:$C$89,0),MATCH(F$7,Costs!$E$6:$O$6,0))</f>
        <v>0</v>
      </c>
      <c r="G324" s="86">
        <f>GDPdeflator!$C$38*INDEX(Costs!$E$7:$O$89,MATCH($C324,Costs!$C$7:$C$89,0),MATCH(G$7,Costs!$E$6:$O$6,0))</f>
        <v>0</v>
      </c>
      <c r="H324" s="86">
        <f>GDPdeflator!$C$38*INDEX(Costs!$E$7:$O$89,MATCH($C324,Costs!$C$7:$C$89,0),MATCH(H$7,Costs!$E$6:$O$6,0))</f>
        <v>0</v>
      </c>
      <c r="I324" s="86">
        <f>GDPdeflator!$C$38*INDEX(Costs!$E$7:$O$89,MATCH($C324,Costs!$C$7:$C$89,0),MATCH(I$7,Costs!$E$6:$O$6,0))</f>
        <v>0</v>
      </c>
      <c r="J324" s="86">
        <f>GDPdeflator!$C$38*INDEX(Costs!$E$7:$O$89,MATCH($C324,Costs!$C$7:$C$89,0),MATCH(J$7,Costs!$E$6:$O$6,0))</f>
        <v>0</v>
      </c>
      <c r="K324" s="86">
        <f>GDPdeflator!$C$38*INDEX(Costs!$E$7:$O$89,MATCH($C324,Costs!$C$7:$C$89,0),MATCH(K$7,Costs!$E$6:$O$6,0))</f>
        <v>0</v>
      </c>
      <c r="L324" s="86">
        <f>GDPdeflator!$C$38*INDEX(Costs!$E$7:$O$89,MATCH($C324,Costs!$C$7:$C$89,0),MATCH(L$7,Costs!$E$6:$O$6,0))</f>
        <v>0</v>
      </c>
      <c r="M324" s="86">
        <f>GDPdeflator!$C$38*INDEX(Costs!$E$7:$O$89,MATCH($C324,Costs!$C$7:$C$89,0),MATCH(M$7,Costs!$E$6:$O$6,0))</f>
        <v>0</v>
      </c>
      <c r="N324" s="86">
        <f>GDPdeflator!$C$38*INDEX(Costs!$E$7:$O$89,MATCH($C324,Costs!$C$7:$C$89,0),MATCH(N$7,Costs!$E$6:$O$6,0))</f>
        <v>0</v>
      </c>
      <c r="O324" s="86">
        <f>GDPdeflator!$C$38*INDEX(Costs!$E$7:$O$89,MATCH($C324,Costs!$C$7:$C$89,0),MATCH(O$7,Costs!$E$6:$O$6,0))</f>
        <v>0</v>
      </c>
      <c r="P324" s="87">
        <f>E324/$AI$18*10^6</f>
        <v>0</v>
      </c>
      <c r="Q324" s="87">
        <f t="shared" si="162"/>
        <v>0</v>
      </c>
      <c r="R324" s="87">
        <f t="shared" si="163"/>
        <v>0</v>
      </c>
      <c r="S324" s="87">
        <f t="shared" si="164"/>
        <v>0</v>
      </c>
      <c r="T324" s="87">
        <f t="shared" si="165"/>
        <v>0</v>
      </c>
      <c r="U324" s="87">
        <f t="shared" si="166"/>
        <v>0</v>
      </c>
      <c r="V324" s="87">
        <f t="shared" si="167"/>
        <v>0</v>
      </c>
      <c r="W324" s="87">
        <f t="shared" si="168"/>
        <v>0</v>
      </c>
      <c r="X324" s="87">
        <f t="shared" si="169"/>
        <v>0</v>
      </c>
      <c r="Y324" s="87">
        <f t="shared" si="170"/>
        <v>0</v>
      </c>
      <c r="Z324" s="87">
        <f t="shared" si="171"/>
        <v>0</v>
      </c>
      <c r="AA324" s="88">
        <v>495</v>
      </c>
      <c r="AB324" s="89">
        <f>AA324*GDPdeflator!$C$25/$AI$18*10^3</f>
        <v>47.594001775978647</v>
      </c>
      <c r="AC324" s="90" t="e">
        <f>INDEX(Efficiencies!$D$8:$M$89,MATCH(C324,Efficiencies!$C$8:$C$89),MATCH(D324,Efficiencies!$D$7:$M$7))</f>
        <v>#REF!</v>
      </c>
      <c r="AD324" s="90" t="e">
        <f t="shared" si="148"/>
        <v>#REF!</v>
      </c>
      <c r="AE324" s="90" t="e">
        <f>INDEX(Efficiencies!$P$8:$Y$89,MATCH(C324,Efficiencies!$C$8:$C$89),MATCH(D324,Efficiencies!$P$7:$Y$7))</f>
        <v>#REF!</v>
      </c>
      <c r="AF324" s="90" t="e">
        <f t="shared" si="150"/>
        <v>#REF!</v>
      </c>
      <c r="AG324" s="90">
        <v>0</v>
      </c>
    </row>
    <row r="325" spans="1:33" x14ac:dyDescent="0.2">
      <c r="A325" s="92" t="s">
        <v>1448</v>
      </c>
      <c r="B325" s="248" t="s">
        <v>1449</v>
      </c>
      <c r="C325" s="40" t="s">
        <v>1447</v>
      </c>
      <c r="D325" s="40">
        <v>2020</v>
      </c>
      <c r="E325" s="86">
        <f>GDPdeflator!$C$32*INDEX(Costs!$E$7:$O$89,MATCH($C325,Costs!$C$7:$C$89,0),MATCH(E$7,Costs!$E$6:$O$6,0))</f>
        <v>0</v>
      </c>
      <c r="F325" s="86">
        <f>GDPdeflator!$C$36*INDEX(Costs!$E$7:$O$89,MATCH($C325,Costs!$C$7:$C$89,0),MATCH(F$7,Costs!$E$6:$O$6,0))</f>
        <v>0</v>
      </c>
      <c r="G325" s="86">
        <f>GDPdeflator!$C$38*INDEX(Costs!$E$7:$O$89,MATCH($C325,Costs!$C$7:$C$89,0),MATCH(G$7,Costs!$E$6:$O$6,0))</f>
        <v>0</v>
      </c>
      <c r="H325" s="86">
        <f>GDPdeflator!$C$38*INDEX(Costs!$E$7:$O$89,MATCH($C325,Costs!$C$7:$C$89,0),MATCH(H$7,Costs!$E$6:$O$6,0))</f>
        <v>0</v>
      </c>
      <c r="I325" s="86">
        <f>GDPdeflator!$C$38*INDEX(Costs!$E$7:$O$89,MATCH($C325,Costs!$C$7:$C$89,0),MATCH(I$7,Costs!$E$6:$O$6,0))</f>
        <v>0</v>
      </c>
      <c r="J325" s="86">
        <f>GDPdeflator!$C$38*INDEX(Costs!$E$7:$O$89,MATCH($C325,Costs!$C$7:$C$89,0),MATCH(J$7,Costs!$E$6:$O$6,0))</f>
        <v>0</v>
      </c>
      <c r="K325" s="86">
        <f>GDPdeflator!$C$38*INDEX(Costs!$E$7:$O$89,MATCH($C325,Costs!$C$7:$C$89,0),MATCH(K$7,Costs!$E$6:$O$6,0))</f>
        <v>0</v>
      </c>
      <c r="L325" s="86">
        <f>GDPdeflator!$C$38*INDEX(Costs!$E$7:$O$89,MATCH($C325,Costs!$C$7:$C$89,0),MATCH(L$7,Costs!$E$6:$O$6,0))</f>
        <v>0</v>
      </c>
      <c r="M325" s="86">
        <f>GDPdeflator!$C$38*INDEX(Costs!$E$7:$O$89,MATCH($C325,Costs!$C$7:$C$89,0),MATCH(M$7,Costs!$E$6:$O$6,0))</f>
        <v>0</v>
      </c>
      <c r="N325" s="86">
        <f>GDPdeflator!$C$38*INDEX(Costs!$E$7:$O$89,MATCH($C325,Costs!$C$7:$C$89,0),MATCH(N$7,Costs!$E$6:$O$6,0))</f>
        <v>0</v>
      </c>
      <c r="O325" s="86">
        <f>GDPdeflator!$C$38*INDEX(Costs!$E$7:$O$89,MATCH($C325,Costs!$C$7:$C$89,0),MATCH(O$7,Costs!$E$6:$O$6,0))</f>
        <v>0</v>
      </c>
      <c r="P325" s="87">
        <f t="shared" ref="P325:P331" si="173">E325/$AI$18*10^6</f>
        <v>0</v>
      </c>
      <c r="Q325" s="87">
        <f t="shared" si="162"/>
        <v>0</v>
      </c>
      <c r="R325" s="87">
        <f t="shared" si="163"/>
        <v>0</v>
      </c>
      <c r="S325" s="87">
        <f t="shared" si="164"/>
        <v>0</v>
      </c>
      <c r="T325" s="87">
        <f t="shared" si="165"/>
        <v>0</v>
      </c>
      <c r="U325" s="87">
        <f t="shared" si="166"/>
        <v>0</v>
      </c>
      <c r="V325" s="87">
        <f t="shared" si="167"/>
        <v>0</v>
      </c>
      <c r="W325" s="87">
        <f t="shared" si="168"/>
        <v>0</v>
      </c>
      <c r="X325" s="87">
        <f t="shared" si="169"/>
        <v>0</v>
      </c>
      <c r="Y325" s="87">
        <f t="shared" si="170"/>
        <v>0</v>
      </c>
      <c r="Z325" s="87">
        <f t="shared" si="171"/>
        <v>0</v>
      </c>
      <c r="AA325" s="88">
        <v>495</v>
      </c>
      <c r="AB325" s="89">
        <f>AA325*GDPdeflator!$C$25/$AI$18*10^3</f>
        <v>47.594001775978647</v>
      </c>
      <c r="AC325" s="90" t="e">
        <f>INDEX(Efficiencies!$D$8:$M$89,MATCH(C325,Efficiencies!$C$8:$C$89),MATCH(D325,Efficiencies!$D$7:$M$7))</f>
        <v>#REF!</v>
      </c>
      <c r="AD325" s="90" t="e">
        <f t="shared" si="148"/>
        <v>#REF!</v>
      </c>
      <c r="AE325" s="90" t="e">
        <f>INDEX(Efficiencies!$P$8:$Y$89,MATCH(C325,Efficiencies!$C$8:$C$89),MATCH(D325,Efficiencies!$P$7:$Y$7))</f>
        <v>#REF!</v>
      </c>
      <c r="AF325" s="90" t="e">
        <f t="shared" si="150"/>
        <v>#REF!</v>
      </c>
      <c r="AG325" s="90">
        <v>0</v>
      </c>
    </row>
    <row r="326" spans="1:33" x14ac:dyDescent="0.2">
      <c r="A326" s="92" t="s">
        <v>1450</v>
      </c>
      <c r="B326" s="248" t="s">
        <v>1451</v>
      </c>
      <c r="C326" s="40" t="s">
        <v>1447</v>
      </c>
      <c r="D326" s="40">
        <v>2025</v>
      </c>
      <c r="E326" s="86">
        <f>GDPdeflator!$C$32*INDEX(Costs!$E$7:$O$89,MATCH($C326,Costs!$C$7:$C$89,0),MATCH(E$7,Costs!$E$6:$O$6,0))</f>
        <v>0</v>
      </c>
      <c r="F326" s="86">
        <f>GDPdeflator!$C$36*INDEX(Costs!$E$7:$O$89,MATCH($C326,Costs!$C$7:$C$89,0),MATCH(F$7,Costs!$E$6:$O$6,0))</f>
        <v>0</v>
      </c>
      <c r="G326" s="86">
        <f>GDPdeflator!$C$38*INDEX(Costs!$E$7:$O$89,MATCH($C326,Costs!$C$7:$C$89,0),MATCH(G$7,Costs!$E$6:$O$6,0))</f>
        <v>0</v>
      </c>
      <c r="H326" s="86">
        <f>GDPdeflator!$C$38*INDEX(Costs!$E$7:$O$89,MATCH($C326,Costs!$C$7:$C$89,0),MATCH(H$7,Costs!$E$6:$O$6,0))</f>
        <v>0</v>
      </c>
      <c r="I326" s="86">
        <f>GDPdeflator!$C$38*INDEX(Costs!$E$7:$O$89,MATCH($C326,Costs!$C$7:$C$89,0),MATCH(I$7,Costs!$E$6:$O$6,0))</f>
        <v>0</v>
      </c>
      <c r="J326" s="86">
        <f>GDPdeflator!$C$38*INDEX(Costs!$E$7:$O$89,MATCH($C326,Costs!$C$7:$C$89,0),MATCH(J$7,Costs!$E$6:$O$6,0))</f>
        <v>0</v>
      </c>
      <c r="K326" s="86">
        <f>GDPdeflator!$C$38*INDEX(Costs!$E$7:$O$89,MATCH($C326,Costs!$C$7:$C$89,0),MATCH(K$7,Costs!$E$6:$O$6,0))</f>
        <v>0</v>
      </c>
      <c r="L326" s="86">
        <f>GDPdeflator!$C$38*INDEX(Costs!$E$7:$O$89,MATCH($C326,Costs!$C$7:$C$89,0),MATCH(L$7,Costs!$E$6:$O$6,0))</f>
        <v>0</v>
      </c>
      <c r="M326" s="86">
        <f>GDPdeflator!$C$38*INDEX(Costs!$E$7:$O$89,MATCH($C326,Costs!$C$7:$C$89,0),MATCH(M$7,Costs!$E$6:$O$6,0))</f>
        <v>0</v>
      </c>
      <c r="N326" s="86">
        <f>GDPdeflator!$C$38*INDEX(Costs!$E$7:$O$89,MATCH($C326,Costs!$C$7:$C$89,0),MATCH(N$7,Costs!$E$6:$O$6,0))</f>
        <v>0</v>
      </c>
      <c r="O326" s="86">
        <f>GDPdeflator!$C$38*INDEX(Costs!$E$7:$O$89,MATCH($C326,Costs!$C$7:$C$89,0),MATCH(O$7,Costs!$E$6:$O$6,0))</f>
        <v>0</v>
      </c>
      <c r="P326" s="87">
        <f t="shared" si="173"/>
        <v>0</v>
      </c>
      <c r="Q326" s="87">
        <f t="shared" si="162"/>
        <v>0</v>
      </c>
      <c r="R326" s="87">
        <f t="shared" si="163"/>
        <v>0</v>
      </c>
      <c r="S326" s="87">
        <f t="shared" si="164"/>
        <v>0</v>
      </c>
      <c r="T326" s="87">
        <f t="shared" si="165"/>
        <v>0</v>
      </c>
      <c r="U326" s="87">
        <f t="shared" si="166"/>
        <v>0</v>
      </c>
      <c r="V326" s="87">
        <f t="shared" si="167"/>
        <v>0</v>
      </c>
      <c r="W326" s="87">
        <f t="shared" si="168"/>
        <v>0</v>
      </c>
      <c r="X326" s="87">
        <f t="shared" si="169"/>
        <v>0</v>
      </c>
      <c r="Y326" s="87">
        <f t="shared" si="170"/>
        <v>0</v>
      </c>
      <c r="Z326" s="87">
        <f t="shared" si="171"/>
        <v>0</v>
      </c>
      <c r="AA326" s="88">
        <v>495</v>
      </c>
      <c r="AB326" s="89">
        <f>AA326*GDPdeflator!$C$25/$AI$18*10^3</f>
        <v>47.594001775978647</v>
      </c>
      <c r="AC326" s="90" t="e">
        <f>INDEX(Efficiencies!$D$8:$M$89,MATCH(C326,Efficiencies!$C$8:$C$89),MATCH(D326,Efficiencies!$D$7:$M$7))</f>
        <v>#REF!</v>
      </c>
      <c r="AD326" s="90" t="e">
        <f t="shared" si="148"/>
        <v>#REF!</v>
      </c>
      <c r="AE326" s="90" t="e">
        <f>INDEX(Efficiencies!$P$8:$Y$89,MATCH(C326,Efficiencies!$C$8:$C$89),MATCH(D326,Efficiencies!$P$7:$Y$7))</f>
        <v>#REF!</v>
      </c>
      <c r="AF326" s="90" t="e">
        <f t="shared" si="150"/>
        <v>#REF!</v>
      </c>
      <c r="AG326" s="90">
        <v>0</v>
      </c>
    </row>
    <row r="327" spans="1:33" x14ac:dyDescent="0.2">
      <c r="A327" s="92" t="s">
        <v>1452</v>
      </c>
      <c r="B327" s="248" t="s">
        <v>1453</v>
      </c>
      <c r="C327" s="40" t="s">
        <v>1447</v>
      </c>
      <c r="D327" s="40">
        <v>2030</v>
      </c>
      <c r="E327" s="86">
        <f>GDPdeflator!$C$32*INDEX(Costs!$E$7:$O$89,MATCH($C327,Costs!$C$7:$C$89,0),MATCH(E$7,Costs!$E$6:$O$6,0))</f>
        <v>0</v>
      </c>
      <c r="F327" s="86">
        <f>GDPdeflator!$C$36*INDEX(Costs!$E$7:$O$89,MATCH($C327,Costs!$C$7:$C$89,0),MATCH(F$7,Costs!$E$6:$O$6,0))</f>
        <v>0</v>
      </c>
      <c r="G327" s="86">
        <f>GDPdeflator!$C$38*INDEX(Costs!$E$7:$O$89,MATCH($C327,Costs!$C$7:$C$89,0),MATCH(G$7,Costs!$E$6:$O$6,0))</f>
        <v>0</v>
      </c>
      <c r="H327" s="86">
        <f>GDPdeflator!$C$38*INDEX(Costs!$E$7:$O$89,MATCH($C327,Costs!$C$7:$C$89,0),MATCH(H$7,Costs!$E$6:$O$6,0))</f>
        <v>0</v>
      </c>
      <c r="I327" s="86">
        <f>GDPdeflator!$C$38*INDEX(Costs!$E$7:$O$89,MATCH($C327,Costs!$C$7:$C$89,0),MATCH(I$7,Costs!$E$6:$O$6,0))</f>
        <v>0</v>
      </c>
      <c r="J327" s="86">
        <f>GDPdeflator!$C$38*INDEX(Costs!$E$7:$O$89,MATCH($C327,Costs!$C$7:$C$89,0),MATCH(J$7,Costs!$E$6:$O$6,0))</f>
        <v>0</v>
      </c>
      <c r="K327" s="86">
        <f>GDPdeflator!$C$38*INDEX(Costs!$E$7:$O$89,MATCH($C327,Costs!$C$7:$C$89,0),MATCH(K$7,Costs!$E$6:$O$6,0))</f>
        <v>0</v>
      </c>
      <c r="L327" s="86">
        <f>GDPdeflator!$C$38*INDEX(Costs!$E$7:$O$89,MATCH($C327,Costs!$C$7:$C$89,0),MATCH(L$7,Costs!$E$6:$O$6,0))</f>
        <v>0</v>
      </c>
      <c r="M327" s="86">
        <f>GDPdeflator!$C$38*INDEX(Costs!$E$7:$O$89,MATCH($C327,Costs!$C$7:$C$89,0),MATCH(M$7,Costs!$E$6:$O$6,0))</f>
        <v>0</v>
      </c>
      <c r="N327" s="86">
        <f>GDPdeflator!$C$38*INDEX(Costs!$E$7:$O$89,MATCH($C327,Costs!$C$7:$C$89,0),MATCH(N$7,Costs!$E$6:$O$6,0))</f>
        <v>0</v>
      </c>
      <c r="O327" s="86">
        <f>GDPdeflator!$C$38*INDEX(Costs!$E$7:$O$89,MATCH($C327,Costs!$C$7:$C$89,0),MATCH(O$7,Costs!$E$6:$O$6,0))</f>
        <v>0</v>
      </c>
      <c r="P327" s="87">
        <f t="shared" si="173"/>
        <v>0</v>
      </c>
      <c r="Q327" s="87">
        <f t="shared" si="162"/>
        <v>0</v>
      </c>
      <c r="R327" s="87">
        <f t="shared" si="163"/>
        <v>0</v>
      </c>
      <c r="S327" s="87">
        <f t="shared" si="164"/>
        <v>0</v>
      </c>
      <c r="T327" s="87">
        <f t="shared" si="165"/>
        <v>0</v>
      </c>
      <c r="U327" s="87">
        <f t="shared" si="166"/>
        <v>0</v>
      </c>
      <c r="V327" s="87">
        <f t="shared" si="167"/>
        <v>0</v>
      </c>
      <c r="W327" s="87">
        <f t="shared" si="168"/>
        <v>0</v>
      </c>
      <c r="X327" s="87">
        <f t="shared" si="169"/>
        <v>0</v>
      </c>
      <c r="Y327" s="87">
        <f t="shared" si="170"/>
        <v>0</v>
      </c>
      <c r="Z327" s="87">
        <f t="shared" si="171"/>
        <v>0</v>
      </c>
      <c r="AA327" s="88">
        <v>495</v>
      </c>
      <c r="AB327" s="89">
        <f>AA327*GDPdeflator!$C$25/$AI$18*10^3</f>
        <v>47.594001775978647</v>
      </c>
      <c r="AC327" s="90" t="e">
        <f>INDEX(Efficiencies!$D$8:$M$89,MATCH(C327,Efficiencies!$C$8:$C$89),MATCH(D327,Efficiencies!$D$7:$M$7))</f>
        <v>#REF!</v>
      </c>
      <c r="AD327" s="90" t="e">
        <f t="shared" si="148"/>
        <v>#REF!</v>
      </c>
      <c r="AE327" s="90" t="e">
        <f>INDEX(Efficiencies!$P$8:$Y$89,MATCH(C327,Efficiencies!$C$8:$C$89),MATCH(D327,Efficiencies!$P$7:$Y$7))</f>
        <v>#REF!</v>
      </c>
      <c r="AF327" s="90" t="e">
        <f t="shared" si="150"/>
        <v>#REF!</v>
      </c>
      <c r="AG327" s="90">
        <v>0</v>
      </c>
    </row>
    <row r="328" spans="1:33" x14ac:dyDescent="0.2">
      <c r="A328" s="92" t="s">
        <v>1454</v>
      </c>
      <c r="B328" s="248" t="s">
        <v>1455</v>
      </c>
      <c r="C328" s="40" t="s">
        <v>1447</v>
      </c>
      <c r="D328" s="40">
        <v>2035</v>
      </c>
      <c r="E328" s="86">
        <f>GDPdeflator!$C$32*INDEX(Costs!$E$7:$O$89,MATCH($C328,Costs!$C$7:$C$89,0),MATCH(E$7,Costs!$E$6:$O$6,0))</f>
        <v>0</v>
      </c>
      <c r="F328" s="86">
        <f>GDPdeflator!$C$36*INDEX(Costs!$E$7:$O$89,MATCH($C328,Costs!$C$7:$C$89,0),MATCH(F$7,Costs!$E$6:$O$6,0))</f>
        <v>0</v>
      </c>
      <c r="G328" s="86">
        <f>GDPdeflator!$C$38*INDEX(Costs!$E$7:$O$89,MATCH($C328,Costs!$C$7:$C$89,0),MATCH(G$7,Costs!$E$6:$O$6,0))</f>
        <v>0</v>
      </c>
      <c r="H328" s="86">
        <f>GDPdeflator!$C$38*INDEX(Costs!$E$7:$O$89,MATCH($C328,Costs!$C$7:$C$89,0),MATCH(H$7,Costs!$E$6:$O$6,0))</f>
        <v>0</v>
      </c>
      <c r="I328" s="86">
        <f>GDPdeflator!$C$38*INDEX(Costs!$E$7:$O$89,MATCH($C328,Costs!$C$7:$C$89,0),MATCH(I$7,Costs!$E$6:$O$6,0))</f>
        <v>0</v>
      </c>
      <c r="J328" s="86">
        <f>GDPdeflator!$C$38*INDEX(Costs!$E$7:$O$89,MATCH($C328,Costs!$C$7:$C$89,0),MATCH(J$7,Costs!$E$6:$O$6,0))</f>
        <v>0</v>
      </c>
      <c r="K328" s="86">
        <f>GDPdeflator!$C$38*INDEX(Costs!$E$7:$O$89,MATCH($C328,Costs!$C$7:$C$89,0),MATCH(K$7,Costs!$E$6:$O$6,0))</f>
        <v>0</v>
      </c>
      <c r="L328" s="86">
        <f>GDPdeflator!$C$38*INDEX(Costs!$E$7:$O$89,MATCH($C328,Costs!$C$7:$C$89,0),MATCH(L$7,Costs!$E$6:$O$6,0))</f>
        <v>0</v>
      </c>
      <c r="M328" s="86">
        <f>GDPdeflator!$C$38*INDEX(Costs!$E$7:$O$89,MATCH($C328,Costs!$C$7:$C$89,0),MATCH(M$7,Costs!$E$6:$O$6,0))</f>
        <v>0</v>
      </c>
      <c r="N328" s="86">
        <f>GDPdeflator!$C$38*INDEX(Costs!$E$7:$O$89,MATCH($C328,Costs!$C$7:$C$89,0),MATCH(N$7,Costs!$E$6:$O$6,0))</f>
        <v>0</v>
      </c>
      <c r="O328" s="86">
        <f>GDPdeflator!$C$38*INDEX(Costs!$E$7:$O$89,MATCH($C328,Costs!$C$7:$C$89,0),MATCH(O$7,Costs!$E$6:$O$6,0))</f>
        <v>0</v>
      </c>
      <c r="P328" s="87">
        <f t="shared" si="173"/>
        <v>0</v>
      </c>
      <c r="Q328" s="87">
        <f t="shared" si="162"/>
        <v>0</v>
      </c>
      <c r="R328" s="87">
        <f t="shared" si="163"/>
        <v>0</v>
      </c>
      <c r="S328" s="87">
        <f t="shared" si="164"/>
        <v>0</v>
      </c>
      <c r="T328" s="87">
        <f t="shared" si="165"/>
        <v>0</v>
      </c>
      <c r="U328" s="87">
        <f t="shared" si="166"/>
        <v>0</v>
      </c>
      <c r="V328" s="87">
        <f t="shared" si="167"/>
        <v>0</v>
      </c>
      <c r="W328" s="87">
        <f t="shared" si="168"/>
        <v>0</v>
      </c>
      <c r="X328" s="87">
        <f t="shared" si="169"/>
        <v>0</v>
      </c>
      <c r="Y328" s="87">
        <f t="shared" si="170"/>
        <v>0</v>
      </c>
      <c r="Z328" s="87">
        <f t="shared" si="171"/>
        <v>0</v>
      </c>
      <c r="AA328" s="88">
        <v>495</v>
      </c>
      <c r="AB328" s="89">
        <f>AA328*GDPdeflator!$C$25/$AI$18*10^3</f>
        <v>47.594001775978647</v>
      </c>
      <c r="AC328" s="90" t="e">
        <f>INDEX(Efficiencies!$D$8:$M$89,MATCH(C328,Efficiencies!$C$8:$C$89),MATCH(D328,Efficiencies!$D$7:$M$7))</f>
        <v>#REF!</v>
      </c>
      <c r="AD328" s="90" t="e">
        <f t="shared" si="148"/>
        <v>#REF!</v>
      </c>
      <c r="AE328" s="90" t="e">
        <f>INDEX(Efficiencies!$P$8:$Y$89,MATCH(C328,Efficiencies!$C$8:$C$89),MATCH(D328,Efficiencies!$P$7:$Y$7))</f>
        <v>#REF!</v>
      </c>
      <c r="AF328" s="90" t="e">
        <f t="shared" si="150"/>
        <v>#REF!</v>
      </c>
      <c r="AG328" s="90">
        <v>0</v>
      </c>
    </row>
    <row r="329" spans="1:33" x14ac:dyDescent="0.2">
      <c r="A329" s="92" t="s">
        <v>1456</v>
      </c>
      <c r="B329" s="248" t="s">
        <v>1457</v>
      </c>
      <c r="C329" s="40" t="s">
        <v>1447</v>
      </c>
      <c r="D329" s="40">
        <v>2040</v>
      </c>
      <c r="E329" s="86">
        <f>GDPdeflator!$C$32*INDEX(Costs!$E$7:$O$89,MATCH($C329,Costs!$C$7:$C$89,0),MATCH(E$7,Costs!$E$6:$O$6,0))</f>
        <v>0</v>
      </c>
      <c r="F329" s="86">
        <f>GDPdeflator!$C$36*INDEX(Costs!$E$7:$O$89,MATCH($C329,Costs!$C$7:$C$89,0),MATCH(F$7,Costs!$E$6:$O$6,0))</f>
        <v>0</v>
      </c>
      <c r="G329" s="86">
        <f>GDPdeflator!$C$38*INDEX(Costs!$E$7:$O$89,MATCH($C329,Costs!$C$7:$C$89,0),MATCH(G$7,Costs!$E$6:$O$6,0))</f>
        <v>0</v>
      </c>
      <c r="H329" s="86">
        <f>GDPdeflator!$C$38*INDEX(Costs!$E$7:$O$89,MATCH($C329,Costs!$C$7:$C$89,0),MATCH(H$7,Costs!$E$6:$O$6,0))</f>
        <v>0</v>
      </c>
      <c r="I329" s="86">
        <f>GDPdeflator!$C$38*INDEX(Costs!$E$7:$O$89,MATCH($C329,Costs!$C$7:$C$89,0),MATCH(I$7,Costs!$E$6:$O$6,0))</f>
        <v>0</v>
      </c>
      <c r="J329" s="86">
        <f>GDPdeflator!$C$38*INDEX(Costs!$E$7:$O$89,MATCH($C329,Costs!$C$7:$C$89,0),MATCH(J$7,Costs!$E$6:$O$6,0))</f>
        <v>0</v>
      </c>
      <c r="K329" s="86">
        <f>GDPdeflator!$C$38*INDEX(Costs!$E$7:$O$89,MATCH($C329,Costs!$C$7:$C$89,0),MATCH(K$7,Costs!$E$6:$O$6,0))</f>
        <v>0</v>
      </c>
      <c r="L329" s="86">
        <f>GDPdeflator!$C$38*INDEX(Costs!$E$7:$O$89,MATCH($C329,Costs!$C$7:$C$89,0),MATCH(L$7,Costs!$E$6:$O$6,0))</f>
        <v>0</v>
      </c>
      <c r="M329" s="86">
        <f>GDPdeflator!$C$38*INDEX(Costs!$E$7:$O$89,MATCH($C329,Costs!$C$7:$C$89,0),MATCH(M$7,Costs!$E$6:$O$6,0))</f>
        <v>0</v>
      </c>
      <c r="N329" s="86">
        <f>GDPdeflator!$C$38*INDEX(Costs!$E$7:$O$89,MATCH($C329,Costs!$C$7:$C$89,0),MATCH(N$7,Costs!$E$6:$O$6,0))</f>
        <v>0</v>
      </c>
      <c r="O329" s="86">
        <f>GDPdeflator!$C$38*INDEX(Costs!$E$7:$O$89,MATCH($C329,Costs!$C$7:$C$89,0),MATCH(O$7,Costs!$E$6:$O$6,0))</f>
        <v>0</v>
      </c>
      <c r="P329" s="87">
        <f t="shared" si="173"/>
        <v>0</v>
      </c>
      <c r="Q329" s="87">
        <f t="shared" si="162"/>
        <v>0</v>
      </c>
      <c r="R329" s="87">
        <f t="shared" si="163"/>
        <v>0</v>
      </c>
      <c r="S329" s="87">
        <f t="shared" si="164"/>
        <v>0</v>
      </c>
      <c r="T329" s="87">
        <f t="shared" si="165"/>
        <v>0</v>
      </c>
      <c r="U329" s="87">
        <f t="shared" si="166"/>
        <v>0</v>
      </c>
      <c r="V329" s="87">
        <f t="shared" si="167"/>
        <v>0</v>
      </c>
      <c r="W329" s="87">
        <f t="shared" si="168"/>
        <v>0</v>
      </c>
      <c r="X329" s="87">
        <f t="shared" si="169"/>
        <v>0</v>
      </c>
      <c r="Y329" s="87">
        <f t="shared" si="170"/>
        <v>0</v>
      </c>
      <c r="Z329" s="87">
        <f t="shared" si="171"/>
        <v>0</v>
      </c>
      <c r="AA329" s="88">
        <v>495</v>
      </c>
      <c r="AB329" s="89">
        <f>AA329*GDPdeflator!$C$25/$AI$18*10^3</f>
        <v>47.594001775978647</v>
      </c>
      <c r="AC329" s="90" t="e">
        <f>INDEX(Efficiencies!$D$8:$M$89,MATCH(C329,Efficiencies!$C$8:$C$89),MATCH(D329,Efficiencies!$D$7:$M$7))</f>
        <v>#REF!</v>
      </c>
      <c r="AD329" s="90" t="e">
        <f t="shared" si="148"/>
        <v>#REF!</v>
      </c>
      <c r="AE329" s="90" t="e">
        <f>INDEX(Efficiencies!$P$8:$Y$89,MATCH(C329,Efficiencies!$C$8:$C$89),MATCH(D329,Efficiencies!$P$7:$Y$7))</f>
        <v>#REF!</v>
      </c>
      <c r="AF329" s="90" t="e">
        <f t="shared" si="150"/>
        <v>#REF!</v>
      </c>
      <c r="AG329" s="90">
        <v>0</v>
      </c>
    </row>
    <row r="330" spans="1:33" x14ac:dyDescent="0.2">
      <c r="A330" s="92" t="s">
        <v>1458</v>
      </c>
      <c r="B330" s="248" t="s">
        <v>1459</v>
      </c>
      <c r="C330" s="40" t="s">
        <v>1447</v>
      </c>
      <c r="D330" s="40">
        <v>2045</v>
      </c>
      <c r="E330" s="86">
        <f>GDPdeflator!$C$32*INDEX(Costs!$E$7:$O$89,MATCH($C330,Costs!$C$7:$C$89,0),MATCH(E$7,Costs!$E$6:$O$6,0))</f>
        <v>0</v>
      </c>
      <c r="F330" s="86">
        <f>GDPdeflator!$C$36*INDEX(Costs!$E$7:$O$89,MATCH($C330,Costs!$C$7:$C$89,0),MATCH(F$7,Costs!$E$6:$O$6,0))</f>
        <v>0</v>
      </c>
      <c r="G330" s="86">
        <f>GDPdeflator!$C$38*INDEX(Costs!$E$7:$O$89,MATCH($C330,Costs!$C$7:$C$89,0),MATCH(G$7,Costs!$E$6:$O$6,0))</f>
        <v>0</v>
      </c>
      <c r="H330" s="86">
        <f>GDPdeflator!$C$38*INDEX(Costs!$E$7:$O$89,MATCH($C330,Costs!$C$7:$C$89,0),MATCH(H$7,Costs!$E$6:$O$6,0))</f>
        <v>0</v>
      </c>
      <c r="I330" s="86">
        <f>GDPdeflator!$C$38*INDEX(Costs!$E$7:$O$89,MATCH($C330,Costs!$C$7:$C$89,0),MATCH(I$7,Costs!$E$6:$O$6,0))</f>
        <v>0</v>
      </c>
      <c r="J330" s="86">
        <f>GDPdeflator!$C$38*INDEX(Costs!$E$7:$O$89,MATCH($C330,Costs!$C$7:$C$89,0),MATCH(J$7,Costs!$E$6:$O$6,0))</f>
        <v>0</v>
      </c>
      <c r="K330" s="86">
        <f>GDPdeflator!$C$38*INDEX(Costs!$E$7:$O$89,MATCH($C330,Costs!$C$7:$C$89,0),MATCH(K$7,Costs!$E$6:$O$6,0))</f>
        <v>0</v>
      </c>
      <c r="L330" s="86">
        <f>GDPdeflator!$C$38*INDEX(Costs!$E$7:$O$89,MATCH($C330,Costs!$C$7:$C$89,0),MATCH(L$7,Costs!$E$6:$O$6,0))</f>
        <v>0</v>
      </c>
      <c r="M330" s="86">
        <f>GDPdeflator!$C$38*INDEX(Costs!$E$7:$O$89,MATCH($C330,Costs!$C$7:$C$89,0),MATCH(M$7,Costs!$E$6:$O$6,0))</f>
        <v>0</v>
      </c>
      <c r="N330" s="86">
        <f>GDPdeflator!$C$38*INDEX(Costs!$E$7:$O$89,MATCH($C330,Costs!$C$7:$C$89,0),MATCH(N$7,Costs!$E$6:$O$6,0))</f>
        <v>0</v>
      </c>
      <c r="O330" s="86">
        <f>GDPdeflator!$C$38*INDEX(Costs!$E$7:$O$89,MATCH($C330,Costs!$C$7:$C$89,0),MATCH(O$7,Costs!$E$6:$O$6,0))</f>
        <v>0</v>
      </c>
      <c r="P330" s="87">
        <f t="shared" si="173"/>
        <v>0</v>
      </c>
      <c r="Q330" s="87">
        <f t="shared" si="162"/>
        <v>0</v>
      </c>
      <c r="R330" s="87">
        <f t="shared" si="163"/>
        <v>0</v>
      </c>
      <c r="S330" s="87">
        <f t="shared" si="164"/>
        <v>0</v>
      </c>
      <c r="T330" s="87">
        <f t="shared" si="165"/>
        <v>0</v>
      </c>
      <c r="U330" s="87">
        <f t="shared" si="166"/>
        <v>0</v>
      </c>
      <c r="V330" s="87">
        <f t="shared" si="167"/>
        <v>0</v>
      </c>
      <c r="W330" s="87">
        <f t="shared" si="168"/>
        <v>0</v>
      </c>
      <c r="X330" s="87">
        <f t="shared" si="169"/>
        <v>0</v>
      </c>
      <c r="Y330" s="87">
        <f t="shared" si="170"/>
        <v>0</v>
      </c>
      <c r="Z330" s="87">
        <f t="shared" si="171"/>
        <v>0</v>
      </c>
      <c r="AA330" s="88">
        <v>495</v>
      </c>
      <c r="AB330" s="89">
        <f>AA330*GDPdeflator!$C$25/$AI$18*10^3</f>
        <v>47.594001775978647</v>
      </c>
      <c r="AC330" s="90" t="e">
        <f>INDEX(Efficiencies!$D$8:$M$89,MATCH(C330,Efficiencies!$C$8:$C$89),MATCH(D330,Efficiencies!$D$7:$M$7))</f>
        <v>#REF!</v>
      </c>
      <c r="AD330" s="90" t="e">
        <f t="shared" si="148"/>
        <v>#REF!</v>
      </c>
      <c r="AE330" s="90" t="e">
        <f>INDEX(Efficiencies!$P$8:$Y$89,MATCH(C330,Efficiencies!$C$8:$C$89),MATCH(D330,Efficiencies!$P$7:$Y$7))</f>
        <v>#REF!</v>
      </c>
      <c r="AF330" s="90" t="e">
        <f t="shared" si="150"/>
        <v>#REF!</v>
      </c>
      <c r="AG330" s="90">
        <v>0</v>
      </c>
    </row>
    <row r="331" spans="1:33" x14ac:dyDescent="0.2">
      <c r="A331" s="92" t="s">
        <v>1460</v>
      </c>
      <c r="B331" s="248" t="s">
        <v>1461</v>
      </c>
      <c r="C331" s="40" t="s">
        <v>1447</v>
      </c>
      <c r="D331" s="40">
        <v>2050</v>
      </c>
      <c r="E331" s="86">
        <f>GDPdeflator!$C$32*INDEX(Costs!$E$7:$O$89,MATCH($C331,Costs!$C$7:$C$89,0),MATCH(E$7,Costs!$E$6:$O$6,0))</f>
        <v>0</v>
      </c>
      <c r="F331" s="86">
        <f>GDPdeflator!$C$36*INDEX(Costs!$E$7:$O$89,MATCH($C331,Costs!$C$7:$C$89,0),MATCH(F$7,Costs!$E$6:$O$6,0))</f>
        <v>0</v>
      </c>
      <c r="G331" s="86">
        <f>GDPdeflator!$C$38*INDEX(Costs!$E$7:$O$89,MATCH($C331,Costs!$C$7:$C$89,0),MATCH(G$7,Costs!$E$6:$O$6,0))</f>
        <v>0</v>
      </c>
      <c r="H331" s="86">
        <f>GDPdeflator!$C$38*INDEX(Costs!$E$7:$O$89,MATCH($C331,Costs!$C$7:$C$89,0),MATCH(H$7,Costs!$E$6:$O$6,0))</f>
        <v>0</v>
      </c>
      <c r="I331" s="86">
        <f>GDPdeflator!$C$38*INDEX(Costs!$E$7:$O$89,MATCH($C331,Costs!$C$7:$C$89,0),MATCH(I$7,Costs!$E$6:$O$6,0))</f>
        <v>0</v>
      </c>
      <c r="J331" s="86">
        <f>GDPdeflator!$C$38*INDEX(Costs!$E$7:$O$89,MATCH($C331,Costs!$C$7:$C$89,0),MATCH(J$7,Costs!$E$6:$O$6,0))</f>
        <v>0</v>
      </c>
      <c r="K331" s="86">
        <f>GDPdeflator!$C$38*INDEX(Costs!$E$7:$O$89,MATCH($C331,Costs!$C$7:$C$89,0),MATCH(K$7,Costs!$E$6:$O$6,0))</f>
        <v>0</v>
      </c>
      <c r="L331" s="86">
        <f>GDPdeflator!$C$38*INDEX(Costs!$E$7:$O$89,MATCH($C331,Costs!$C$7:$C$89,0),MATCH(L$7,Costs!$E$6:$O$6,0))</f>
        <v>0</v>
      </c>
      <c r="M331" s="86">
        <f>GDPdeflator!$C$38*INDEX(Costs!$E$7:$O$89,MATCH($C331,Costs!$C$7:$C$89,0),MATCH(M$7,Costs!$E$6:$O$6,0))</f>
        <v>0</v>
      </c>
      <c r="N331" s="86">
        <f>GDPdeflator!$C$38*INDEX(Costs!$E$7:$O$89,MATCH($C331,Costs!$C$7:$C$89,0),MATCH(N$7,Costs!$E$6:$O$6,0))</f>
        <v>0</v>
      </c>
      <c r="O331" s="86">
        <f>GDPdeflator!$C$38*INDEX(Costs!$E$7:$O$89,MATCH($C331,Costs!$C$7:$C$89,0),MATCH(O$7,Costs!$E$6:$O$6,0))</f>
        <v>0</v>
      </c>
      <c r="P331" s="87">
        <f t="shared" si="173"/>
        <v>0</v>
      </c>
      <c r="Q331" s="87">
        <f t="shared" si="162"/>
        <v>0</v>
      </c>
      <c r="R331" s="87">
        <f t="shared" si="163"/>
        <v>0</v>
      </c>
      <c r="S331" s="87">
        <f t="shared" si="164"/>
        <v>0</v>
      </c>
      <c r="T331" s="87">
        <f t="shared" si="165"/>
        <v>0</v>
      </c>
      <c r="U331" s="87">
        <f t="shared" si="166"/>
        <v>0</v>
      </c>
      <c r="V331" s="87">
        <f t="shared" si="167"/>
        <v>0</v>
      </c>
      <c r="W331" s="87">
        <f t="shared" si="168"/>
        <v>0</v>
      </c>
      <c r="X331" s="87">
        <f t="shared" si="169"/>
        <v>0</v>
      </c>
      <c r="Y331" s="87">
        <f t="shared" si="170"/>
        <v>0</v>
      </c>
      <c r="Z331" s="87">
        <f t="shared" si="171"/>
        <v>0</v>
      </c>
      <c r="AA331" s="88">
        <v>495</v>
      </c>
      <c r="AB331" s="89">
        <f>AA331*GDPdeflator!$C$25/$AI$18*10^3</f>
        <v>47.594001775978647</v>
      </c>
      <c r="AC331" s="90" t="e">
        <f>INDEX(Efficiencies!$D$8:$M$89,MATCH(C331,Efficiencies!$C$8:$C$89),MATCH(D331,Efficiencies!$D$7:$M$7))</f>
        <v>#REF!</v>
      </c>
      <c r="AD331" s="90" t="e">
        <f t="shared" si="148"/>
        <v>#REF!</v>
      </c>
      <c r="AE331" s="90" t="e">
        <f>INDEX(Efficiencies!$P$8:$Y$89,MATCH(C331,Efficiencies!$C$8:$C$89),MATCH(D331,Efficiencies!$P$7:$Y$7))</f>
        <v>#REF!</v>
      </c>
      <c r="AF331" s="90" t="e">
        <f t="shared" si="150"/>
        <v>#REF!</v>
      </c>
      <c r="AG331" s="90">
        <v>0</v>
      </c>
    </row>
    <row r="332" spans="1:33" x14ac:dyDescent="0.2">
      <c r="A332" s="92" t="s">
        <v>1462</v>
      </c>
      <c r="B332" s="248" t="s">
        <v>1463</v>
      </c>
      <c r="C332" s="40" t="s">
        <v>1464</v>
      </c>
      <c r="D332" s="40">
        <v>2015</v>
      </c>
      <c r="E332" s="86">
        <f>GDPdeflator!$C$32*INDEX(Costs!$E$7:$O$89,MATCH($C332,Costs!$C$7:$C$89,0),MATCH(E$7,Costs!$E$6:$O$6,0))</f>
        <v>0</v>
      </c>
      <c r="F332" s="86">
        <f>GDPdeflator!$C$36*INDEX(Costs!$E$7:$O$89,MATCH($C332,Costs!$C$7:$C$89,0),MATCH(F$7,Costs!$E$6:$O$6,0))</f>
        <v>0</v>
      </c>
      <c r="G332" s="86">
        <f>GDPdeflator!$C$38*INDEX(Costs!$E$7:$O$89,MATCH($C332,Costs!$C$7:$C$89,0),MATCH(G$7,Costs!$E$6:$O$6,0))</f>
        <v>78.225904173253852</v>
      </c>
      <c r="H332" s="86">
        <f>GDPdeflator!$C$38*INDEX(Costs!$E$7:$O$89,MATCH($C332,Costs!$C$7:$C$89,0),MATCH(H$7,Costs!$E$6:$O$6,0))</f>
        <v>65.522627092817288</v>
      </c>
      <c r="I332" s="86">
        <f>GDPdeflator!$C$38*INDEX(Costs!$E$7:$O$89,MATCH($C332,Costs!$C$7:$C$89,0),MATCH(I$7,Costs!$E$6:$O$6,0))</f>
        <v>55.167266052075199</v>
      </c>
      <c r="J332" s="86">
        <f>GDPdeflator!$C$38*INDEX(Costs!$E$7:$O$89,MATCH($C332,Costs!$C$7:$C$89,0),MATCH(J$7,Costs!$E$6:$O$6,0))</f>
        <v>49.770563513075942</v>
      </c>
      <c r="K332" s="86">
        <f>GDPdeflator!$C$38*INDEX(Costs!$E$7:$O$89,MATCH($C332,Costs!$C$7:$C$89,0),MATCH(K$7,Costs!$E$6:$O$6,0))</f>
        <v>45.547818993923926</v>
      </c>
      <c r="L332" s="86">
        <f>GDPdeflator!$C$38*INDEX(Costs!$E$7:$O$89,MATCH($C332,Costs!$C$7:$C$89,0),MATCH(L$7,Costs!$E$6:$O$6,0))</f>
        <v>42.201162549284774</v>
      </c>
      <c r="M332" s="86">
        <f>GDPdeflator!$C$38*INDEX(Costs!$E$7:$O$89,MATCH($C332,Costs!$C$7:$C$89,0),MATCH(M$7,Costs!$E$6:$O$6,0))</f>
        <v>42.201162549284774</v>
      </c>
      <c r="N332" s="86">
        <f>GDPdeflator!$C$38*INDEX(Costs!$E$7:$O$89,MATCH($C332,Costs!$C$7:$C$89,0),MATCH(N$7,Costs!$E$6:$O$6,0))</f>
        <v>42.201162549284774</v>
      </c>
      <c r="O332" s="86">
        <f>GDPdeflator!$C$38*INDEX(Costs!$E$7:$O$89,MATCH($C332,Costs!$C$7:$C$89,0),MATCH(O$7,Costs!$E$6:$O$6,0))</f>
        <v>42.201162549284774</v>
      </c>
      <c r="P332" s="87">
        <f>E332/$AI$18*10^6</f>
        <v>0</v>
      </c>
      <c r="Q332" s="87">
        <f t="shared" si="162"/>
        <v>0</v>
      </c>
      <c r="R332" s="87">
        <f t="shared" si="163"/>
        <v>6531.7180865271994</v>
      </c>
      <c r="S332" s="87">
        <f t="shared" si="164"/>
        <v>5471.0179828801574</v>
      </c>
      <c r="T332" s="87">
        <f t="shared" si="165"/>
        <v>4606.3645190796024</v>
      </c>
      <c r="U332" s="87">
        <f t="shared" si="166"/>
        <v>4155.749854357824</v>
      </c>
      <c r="V332" s="87">
        <f t="shared" si="167"/>
        <v>3803.1585095592905</v>
      </c>
      <c r="W332" s="87">
        <f t="shared" si="168"/>
        <v>3523.7188960467593</v>
      </c>
      <c r="X332" s="87">
        <f t="shared" si="169"/>
        <v>3523.7188960467593</v>
      </c>
      <c r="Y332" s="87">
        <f t="shared" si="170"/>
        <v>3523.7188960467593</v>
      </c>
      <c r="Z332" s="87">
        <f t="shared" si="171"/>
        <v>3523.7188960467593</v>
      </c>
      <c r="AA332" s="88">
        <v>495</v>
      </c>
      <c r="AB332" s="89">
        <f>AA332*GDPdeflator!$C$25/$AI$18*10^3</f>
        <v>47.594001775978647</v>
      </c>
      <c r="AC332" s="90" t="e">
        <f>INDEX(Efficiencies!$D$8:$M$89,MATCH(C332,Efficiencies!$C$8:$C$89),MATCH(D332,Efficiencies!$D$7:$M$7))</f>
        <v>#REF!</v>
      </c>
      <c r="AD332" s="90" t="e">
        <f t="shared" si="148"/>
        <v>#REF!</v>
      </c>
      <c r="AE332" s="90" t="e">
        <f>INDEX(Efficiencies!$P$8:$Y$89,MATCH(C332,Efficiencies!$C$8:$C$89),MATCH(D332,Efficiencies!$P$7:$Y$7))</f>
        <v>#REF!</v>
      </c>
      <c r="AF332" s="90" t="e">
        <f t="shared" si="150"/>
        <v>#REF!</v>
      </c>
      <c r="AG332" s="90">
        <v>0</v>
      </c>
    </row>
    <row r="333" spans="1:33" x14ac:dyDescent="0.2">
      <c r="A333" s="92" t="s">
        <v>1465</v>
      </c>
      <c r="B333" s="248" t="s">
        <v>1466</v>
      </c>
      <c r="C333" s="40" t="s">
        <v>1464</v>
      </c>
      <c r="D333" s="40">
        <v>2020</v>
      </c>
      <c r="E333" s="86">
        <f>GDPdeflator!$C$32*INDEX(Costs!$E$7:$O$89,MATCH($C333,Costs!$C$7:$C$89,0),MATCH(E$7,Costs!$E$6:$O$6,0))</f>
        <v>0</v>
      </c>
      <c r="F333" s="86">
        <f>GDPdeflator!$C$36*INDEX(Costs!$E$7:$O$89,MATCH($C333,Costs!$C$7:$C$89,0),MATCH(F$7,Costs!$E$6:$O$6,0))</f>
        <v>0</v>
      </c>
      <c r="G333" s="86">
        <f>GDPdeflator!$C$38*INDEX(Costs!$E$7:$O$89,MATCH($C333,Costs!$C$7:$C$89,0),MATCH(G$7,Costs!$E$6:$O$6,0))</f>
        <v>78.225904173253852</v>
      </c>
      <c r="H333" s="86">
        <f>GDPdeflator!$C$38*INDEX(Costs!$E$7:$O$89,MATCH($C333,Costs!$C$7:$C$89,0),MATCH(H$7,Costs!$E$6:$O$6,0))</f>
        <v>65.522627092817288</v>
      </c>
      <c r="I333" s="86">
        <f>GDPdeflator!$C$38*INDEX(Costs!$E$7:$O$89,MATCH($C333,Costs!$C$7:$C$89,0),MATCH(I$7,Costs!$E$6:$O$6,0))</f>
        <v>55.167266052075199</v>
      </c>
      <c r="J333" s="86">
        <f>GDPdeflator!$C$38*INDEX(Costs!$E$7:$O$89,MATCH($C333,Costs!$C$7:$C$89,0),MATCH(J$7,Costs!$E$6:$O$6,0))</f>
        <v>49.770563513075942</v>
      </c>
      <c r="K333" s="86">
        <f>GDPdeflator!$C$38*INDEX(Costs!$E$7:$O$89,MATCH($C333,Costs!$C$7:$C$89,0),MATCH(K$7,Costs!$E$6:$O$6,0))</f>
        <v>45.547818993923926</v>
      </c>
      <c r="L333" s="86">
        <f>GDPdeflator!$C$38*INDEX(Costs!$E$7:$O$89,MATCH($C333,Costs!$C$7:$C$89,0),MATCH(L$7,Costs!$E$6:$O$6,0))</f>
        <v>42.201162549284774</v>
      </c>
      <c r="M333" s="86">
        <f>GDPdeflator!$C$38*INDEX(Costs!$E$7:$O$89,MATCH($C333,Costs!$C$7:$C$89,0),MATCH(M$7,Costs!$E$6:$O$6,0))</f>
        <v>42.201162549284774</v>
      </c>
      <c r="N333" s="86">
        <f>GDPdeflator!$C$38*INDEX(Costs!$E$7:$O$89,MATCH($C333,Costs!$C$7:$C$89,0),MATCH(N$7,Costs!$E$6:$O$6,0))</f>
        <v>42.201162549284774</v>
      </c>
      <c r="O333" s="86">
        <f>GDPdeflator!$C$38*INDEX(Costs!$E$7:$O$89,MATCH($C333,Costs!$C$7:$C$89,0),MATCH(O$7,Costs!$E$6:$O$6,0))</f>
        <v>42.201162549284774</v>
      </c>
      <c r="P333" s="87">
        <f t="shared" ref="P333:P339" si="174">E333/$AI$18*10^6</f>
        <v>0</v>
      </c>
      <c r="Q333" s="87">
        <f t="shared" ref="Q333:Q340" si="175">F333/$AI$18*10^6</f>
        <v>0</v>
      </c>
      <c r="R333" s="87">
        <f t="shared" ref="R333:R340" si="176">G333/$AI$18*10^6</f>
        <v>6531.7180865271994</v>
      </c>
      <c r="S333" s="87">
        <f t="shared" ref="S333:S340" si="177">H333/$AI$18*10^6</f>
        <v>5471.0179828801574</v>
      </c>
      <c r="T333" s="87">
        <f t="shared" ref="T333:T340" si="178">I333/$AI$18*10^6</f>
        <v>4606.3645190796024</v>
      </c>
      <c r="U333" s="87">
        <f t="shared" ref="U333:U340" si="179">J333/$AI$18*10^6</f>
        <v>4155.749854357824</v>
      </c>
      <c r="V333" s="87">
        <f t="shared" ref="V333:V340" si="180">K333/$AI$18*10^6</f>
        <v>3803.1585095592905</v>
      </c>
      <c r="W333" s="87">
        <f t="shared" ref="W333:W340" si="181">L333/$AI$18*10^6</f>
        <v>3523.7188960467593</v>
      </c>
      <c r="X333" s="87">
        <f t="shared" ref="X333:X340" si="182">M333/$AI$18*10^6</f>
        <v>3523.7188960467593</v>
      </c>
      <c r="Y333" s="87">
        <f t="shared" ref="Y333:Y340" si="183">N333/$AI$18*10^6</f>
        <v>3523.7188960467593</v>
      </c>
      <c r="Z333" s="87">
        <f t="shared" ref="Z333:Z340" si="184">O333/$AI$18*10^6</f>
        <v>3523.7188960467593</v>
      </c>
      <c r="AA333" s="88">
        <v>495</v>
      </c>
      <c r="AB333" s="89">
        <f>AA333*GDPdeflator!$C$25/$AI$18*10^3</f>
        <v>47.594001775978647</v>
      </c>
      <c r="AC333" s="90" t="e">
        <f>INDEX(Efficiencies!$D$8:$M$89,MATCH(C333,Efficiencies!$C$8:$C$89),MATCH(D333,Efficiencies!$D$7:$M$7))</f>
        <v>#REF!</v>
      </c>
      <c r="AD333" s="90" t="e">
        <f t="shared" si="148"/>
        <v>#REF!</v>
      </c>
      <c r="AE333" s="90" t="e">
        <f>INDEX(Efficiencies!$P$8:$Y$89,MATCH(C333,Efficiencies!$C$8:$C$89),MATCH(D333,Efficiencies!$P$7:$Y$7))</f>
        <v>#REF!</v>
      </c>
      <c r="AF333" s="90" t="e">
        <f t="shared" si="150"/>
        <v>#REF!</v>
      </c>
      <c r="AG333" s="90">
        <v>0</v>
      </c>
    </row>
    <row r="334" spans="1:33" x14ac:dyDescent="0.2">
      <c r="A334" s="92" t="s">
        <v>1467</v>
      </c>
      <c r="B334" s="248" t="s">
        <v>1468</v>
      </c>
      <c r="C334" s="40" t="s">
        <v>1464</v>
      </c>
      <c r="D334" s="40">
        <v>2025</v>
      </c>
      <c r="E334" s="86">
        <f>GDPdeflator!$C$32*INDEX(Costs!$E$7:$O$89,MATCH($C334,Costs!$C$7:$C$89,0),MATCH(E$7,Costs!$E$6:$O$6,0))</f>
        <v>0</v>
      </c>
      <c r="F334" s="86">
        <f>GDPdeflator!$C$36*INDEX(Costs!$E$7:$O$89,MATCH($C334,Costs!$C$7:$C$89,0),MATCH(F$7,Costs!$E$6:$O$6,0))</f>
        <v>0</v>
      </c>
      <c r="G334" s="86">
        <f>GDPdeflator!$C$38*INDEX(Costs!$E$7:$O$89,MATCH($C334,Costs!$C$7:$C$89,0),MATCH(G$7,Costs!$E$6:$O$6,0))</f>
        <v>78.225904173253852</v>
      </c>
      <c r="H334" s="86">
        <f>GDPdeflator!$C$38*INDEX(Costs!$E$7:$O$89,MATCH($C334,Costs!$C$7:$C$89,0),MATCH(H$7,Costs!$E$6:$O$6,0))</f>
        <v>65.522627092817288</v>
      </c>
      <c r="I334" s="86">
        <f>GDPdeflator!$C$38*INDEX(Costs!$E$7:$O$89,MATCH($C334,Costs!$C$7:$C$89,0),MATCH(I$7,Costs!$E$6:$O$6,0))</f>
        <v>55.167266052075199</v>
      </c>
      <c r="J334" s="86">
        <f>GDPdeflator!$C$38*INDEX(Costs!$E$7:$O$89,MATCH($C334,Costs!$C$7:$C$89,0),MATCH(J$7,Costs!$E$6:$O$6,0))</f>
        <v>49.770563513075942</v>
      </c>
      <c r="K334" s="86">
        <f>GDPdeflator!$C$38*INDEX(Costs!$E$7:$O$89,MATCH($C334,Costs!$C$7:$C$89,0),MATCH(K$7,Costs!$E$6:$O$6,0))</f>
        <v>45.547818993923926</v>
      </c>
      <c r="L334" s="86">
        <f>GDPdeflator!$C$38*INDEX(Costs!$E$7:$O$89,MATCH($C334,Costs!$C$7:$C$89,0),MATCH(L$7,Costs!$E$6:$O$6,0))</f>
        <v>42.201162549284774</v>
      </c>
      <c r="M334" s="86">
        <f>GDPdeflator!$C$38*INDEX(Costs!$E$7:$O$89,MATCH($C334,Costs!$C$7:$C$89,0),MATCH(M$7,Costs!$E$6:$O$6,0))</f>
        <v>42.201162549284774</v>
      </c>
      <c r="N334" s="86">
        <f>GDPdeflator!$C$38*INDEX(Costs!$E$7:$O$89,MATCH($C334,Costs!$C$7:$C$89,0),MATCH(N$7,Costs!$E$6:$O$6,0))</f>
        <v>42.201162549284774</v>
      </c>
      <c r="O334" s="86">
        <f>GDPdeflator!$C$38*INDEX(Costs!$E$7:$O$89,MATCH($C334,Costs!$C$7:$C$89,0),MATCH(O$7,Costs!$E$6:$O$6,0))</f>
        <v>42.201162549284774</v>
      </c>
      <c r="P334" s="87">
        <f t="shared" si="174"/>
        <v>0</v>
      </c>
      <c r="Q334" s="87">
        <f t="shared" si="175"/>
        <v>0</v>
      </c>
      <c r="R334" s="87">
        <f t="shared" si="176"/>
        <v>6531.7180865271994</v>
      </c>
      <c r="S334" s="87">
        <f t="shared" si="177"/>
        <v>5471.0179828801574</v>
      </c>
      <c r="T334" s="87">
        <f t="shared" si="178"/>
        <v>4606.3645190796024</v>
      </c>
      <c r="U334" s="87">
        <f t="shared" si="179"/>
        <v>4155.749854357824</v>
      </c>
      <c r="V334" s="87">
        <f t="shared" si="180"/>
        <v>3803.1585095592905</v>
      </c>
      <c r="W334" s="87">
        <f t="shared" si="181"/>
        <v>3523.7188960467593</v>
      </c>
      <c r="X334" s="87">
        <f t="shared" si="182"/>
        <v>3523.7188960467593</v>
      </c>
      <c r="Y334" s="87">
        <f t="shared" si="183"/>
        <v>3523.7188960467593</v>
      </c>
      <c r="Z334" s="87">
        <f t="shared" si="184"/>
        <v>3523.7188960467593</v>
      </c>
      <c r="AA334" s="88">
        <v>495</v>
      </c>
      <c r="AB334" s="89">
        <f>AA334*GDPdeflator!$C$25/$AI$18*10^3</f>
        <v>47.594001775978647</v>
      </c>
      <c r="AC334" s="90" t="e">
        <f>INDEX(Efficiencies!$D$8:$M$89,MATCH(C334,Efficiencies!$C$8:$C$89),MATCH(D334,Efficiencies!$D$7:$M$7))</f>
        <v>#REF!</v>
      </c>
      <c r="AD334" s="90" t="e">
        <f t="shared" si="148"/>
        <v>#REF!</v>
      </c>
      <c r="AE334" s="90" t="e">
        <f>INDEX(Efficiencies!$P$8:$Y$89,MATCH(C334,Efficiencies!$C$8:$C$89),MATCH(D334,Efficiencies!$P$7:$Y$7))</f>
        <v>#REF!</v>
      </c>
      <c r="AF334" s="90" t="e">
        <f t="shared" si="150"/>
        <v>#REF!</v>
      </c>
      <c r="AG334" s="90">
        <v>0</v>
      </c>
    </row>
    <row r="335" spans="1:33" x14ac:dyDescent="0.2">
      <c r="A335" s="92" t="s">
        <v>1469</v>
      </c>
      <c r="B335" s="248" t="s">
        <v>1470</v>
      </c>
      <c r="C335" s="40" t="s">
        <v>1464</v>
      </c>
      <c r="D335" s="40">
        <v>2030</v>
      </c>
      <c r="E335" s="86">
        <f>GDPdeflator!$C$32*INDEX(Costs!$E$7:$O$89,MATCH($C335,Costs!$C$7:$C$89,0),MATCH(E$7,Costs!$E$6:$O$6,0))</f>
        <v>0</v>
      </c>
      <c r="F335" s="86">
        <f>GDPdeflator!$C$36*INDEX(Costs!$E$7:$O$89,MATCH($C335,Costs!$C$7:$C$89,0),MATCH(F$7,Costs!$E$6:$O$6,0))</f>
        <v>0</v>
      </c>
      <c r="G335" s="86">
        <f>GDPdeflator!$C$38*INDEX(Costs!$E$7:$O$89,MATCH($C335,Costs!$C$7:$C$89,0),MATCH(G$7,Costs!$E$6:$O$6,0))</f>
        <v>78.225904173253852</v>
      </c>
      <c r="H335" s="86">
        <f>GDPdeflator!$C$38*INDEX(Costs!$E$7:$O$89,MATCH($C335,Costs!$C$7:$C$89,0),MATCH(H$7,Costs!$E$6:$O$6,0))</f>
        <v>65.522627092817288</v>
      </c>
      <c r="I335" s="86">
        <f>GDPdeflator!$C$38*INDEX(Costs!$E$7:$O$89,MATCH($C335,Costs!$C$7:$C$89,0),MATCH(I$7,Costs!$E$6:$O$6,0))</f>
        <v>55.167266052075199</v>
      </c>
      <c r="J335" s="86">
        <f>GDPdeflator!$C$38*INDEX(Costs!$E$7:$O$89,MATCH($C335,Costs!$C$7:$C$89,0),MATCH(J$7,Costs!$E$6:$O$6,0))</f>
        <v>49.770563513075942</v>
      </c>
      <c r="K335" s="86">
        <f>GDPdeflator!$C$38*INDEX(Costs!$E$7:$O$89,MATCH($C335,Costs!$C$7:$C$89,0),MATCH(K$7,Costs!$E$6:$O$6,0))</f>
        <v>45.547818993923926</v>
      </c>
      <c r="L335" s="86">
        <f>GDPdeflator!$C$38*INDEX(Costs!$E$7:$O$89,MATCH($C335,Costs!$C$7:$C$89,0),MATCH(L$7,Costs!$E$6:$O$6,0))</f>
        <v>42.201162549284774</v>
      </c>
      <c r="M335" s="86">
        <f>GDPdeflator!$C$38*INDEX(Costs!$E$7:$O$89,MATCH($C335,Costs!$C$7:$C$89,0),MATCH(M$7,Costs!$E$6:$O$6,0))</f>
        <v>42.201162549284774</v>
      </c>
      <c r="N335" s="86">
        <f>GDPdeflator!$C$38*INDEX(Costs!$E$7:$O$89,MATCH($C335,Costs!$C$7:$C$89,0),MATCH(N$7,Costs!$E$6:$O$6,0))</f>
        <v>42.201162549284774</v>
      </c>
      <c r="O335" s="86">
        <f>GDPdeflator!$C$38*INDEX(Costs!$E$7:$O$89,MATCH($C335,Costs!$C$7:$C$89,0),MATCH(O$7,Costs!$E$6:$O$6,0))</f>
        <v>42.201162549284774</v>
      </c>
      <c r="P335" s="87">
        <f t="shared" si="174"/>
        <v>0</v>
      </c>
      <c r="Q335" s="87">
        <f t="shared" si="175"/>
        <v>0</v>
      </c>
      <c r="R335" s="87">
        <f t="shared" si="176"/>
        <v>6531.7180865271994</v>
      </c>
      <c r="S335" s="87">
        <f t="shared" si="177"/>
        <v>5471.0179828801574</v>
      </c>
      <c r="T335" s="87">
        <f t="shared" si="178"/>
        <v>4606.3645190796024</v>
      </c>
      <c r="U335" s="87">
        <f t="shared" si="179"/>
        <v>4155.749854357824</v>
      </c>
      <c r="V335" s="87">
        <f t="shared" si="180"/>
        <v>3803.1585095592905</v>
      </c>
      <c r="W335" s="87">
        <f t="shared" si="181"/>
        <v>3523.7188960467593</v>
      </c>
      <c r="X335" s="87">
        <f t="shared" si="182"/>
        <v>3523.7188960467593</v>
      </c>
      <c r="Y335" s="87">
        <f t="shared" si="183"/>
        <v>3523.7188960467593</v>
      </c>
      <c r="Z335" s="87">
        <f t="shared" si="184"/>
        <v>3523.7188960467593</v>
      </c>
      <c r="AA335" s="88">
        <v>495</v>
      </c>
      <c r="AB335" s="89">
        <f>AA335*GDPdeflator!$C$25/$AI$18*10^3</f>
        <v>47.594001775978647</v>
      </c>
      <c r="AC335" s="90" t="e">
        <f>INDEX(Efficiencies!$D$8:$M$89,MATCH(C335,Efficiencies!$C$8:$C$89),MATCH(D335,Efficiencies!$D$7:$M$7))</f>
        <v>#REF!</v>
      </c>
      <c r="AD335" s="90" t="e">
        <f t="shared" si="148"/>
        <v>#REF!</v>
      </c>
      <c r="AE335" s="90" t="e">
        <f>INDEX(Efficiencies!$P$8:$Y$89,MATCH(C335,Efficiencies!$C$8:$C$89),MATCH(D335,Efficiencies!$P$7:$Y$7))</f>
        <v>#REF!</v>
      </c>
      <c r="AF335" s="90" t="e">
        <f t="shared" si="150"/>
        <v>#REF!</v>
      </c>
      <c r="AG335" s="90">
        <v>0</v>
      </c>
    </row>
    <row r="336" spans="1:33" x14ac:dyDescent="0.2">
      <c r="A336" s="92" t="s">
        <v>1471</v>
      </c>
      <c r="B336" s="248" t="s">
        <v>1472</v>
      </c>
      <c r="C336" s="40" t="s">
        <v>1464</v>
      </c>
      <c r="D336" s="40">
        <v>2035</v>
      </c>
      <c r="E336" s="86">
        <f>GDPdeflator!$C$32*INDEX(Costs!$E$7:$O$89,MATCH($C336,Costs!$C$7:$C$89,0),MATCH(E$7,Costs!$E$6:$O$6,0))</f>
        <v>0</v>
      </c>
      <c r="F336" s="86">
        <f>GDPdeflator!$C$36*INDEX(Costs!$E$7:$O$89,MATCH($C336,Costs!$C$7:$C$89,0),MATCH(F$7,Costs!$E$6:$O$6,0))</f>
        <v>0</v>
      </c>
      <c r="G336" s="86">
        <f>GDPdeflator!$C$38*INDEX(Costs!$E$7:$O$89,MATCH($C336,Costs!$C$7:$C$89,0),MATCH(G$7,Costs!$E$6:$O$6,0))</f>
        <v>78.225904173253852</v>
      </c>
      <c r="H336" s="86">
        <f>GDPdeflator!$C$38*INDEX(Costs!$E$7:$O$89,MATCH($C336,Costs!$C$7:$C$89,0),MATCH(H$7,Costs!$E$6:$O$6,0))</f>
        <v>65.522627092817288</v>
      </c>
      <c r="I336" s="86">
        <f>GDPdeflator!$C$38*INDEX(Costs!$E$7:$O$89,MATCH($C336,Costs!$C$7:$C$89,0),MATCH(I$7,Costs!$E$6:$O$6,0))</f>
        <v>55.167266052075199</v>
      </c>
      <c r="J336" s="86">
        <f>GDPdeflator!$C$38*INDEX(Costs!$E$7:$O$89,MATCH($C336,Costs!$C$7:$C$89,0),MATCH(J$7,Costs!$E$6:$O$6,0))</f>
        <v>49.770563513075942</v>
      </c>
      <c r="K336" s="86">
        <f>GDPdeflator!$C$38*INDEX(Costs!$E$7:$O$89,MATCH($C336,Costs!$C$7:$C$89,0),MATCH(K$7,Costs!$E$6:$O$6,0))</f>
        <v>45.547818993923926</v>
      </c>
      <c r="L336" s="86">
        <f>GDPdeflator!$C$38*INDEX(Costs!$E$7:$O$89,MATCH($C336,Costs!$C$7:$C$89,0),MATCH(L$7,Costs!$E$6:$O$6,0))</f>
        <v>42.201162549284774</v>
      </c>
      <c r="M336" s="86">
        <f>GDPdeflator!$C$38*INDEX(Costs!$E$7:$O$89,MATCH($C336,Costs!$C$7:$C$89,0),MATCH(M$7,Costs!$E$6:$O$6,0))</f>
        <v>42.201162549284774</v>
      </c>
      <c r="N336" s="86">
        <f>GDPdeflator!$C$38*INDEX(Costs!$E$7:$O$89,MATCH($C336,Costs!$C$7:$C$89,0),MATCH(N$7,Costs!$E$6:$O$6,0))</f>
        <v>42.201162549284774</v>
      </c>
      <c r="O336" s="86">
        <f>GDPdeflator!$C$38*INDEX(Costs!$E$7:$O$89,MATCH($C336,Costs!$C$7:$C$89,0),MATCH(O$7,Costs!$E$6:$O$6,0))</f>
        <v>42.201162549284774</v>
      </c>
      <c r="P336" s="87">
        <f t="shared" si="174"/>
        <v>0</v>
      </c>
      <c r="Q336" s="87">
        <f t="shared" si="175"/>
        <v>0</v>
      </c>
      <c r="R336" s="87">
        <f t="shared" si="176"/>
        <v>6531.7180865271994</v>
      </c>
      <c r="S336" s="87">
        <f t="shared" si="177"/>
        <v>5471.0179828801574</v>
      </c>
      <c r="T336" s="87">
        <f t="shared" si="178"/>
        <v>4606.3645190796024</v>
      </c>
      <c r="U336" s="87">
        <f t="shared" si="179"/>
        <v>4155.749854357824</v>
      </c>
      <c r="V336" s="87">
        <f t="shared" si="180"/>
        <v>3803.1585095592905</v>
      </c>
      <c r="W336" s="87">
        <f t="shared" si="181"/>
        <v>3523.7188960467593</v>
      </c>
      <c r="X336" s="87">
        <f t="shared" si="182"/>
        <v>3523.7188960467593</v>
      </c>
      <c r="Y336" s="87">
        <f t="shared" si="183"/>
        <v>3523.7188960467593</v>
      </c>
      <c r="Z336" s="87">
        <f t="shared" si="184"/>
        <v>3523.7188960467593</v>
      </c>
      <c r="AA336" s="88">
        <v>495</v>
      </c>
      <c r="AB336" s="89">
        <f>AA336*GDPdeflator!$C$25/$AI$18*10^3</f>
        <v>47.594001775978647</v>
      </c>
      <c r="AC336" s="90" t="e">
        <f>INDEX(Efficiencies!$D$8:$M$89,MATCH(C336,Efficiencies!$C$8:$C$89),MATCH(D336,Efficiencies!$D$7:$M$7))</f>
        <v>#REF!</v>
      </c>
      <c r="AD336" s="90" t="e">
        <f t="shared" si="148"/>
        <v>#REF!</v>
      </c>
      <c r="AE336" s="90" t="e">
        <f>INDEX(Efficiencies!$P$8:$Y$89,MATCH(C336,Efficiencies!$C$8:$C$89),MATCH(D336,Efficiencies!$P$7:$Y$7))</f>
        <v>#REF!</v>
      </c>
      <c r="AF336" s="90" t="e">
        <f t="shared" si="150"/>
        <v>#REF!</v>
      </c>
      <c r="AG336" s="90">
        <v>0</v>
      </c>
    </row>
    <row r="337" spans="1:33" x14ac:dyDescent="0.2">
      <c r="A337" s="92" t="s">
        <v>1473</v>
      </c>
      <c r="B337" s="248" t="s">
        <v>1474</v>
      </c>
      <c r="C337" s="40" t="s">
        <v>1464</v>
      </c>
      <c r="D337" s="40">
        <v>2040</v>
      </c>
      <c r="E337" s="86">
        <f>GDPdeflator!$C$32*INDEX(Costs!$E$7:$O$89,MATCH($C337,Costs!$C$7:$C$89,0),MATCH(E$7,Costs!$E$6:$O$6,0))</f>
        <v>0</v>
      </c>
      <c r="F337" s="86">
        <f>GDPdeflator!$C$36*INDEX(Costs!$E$7:$O$89,MATCH($C337,Costs!$C$7:$C$89,0),MATCH(F$7,Costs!$E$6:$O$6,0))</f>
        <v>0</v>
      </c>
      <c r="G337" s="86">
        <f>GDPdeflator!$C$38*INDEX(Costs!$E$7:$O$89,MATCH($C337,Costs!$C$7:$C$89,0),MATCH(G$7,Costs!$E$6:$O$6,0))</f>
        <v>78.225904173253852</v>
      </c>
      <c r="H337" s="86">
        <f>GDPdeflator!$C$38*INDEX(Costs!$E$7:$O$89,MATCH($C337,Costs!$C$7:$C$89,0),MATCH(H$7,Costs!$E$6:$O$6,0))</f>
        <v>65.522627092817288</v>
      </c>
      <c r="I337" s="86">
        <f>GDPdeflator!$C$38*INDEX(Costs!$E$7:$O$89,MATCH($C337,Costs!$C$7:$C$89,0),MATCH(I$7,Costs!$E$6:$O$6,0))</f>
        <v>55.167266052075199</v>
      </c>
      <c r="J337" s="86">
        <f>GDPdeflator!$C$38*INDEX(Costs!$E$7:$O$89,MATCH($C337,Costs!$C$7:$C$89,0),MATCH(J$7,Costs!$E$6:$O$6,0))</f>
        <v>49.770563513075942</v>
      </c>
      <c r="K337" s="86">
        <f>GDPdeflator!$C$38*INDEX(Costs!$E$7:$O$89,MATCH($C337,Costs!$C$7:$C$89,0),MATCH(K$7,Costs!$E$6:$O$6,0))</f>
        <v>45.547818993923926</v>
      </c>
      <c r="L337" s="86">
        <f>GDPdeflator!$C$38*INDEX(Costs!$E$7:$O$89,MATCH($C337,Costs!$C$7:$C$89,0),MATCH(L$7,Costs!$E$6:$O$6,0))</f>
        <v>42.201162549284774</v>
      </c>
      <c r="M337" s="86">
        <f>GDPdeflator!$C$38*INDEX(Costs!$E$7:$O$89,MATCH($C337,Costs!$C$7:$C$89,0),MATCH(M$7,Costs!$E$6:$O$6,0))</f>
        <v>42.201162549284774</v>
      </c>
      <c r="N337" s="86">
        <f>GDPdeflator!$C$38*INDEX(Costs!$E$7:$O$89,MATCH($C337,Costs!$C$7:$C$89,0),MATCH(N$7,Costs!$E$6:$O$6,0))</f>
        <v>42.201162549284774</v>
      </c>
      <c r="O337" s="86">
        <f>GDPdeflator!$C$38*INDEX(Costs!$E$7:$O$89,MATCH($C337,Costs!$C$7:$C$89,0),MATCH(O$7,Costs!$E$6:$O$6,0))</f>
        <v>42.201162549284774</v>
      </c>
      <c r="P337" s="87">
        <f t="shared" si="174"/>
        <v>0</v>
      </c>
      <c r="Q337" s="87">
        <f t="shared" si="175"/>
        <v>0</v>
      </c>
      <c r="R337" s="87">
        <f t="shared" si="176"/>
        <v>6531.7180865271994</v>
      </c>
      <c r="S337" s="87">
        <f t="shared" si="177"/>
        <v>5471.0179828801574</v>
      </c>
      <c r="T337" s="87">
        <f t="shared" si="178"/>
        <v>4606.3645190796024</v>
      </c>
      <c r="U337" s="87">
        <f t="shared" si="179"/>
        <v>4155.749854357824</v>
      </c>
      <c r="V337" s="87">
        <f t="shared" si="180"/>
        <v>3803.1585095592905</v>
      </c>
      <c r="W337" s="87">
        <f t="shared" si="181"/>
        <v>3523.7188960467593</v>
      </c>
      <c r="X337" s="87">
        <f t="shared" si="182"/>
        <v>3523.7188960467593</v>
      </c>
      <c r="Y337" s="87">
        <f t="shared" si="183"/>
        <v>3523.7188960467593</v>
      </c>
      <c r="Z337" s="87">
        <f t="shared" si="184"/>
        <v>3523.7188960467593</v>
      </c>
      <c r="AA337" s="88">
        <v>495</v>
      </c>
      <c r="AB337" s="89">
        <f>AA337*GDPdeflator!$C$25/$AI$18*10^3</f>
        <v>47.594001775978647</v>
      </c>
      <c r="AC337" s="90" t="e">
        <f>INDEX(Efficiencies!$D$8:$M$89,MATCH(C337,Efficiencies!$C$8:$C$89),MATCH(D337,Efficiencies!$D$7:$M$7))</f>
        <v>#REF!</v>
      </c>
      <c r="AD337" s="90" t="e">
        <f t="shared" si="148"/>
        <v>#REF!</v>
      </c>
      <c r="AE337" s="90" t="e">
        <f>INDEX(Efficiencies!$P$8:$Y$89,MATCH(C337,Efficiencies!$C$8:$C$89),MATCH(D337,Efficiencies!$P$7:$Y$7))</f>
        <v>#REF!</v>
      </c>
      <c r="AF337" s="90" t="e">
        <f t="shared" si="150"/>
        <v>#REF!</v>
      </c>
      <c r="AG337" s="90">
        <v>0</v>
      </c>
    </row>
    <row r="338" spans="1:33" x14ac:dyDescent="0.2">
      <c r="A338" s="92" t="s">
        <v>1475</v>
      </c>
      <c r="B338" s="248" t="s">
        <v>1476</v>
      </c>
      <c r="C338" s="40" t="s">
        <v>1464</v>
      </c>
      <c r="D338" s="40">
        <v>2045</v>
      </c>
      <c r="E338" s="86">
        <f>GDPdeflator!$C$32*INDEX(Costs!$E$7:$O$89,MATCH($C338,Costs!$C$7:$C$89,0),MATCH(E$7,Costs!$E$6:$O$6,0))</f>
        <v>0</v>
      </c>
      <c r="F338" s="86">
        <f>GDPdeflator!$C$36*INDEX(Costs!$E$7:$O$89,MATCH($C338,Costs!$C$7:$C$89,0),MATCH(F$7,Costs!$E$6:$O$6,0))</f>
        <v>0</v>
      </c>
      <c r="G338" s="86">
        <f>GDPdeflator!$C$38*INDEX(Costs!$E$7:$O$89,MATCH($C338,Costs!$C$7:$C$89,0),MATCH(G$7,Costs!$E$6:$O$6,0))</f>
        <v>78.225904173253852</v>
      </c>
      <c r="H338" s="86">
        <f>GDPdeflator!$C$38*INDEX(Costs!$E$7:$O$89,MATCH($C338,Costs!$C$7:$C$89,0),MATCH(H$7,Costs!$E$6:$O$6,0))</f>
        <v>65.522627092817288</v>
      </c>
      <c r="I338" s="86">
        <f>GDPdeflator!$C$38*INDEX(Costs!$E$7:$O$89,MATCH($C338,Costs!$C$7:$C$89,0),MATCH(I$7,Costs!$E$6:$O$6,0))</f>
        <v>55.167266052075199</v>
      </c>
      <c r="J338" s="86">
        <f>GDPdeflator!$C$38*INDEX(Costs!$E$7:$O$89,MATCH($C338,Costs!$C$7:$C$89,0),MATCH(J$7,Costs!$E$6:$O$6,0))</f>
        <v>49.770563513075942</v>
      </c>
      <c r="K338" s="86">
        <f>GDPdeflator!$C$38*INDEX(Costs!$E$7:$O$89,MATCH($C338,Costs!$C$7:$C$89,0),MATCH(K$7,Costs!$E$6:$O$6,0))</f>
        <v>45.547818993923926</v>
      </c>
      <c r="L338" s="86">
        <f>GDPdeflator!$C$38*INDEX(Costs!$E$7:$O$89,MATCH($C338,Costs!$C$7:$C$89,0),MATCH(L$7,Costs!$E$6:$O$6,0))</f>
        <v>42.201162549284774</v>
      </c>
      <c r="M338" s="86">
        <f>GDPdeflator!$C$38*INDEX(Costs!$E$7:$O$89,MATCH($C338,Costs!$C$7:$C$89,0),MATCH(M$7,Costs!$E$6:$O$6,0))</f>
        <v>42.201162549284774</v>
      </c>
      <c r="N338" s="86">
        <f>GDPdeflator!$C$38*INDEX(Costs!$E$7:$O$89,MATCH($C338,Costs!$C$7:$C$89,0),MATCH(N$7,Costs!$E$6:$O$6,0))</f>
        <v>42.201162549284774</v>
      </c>
      <c r="O338" s="86">
        <f>GDPdeflator!$C$38*INDEX(Costs!$E$7:$O$89,MATCH($C338,Costs!$C$7:$C$89,0),MATCH(O$7,Costs!$E$6:$O$6,0))</f>
        <v>42.201162549284774</v>
      </c>
      <c r="P338" s="87">
        <f t="shared" si="174"/>
        <v>0</v>
      </c>
      <c r="Q338" s="87">
        <f t="shared" si="175"/>
        <v>0</v>
      </c>
      <c r="R338" s="87">
        <f t="shared" si="176"/>
        <v>6531.7180865271994</v>
      </c>
      <c r="S338" s="87">
        <f t="shared" si="177"/>
        <v>5471.0179828801574</v>
      </c>
      <c r="T338" s="87">
        <f t="shared" si="178"/>
        <v>4606.3645190796024</v>
      </c>
      <c r="U338" s="87">
        <f t="shared" si="179"/>
        <v>4155.749854357824</v>
      </c>
      <c r="V338" s="87">
        <f t="shared" si="180"/>
        <v>3803.1585095592905</v>
      </c>
      <c r="W338" s="87">
        <f t="shared" si="181"/>
        <v>3523.7188960467593</v>
      </c>
      <c r="X338" s="87">
        <f t="shared" si="182"/>
        <v>3523.7188960467593</v>
      </c>
      <c r="Y338" s="87">
        <f t="shared" si="183"/>
        <v>3523.7188960467593</v>
      </c>
      <c r="Z338" s="87">
        <f t="shared" si="184"/>
        <v>3523.7188960467593</v>
      </c>
      <c r="AA338" s="88">
        <v>495</v>
      </c>
      <c r="AB338" s="89">
        <f>AA338*GDPdeflator!$C$25/$AI$18*10^3</f>
        <v>47.594001775978647</v>
      </c>
      <c r="AC338" s="90" t="e">
        <f>INDEX(Efficiencies!$D$8:$M$89,MATCH(C338,Efficiencies!$C$8:$C$89),MATCH(D338,Efficiencies!$D$7:$M$7))</f>
        <v>#REF!</v>
      </c>
      <c r="AD338" s="90" t="e">
        <f t="shared" si="148"/>
        <v>#REF!</v>
      </c>
      <c r="AE338" s="90" t="e">
        <f>INDEX(Efficiencies!$P$8:$Y$89,MATCH(C338,Efficiencies!$C$8:$C$89),MATCH(D338,Efficiencies!$P$7:$Y$7))</f>
        <v>#REF!</v>
      </c>
      <c r="AF338" s="90" t="e">
        <f t="shared" si="150"/>
        <v>#REF!</v>
      </c>
      <c r="AG338" s="90">
        <v>0</v>
      </c>
    </row>
    <row r="339" spans="1:33" x14ac:dyDescent="0.2">
      <c r="A339" s="92" t="s">
        <v>1477</v>
      </c>
      <c r="B339" s="248" t="s">
        <v>1478</v>
      </c>
      <c r="C339" s="40" t="s">
        <v>1464</v>
      </c>
      <c r="D339" s="40">
        <v>2050</v>
      </c>
      <c r="E339" s="86">
        <f>GDPdeflator!$C$32*INDEX(Costs!$E$7:$O$89,MATCH($C339,Costs!$C$7:$C$89,0),MATCH(E$7,Costs!$E$6:$O$6,0))</f>
        <v>0</v>
      </c>
      <c r="F339" s="86">
        <f>GDPdeflator!$C$36*INDEX(Costs!$E$7:$O$89,MATCH($C339,Costs!$C$7:$C$89,0),MATCH(F$7,Costs!$E$6:$O$6,0))</f>
        <v>0</v>
      </c>
      <c r="G339" s="86">
        <f>GDPdeflator!$C$38*INDEX(Costs!$E$7:$O$89,MATCH($C339,Costs!$C$7:$C$89,0),MATCH(G$7,Costs!$E$6:$O$6,0))</f>
        <v>78.225904173253852</v>
      </c>
      <c r="H339" s="86">
        <f>GDPdeflator!$C$38*INDEX(Costs!$E$7:$O$89,MATCH($C339,Costs!$C$7:$C$89,0),MATCH(H$7,Costs!$E$6:$O$6,0))</f>
        <v>65.522627092817288</v>
      </c>
      <c r="I339" s="86">
        <f>GDPdeflator!$C$38*INDEX(Costs!$E$7:$O$89,MATCH($C339,Costs!$C$7:$C$89,0),MATCH(I$7,Costs!$E$6:$O$6,0))</f>
        <v>55.167266052075199</v>
      </c>
      <c r="J339" s="86">
        <f>GDPdeflator!$C$38*INDEX(Costs!$E$7:$O$89,MATCH($C339,Costs!$C$7:$C$89,0),MATCH(J$7,Costs!$E$6:$O$6,0))</f>
        <v>49.770563513075942</v>
      </c>
      <c r="K339" s="86">
        <f>GDPdeflator!$C$38*INDEX(Costs!$E$7:$O$89,MATCH($C339,Costs!$C$7:$C$89,0),MATCH(K$7,Costs!$E$6:$O$6,0))</f>
        <v>45.547818993923926</v>
      </c>
      <c r="L339" s="86">
        <f>GDPdeflator!$C$38*INDEX(Costs!$E$7:$O$89,MATCH($C339,Costs!$C$7:$C$89,0),MATCH(L$7,Costs!$E$6:$O$6,0))</f>
        <v>42.201162549284774</v>
      </c>
      <c r="M339" s="86">
        <f>GDPdeflator!$C$38*INDEX(Costs!$E$7:$O$89,MATCH($C339,Costs!$C$7:$C$89,0),MATCH(M$7,Costs!$E$6:$O$6,0))</f>
        <v>42.201162549284774</v>
      </c>
      <c r="N339" s="86">
        <f>GDPdeflator!$C$38*INDEX(Costs!$E$7:$O$89,MATCH($C339,Costs!$C$7:$C$89,0),MATCH(N$7,Costs!$E$6:$O$6,0))</f>
        <v>42.201162549284774</v>
      </c>
      <c r="O339" s="86">
        <f>GDPdeflator!$C$38*INDEX(Costs!$E$7:$O$89,MATCH($C339,Costs!$C$7:$C$89,0),MATCH(O$7,Costs!$E$6:$O$6,0))</f>
        <v>42.201162549284774</v>
      </c>
      <c r="P339" s="87">
        <f t="shared" si="174"/>
        <v>0</v>
      </c>
      <c r="Q339" s="87">
        <f t="shared" si="175"/>
        <v>0</v>
      </c>
      <c r="R339" s="87">
        <f t="shared" si="176"/>
        <v>6531.7180865271994</v>
      </c>
      <c r="S339" s="87">
        <f t="shared" si="177"/>
        <v>5471.0179828801574</v>
      </c>
      <c r="T339" s="87">
        <f t="shared" si="178"/>
        <v>4606.3645190796024</v>
      </c>
      <c r="U339" s="87">
        <f t="shared" si="179"/>
        <v>4155.749854357824</v>
      </c>
      <c r="V339" s="87">
        <f t="shared" si="180"/>
        <v>3803.1585095592905</v>
      </c>
      <c r="W339" s="87">
        <f t="shared" si="181"/>
        <v>3523.7188960467593</v>
      </c>
      <c r="X339" s="87">
        <f t="shared" si="182"/>
        <v>3523.7188960467593</v>
      </c>
      <c r="Y339" s="87">
        <f t="shared" si="183"/>
        <v>3523.7188960467593</v>
      </c>
      <c r="Z339" s="87">
        <f t="shared" si="184"/>
        <v>3523.7188960467593</v>
      </c>
      <c r="AA339" s="88">
        <v>495</v>
      </c>
      <c r="AB339" s="89">
        <f>AA339*GDPdeflator!$C$25/$AI$18*10^3</f>
        <v>47.594001775978647</v>
      </c>
      <c r="AC339" s="90" t="e">
        <f>INDEX(Efficiencies!$D$8:$M$89,MATCH(C339,Efficiencies!$C$8:$C$89),MATCH(D339,Efficiencies!$D$7:$M$7))</f>
        <v>#REF!</v>
      </c>
      <c r="AD339" s="90" t="e">
        <f t="shared" si="148"/>
        <v>#REF!</v>
      </c>
      <c r="AE339" s="90" t="e">
        <f>INDEX(Efficiencies!$P$8:$Y$89,MATCH(C339,Efficiencies!$C$8:$C$89),MATCH(D339,Efficiencies!$P$7:$Y$7))</f>
        <v>#REF!</v>
      </c>
      <c r="AF339" s="90" t="e">
        <f t="shared" si="150"/>
        <v>#REF!</v>
      </c>
      <c r="AG339" s="90">
        <v>0</v>
      </c>
    </row>
    <row r="340" spans="1:33" s="96" customFormat="1" x14ac:dyDescent="0.2">
      <c r="A340" s="94" t="s">
        <v>1479</v>
      </c>
      <c r="B340" s="95" t="s">
        <v>1480</v>
      </c>
      <c r="C340" s="96" t="s">
        <v>1481</v>
      </c>
      <c r="D340" s="96">
        <v>2010</v>
      </c>
      <c r="E340" s="97">
        <f>GDPdeflator!$C$32*INDEX(Costs!$E$7:$O$89,MATCH($C340,Costs!$C$7:$C$89,0),MATCH(E$7,Costs!$E$6:$O$6,0))</f>
        <v>73.970744938486874</v>
      </c>
      <c r="F340" s="97">
        <f>GDPdeflator!$C$36*INDEX(Costs!$E$7:$O$89,MATCH($C340,Costs!$C$7:$C$89,0),MATCH(F$7,Costs!$E$6:$O$6,0))</f>
        <v>0</v>
      </c>
      <c r="G340" s="97">
        <f>GDPdeflator!$C$38*INDEX(Costs!$E$7:$O$89,MATCH($C340,Costs!$C$7:$C$89,0),MATCH(G$7,Costs!$E$6:$O$6,0))</f>
        <v>63.928146797203858</v>
      </c>
      <c r="H340" s="97">
        <f>GDPdeflator!$C$38*INDEX(Costs!$E$7:$O$89,MATCH($C340,Costs!$C$7:$C$89,0),MATCH(H$7,Costs!$E$6:$O$6,0))</f>
        <v>62.552688520218666</v>
      </c>
      <c r="I340" s="97">
        <f>GDPdeflator!$C$38*INDEX(Costs!$E$7:$O$89,MATCH($C340,Costs!$C$7:$C$89,0),MATCH(I$7,Costs!$E$6:$O$6,0))</f>
        <v>60.064598388602121</v>
      </c>
      <c r="J340" s="97">
        <f>GDPdeflator!$C$38*INDEX(Costs!$E$7:$O$89,MATCH($C340,Costs!$C$7:$C$89,0),MATCH(J$7,Costs!$E$6:$O$6,0))</f>
        <v>58.119682863183563</v>
      </c>
      <c r="K340" s="97">
        <f>GDPdeflator!$C$38*INDEX(Costs!$E$7:$O$89,MATCH($C340,Costs!$C$7:$C$89,0),MATCH(K$7,Costs!$E$6:$O$6,0))</f>
        <v>57.611551779966099</v>
      </c>
      <c r="L340" s="97">
        <f>GDPdeflator!$C$38*INDEX(Costs!$E$7:$O$89,MATCH($C340,Costs!$C$7:$C$89,0),MATCH(L$7,Costs!$E$6:$O$6,0))</f>
        <v>57.497660330279416</v>
      </c>
      <c r="M340" s="97">
        <f>GDPdeflator!$C$38*INDEX(Costs!$E$7:$O$89,MATCH($C340,Costs!$C$7:$C$89,0),MATCH(M$7,Costs!$E$6:$O$6,0))</f>
        <v>57.497660330279416</v>
      </c>
      <c r="N340" s="97">
        <f>GDPdeflator!$C$38*INDEX(Costs!$E$7:$O$89,MATCH($C340,Costs!$C$7:$C$89,0),MATCH(N$7,Costs!$E$6:$O$6,0))</f>
        <v>57.497660330279416</v>
      </c>
      <c r="O340" s="97">
        <f>GDPdeflator!$C$38*INDEX(Costs!$E$7:$O$89,MATCH($C340,Costs!$C$7:$C$89,0),MATCH(O$7,Costs!$E$6:$O$6,0))</f>
        <v>57.497660330279416</v>
      </c>
      <c r="P340" s="98">
        <f>E340/$AI$18*10^6</f>
        <v>6176.4201730224349</v>
      </c>
      <c r="Q340" s="98">
        <f t="shared" si="175"/>
        <v>0</v>
      </c>
      <c r="R340" s="98">
        <f t="shared" si="176"/>
        <v>5337.8818319396305</v>
      </c>
      <c r="S340" s="98">
        <f t="shared" si="177"/>
        <v>5223.0336138206076</v>
      </c>
      <c r="T340" s="98">
        <f t="shared" si="178"/>
        <v>5015.2826969683583</v>
      </c>
      <c r="U340" s="98">
        <f t="shared" si="179"/>
        <v>4852.8858535134323</v>
      </c>
      <c r="V340" s="98">
        <f t="shared" si="180"/>
        <v>4810.4578493675508</v>
      </c>
      <c r="W340" s="98">
        <f t="shared" si="181"/>
        <v>4800.9481243003693</v>
      </c>
      <c r="X340" s="98">
        <f t="shared" si="182"/>
        <v>4800.9481243003693</v>
      </c>
      <c r="Y340" s="98">
        <f t="shared" si="183"/>
        <v>4800.9481243003693</v>
      </c>
      <c r="Z340" s="98">
        <f t="shared" si="184"/>
        <v>4800.9481243003693</v>
      </c>
      <c r="AA340" s="99">
        <v>270</v>
      </c>
      <c r="AB340" s="100">
        <f>AA340*GDPdeflator!$C$25/$AI$18*10^3</f>
        <v>25.96036460507926</v>
      </c>
      <c r="AC340" s="101" t="e">
        <f>INDEX(Efficiencies!$D$8:$M$89,MATCH(C340,Efficiencies!$C$8:$C$89),MATCH(D340,Efficiencies!$D$7:$M$7))</f>
        <v>#REF!</v>
      </c>
      <c r="AD340" s="101" t="e">
        <f t="shared" si="148"/>
        <v>#REF!</v>
      </c>
      <c r="AE340" s="101" t="e">
        <f>INDEX(Efficiencies!$P$8:$Y$89,MATCH(C340,Efficiencies!$C$8:$C$89),MATCH(D340,Efficiencies!$P$7:$Y$7))</f>
        <v>#REF!</v>
      </c>
      <c r="AF340" s="101" t="e">
        <f t="shared" si="150"/>
        <v>#REF!</v>
      </c>
      <c r="AG340" s="101">
        <v>0</v>
      </c>
    </row>
    <row r="341" spans="1:33" s="96" customFormat="1" x14ac:dyDescent="0.2">
      <c r="A341" s="94" t="s">
        <v>1482</v>
      </c>
      <c r="B341" s="95" t="s">
        <v>1483</v>
      </c>
      <c r="C341" s="96" t="s">
        <v>1481</v>
      </c>
      <c r="D341" s="96">
        <v>2015</v>
      </c>
      <c r="E341" s="97">
        <f>GDPdeflator!$C$32*INDEX(Costs!$E$7:$O$89,MATCH($C341,Costs!$C$7:$C$89,0),MATCH(E$7,Costs!$E$6:$O$6,0))</f>
        <v>73.970744938486874</v>
      </c>
      <c r="F341" s="97">
        <f>GDPdeflator!$C$36*INDEX(Costs!$E$7:$O$89,MATCH($C341,Costs!$C$7:$C$89,0),MATCH(F$7,Costs!$E$6:$O$6,0))</f>
        <v>0</v>
      </c>
      <c r="G341" s="97">
        <f>GDPdeflator!$C$38*INDEX(Costs!$E$7:$O$89,MATCH($C341,Costs!$C$7:$C$89,0),MATCH(G$7,Costs!$E$6:$O$6,0))</f>
        <v>63.928146797203858</v>
      </c>
      <c r="H341" s="97">
        <f>GDPdeflator!$C$38*INDEX(Costs!$E$7:$O$89,MATCH($C341,Costs!$C$7:$C$89,0),MATCH(H$7,Costs!$E$6:$O$6,0))</f>
        <v>62.552688520218666</v>
      </c>
      <c r="I341" s="97">
        <f>GDPdeflator!$C$38*INDEX(Costs!$E$7:$O$89,MATCH($C341,Costs!$C$7:$C$89,0),MATCH(I$7,Costs!$E$6:$O$6,0))</f>
        <v>60.064598388602121</v>
      </c>
      <c r="J341" s="97">
        <f>GDPdeflator!$C$38*INDEX(Costs!$E$7:$O$89,MATCH($C341,Costs!$C$7:$C$89,0),MATCH(J$7,Costs!$E$6:$O$6,0))</f>
        <v>58.119682863183563</v>
      </c>
      <c r="K341" s="97">
        <f>GDPdeflator!$C$38*INDEX(Costs!$E$7:$O$89,MATCH($C341,Costs!$C$7:$C$89,0),MATCH(K$7,Costs!$E$6:$O$6,0))</f>
        <v>57.611551779966099</v>
      </c>
      <c r="L341" s="97">
        <f>GDPdeflator!$C$38*INDEX(Costs!$E$7:$O$89,MATCH($C341,Costs!$C$7:$C$89,0),MATCH(L$7,Costs!$E$6:$O$6,0))</f>
        <v>57.497660330279416</v>
      </c>
      <c r="M341" s="97">
        <f>GDPdeflator!$C$38*INDEX(Costs!$E$7:$O$89,MATCH($C341,Costs!$C$7:$C$89,0),MATCH(M$7,Costs!$E$6:$O$6,0))</f>
        <v>57.497660330279416</v>
      </c>
      <c r="N341" s="97">
        <f>GDPdeflator!$C$38*INDEX(Costs!$E$7:$O$89,MATCH($C341,Costs!$C$7:$C$89,0),MATCH(N$7,Costs!$E$6:$O$6,0))</f>
        <v>57.497660330279416</v>
      </c>
      <c r="O341" s="97">
        <f>GDPdeflator!$C$38*INDEX(Costs!$E$7:$O$89,MATCH($C341,Costs!$C$7:$C$89,0),MATCH(O$7,Costs!$E$6:$O$6,0))</f>
        <v>57.497660330279416</v>
      </c>
      <c r="P341" s="98">
        <f t="shared" ref="P341:P348" si="185">E341/$AI$18*10^6</f>
        <v>6176.4201730224349</v>
      </c>
      <c r="Q341" s="98">
        <f t="shared" ref="Q341:Q389" si="186">F341/$AI$18*10^6</f>
        <v>0</v>
      </c>
      <c r="R341" s="98">
        <f t="shared" ref="R341:R389" si="187">G341/$AI$18*10^6</f>
        <v>5337.8818319396305</v>
      </c>
      <c r="S341" s="98">
        <f t="shared" ref="S341:S389" si="188">H341/$AI$18*10^6</f>
        <v>5223.0336138206076</v>
      </c>
      <c r="T341" s="98">
        <f t="shared" ref="T341:T389" si="189">I341/$AI$18*10^6</f>
        <v>5015.2826969683583</v>
      </c>
      <c r="U341" s="98">
        <f t="shared" ref="U341:U389" si="190">J341/$AI$18*10^6</f>
        <v>4852.8858535134323</v>
      </c>
      <c r="V341" s="98">
        <f t="shared" ref="V341:V389" si="191">K341/$AI$18*10^6</f>
        <v>4810.4578493675508</v>
      </c>
      <c r="W341" s="98">
        <f t="shared" ref="W341:W389" si="192">L341/$AI$18*10^6</f>
        <v>4800.9481243003693</v>
      </c>
      <c r="X341" s="98">
        <f t="shared" ref="X341:X389" si="193">M341/$AI$18*10^6</f>
        <v>4800.9481243003693</v>
      </c>
      <c r="Y341" s="98">
        <f t="shared" ref="Y341:Y389" si="194">N341/$AI$18*10^6</f>
        <v>4800.9481243003693</v>
      </c>
      <c r="Z341" s="98">
        <f t="shared" ref="Z341:Z389" si="195">O341/$AI$18*10^6</f>
        <v>4800.9481243003693</v>
      </c>
      <c r="AA341" s="99">
        <v>270</v>
      </c>
      <c r="AB341" s="100">
        <f>AA341*GDPdeflator!$C$25/$AI$18*10^3</f>
        <v>25.96036460507926</v>
      </c>
      <c r="AC341" s="101" t="e">
        <f>INDEX(Efficiencies!$D$8:$M$89,MATCH(C341,Efficiencies!$C$8:$C$89),MATCH(D341,Efficiencies!$D$7:$M$7))</f>
        <v>#REF!</v>
      </c>
      <c r="AD341" s="101" t="e">
        <f t="shared" si="148"/>
        <v>#REF!</v>
      </c>
      <c r="AE341" s="101" t="e">
        <f>INDEX(Efficiencies!$P$8:$Y$89,MATCH(C341,Efficiencies!$C$8:$C$89),MATCH(D341,Efficiencies!$P$7:$Y$7))</f>
        <v>#REF!</v>
      </c>
      <c r="AF341" s="101" t="e">
        <f t="shared" si="150"/>
        <v>#REF!</v>
      </c>
      <c r="AG341" s="101">
        <v>0</v>
      </c>
    </row>
    <row r="342" spans="1:33" s="96" customFormat="1" x14ac:dyDescent="0.2">
      <c r="A342" s="94" t="s">
        <v>1484</v>
      </c>
      <c r="B342" s="95" t="s">
        <v>1485</v>
      </c>
      <c r="C342" s="96" t="s">
        <v>1481</v>
      </c>
      <c r="D342" s="96">
        <v>2020</v>
      </c>
      <c r="E342" s="97">
        <f>GDPdeflator!$C$32*INDEX(Costs!$E$7:$O$89,MATCH($C342,Costs!$C$7:$C$89,0),MATCH(E$7,Costs!$E$6:$O$6,0))</f>
        <v>73.970744938486874</v>
      </c>
      <c r="F342" s="97">
        <f>GDPdeflator!$C$36*INDEX(Costs!$E$7:$O$89,MATCH($C342,Costs!$C$7:$C$89,0),MATCH(F$7,Costs!$E$6:$O$6,0))</f>
        <v>0</v>
      </c>
      <c r="G342" s="97">
        <f>GDPdeflator!$C$38*INDEX(Costs!$E$7:$O$89,MATCH($C342,Costs!$C$7:$C$89,0),MATCH(G$7,Costs!$E$6:$O$6,0))</f>
        <v>63.928146797203858</v>
      </c>
      <c r="H342" s="97">
        <f>GDPdeflator!$C$38*INDEX(Costs!$E$7:$O$89,MATCH($C342,Costs!$C$7:$C$89,0),MATCH(H$7,Costs!$E$6:$O$6,0))</f>
        <v>62.552688520218666</v>
      </c>
      <c r="I342" s="97">
        <f>GDPdeflator!$C$38*INDEX(Costs!$E$7:$O$89,MATCH($C342,Costs!$C$7:$C$89,0),MATCH(I$7,Costs!$E$6:$O$6,0))</f>
        <v>60.064598388602121</v>
      </c>
      <c r="J342" s="97">
        <f>GDPdeflator!$C$38*INDEX(Costs!$E$7:$O$89,MATCH($C342,Costs!$C$7:$C$89,0),MATCH(J$7,Costs!$E$6:$O$6,0))</f>
        <v>58.119682863183563</v>
      </c>
      <c r="K342" s="97">
        <f>GDPdeflator!$C$38*INDEX(Costs!$E$7:$O$89,MATCH($C342,Costs!$C$7:$C$89,0),MATCH(K$7,Costs!$E$6:$O$6,0))</f>
        <v>57.611551779966099</v>
      </c>
      <c r="L342" s="97">
        <f>GDPdeflator!$C$38*INDEX(Costs!$E$7:$O$89,MATCH($C342,Costs!$C$7:$C$89,0),MATCH(L$7,Costs!$E$6:$O$6,0))</f>
        <v>57.497660330279416</v>
      </c>
      <c r="M342" s="97">
        <f>GDPdeflator!$C$38*INDEX(Costs!$E$7:$O$89,MATCH($C342,Costs!$C$7:$C$89,0),MATCH(M$7,Costs!$E$6:$O$6,0))</f>
        <v>57.497660330279416</v>
      </c>
      <c r="N342" s="97">
        <f>GDPdeflator!$C$38*INDEX(Costs!$E$7:$O$89,MATCH($C342,Costs!$C$7:$C$89,0),MATCH(N$7,Costs!$E$6:$O$6,0))</f>
        <v>57.497660330279416</v>
      </c>
      <c r="O342" s="97">
        <f>GDPdeflator!$C$38*INDEX(Costs!$E$7:$O$89,MATCH($C342,Costs!$C$7:$C$89,0),MATCH(O$7,Costs!$E$6:$O$6,0))</f>
        <v>57.497660330279416</v>
      </c>
      <c r="P342" s="98">
        <f t="shared" si="185"/>
        <v>6176.4201730224349</v>
      </c>
      <c r="Q342" s="98">
        <f t="shared" si="186"/>
        <v>0</v>
      </c>
      <c r="R342" s="98">
        <f t="shared" si="187"/>
        <v>5337.8818319396305</v>
      </c>
      <c r="S342" s="98">
        <f t="shared" si="188"/>
        <v>5223.0336138206076</v>
      </c>
      <c r="T342" s="98">
        <f t="shared" si="189"/>
        <v>5015.2826969683583</v>
      </c>
      <c r="U342" s="98">
        <f t="shared" si="190"/>
        <v>4852.8858535134323</v>
      </c>
      <c r="V342" s="98">
        <f t="shared" si="191"/>
        <v>4810.4578493675508</v>
      </c>
      <c r="W342" s="98">
        <f t="shared" si="192"/>
        <v>4800.9481243003693</v>
      </c>
      <c r="X342" s="98">
        <f t="shared" si="193"/>
        <v>4800.9481243003693</v>
      </c>
      <c r="Y342" s="98">
        <f t="shared" si="194"/>
        <v>4800.9481243003693</v>
      </c>
      <c r="Z342" s="98">
        <f t="shared" si="195"/>
        <v>4800.9481243003693</v>
      </c>
      <c r="AA342" s="99">
        <v>270</v>
      </c>
      <c r="AB342" s="100">
        <f>AA342*GDPdeflator!$C$25/$AI$18*10^3</f>
        <v>25.96036460507926</v>
      </c>
      <c r="AC342" s="101" t="e">
        <f>INDEX(Efficiencies!$D$8:$M$89,MATCH(C342,Efficiencies!$C$8:$C$89),MATCH(D342,Efficiencies!$D$7:$M$7))</f>
        <v>#REF!</v>
      </c>
      <c r="AD342" s="101" t="e">
        <f t="shared" si="148"/>
        <v>#REF!</v>
      </c>
      <c r="AE342" s="101" t="e">
        <f>INDEX(Efficiencies!$P$8:$Y$89,MATCH(C342,Efficiencies!$C$8:$C$89),MATCH(D342,Efficiencies!$P$7:$Y$7))</f>
        <v>#REF!</v>
      </c>
      <c r="AF342" s="101" t="e">
        <f t="shared" si="150"/>
        <v>#REF!</v>
      </c>
      <c r="AG342" s="101">
        <v>0</v>
      </c>
    </row>
    <row r="343" spans="1:33" s="96" customFormat="1" x14ac:dyDescent="0.2">
      <c r="A343" s="94" t="s">
        <v>1486</v>
      </c>
      <c r="B343" s="95" t="s">
        <v>1487</v>
      </c>
      <c r="C343" s="96" t="s">
        <v>1481</v>
      </c>
      <c r="D343" s="96">
        <v>2025</v>
      </c>
      <c r="E343" s="97">
        <f>GDPdeflator!$C$32*INDEX(Costs!$E$7:$O$89,MATCH($C343,Costs!$C$7:$C$89,0),MATCH(E$7,Costs!$E$6:$O$6,0))</f>
        <v>73.970744938486874</v>
      </c>
      <c r="F343" s="97">
        <f>GDPdeflator!$C$36*INDEX(Costs!$E$7:$O$89,MATCH($C343,Costs!$C$7:$C$89,0),MATCH(F$7,Costs!$E$6:$O$6,0))</f>
        <v>0</v>
      </c>
      <c r="G343" s="97">
        <f>GDPdeflator!$C$38*INDEX(Costs!$E$7:$O$89,MATCH($C343,Costs!$C$7:$C$89,0),MATCH(G$7,Costs!$E$6:$O$6,0))</f>
        <v>63.928146797203858</v>
      </c>
      <c r="H343" s="97">
        <f>GDPdeflator!$C$38*INDEX(Costs!$E$7:$O$89,MATCH($C343,Costs!$C$7:$C$89,0),MATCH(H$7,Costs!$E$6:$O$6,0))</f>
        <v>62.552688520218666</v>
      </c>
      <c r="I343" s="97">
        <f>GDPdeflator!$C$38*INDEX(Costs!$E$7:$O$89,MATCH($C343,Costs!$C$7:$C$89,0),MATCH(I$7,Costs!$E$6:$O$6,0))</f>
        <v>60.064598388602121</v>
      </c>
      <c r="J343" s="97">
        <f>GDPdeflator!$C$38*INDEX(Costs!$E$7:$O$89,MATCH($C343,Costs!$C$7:$C$89,0),MATCH(J$7,Costs!$E$6:$O$6,0))</f>
        <v>58.119682863183563</v>
      </c>
      <c r="K343" s="97">
        <f>GDPdeflator!$C$38*INDEX(Costs!$E$7:$O$89,MATCH($C343,Costs!$C$7:$C$89,0),MATCH(K$7,Costs!$E$6:$O$6,0))</f>
        <v>57.611551779966099</v>
      </c>
      <c r="L343" s="97">
        <f>GDPdeflator!$C$38*INDEX(Costs!$E$7:$O$89,MATCH($C343,Costs!$C$7:$C$89,0),MATCH(L$7,Costs!$E$6:$O$6,0))</f>
        <v>57.497660330279416</v>
      </c>
      <c r="M343" s="97">
        <f>GDPdeflator!$C$38*INDEX(Costs!$E$7:$O$89,MATCH($C343,Costs!$C$7:$C$89,0),MATCH(M$7,Costs!$E$6:$O$6,0))</f>
        <v>57.497660330279416</v>
      </c>
      <c r="N343" s="97">
        <f>GDPdeflator!$C$38*INDEX(Costs!$E$7:$O$89,MATCH($C343,Costs!$C$7:$C$89,0),MATCH(N$7,Costs!$E$6:$O$6,0))</f>
        <v>57.497660330279416</v>
      </c>
      <c r="O343" s="97">
        <f>GDPdeflator!$C$38*INDEX(Costs!$E$7:$O$89,MATCH($C343,Costs!$C$7:$C$89,0),MATCH(O$7,Costs!$E$6:$O$6,0))</f>
        <v>57.497660330279416</v>
      </c>
      <c r="P343" s="98">
        <f t="shared" si="185"/>
        <v>6176.4201730224349</v>
      </c>
      <c r="Q343" s="98">
        <f t="shared" si="186"/>
        <v>0</v>
      </c>
      <c r="R343" s="98">
        <f t="shared" si="187"/>
        <v>5337.8818319396305</v>
      </c>
      <c r="S343" s="98">
        <f t="shared" si="188"/>
        <v>5223.0336138206076</v>
      </c>
      <c r="T343" s="98">
        <f t="shared" si="189"/>
        <v>5015.2826969683583</v>
      </c>
      <c r="U343" s="98">
        <f t="shared" si="190"/>
        <v>4852.8858535134323</v>
      </c>
      <c r="V343" s="98">
        <f t="shared" si="191"/>
        <v>4810.4578493675508</v>
      </c>
      <c r="W343" s="98">
        <f t="shared" si="192"/>
        <v>4800.9481243003693</v>
      </c>
      <c r="X343" s="98">
        <f t="shared" si="193"/>
        <v>4800.9481243003693</v>
      </c>
      <c r="Y343" s="98">
        <f t="shared" si="194"/>
        <v>4800.9481243003693</v>
      </c>
      <c r="Z343" s="98">
        <f t="shared" si="195"/>
        <v>4800.9481243003693</v>
      </c>
      <c r="AA343" s="99">
        <v>270</v>
      </c>
      <c r="AB343" s="100">
        <f>AA343*GDPdeflator!$C$25/$AI$18*10^3</f>
        <v>25.96036460507926</v>
      </c>
      <c r="AC343" s="101" t="e">
        <f>INDEX(Efficiencies!$D$8:$M$89,MATCH(C343,Efficiencies!$C$8:$C$89),MATCH(D343,Efficiencies!$D$7:$M$7))</f>
        <v>#REF!</v>
      </c>
      <c r="AD343" s="101" t="e">
        <f t="shared" si="148"/>
        <v>#REF!</v>
      </c>
      <c r="AE343" s="101" t="e">
        <f>INDEX(Efficiencies!$P$8:$Y$89,MATCH(C343,Efficiencies!$C$8:$C$89),MATCH(D343,Efficiencies!$P$7:$Y$7))</f>
        <v>#REF!</v>
      </c>
      <c r="AF343" s="101" t="e">
        <f t="shared" si="150"/>
        <v>#REF!</v>
      </c>
      <c r="AG343" s="101">
        <v>0</v>
      </c>
    </row>
    <row r="344" spans="1:33" s="96" customFormat="1" x14ac:dyDescent="0.2">
      <c r="A344" s="94" t="s">
        <v>1488</v>
      </c>
      <c r="B344" s="95" t="s">
        <v>1489</v>
      </c>
      <c r="C344" s="96" t="s">
        <v>1481</v>
      </c>
      <c r="D344" s="96">
        <v>2030</v>
      </c>
      <c r="E344" s="97">
        <f>GDPdeflator!$C$32*INDEX(Costs!$E$7:$O$89,MATCH($C344,Costs!$C$7:$C$89,0),MATCH(E$7,Costs!$E$6:$O$6,0))</f>
        <v>73.970744938486874</v>
      </c>
      <c r="F344" s="97">
        <f>GDPdeflator!$C$36*INDEX(Costs!$E$7:$O$89,MATCH($C344,Costs!$C$7:$C$89,0),MATCH(F$7,Costs!$E$6:$O$6,0))</f>
        <v>0</v>
      </c>
      <c r="G344" s="97">
        <f>GDPdeflator!$C$38*INDEX(Costs!$E$7:$O$89,MATCH($C344,Costs!$C$7:$C$89,0),MATCH(G$7,Costs!$E$6:$O$6,0))</f>
        <v>63.928146797203858</v>
      </c>
      <c r="H344" s="97">
        <f>GDPdeflator!$C$38*INDEX(Costs!$E$7:$O$89,MATCH($C344,Costs!$C$7:$C$89,0),MATCH(H$7,Costs!$E$6:$O$6,0))</f>
        <v>62.552688520218666</v>
      </c>
      <c r="I344" s="97">
        <f>GDPdeflator!$C$38*INDEX(Costs!$E$7:$O$89,MATCH($C344,Costs!$C$7:$C$89,0),MATCH(I$7,Costs!$E$6:$O$6,0))</f>
        <v>60.064598388602121</v>
      </c>
      <c r="J344" s="97">
        <f>GDPdeflator!$C$38*INDEX(Costs!$E$7:$O$89,MATCH($C344,Costs!$C$7:$C$89,0),MATCH(J$7,Costs!$E$6:$O$6,0))</f>
        <v>58.119682863183563</v>
      </c>
      <c r="K344" s="97">
        <f>GDPdeflator!$C$38*INDEX(Costs!$E$7:$O$89,MATCH($C344,Costs!$C$7:$C$89,0),MATCH(K$7,Costs!$E$6:$O$6,0))</f>
        <v>57.611551779966099</v>
      </c>
      <c r="L344" s="97">
        <f>GDPdeflator!$C$38*INDEX(Costs!$E$7:$O$89,MATCH($C344,Costs!$C$7:$C$89,0),MATCH(L$7,Costs!$E$6:$O$6,0))</f>
        <v>57.497660330279416</v>
      </c>
      <c r="M344" s="97">
        <f>GDPdeflator!$C$38*INDEX(Costs!$E$7:$O$89,MATCH($C344,Costs!$C$7:$C$89,0),MATCH(M$7,Costs!$E$6:$O$6,0))</f>
        <v>57.497660330279416</v>
      </c>
      <c r="N344" s="97">
        <f>GDPdeflator!$C$38*INDEX(Costs!$E$7:$O$89,MATCH($C344,Costs!$C$7:$C$89,0),MATCH(N$7,Costs!$E$6:$O$6,0))</f>
        <v>57.497660330279416</v>
      </c>
      <c r="O344" s="97">
        <f>GDPdeflator!$C$38*INDEX(Costs!$E$7:$O$89,MATCH($C344,Costs!$C$7:$C$89,0),MATCH(O$7,Costs!$E$6:$O$6,0))</f>
        <v>57.497660330279416</v>
      </c>
      <c r="P344" s="98">
        <f t="shared" si="185"/>
        <v>6176.4201730224349</v>
      </c>
      <c r="Q344" s="98">
        <f t="shared" si="186"/>
        <v>0</v>
      </c>
      <c r="R344" s="98">
        <f t="shared" si="187"/>
        <v>5337.8818319396305</v>
      </c>
      <c r="S344" s="98">
        <f t="shared" si="188"/>
        <v>5223.0336138206076</v>
      </c>
      <c r="T344" s="98">
        <f t="shared" si="189"/>
        <v>5015.2826969683583</v>
      </c>
      <c r="U344" s="98">
        <f t="shared" si="190"/>
        <v>4852.8858535134323</v>
      </c>
      <c r="V344" s="98">
        <f t="shared" si="191"/>
        <v>4810.4578493675508</v>
      </c>
      <c r="W344" s="98">
        <f t="shared" si="192"/>
        <v>4800.9481243003693</v>
      </c>
      <c r="X344" s="98">
        <f t="shared" si="193"/>
        <v>4800.9481243003693</v>
      </c>
      <c r="Y344" s="98">
        <f t="shared" si="194"/>
        <v>4800.9481243003693</v>
      </c>
      <c r="Z344" s="98">
        <f t="shared" si="195"/>
        <v>4800.9481243003693</v>
      </c>
      <c r="AA344" s="99">
        <v>270</v>
      </c>
      <c r="AB344" s="100">
        <f>AA344*GDPdeflator!$C$25/$AI$18*10^3</f>
        <v>25.96036460507926</v>
      </c>
      <c r="AC344" s="101" t="e">
        <f>INDEX(Efficiencies!$D$8:$M$89,MATCH(C344,Efficiencies!$C$8:$C$89),MATCH(D344,Efficiencies!$D$7:$M$7))</f>
        <v>#REF!</v>
      </c>
      <c r="AD344" s="101" t="e">
        <f t="shared" si="148"/>
        <v>#REF!</v>
      </c>
      <c r="AE344" s="101" t="e">
        <f>INDEX(Efficiencies!$P$8:$Y$89,MATCH(C344,Efficiencies!$C$8:$C$89),MATCH(D344,Efficiencies!$P$7:$Y$7))</f>
        <v>#REF!</v>
      </c>
      <c r="AF344" s="101" t="e">
        <f t="shared" si="150"/>
        <v>#REF!</v>
      </c>
      <c r="AG344" s="101">
        <v>0</v>
      </c>
    </row>
    <row r="345" spans="1:33" s="96" customFormat="1" x14ac:dyDescent="0.2">
      <c r="A345" s="94" t="s">
        <v>1490</v>
      </c>
      <c r="B345" s="95" t="s">
        <v>1491</v>
      </c>
      <c r="C345" s="96" t="s">
        <v>1481</v>
      </c>
      <c r="D345" s="96">
        <v>2035</v>
      </c>
      <c r="E345" s="97">
        <f>GDPdeflator!$C$32*INDEX(Costs!$E$7:$O$89,MATCH($C345,Costs!$C$7:$C$89,0),MATCH(E$7,Costs!$E$6:$O$6,0))</f>
        <v>73.970744938486874</v>
      </c>
      <c r="F345" s="97">
        <f>GDPdeflator!$C$36*INDEX(Costs!$E$7:$O$89,MATCH($C345,Costs!$C$7:$C$89,0),MATCH(F$7,Costs!$E$6:$O$6,0))</f>
        <v>0</v>
      </c>
      <c r="G345" s="97">
        <f>GDPdeflator!$C$38*INDEX(Costs!$E$7:$O$89,MATCH($C345,Costs!$C$7:$C$89,0),MATCH(G$7,Costs!$E$6:$O$6,0))</f>
        <v>63.928146797203858</v>
      </c>
      <c r="H345" s="97">
        <f>GDPdeflator!$C$38*INDEX(Costs!$E$7:$O$89,MATCH($C345,Costs!$C$7:$C$89,0),MATCH(H$7,Costs!$E$6:$O$6,0))</f>
        <v>62.552688520218666</v>
      </c>
      <c r="I345" s="97">
        <f>GDPdeflator!$C$38*INDEX(Costs!$E$7:$O$89,MATCH($C345,Costs!$C$7:$C$89,0),MATCH(I$7,Costs!$E$6:$O$6,0))</f>
        <v>60.064598388602121</v>
      </c>
      <c r="J345" s="97">
        <f>GDPdeflator!$C$38*INDEX(Costs!$E$7:$O$89,MATCH($C345,Costs!$C$7:$C$89,0),MATCH(J$7,Costs!$E$6:$O$6,0))</f>
        <v>58.119682863183563</v>
      </c>
      <c r="K345" s="97">
        <f>GDPdeflator!$C$38*INDEX(Costs!$E$7:$O$89,MATCH($C345,Costs!$C$7:$C$89,0),MATCH(K$7,Costs!$E$6:$O$6,0))</f>
        <v>57.611551779966099</v>
      </c>
      <c r="L345" s="97">
        <f>GDPdeflator!$C$38*INDEX(Costs!$E$7:$O$89,MATCH($C345,Costs!$C$7:$C$89,0),MATCH(L$7,Costs!$E$6:$O$6,0))</f>
        <v>57.497660330279416</v>
      </c>
      <c r="M345" s="97">
        <f>GDPdeflator!$C$38*INDEX(Costs!$E$7:$O$89,MATCH($C345,Costs!$C$7:$C$89,0),MATCH(M$7,Costs!$E$6:$O$6,0))</f>
        <v>57.497660330279416</v>
      </c>
      <c r="N345" s="97">
        <f>GDPdeflator!$C$38*INDEX(Costs!$E$7:$O$89,MATCH($C345,Costs!$C$7:$C$89,0),MATCH(N$7,Costs!$E$6:$O$6,0))</f>
        <v>57.497660330279416</v>
      </c>
      <c r="O345" s="97">
        <f>GDPdeflator!$C$38*INDEX(Costs!$E$7:$O$89,MATCH($C345,Costs!$C$7:$C$89,0),MATCH(O$7,Costs!$E$6:$O$6,0))</f>
        <v>57.497660330279416</v>
      </c>
      <c r="P345" s="98">
        <f t="shared" si="185"/>
        <v>6176.4201730224349</v>
      </c>
      <c r="Q345" s="98">
        <f t="shared" si="186"/>
        <v>0</v>
      </c>
      <c r="R345" s="98">
        <f t="shared" si="187"/>
        <v>5337.8818319396305</v>
      </c>
      <c r="S345" s="98">
        <f t="shared" si="188"/>
        <v>5223.0336138206076</v>
      </c>
      <c r="T345" s="98">
        <f t="shared" si="189"/>
        <v>5015.2826969683583</v>
      </c>
      <c r="U345" s="98">
        <f t="shared" si="190"/>
        <v>4852.8858535134323</v>
      </c>
      <c r="V345" s="98">
        <f t="shared" si="191"/>
        <v>4810.4578493675508</v>
      </c>
      <c r="W345" s="98">
        <f t="shared" si="192"/>
        <v>4800.9481243003693</v>
      </c>
      <c r="X345" s="98">
        <f t="shared" si="193"/>
        <v>4800.9481243003693</v>
      </c>
      <c r="Y345" s="98">
        <f t="shared" si="194"/>
        <v>4800.9481243003693</v>
      </c>
      <c r="Z345" s="98">
        <f t="shared" si="195"/>
        <v>4800.9481243003693</v>
      </c>
      <c r="AA345" s="99">
        <v>270</v>
      </c>
      <c r="AB345" s="100">
        <f>AA345*GDPdeflator!$C$25/$AI$18*10^3</f>
        <v>25.96036460507926</v>
      </c>
      <c r="AC345" s="101" t="e">
        <f>INDEX(Efficiencies!$D$8:$M$89,MATCH(C345,Efficiencies!$C$8:$C$89),MATCH(D345,Efficiencies!$D$7:$M$7))</f>
        <v>#REF!</v>
      </c>
      <c r="AD345" s="101" t="e">
        <f t="shared" ref="AD345:AD399" si="196">AC345/($AI$11*$AI$15*10 ^ 9)</f>
        <v>#REF!</v>
      </c>
      <c r="AE345" s="101" t="e">
        <f>INDEX(Efficiencies!$P$8:$Y$89,MATCH(C345,Efficiencies!$C$8:$C$89),MATCH(D345,Efficiencies!$P$7:$Y$7))</f>
        <v>#REF!</v>
      </c>
      <c r="AF345" s="101" t="e">
        <f t="shared" si="150"/>
        <v>#REF!</v>
      </c>
      <c r="AG345" s="101">
        <v>0</v>
      </c>
    </row>
    <row r="346" spans="1:33" s="96" customFormat="1" x14ac:dyDescent="0.2">
      <c r="A346" s="94" t="s">
        <v>1492</v>
      </c>
      <c r="B346" s="95" t="s">
        <v>1493</v>
      </c>
      <c r="C346" s="96" t="s">
        <v>1481</v>
      </c>
      <c r="D346" s="96">
        <v>2040</v>
      </c>
      <c r="E346" s="97">
        <f>GDPdeflator!$C$32*INDEX(Costs!$E$7:$O$89,MATCH($C346,Costs!$C$7:$C$89,0),MATCH(E$7,Costs!$E$6:$O$6,0))</f>
        <v>73.970744938486874</v>
      </c>
      <c r="F346" s="97">
        <f>GDPdeflator!$C$36*INDEX(Costs!$E$7:$O$89,MATCH($C346,Costs!$C$7:$C$89,0),MATCH(F$7,Costs!$E$6:$O$6,0))</f>
        <v>0</v>
      </c>
      <c r="G346" s="97">
        <f>GDPdeflator!$C$38*INDEX(Costs!$E$7:$O$89,MATCH($C346,Costs!$C$7:$C$89,0),MATCH(G$7,Costs!$E$6:$O$6,0))</f>
        <v>63.928146797203858</v>
      </c>
      <c r="H346" s="97">
        <f>GDPdeflator!$C$38*INDEX(Costs!$E$7:$O$89,MATCH($C346,Costs!$C$7:$C$89,0),MATCH(H$7,Costs!$E$6:$O$6,0))</f>
        <v>62.552688520218666</v>
      </c>
      <c r="I346" s="97">
        <f>GDPdeflator!$C$38*INDEX(Costs!$E$7:$O$89,MATCH($C346,Costs!$C$7:$C$89,0),MATCH(I$7,Costs!$E$6:$O$6,0))</f>
        <v>60.064598388602121</v>
      </c>
      <c r="J346" s="97">
        <f>GDPdeflator!$C$38*INDEX(Costs!$E$7:$O$89,MATCH($C346,Costs!$C$7:$C$89,0),MATCH(J$7,Costs!$E$6:$O$6,0))</f>
        <v>58.119682863183563</v>
      </c>
      <c r="K346" s="97">
        <f>GDPdeflator!$C$38*INDEX(Costs!$E$7:$O$89,MATCH($C346,Costs!$C$7:$C$89,0),MATCH(K$7,Costs!$E$6:$O$6,0))</f>
        <v>57.611551779966099</v>
      </c>
      <c r="L346" s="97">
        <f>GDPdeflator!$C$38*INDEX(Costs!$E$7:$O$89,MATCH($C346,Costs!$C$7:$C$89,0),MATCH(L$7,Costs!$E$6:$O$6,0))</f>
        <v>57.497660330279416</v>
      </c>
      <c r="M346" s="97">
        <f>GDPdeflator!$C$38*INDEX(Costs!$E$7:$O$89,MATCH($C346,Costs!$C$7:$C$89,0),MATCH(M$7,Costs!$E$6:$O$6,0))</f>
        <v>57.497660330279416</v>
      </c>
      <c r="N346" s="97">
        <f>GDPdeflator!$C$38*INDEX(Costs!$E$7:$O$89,MATCH($C346,Costs!$C$7:$C$89,0),MATCH(N$7,Costs!$E$6:$O$6,0))</f>
        <v>57.497660330279416</v>
      </c>
      <c r="O346" s="97">
        <f>GDPdeflator!$C$38*INDEX(Costs!$E$7:$O$89,MATCH($C346,Costs!$C$7:$C$89,0),MATCH(O$7,Costs!$E$6:$O$6,0))</f>
        <v>57.497660330279416</v>
      </c>
      <c r="P346" s="98">
        <f t="shared" si="185"/>
        <v>6176.4201730224349</v>
      </c>
      <c r="Q346" s="98">
        <f t="shared" si="186"/>
        <v>0</v>
      </c>
      <c r="R346" s="98">
        <f t="shared" si="187"/>
        <v>5337.8818319396305</v>
      </c>
      <c r="S346" s="98">
        <f t="shared" si="188"/>
        <v>5223.0336138206076</v>
      </c>
      <c r="T346" s="98">
        <f t="shared" si="189"/>
        <v>5015.2826969683583</v>
      </c>
      <c r="U346" s="98">
        <f t="shared" si="190"/>
        <v>4852.8858535134323</v>
      </c>
      <c r="V346" s="98">
        <f t="shared" si="191"/>
        <v>4810.4578493675508</v>
      </c>
      <c r="W346" s="98">
        <f t="shared" si="192"/>
        <v>4800.9481243003693</v>
      </c>
      <c r="X346" s="98">
        <f t="shared" si="193"/>
        <v>4800.9481243003693</v>
      </c>
      <c r="Y346" s="98">
        <f t="shared" si="194"/>
        <v>4800.9481243003693</v>
      </c>
      <c r="Z346" s="98">
        <f t="shared" si="195"/>
        <v>4800.9481243003693</v>
      </c>
      <c r="AA346" s="99">
        <v>270</v>
      </c>
      <c r="AB346" s="100">
        <f>AA346*GDPdeflator!$C$25/$AI$18*10^3</f>
        <v>25.96036460507926</v>
      </c>
      <c r="AC346" s="101" t="e">
        <f>INDEX(Efficiencies!$D$8:$M$89,MATCH(C346,Efficiencies!$C$8:$C$89),MATCH(D346,Efficiencies!$D$7:$M$7))</f>
        <v>#REF!</v>
      </c>
      <c r="AD346" s="101" t="e">
        <f t="shared" si="196"/>
        <v>#REF!</v>
      </c>
      <c r="AE346" s="101" t="e">
        <f>INDEX(Efficiencies!$P$8:$Y$89,MATCH(C346,Efficiencies!$C$8:$C$89),MATCH(D346,Efficiencies!$P$7:$Y$7))</f>
        <v>#REF!</v>
      </c>
      <c r="AF346" s="101" t="e">
        <f t="shared" si="150"/>
        <v>#REF!</v>
      </c>
      <c r="AG346" s="101">
        <v>0</v>
      </c>
    </row>
    <row r="347" spans="1:33" s="96" customFormat="1" x14ac:dyDescent="0.2">
      <c r="A347" s="94" t="s">
        <v>1494</v>
      </c>
      <c r="B347" s="95" t="s">
        <v>1495</v>
      </c>
      <c r="C347" s="96" t="s">
        <v>1481</v>
      </c>
      <c r="D347" s="96">
        <v>2045</v>
      </c>
      <c r="E347" s="97">
        <f>GDPdeflator!$C$32*INDEX(Costs!$E$7:$O$89,MATCH($C347,Costs!$C$7:$C$89,0),MATCH(E$7,Costs!$E$6:$O$6,0))</f>
        <v>73.970744938486874</v>
      </c>
      <c r="F347" s="97">
        <f>GDPdeflator!$C$36*INDEX(Costs!$E$7:$O$89,MATCH($C347,Costs!$C$7:$C$89,0),MATCH(F$7,Costs!$E$6:$O$6,0))</f>
        <v>0</v>
      </c>
      <c r="G347" s="97">
        <f>GDPdeflator!$C$38*INDEX(Costs!$E$7:$O$89,MATCH($C347,Costs!$C$7:$C$89,0),MATCH(G$7,Costs!$E$6:$O$6,0))</f>
        <v>63.928146797203858</v>
      </c>
      <c r="H347" s="97">
        <f>GDPdeflator!$C$38*INDEX(Costs!$E$7:$O$89,MATCH($C347,Costs!$C$7:$C$89,0),MATCH(H$7,Costs!$E$6:$O$6,0))</f>
        <v>62.552688520218666</v>
      </c>
      <c r="I347" s="97">
        <f>GDPdeflator!$C$38*INDEX(Costs!$E$7:$O$89,MATCH($C347,Costs!$C$7:$C$89,0),MATCH(I$7,Costs!$E$6:$O$6,0))</f>
        <v>60.064598388602121</v>
      </c>
      <c r="J347" s="97">
        <f>GDPdeflator!$C$38*INDEX(Costs!$E$7:$O$89,MATCH($C347,Costs!$C$7:$C$89,0),MATCH(J$7,Costs!$E$6:$O$6,0))</f>
        <v>58.119682863183563</v>
      </c>
      <c r="K347" s="97">
        <f>GDPdeflator!$C$38*INDEX(Costs!$E$7:$O$89,MATCH($C347,Costs!$C$7:$C$89,0),MATCH(K$7,Costs!$E$6:$O$6,0))</f>
        <v>57.611551779966099</v>
      </c>
      <c r="L347" s="97">
        <f>GDPdeflator!$C$38*INDEX(Costs!$E$7:$O$89,MATCH($C347,Costs!$C$7:$C$89,0),MATCH(L$7,Costs!$E$6:$O$6,0))</f>
        <v>57.497660330279416</v>
      </c>
      <c r="M347" s="97">
        <f>GDPdeflator!$C$38*INDEX(Costs!$E$7:$O$89,MATCH($C347,Costs!$C$7:$C$89,0),MATCH(M$7,Costs!$E$6:$O$6,0))</f>
        <v>57.497660330279416</v>
      </c>
      <c r="N347" s="97">
        <f>GDPdeflator!$C$38*INDEX(Costs!$E$7:$O$89,MATCH($C347,Costs!$C$7:$C$89,0),MATCH(N$7,Costs!$E$6:$O$6,0))</f>
        <v>57.497660330279416</v>
      </c>
      <c r="O347" s="97">
        <f>GDPdeflator!$C$38*INDEX(Costs!$E$7:$O$89,MATCH($C347,Costs!$C$7:$C$89,0),MATCH(O$7,Costs!$E$6:$O$6,0))</f>
        <v>57.497660330279416</v>
      </c>
      <c r="P347" s="98">
        <f t="shared" si="185"/>
        <v>6176.4201730224349</v>
      </c>
      <c r="Q347" s="98">
        <f t="shared" si="186"/>
        <v>0</v>
      </c>
      <c r="R347" s="98">
        <f t="shared" si="187"/>
        <v>5337.8818319396305</v>
      </c>
      <c r="S347" s="98">
        <f t="shared" si="188"/>
        <v>5223.0336138206076</v>
      </c>
      <c r="T347" s="98">
        <f t="shared" si="189"/>
        <v>5015.2826969683583</v>
      </c>
      <c r="U347" s="98">
        <f t="shared" si="190"/>
        <v>4852.8858535134323</v>
      </c>
      <c r="V347" s="98">
        <f t="shared" si="191"/>
        <v>4810.4578493675508</v>
      </c>
      <c r="W347" s="98">
        <f t="shared" si="192"/>
        <v>4800.9481243003693</v>
      </c>
      <c r="X347" s="98">
        <f t="shared" si="193"/>
        <v>4800.9481243003693</v>
      </c>
      <c r="Y347" s="98">
        <f t="shared" si="194"/>
        <v>4800.9481243003693</v>
      </c>
      <c r="Z347" s="98">
        <f t="shared" si="195"/>
        <v>4800.9481243003693</v>
      </c>
      <c r="AA347" s="99">
        <v>270</v>
      </c>
      <c r="AB347" s="100">
        <f>AA347*GDPdeflator!$C$25/$AI$18*10^3</f>
        <v>25.96036460507926</v>
      </c>
      <c r="AC347" s="101" t="e">
        <f>INDEX(Efficiencies!$D$8:$M$89,MATCH(C347,Efficiencies!$C$8:$C$89),MATCH(D347,Efficiencies!$D$7:$M$7))</f>
        <v>#REF!</v>
      </c>
      <c r="AD347" s="101" t="e">
        <f t="shared" si="196"/>
        <v>#REF!</v>
      </c>
      <c r="AE347" s="101" t="e">
        <f>INDEX(Efficiencies!$P$8:$Y$89,MATCH(C347,Efficiencies!$C$8:$C$89),MATCH(D347,Efficiencies!$P$7:$Y$7))</f>
        <v>#REF!</v>
      </c>
      <c r="AF347" s="101" t="e">
        <f t="shared" si="150"/>
        <v>#REF!</v>
      </c>
      <c r="AG347" s="101">
        <v>0</v>
      </c>
    </row>
    <row r="348" spans="1:33" s="96" customFormat="1" x14ac:dyDescent="0.2">
      <c r="A348" s="94" t="s">
        <v>1496</v>
      </c>
      <c r="B348" s="95" t="s">
        <v>1497</v>
      </c>
      <c r="C348" s="96" t="s">
        <v>1481</v>
      </c>
      <c r="D348" s="96">
        <v>2050</v>
      </c>
      <c r="E348" s="97">
        <f>GDPdeflator!$C$32*INDEX(Costs!$E$7:$O$89,MATCH($C348,Costs!$C$7:$C$89,0),MATCH(E$7,Costs!$E$6:$O$6,0))</f>
        <v>73.970744938486874</v>
      </c>
      <c r="F348" s="97">
        <f>GDPdeflator!$C$36*INDEX(Costs!$E$7:$O$89,MATCH($C348,Costs!$C$7:$C$89,0),MATCH(F$7,Costs!$E$6:$O$6,0))</f>
        <v>0</v>
      </c>
      <c r="G348" s="97">
        <f>GDPdeflator!$C$38*INDEX(Costs!$E$7:$O$89,MATCH($C348,Costs!$C$7:$C$89,0),MATCH(G$7,Costs!$E$6:$O$6,0))</f>
        <v>63.928146797203858</v>
      </c>
      <c r="H348" s="97">
        <f>GDPdeflator!$C$38*INDEX(Costs!$E$7:$O$89,MATCH($C348,Costs!$C$7:$C$89,0),MATCH(H$7,Costs!$E$6:$O$6,0))</f>
        <v>62.552688520218666</v>
      </c>
      <c r="I348" s="97">
        <f>GDPdeflator!$C$38*INDEX(Costs!$E$7:$O$89,MATCH($C348,Costs!$C$7:$C$89,0),MATCH(I$7,Costs!$E$6:$O$6,0))</f>
        <v>60.064598388602121</v>
      </c>
      <c r="J348" s="97">
        <f>GDPdeflator!$C$38*INDEX(Costs!$E$7:$O$89,MATCH($C348,Costs!$C$7:$C$89,0),MATCH(J$7,Costs!$E$6:$O$6,0))</f>
        <v>58.119682863183563</v>
      </c>
      <c r="K348" s="97">
        <f>GDPdeflator!$C$38*INDEX(Costs!$E$7:$O$89,MATCH($C348,Costs!$C$7:$C$89,0),MATCH(K$7,Costs!$E$6:$O$6,0))</f>
        <v>57.611551779966099</v>
      </c>
      <c r="L348" s="97">
        <f>GDPdeflator!$C$38*INDEX(Costs!$E$7:$O$89,MATCH($C348,Costs!$C$7:$C$89,0),MATCH(L$7,Costs!$E$6:$O$6,0))</f>
        <v>57.497660330279416</v>
      </c>
      <c r="M348" s="97">
        <f>GDPdeflator!$C$38*INDEX(Costs!$E$7:$O$89,MATCH($C348,Costs!$C$7:$C$89,0),MATCH(M$7,Costs!$E$6:$O$6,0))</f>
        <v>57.497660330279416</v>
      </c>
      <c r="N348" s="97">
        <f>GDPdeflator!$C$38*INDEX(Costs!$E$7:$O$89,MATCH($C348,Costs!$C$7:$C$89,0),MATCH(N$7,Costs!$E$6:$O$6,0))</f>
        <v>57.497660330279416</v>
      </c>
      <c r="O348" s="97">
        <f>GDPdeflator!$C$38*INDEX(Costs!$E$7:$O$89,MATCH($C348,Costs!$C$7:$C$89,0),MATCH(O$7,Costs!$E$6:$O$6,0))</f>
        <v>57.497660330279416</v>
      </c>
      <c r="P348" s="98">
        <f t="shared" si="185"/>
        <v>6176.4201730224349</v>
      </c>
      <c r="Q348" s="98">
        <f t="shared" si="186"/>
        <v>0</v>
      </c>
      <c r="R348" s="98">
        <f t="shared" si="187"/>
        <v>5337.8818319396305</v>
      </c>
      <c r="S348" s="98">
        <f t="shared" si="188"/>
        <v>5223.0336138206076</v>
      </c>
      <c r="T348" s="98">
        <f t="shared" si="189"/>
        <v>5015.2826969683583</v>
      </c>
      <c r="U348" s="98">
        <f t="shared" si="190"/>
        <v>4852.8858535134323</v>
      </c>
      <c r="V348" s="98">
        <f t="shared" si="191"/>
        <v>4810.4578493675508</v>
      </c>
      <c r="W348" s="98">
        <f t="shared" si="192"/>
        <v>4800.9481243003693</v>
      </c>
      <c r="X348" s="98">
        <f t="shared" si="193"/>
        <v>4800.9481243003693</v>
      </c>
      <c r="Y348" s="98">
        <f t="shared" si="194"/>
        <v>4800.9481243003693</v>
      </c>
      <c r="Z348" s="98">
        <f t="shared" si="195"/>
        <v>4800.9481243003693</v>
      </c>
      <c r="AA348" s="99">
        <v>270</v>
      </c>
      <c r="AB348" s="100">
        <f>AA348*GDPdeflator!$C$25/$AI$18*10^3</f>
        <v>25.96036460507926</v>
      </c>
      <c r="AC348" s="101" t="e">
        <f>INDEX(Efficiencies!$D$8:$M$89,MATCH(C348,Efficiencies!$C$8:$C$89),MATCH(D348,Efficiencies!$D$7:$M$7))</f>
        <v>#REF!</v>
      </c>
      <c r="AD348" s="101" t="e">
        <f t="shared" si="196"/>
        <v>#REF!</v>
      </c>
      <c r="AE348" s="101" t="e">
        <f>INDEX(Efficiencies!$P$8:$Y$89,MATCH(C348,Efficiencies!$C$8:$C$89),MATCH(D348,Efficiencies!$P$7:$Y$7))</f>
        <v>#REF!</v>
      </c>
      <c r="AF348" s="101" t="e">
        <f>AE348/($AI$11*$AI$15*10 ^ 9)</f>
        <v>#REF!</v>
      </c>
      <c r="AG348" s="101">
        <v>0</v>
      </c>
    </row>
    <row r="349" spans="1:33" x14ac:dyDescent="0.2">
      <c r="A349" s="92" t="s">
        <v>1498</v>
      </c>
      <c r="B349" s="248" t="s">
        <v>1499</v>
      </c>
      <c r="C349" s="40" t="s">
        <v>1500</v>
      </c>
      <c r="D349" s="40">
        <v>2010</v>
      </c>
      <c r="E349" s="86">
        <f>GDPdeflator!$C$32*INDEX(Costs!$E$7:$O$89,MATCH($C349,Costs!$C$7:$C$89,0),MATCH(E$7,Costs!$E$6:$O$6,0))</f>
        <v>0</v>
      </c>
      <c r="F349" s="86">
        <f>GDPdeflator!$C$36*INDEX(Costs!$E$7:$O$89,MATCH($C349,Costs!$C$7:$C$89,0),MATCH(F$7,Costs!$E$6:$O$6,0))</f>
        <v>0</v>
      </c>
      <c r="G349" s="86">
        <f>GDPdeflator!$C$38*INDEX(Costs!$E$7:$O$89,MATCH($C349,Costs!$C$7:$C$89,0),MATCH(G$7,Costs!$E$6:$O$6,0))</f>
        <v>0</v>
      </c>
      <c r="H349" s="86">
        <f>GDPdeflator!$C$38*INDEX(Costs!$E$7:$O$89,MATCH($C349,Costs!$C$7:$C$89,0),MATCH(H$7,Costs!$E$6:$O$6,0))</f>
        <v>29.681863964495918</v>
      </c>
      <c r="I349" s="86">
        <f>GDPdeflator!$C$38*INDEX(Costs!$E$7:$O$89,MATCH($C349,Costs!$C$7:$C$89,0),MATCH(I$7,Costs!$E$6:$O$6,0))</f>
        <v>29.699385725986168</v>
      </c>
      <c r="J349" s="86">
        <f>GDPdeflator!$C$38*INDEX(Costs!$E$7:$O$89,MATCH($C349,Costs!$C$7:$C$89,0),MATCH(J$7,Costs!$E$6:$O$6,0))</f>
        <v>29.138689358297935</v>
      </c>
      <c r="K349" s="86">
        <f>GDPdeflator!$C$38*INDEX(Costs!$E$7:$O$89,MATCH($C349,Costs!$C$7:$C$89,0),MATCH(K$7,Costs!$E$6:$O$6,0))</f>
        <v>29.016037027866133</v>
      </c>
      <c r="L349" s="86">
        <f>GDPdeflator!$C$38*INDEX(Costs!$E$7:$O$89,MATCH($C349,Costs!$C$7:$C$89,0),MATCH(L$7,Costs!$E$6:$O$6,0))</f>
        <v>28.998515266375879</v>
      </c>
      <c r="M349" s="86">
        <f>GDPdeflator!$C$38*INDEX(Costs!$E$7:$O$89,MATCH($C349,Costs!$C$7:$C$89,0),MATCH(M$7,Costs!$E$6:$O$6,0))</f>
        <v>28.998515266375879</v>
      </c>
      <c r="N349" s="86">
        <f>GDPdeflator!$C$38*INDEX(Costs!$E$7:$O$89,MATCH($C349,Costs!$C$7:$C$89,0),MATCH(N$7,Costs!$E$6:$O$6,0))</f>
        <v>28.998515266375879</v>
      </c>
      <c r="O349" s="86">
        <f>GDPdeflator!$C$38*INDEX(Costs!$E$7:$O$89,MATCH($C349,Costs!$C$7:$C$89,0),MATCH(O$7,Costs!$E$6:$O$6,0))</f>
        <v>28.998515266375879</v>
      </c>
      <c r="P349" s="87">
        <f>E349/$AI$18*10^6</f>
        <v>0</v>
      </c>
      <c r="Q349" s="87">
        <f t="shared" si="186"/>
        <v>0</v>
      </c>
      <c r="R349" s="87">
        <f t="shared" si="187"/>
        <v>0</v>
      </c>
      <c r="S349" s="87">
        <f t="shared" si="188"/>
        <v>2478.3806559697787</v>
      </c>
      <c r="T349" s="87">
        <f t="shared" si="189"/>
        <v>2479.8436905954977</v>
      </c>
      <c r="U349" s="87">
        <f t="shared" si="190"/>
        <v>2433.0265825724559</v>
      </c>
      <c r="V349" s="87">
        <f t="shared" si="191"/>
        <v>2422.7853401924158</v>
      </c>
      <c r="W349" s="87">
        <f t="shared" si="192"/>
        <v>2421.3223055666958</v>
      </c>
      <c r="X349" s="87">
        <f t="shared" si="193"/>
        <v>2421.3223055666958</v>
      </c>
      <c r="Y349" s="87">
        <f t="shared" si="194"/>
        <v>2421.3223055666958</v>
      </c>
      <c r="Z349" s="87">
        <f t="shared" si="195"/>
        <v>2421.3223055666958</v>
      </c>
      <c r="AA349" s="88">
        <v>473</v>
      </c>
      <c r="AB349" s="89">
        <f>AA349*GDPdeflator!$C$25/$AI$18*10^3</f>
        <v>45.478712808157368</v>
      </c>
      <c r="AC349" s="90" t="e">
        <f>INDEX(Efficiencies!$D$8:$M$89,MATCH(C349,Efficiencies!$C$8:$C$89),MATCH(D349,Efficiencies!$D$7:$M$7))</f>
        <v>#REF!</v>
      </c>
      <c r="AD349" s="90" t="e">
        <f t="shared" si="196"/>
        <v>#REF!</v>
      </c>
      <c r="AE349" s="90" t="e">
        <f>INDEX(Efficiencies!$P$8:$Y$89,MATCH(C349,Efficiencies!$C$8:$C$89),MATCH(D349,Efficiencies!$P$7:$Y$7))</f>
        <v>#REF!</v>
      </c>
      <c r="AF349" s="90" t="e">
        <f t="shared" si="150"/>
        <v>#REF!</v>
      </c>
      <c r="AG349" s="90">
        <v>0</v>
      </c>
    </row>
    <row r="350" spans="1:33" x14ac:dyDescent="0.2">
      <c r="A350" s="92" t="s">
        <v>1501</v>
      </c>
      <c r="B350" s="248" t="s">
        <v>1502</v>
      </c>
      <c r="C350" s="40" t="s">
        <v>1500</v>
      </c>
      <c r="D350" s="40">
        <v>2015</v>
      </c>
      <c r="E350" s="86">
        <f>GDPdeflator!$C$32*INDEX(Costs!$E$7:$O$89,MATCH($C350,Costs!$C$7:$C$89,0),MATCH(E$7,Costs!$E$6:$O$6,0))</f>
        <v>0</v>
      </c>
      <c r="F350" s="86">
        <f>GDPdeflator!$C$36*INDEX(Costs!$E$7:$O$89,MATCH($C350,Costs!$C$7:$C$89,0),MATCH(F$7,Costs!$E$6:$O$6,0))</f>
        <v>0</v>
      </c>
      <c r="G350" s="86">
        <f>GDPdeflator!$C$38*INDEX(Costs!$E$7:$O$89,MATCH($C350,Costs!$C$7:$C$89,0),MATCH(G$7,Costs!$E$6:$O$6,0))</f>
        <v>0</v>
      </c>
      <c r="H350" s="86">
        <f>GDPdeflator!$C$38*INDEX(Costs!$E$7:$O$89,MATCH($C350,Costs!$C$7:$C$89,0),MATCH(H$7,Costs!$E$6:$O$6,0))</f>
        <v>29.681863964495918</v>
      </c>
      <c r="I350" s="86">
        <f>GDPdeflator!$C$38*INDEX(Costs!$E$7:$O$89,MATCH($C350,Costs!$C$7:$C$89,0),MATCH(I$7,Costs!$E$6:$O$6,0))</f>
        <v>29.699385725986168</v>
      </c>
      <c r="J350" s="86">
        <f>GDPdeflator!$C$38*INDEX(Costs!$E$7:$O$89,MATCH($C350,Costs!$C$7:$C$89,0),MATCH(J$7,Costs!$E$6:$O$6,0))</f>
        <v>29.138689358297935</v>
      </c>
      <c r="K350" s="86">
        <f>GDPdeflator!$C$38*INDEX(Costs!$E$7:$O$89,MATCH($C350,Costs!$C$7:$C$89,0),MATCH(K$7,Costs!$E$6:$O$6,0))</f>
        <v>29.016037027866133</v>
      </c>
      <c r="L350" s="86">
        <f>GDPdeflator!$C$38*INDEX(Costs!$E$7:$O$89,MATCH($C350,Costs!$C$7:$C$89,0),MATCH(L$7,Costs!$E$6:$O$6,0))</f>
        <v>28.998515266375879</v>
      </c>
      <c r="M350" s="86">
        <f>GDPdeflator!$C$38*INDEX(Costs!$E$7:$O$89,MATCH($C350,Costs!$C$7:$C$89,0),MATCH(M$7,Costs!$E$6:$O$6,0))</f>
        <v>28.998515266375879</v>
      </c>
      <c r="N350" s="86">
        <f>GDPdeflator!$C$38*INDEX(Costs!$E$7:$O$89,MATCH($C350,Costs!$C$7:$C$89,0),MATCH(N$7,Costs!$E$6:$O$6,0))</f>
        <v>28.998515266375879</v>
      </c>
      <c r="O350" s="86">
        <f>GDPdeflator!$C$38*INDEX(Costs!$E$7:$O$89,MATCH($C350,Costs!$C$7:$C$89,0),MATCH(O$7,Costs!$E$6:$O$6,0))</f>
        <v>28.998515266375879</v>
      </c>
      <c r="P350" s="87">
        <f t="shared" ref="P350:P357" si="197">E350/$AI$18*10^6</f>
        <v>0</v>
      </c>
      <c r="Q350" s="87">
        <f t="shared" si="186"/>
        <v>0</v>
      </c>
      <c r="R350" s="87">
        <f t="shared" si="187"/>
        <v>0</v>
      </c>
      <c r="S350" s="87">
        <f t="shared" si="188"/>
        <v>2478.3806559697787</v>
      </c>
      <c r="T350" s="87">
        <f t="shared" si="189"/>
        <v>2479.8436905954977</v>
      </c>
      <c r="U350" s="87">
        <f t="shared" si="190"/>
        <v>2433.0265825724559</v>
      </c>
      <c r="V350" s="87">
        <f t="shared" si="191"/>
        <v>2422.7853401924158</v>
      </c>
      <c r="W350" s="87">
        <f t="shared" si="192"/>
        <v>2421.3223055666958</v>
      </c>
      <c r="X350" s="87">
        <f t="shared" si="193"/>
        <v>2421.3223055666958</v>
      </c>
      <c r="Y350" s="87">
        <f t="shared" si="194"/>
        <v>2421.3223055666958</v>
      </c>
      <c r="Z350" s="87">
        <f t="shared" si="195"/>
        <v>2421.3223055666958</v>
      </c>
      <c r="AA350" s="88">
        <v>473</v>
      </c>
      <c r="AB350" s="89">
        <f>AA350*GDPdeflator!$C$25/$AI$18*10^3</f>
        <v>45.478712808157368</v>
      </c>
      <c r="AC350" s="90" t="e">
        <f>INDEX(Efficiencies!$D$8:$M$89,MATCH(C350,Efficiencies!$C$8:$C$89),MATCH(D350,Efficiencies!$D$7:$M$7))</f>
        <v>#REF!</v>
      </c>
      <c r="AD350" s="90" t="e">
        <f t="shared" si="196"/>
        <v>#REF!</v>
      </c>
      <c r="AE350" s="90" t="e">
        <f>INDEX(Efficiencies!$P$8:$Y$89,MATCH(C350,Efficiencies!$C$8:$C$89),MATCH(D350,Efficiencies!$P$7:$Y$7))</f>
        <v>#REF!</v>
      </c>
      <c r="AF350" s="90" t="e">
        <f t="shared" si="150"/>
        <v>#REF!</v>
      </c>
      <c r="AG350" s="90">
        <v>0</v>
      </c>
    </row>
    <row r="351" spans="1:33" x14ac:dyDescent="0.2">
      <c r="A351" s="92" t="s">
        <v>1503</v>
      </c>
      <c r="B351" s="248" t="s">
        <v>1504</v>
      </c>
      <c r="C351" s="40" t="s">
        <v>1500</v>
      </c>
      <c r="D351" s="40">
        <v>2020</v>
      </c>
      <c r="E351" s="86">
        <f>GDPdeflator!$C$32*INDEX(Costs!$E$7:$O$89,MATCH($C351,Costs!$C$7:$C$89,0),MATCH(E$7,Costs!$E$6:$O$6,0))</f>
        <v>0</v>
      </c>
      <c r="F351" s="86">
        <f>GDPdeflator!$C$36*INDEX(Costs!$E$7:$O$89,MATCH($C351,Costs!$C$7:$C$89,0),MATCH(F$7,Costs!$E$6:$O$6,0))</f>
        <v>0</v>
      </c>
      <c r="G351" s="86">
        <f>GDPdeflator!$C$38*INDEX(Costs!$E$7:$O$89,MATCH($C351,Costs!$C$7:$C$89,0),MATCH(G$7,Costs!$E$6:$O$6,0))</f>
        <v>0</v>
      </c>
      <c r="H351" s="86">
        <f>GDPdeflator!$C$38*INDEX(Costs!$E$7:$O$89,MATCH($C351,Costs!$C$7:$C$89,0),MATCH(H$7,Costs!$E$6:$O$6,0))</f>
        <v>29.681863964495918</v>
      </c>
      <c r="I351" s="86">
        <f>GDPdeflator!$C$38*INDEX(Costs!$E$7:$O$89,MATCH($C351,Costs!$C$7:$C$89,0),MATCH(I$7,Costs!$E$6:$O$6,0))</f>
        <v>29.699385725986168</v>
      </c>
      <c r="J351" s="86">
        <f>GDPdeflator!$C$38*INDEX(Costs!$E$7:$O$89,MATCH($C351,Costs!$C$7:$C$89,0),MATCH(J$7,Costs!$E$6:$O$6,0))</f>
        <v>29.138689358297935</v>
      </c>
      <c r="K351" s="86">
        <f>GDPdeflator!$C$38*INDEX(Costs!$E$7:$O$89,MATCH($C351,Costs!$C$7:$C$89,0),MATCH(K$7,Costs!$E$6:$O$6,0))</f>
        <v>29.016037027866133</v>
      </c>
      <c r="L351" s="86">
        <f>GDPdeflator!$C$38*INDEX(Costs!$E$7:$O$89,MATCH($C351,Costs!$C$7:$C$89,0),MATCH(L$7,Costs!$E$6:$O$6,0))</f>
        <v>28.998515266375879</v>
      </c>
      <c r="M351" s="86">
        <f>GDPdeflator!$C$38*INDEX(Costs!$E$7:$O$89,MATCH($C351,Costs!$C$7:$C$89,0),MATCH(M$7,Costs!$E$6:$O$6,0))</f>
        <v>28.998515266375879</v>
      </c>
      <c r="N351" s="86">
        <f>GDPdeflator!$C$38*INDEX(Costs!$E$7:$O$89,MATCH($C351,Costs!$C$7:$C$89,0),MATCH(N$7,Costs!$E$6:$O$6,0))</f>
        <v>28.998515266375879</v>
      </c>
      <c r="O351" s="86">
        <f>GDPdeflator!$C$38*INDEX(Costs!$E$7:$O$89,MATCH($C351,Costs!$C$7:$C$89,0),MATCH(O$7,Costs!$E$6:$O$6,0))</f>
        <v>28.998515266375879</v>
      </c>
      <c r="P351" s="87">
        <f t="shared" si="197"/>
        <v>0</v>
      </c>
      <c r="Q351" s="87">
        <f t="shared" si="186"/>
        <v>0</v>
      </c>
      <c r="R351" s="87">
        <f t="shared" si="187"/>
        <v>0</v>
      </c>
      <c r="S351" s="87">
        <f t="shared" si="188"/>
        <v>2478.3806559697787</v>
      </c>
      <c r="T351" s="87">
        <f t="shared" si="189"/>
        <v>2479.8436905954977</v>
      </c>
      <c r="U351" s="87">
        <f t="shared" si="190"/>
        <v>2433.0265825724559</v>
      </c>
      <c r="V351" s="87">
        <f t="shared" si="191"/>
        <v>2422.7853401924158</v>
      </c>
      <c r="W351" s="87">
        <f t="shared" si="192"/>
        <v>2421.3223055666958</v>
      </c>
      <c r="X351" s="87">
        <f t="shared" si="193"/>
        <v>2421.3223055666958</v>
      </c>
      <c r="Y351" s="87">
        <f t="shared" si="194"/>
        <v>2421.3223055666958</v>
      </c>
      <c r="Z351" s="87">
        <f t="shared" si="195"/>
        <v>2421.3223055666958</v>
      </c>
      <c r="AA351" s="88">
        <v>473</v>
      </c>
      <c r="AB351" s="89">
        <f>AA351*GDPdeflator!$C$25/$AI$18*10^3</f>
        <v>45.478712808157368</v>
      </c>
      <c r="AC351" s="90" t="e">
        <f>INDEX(Efficiencies!$D$8:$M$89,MATCH(C351,Efficiencies!$C$8:$C$89),MATCH(D351,Efficiencies!$D$7:$M$7))</f>
        <v>#REF!</v>
      </c>
      <c r="AD351" s="90" t="e">
        <f t="shared" si="196"/>
        <v>#REF!</v>
      </c>
      <c r="AE351" s="90" t="e">
        <f>INDEX(Efficiencies!$P$8:$Y$89,MATCH(C351,Efficiencies!$C$8:$C$89),MATCH(D351,Efficiencies!$P$7:$Y$7))</f>
        <v>#REF!</v>
      </c>
      <c r="AF351" s="90" t="e">
        <f t="shared" si="150"/>
        <v>#REF!</v>
      </c>
      <c r="AG351" s="90">
        <v>0</v>
      </c>
    </row>
    <row r="352" spans="1:33" x14ac:dyDescent="0.2">
      <c r="A352" s="92" t="s">
        <v>1505</v>
      </c>
      <c r="B352" s="248" t="s">
        <v>1506</v>
      </c>
      <c r="C352" s="40" t="s">
        <v>1500</v>
      </c>
      <c r="D352" s="40">
        <v>2025</v>
      </c>
      <c r="E352" s="86">
        <f>GDPdeflator!$C$32*INDEX(Costs!$E$7:$O$89,MATCH($C352,Costs!$C$7:$C$89,0),MATCH(E$7,Costs!$E$6:$O$6,0))</f>
        <v>0</v>
      </c>
      <c r="F352" s="86">
        <f>GDPdeflator!$C$36*INDEX(Costs!$E$7:$O$89,MATCH($C352,Costs!$C$7:$C$89,0),MATCH(F$7,Costs!$E$6:$O$6,0))</f>
        <v>0</v>
      </c>
      <c r="G352" s="86">
        <f>GDPdeflator!$C$38*INDEX(Costs!$E$7:$O$89,MATCH($C352,Costs!$C$7:$C$89,0),MATCH(G$7,Costs!$E$6:$O$6,0))</f>
        <v>0</v>
      </c>
      <c r="H352" s="86">
        <f>GDPdeflator!$C$38*INDEX(Costs!$E$7:$O$89,MATCH($C352,Costs!$C$7:$C$89,0),MATCH(H$7,Costs!$E$6:$O$6,0))</f>
        <v>29.681863964495918</v>
      </c>
      <c r="I352" s="86">
        <f>GDPdeflator!$C$38*INDEX(Costs!$E$7:$O$89,MATCH($C352,Costs!$C$7:$C$89,0),MATCH(I$7,Costs!$E$6:$O$6,0))</f>
        <v>29.699385725986168</v>
      </c>
      <c r="J352" s="86">
        <f>GDPdeflator!$C$38*INDEX(Costs!$E$7:$O$89,MATCH($C352,Costs!$C$7:$C$89,0),MATCH(J$7,Costs!$E$6:$O$6,0))</f>
        <v>29.138689358297935</v>
      </c>
      <c r="K352" s="86">
        <f>GDPdeflator!$C$38*INDEX(Costs!$E$7:$O$89,MATCH($C352,Costs!$C$7:$C$89,0),MATCH(K$7,Costs!$E$6:$O$6,0))</f>
        <v>29.016037027866133</v>
      </c>
      <c r="L352" s="86">
        <f>GDPdeflator!$C$38*INDEX(Costs!$E$7:$O$89,MATCH($C352,Costs!$C$7:$C$89,0),MATCH(L$7,Costs!$E$6:$O$6,0))</f>
        <v>28.998515266375879</v>
      </c>
      <c r="M352" s="86">
        <f>GDPdeflator!$C$38*INDEX(Costs!$E$7:$O$89,MATCH($C352,Costs!$C$7:$C$89,0),MATCH(M$7,Costs!$E$6:$O$6,0))</f>
        <v>28.998515266375879</v>
      </c>
      <c r="N352" s="86">
        <f>GDPdeflator!$C$38*INDEX(Costs!$E$7:$O$89,MATCH($C352,Costs!$C$7:$C$89,0),MATCH(N$7,Costs!$E$6:$O$6,0))</f>
        <v>28.998515266375879</v>
      </c>
      <c r="O352" s="86">
        <f>GDPdeflator!$C$38*INDEX(Costs!$E$7:$O$89,MATCH($C352,Costs!$C$7:$C$89,0),MATCH(O$7,Costs!$E$6:$O$6,0))</f>
        <v>28.998515266375879</v>
      </c>
      <c r="P352" s="87">
        <f t="shared" si="197"/>
        <v>0</v>
      </c>
      <c r="Q352" s="87">
        <f t="shared" si="186"/>
        <v>0</v>
      </c>
      <c r="R352" s="87">
        <f t="shared" si="187"/>
        <v>0</v>
      </c>
      <c r="S352" s="87">
        <f t="shared" si="188"/>
        <v>2478.3806559697787</v>
      </c>
      <c r="T352" s="87">
        <f t="shared" si="189"/>
        <v>2479.8436905954977</v>
      </c>
      <c r="U352" s="87">
        <f t="shared" si="190"/>
        <v>2433.0265825724559</v>
      </c>
      <c r="V352" s="87">
        <f t="shared" si="191"/>
        <v>2422.7853401924158</v>
      </c>
      <c r="W352" s="87">
        <f t="shared" si="192"/>
        <v>2421.3223055666958</v>
      </c>
      <c r="X352" s="87">
        <f t="shared" si="193"/>
        <v>2421.3223055666958</v>
      </c>
      <c r="Y352" s="87">
        <f t="shared" si="194"/>
        <v>2421.3223055666958</v>
      </c>
      <c r="Z352" s="87">
        <f t="shared" si="195"/>
        <v>2421.3223055666958</v>
      </c>
      <c r="AA352" s="88">
        <v>473</v>
      </c>
      <c r="AB352" s="89">
        <f>AA352*GDPdeflator!$C$25/$AI$18*10^3</f>
        <v>45.478712808157368</v>
      </c>
      <c r="AC352" s="90" t="e">
        <f>INDEX(Efficiencies!$D$8:$M$89,MATCH(C352,Efficiencies!$C$8:$C$89),MATCH(D352,Efficiencies!$D$7:$M$7))</f>
        <v>#REF!</v>
      </c>
      <c r="AD352" s="90" t="e">
        <f t="shared" si="196"/>
        <v>#REF!</v>
      </c>
      <c r="AE352" s="90" t="e">
        <f>INDEX(Efficiencies!$P$8:$Y$89,MATCH(C352,Efficiencies!$C$8:$C$89),MATCH(D352,Efficiencies!$P$7:$Y$7))</f>
        <v>#REF!</v>
      </c>
      <c r="AF352" s="90" t="e">
        <f t="shared" si="150"/>
        <v>#REF!</v>
      </c>
      <c r="AG352" s="90">
        <v>0</v>
      </c>
    </row>
    <row r="353" spans="1:33" x14ac:dyDescent="0.2">
      <c r="A353" s="92" t="s">
        <v>1507</v>
      </c>
      <c r="B353" s="248" t="s">
        <v>1508</v>
      </c>
      <c r="C353" s="40" t="s">
        <v>1500</v>
      </c>
      <c r="D353" s="40">
        <v>2030</v>
      </c>
      <c r="E353" s="86">
        <f>GDPdeflator!$C$32*INDEX(Costs!$E$7:$O$89,MATCH($C353,Costs!$C$7:$C$89,0),MATCH(E$7,Costs!$E$6:$O$6,0))</f>
        <v>0</v>
      </c>
      <c r="F353" s="86">
        <f>GDPdeflator!$C$36*INDEX(Costs!$E$7:$O$89,MATCH($C353,Costs!$C$7:$C$89,0),MATCH(F$7,Costs!$E$6:$O$6,0))</f>
        <v>0</v>
      </c>
      <c r="G353" s="86">
        <f>GDPdeflator!$C$38*INDEX(Costs!$E$7:$O$89,MATCH($C353,Costs!$C$7:$C$89,0),MATCH(G$7,Costs!$E$6:$O$6,0))</f>
        <v>0</v>
      </c>
      <c r="H353" s="86">
        <f>GDPdeflator!$C$38*INDEX(Costs!$E$7:$O$89,MATCH($C353,Costs!$C$7:$C$89,0),MATCH(H$7,Costs!$E$6:$O$6,0))</f>
        <v>29.681863964495918</v>
      </c>
      <c r="I353" s="86">
        <f>GDPdeflator!$C$38*INDEX(Costs!$E$7:$O$89,MATCH($C353,Costs!$C$7:$C$89,0),MATCH(I$7,Costs!$E$6:$O$6,0))</f>
        <v>29.699385725986168</v>
      </c>
      <c r="J353" s="86">
        <f>GDPdeflator!$C$38*INDEX(Costs!$E$7:$O$89,MATCH($C353,Costs!$C$7:$C$89,0),MATCH(J$7,Costs!$E$6:$O$6,0))</f>
        <v>29.138689358297935</v>
      </c>
      <c r="K353" s="86">
        <f>GDPdeflator!$C$38*INDEX(Costs!$E$7:$O$89,MATCH($C353,Costs!$C$7:$C$89,0),MATCH(K$7,Costs!$E$6:$O$6,0))</f>
        <v>29.016037027866133</v>
      </c>
      <c r="L353" s="86">
        <f>GDPdeflator!$C$38*INDEX(Costs!$E$7:$O$89,MATCH($C353,Costs!$C$7:$C$89,0),MATCH(L$7,Costs!$E$6:$O$6,0))</f>
        <v>28.998515266375879</v>
      </c>
      <c r="M353" s="86">
        <f>GDPdeflator!$C$38*INDEX(Costs!$E$7:$O$89,MATCH($C353,Costs!$C$7:$C$89,0),MATCH(M$7,Costs!$E$6:$O$6,0))</f>
        <v>28.998515266375879</v>
      </c>
      <c r="N353" s="86">
        <f>GDPdeflator!$C$38*INDEX(Costs!$E$7:$O$89,MATCH($C353,Costs!$C$7:$C$89,0),MATCH(N$7,Costs!$E$6:$O$6,0))</f>
        <v>28.998515266375879</v>
      </c>
      <c r="O353" s="86">
        <f>GDPdeflator!$C$38*INDEX(Costs!$E$7:$O$89,MATCH($C353,Costs!$C$7:$C$89,0),MATCH(O$7,Costs!$E$6:$O$6,0))</f>
        <v>28.998515266375879</v>
      </c>
      <c r="P353" s="87">
        <f t="shared" si="197"/>
        <v>0</v>
      </c>
      <c r="Q353" s="87">
        <f t="shared" si="186"/>
        <v>0</v>
      </c>
      <c r="R353" s="87">
        <f t="shared" si="187"/>
        <v>0</v>
      </c>
      <c r="S353" s="87">
        <f t="shared" si="188"/>
        <v>2478.3806559697787</v>
      </c>
      <c r="T353" s="87">
        <f t="shared" si="189"/>
        <v>2479.8436905954977</v>
      </c>
      <c r="U353" s="87">
        <f t="shared" si="190"/>
        <v>2433.0265825724559</v>
      </c>
      <c r="V353" s="87">
        <f t="shared" si="191"/>
        <v>2422.7853401924158</v>
      </c>
      <c r="W353" s="87">
        <f t="shared" si="192"/>
        <v>2421.3223055666958</v>
      </c>
      <c r="X353" s="87">
        <f t="shared" si="193"/>
        <v>2421.3223055666958</v>
      </c>
      <c r="Y353" s="87">
        <f t="shared" si="194"/>
        <v>2421.3223055666958</v>
      </c>
      <c r="Z353" s="87">
        <f t="shared" si="195"/>
        <v>2421.3223055666958</v>
      </c>
      <c r="AA353" s="88">
        <v>473</v>
      </c>
      <c r="AB353" s="89">
        <f>AA353*GDPdeflator!$C$25/$AI$18*10^3</f>
        <v>45.478712808157368</v>
      </c>
      <c r="AC353" s="90" t="e">
        <f>INDEX(Efficiencies!$D$8:$M$89,MATCH(C353,Efficiencies!$C$8:$C$89),MATCH(D353,Efficiencies!$D$7:$M$7))</f>
        <v>#REF!</v>
      </c>
      <c r="AD353" s="90" t="e">
        <f t="shared" si="196"/>
        <v>#REF!</v>
      </c>
      <c r="AE353" s="90" t="e">
        <f>INDEX(Efficiencies!$P$8:$Y$89,MATCH(C353,Efficiencies!$C$8:$C$89),MATCH(D353,Efficiencies!$P$7:$Y$7))</f>
        <v>#REF!</v>
      </c>
      <c r="AF353" s="90" t="e">
        <f t="shared" si="150"/>
        <v>#REF!</v>
      </c>
      <c r="AG353" s="90">
        <v>0</v>
      </c>
    </row>
    <row r="354" spans="1:33" x14ac:dyDescent="0.2">
      <c r="A354" s="92" t="s">
        <v>1509</v>
      </c>
      <c r="B354" s="248" t="s">
        <v>1510</v>
      </c>
      <c r="C354" s="40" t="s">
        <v>1500</v>
      </c>
      <c r="D354" s="40">
        <v>2035</v>
      </c>
      <c r="E354" s="86">
        <f>GDPdeflator!$C$32*INDEX(Costs!$E$7:$O$89,MATCH($C354,Costs!$C$7:$C$89,0),MATCH(E$7,Costs!$E$6:$O$6,0))</f>
        <v>0</v>
      </c>
      <c r="F354" s="86">
        <f>GDPdeflator!$C$36*INDEX(Costs!$E$7:$O$89,MATCH($C354,Costs!$C$7:$C$89,0),MATCH(F$7,Costs!$E$6:$O$6,0))</f>
        <v>0</v>
      </c>
      <c r="G354" s="86">
        <f>GDPdeflator!$C$38*INDEX(Costs!$E$7:$O$89,MATCH($C354,Costs!$C$7:$C$89,0),MATCH(G$7,Costs!$E$6:$O$6,0))</f>
        <v>0</v>
      </c>
      <c r="H354" s="86">
        <f>GDPdeflator!$C$38*INDEX(Costs!$E$7:$O$89,MATCH($C354,Costs!$C$7:$C$89,0),MATCH(H$7,Costs!$E$6:$O$6,0))</f>
        <v>29.681863964495918</v>
      </c>
      <c r="I354" s="86">
        <f>GDPdeflator!$C$38*INDEX(Costs!$E$7:$O$89,MATCH($C354,Costs!$C$7:$C$89,0),MATCH(I$7,Costs!$E$6:$O$6,0))</f>
        <v>29.699385725986168</v>
      </c>
      <c r="J354" s="86">
        <f>GDPdeflator!$C$38*INDEX(Costs!$E$7:$O$89,MATCH($C354,Costs!$C$7:$C$89,0),MATCH(J$7,Costs!$E$6:$O$6,0))</f>
        <v>29.138689358297935</v>
      </c>
      <c r="K354" s="86">
        <f>GDPdeflator!$C$38*INDEX(Costs!$E$7:$O$89,MATCH($C354,Costs!$C$7:$C$89,0),MATCH(K$7,Costs!$E$6:$O$6,0))</f>
        <v>29.016037027866133</v>
      </c>
      <c r="L354" s="86">
        <f>GDPdeflator!$C$38*INDEX(Costs!$E$7:$O$89,MATCH($C354,Costs!$C$7:$C$89,0),MATCH(L$7,Costs!$E$6:$O$6,0))</f>
        <v>28.998515266375879</v>
      </c>
      <c r="M354" s="86">
        <f>GDPdeflator!$C$38*INDEX(Costs!$E$7:$O$89,MATCH($C354,Costs!$C$7:$C$89,0),MATCH(M$7,Costs!$E$6:$O$6,0))</f>
        <v>28.998515266375879</v>
      </c>
      <c r="N354" s="86">
        <f>GDPdeflator!$C$38*INDEX(Costs!$E$7:$O$89,MATCH($C354,Costs!$C$7:$C$89,0),MATCH(N$7,Costs!$E$6:$O$6,0))</f>
        <v>28.998515266375879</v>
      </c>
      <c r="O354" s="86">
        <f>GDPdeflator!$C$38*INDEX(Costs!$E$7:$O$89,MATCH($C354,Costs!$C$7:$C$89,0),MATCH(O$7,Costs!$E$6:$O$6,0))</f>
        <v>28.998515266375879</v>
      </c>
      <c r="P354" s="87">
        <f t="shared" si="197"/>
        <v>0</v>
      </c>
      <c r="Q354" s="87">
        <f t="shared" si="186"/>
        <v>0</v>
      </c>
      <c r="R354" s="87">
        <f t="shared" si="187"/>
        <v>0</v>
      </c>
      <c r="S354" s="87">
        <f t="shared" si="188"/>
        <v>2478.3806559697787</v>
      </c>
      <c r="T354" s="87">
        <f t="shared" si="189"/>
        <v>2479.8436905954977</v>
      </c>
      <c r="U354" s="87">
        <f t="shared" si="190"/>
        <v>2433.0265825724559</v>
      </c>
      <c r="V354" s="87">
        <f t="shared" si="191"/>
        <v>2422.7853401924158</v>
      </c>
      <c r="W354" s="87">
        <f t="shared" si="192"/>
        <v>2421.3223055666958</v>
      </c>
      <c r="X354" s="87">
        <f t="shared" si="193"/>
        <v>2421.3223055666958</v>
      </c>
      <c r="Y354" s="87">
        <f t="shared" si="194"/>
        <v>2421.3223055666958</v>
      </c>
      <c r="Z354" s="87">
        <f t="shared" si="195"/>
        <v>2421.3223055666958</v>
      </c>
      <c r="AA354" s="88">
        <v>473</v>
      </c>
      <c r="AB354" s="89">
        <f>AA354*GDPdeflator!$C$25/$AI$18*10^3</f>
        <v>45.478712808157368</v>
      </c>
      <c r="AC354" s="90" t="e">
        <f>INDEX(Efficiencies!$D$8:$M$89,MATCH(C354,Efficiencies!$C$8:$C$89),MATCH(D354,Efficiencies!$D$7:$M$7))</f>
        <v>#REF!</v>
      </c>
      <c r="AD354" s="90" t="e">
        <f t="shared" si="196"/>
        <v>#REF!</v>
      </c>
      <c r="AE354" s="90" t="e">
        <f>INDEX(Efficiencies!$P$8:$Y$89,MATCH(C354,Efficiencies!$C$8:$C$89),MATCH(D354,Efficiencies!$P$7:$Y$7))</f>
        <v>#REF!</v>
      </c>
      <c r="AF354" s="90" t="e">
        <f t="shared" si="150"/>
        <v>#REF!</v>
      </c>
      <c r="AG354" s="90">
        <v>0</v>
      </c>
    </row>
    <row r="355" spans="1:33" x14ac:dyDescent="0.2">
      <c r="A355" s="92" t="s">
        <v>1511</v>
      </c>
      <c r="B355" s="248" t="s">
        <v>1512</v>
      </c>
      <c r="C355" s="40" t="s">
        <v>1500</v>
      </c>
      <c r="D355" s="40">
        <v>2040</v>
      </c>
      <c r="E355" s="86">
        <f>GDPdeflator!$C$32*INDEX(Costs!$E$7:$O$89,MATCH($C355,Costs!$C$7:$C$89,0),MATCH(E$7,Costs!$E$6:$O$6,0))</f>
        <v>0</v>
      </c>
      <c r="F355" s="86">
        <f>GDPdeflator!$C$36*INDEX(Costs!$E$7:$O$89,MATCH($C355,Costs!$C$7:$C$89,0),MATCH(F$7,Costs!$E$6:$O$6,0))</f>
        <v>0</v>
      </c>
      <c r="G355" s="86">
        <f>GDPdeflator!$C$38*INDEX(Costs!$E$7:$O$89,MATCH($C355,Costs!$C$7:$C$89,0),MATCH(G$7,Costs!$E$6:$O$6,0))</f>
        <v>0</v>
      </c>
      <c r="H355" s="86">
        <f>GDPdeflator!$C$38*INDEX(Costs!$E$7:$O$89,MATCH($C355,Costs!$C$7:$C$89,0),MATCH(H$7,Costs!$E$6:$O$6,0))</f>
        <v>29.681863964495918</v>
      </c>
      <c r="I355" s="86">
        <f>GDPdeflator!$C$38*INDEX(Costs!$E$7:$O$89,MATCH($C355,Costs!$C$7:$C$89,0),MATCH(I$7,Costs!$E$6:$O$6,0))</f>
        <v>29.699385725986168</v>
      </c>
      <c r="J355" s="86">
        <f>GDPdeflator!$C$38*INDEX(Costs!$E$7:$O$89,MATCH($C355,Costs!$C$7:$C$89,0),MATCH(J$7,Costs!$E$6:$O$6,0))</f>
        <v>29.138689358297935</v>
      </c>
      <c r="K355" s="86">
        <f>GDPdeflator!$C$38*INDEX(Costs!$E$7:$O$89,MATCH($C355,Costs!$C$7:$C$89,0),MATCH(K$7,Costs!$E$6:$O$6,0))</f>
        <v>29.016037027866133</v>
      </c>
      <c r="L355" s="86">
        <f>GDPdeflator!$C$38*INDEX(Costs!$E$7:$O$89,MATCH($C355,Costs!$C$7:$C$89,0),MATCH(L$7,Costs!$E$6:$O$6,0))</f>
        <v>28.998515266375879</v>
      </c>
      <c r="M355" s="86">
        <f>GDPdeflator!$C$38*INDEX(Costs!$E$7:$O$89,MATCH($C355,Costs!$C$7:$C$89,0),MATCH(M$7,Costs!$E$6:$O$6,0))</f>
        <v>28.998515266375879</v>
      </c>
      <c r="N355" s="86">
        <f>GDPdeflator!$C$38*INDEX(Costs!$E$7:$O$89,MATCH($C355,Costs!$C$7:$C$89,0),MATCH(N$7,Costs!$E$6:$O$6,0))</f>
        <v>28.998515266375879</v>
      </c>
      <c r="O355" s="86">
        <f>GDPdeflator!$C$38*INDEX(Costs!$E$7:$O$89,MATCH($C355,Costs!$C$7:$C$89,0),MATCH(O$7,Costs!$E$6:$O$6,0))</f>
        <v>28.998515266375879</v>
      </c>
      <c r="P355" s="87">
        <f t="shared" si="197"/>
        <v>0</v>
      </c>
      <c r="Q355" s="87">
        <f t="shared" si="186"/>
        <v>0</v>
      </c>
      <c r="R355" s="87">
        <f t="shared" si="187"/>
        <v>0</v>
      </c>
      <c r="S355" s="87">
        <f t="shared" si="188"/>
        <v>2478.3806559697787</v>
      </c>
      <c r="T355" s="87">
        <f t="shared" si="189"/>
        <v>2479.8436905954977</v>
      </c>
      <c r="U355" s="87">
        <f t="shared" si="190"/>
        <v>2433.0265825724559</v>
      </c>
      <c r="V355" s="87">
        <f t="shared" si="191"/>
        <v>2422.7853401924158</v>
      </c>
      <c r="W355" s="87">
        <f t="shared" si="192"/>
        <v>2421.3223055666958</v>
      </c>
      <c r="X355" s="87">
        <f t="shared" si="193"/>
        <v>2421.3223055666958</v>
      </c>
      <c r="Y355" s="87">
        <f t="shared" si="194"/>
        <v>2421.3223055666958</v>
      </c>
      <c r="Z355" s="87">
        <f t="shared" si="195"/>
        <v>2421.3223055666958</v>
      </c>
      <c r="AA355" s="88">
        <v>473</v>
      </c>
      <c r="AB355" s="89">
        <f>AA355*GDPdeflator!$C$25/$AI$18*10^3</f>
        <v>45.478712808157368</v>
      </c>
      <c r="AC355" s="90" t="e">
        <f>INDEX(Efficiencies!$D$8:$M$89,MATCH(C355,Efficiencies!$C$8:$C$89),MATCH(D355,Efficiencies!$D$7:$M$7))</f>
        <v>#REF!</v>
      </c>
      <c r="AD355" s="90" t="e">
        <f t="shared" si="196"/>
        <v>#REF!</v>
      </c>
      <c r="AE355" s="90" t="e">
        <f>INDEX(Efficiencies!$P$8:$Y$89,MATCH(C355,Efficiencies!$C$8:$C$89),MATCH(D355,Efficiencies!$P$7:$Y$7))</f>
        <v>#REF!</v>
      </c>
      <c r="AF355" s="90" t="e">
        <f t="shared" si="150"/>
        <v>#REF!</v>
      </c>
      <c r="AG355" s="90">
        <v>0</v>
      </c>
    </row>
    <row r="356" spans="1:33" x14ac:dyDescent="0.2">
      <c r="A356" s="92" t="s">
        <v>1513</v>
      </c>
      <c r="B356" s="248" t="s">
        <v>1514</v>
      </c>
      <c r="C356" s="40" t="s">
        <v>1500</v>
      </c>
      <c r="D356" s="40">
        <v>2045</v>
      </c>
      <c r="E356" s="86">
        <f>GDPdeflator!$C$32*INDEX(Costs!$E$7:$O$89,MATCH($C356,Costs!$C$7:$C$89,0),MATCH(E$7,Costs!$E$6:$O$6,0))</f>
        <v>0</v>
      </c>
      <c r="F356" s="86">
        <f>GDPdeflator!$C$36*INDEX(Costs!$E$7:$O$89,MATCH($C356,Costs!$C$7:$C$89,0),MATCH(F$7,Costs!$E$6:$O$6,0))</f>
        <v>0</v>
      </c>
      <c r="G356" s="86">
        <f>GDPdeflator!$C$38*INDEX(Costs!$E$7:$O$89,MATCH($C356,Costs!$C$7:$C$89,0),MATCH(G$7,Costs!$E$6:$O$6,0))</f>
        <v>0</v>
      </c>
      <c r="H356" s="86">
        <f>GDPdeflator!$C$38*INDEX(Costs!$E$7:$O$89,MATCH($C356,Costs!$C$7:$C$89,0),MATCH(H$7,Costs!$E$6:$O$6,0))</f>
        <v>29.681863964495918</v>
      </c>
      <c r="I356" s="86">
        <f>GDPdeflator!$C$38*INDEX(Costs!$E$7:$O$89,MATCH($C356,Costs!$C$7:$C$89,0),MATCH(I$7,Costs!$E$6:$O$6,0))</f>
        <v>29.699385725986168</v>
      </c>
      <c r="J356" s="86">
        <f>GDPdeflator!$C$38*INDEX(Costs!$E$7:$O$89,MATCH($C356,Costs!$C$7:$C$89,0),MATCH(J$7,Costs!$E$6:$O$6,0))</f>
        <v>29.138689358297935</v>
      </c>
      <c r="K356" s="86">
        <f>GDPdeflator!$C$38*INDEX(Costs!$E$7:$O$89,MATCH($C356,Costs!$C$7:$C$89,0),MATCH(K$7,Costs!$E$6:$O$6,0))</f>
        <v>29.016037027866133</v>
      </c>
      <c r="L356" s="86">
        <f>GDPdeflator!$C$38*INDEX(Costs!$E$7:$O$89,MATCH($C356,Costs!$C$7:$C$89,0),MATCH(L$7,Costs!$E$6:$O$6,0))</f>
        <v>28.998515266375879</v>
      </c>
      <c r="M356" s="86">
        <f>GDPdeflator!$C$38*INDEX(Costs!$E$7:$O$89,MATCH($C356,Costs!$C$7:$C$89,0),MATCH(M$7,Costs!$E$6:$O$6,0))</f>
        <v>28.998515266375879</v>
      </c>
      <c r="N356" s="86">
        <f>GDPdeflator!$C$38*INDEX(Costs!$E$7:$O$89,MATCH($C356,Costs!$C$7:$C$89,0),MATCH(N$7,Costs!$E$6:$O$6,0))</f>
        <v>28.998515266375879</v>
      </c>
      <c r="O356" s="86">
        <f>GDPdeflator!$C$38*INDEX(Costs!$E$7:$O$89,MATCH($C356,Costs!$C$7:$C$89,0),MATCH(O$7,Costs!$E$6:$O$6,0))</f>
        <v>28.998515266375879</v>
      </c>
      <c r="P356" s="87">
        <f t="shared" si="197"/>
        <v>0</v>
      </c>
      <c r="Q356" s="87">
        <f t="shared" si="186"/>
        <v>0</v>
      </c>
      <c r="R356" s="87">
        <f t="shared" si="187"/>
        <v>0</v>
      </c>
      <c r="S356" s="87">
        <f t="shared" si="188"/>
        <v>2478.3806559697787</v>
      </c>
      <c r="T356" s="87">
        <f t="shared" si="189"/>
        <v>2479.8436905954977</v>
      </c>
      <c r="U356" s="87">
        <f t="shared" si="190"/>
        <v>2433.0265825724559</v>
      </c>
      <c r="V356" s="87">
        <f t="shared" si="191"/>
        <v>2422.7853401924158</v>
      </c>
      <c r="W356" s="87">
        <f t="shared" si="192"/>
        <v>2421.3223055666958</v>
      </c>
      <c r="X356" s="87">
        <f t="shared" si="193"/>
        <v>2421.3223055666958</v>
      </c>
      <c r="Y356" s="87">
        <f t="shared" si="194"/>
        <v>2421.3223055666958</v>
      </c>
      <c r="Z356" s="87">
        <f t="shared" si="195"/>
        <v>2421.3223055666958</v>
      </c>
      <c r="AA356" s="88">
        <v>473</v>
      </c>
      <c r="AB356" s="89">
        <f>AA356*GDPdeflator!$C$25/$AI$18*10^3</f>
        <v>45.478712808157368</v>
      </c>
      <c r="AC356" s="90" t="e">
        <f>INDEX(Efficiencies!$D$8:$M$89,MATCH(C356,Efficiencies!$C$8:$C$89),MATCH(D356,Efficiencies!$D$7:$M$7))</f>
        <v>#REF!</v>
      </c>
      <c r="AD356" s="90" t="e">
        <f t="shared" si="196"/>
        <v>#REF!</v>
      </c>
      <c r="AE356" s="90" t="e">
        <f>INDEX(Efficiencies!$P$8:$Y$89,MATCH(C356,Efficiencies!$C$8:$C$89),MATCH(D356,Efficiencies!$P$7:$Y$7))</f>
        <v>#REF!</v>
      </c>
      <c r="AF356" s="90" t="e">
        <f t="shared" si="150"/>
        <v>#REF!</v>
      </c>
      <c r="AG356" s="90">
        <v>0</v>
      </c>
    </row>
    <row r="357" spans="1:33" x14ac:dyDescent="0.2">
      <c r="A357" s="92" t="s">
        <v>1515</v>
      </c>
      <c r="B357" s="248" t="s">
        <v>1516</v>
      </c>
      <c r="C357" s="40" t="s">
        <v>1500</v>
      </c>
      <c r="D357" s="40">
        <v>2050</v>
      </c>
      <c r="E357" s="86">
        <f>GDPdeflator!$C$32*INDEX(Costs!$E$7:$O$89,MATCH($C357,Costs!$C$7:$C$89,0),MATCH(E$7,Costs!$E$6:$O$6,0))</f>
        <v>0</v>
      </c>
      <c r="F357" s="86">
        <f>GDPdeflator!$C$36*INDEX(Costs!$E$7:$O$89,MATCH($C357,Costs!$C$7:$C$89,0),MATCH(F$7,Costs!$E$6:$O$6,0))</f>
        <v>0</v>
      </c>
      <c r="G357" s="86">
        <f>GDPdeflator!$C$38*INDEX(Costs!$E$7:$O$89,MATCH($C357,Costs!$C$7:$C$89,0),MATCH(G$7,Costs!$E$6:$O$6,0))</f>
        <v>0</v>
      </c>
      <c r="H357" s="86">
        <f>GDPdeflator!$C$38*INDEX(Costs!$E$7:$O$89,MATCH($C357,Costs!$C$7:$C$89,0),MATCH(H$7,Costs!$E$6:$O$6,0))</f>
        <v>29.681863964495918</v>
      </c>
      <c r="I357" s="86">
        <f>GDPdeflator!$C$38*INDEX(Costs!$E$7:$O$89,MATCH($C357,Costs!$C$7:$C$89,0),MATCH(I$7,Costs!$E$6:$O$6,0))</f>
        <v>29.699385725986168</v>
      </c>
      <c r="J357" s="86">
        <f>GDPdeflator!$C$38*INDEX(Costs!$E$7:$O$89,MATCH($C357,Costs!$C$7:$C$89,0),MATCH(J$7,Costs!$E$6:$O$6,0))</f>
        <v>29.138689358297935</v>
      </c>
      <c r="K357" s="86">
        <f>GDPdeflator!$C$38*INDEX(Costs!$E$7:$O$89,MATCH($C357,Costs!$C$7:$C$89,0),MATCH(K$7,Costs!$E$6:$O$6,0))</f>
        <v>29.016037027866133</v>
      </c>
      <c r="L357" s="86">
        <f>GDPdeflator!$C$38*INDEX(Costs!$E$7:$O$89,MATCH($C357,Costs!$C$7:$C$89,0),MATCH(L$7,Costs!$E$6:$O$6,0))</f>
        <v>28.998515266375879</v>
      </c>
      <c r="M357" s="86">
        <f>GDPdeflator!$C$38*INDEX(Costs!$E$7:$O$89,MATCH($C357,Costs!$C$7:$C$89,0),MATCH(M$7,Costs!$E$6:$O$6,0))</f>
        <v>28.998515266375879</v>
      </c>
      <c r="N357" s="86">
        <f>GDPdeflator!$C$38*INDEX(Costs!$E$7:$O$89,MATCH($C357,Costs!$C$7:$C$89,0),MATCH(N$7,Costs!$E$6:$O$6,0))</f>
        <v>28.998515266375879</v>
      </c>
      <c r="O357" s="86">
        <f>GDPdeflator!$C$38*INDEX(Costs!$E$7:$O$89,MATCH($C357,Costs!$C$7:$C$89,0),MATCH(O$7,Costs!$E$6:$O$6,0))</f>
        <v>28.998515266375879</v>
      </c>
      <c r="P357" s="87">
        <f t="shared" si="197"/>
        <v>0</v>
      </c>
      <c r="Q357" s="87">
        <f t="shared" si="186"/>
        <v>0</v>
      </c>
      <c r="R357" s="87">
        <f t="shared" si="187"/>
        <v>0</v>
      </c>
      <c r="S357" s="87">
        <f t="shared" si="188"/>
        <v>2478.3806559697787</v>
      </c>
      <c r="T357" s="87">
        <f t="shared" si="189"/>
        <v>2479.8436905954977</v>
      </c>
      <c r="U357" s="87">
        <f t="shared" si="190"/>
        <v>2433.0265825724559</v>
      </c>
      <c r="V357" s="87">
        <f t="shared" si="191"/>
        <v>2422.7853401924158</v>
      </c>
      <c r="W357" s="87">
        <f t="shared" si="192"/>
        <v>2421.3223055666958</v>
      </c>
      <c r="X357" s="87">
        <f t="shared" si="193"/>
        <v>2421.3223055666958</v>
      </c>
      <c r="Y357" s="87">
        <f t="shared" si="194"/>
        <v>2421.3223055666958</v>
      </c>
      <c r="Z357" s="87">
        <f t="shared" si="195"/>
        <v>2421.3223055666958</v>
      </c>
      <c r="AA357" s="88">
        <v>473</v>
      </c>
      <c r="AB357" s="89">
        <f>AA357*GDPdeflator!$C$25/$AI$18*10^3</f>
        <v>45.478712808157368</v>
      </c>
      <c r="AC357" s="90" t="e">
        <f>INDEX(Efficiencies!$D$8:$M$89,MATCH(C357,Efficiencies!$C$8:$C$89),MATCH(D357,Efficiencies!$D$7:$M$7))</f>
        <v>#REF!</v>
      </c>
      <c r="AD357" s="90" t="e">
        <f t="shared" si="196"/>
        <v>#REF!</v>
      </c>
      <c r="AE357" s="90" t="e">
        <f>INDEX(Efficiencies!$P$8:$Y$89,MATCH(C357,Efficiencies!$C$8:$C$89),MATCH(D357,Efficiencies!$P$7:$Y$7))</f>
        <v>#REF!</v>
      </c>
      <c r="AF357" s="90" t="e">
        <f t="shared" si="150"/>
        <v>#REF!</v>
      </c>
      <c r="AG357" s="90">
        <v>0</v>
      </c>
    </row>
    <row r="358" spans="1:33" x14ac:dyDescent="0.2">
      <c r="A358" s="92" t="s">
        <v>1517</v>
      </c>
      <c r="B358" s="248" t="s">
        <v>1518</v>
      </c>
      <c r="C358" s="40" t="s">
        <v>1519</v>
      </c>
      <c r="D358" s="40">
        <v>2060</v>
      </c>
      <c r="E358" s="86">
        <f>GDPdeflator!$C$32*INDEX(Costs!$E$7:$O$89,MATCH($C358,Costs!$C$7:$C$89,0),MATCH(E$7,Costs!$E$6:$O$6,0))</f>
        <v>30.47563692724983</v>
      </c>
      <c r="F358" s="86">
        <f>GDPdeflator!$C$36*INDEX(Costs!$E$7:$O$89,MATCH($C358,Costs!$C$7:$C$89,0),MATCH(F$7,Costs!$E$6:$O$6,0))</f>
        <v>30.543292188485449</v>
      </c>
      <c r="G358" s="86">
        <f>GDPdeflator!$C$38*INDEX(Costs!$E$7:$O$89,MATCH($C358,Costs!$C$7:$C$89,0),MATCH(G$7,Costs!$E$6:$O$6,0))</f>
        <v>32.003497361955013</v>
      </c>
      <c r="H358" s="86">
        <f>GDPdeflator!$C$38*INDEX(Costs!$E$7:$O$89,MATCH($C358,Costs!$C$7:$C$89,0),MATCH(H$7,Costs!$E$6:$O$6,0))</f>
        <v>32.748172225290951</v>
      </c>
      <c r="I358" s="86">
        <f>GDPdeflator!$C$38*INDEX(Costs!$E$7:$O$89,MATCH($C358,Costs!$C$7:$C$89,0),MATCH(I$7,Costs!$E$6:$O$6,0))</f>
        <v>33.659303822784331</v>
      </c>
      <c r="J358" s="86">
        <f>GDPdeflator!$C$38*INDEX(Costs!$E$7:$O$89,MATCH($C358,Costs!$C$7:$C$89,0),MATCH(J$7,Costs!$E$6:$O$6,0))</f>
        <v>33.703108226509968</v>
      </c>
      <c r="K358" s="86">
        <f>GDPdeflator!$C$38*INDEX(Costs!$E$7:$O$89,MATCH($C358,Costs!$C$7:$C$89,0),MATCH(K$7,Costs!$E$6:$O$6,0))</f>
        <v>33.720629988000233</v>
      </c>
      <c r="L358" s="86">
        <f>GDPdeflator!$C$38*INDEX(Costs!$E$7:$O$89,MATCH($C358,Costs!$C$7:$C$89,0),MATCH(L$7,Costs!$E$6:$O$6,0))</f>
        <v>33.492847088626881</v>
      </c>
      <c r="M358" s="86">
        <f>GDPdeflator!$C$38*INDEX(Costs!$E$7:$O$89,MATCH($C358,Costs!$C$7:$C$89,0),MATCH(M$7,Costs!$E$6:$O$6,0))</f>
        <v>33.492847088626881</v>
      </c>
      <c r="N358" s="86">
        <f>GDPdeflator!$C$38*INDEX(Costs!$E$7:$O$89,MATCH($C358,Costs!$C$7:$C$89,0),MATCH(N$7,Costs!$E$6:$O$6,0))</f>
        <v>33.492847088626881</v>
      </c>
      <c r="O358" s="86">
        <f>GDPdeflator!$C$38*INDEX(Costs!$E$7:$O$89,MATCH($C358,Costs!$C$7:$C$89,0),MATCH(O$7,Costs!$E$6:$O$6,0))</f>
        <v>33.492847088626881</v>
      </c>
      <c r="P358" s="87">
        <f>E358/$AI$18*10^6</f>
        <v>2544.6592279110241</v>
      </c>
      <c r="Q358" s="87">
        <f t="shared" si="186"/>
        <v>2550.3083168941657</v>
      </c>
      <c r="R358" s="87">
        <f t="shared" si="187"/>
        <v>2672.2327438776861</v>
      </c>
      <c r="S358" s="87">
        <f t="shared" si="188"/>
        <v>2734.4117154707883</v>
      </c>
      <c r="T358" s="87">
        <f t="shared" si="189"/>
        <v>2810.4895160082315</v>
      </c>
      <c r="U358" s="87">
        <f t="shared" si="190"/>
        <v>2814.1471025725309</v>
      </c>
      <c r="V358" s="87">
        <f t="shared" si="191"/>
        <v>2815.6101371982518</v>
      </c>
      <c r="W358" s="87">
        <f t="shared" si="192"/>
        <v>2796.5906870638905</v>
      </c>
      <c r="X358" s="87">
        <f t="shared" si="193"/>
        <v>2796.5906870638905</v>
      </c>
      <c r="Y358" s="87">
        <f t="shared" si="194"/>
        <v>2796.5906870638905</v>
      </c>
      <c r="Z358" s="87">
        <f t="shared" si="195"/>
        <v>2796.5906870638905</v>
      </c>
      <c r="AA358" s="88">
        <v>405</v>
      </c>
      <c r="AB358" s="89">
        <f>AA358*GDPdeflator!$C$25/$AI$18*10^3</f>
        <v>38.940546907618888</v>
      </c>
      <c r="AC358" s="90" t="e">
        <f>INDEX(Efficiencies!$D$8:$M$89,MATCH(C358,Efficiencies!$C$8:$C$89),MATCH(D358,Efficiencies!$D$7:$M$7))</f>
        <v>#REF!</v>
      </c>
      <c r="AD358" s="90" t="e">
        <f t="shared" si="196"/>
        <v>#REF!</v>
      </c>
      <c r="AE358" s="90" t="e">
        <f>INDEX(Efficiencies!$P$8:$Y$89,MATCH(C358,Efficiencies!$C$8:$C$89),MATCH(D358,Efficiencies!$P$7:$Y$7))</f>
        <v>#REF!</v>
      </c>
      <c r="AF358" s="90" t="e">
        <f t="shared" si="150"/>
        <v>#REF!</v>
      </c>
      <c r="AG358" s="90">
        <v>0</v>
      </c>
    </row>
    <row r="359" spans="1:33" x14ac:dyDescent="0.2">
      <c r="A359" s="92" t="s">
        <v>1520</v>
      </c>
      <c r="B359" s="248" t="s">
        <v>1521</v>
      </c>
      <c r="C359" s="40" t="s">
        <v>1519</v>
      </c>
      <c r="D359" s="40">
        <v>2005</v>
      </c>
      <c r="E359" s="86">
        <f>GDPdeflator!$C$32*INDEX(Costs!$E$7:$O$89,MATCH($C359,Costs!$C$7:$C$89,0),MATCH(E$7,Costs!$E$6:$O$6,0))</f>
        <v>30.47563692724983</v>
      </c>
      <c r="F359" s="86">
        <f>GDPdeflator!$C$36*INDEX(Costs!$E$7:$O$89,MATCH($C359,Costs!$C$7:$C$89,0),MATCH(F$7,Costs!$E$6:$O$6,0))</f>
        <v>30.543292188485449</v>
      </c>
      <c r="G359" s="86">
        <f>GDPdeflator!$C$38*INDEX(Costs!$E$7:$O$89,MATCH($C359,Costs!$C$7:$C$89,0),MATCH(G$7,Costs!$E$6:$O$6,0))</f>
        <v>32.003497361955013</v>
      </c>
      <c r="H359" s="86">
        <f>GDPdeflator!$C$38*INDEX(Costs!$E$7:$O$89,MATCH($C359,Costs!$C$7:$C$89,0),MATCH(H$7,Costs!$E$6:$O$6,0))</f>
        <v>32.748172225290951</v>
      </c>
      <c r="I359" s="86">
        <f>GDPdeflator!$C$38*INDEX(Costs!$E$7:$O$89,MATCH($C359,Costs!$C$7:$C$89,0),MATCH(I$7,Costs!$E$6:$O$6,0))</f>
        <v>33.659303822784331</v>
      </c>
      <c r="J359" s="86">
        <f>GDPdeflator!$C$38*INDEX(Costs!$E$7:$O$89,MATCH($C359,Costs!$C$7:$C$89,0),MATCH(J$7,Costs!$E$6:$O$6,0))</f>
        <v>33.703108226509968</v>
      </c>
      <c r="K359" s="86">
        <f>GDPdeflator!$C$38*INDEX(Costs!$E$7:$O$89,MATCH($C359,Costs!$C$7:$C$89,0),MATCH(K$7,Costs!$E$6:$O$6,0))</f>
        <v>33.720629988000233</v>
      </c>
      <c r="L359" s="86">
        <f>GDPdeflator!$C$38*INDEX(Costs!$E$7:$O$89,MATCH($C359,Costs!$C$7:$C$89,0),MATCH(L$7,Costs!$E$6:$O$6,0))</f>
        <v>33.492847088626881</v>
      </c>
      <c r="M359" s="86">
        <f>GDPdeflator!$C$38*INDEX(Costs!$E$7:$O$89,MATCH($C359,Costs!$C$7:$C$89,0),MATCH(M$7,Costs!$E$6:$O$6,0))</f>
        <v>33.492847088626881</v>
      </c>
      <c r="N359" s="86">
        <f>GDPdeflator!$C$38*INDEX(Costs!$E$7:$O$89,MATCH($C359,Costs!$C$7:$C$89,0),MATCH(N$7,Costs!$E$6:$O$6,0))</f>
        <v>33.492847088626881</v>
      </c>
      <c r="O359" s="86">
        <f>GDPdeflator!$C$38*INDEX(Costs!$E$7:$O$89,MATCH($C359,Costs!$C$7:$C$89,0),MATCH(O$7,Costs!$E$6:$O$6,0))</f>
        <v>33.492847088626881</v>
      </c>
      <c r="P359" s="87">
        <f t="shared" ref="P359:P368" si="198">E359/$AI$18*10^6</f>
        <v>2544.6592279110241</v>
      </c>
      <c r="Q359" s="87">
        <f t="shared" si="186"/>
        <v>2550.3083168941657</v>
      </c>
      <c r="R359" s="87">
        <f t="shared" si="187"/>
        <v>2672.2327438776861</v>
      </c>
      <c r="S359" s="87">
        <f t="shared" si="188"/>
        <v>2734.4117154707883</v>
      </c>
      <c r="T359" s="87">
        <f t="shared" si="189"/>
        <v>2810.4895160082315</v>
      </c>
      <c r="U359" s="87">
        <f t="shared" si="190"/>
        <v>2814.1471025725309</v>
      </c>
      <c r="V359" s="87">
        <f t="shared" si="191"/>
        <v>2815.6101371982518</v>
      </c>
      <c r="W359" s="87">
        <f t="shared" si="192"/>
        <v>2796.5906870638905</v>
      </c>
      <c r="X359" s="87">
        <f t="shared" si="193"/>
        <v>2796.5906870638905</v>
      </c>
      <c r="Y359" s="87">
        <f t="shared" si="194"/>
        <v>2796.5906870638905</v>
      </c>
      <c r="Z359" s="87">
        <f t="shared" si="195"/>
        <v>2796.5906870638905</v>
      </c>
      <c r="AA359" s="88">
        <v>405</v>
      </c>
      <c r="AB359" s="89">
        <f>AA359*GDPdeflator!$C$25/$AI$18*10^3</f>
        <v>38.940546907618888</v>
      </c>
      <c r="AC359" s="90" t="e">
        <f>INDEX(Efficiencies!$D$8:$M$89,MATCH(C359,Efficiencies!$C$8:$C$89),MATCH(D359,Efficiencies!$D$7:$M$7))</f>
        <v>#REF!</v>
      </c>
      <c r="AD359" s="90" t="e">
        <f t="shared" si="196"/>
        <v>#REF!</v>
      </c>
      <c r="AE359" s="90" t="e">
        <f>INDEX(Efficiencies!$P$8:$Y$89,MATCH(C359,Efficiencies!$C$8:$C$89),MATCH(D359,Efficiencies!$P$7:$Y$7))</f>
        <v>#REF!</v>
      </c>
      <c r="AF359" s="90" t="e">
        <f t="shared" ref="AF359:AF413" si="199">AE359/($AI$11*$AI$15*10 ^ 9)</f>
        <v>#REF!</v>
      </c>
      <c r="AG359" s="90">
        <v>0</v>
      </c>
    </row>
    <row r="360" spans="1:33" x14ac:dyDescent="0.2">
      <c r="A360" s="92" t="s">
        <v>1522</v>
      </c>
      <c r="B360" s="248" t="s">
        <v>1523</v>
      </c>
      <c r="C360" s="40" t="s">
        <v>1519</v>
      </c>
      <c r="D360" s="40">
        <v>2010</v>
      </c>
      <c r="E360" s="86">
        <f>GDPdeflator!$C$32*INDEX(Costs!$E$7:$O$89,MATCH($C360,Costs!$C$7:$C$89,0),MATCH(E$7,Costs!$E$6:$O$6,0))</f>
        <v>30.47563692724983</v>
      </c>
      <c r="F360" s="86">
        <f>GDPdeflator!$C$36*INDEX(Costs!$E$7:$O$89,MATCH($C360,Costs!$C$7:$C$89,0),MATCH(F$7,Costs!$E$6:$O$6,0))</f>
        <v>30.543292188485449</v>
      </c>
      <c r="G360" s="86">
        <f>GDPdeflator!$C$38*INDEX(Costs!$E$7:$O$89,MATCH($C360,Costs!$C$7:$C$89,0),MATCH(G$7,Costs!$E$6:$O$6,0))</f>
        <v>32.003497361955013</v>
      </c>
      <c r="H360" s="86">
        <f>GDPdeflator!$C$38*INDEX(Costs!$E$7:$O$89,MATCH($C360,Costs!$C$7:$C$89,0),MATCH(H$7,Costs!$E$6:$O$6,0))</f>
        <v>32.748172225290951</v>
      </c>
      <c r="I360" s="86">
        <f>GDPdeflator!$C$38*INDEX(Costs!$E$7:$O$89,MATCH($C360,Costs!$C$7:$C$89,0),MATCH(I$7,Costs!$E$6:$O$6,0))</f>
        <v>33.659303822784331</v>
      </c>
      <c r="J360" s="86">
        <f>GDPdeflator!$C$38*INDEX(Costs!$E$7:$O$89,MATCH($C360,Costs!$C$7:$C$89,0),MATCH(J$7,Costs!$E$6:$O$6,0))</f>
        <v>33.703108226509968</v>
      </c>
      <c r="K360" s="86">
        <f>GDPdeflator!$C$38*INDEX(Costs!$E$7:$O$89,MATCH($C360,Costs!$C$7:$C$89,0),MATCH(K$7,Costs!$E$6:$O$6,0))</f>
        <v>33.720629988000233</v>
      </c>
      <c r="L360" s="86">
        <f>GDPdeflator!$C$38*INDEX(Costs!$E$7:$O$89,MATCH($C360,Costs!$C$7:$C$89,0),MATCH(L$7,Costs!$E$6:$O$6,0))</f>
        <v>33.492847088626881</v>
      </c>
      <c r="M360" s="86">
        <f>GDPdeflator!$C$38*INDEX(Costs!$E$7:$O$89,MATCH($C360,Costs!$C$7:$C$89,0),MATCH(M$7,Costs!$E$6:$O$6,0))</f>
        <v>33.492847088626881</v>
      </c>
      <c r="N360" s="86">
        <f>GDPdeflator!$C$38*INDEX(Costs!$E$7:$O$89,MATCH($C360,Costs!$C$7:$C$89,0),MATCH(N$7,Costs!$E$6:$O$6,0))</f>
        <v>33.492847088626881</v>
      </c>
      <c r="O360" s="86">
        <f>GDPdeflator!$C$38*INDEX(Costs!$E$7:$O$89,MATCH($C360,Costs!$C$7:$C$89,0),MATCH(O$7,Costs!$E$6:$O$6,0))</f>
        <v>33.492847088626881</v>
      </c>
      <c r="P360" s="87">
        <f t="shared" si="198"/>
        <v>2544.6592279110241</v>
      </c>
      <c r="Q360" s="87">
        <f t="shared" si="186"/>
        <v>2550.3083168941657</v>
      </c>
      <c r="R360" s="87">
        <f t="shared" si="187"/>
        <v>2672.2327438776861</v>
      </c>
      <c r="S360" s="87">
        <f t="shared" si="188"/>
        <v>2734.4117154707883</v>
      </c>
      <c r="T360" s="87">
        <f t="shared" si="189"/>
        <v>2810.4895160082315</v>
      </c>
      <c r="U360" s="87">
        <f t="shared" si="190"/>
        <v>2814.1471025725309</v>
      </c>
      <c r="V360" s="87">
        <f t="shared" si="191"/>
        <v>2815.6101371982518</v>
      </c>
      <c r="W360" s="87">
        <f t="shared" si="192"/>
        <v>2796.5906870638905</v>
      </c>
      <c r="X360" s="87">
        <f t="shared" si="193"/>
        <v>2796.5906870638905</v>
      </c>
      <c r="Y360" s="87">
        <f t="shared" si="194"/>
        <v>2796.5906870638905</v>
      </c>
      <c r="Z360" s="87">
        <f t="shared" si="195"/>
        <v>2796.5906870638905</v>
      </c>
      <c r="AA360" s="88">
        <v>405</v>
      </c>
      <c r="AB360" s="89">
        <f>AA360*GDPdeflator!$C$25/$AI$18*10^3</f>
        <v>38.940546907618888</v>
      </c>
      <c r="AC360" s="90" t="e">
        <f>INDEX(Efficiencies!$D$8:$M$89,MATCH(C360,Efficiencies!$C$8:$C$89),MATCH(D360,Efficiencies!$D$7:$M$7))</f>
        <v>#REF!</v>
      </c>
      <c r="AD360" s="90" t="e">
        <f t="shared" si="196"/>
        <v>#REF!</v>
      </c>
      <c r="AE360" s="90" t="e">
        <f>INDEX(Efficiencies!$P$8:$Y$89,MATCH(C360,Efficiencies!$C$8:$C$89),MATCH(D360,Efficiencies!$P$7:$Y$7))</f>
        <v>#REF!</v>
      </c>
      <c r="AF360" s="90" t="e">
        <f t="shared" si="199"/>
        <v>#REF!</v>
      </c>
      <c r="AG360" s="90">
        <v>0</v>
      </c>
    </row>
    <row r="361" spans="1:33" x14ac:dyDescent="0.2">
      <c r="A361" s="92" t="s">
        <v>1524</v>
      </c>
      <c r="B361" s="248" t="s">
        <v>1525</v>
      </c>
      <c r="C361" s="40" t="s">
        <v>1519</v>
      </c>
      <c r="D361" s="40">
        <v>2015</v>
      </c>
      <c r="E361" s="86">
        <f>GDPdeflator!$C$32*INDEX(Costs!$E$7:$O$89,MATCH($C361,Costs!$C$7:$C$89,0),MATCH(E$7,Costs!$E$6:$O$6,0))</f>
        <v>30.47563692724983</v>
      </c>
      <c r="F361" s="86">
        <f>GDPdeflator!$C$36*INDEX(Costs!$E$7:$O$89,MATCH($C361,Costs!$C$7:$C$89,0),MATCH(F$7,Costs!$E$6:$O$6,0))</f>
        <v>30.543292188485449</v>
      </c>
      <c r="G361" s="86">
        <f>GDPdeflator!$C$38*INDEX(Costs!$E$7:$O$89,MATCH($C361,Costs!$C$7:$C$89,0),MATCH(G$7,Costs!$E$6:$O$6,0))</f>
        <v>32.003497361955013</v>
      </c>
      <c r="H361" s="86">
        <f>GDPdeflator!$C$38*INDEX(Costs!$E$7:$O$89,MATCH($C361,Costs!$C$7:$C$89,0),MATCH(H$7,Costs!$E$6:$O$6,0))</f>
        <v>32.748172225290951</v>
      </c>
      <c r="I361" s="86">
        <f>GDPdeflator!$C$38*INDEX(Costs!$E$7:$O$89,MATCH($C361,Costs!$C$7:$C$89,0),MATCH(I$7,Costs!$E$6:$O$6,0))</f>
        <v>33.659303822784331</v>
      </c>
      <c r="J361" s="86">
        <f>GDPdeflator!$C$38*INDEX(Costs!$E$7:$O$89,MATCH($C361,Costs!$C$7:$C$89,0),MATCH(J$7,Costs!$E$6:$O$6,0))</f>
        <v>33.703108226509968</v>
      </c>
      <c r="K361" s="86">
        <f>GDPdeflator!$C$38*INDEX(Costs!$E$7:$O$89,MATCH($C361,Costs!$C$7:$C$89,0),MATCH(K$7,Costs!$E$6:$O$6,0))</f>
        <v>33.720629988000233</v>
      </c>
      <c r="L361" s="86">
        <f>GDPdeflator!$C$38*INDEX(Costs!$E$7:$O$89,MATCH($C361,Costs!$C$7:$C$89,0),MATCH(L$7,Costs!$E$6:$O$6,0))</f>
        <v>33.492847088626881</v>
      </c>
      <c r="M361" s="86">
        <f>GDPdeflator!$C$38*INDEX(Costs!$E$7:$O$89,MATCH($C361,Costs!$C$7:$C$89,0),MATCH(M$7,Costs!$E$6:$O$6,0))</f>
        <v>33.492847088626881</v>
      </c>
      <c r="N361" s="86">
        <f>GDPdeflator!$C$38*INDEX(Costs!$E$7:$O$89,MATCH($C361,Costs!$C$7:$C$89,0),MATCH(N$7,Costs!$E$6:$O$6,0))</f>
        <v>33.492847088626881</v>
      </c>
      <c r="O361" s="86">
        <f>GDPdeflator!$C$38*INDEX(Costs!$E$7:$O$89,MATCH($C361,Costs!$C$7:$C$89,0),MATCH(O$7,Costs!$E$6:$O$6,0))</f>
        <v>33.492847088626881</v>
      </c>
      <c r="P361" s="87">
        <f t="shared" si="198"/>
        <v>2544.6592279110241</v>
      </c>
      <c r="Q361" s="87">
        <f t="shared" si="186"/>
        <v>2550.3083168941657</v>
      </c>
      <c r="R361" s="87">
        <f t="shared" si="187"/>
        <v>2672.2327438776861</v>
      </c>
      <c r="S361" s="87">
        <f t="shared" si="188"/>
        <v>2734.4117154707883</v>
      </c>
      <c r="T361" s="87">
        <f t="shared" si="189"/>
        <v>2810.4895160082315</v>
      </c>
      <c r="U361" s="87">
        <f t="shared" si="190"/>
        <v>2814.1471025725309</v>
      </c>
      <c r="V361" s="87">
        <f t="shared" si="191"/>
        <v>2815.6101371982518</v>
      </c>
      <c r="W361" s="87">
        <f t="shared" si="192"/>
        <v>2796.5906870638905</v>
      </c>
      <c r="X361" s="87">
        <f t="shared" si="193"/>
        <v>2796.5906870638905</v>
      </c>
      <c r="Y361" s="87">
        <f t="shared" si="194"/>
        <v>2796.5906870638905</v>
      </c>
      <c r="Z361" s="87">
        <f t="shared" si="195"/>
        <v>2796.5906870638905</v>
      </c>
      <c r="AA361" s="88">
        <v>405</v>
      </c>
      <c r="AB361" s="89">
        <f>AA361*GDPdeflator!$C$25/$AI$18*10^3</f>
        <v>38.940546907618888</v>
      </c>
      <c r="AC361" s="90" t="e">
        <f>INDEX(Efficiencies!$D$8:$M$89,MATCH(C361,Efficiencies!$C$8:$C$89),MATCH(D361,Efficiencies!$D$7:$M$7))</f>
        <v>#REF!</v>
      </c>
      <c r="AD361" s="90" t="e">
        <f t="shared" si="196"/>
        <v>#REF!</v>
      </c>
      <c r="AE361" s="90" t="e">
        <f>INDEX(Efficiencies!$P$8:$Y$89,MATCH(C361,Efficiencies!$C$8:$C$89),MATCH(D361,Efficiencies!$P$7:$Y$7))</f>
        <v>#REF!</v>
      </c>
      <c r="AF361" s="90" t="e">
        <f t="shared" si="199"/>
        <v>#REF!</v>
      </c>
      <c r="AG361" s="90">
        <v>0</v>
      </c>
    </row>
    <row r="362" spans="1:33" x14ac:dyDescent="0.2">
      <c r="A362" s="92" t="s">
        <v>1526</v>
      </c>
      <c r="B362" s="248" t="s">
        <v>1527</v>
      </c>
      <c r="C362" s="40" t="s">
        <v>1519</v>
      </c>
      <c r="D362" s="40">
        <v>2020</v>
      </c>
      <c r="E362" s="86">
        <f>GDPdeflator!$C$32*INDEX(Costs!$E$7:$O$89,MATCH($C362,Costs!$C$7:$C$89,0),MATCH(E$7,Costs!$E$6:$O$6,0))</f>
        <v>30.47563692724983</v>
      </c>
      <c r="F362" s="86">
        <f>GDPdeflator!$C$36*INDEX(Costs!$E$7:$O$89,MATCH($C362,Costs!$C$7:$C$89,0),MATCH(F$7,Costs!$E$6:$O$6,0))</f>
        <v>30.543292188485449</v>
      </c>
      <c r="G362" s="86">
        <f>GDPdeflator!$C$38*INDEX(Costs!$E$7:$O$89,MATCH($C362,Costs!$C$7:$C$89,0),MATCH(G$7,Costs!$E$6:$O$6,0))</f>
        <v>32.003497361955013</v>
      </c>
      <c r="H362" s="86">
        <f>GDPdeflator!$C$38*INDEX(Costs!$E$7:$O$89,MATCH($C362,Costs!$C$7:$C$89,0),MATCH(H$7,Costs!$E$6:$O$6,0))</f>
        <v>32.748172225290951</v>
      </c>
      <c r="I362" s="86">
        <f>GDPdeflator!$C$38*INDEX(Costs!$E$7:$O$89,MATCH($C362,Costs!$C$7:$C$89,0),MATCH(I$7,Costs!$E$6:$O$6,0))</f>
        <v>33.659303822784331</v>
      </c>
      <c r="J362" s="86">
        <f>GDPdeflator!$C$38*INDEX(Costs!$E$7:$O$89,MATCH($C362,Costs!$C$7:$C$89,0),MATCH(J$7,Costs!$E$6:$O$6,0))</f>
        <v>33.703108226509968</v>
      </c>
      <c r="K362" s="86">
        <f>GDPdeflator!$C$38*INDEX(Costs!$E$7:$O$89,MATCH($C362,Costs!$C$7:$C$89,0),MATCH(K$7,Costs!$E$6:$O$6,0))</f>
        <v>33.720629988000233</v>
      </c>
      <c r="L362" s="86">
        <f>GDPdeflator!$C$38*INDEX(Costs!$E$7:$O$89,MATCH($C362,Costs!$C$7:$C$89,0),MATCH(L$7,Costs!$E$6:$O$6,0))</f>
        <v>33.492847088626881</v>
      </c>
      <c r="M362" s="86">
        <f>GDPdeflator!$C$38*INDEX(Costs!$E$7:$O$89,MATCH($C362,Costs!$C$7:$C$89,0),MATCH(M$7,Costs!$E$6:$O$6,0))</f>
        <v>33.492847088626881</v>
      </c>
      <c r="N362" s="86">
        <f>GDPdeflator!$C$38*INDEX(Costs!$E$7:$O$89,MATCH($C362,Costs!$C$7:$C$89,0),MATCH(N$7,Costs!$E$6:$O$6,0))</f>
        <v>33.492847088626881</v>
      </c>
      <c r="O362" s="86">
        <f>GDPdeflator!$C$38*INDEX(Costs!$E$7:$O$89,MATCH($C362,Costs!$C$7:$C$89,0),MATCH(O$7,Costs!$E$6:$O$6,0))</f>
        <v>33.492847088626881</v>
      </c>
      <c r="P362" s="87">
        <f t="shared" si="198"/>
        <v>2544.6592279110241</v>
      </c>
      <c r="Q362" s="87">
        <f t="shared" si="186"/>
        <v>2550.3083168941657</v>
      </c>
      <c r="R362" s="87">
        <f t="shared" si="187"/>
        <v>2672.2327438776861</v>
      </c>
      <c r="S362" s="87">
        <f t="shared" si="188"/>
        <v>2734.4117154707883</v>
      </c>
      <c r="T362" s="87">
        <f t="shared" si="189"/>
        <v>2810.4895160082315</v>
      </c>
      <c r="U362" s="87">
        <f t="shared" si="190"/>
        <v>2814.1471025725309</v>
      </c>
      <c r="V362" s="87">
        <f t="shared" si="191"/>
        <v>2815.6101371982518</v>
      </c>
      <c r="W362" s="87">
        <f t="shared" si="192"/>
        <v>2796.5906870638905</v>
      </c>
      <c r="X362" s="87">
        <f t="shared" si="193"/>
        <v>2796.5906870638905</v>
      </c>
      <c r="Y362" s="87">
        <f t="shared" si="194"/>
        <v>2796.5906870638905</v>
      </c>
      <c r="Z362" s="87">
        <f t="shared" si="195"/>
        <v>2796.5906870638905</v>
      </c>
      <c r="AA362" s="88">
        <v>405</v>
      </c>
      <c r="AB362" s="89">
        <f>AA362*GDPdeflator!$C$25/$AI$18*10^3</f>
        <v>38.940546907618888</v>
      </c>
      <c r="AC362" s="90" t="e">
        <f>INDEX(Efficiencies!$D$8:$M$89,MATCH(C362,Efficiencies!$C$8:$C$89),MATCH(D362,Efficiencies!$D$7:$M$7))</f>
        <v>#REF!</v>
      </c>
      <c r="AD362" s="90" t="e">
        <f t="shared" si="196"/>
        <v>#REF!</v>
      </c>
      <c r="AE362" s="90" t="e">
        <f>INDEX(Efficiencies!$P$8:$Y$89,MATCH(C362,Efficiencies!$C$8:$C$89),MATCH(D362,Efficiencies!$P$7:$Y$7))</f>
        <v>#REF!</v>
      </c>
      <c r="AF362" s="90" t="e">
        <f t="shared" si="199"/>
        <v>#REF!</v>
      </c>
      <c r="AG362" s="90">
        <v>0</v>
      </c>
    </row>
    <row r="363" spans="1:33" x14ac:dyDescent="0.2">
      <c r="A363" s="92" t="s">
        <v>1528</v>
      </c>
      <c r="B363" s="248" t="s">
        <v>1529</v>
      </c>
      <c r="C363" s="40" t="s">
        <v>1519</v>
      </c>
      <c r="D363" s="40">
        <v>2025</v>
      </c>
      <c r="E363" s="86">
        <f>GDPdeflator!$C$32*INDEX(Costs!$E$7:$O$89,MATCH($C363,Costs!$C$7:$C$89,0),MATCH(E$7,Costs!$E$6:$O$6,0))</f>
        <v>30.47563692724983</v>
      </c>
      <c r="F363" s="86">
        <f>GDPdeflator!$C$36*INDEX(Costs!$E$7:$O$89,MATCH($C363,Costs!$C$7:$C$89,0),MATCH(F$7,Costs!$E$6:$O$6,0))</f>
        <v>30.543292188485449</v>
      </c>
      <c r="G363" s="86">
        <f>GDPdeflator!$C$38*INDEX(Costs!$E$7:$O$89,MATCH($C363,Costs!$C$7:$C$89,0),MATCH(G$7,Costs!$E$6:$O$6,0))</f>
        <v>32.003497361955013</v>
      </c>
      <c r="H363" s="86">
        <f>GDPdeflator!$C$38*INDEX(Costs!$E$7:$O$89,MATCH($C363,Costs!$C$7:$C$89,0),MATCH(H$7,Costs!$E$6:$O$6,0))</f>
        <v>32.748172225290951</v>
      </c>
      <c r="I363" s="86">
        <f>GDPdeflator!$C$38*INDEX(Costs!$E$7:$O$89,MATCH($C363,Costs!$C$7:$C$89,0),MATCH(I$7,Costs!$E$6:$O$6,0))</f>
        <v>33.659303822784331</v>
      </c>
      <c r="J363" s="86">
        <f>GDPdeflator!$C$38*INDEX(Costs!$E$7:$O$89,MATCH($C363,Costs!$C$7:$C$89,0),MATCH(J$7,Costs!$E$6:$O$6,0))</f>
        <v>33.703108226509968</v>
      </c>
      <c r="K363" s="86">
        <f>GDPdeflator!$C$38*INDEX(Costs!$E$7:$O$89,MATCH($C363,Costs!$C$7:$C$89,0),MATCH(K$7,Costs!$E$6:$O$6,0))</f>
        <v>33.720629988000233</v>
      </c>
      <c r="L363" s="86">
        <f>GDPdeflator!$C$38*INDEX(Costs!$E$7:$O$89,MATCH($C363,Costs!$C$7:$C$89,0),MATCH(L$7,Costs!$E$6:$O$6,0))</f>
        <v>33.492847088626881</v>
      </c>
      <c r="M363" s="86">
        <f>GDPdeflator!$C$38*INDEX(Costs!$E$7:$O$89,MATCH($C363,Costs!$C$7:$C$89,0),MATCH(M$7,Costs!$E$6:$O$6,0))</f>
        <v>33.492847088626881</v>
      </c>
      <c r="N363" s="86">
        <f>GDPdeflator!$C$38*INDEX(Costs!$E$7:$O$89,MATCH($C363,Costs!$C$7:$C$89,0),MATCH(N$7,Costs!$E$6:$O$6,0))</f>
        <v>33.492847088626881</v>
      </c>
      <c r="O363" s="86">
        <f>GDPdeflator!$C$38*INDEX(Costs!$E$7:$O$89,MATCH($C363,Costs!$C$7:$C$89,0),MATCH(O$7,Costs!$E$6:$O$6,0))</f>
        <v>33.492847088626881</v>
      </c>
      <c r="P363" s="87">
        <f t="shared" si="198"/>
        <v>2544.6592279110241</v>
      </c>
      <c r="Q363" s="87">
        <f t="shared" si="186"/>
        <v>2550.3083168941657</v>
      </c>
      <c r="R363" s="87">
        <f t="shared" si="187"/>
        <v>2672.2327438776861</v>
      </c>
      <c r="S363" s="87">
        <f t="shared" si="188"/>
        <v>2734.4117154707883</v>
      </c>
      <c r="T363" s="87">
        <f t="shared" si="189"/>
        <v>2810.4895160082315</v>
      </c>
      <c r="U363" s="87">
        <f t="shared" si="190"/>
        <v>2814.1471025725309</v>
      </c>
      <c r="V363" s="87">
        <f t="shared" si="191"/>
        <v>2815.6101371982518</v>
      </c>
      <c r="W363" s="87">
        <f t="shared" si="192"/>
        <v>2796.5906870638905</v>
      </c>
      <c r="X363" s="87">
        <f t="shared" si="193"/>
        <v>2796.5906870638905</v>
      </c>
      <c r="Y363" s="87">
        <f t="shared" si="194"/>
        <v>2796.5906870638905</v>
      </c>
      <c r="Z363" s="87">
        <f t="shared" si="195"/>
        <v>2796.5906870638905</v>
      </c>
      <c r="AA363" s="88">
        <v>405</v>
      </c>
      <c r="AB363" s="89">
        <f>AA363*GDPdeflator!$C$25/$AI$18*10^3</f>
        <v>38.940546907618888</v>
      </c>
      <c r="AC363" s="90" t="e">
        <f>INDEX(Efficiencies!$D$8:$M$89,MATCH(C363,Efficiencies!$C$8:$C$89),MATCH(D363,Efficiencies!$D$7:$M$7))</f>
        <v>#REF!</v>
      </c>
      <c r="AD363" s="90" t="e">
        <f t="shared" si="196"/>
        <v>#REF!</v>
      </c>
      <c r="AE363" s="90" t="e">
        <f>INDEX(Efficiencies!$P$8:$Y$89,MATCH(C363,Efficiencies!$C$8:$C$89),MATCH(D363,Efficiencies!$P$7:$Y$7))</f>
        <v>#REF!</v>
      </c>
      <c r="AF363" s="90" t="e">
        <f t="shared" si="199"/>
        <v>#REF!</v>
      </c>
      <c r="AG363" s="90">
        <v>0</v>
      </c>
    </row>
    <row r="364" spans="1:33" x14ac:dyDescent="0.2">
      <c r="A364" s="92" t="s">
        <v>1530</v>
      </c>
      <c r="B364" s="248" t="s">
        <v>1531</v>
      </c>
      <c r="C364" s="40" t="s">
        <v>1519</v>
      </c>
      <c r="D364" s="40">
        <v>2030</v>
      </c>
      <c r="E364" s="86">
        <f>GDPdeflator!$C$32*INDEX(Costs!$E$7:$O$89,MATCH($C364,Costs!$C$7:$C$89,0),MATCH(E$7,Costs!$E$6:$O$6,0))</f>
        <v>30.47563692724983</v>
      </c>
      <c r="F364" s="86">
        <f>GDPdeflator!$C$36*INDEX(Costs!$E$7:$O$89,MATCH($C364,Costs!$C$7:$C$89,0),MATCH(F$7,Costs!$E$6:$O$6,0))</f>
        <v>30.543292188485449</v>
      </c>
      <c r="G364" s="86">
        <f>GDPdeflator!$C$38*INDEX(Costs!$E$7:$O$89,MATCH($C364,Costs!$C$7:$C$89,0),MATCH(G$7,Costs!$E$6:$O$6,0))</f>
        <v>32.003497361955013</v>
      </c>
      <c r="H364" s="86">
        <f>GDPdeflator!$C$38*INDEX(Costs!$E$7:$O$89,MATCH($C364,Costs!$C$7:$C$89,0),MATCH(H$7,Costs!$E$6:$O$6,0))</f>
        <v>32.748172225290951</v>
      </c>
      <c r="I364" s="86">
        <f>GDPdeflator!$C$38*INDEX(Costs!$E$7:$O$89,MATCH($C364,Costs!$C$7:$C$89,0),MATCH(I$7,Costs!$E$6:$O$6,0))</f>
        <v>33.659303822784331</v>
      </c>
      <c r="J364" s="86">
        <f>GDPdeflator!$C$38*INDEX(Costs!$E$7:$O$89,MATCH($C364,Costs!$C$7:$C$89,0),MATCH(J$7,Costs!$E$6:$O$6,0))</f>
        <v>33.703108226509968</v>
      </c>
      <c r="K364" s="86">
        <f>GDPdeflator!$C$38*INDEX(Costs!$E$7:$O$89,MATCH($C364,Costs!$C$7:$C$89,0),MATCH(K$7,Costs!$E$6:$O$6,0))</f>
        <v>33.720629988000233</v>
      </c>
      <c r="L364" s="86">
        <f>GDPdeflator!$C$38*INDEX(Costs!$E$7:$O$89,MATCH($C364,Costs!$C$7:$C$89,0),MATCH(L$7,Costs!$E$6:$O$6,0))</f>
        <v>33.492847088626881</v>
      </c>
      <c r="M364" s="86">
        <f>GDPdeflator!$C$38*INDEX(Costs!$E$7:$O$89,MATCH($C364,Costs!$C$7:$C$89,0),MATCH(M$7,Costs!$E$6:$O$6,0))</f>
        <v>33.492847088626881</v>
      </c>
      <c r="N364" s="86">
        <f>GDPdeflator!$C$38*INDEX(Costs!$E$7:$O$89,MATCH($C364,Costs!$C$7:$C$89,0),MATCH(N$7,Costs!$E$6:$O$6,0))</f>
        <v>33.492847088626881</v>
      </c>
      <c r="O364" s="86">
        <f>GDPdeflator!$C$38*INDEX(Costs!$E$7:$O$89,MATCH($C364,Costs!$C$7:$C$89,0),MATCH(O$7,Costs!$E$6:$O$6,0))</f>
        <v>33.492847088626881</v>
      </c>
      <c r="P364" s="87">
        <f t="shared" si="198"/>
        <v>2544.6592279110241</v>
      </c>
      <c r="Q364" s="87">
        <f t="shared" si="186"/>
        <v>2550.3083168941657</v>
      </c>
      <c r="R364" s="87">
        <f t="shared" si="187"/>
        <v>2672.2327438776861</v>
      </c>
      <c r="S364" s="87">
        <f t="shared" si="188"/>
        <v>2734.4117154707883</v>
      </c>
      <c r="T364" s="87">
        <f t="shared" si="189"/>
        <v>2810.4895160082315</v>
      </c>
      <c r="U364" s="87">
        <f t="shared" si="190"/>
        <v>2814.1471025725309</v>
      </c>
      <c r="V364" s="87">
        <f t="shared" si="191"/>
        <v>2815.6101371982518</v>
      </c>
      <c r="W364" s="87">
        <f t="shared" si="192"/>
        <v>2796.5906870638905</v>
      </c>
      <c r="X364" s="87">
        <f t="shared" si="193"/>
        <v>2796.5906870638905</v>
      </c>
      <c r="Y364" s="87">
        <f t="shared" si="194"/>
        <v>2796.5906870638905</v>
      </c>
      <c r="Z364" s="87">
        <f t="shared" si="195"/>
        <v>2796.5906870638905</v>
      </c>
      <c r="AA364" s="88">
        <v>405</v>
      </c>
      <c r="AB364" s="89">
        <f>AA364*GDPdeflator!$C$25/$AI$18*10^3</f>
        <v>38.940546907618888</v>
      </c>
      <c r="AC364" s="90" t="e">
        <f>INDEX(Efficiencies!$D$8:$M$89,MATCH(C364,Efficiencies!$C$8:$C$89),MATCH(D364,Efficiencies!$D$7:$M$7))</f>
        <v>#REF!</v>
      </c>
      <c r="AD364" s="90" t="e">
        <f t="shared" si="196"/>
        <v>#REF!</v>
      </c>
      <c r="AE364" s="90" t="e">
        <f>INDEX(Efficiencies!$P$8:$Y$89,MATCH(C364,Efficiencies!$C$8:$C$89),MATCH(D364,Efficiencies!$P$7:$Y$7))</f>
        <v>#REF!</v>
      </c>
      <c r="AF364" s="90" t="e">
        <f t="shared" si="199"/>
        <v>#REF!</v>
      </c>
      <c r="AG364" s="90">
        <v>0</v>
      </c>
    </row>
    <row r="365" spans="1:33" x14ac:dyDescent="0.2">
      <c r="A365" s="92" t="s">
        <v>1532</v>
      </c>
      <c r="B365" s="248" t="s">
        <v>1533</v>
      </c>
      <c r="C365" s="40" t="s">
        <v>1519</v>
      </c>
      <c r="D365" s="40">
        <v>2035</v>
      </c>
      <c r="E365" s="86">
        <f>GDPdeflator!$C$32*INDEX(Costs!$E$7:$O$89,MATCH($C365,Costs!$C$7:$C$89,0),MATCH(E$7,Costs!$E$6:$O$6,0))</f>
        <v>30.47563692724983</v>
      </c>
      <c r="F365" s="86">
        <f>GDPdeflator!$C$36*INDEX(Costs!$E$7:$O$89,MATCH($C365,Costs!$C$7:$C$89,0),MATCH(F$7,Costs!$E$6:$O$6,0))</f>
        <v>30.543292188485449</v>
      </c>
      <c r="G365" s="86">
        <f>GDPdeflator!$C$38*INDEX(Costs!$E$7:$O$89,MATCH($C365,Costs!$C$7:$C$89,0),MATCH(G$7,Costs!$E$6:$O$6,0))</f>
        <v>32.003497361955013</v>
      </c>
      <c r="H365" s="86">
        <f>GDPdeflator!$C$38*INDEX(Costs!$E$7:$O$89,MATCH($C365,Costs!$C$7:$C$89,0),MATCH(H$7,Costs!$E$6:$O$6,0))</f>
        <v>32.748172225290951</v>
      </c>
      <c r="I365" s="86">
        <f>GDPdeflator!$C$38*INDEX(Costs!$E$7:$O$89,MATCH($C365,Costs!$C$7:$C$89,0),MATCH(I$7,Costs!$E$6:$O$6,0))</f>
        <v>33.659303822784331</v>
      </c>
      <c r="J365" s="86">
        <f>GDPdeflator!$C$38*INDEX(Costs!$E$7:$O$89,MATCH($C365,Costs!$C$7:$C$89,0),MATCH(J$7,Costs!$E$6:$O$6,0))</f>
        <v>33.703108226509968</v>
      </c>
      <c r="K365" s="86">
        <f>GDPdeflator!$C$38*INDEX(Costs!$E$7:$O$89,MATCH($C365,Costs!$C$7:$C$89,0),MATCH(K$7,Costs!$E$6:$O$6,0))</f>
        <v>33.720629988000233</v>
      </c>
      <c r="L365" s="86">
        <f>GDPdeflator!$C$38*INDEX(Costs!$E$7:$O$89,MATCH($C365,Costs!$C$7:$C$89,0),MATCH(L$7,Costs!$E$6:$O$6,0))</f>
        <v>33.492847088626881</v>
      </c>
      <c r="M365" s="86">
        <f>GDPdeflator!$C$38*INDEX(Costs!$E$7:$O$89,MATCH($C365,Costs!$C$7:$C$89,0),MATCH(M$7,Costs!$E$6:$O$6,0))</f>
        <v>33.492847088626881</v>
      </c>
      <c r="N365" s="86">
        <f>GDPdeflator!$C$38*INDEX(Costs!$E$7:$O$89,MATCH($C365,Costs!$C$7:$C$89,0),MATCH(N$7,Costs!$E$6:$O$6,0))</f>
        <v>33.492847088626881</v>
      </c>
      <c r="O365" s="86">
        <f>GDPdeflator!$C$38*INDEX(Costs!$E$7:$O$89,MATCH($C365,Costs!$C$7:$C$89,0),MATCH(O$7,Costs!$E$6:$O$6,0))</f>
        <v>33.492847088626881</v>
      </c>
      <c r="P365" s="87">
        <f t="shared" si="198"/>
        <v>2544.6592279110241</v>
      </c>
      <c r="Q365" s="87">
        <f t="shared" si="186"/>
        <v>2550.3083168941657</v>
      </c>
      <c r="R365" s="87">
        <f t="shared" si="187"/>
        <v>2672.2327438776861</v>
      </c>
      <c r="S365" s="87">
        <f t="shared" si="188"/>
        <v>2734.4117154707883</v>
      </c>
      <c r="T365" s="87">
        <f t="shared" si="189"/>
        <v>2810.4895160082315</v>
      </c>
      <c r="U365" s="87">
        <f t="shared" si="190"/>
        <v>2814.1471025725309</v>
      </c>
      <c r="V365" s="87">
        <f t="shared" si="191"/>
        <v>2815.6101371982518</v>
      </c>
      <c r="W365" s="87">
        <f t="shared" si="192"/>
        <v>2796.5906870638905</v>
      </c>
      <c r="X365" s="87">
        <f t="shared" si="193"/>
        <v>2796.5906870638905</v>
      </c>
      <c r="Y365" s="87">
        <f t="shared" si="194"/>
        <v>2796.5906870638905</v>
      </c>
      <c r="Z365" s="87">
        <f t="shared" si="195"/>
        <v>2796.5906870638905</v>
      </c>
      <c r="AA365" s="88">
        <v>405</v>
      </c>
      <c r="AB365" s="89">
        <f>AA365*GDPdeflator!$C$25/$AI$18*10^3</f>
        <v>38.940546907618888</v>
      </c>
      <c r="AC365" s="90" t="e">
        <f>INDEX(Efficiencies!$D$8:$M$89,MATCH(C365,Efficiencies!$C$8:$C$89),MATCH(D365,Efficiencies!$D$7:$M$7))</f>
        <v>#REF!</v>
      </c>
      <c r="AD365" s="90" t="e">
        <f t="shared" si="196"/>
        <v>#REF!</v>
      </c>
      <c r="AE365" s="90" t="e">
        <f>INDEX(Efficiencies!$P$8:$Y$89,MATCH(C365,Efficiencies!$C$8:$C$89),MATCH(D365,Efficiencies!$P$7:$Y$7))</f>
        <v>#REF!</v>
      </c>
      <c r="AF365" s="90" t="e">
        <f t="shared" si="199"/>
        <v>#REF!</v>
      </c>
      <c r="AG365" s="90">
        <v>0</v>
      </c>
    </row>
    <row r="366" spans="1:33" x14ac:dyDescent="0.2">
      <c r="A366" s="92" t="s">
        <v>1534</v>
      </c>
      <c r="B366" s="248" t="s">
        <v>1535</v>
      </c>
      <c r="C366" s="40" t="s">
        <v>1519</v>
      </c>
      <c r="D366" s="40">
        <v>2040</v>
      </c>
      <c r="E366" s="86">
        <f>GDPdeflator!$C$32*INDEX(Costs!$E$7:$O$89,MATCH($C366,Costs!$C$7:$C$89,0),MATCH(E$7,Costs!$E$6:$O$6,0))</f>
        <v>30.47563692724983</v>
      </c>
      <c r="F366" s="86">
        <f>GDPdeflator!$C$36*INDEX(Costs!$E$7:$O$89,MATCH($C366,Costs!$C$7:$C$89,0),MATCH(F$7,Costs!$E$6:$O$6,0))</f>
        <v>30.543292188485449</v>
      </c>
      <c r="G366" s="86">
        <f>GDPdeflator!$C$38*INDEX(Costs!$E$7:$O$89,MATCH($C366,Costs!$C$7:$C$89,0),MATCH(G$7,Costs!$E$6:$O$6,0))</f>
        <v>32.003497361955013</v>
      </c>
      <c r="H366" s="86">
        <f>GDPdeflator!$C$38*INDEX(Costs!$E$7:$O$89,MATCH($C366,Costs!$C$7:$C$89,0),MATCH(H$7,Costs!$E$6:$O$6,0))</f>
        <v>32.748172225290951</v>
      </c>
      <c r="I366" s="86">
        <f>GDPdeflator!$C$38*INDEX(Costs!$E$7:$O$89,MATCH($C366,Costs!$C$7:$C$89,0),MATCH(I$7,Costs!$E$6:$O$6,0))</f>
        <v>33.659303822784331</v>
      </c>
      <c r="J366" s="86">
        <f>GDPdeflator!$C$38*INDEX(Costs!$E$7:$O$89,MATCH($C366,Costs!$C$7:$C$89,0),MATCH(J$7,Costs!$E$6:$O$6,0))</f>
        <v>33.703108226509968</v>
      </c>
      <c r="K366" s="86">
        <f>GDPdeflator!$C$38*INDEX(Costs!$E$7:$O$89,MATCH($C366,Costs!$C$7:$C$89,0),MATCH(K$7,Costs!$E$6:$O$6,0))</f>
        <v>33.720629988000233</v>
      </c>
      <c r="L366" s="86">
        <f>GDPdeflator!$C$38*INDEX(Costs!$E$7:$O$89,MATCH($C366,Costs!$C$7:$C$89,0),MATCH(L$7,Costs!$E$6:$O$6,0))</f>
        <v>33.492847088626881</v>
      </c>
      <c r="M366" s="86">
        <f>GDPdeflator!$C$38*INDEX(Costs!$E$7:$O$89,MATCH($C366,Costs!$C$7:$C$89,0),MATCH(M$7,Costs!$E$6:$O$6,0))</f>
        <v>33.492847088626881</v>
      </c>
      <c r="N366" s="86">
        <f>GDPdeflator!$C$38*INDEX(Costs!$E$7:$O$89,MATCH($C366,Costs!$C$7:$C$89,0),MATCH(N$7,Costs!$E$6:$O$6,0))</f>
        <v>33.492847088626881</v>
      </c>
      <c r="O366" s="86">
        <f>GDPdeflator!$C$38*INDEX(Costs!$E$7:$O$89,MATCH($C366,Costs!$C$7:$C$89,0),MATCH(O$7,Costs!$E$6:$O$6,0))</f>
        <v>33.492847088626881</v>
      </c>
      <c r="P366" s="87">
        <f t="shared" si="198"/>
        <v>2544.6592279110241</v>
      </c>
      <c r="Q366" s="87">
        <f t="shared" si="186"/>
        <v>2550.3083168941657</v>
      </c>
      <c r="R366" s="87">
        <f t="shared" si="187"/>
        <v>2672.2327438776861</v>
      </c>
      <c r="S366" s="87">
        <f t="shared" si="188"/>
        <v>2734.4117154707883</v>
      </c>
      <c r="T366" s="87">
        <f t="shared" si="189"/>
        <v>2810.4895160082315</v>
      </c>
      <c r="U366" s="87">
        <f t="shared" si="190"/>
        <v>2814.1471025725309</v>
      </c>
      <c r="V366" s="87">
        <f t="shared" si="191"/>
        <v>2815.6101371982518</v>
      </c>
      <c r="W366" s="87">
        <f t="shared" si="192"/>
        <v>2796.5906870638905</v>
      </c>
      <c r="X366" s="87">
        <f t="shared" si="193"/>
        <v>2796.5906870638905</v>
      </c>
      <c r="Y366" s="87">
        <f t="shared" si="194"/>
        <v>2796.5906870638905</v>
      </c>
      <c r="Z366" s="87">
        <f t="shared" si="195"/>
        <v>2796.5906870638905</v>
      </c>
      <c r="AA366" s="88">
        <v>405</v>
      </c>
      <c r="AB366" s="89">
        <f>AA366*GDPdeflator!$C$25/$AI$18*10^3</f>
        <v>38.940546907618888</v>
      </c>
      <c r="AC366" s="90" t="e">
        <f>INDEX(Efficiencies!$D$8:$M$89,MATCH(C366,Efficiencies!$C$8:$C$89),MATCH(D366,Efficiencies!$D$7:$M$7))</f>
        <v>#REF!</v>
      </c>
      <c r="AD366" s="90" t="e">
        <f t="shared" si="196"/>
        <v>#REF!</v>
      </c>
      <c r="AE366" s="90" t="e">
        <f>INDEX(Efficiencies!$P$8:$Y$89,MATCH(C366,Efficiencies!$C$8:$C$89),MATCH(D366,Efficiencies!$P$7:$Y$7))</f>
        <v>#REF!</v>
      </c>
      <c r="AF366" s="90" t="e">
        <f t="shared" si="199"/>
        <v>#REF!</v>
      </c>
      <c r="AG366" s="90">
        <v>0</v>
      </c>
    </row>
    <row r="367" spans="1:33" x14ac:dyDescent="0.2">
      <c r="A367" s="92" t="s">
        <v>1536</v>
      </c>
      <c r="B367" s="248" t="s">
        <v>1537</v>
      </c>
      <c r="C367" s="40" t="s">
        <v>1519</v>
      </c>
      <c r="D367" s="40">
        <v>2045</v>
      </c>
      <c r="E367" s="86">
        <f>GDPdeflator!$C$32*INDEX(Costs!$E$7:$O$89,MATCH($C367,Costs!$C$7:$C$89,0),MATCH(E$7,Costs!$E$6:$O$6,0))</f>
        <v>30.47563692724983</v>
      </c>
      <c r="F367" s="86">
        <f>GDPdeflator!$C$36*INDEX(Costs!$E$7:$O$89,MATCH($C367,Costs!$C$7:$C$89,0),MATCH(F$7,Costs!$E$6:$O$6,0))</f>
        <v>30.543292188485449</v>
      </c>
      <c r="G367" s="86">
        <f>GDPdeflator!$C$38*INDEX(Costs!$E$7:$O$89,MATCH($C367,Costs!$C$7:$C$89,0),MATCH(G$7,Costs!$E$6:$O$6,0))</f>
        <v>32.003497361955013</v>
      </c>
      <c r="H367" s="86">
        <f>GDPdeflator!$C$38*INDEX(Costs!$E$7:$O$89,MATCH($C367,Costs!$C$7:$C$89,0),MATCH(H$7,Costs!$E$6:$O$6,0))</f>
        <v>32.748172225290951</v>
      </c>
      <c r="I367" s="86">
        <f>GDPdeflator!$C$38*INDEX(Costs!$E$7:$O$89,MATCH($C367,Costs!$C$7:$C$89,0),MATCH(I$7,Costs!$E$6:$O$6,0))</f>
        <v>33.659303822784331</v>
      </c>
      <c r="J367" s="86">
        <f>GDPdeflator!$C$38*INDEX(Costs!$E$7:$O$89,MATCH($C367,Costs!$C$7:$C$89,0),MATCH(J$7,Costs!$E$6:$O$6,0))</f>
        <v>33.703108226509968</v>
      </c>
      <c r="K367" s="86">
        <f>GDPdeflator!$C$38*INDEX(Costs!$E$7:$O$89,MATCH($C367,Costs!$C$7:$C$89,0),MATCH(K$7,Costs!$E$6:$O$6,0))</f>
        <v>33.720629988000233</v>
      </c>
      <c r="L367" s="86">
        <f>GDPdeflator!$C$38*INDEX(Costs!$E$7:$O$89,MATCH($C367,Costs!$C$7:$C$89,0),MATCH(L$7,Costs!$E$6:$O$6,0))</f>
        <v>33.492847088626881</v>
      </c>
      <c r="M367" s="86">
        <f>GDPdeflator!$C$38*INDEX(Costs!$E$7:$O$89,MATCH($C367,Costs!$C$7:$C$89,0),MATCH(M$7,Costs!$E$6:$O$6,0))</f>
        <v>33.492847088626881</v>
      </c>
      <c r="N367" s="86">
        <f>GDPdeflator!$C$38*INDEX(Costs!$E$7:$O$89,MATCH($C367,Costs!$C$7:$C$89,0),MATCH(N$7,Costs!$E$6:$O$6,0))</f>
        <v>33.492847088626881</v>
      </c>
      <c r="O367" s="86">
        <f>GDPdeflator!$C$38*INDEX(Costs!$E$7:$O$89,MATCH($C367,Costs!$C$7:$C$89,0),MATCH(O$7,Costs!$E$6:$O$6,0))</f>
        <v>33.492847088626881</v>
      </c>
      <c r="P367" s="87">
        <f t="shared" si="198"/>
        <v>2544.6592279110241</v>
      </c>
      <c r="Q367" s="87">
        <f t="shared" si="186"/>
        <v>2550.3083168941657</v>
      </c>
      <c r="R367" s="87">
        <f t="shared" si="187"/>
        <v>2672.2327438776861</v>
      </c>
      <c r="S367" s="87">
        <f t="shared" si="188"/>
        <v>2734.4117154707883</v>
      </c>
      <c r="T367" s="87">
        <f t="shared" si="189"/>
        <v>2810.4895160082315</v>
      </c>
      <c r="U367" s="87">
        <f t="shared" si="190"/>
        <v>2814.1471025725309</v>
      </c>
      <c r="V367" s="87">
        <f t="shared" si="191"/>
        <v>2815.6101371982518</v>
      </c>
      <c r="W367" s="87">
        <f t="shared" si="192"/>
        <v>2796.5906870638905</v>
      </c>
      <c r="X367" s="87">
        <f t="shared" si="193"/>
        <v>2796.5906870638905</v>
      </c>
      <c r="Y367" s="87">
        <f t="shared" si="194"/>
        <v>2796.5906870638905</v>
      </c>
      <c r="Z367" s="87">
        <f t="shared" si="195"/>
        <v>2796.5906870638905</v>
      </c>
      <c r="AA367" s="88">
        <v>405</v>
      </c>
      <c r="AB367" s="89">
        <f>AA367*GDPdeflator!$C$25/$AI$18*10^3</f>
        <v>38.940546907618888</v>
      </c>
      <c r="AC367" s="90" t="e">
        <f>INDEX(Efficiencies!$D$8:$M$89,MATCH(C367,Efficiencies!$C$8:$C$89),MATCH(D367,Efficiencies!$D$7:$M$7))</f>
        <v>#REF!</v>
      </c>
      <c r="AD367" s="90" t="e">
        <f t="shared" si="196"/>
        <v>#REF!</v>
      </c>
      <c r="AE367" s="90" t="e">
        <f>INDEX(Efficiencies!$P$8:$Y$89,MATCH(C367,Efficiencies!$C$8:$C$89),MATCH(D367,Efficiencies!$P$7:$Y$7))</f>
        <v>#REF!</v>
      </c>
      <c r="AF367" s="90" t="e">
        <f t="shared" si="199"/>
        <v>#REF!</v>
      </c>
      <c r="AG367" s="90">
        <v>0</v>
      </c>
    </row>
    <row r="368" spans="1:33" x14ac:dyDescent="0.2">
      <c r="A368" s="92" t="s">
        <v>1538</v>
      </c>
      <c r="B368" s="248" t="s">
        <v>1539</v>
      </c>
      <c r="C368" s="40" t="s">
        <v>1519</v>
      </c>
      <c r="D368" s="40">
        <v>2050</v>
      </c>
      <c r="E368" s="86">
        <f>GDPdeflator!$C$32*INDEX(Costs!$E$7:$O$89,MATCH($C368,Costs!$C$7:$C$89,0),MATCH(E$7,Costs!$E$6:$O$6,0))</f>
        <v>30.47563692724983</v>
      </c>
      <c r="F368" s="86">
        <f>GDPdeflator!$C$36*INDEX(Costs!$E$7:$O$89,MATCH($C368,Costs!$C$7:$C$89,0),MATCH(F$7,Costs!$E$6:$O$6,0))</f>
        <v>30.543292188485449</v>
      </c>
      <c r="G368" s="86">
        <f>GDPdeflator!$C$38*INDEX(Costs!$E$7:$O$89,MATCH($C368,Costs!$C$7:$C$89,0),MATCH(G$7,Costs!$E$6:$O$6,0))</f>
        <v>32.003497361955013</v>
      </c>
      <c r="H368" s="86">
        <f>GDPdeflator!$C$38*INDEX(Costs!$E$7:$O$89,MATCH($C368,Costs!$C$7:$C$89,0),MATCH(H$7,Costs!$E$6:$O$6,0))</f>
        <v>32.748172225290951</v>
      </c>
      <c r="I368" s="86">
        <f>GDPdeflator!$C$38*INDEX(Costs!$E$7:$O$89,MATCH($C368,Costs!$C$7:$C$89,0),MATCH(I$7,Costs!$E$6:$O$6,0))</f>
        <v>33.659303822784331</v>
      </c>
      <c r="J368" s="86">
        <f>GDPdeflator!$C$38*INDEX(Costs!$E$7:$O$89,MATCH($C368,Costs!$C$7:$C$89,0),MATCH(J$7,Costs!$E$6:$O$6,0))</f>
        <v>33.703108226509968</v>
      </c>
      <c r="K368" s="86">
        <f>GDPdeflator!$C$38*INDEX(Costs!$E$7:$O$89,MATCH($C368,Costs!$C$7:$C$89,0),MATCH(K$7,Costs!$E$6:$O$6,0))</f>
        <v>33.720629988000233</v>
      </c>
      <c r="L368" s="86">
        <f>GDPdeflator!$C$38*INDEX(Costs!$E$7:$O$89,MATCH($C368,Costs!$C$7:$C$89,0),MATCH(L$7,Costs!$E$6:$O$6,0))</f>
        <v>33.492847088626881</v>
      </c>
      <c r="M368" s="86">
        <f>GDPdeflator!$C$38*INDEX(Costs!$E$7:$O$89,MATCH($C368,Costs!$C$7:$C$89,0),MATCH(M$7,Costs!$E$6:$O$6,0))</f>
        <v>33.492847088626881</v>
      </c>
      <c r="N368" s="86">
        <f>GDPdeflator!$C$38*INDEX(Costs!$E$7:$O$89,MATCH($C368,Costs!$C$7:$C$89,0),MATCH(N$7,Costs!$E$6:$O$6,0))</f>
        <v>33.492847088626881</v>
      </c>
      <c r="O368" s="86">
        <f>GDPdeflator!$C$38*INDEX(Costs!$E$7:$O$89,MATCH($C368,Costs!$C$7:$C$89,0),MATCH(O$7,Costs!$E$6:$O$6,0))</f>
        <v>33.492847088626881</v>
      </c>
      <c r="P368" s="87">
        <f t="shared" si="198"/>
        <v>2544.6592279110241</v>
      </c>
      <c r="Q368" s="87">
        <f t="shared" si="186"/>
        <v>2550.3083168941657</v>
      </c>
      <c r="R368" s="87">
        <f t="shared" si="187"/>
        <v>2672.2327438776861</v>
      </c>
      <c r="S368" s="87">
        <f t="shared" si="188"/>
        <v>2734.4117154707883</v>
      </c>
      <c r="T368" s="87">
        <f t="shared" si="189"/>
        <v>2810.4895160082315</v>
      </c>
      <c r="U368" s="87">
        <f t="shared" si="190"/>
        <v>2814.1471025725309</v>
      </c>
      <c r="V368" s="87">
        <f t="shared" si="191"/>
        <v>2815.6101371982518</v>
      </c>
      <c r="W368" s="87">
        <f t="shared" si="192"/>
        <v>2796.5906870638905</v>
      </c>
      <c r="X368" s="87">
        <f t="shared" si="193"/>
        <v>2796.5906870638905</v>
      </c>
      <c r="Y368" s="87">
        <f t="shared" si="194"/>
        <v>2796.5906870638905</v>
      </c>
      <c r="Z368" s="87">
        <f t="shared" si="195"/>
        <v>2796.5906870638905</v>
      </c>
      <c r="AA368" s="88">
        <v>405</v>
      </c>
      <c r="AB368" s="89">
        <f>AA368*GDPdeflator!$C$25/$AI$18*10^3</f>
        <v>38.940546907618888</v>
      </c>
      <c r="AC368" s="90" t="e">
        <f>INDEX(Efficiencies!$D$8:$M$89,MATCH(C368,Efficiencies!$C$8:$C$89),MATCH(D368,Efficiencies!$D$7:$M$7))</f>
        <v>#REF!</v>
      </c>
      <c r="AD368" s="90" t="e">
        <f t="shared" si="196"/>
        <v>#REF!</v>
      </c>
      <c r="AE368" s="90" t="e">
        <f>INDEX(Efficiencies!$P$8:$Y$89,MATCH(C368,Efficiencies!$C$8:$C$89),MATCH(D368,Efficiencies!$P$7:$Y$7))</f>
        <v>#REF!</v>
      </c>
      <c r="AF368" s="90" t="e">
        <f t="shared" si="199"/>
        <v>#REF!</v>
      </c>
      <c r="AG368" s="90">
        <v>0</v>
      </c>
    </row>
    <row r="369" spans="1:33" x14ac:dyDescent="0.2">
      <c r="A369" s="92" t="s">
        <v>1540</v>
      </c>
      <c r="B369" s="248" t="s">
        <v>1541</v>
      </c>
      <c r="C369" s="40" t="s">
        <v>1542</v>
      </c>
      <c r="D369" s="40">
        <v>2060</v>
      </c>
      <c r="E369" s="86">
        <f>GDPdeflator!$C$32*INDEX(Costs!$E$7:$O$89,MATCH($C369,Costs!$C$7:$C$89,0),MATCH(E$7,Costs!$E$6:$O$6,0))</f>
        <v>29.293809938971226</v>
      </c>
      <c r="F369" s="86">
        <f>GDPdeflator!$C$36*INDEX(Costs!$E$7:$O$89,MATCH($C369,Costs!$C$7:$C$89,0),MATCH(F$7,Costs!$E$6:$O$6,0))</f>
        <v>28.290837012343452</v>
      </c>
      <c r="G369" s="86">
        <f>GDPdeflator!$C$38*INDEX(Costs!$E$7:$O$89,MATCH($C369,Costs!$C$7:$C$89,0),MATCH(G$7,Costs!$E$6:$O$6,0))</f>
        <v>29.804516294927719</v>
      </c>
      <c r="H369" s="86">
        <f>GDPdeflator!$C$38*INDEX(Costs!$E$7:$O$89,MATCH($C369,Costs!$C$7:$C$89,0),MATCH(H$7,Costs!$E$6:$O$6,0))</f>
        <v>30.575473800499037</v>
      </c>
      <c r="I369" s="86">
        <f>GDPdeflator!$C$38*INDEX(Costs!$E$7:$O$89,MATCH($C369,Costs!$C$7:$C$89,0),MATCH(I$7,Costs!$E$6:$O$6,0))</f>
        <v>31.486605397992417</v>
      </c>
      <c r="J369" s="86">
        <f>GDPdeflator!$C$38*INDEX(Costs!$E$7:$O$89,MATCH($C369,Costs!$C$7:$C$89,0),MATCH(J$7,Costs!$E$6:$O$6,0))</f>
        <v>31.530409801718065</v>
      </c>
      <c r="K369" s="86">
        <f>GDPdeflator!$C$38*INDEX(Costs!$E$7:$O$89,MATCH($C369,Costs!$C$7:$C$89,0),MATCH(K$7,Costs!$E$6:$O$6,0))</f>
        <v>31.547931563208319</v>
      </c>
      <c r="L369" s="86">
        <f>GDPdeflator!$C$38*INDEX(Costs!$E$7:$O$89,MATCH($C369,Costs!$C$7:$C$89,0),MATCH(L$7,Costs!$E$6:$O$6,0))</f>
        <v>31.565453324698577</v>
      </c>
      <c r="M369" s="86">
        <f>GDPdeflator!$C$38*INDEX(Costs!$E$7:$O$89,MATCH($C369,Costs!$C$7:$C$89,0),MATCH(M$7,Costs!$E$6:$O$6,0))</f>
        <v>31.565453324698577</v>
      </c>
      <c r="N369" s="86">
        <f>GDPdeflator!$C$38*INDEX(Costs!$E$7:$O$89,MATCH($C369,Costs!$C$7:$C$89,0),MATCH(N$7,Costs!$E$6:$O$6,0))</f>
        <v>31.565453324698577</v>
      </c>
      <c r="O369" s="86">
        <f>GDPdeflator!$C$38*INDEX(Costs!$E$7:$O$89,MATCH($C369,Costs!$C$7:$C$89,0),MATCH(O$7,Costs!$E$6:$O$6,0))</f>
        <v>31.565453324698577</v>
      </c>
      <c r="P369" s="87">
        <f>E369/$AI$18*10^6</f>
        <v>2445.9788637008696</v>
      </c>
      <c r="Q369" s="87">
        <f t="shared" si="186"/>
        <v>2362.2324823149497</v>
      </c>
      <c r="R369" s="87">
        <f t="shared" si="187"/>
        <v>2488.6218983498188</v>
      </c>
      <c r="S369" s="87">
        <f t="shared" si="188"/>
        <v>2552.995421881501</v>
      </c>
      <c r="T369" s="87">
        <f t="shared" si="189"/>
        <v>2629.0732224189437</v>
      </c>
      <c r="U369" s="87">
        <f t="shared" si="190"/>
        <v>2632.7308089832445</v>
      </c>
      <c r="V369" s="87">
        <f t="shared" si="191"/>
        <v>2634.1938436089645</v>
      </c>
      <c r="W369" s="87">
        <f t="shared" si="192"/>
        <v>2635.6568782346844</v>
      </c>
      <c r="X369" s="87">
        <f t="shared" si="193"/>
        <v>2635.6568782346844</v>
      </c>
      <c r="Y369" s="87">
        <f t="shared" si="194"/>
        <v>2635.6568782346844</v>
      </c>
      <c r="Z369" s="87">
        <f t="shared" si="195"/>
        <v>2635.6568782346844</v>
      </c>
      <c r="AA369" s="88">
        <v>405</v>
      </c>
      <c r="AB369" s="89">
        <f>AA369*GDPdeflator!$C$25/$AI$18*10^3</f>
        <v>38.940546907618888</v>
      </c>
      <c r="AC369" s="90" t="e">
        <f>INDEX(Efficiencies!$D$8:$M$89,MATCH(C369,Efficiencies!$C$8:$C$89),MATCH(D369,Efficiencies!$D$7:$M$7))</f>
        <v>#REF!</v>
      </c>
      <c r="AD369" s="90" t="e">
        <f t="shared" si="196"/>
        <v>#REF!</v>
      </c>
      <c r="AE369" s="90" t="e">
        <f>INDEX(Efficiencies!$P$8:$Y$89,MATCH(C369,Efficiencies!$C$8:$C$89),MATCH(D369,Efficiencies!$P$7:$Y$7))</f>
        <v>#REF!</v>
      </c>
      <c r="AF369" s="90" t="e">
        <f t="shared" si="199"/>
        <v>#REF!</v>
      </c>
      <c r="AG369" s="90">
        <v>0</v>
      </c>
    </row>
    <row r="370" spans="1:33" x14ac:dyDescent="0.2">
      <c r="A370" s="92" t="s">
        <v>1543</v>
      </c>
      <c r="B370" s="248" t="s">
        <v>1544</v>
      </c>
      <c r="C370" s="40" t="s">
        <v>1542</v>
      </c>
      <c r="D370" s="40">
        <v>2005</v>
      </c>
      <c r="E370" s="86">
        <f>GDPdeflator!$C$32*INDEX(Costs!$E$7:$O$89,MATCH($C370,Costs!$C$7:$C$89,0),MATCH(E$7,Costs!$E$6:$O$6,0))</f>
        <v>29.293809938971226</v>
      </c>
      <c r="F370" s="86">
        <f>GDPdeflator!$C$36*INDEX(Costs!$E$7:$O$89,MATCH($C370,Costs!$C$7:$C$89,0),MATCH(F$7,Costs!$E$6:$O$6,0))</f>
        <v>28.290837012343452</v>
      </c>
      <c r="G370" s="86">
        <f>GDPdeflator!$C$38*INDEX(Costs!$E$7:$O$89,MATCH($C370,Costs!$C$7:$C$89,0),MATCH(G$7,Costs!$E$6:$O$6,0))</f>
        <v>29.804516294927719</v>
      </c>
      <c r="H370" s="86">
        <f>GDPdeflator!$C$38*INDEX(Costs!$E$7:$O$89,MATCH($C370,Costs!$C$7:$C$89,0),MATCH(H$7,Costs!$E$6:$O$6,0))</f>
        <v>30.575473800499037</v>
      </c>
      <c r="I370" s="86">
        <f>GDPdeflator!$C$38*INDEX(Costs!$E$7:$O$89,MATCH($C370,Costs!$C$7:$C$89,0),MATCH(I$7,Costs!$E$6:$O$6,0))</f>
        <v>31.486605397992417</v>
      </c>
      <c r="J370" s="86">
        <f>GDPdeflator!$C$38*INDEX(Costs!$E$7:$O$89,MATCH($C370,Costs!$C$7:$C$89,0),MATCH(J$7,Costs!$E$6:$O$6,0))</f>
        <v>31.530409801718065</v>
      </c>
      <c r="K370" s="86">
        <f>GDPdeflator!$C$38*INDEX(Costs!$E$7:$O$89,MATCH($C370,Costs!$C$7:$C$89,0),MATCH(K$7,Costs!$E$6:$O$6,0))</f>
        <v>31.547931563208319</v>
      </c>
      <c r="L370" s="86">
        <f>GDPdeflator!$C$38*INDEX(Costs!$E$7:$O$89,MATCH($C370,Costs!$C$7:$C$89,0),MATCH(L$7,Costs!$E$6:$O$6,0))</f>
        <v>31.565453324698577</v>
      </c>
      <c r="M370" s="86">
        <f>GDPdeflator!$C$38*INDEX(Costs!$E$7:$O$89,MATCH($C370,Costs!$C$7:$C$89,0),MATCH(M$7,Costs!$E$6:$O$6,0))</f>
        <v>31.565453324698577</v>
      </c>
      <c r="N370" s="86">
        <f>GDPdeflator!$C$38*INDEX(Costs!$E$7:$O$89,MATCH($C370,Costs!$C$7:$C$89,0),MATCH(N$7,Costs!$E$6:$O$6,0))</f>
        <v>31.565453324698577</v>
      </c>
      <c r="O370" s="86">
        <f>GDPdeflator!$C$38*INDEX(Costs!$E$7:$O$89,MATCH($C370,Costs!$C$7:$C$89,0),MATCH(O$7,Costs!$E$6:$O$6,0))</f>
        <v>31.565453324698577</v>
      </c>
      <c r="P370" s="87">
        <f t="shared" ref="P370:P379" si="200">E370/$AI$18*10^6</f>
        <v>2445.9788637008696</v>
      </c>
      <c r="Q370" s="87">
        <f t="shared" si="186"/>
        <v>2362.2324823149497</v>
      </c>
      <c r="R370" s="87">
        <f t="shared" si="187"/>
        <v>2488.6218983498188</v>
      </c>
      <c r="S370" s="87">
        <f t="shared" si="188"/>
        <v>2552.995421881501</v>
      </c>
      <c r="T370" s="87">
        <f t="shared" si="189"/>
        <v>2629.0732224189437</v>
      </c>
      <c r="U370" s="87">
        <f t="shared" si="190"/>
        <v>2632.7308089832445</v>
      </c>
      <c r="V370" s="87">
        <f t="shared" si="191"/>
        <v>2634.1938436089645</v>
      </c>
      <c r="W370" s="87">
        <f t="shared" si="192"/>
        <v>2635.6568782346844</v>
      </c>
      <c r="X370" s="87">
        <f t="shared" si="193"/>
        <v>2635.6568782346844</v>
      </c>
      <c r="Y370" s="87">
        <f t="shared" si="194"/>
        <v>2635.6568782346844</v>
      </c>
      <c r="Z370" s="87">
        <f t="shared" si="195"/>
        <v>2635.6568782346844</v>
      </c>
      <c r="AA370" s="88">
        <v>405</v>
      </c>
      <c r="AB370" s="89">
        <f>AA370*GDPdeflator!$C$25/$AI$18*10^3</f>
        <v>38.940546907618888</v>
      </c>
      <c r="AC370" s="90" t="e">
        <f>INDEX(Efficiencies!$D$8:$M$89,MATCH(C370,Efficiencies!$C$8:$C$89),MATCH(D370,Efficiencies!$D$7:$M$7))</f>
        <v>#REF!</v>
      </c>
      <c r="AD370" s="90" t="e">
        <f t="shared" si="196"/>
        <v>#REF!</v>
      </c>
      <c r="AE370" s="90" t="e">
        <f>INDEX(Efficiencies!$P$8:$Y$89,MATCH(C370,Efficiencies!$C$8:$C$89),MATCH(D370,Efficiencies!$P$7:$Y$7))</f>
        <v>#REF!</v>
      </c>
      <c r="AF370" s="90" t="e">
        <f t="shared" si="199"/>
        <v>#REF!</v>
      </c>
      <c r="AG370" s="90">
        <v>0</v>
      </c>
    </row>
    <row r="371" spans="1:33" x14ac:dyDescent="0.2">
      <c r="A371" s="92" t="s">
        <v>1545</v>
      </c>
      <c r="B371" s="248" t="s">
        <v>1546</v>
      </c>
      <c r="C371" s="40" t="s">
        <v>1542</v>
      </c>
      <c r="D371" s="40">
        <v>2010</v>
      </c>
      <c r="E371" s="86">
        <f>GDPdeflator!$C$32*INDEX(Costs!$E$7:$O$89,MATCH($C371,Costs!$C$7:$C$89,0),MATCH(E$7,Costs!$E$6:$O$6,0))</f>
        <v>29.293809938971226</v>
      </c>
      <c r="F371" s="86">
        <f>GDPdeflator!$C$36*INDEX(Costs!$E$7:$O$89,MATCH($C371,Costs!$C$7:$C$89,0),MATCH(F$7,Costs!$E$6:$O$6,0))</f>
        <v>28.290837012343452</v>
      </c>
      <c r="G371" s="86">
        <f>GDPdeflator!$C$38*INDEX(Costs!$E$7:$O$89,MATCH($C371,Costs!$C$7:$C$89,0),MATCH(G$7,Costs!$E$6:$O$6,0))</f>
        <v>29.804516294927719</v>
      </c>
      <c r="H371" s="86">
        <f>GDPdeflator!$C$38*INDEX(Costs!$E$7:$O$89,MATCH($C371,Costs!$C$7:$C$89,0),MATCH(H$7,Costs!$E$6:$O$6,0))</f>
        <v>30.575473800499037</v>
      </c>
      <c r="I371" s="86">
        <f>GDPdeflator!$C$38*INDEX(Costs!$E$7:$O$89,MATCH($C371,Costs!$C$7:$C$89,0),MATCH(I$7,Costs!$E$6:$O$6,0))</f>
        <v>31.486605397992417</v>
      </c>
      <c r="J371" s="86">
        <f>GDPdeflator!$C$38*INDEX(Costs!$E$7:$O$89,MATCH($C371,Costs!$C$7:$C$89,0),MATCH(J$7,Costs!$E$6:$O$6,0))</f>
        <v>31.530409801718065</v>
      </c>
      <c r="K371" s="86">
        <f>GDPdeflator!$C$38*INDEX(Costs!$E$7:$O$89,MATCH($C371,Costs!$C$7:$C$89,0),MATCH(K$7,Costs!$E$6:$O$6,0))</f>
        <v>31.547931563208319</v>
      </c>
      <c r="L371" s="86">
        <f>GDPdeflator!$C$38*INDEX(Costs!$E$7:$O$89,MATCH($C371,Costs!$C$7:$C$89,0),MATCH(L$7,Costs!$E$6:$O$6,0))</f>
        <v>31.565453324698577</v>
      </c>
      <c r="M371" s="86">
        <f>GDPdeflator!$C$38*INDEX(Costs!$E$7:$O$89,MATCH($C371,Costs!$C$7:$C$89,0),MATCH(M$7,Costs!$E$6:$O$6,0))</f>
        <v>31.565453324698577</v>
      </c>
      <c r="N371" s="86">
        <f>GDPdeflator!$C$38*INDEX(Costs!$E$7:$O$89,MATCH($C371,Costs!$C$7:$C$89,0),MATCH(N$7,Costs!$E$6:$O$6,0))</f>
        <v>31.565453324698577</v>
      </c>
      <c r="O371" s="86">
        <f>GDPdeflator!$C$38*INDEX(Costs!$E$7:$O$89,MATCH($C371,Costs!$C$7:$C$89,0),MATCH(O$7,Costs!$E$6:$O$6,0))</f>
        <v>31.565453324698577</v>
      </c>
      <c r="P371" s="87">
        <f t="shared" si="200"/>
        <v>2445.9788637008696</v>
      </c>
      <c r="Q371" s="87">
        <f t="shared" si="186"/>
        <v>2362.2324823149497</v>
      </c>
      <c r="R371" s="87">
        <f t="shared" si="187"/>
        <v>2488.6218983498188</v>
      </c>
      <c r="S371" s="87">
        <f t="shared" si="188"/>
        <v>2552.995421881501</v>
      </c>
      <c r="T371" s="87">
        <f t="shared" si="189"/>
        <v>2629.0732224189437</v>
      </c>
      <c r="U371" s="87">
        <f t="shared" si="190"/>
        <v>2632.7308089832445</v>
      </c>
      <c r="V371" s="87">
        <f t="shared" si="191"/>
        <v>2634.1938436089645</v>
      </c>
      <c r="W371" s="87">
        <f t="shared" si="192"/>
        <v>2635.6568782346844</v>
      </c>
      <c r="X371" s="87">
        <f t="shared" si="193"/>
        <v>2635.6568782346844</v>
      </c>
      <c r="Y371" s="87">
        <f t="shared" si="194"/>
        <v>2635.6568782346844</v>
      </c>
      <c r="Z371" s="87">
        <f t="shared" si="195"/>
        <v>2635.6568782346844</v>
      </c>
      <c r="AA371" s="88">
        <v>405</v>
      </c>
      <c r="AB371" s="89">
        <f>AA371*GDPdeflator!$C$25/$AI$18*10^3</f>
        <v>38.940546907618888</v>
      </c>
      <c r="AC371" s="90" t="e">
        <f>INDEX(Efficiencies!$D$8:$M$89,MATCH(C371,Efficiencies!$C$8:$C$89),MATCH(D371,Efficiencies!$D$7:$M$7))</f>
        <v>#REF!</v>
      </c>
      <c r="AD371" s="90" t="e">
        <f t="shared" si="196"/>
        <v>#REF!</v>
      </c>
      <c r="AE371" s="90" t="e">
        <f>INDEX(Efficiencies!$P$8:$Y$89,MATCH(C371,Efficiencies!$C$8:$C$89),MATCH(D371,Efficiencies!$P$7:$Y$7))</f>
        <v>#REF!</v>
      </c>
      <c r="AF371" s="90" t="e">
        <f t="shared" si="199"/>
        <v>#REF!</v>
      </c>
      <c r="AG371" s="90">
        <v>0</v>
      </c>
    </row>
    <row r="372" spans="1:33" x14ac:dyDescent="0.2">
      <c r="A372" s="92" t="s">
        <v>1547</v>
      </c>
      <c r="B372" s="248" t="s">
        <v>1548</v>
      </c>
      <c r="C372" s="40" t="s">
        <v>1542</v>
      </c>
      <c r="D372" s="40">
        <v>2015</v>
      </c>
      <c r="E372" s="86">
        <f>GDPdeflator!$C$32*INDEX(Costs!$E$7:$O$89,MATCH($C372,Costs!$C$7:$C$89,0),MATCH(E$7,Costs!$E$6:$O$6,0))</f>
        <v>29.293809938971226</v>
      </c>
      <c r="F372" s="86">
        <f>GDPdeflator!$C$36*INDEX(Costs!$E$7:$O$89,MATCH($C372,Costs!$C$7:$C$89,0),MATCH(F$7,Costs!$E$6:$O$6,0))</f>
        <v>28.290837012343452</v>
      </c>
      <c r="G372" s="86">
        <f>GDPdeflator!$C$38*INDEX(Costs!$E$7:$O$89,MATCH($C372,Costs!$C$7:$C$89,0),MATCH(G$7,Costs!$E$6:$O$6,0))</f>
        <v>29.804516294927719</v>
      </c>
      <c r="H372" s="86">
        <f>GDPdeflator!$C$38*INDEX(Costs!$E$7:$O$89,MATCH($C372,Costs!$C$7:$C$89,0),MATCH(H$7,Costs!$E$6:$O$6,0))</f>
        <v>30.575473800499037</v>
      </c>
      <c r="I372" s="86">
        <f>GDPdeflator!$C$38*INDEX(Costs!$E$7:$O$89,MATCH($C372,Costs!$C$7:$C$89,0),MATCH(I$7,Costs!$E$6:$O$6,0))</f>
        <v>31.486605397992417</v>
      </c>
      <c r="J372" s="86">
        <f>GDPdeflator!$C$38*INDEX(Costs!$E$7:$O$89,MATCH($C372,Costs!$C$7:$C$89,0),MATCH(J$7,Costs!$E$6:$O$6,0))</f>
        <v>31.530409801718065</v>
      </c>
      <c r="K372" s="86">
        <f>GDPdeflator!$C$38*INDEX(Costs!$E$7:$O$89,MATCH($C372,Costs!$C$7:$C$89,0),MATCH(K$7,Costs!$E$6:$O$6,0))</f>
        <v>31.547931563208319</v>
      </c>
      <c r="L372" s="86">
        <f>GDPdeflator!$C$38*INDEX(Costs!$E$7:$O$89,MATCH($C372,Costs!$C$7:$C$89,0),MATCH(L$7,Costs!$E$6:$O$6,0))</f>
        <v>31.565453324698577</v>
      </c>
      <c r="M372" s="86">
        <f>GDPdeflator!$C$38*INDEX(Costs!$E$7:$O$89,MATCH($C372,Costs!$C$7:$C$89,0),MATCH(M$7,Costs!$E$6:$O$6,0))</f>
        <v>31.565453324698577</v>
      </c>
      <c r="N372" s="86">
        <f>GDPdeflator!$C$38*INDEX(Costs!$E$7:$O$89,MATCH($C372,Costs!$C$7:$C$89,0),MATCH(N$7,Costs!$E$6:$O$6,0))</f>
        <v>31.565453324698577</v>
      </c>
      <c r="O372" s="86">
        <f>GDPdeflator!$C$38*INDEX(Costs!$E$7:$O$89,MATCH($C372,Costs!$C$7:$C$89,0),MATCH(O$7,Costs!$E$6:$O$6,0))</f>
        <v>31.565453324698577</v>
      </c>
      <c r="P372" s="87">
        <f t="shared" si="200"/>
        <v>2445.9788637008696</v>
      </c>
      <c r="Q372" s="87">
        <f t="shared" si="186"/>
        <v>2362.2324823149497</v>
      </c>
      <c r="R372" s="87">
        <f t="shared" si="187"/>
        <v>2488.6218983498188</v>
      </c>
      <c r="S372" s="87">
        <f t="shared" si="188"/>
        <v>2552.995421881501</v>
      </c>
      <c r="T372" s="87">
        <f t="shared" si="189"/>
        <v>2629.0732224189437</v>
      </c>
      <c r="U372" s="87">
        <f t="shared" si="190"/>
        <v>2632.7308089832445</v>
      </c>
      <c r="V372" s="87">
        <f t="shared" si="191"/>
        <v>2634.1938436089645</v>
      </c>
      <c r="W372" s="87">
        <f t="shared" si="192"/>
        <v>2635.6568782346844</v>
      </c>
      <c r="X372" s="87">
        <f t="shared" si="193"/>
        <v>2635.6568782346844</v>
      </c>
      <c r="Y372" s="87">
        <f t="shared" si="194"/>
        <v>2635.6568782346844</v>
      </c>
      <c r="Z372" s="87">
        <f t="shared" si="195"/>
        <v>2635.6568782346844</v>
      </c>
      <c r="AA372" s="88">
        <v>405</v>
      </c>
      <c r="AB372" s="89">
        <f>AA372*GDPdeflator!$C$25/$AI$18*10^3</f>
        <v>38.940546907618888</v>
      </c>
      <c r="AC372" s="90" t="e">
        <f>INDEX(Efficiencies!$D$8:$M$89,MATCH(C372,Efficiencies!$C$8:$C$89),MATCH(D372,Efficiencies!$D$7:$M$7))</f>
        <v>#REF!</v>
      </c>
      <c r="AD372" s="90" t="e">
        <f t="shared" si="196"/>
        <v>#REF!</v>
      </c>
      <c r="AE372" s="90" t="e">
        <f>INDEX(Efficiencies!$P$8:$Y$89,MATCH(C372,Efficiencies!$C$8:$C$89),MATCH(D372,Efficiencies!$P$7:$Y$7))</f>
        <v>#REF!</v>
      </c>
      <c r="AF372" s="90" t="e">
        <f t="shared" si="199"/>
        <v>#REF!</v>
      </c>
      <c r="AG372" s="90">
        <v>0</v>
      </c>
    </row>
    <row r="373" spans="1:33" x14ac:dyDescent="0.2">
      <c r="A373" s="92" t="s">
        <v>1549</v>
      </c>
      <c r="B373" s="248" t="s">
        <v>1550</v>
      </c>
      <c r="C373" s="40" t="s">
        <v>1542</v>
      </c>
      <c r="D373" s="40">
        <v>2020</v>
      </c>
      <c r="E373" s="86">
        <f>GDPdeflator!$C$32*INDEX(Costs!$E$7:$O$89,MATCH($C373,Costs!$C$7:$C$89,0),MATCH(E$7,Costs!$E$6:$O$6,0))</f>
        <v>29.293809938971226</v>
      </c>
      <c r="F373" s="86">
        <f>GDPdeflator!$C$36*INDEX(Costs!$E$7:$O$89,MATCH($C373,Costs!$C$7:$C$89,0),MATCH(F$7,Costs!$E$6:$O$6,0))</f>
        <v>28.290837012343452</v>
      </c>
      <c r="G373" s="86">
        <f>GDPdeflator!$C$38*INDEX(Costs!$E$7:$O$89,MATCH($C373,Costs!$C$7:$C$89,0),MATCH(G$7,Costs!$E$6:$O$6,0))</f>
        <v>29.804516294927719</v>
      </c>
      <c r="H373" s="86">
        <f>GDPdeflator!$C$38*INDEX(Costs!$E$7:$O$89,MATCH($C373,Costs!$C$7:$C$89,0),MATCH(H$7,Costs!$E$6:$O$6,0))</f>
        <v>30.575473800499037</v>
      </c>
      <c r="I373" s="86">
        <f>GDPdeflator!$C$38*INDEX(Costs!$E$7:$O$89,MATCH($C373,Costs!$C$7:$C$89,0),MATCH(I$7,Costs!$E$6:$O$6,0))</f>
        <v>31.486605397992417</v>
      </c>
      <c r="J373" s="86">
        <f>GDPdeflator!$C$38*INDEX(Costs!$E$7:$O$89,MATCH($C373,Costs!$C$7:$C$89,0),MATCH(J$7,Costs!$E$6:$O$6,0))</f>
        <v>31.530409801718065</v>
      </c>
      <c r="K373" s="86">
        <f>GDPdeflator!$C$38*INDEX(Costs!$E$7:$O$89,MATCH($C373,Costs!$C$7:$C$89,0),MATCH(K$7,Costs!$E$6:$O$6,0))</f>
        <v>31.547931563208319</v>
      </c>
      <c r="L373" s="86">
        <f>GDPdeflator!$C$38*INDEX(Costs!$E$7:$O$89,MATCH($C373,Costs!$C$7:$C$89,0),MATCH(L$7,Costs!$E$6:$O$6,0))</f>
        <v>31.565453324698577</v>
      </c>
      <c r="M373" s="86">
        <f>GDPdeflator!$C$38*INDEX(Costs!$E$7:$O$89,MATCH($C373,Costs!$C$7:$C$89,0),MATCH(M$7,Costs!$E$6:$O$6,0))</f>
        <v>31.565453324698577</v>
      </c>
      <c r="N373" s="86">
        <f>GDPdeflator!$C$38*INDEX(Costs!$E$7:$O$89,MATCH($C373,Costs!$C$7:$C$89,0),MATCH(N$7,Costs!$E$6:$O$6,0))</f>
        <v>31.565453324698577</v>
      </c>
      <c r="O373" s="86">
        <f>GDPdeflator!$C$38*INDEX(Costs!$E$7:$O$89,MATCH($C373,Costs!$C$7:$C$89,0),MATCH(O$7,Costs!$E$6:$O$6,0))</f>
        <v>31.565453324698577</v>
      </c>
      <c r="P373" s="87">
        <f t="shared" si="200"/>
        <v>2445.9788637008696</v>
      </c>
      <c r="Q373" s="87">
        <f t="shared" si="186"/>
        <v>2362.2324823149497</v>
      </c>
      <c r="R373" s="87">
        <f t="shared" si="187"/>
        <v>2488.6218983498188</v>
      </c>
      <c r="S373" s="87">
        <f t="shared" si="188"/>
        <v>2552.995421881501</v>
      </c>
      <c r="T373" s="87">
        <f t="shared" si="189"/>
        <v>2629.0732224189437</v>
      </c>
      <c r="U373" s="87">
        <f t="shared" si="190"/>
        <v>2632.7308089832445</v>
      </c>
      <c r="V373" s="87">
        <f t="shared" si="191"/>
        <v>2634.1938436089645</v>
      </c>
      <c r="W373" s="87">
        <f t="shared" si="192"/>
        <v>2635.6568782346844</v>
      </c>
      <c r="X373" s="87">
        <f t="shared" si="193"/>
        <v>2635.6568782346844</v>
      </c>
      <c r="Y373" s="87">
        <f t="shared" si="194"/>
        <v>2635.6568782346844</v>
      </c>
      <c r="Z373" s="87">
        <f t="shared" si="195"/>
        <v>2635.6568782346844</v>
      </c>
      <c r="AA373" s="88">
        <v>405</v>
      </c>
      <c r="AB373" s="89">
        <f>AA373*GDPdeflator!$C$25/$AI$18*10^3</f>
        <v>38.940546907618888</v>
      </c>
      <c r="AC373" s="90" t="e">
        <f>INDEX(Efficiencies!$D$8:$M$89,MATCH(C373,Efficiencies!$C$8:$C$89),MATCH(D373,Efficiencies!$D$7:$M$7))</f>
        <v>#REF!</v>
      </c>
      <c r="AD373" s="90" t="e">
        <f t="shared" si="196"/>
        <v>#REF!</v>
      </c>
      <c r="AE373" s="90" t="e">
        <f>INDEX(Efficiencies!$P$8:$Y$89,MATCH(C373,Efficiencies!$C$8:$C$89),MATCH(D373,Efficiencies!$P$7:$Y$7))</f>
        <v>#REF!</v>
      </c>
      <c r="AF373" s="90" t="e">
        <f t="shared" si="199"/>
        <v>#REF!</v>
      </c>
      <c r="AG373" s="90">
        <v>0</v>
      </c>
    </row>
    <row r="374" spans="1:33" x14ac:dyDescent="0.2">
      <c r="A374" s="92" t="s">
        <v>1551</v>
      </c>
      <c r="B374" s="248" t="s">
        <v>1552</v>
      </c>
      <c r="C374" s="40" t="s">
        <v>1542</v>
      </c>
      <c r="D374" s="40">
        <v>2025</v>
      </c>
      <c r="E374" s="86">
        <f>GDPdeflator!$C$32*INDEX(Costs!$E$7:$O$89,MATCH($C374,Costs!$C$7:$C$89,0),MATCH(E$7,Costs!$E$6:$O$6,0))</f>
        <v>29.293809938971226</v>
      </c>
      <c r="F374" s="86">
        <f>GDPdeflator!$C$36*INDEX(Costs!$E$7:$O$89,MATCH($C374,Costs!$C$7:$C$89,0),MATCH(F$7,Costs!$E$6:$O$6,0))</f>
        <v>28.290837012343452</v>
      </c>
      <c r="G374" s="86">
        <f>GDPdeflator!$C$38*INDEX(Costs!$E$7:$O$89,MATCH($C374,Costs!$C$7:$C$89,0),MATCH(G$7,Costs!$E$6:$O$6,0))</f>
        <v>29.804516294927719</v>
      </c>
      <c r="H374" s="86">
        <f>GDPdeflator!$C$38*INDEX(Costs!$E$7:$O$89,MATCH($C374,Costs!$C$7:$C$89,0),MATCH(H$7,Costs!$E$6:$O$6,0))</f>
        <v>30.575473800499037</v>
      </c>
      <c r="I374" s="86">
        <f>GDPdeflator!$C$38*INDEX(Costs!$E$7:$O$89,MATCH($C374,Costs!$C$7:$C$89,0),MATCH(I$7,Costs!$E$6:$O$6,0))</f>
        <v>31.486605397992417</v>
      </c>
      <c r="J374" s="86">
        <f>GDPdeflator!$C$38*INDEX(Costs!$E$7:$O$89,MATCH($C374,Costs!$C$7:$C$89,0),MATCH(J$7,Costs!$E$6:$O$6,0))</f>
        <v>31.530409801718065</v>
      </c>
      <c r="K374" s="86">
        <f>GDPdeflator!$C$38*INDEX(Costs!$E$7:$O$89,MATCH($C374,Costs!$C$7:$C$89,0),MATCH(K$7,Costs!$E$6:$O$6,0))</f>
        <v>31.547931563208319</v>
      </c>
      <c r="L374" s="86">
        <f>GDPdeflator!$C$38*INDEX(Costs!$E$7:$O$89,MATCH($C374,Costs!$C$7:$C$89,0),MATCH(L$7,Costs!$E$6:$O$6,0))</f>
        <v>31.565453324698577</v>
      </c>
      <c r="M374" s="86">
        <f>GDPdeflator!$C$38*INDEX(Costs!$E$7:$O$89,MATCH($C374,Costs!$C$7:$C$89,0),MATCH(M$7,Costs!$E$6:$O$6,0))</f>
        <v>31.565453324698577</v>
      </c>
      <c r="N374" s="86">
        <f>GDPdeflator!$C$38*INDEX(Costs!$E$7:$O$89,MATCH($C374,Costs!$C$7:$C$89,0),MATCH(N$7,Costs!$E$6:$O$6,0))</f>
        <v>31.565453324698577</v>
      </c>
      <c r="O374" s="86">
        <f>GDPdeflator!$C$38*INDEX(Costs!$E$7:$O$89,MATCH($C374,Costs!$C$7:$C$89,0),MATCH(O$7,Costs!$E$6:$O$6,0))</f>
        <v>31.565453324698577</v>
      </c>
      <c r="P374" s="87">
        <f t="shared" si="200"/>
        <v>2445.9788637008696</v>
      </c>
      <c r="Q374" s="87">
        <f t="shared" si="186"/>
        <v>2362.2324823149497</v>
      </c>
      <c r="R374" s="87">
        <f t="shared" si="187"/>
        <v>2488.6218983498188</v>
      </c>
      <c r="S374" s="87">
        <f t="shared" si="188"/>
        <v>2552.995421881501</v>
      </c>
      <c r="T374" s="87">
        <f t="shared" si="189"/>
        <v>2629.0732224189437</v>
      </c>
      <c r="U374" s="87">
        <f t="shared" si="190"/>
        <v>2632.7308089832445</v>
      </c>
      <c r="V374" s="87">
        <f t="shared" si="191"/>
        <v>2634.1938436089645</v>
      </c>
      <c r="W374" s="87">
        <f t="shared" si="192"/>
        <v>2635.6568782346844</v>
      </c>
      <c r="X374" s="87">
        <f t="shared" si="193"/>
        <v>2635.6568782346844</v>
      </c>
      <c r="Y374" s="87">
        <f t="shared" si="194"/>
        <v>2635.6568782346844</v>
      </c>
      <c r="Z374" s="87">
        <f t="shared" si="195"/>
        <v>2635.6568782346844</v>
      </c>
      <c r="AA374" s="88">
        <v>405</v>
      </c>
      <c r="AB374" s="89">
        <f>AA374*GDPdeflator!$C$25/$AI$18*10^3</f>
        <v>38.940546907618888</v>
      </c>
      <c r="AC374" s="90" t="e">
        <f>INDEX(Efficiencies!$D$8:$M$89,MATCH(C374,Efficiencies!$C$8:$C$89),MATCH(D374,Efficiencies!$D$7:$M$7))</f>
        <v>#REF!</v>
      </c>
      <c r="AD374" s="90" t="e">
        <f t="shared" si="196"/>
        <v>#REF!</v>
      </c>
      <c r="AE374" s="90" t="e">
        <f>INDEX(Efficiencies!$P$8:$Y$89,MATCH(C374,Efficiencies!$C$8:$C$89),MATCH(D374,Efficiencies!$P$7:$Y$7))</f>
        <v>#REF!</v>
      </c>
      <c r="AF374" s="90" t="e">
        <f t="shared" si="199"/>
        <v>#REF!</v>
      </c>
      <c r="AG374" s="90">
        <v>0</v>
      </c>
    </row>
    <row r="375" spans="1:33" x14ac:dyDescent="0.2">
      <c r="A375" s="92" t="s">
        <v>1553</v>
      </c>
      <c r="B375" s="248" t="s">
        <v>1554</v>
      </c>
      <c r="C375" s="40" t="s">
        <v>1542</v>
      </c>
      <c r="D375" s="40">
        <v>2030</v>
      </c>
      <c r="E375" s="86">
        <f>GDPdeflator!$C$32*INDEX(Costs!$E$7:$O$89,MATCH($C375,Costs!$C$7:$C$89,0),MATCH(E$7,Costs!$E$6:$O$6,0))</f>
        <v>29.293809938971226</v>
      </c>
      <c r="F375" s="86">
        <f>GDPdeflator!$C$36*INDEX(Costs!$E$7:$O$89,MATCH($C375,Costs!$C$7:$C$89,0),MATCH(F$7,Costs!$E$6:$O$6,0))</f>
        <v>28.290837012343452</v>
      </c>
      <c r="G375" s="86">
        <f>GDPdeflator!$C$38*INDEX(Costs!$E$7:$O$89,MATCH($C375,Costs!$C$7:$C$89,0),MATCH(G$7,Costs!$E$6:$O$6,0))</f>
        <v>29.804516294927719</v>
      </c>
      <c r="H375" s="86">
        <f>GDPdeflator!$C$38*INDEX(Costs!$E$7:$O$89,MATCH($C375,Costs!$C$7:$C$89,0),MATCH(H$7,Costs!$E$6:$O$6,0))</f>
        <v>30.575473800499037</v>
      </c>
      <c r="I375" s="86">
        <f>GDPdeflator!$C$38*INDEX(Costs!$E$7:$O$89,MATCH($C375,Costs!$C$7:$C$89,0),MATCH(I$7,Costs!$E$6:$O$6,0))</f>
        <v>31.486605397992417</v>
      </c>
      <c r="J375" s="86">
        <f>GDPdeflator!$C$38*INDEX(Costs!$E$7:$O$89,MATCH($C375,Costs!$C$7:$C$89,0),MATCH(J$7,Costs!$E$6:$O$6,0))</f>
        <v>31.530409801718065</v>
      </c>
      <c r="K375" s="86">
        <f>GDPdeflator!$C$38*INDEX(Costs!$E$7:$O$89,MATCH($C375,Costs!$C$7:$C$89,0),MATCH(K$7,Costs!$E$6:$O$6,0))</f>
        <v>31.547931563208319</v>
      </c>
      <c r="L375" s="86">
        <f>GDPdeflator!$C$38*INDEX(Costs!$E$7:$O$89,MATCH($C375,Costs!$C$7:$C$89,0),MATCH(L$7,Costs!$E$6:$O$6,0))</f>
        <v>31.565453324698577</v>
      </c>
      <c r="M375" s="86">
        <f>GDPdeflator!$C$38*INDEX(Costs!$E$7:$O$89,MATCH($C375,Costs!$C$7:$C$89,0),MATCH(M$7,Costs!$E$6:$O$6,0))</f>
        <v>31.565453324698577</v>
      </c>
      <c r="N375" s="86">
        <f>GDPdeflator!$C$38*INDEX(Costs!$E$7:$O$89,MATCH($C375,Costs!$C$7:$C$89,0),MATCH(N$7,Costs!$E$6:$O$6,0))</f>
        <v>31.565453324698577</v>
      </c>
      <c r="O375" s="86">
        <f>GDPdeflator!$C$38*INDEX(Costs!$E$7:$O$89,MATCH($C375,Costs!$C$7:$C$89,0),MATCH(O$7,Costs!$E$6:$O$6,0))</f>
        <v>31.565453324698577</v>
      </c>
      <c r="P375" s="87">
        <f t="shared" si="200"/>
        <v>2445.9788637008696</v>
      </c>
      <c r="Q375" s="87">
        <f t="shared" si="186"/>
        <v>2362.2324823149497</v>
      </c>
      <c r="R375" s="87">
        <f t="shared" si="187"/>
        <v>2488.6218983498188</v>
      </c>
      <c r="S375" s="87">
        <f t="shared" si="188"/>
        <v>2552.995421881501</v>
      </c>
      <c r="T375" s="87">
        <f t="shared" si="189"/>
        <v>2629.0732224189437</v>
      </c>
      <c r="U375" s="87">
        <f t="shared" si="190"/>
        <v>2632.7308089832445</v>
      </c>
      <c r="V375" s="87">
        <f t="shared" si="191"/>
        <v>2634.1938436089645</v>
      </c>
      <c r="W375" s="87">
        <f t="shared" si="192"/>
        <v>2635.6568782346844</v>
      </c>
      <c r="X375" s="87">
        <f t="shared" si="193"/>
        <v>2635.6568782346844</v>
      </c>
      <c r="Y375" s="87">
        <f t="shared" si="194"/>
        <v>2635.6568782346844</v>
      </c>
      <c r="Z375" s="87">
        <f t="shared" si="195"/>
        <v>2635.6568782346844</v>
      </c>
      <c r="AA375" s="88">
        <v>405</v>
      </c>
      <c r="AB375" s="89">
        <f>AA375*GDPdeflator!$C$25/$AI$18*10^3</f>
        <v>38.940546907618888</v>
      </c>
      <c r="AC375" s="90" t="e">
        <f>INDEX(Efficiencies!$D$8:$M$89,MATCH(C375,Efficiencies!$C$8:$C$89),MATCH(D375,Efficiencies!$D$7:$M$7))</f>
        <v>#REF!</v>
      </c>
      <c r="AD375" s="90" t="e">
        <f t="shared" si="196"/>
        <v>#REF!</v>
      </c>
      <c r="AE375" s="90" t="e">
        <f>INDEX(Efficiencies!$P$8:$Y$89,MATCH(C375,Efficiencies!$C$8:$C$89),MATCH(D375,Efficiencies!$P$7:$Y$7))</f>
        <v>#REF!</v>
      </c>
      <c r="AF375" s="90" t="e">
        <f t="shared" si="199"/>
        <v>#REF!</v>
      </c>
      <c r="AG375" s="90">
        <v>0</v>
      </c>
    </row>
    <row r="376" spans="1:33" x14ac:dyDescent="0.2">
      <c r="A376" s="92" t="s">
        <v>1555</v>
      </c>
      <c r="B376" s="248" t="s">
        <v>1556</v>
      </c>
      <c r="C376" s="40" t="s">
        <v>1542</v>
      </c>
      <c r="D376" s="40">
        <v>2035</v>
      </c>
      <c r="E376" s="86">
        <f>GDPdeflator!$C$32*INDEX(Costs!$E$7:$O$89,MATCH($C376,Costs!$C$7:$C$89,0),MATCH(E$7,Costs!$E$6:$O$6,0))</f>
        <v>29.293809938971226</v>
      </c>
      <c r="F376" s="86">
        <f>GDPdeflator!$C$36*INDEX(Costs!$E$7:$O$89,MATCH($C376,Costs!$C$7:$C$89,0),MATCH(F$7,Costs!$E$6:$O$6,0))</f>
        <v>28.290837012343452</v>
      </c>
      <c r="G376" s="86">
        <f>GDPdeflator!$C$38*INDEX(Costs!$E$7:$O$89,MATCH($C376,Costs!$C$7:$C$89,0),MATCH(G$7,Costs!$E$6:$O$6,0))</f>
        <v>29.804516294927719</v>
      </c>
      <c r="H376" s="86">
        <f>GDPdeflator!$C$38*INDEX(Costs!$E$7:$O$89,MATCH($C376,Costs!$C$7:$C$89,0),MATCH(H$7,Costs!$E$6:$O$6,0))</f>
        <v>30.575473800499037</v>
      </c>
      <c r="I376" s="86">
        <f>GDPdeflator!$C$38*INDEX(Costs!$E$7:$O$89,MATCH($C376,Costs!$C$7:$C$89,0),MATCH(I$7,Costs!$E$6:$O$6,0))</f>
        <v>31.486605397992417</v>
      </c>
      <c r="J376" s="86">
        <f>GDPdeflator!$C$38*INDEX(Costs!$E$7:$O$89,MATCH($C376,Costs!$C$7:$C$89,0),MATCH(J$7,Costs!$E$6:$O$6,0))</f>
        <v>31.530409801718065</v>
      </c>
      <c r="K376" s="86">
        <f>GDPdeflator!$C$38*INDEX(Costs!$E$7:$O$89,MATCH($C376,Costs!$C$7:$C$89,0),MATCH(K$7,Costs!$E$6:$O$6,0))</f>
        <v>31.547931563208319</v>
      </c>
      <c r="L376" s="86">
        <f>GDPdeflator!$C$38*INDEX(Costs!$E$7:$O$89,MATCH($C376,Costs!$C$7:$C$89,0),MATCH(L$7,Costs!$E$6:$O$6,0))</f>
        <v>31.565453324698577</v>
      </c>
      <c r="M376" s="86">
        <f>GDPdeflator!$C$38*INDEX(Costs!$E$7:$O$89,MATCH($C376,Costs!$C$7:$C$89,0),MATCH(M$7,Costs!$E$6:$O$6,0))</f>
        <v>31.565453324698577</v>
      </c>
      <c r="N376" s="86">
        <f>GDPdeflator!$C$38*INDEX(Costs!$E$7:$O$89,MATCH($C376,Costs!$C$7:$C$89,0),MATCH(N$7,Costs!$E$6:$O$6,0))</f>
        <v>31.565453324698577</v>
      </c>
      <c r="O376" s="86">
        <f>GDPdeflator!$C$38*INDEX(Costs!$E$7:$O$89,MATCH($C376,Costs!$C$7:$C$89,0),MATCH(O$7,Costs!$E$6:$O$6,0))</f>
        <v>31.565453324698577</v>
      </c>
      <c r="P376" s="87">
        <f t="shared" si="200"/>
        <v>2445.9788637008696</v>
      </c>
      <c r="Q376" s="87">
        <f t="shared" si="186"/>
        <v>2362.2324823149497</v>
      </c>
      <c r="R376" s="87">
        <f t="shared" si="187"/>
        <v>2488.6218983498188</v>
      </c>
      <c r="S376" s="87">
        <f t="shared" si="188"/>
        <v>2552.995421881501</v>
      </c>
      <c r="T376" s="87">
        <f t="shared" si="189"/>
        <v>2629.0732224189437</v>
      </c>
      <c r="U376" s="87">
        <f t="shared" si="190"/>
        <v>2632.7308089832445</v>
      </c>
      <c r="V376" s="87">
        <f t="shared" si="191"/>
        <v>2634.1938436089645</v>
      </c>
      <c r="W376" s="87">
        <f t="shared" si="192"/>
        <v>2635.6568782346844</v>
      </c>
      <c r="X376" s="87">
        <f t="shared" si="193"/>
        <v>2635.6568782346844</v>
      </c>
      <c r="Y376" s="87">
        <f t="shared" si="194"/>
        <v>2635.6568782346844</v>
      </c>
      <c r="Z376" s="87">
        <f t="shared" si="195"/>
        <v>2635.6568782346844</v>
      </c>
      <c r="AA376" s="88">
        <v>405</v>
      </c>
      <c r="AB376" s="89">
        <f>AA376*GDPdeflator!$C$25/$AI$18*10^3</f>
        <v>38.940546907618888</v>
      </c>
      <c r="AC376" s="90" t="e">
        <f>INDEX(Efficiencies!$D$8:$M$89,MATCH(C376,Efficiencies!$C$8:$C$89),MATCH(D376,Efficiencies!$D$7:$M$7))</f>
        <v>#REF!</v>
      </c>
      <c r="AD376" s="90" t="e">
        <f t="shared" si="196"/>
        <v>#REF!</v>
      </c>
      <c r="AE376" s="90" t="e">
        <f>INDEX(Efficiencies!$P$8:$Y$89,MATCH(C376,Efficiencies!$C$8:$C$89),MATCH(D376,Efficiencies!$P$7:$Y$7))</f>
        <v>#REF!</v>
      </c>
      <c r="AF376" s="90" t="e">
        <f t="shared" si="199"/>
        <v>#REF!</v>
      </c>
      <c r="AG376" s="90">
        <v>0</v>
      </c>
    </row>
    <row r="377" spans="1:33" x14ac:dyDescent="0.2">
      <c r="A377" s="92" t="s">
        <v>1557</v>
      </c>
      <c r="B377" s="248" t="s">
        <v>1558</v>
      </c>
      <c r="C377" s="40" t="s">
        <v>1542</v>
      </c>
      <c r="D377" s="40">
        <v>2040</v>
      </c>
      <c r="E377" s="86">
        <f>GDPdeflator!$C$32*INDEX(Costs!$E$7:$O$89,MATCH($C377,Costs!$C$7:$C$89,0),MATCH(E$7,Costs!$E$6:$O$6,0))</f>
        <v>29.293809938971226</v>
      </c>
      <c r="F377" s="86">
        <f>GDPdeflator!$C$36*INDEX(Costs!$E$7:$O$89,MATCH($C377,Costs!$C$7:$C$89,0),MATCH(F$7,Costs!$E$6:$O$6,0))</f>
        <v>28.290837012343452</v>
      </c>
      <c r="G377" s="86">
        <f>GDPdeflator!$C$38*INDEX(Costs!$E$7:$O$89,MATCH($C377,Costs!$C$7:$C$89,0),MATCH(G$7,Costs!$E$6:$O$6,0))</f>
        <v>29.804516294927719</v>
      </c>
      <c r="H377" s="86">
        <f>GDPdeflator!$C$38*INDEX(Costs!$E$7:$O$89,MATCH($C377,Costs!$C$7:$C$89,0),MATCH(H$7,Costs!$E$6:$O$6,0))</f>
        <v>30.575473800499037</v>
      </c>
      <c r="I377" s="86">
        <f>GDPdeflator!$C$38*INDEX(Costs!$E$7:$O$89,MATCH($C377,Costs!$C$7:$C$89,0),MATCH(I$7,Costs!$E$6:$O$6,0))</f>
        <v>31.486605397992417</v>
      </c>
      <c r="J377" s="86">
        <f>GDPdeflator!$C$38*INDEX(Costs!$E$7:$O$89,MATCH($C377,Costs!$C$7:$C$89,0),MATCH(J$7,Costs!$E$6:$O$6,0))</f>
        <v>31.530409801718065</v>
      </c>
      <c r="K377" s="86">
        <f>GDPdeflator!$C$38*INDEX(Costs!$E$7:$O$89,MATCH($C377,Costs!$C$7:$C$89,0),MATCH(K$7,Costs!$E$6:$O$6,0))</f>
        <v>31.547931563208319</v>
      </c>
      <c r="L377" s="86">
        <f>GDPdeflator!$C$38*INDEX(Costs!$E$7:$O$89,MATCH($C377,Costs!$C$7:$C$89,0),MATCH(L$7,Costs!$E$6:$O$6,0))</f>
        <v>31.565453324698577</v>
      </c>
      <c r="M377" s="86">
        <f>GDPdeflator!$C$38*INDEX(Costs!$E$7:$O$89,MATCH($C377,Costs!$C$7:$C$89,0),MATCH(M$7,Costs!$E$6:$O$6,0))</f>
        <v>31.565453324698577</v>
      </c>
      <c r="N377" s="86">
        <f>GDPdeflator!$C$38*INDEX(Costs!$E$7:$O$89,MATCH($C377,Costs!$C$7:$C$89,0),MATCH(N$7,Costs!$E$6:$O$6,0))</f>
        <v>31.565453324698577</v>
      </c>
      <c r="O377" s="86">
        <f>GDPdeflator!$C$38*INDEX(Costs!$E$7:$O$89,MATCH($C377,Costs!$C$7:$C$89,0),MATCH(O$7,Costs!$E$6:$O$6,0))</f>
        <v>31.565453324698577</v>
      </c>
      <c r="P377" s="87">
        <f t="shared" si="200"/>
        <v>2445.9788637008696</v>
      </c>
      <c r="Q377" s="87">
        <f t="shared" si="186"/>
        <v>2362.2324823149497</v>
      </c>
      <c r="R377" s="87">
        <f t="shared" si="187"/>
        <v>2488.6218983498188</v>
      </c>
      <c r="S377" s="87">
        <f t="shared" si="188"/>
        <v>2552.995421881501</v>
      </c>
      <c r="T377" s="87">
        <f t="shared" si="189"/>
        <v>2629.0732224189437</v>
      </c>
      <c r="U377" s="87">
        <f t="shared" si="190"/>
        <v>2632.7308089832445</v>
      </c>
      <c r="V377" s="87">
        <f t="shared" si="191"/>
        <v>2634.1938436089645</v>
      </c>
      <c r="W377" s="87">
        <f t="shared" si="192"/>
        <v>2635.6568782346844</v>
      </c>
      <c r="X377" s="87">
        <f t="shared" si="193"/>
        <v>2635.6568782346844</v>
      </c>
      <c r="Y377" s="87">
        <f t="shared" si="194"/>
        <v>2635.6568782346844</v>
      </c>
      <c r="Z377" s="87">
        <f t="shared" si="195"/>
        <v>2635.6568782346844</v>
      </c>
      <c r="AA377" s="88">
        <v>405</v>
      </c>
      <c r="AB377" s="89">
        <f>AA377*GDPdeflator!$C$25/$AI$18*10^3</f>
        <v>38.940546907618888</v>
      </c>
      <c r="AC377" s="90" t="e">
        <f>INDEX(Efficiencies!$D$8:$M$89,MATCH(C377,Efficiencies!$C$8:$C$89),MATCH(D377,Efficiencies!$D$7:$M$7))</f>
        <v>#REF!</v>
      </c>
      <c r="AD377" s="90" t="e">
        <f t="shared" si="196"/>
        <v>#REF!</v>
      </c>
      <c r="AE377" s="90" t="e">
        <f>INDEX(Efficiencies!$P$8:$Y$89,MATCH(C377,Efficiencies!$C$8:$C$89),MATCH(D377,Efficiencies!$P$7:$Y$7))</f>
        <v>#REF!</v>
      </c>
      <c r="AF377" s="90" t="e">
        <f t="shared" si="199"/>
        <v>#REF!</v>
      </c>
      <c r="AG377" s="90">
        <v>0</v>
      </c>
    </row>
    <row r="378" spans="1:33" x14ac:dyDescent="0.2">
      <c r="A378" s="92" t="s">
        <v>1559</v>
      </c>
      <c r="B378" s="248" t="s">
        <v>1560</v>
      </c>
      <c r="C378" s="40" t="s">
        <v>1542</v>
      </c>
      <c r="D378" s="40">
        <v>2045</v>
      </c>
      <c r="E378" s="86">
        <f>GDPdeflator!$C$32*INDEX(Costs!$E$7:$O$89,MATCH($C378,Costs!$C$7:$C$89,0),MATCH(E$7,Costs!$E$6:$O$6,0))</f>
        <v>29.293809938971226</v>
      </c>
      <c r="F378" s="86">
        <f>GDPdeflator!$C$36*INDEX(Costs!$E$7:$O$89,MATCH($C378,Costs!$C$7:$C$89,0),MATCH(F$7,Costs!$E$6:$O$6,0))</f>
        <v>28.290837012343452</v>
      </c>
      <c r="G378" s="86">
        <f>GDPdeflator!$C$38*INDEX(Costs!$E$7:$O$89,MATCH($C378,Costs!$C$7:$C$89,0),MATCH(G$7,Costs!$E$6:$O$6,0))</f>
        <v>29.804516294927719</v>
      </c>
      <c r="H378" s="86">
        <f>GDPdeflator!$C$38*INDEX(Costs!$E$7:$O$89,MATCH($C378,Costs!$C$7:$C$89,0),MATCH(H$7,Costs!$E$6:$O$6,0))</f>
        <v>30.575473800499037</v>
      </c>
      <c r="I378" s="86">
        <f>GDPdeflator!$C$38*INDEX(Costs!$E$7:$O$89,MATCH($C378,Costs!$C$7:$C$89,0),MATCH(I$7,Costs!$E$6:$O$6,0))</f>
        <v>31.486605397992417</v>
      </c>
      <c r="J378" s="86">
        <f>GDPdeflator!$C$38*INDEX(Costs!$E$7:$O$89,MATCH($C378,Costs!$C$7:$C$89,0),MATCH(J$7,Costs!$E$6:$O$6,0))</f>
        <v>31.530409801718065</v>
      </c>
      <c r="K378" s="86">
        <f>GDPdeflator!$C$38*INDEX(Costs!$E$7:$O$89,MATCH($C378,Costs!$C$7:$C$89,0),MATCH(K$7,Costs!$E$6:$O$6,0))</f>
        <v>31.547931563208319</v>
      </c>
      <c r="L378" s="86">
        <f>GDPdeflator!$C$38*INDEX(Costs!$E$7:$O$89,MATCH($C378,Costs!$C$7:$C$89,0),MATCH(L$7,Costs!$E$6:$O$6,0))</f>
        <v>31.565453324698577</v>
      </c>
      <c r="M378" s="86">
        <f>GDPdeflator!$C$38*INDEX(Costs!$E$7:$O$89,MATCH($C378,Costs!$C$7:$C$89,0),MATCH(M$7,Costs!$E$6:$O$6,0))</f>
        <v>31.565453324698577</v>
      </c>
      <c r="N378" s="86">
        <f>GDPdeflator!$C$38*INDEX(Costs!$E$7:$O$89,MATCH($C378,Costs!$C$7:$C$89,0),MATCH(N$7,Costs!$E$6:$O$6,0))</f>
        <v>31.565453324698577</v>
      </c>
      <c r="O378" s="86">
        <f>GDPdeflator!$C$38*INDEX(Costs!$E$7:$O$89,MATCH($C378,Costs!$C$7:$C$89,0),MATCH(O$7,Costs!$E$6:$O$6,0))</f>
        <v>31.565453324698577</v>
      </c>
      <c r="P378" s="87">
        <f t="shared" si="200"/>
        <v>2445.9788637008696</v>
      </c>
      <c r="Q378" s="87">
        <f t="shared" si="186"/>
        <v>2362.2324823149497</v>
      </c>
      <c r="R378" s="87">
        <f t="shared" si="187"/>
        <v>2488.6218983498188</v>
      </c>
      <c r="S378" s="87">
        <f t="shared" si="188"/>
        <v>2552.995421881501</v>
      </c>
      <c r="T378" s="87">
        <f t="shared" si="189"/>
        <v>2629.0732224189437</v>
      </c>
      <c r="U378" s="87">
        <f t="shared" si="190"/>
        <v>2632.7308089832445</v>
      </c>
      <c r="V378" s="87">
        <f t="shared" si="191"/>
        <v>2634.1938436089645</v>
      </c>
      <c r="W378" s="87">
        <f t="shared" si="192"/>
        <v>2635.6568782346844</v>
      </c>
      <c r="X378" s="87">
        <f t="shared" si="193"/>
        <v>2635.6568782346844</v>
      </c>
      <c r="Y378" s="87">
        <f t="shared" si="194"/>
        <v>2635.6568782346844</v>
      </c>
      <c r="Z378" s="87">
        <f t="shared" si="195"/>
        <v>2635.6568782346844</v>
      </c>
      <c r="AA378" s="88">
        <v>405</v>
      </c>
      <c r="AB378" s="89">
        <f>AA378*GDPdeflator!$C$25/$AI$18*10^3</f>
        <v>38.940546907618888</v>
      </c>
      <c r="AC378" s="90" t="e">
        <f>INDEX(Efficiencies!$D$8:$M$89,MATCH(C378,Efficiencies!$C$8:$C$89),MATCH(D378,Efficiencies!$D$7:$M$7))</f>
        <v>#REF!</v>
      </c>
      <c r="AD378" s="90" t="e">
        <f t="shared" si="196"/>
        <v>#REF!</v>
      </c>
      <c r="AE378" s="90" t="e">
        <f>INDEX(Efficiencies!$P$8:$Y$89,MATCH(C378,Efficiencies!$C$8:$C$89),MATCH(D378,Efficiencies!$P$7:$Y$7))</f>
        <v>#REF!</v>
      </c>
      <c r="AF378" s="90" t="e">
        <f t="shared" si="199"/>
        <v>#REF!</v>
      </c>
      <c r="AG378" s="90">
        <v>0</v>
      </c>
    </row>
    <row r="379" spans="1:33" x14ac:dyDescent="0.2">
      <c r="A379" s="92" t="s">
        <v>1561</v>
      </c>
      <c r="B379" s="248" t="s">
        <v>1562</v>
      </c>
      <c r="C379" s="40" t="s">
        <v>1542</v>
      </c>
      <c r="D379" s="40">
        <v>2050</v>
      </c>
      <c r="E379" s="86">
        <f>GDPdeflator!$C$32*INDEX(Costs!$E$7:$O$89,MATCH($C379,Costs!$C$7:$C$89,0),MATCH(E$7,Costs!$E$6:$O$6,0))</f>
        <v>29.293809938971226</v>
      </c>
      <c r="F379" s="86">
        <f>GDPdeflator!$C$36*INDEX(Costs!$E$7:$O$89,MATCH($C379,Costs!$C$7:$C$89,0),MATCH(F$7,Costs!$E$6:$O$6,0))</f>
        <v>28.290837012343452</v>
      </c>
      <c r="G379" s="86">
        <f>GDPdeflator!$C$38*INDEX(Costs!$E$7:$O$89,MATCH($C379,Costs!$C$7:$C$89,0),MATCH(G$7,Costs!$E$6:$O$6,0))</f>
        <v>29.804516294927719</v>
      </c>
      <c r="H379" s="86">
        <f>GDPdeflator!$C$38*INDEX(Costs!$E$7:$O$89,MATCH($C379,Costs!$C$7:$C$89,0),MATCH(H$7,Costs!$E$6:$O$6,0))</f>
        <v>30.575473800499037</v>
      </c>
      <c r="I379" s="86">
        <f>GDPdeflator!$C$38*INDEX(Costs!$E$7:$O$89,MATCH($C379,Costs!$C$7:$C$89,0),MATCH(I$7,Costs!$E$6:$O$6,0))</f>
        <v>31.486605397992417</v>
      </c>
      <c r="J379" s="86">
        <f>GDPdeflator!$C$38*INDEX(Costs!$E$7:$O$89,MATCH($C379,Costs!$C$7:$C$89,0),MATCH(J$7,Costs!$E$6:$O$6,0))</f>
        <v>31.530409801718065</v>
      </c>
      <c r="K379" s="86">
        <f>GDPdeflator!$C$38*INDEX(Costs!$E$7:$O$89,MATCH($C379,Costs!$C$7:$C$89,0),MATCH(K$7,Costs!$E$6:$O$6,0))</f>
        <v>31.547931563208319</v>
      </c>
      <c r="L379" s="86">
        <f>GDPdeflator!$C$38*INDEX(Costs!$E$7:$O$89,MATCH($C379,Costs!$C$7:$C$89,0),MATCH(L$7,Costs!$E$6:$O$6,0))</f>
        <v>31.565453324698577</v>
      </c>
      <c r="M379" s="86">
        <f>GDPdeflator!$C$38*INDEX(Costs!$E$7:$O$89,MATCH($C379,Costs!$C$7:$C$89,0),MATCH(M$7,Costs!$E$6:$O$6,0))</f>
        <v>31.565453324698577</v>
      </c>
      <c r="N379" s="86">
        <f>GDPdeflator!$C$38*INDEX(Costs!$E$7:$O$89,MATCH($C379,Costs!$C$7:$C$89,0),MATCH(N$7,Costs!$E$6:$O$6,0))</f>
        <v>31.565453324698577</v>
      </c>
      <c r="O379" s="86">
        <f>GDPdeflator!$C$38*INDEX(Costs!$E$7:$O$89,MATCH($C379,Costs!$C$7:$C$89,0),MATCH(O$7,Costs!$E$6:$O$6,0))</f>
        <v>31.565453324698577</v>
      </c>
      <c r="P379" s="87">
        <f t="shared" si="200"/>
        <v>2445.9788637008696</v>
      </c>
      <c r="Q379" s="87">
        <f t="shared" si="186"/>
        <v>2362.2324823149497</v>
      </c>
      <c r="R379" s="87">
        <f t="shared" si="187"/>
        <v>2488.6218983498188</v>
      </c>
      <c r="S379" s="87">
        <f t="shared" si="188"/>
        <v>2552.995421881501</v>
      </c>
      <c r="T379" s="87">
        <f t="shared" si="189"/>
        <v>2629.0732224189437</v>
      </c>
      <c r="U379" s="87">
        <f t="shared" si="190"/>
        <v>2632.7308089832445</v>
      </c>
      <c r="V379" s="87">
        <f t="shared" si="191"/>
        <v>2634.1938436089645</v>
      </c>
      <c r="W379" s="87">
        <f t="shared" si="192"/>
        <v>2635.6568782346844</v>
      </c>
      <c r="X379" s="87">
        <f t="shared" si="193"/>
        <v>2635.6568782346844</v>
      </c>
      <c r="Y379" s="87">
        <f t="shared" si="194"/>
        <v>2635.6568782346844</v>
      </c>
      <c r="Z379" s="87">
        <f t="shared" si="195"/>
        <v>2635.6568782346844</v>
      </c>
      <c r="AA379" s="88">
        <v>405</v>
      </c>
      <c r="AB379" s="89">
        <f>AA379*GDPdeflator!$C$25/$AI$18*10^3</f>
        <v>38.940546907618888</v>
      </c>
      <c r="AC379" s="90" t="e">
        <f>INDEX(Efficiencies!$D$8:$M$89,MATCH(C379,Efficiencies!$C$8:$C$89),MATCH(D379,Efficiencies!$D$7:$M$7))</f>
        <v>#REF!</v>
      </c>
      <c r="AD379" s="90" t="e">
        <f t="shared" si="196"/>
        <v>#REF!</v>
      </c>
      <c r="AE379" s="90" t="e">
        <f>INDEX(Efficiencies!$P$8:$Y$89,MATCH(C379,Efficiencies!$C$8:$C$89),MATCH(D379,Efficiencies!$P$7:$Y$7))</f>
        <v>#REF!</v>
      </c>
      <c r="AF379" s="90" t="e">
        <f t="shared" si="199"/>
        <v>#REF!</v>
      </c>
      <c r="AG379" s="90">
        <v>0</v>
      </c>
    </row>
    <row r="380" spans="1:33" x14ac:dyDescent="0.2">
      <c r="A380" s="92" t="s">
        <v>1563</v>
      </c>
      <c r="B380" s="248" t="s">
        <v>1564</v>
      </c>
      <c r="C380" s="40" t="s">
        <v>1565</v>
      </c>
      <c r="D380" s="40">
        <v>2010</v>
      </c>
      <c r="E380" s="86">
        <f>GDPdeflator!$C$32*INDEX(Costs!$E$7:$O$89,MATCH($C380,Costs!$C$7:$C$89,0),MATCH(E$7,Costs!$E$6:$O$6,0))</f>
        <v>0</v>
      </c>
      <c r="F380" s="86">
        <f>GDPdeflator!$C$36*INDEX(Costs!$E$7:$O$89,MATCH($C380,Costs!$C$7:$C$89,0),MATCH(F$7,Costs!$E$6:$O$6,0))</f>
        <v>29.52518244886927</v>
      </c>
      <c r="G380" s="86">
        <f>GDPdeflator!$C$38*INDEX(Costs!$E$7:$O$89,MATCH($C380,Costs!$C$7:$C$89,0),MATCH(G$7,Costs!$E$6:$O$6,0))</f>
        <v>30.592995561989298</v>
      </c>
      <c r="H380" s="86">
        <f>GDPdeflator!$C$38*INDEX(Costs!$E$7:$O$89,MATCH($C380,Costs!$C$7:$C$89,0),MATCH(H$7,Costs!$E$6:$O$6,0))</f>
        <v>31.337670425325236</v>
      </c>
      <c r="I380" s="86">
        <f>GDPdeflator!$C$38*INDEX(Costs!$E$7:$O$89,MATCH($C380,Costs!$C$7:$C$89,0),MATCH(I$7,Costs!$E$6:$O$6,0))</f>
        <v>32.292606426544253</v>
      </c>
      <c r="J380" s="86">
        <f>GDPdeflator!$C$38*INDEX(Costs!$E$7:$O$89,MATCH($C380,Costs!$C$7:$C$89,0),MATCH(J$7,Costs!$E$6:$O$6,0))</f>
        <v>32.336410830269898</v>
      </c>
      <c r="K380" s="86">
        <f>GDPdeflator!$C$38*INDEX(Costs!$E$7:$O$89,MATCH($C380,Costs!$C$7:$C$89,0),MATCH(K$7,Costs!$E$6:$O$6,0))</f>
        <v>32.353932591760156</v>
      </c>
      <c r="L380" s="86">
        <f>GDPdeflator!$C$38*INDEX(Costs!$E$7:$O$89,MATCH($C380,Costs!$C$7:$C$89,0),MATCH(L$7,Costs!$E$6:$O$6,0))</f>
        <v>32.371454353250414</v>
      </c>
      <c r="M380" s="86">
        <f>GDPdeflator!$C$38*INDEX(Costs!$E$7:$O$89,MATCH($C380,Costs!$C$7:$C$89,0),MATCH(M$7,Costs!$E$6:$O$6,0))</f>
        <v>32.371454353250414</v>
      </c>
      <c r="N380" s="86">
        <f>GDPdeflator!$C$38*INDEX(Costs!$E$7:$O$89,MATCH($C380,Costs!$C$7:$C$89,0),MATCH(N$7,Costs!$E$6:$O$6,0))</f>
        <v>32.371454353250414</v>
      </c>
      <c r="O380" s="86">
        <f>GDPdeflator!$C$38*INDEX(Costs!$E$7:$O$89,MATCH($C380,Costs!$C$7:$C$89,0),MATCH(O$7,Costs!$E$6:$O$6,0))</f>
        <v>32.371454353250414</v>
      </c>
      <c r="P380" s="87">
        <f>E380/$AI$18*10^6</f>
        <v>0</v>
      </c>
      <c r="Q380" s="87">
        <f t="shared" si="186"/>
        <v>2465.2980396643607</v>
      </c>
      <c r="R380" s="87">
        <f t="shared" si="187"/>
        <v>2554.4584565072214</v>
      </c>
      <c r="S380" s="87">
        <f t="shared" si="188"/>
        <v>2616.6374281003241</v>
      </c>
      <c r="T380" s="87">
        <f t="shared" si="189"/>
        <v>2696.3728152020667</v>
      </c>
      <c r="U380" s="87">
        <f t="shared" si="190"/>
        <v>2700.0304017663666</v>
      </c>
      <c r="V380" s="87">
        <f t="shared" si="191"/>
        <v>2701.4934363920866</v>
      </c>
      <c r="W380" s="87">
        <f t="shared" si="192"/>
        <v>2702.956471017807</v>
      </c>
      <c r="X380" s="87">
        <f t="shared" si="193"/>
        <v>2702.956471017807</v>
      </c>
      <c r="Y380" s="87">
        <f t="shared" si="194"/>
        <v>2702.956471017807</v>
      </c>
      <c r="Z380" s="87">
        <f t="shared" si="195"/>
        <v>2702.956471017807</v>
      </c>
      <c r="AA380" s="88">
        <v>473</v>
      </c>
      <c r="AB380" s="89">
        <f>AA380*GDPdeflator!$C$25/$AI$18*10^3</f>
        <v>45.478712808157368</v>
      </c>
      <c r="AC380" s="90" t="e">
        <f>INDEX(Efficiencies!$D$8:$M$89,MATCH(C380,Efficiencies!$C$8:$C$89),MATCH(D380,Efficiencies!$D$7:$M$7))</f>
        <v>#REF!</v>
      </c>
      <c r="AD380" s="90" t="e">
        <f t="shared" si="196"/>
        <v>#REF!</v>
      </c>
      <c r="AE380" s="90" t="e">
        <f>INDEX(Efficiencies!$P$8:$Y$89,MATCH(C380,Efficiencies!$C$8:$C$89),MATCH(D380,Efficiencies!$P$7:$Y$7))</f>
        <v>#REF!</v>
      </c>
      <c r="AF380" s="90" t="e">
        <f t="shared" si="199"/>
        <v>#REF!</v>
      </c>
      <c r="AG380" s="90" t="e">
        <f>AdditionalVehs!$C$33</f>
        <v>#REF!</v>
      </c>
    </row>
    <row r="381" spans="1:33" x14ac:dyDescent="0.2">
      <c r="A381" s="92" t="s">
        <v>1566</v>
      </c>
      <c r="B381" s="248" t="s">
        <v>1567</v>
      </c>
      <c r="C381" s="40" t="s">
        <v>1565</v>
      </c>
      <c r="D381" s="40">
        <v>2015</v>
      </c>
      <c r="E381" s="86">
        <f>GDPdeflator!$C$32*INDEX(Costs!$E$7:$O$89,MATCH($C381,Costs!$C$7:$C$89,0),MATCH(E$7,Costs!$E$6:$O$6,0))</f>
        <v>0</v>
      </c>
      <c r="F381" s="86">
        <f>GDPdeflator!$C$36*INDEX(Costs!$E$7:$O$89,MATCH($C381,Costs!$C$7:$C$89,0),MATCH(F$7,Costs!$E$6:$O$6,0))</f>
        <v>29.52518244886927</v>
      </c>
      <c r="G381" s="86">
        <f>GDPdeflator!$C$38*INDEX(Costs!$E$7:$O$89,MATCH($C381,Costs!$C$7:$C$89,0),MATCH(G$7,Costs!$E$6:$O$6,0))</f>
        <v>30.592995561989298</v>
      </c>
      <c r="H381" s="86">
        <f>GDPdeflator!$C$38*INDEX(Costs!$E$7:$O$89,MATCH($C381,Costs!$C$7:$C$89,0),MATCH(H$7,Costs!$E$6:$O$6,0))</f>
        <v>31.337670425325236</v>
      </c>
      <c r="I381" s="86">
        <f>GDPdeflator!$C$38*INDEX(Costs!$E$7:$O$89,MATCH($C381,Costs!$C$7:$C$89,0),MATCH(I$7,Costs!$E$6:$O$6,0))</f>
        <v>32.292606426544253</v>
      </c>
      <c r="J381" s="86">
        <f>GDPdeflator!$C$38*INDEX(Costs!$E$7:$O$89,MATCH($C381,Costs!$C$7:$C$89,0),MATCH(J$7,Costs!$E$6:$O$6,0))</f>
        <v>32.336410830269898</v>
      </c>
      <c r="K381" s="86">
        <f>GDPdeflator!$C$38*INDEX(Costs!$E$7:$O$89,MATCH($C381,Costs!$C$7:$C$89,0),MATCH(K$7,Costs!$E$6:$O$6,0))</f>
        <v>32.353932591760156</v>
      </c>
      <c r="L381" s="86">
        <f>GDPdeflator!$C$38*INDEX(Costs!$E$7:$O$89,MATCH($C381,Costs!$C$7:$C$89,0),MATCH(L$7,Costs!$E$6:$O$6,0))</f>
        <v>32.371454353250414</v>
      </c>
      <c r="M381" s="86">
        <f>GDPdeflator!$C$38*INDEX(Costs!$E$7:$O$89,MATCH($C381,Costs!$C$7:$C$89,0),MATCH(M$7,Costs!$E$6:$O$6,0))</f>
        <v>32.371454353250414</v>
      </c>
      <c r="N381" s="86">
        <f>GDPdeflator!$C$38*INDEX(Costs!$E$7:$O$89,MATCH($C381,Costs!$C$7:$C$89,0),MATCH(N$7,Costs!$E$6:$O$6,0))</f>
        <v>32.371454353250414</v>
      </c>
      <c r="O381" s="86">
        <f>GDPdeflator!$C$38*INDEX(Costs!$E$7:$O$89,MATCH($C381,Costs!$C$7:$C$89,0),MATCH(O$7,Costs!$E$6:$O$6,0))</f>
        <v>32.371454353250414</v>
      </c>
      <c r="P381" s="87">
        <f t="shared" ref="P381:P388" si="201">E381/$AI$18*10^6</f>
        <v>0</v>
      </c>
      <c r="Q381" s="87">
        <f t="shared" si="186"/>
        <v>2465.2980396643607</v>
      </c>
      <c r="R381" s="87">
        <f t="shared" si="187"/>
        <v>2554.4584565072214</v>
      </c>
      <c r="S381" s="87">
        <f t="shared" si="188"/>
        <v>2616.6374281003241</v>
      </c>
      <c r="T381" s="87">
        <f t="shared" si="189"/>
        <v>2696.3728152020667</v>
      </c>
      <c r="U381" s="87">
        <f t="shared" si="190"/>
        <v>2700.0304017663666</v>
      </c>
      <c r="V381" s="87">
        <f t="shared" si="191"/>
        <v>2701.4934363920866</v>
      </c>
      <c r="W381" s="87">
        <f t="shared" si="192"/>
        <v>2702.956471017807</v>
      </c>
      <c r="X381" s="87">
        <f t="shared" si="193"/>
        <v>2702.956471017807</v>
      </c>
      <c r="Y381" s="87">
        <f t="shared" si="194"/>
        <v>2702.956471017807</v>
      </c>
      <c r="Z381" s="87">
        <f t="shared" si="195"/>
        <v>2702.956471017807</v>
      </c>
      <c r="AA381" s="88">
        <v>473</v>
      </c>
      <c r="AB381" s="89">
        <f>AA381*GDPdeflator!$C$25/$AI$18*10^3</f>
        <v>45.478712808157368</v>
      </c>
      <c r="AC381" s="90" t="e">
        <f>INDEX(Efficiencies!$D$8:$M$89,MATCH(C381,Efficiencies!$C$8:$C$89),MATCH(D381,Efficiencies!$D$7:$M$7))</f>
        <v>#REF!</v>
      </c>
      <c r="AD381" s="90" t="e">
        <f t="shared" si="196"/>
        <v>#REF!</v>
      </c>
      <c r="AE381" s="90" t="e">
        <f>INDEX(Efficiencies!$P$8:$Y$89,MATCH(C381,Efficiencies!$C$8:$C$89),MATCH(D381,Efficiencies!$P$7:$Y$7))</f>
        <v>#REF!</v>
      </c>
      <c r="AF381" s="90" t="e">
        <f t="shared" si="199"/>
        <v>#REF!</v>
      </c>
      <c r="AG381" s="90" t="e">
        <f>AdditionalVehs!$C$33</f>
        <v>#REF!</v>
      </c>
    </row>
    <row r="382" spans="1:33" x14ac:dyDescent="0.2">
      <c r="A382" s="92" t="s">
        <v>1568</v>
      </c>
      <c r="B382" s="248" t="s">
        <v>1569</v>
      </c>
      <c r="C382" s="40" t="s">
        <v>1565</v>
      </c>
      <c r="D382" s="40">
        <v>2020</v>
      </c>
      <c r="E382" s="86">
        <f>GDPdeflator!$C$32*INDEX(Costs!$E$7:$O$89,MATCH($C382,Costs!$C$7:$C$89,0),MATCH(E$7,Costs!$E$6:$O$6,0))</f>
        <v>0</v>
      </c>
      <c r="F382" s="86">
        <f>GDPdeflator!$C$36*INDEX(Costs!$E$7:$O$89,MATCH($C382,Costs!$C$7:$C$89,0),MATCH(F$7,Costs!$E$6:$O$6,0))</f>
        <v>29.52518244886927</v>
      </c>
      <c r="G382" s="86">
        <f>GDPdeflator!$C$38*INDEX(Costs!$E$7:$O$89,MATCH($C382,Costs!$C$7:$C$89,0),MATCH(G$7,Costs!$E$6:$O$6,0))</f>
        <v>30.592995561989298</v>
      </c>
      <c r="H382" s="86">
        <f>GDPdeflator!$C$38*INDEX(Costs!$E$7:$O$89,MATCH($C382,Costs!$C$7:$C$89,0),MATCH(H$7,Costs!$E$6:$O$6,0))</f>
        <v>31.337670425325236</v>
      </c>
      <c r="I382" s="86">
        <f>GDPdeflator!$C$38*INDEX(Costs!$E$7:$O$89,MATCH($C382,Costs!$C$7:$C$89,0),MATCH(I$7,Costs!$E$6:$O$6,0))</f>
        <v>32.292606426544253</v>
      </c>
      <c r="J382" s="86">
        <f>GDPdeflator!$C$38*INDEX(Costs!$E$7:$O$89,MATCH($C382,Costs!$C$7:$C$89,0),MATCH(J$7,Costs!$E$6:$O$6,0))</f>
        <v>32.336410830269898</v>
      </c>
      <c r="K382" s="86">
        <f>GDPdeflator!$C$38*INDEX(Costs!$E$7:$O$89,MATCH($C382,Costs!$C$7:$C$89,0),MATCH(K$7,Costs!$E$6:$O$6,0))</f>
        <v>32.353932591760156</v>
      </c>
      <c r="L382" s="86">
        <f>GDPdeflator!$C$38*INDEX(Costs!$E$7:$O$89,MATCH($C382,Costs!$C$7:$C$89,0),MATCH(L$7,Costs!$E$6:$O$6,0))</f>
        <v>32.371454353250414</v>
      </c>
      <c r="M382" s="86">
        <f>GDPdeflator!$C$38*INDEX(Costs!$E$7:$O$89,MATCH($C382,Costs!$C$7:$C$89,0),MATCH(M$7,Costs!$E$6:$O$6,0))</f>
        <v>32.371454353250414</v>
      </c>
      <c r="N382" s="86">
        <f>GDPdeflator!$C$38*INDEX(Costs!$E$7:$O$89,MATCH($C382,Costs!$C$7:$C$89,0),MATCH(N$7,Costs!$E$6:$O$6,0))</f>
        <v>32.371454353250414</v>
      </c>
      <c r="O382" s="86">
        <f>GDPdeflator!$C$38*INDEX(Costs!$E$7:$O$89,MATCH($C382,Costs!$C$7:$C$89,0),MATCH(O$7,Costs!$E$6:$O$6,0))</f>
        <v>32.371454353250414</v>
      </c>
      <c r="P382" s="87">
        <f t="shared" si="201"/>
        <v>0</v>
      </c>
      <c r="Q382" s="87">
        <f t="shared" si="186"/>
        <v>2465.2980396643607</v>
      </c>
      <c r="R382" s="87">
        <f t="shared" si="187"/>
        <v>2554.4584565072214</v>
      </c>
      <c r="S382" s="87">
        <f t="shared" si="188"/>
        <v>2616.6374281003241</v>
      </c>
      <c r="T382" s="87">
        <f t="shared" si="189"/>
        <v>2696.3728152020667</v>
      </c>
      <c r="U382" s="87">
        <f t="shared" si="190"/>
        <v>2700.0304017663666</v>
      </c>
      <c r="V382" s="87">
        <f t="shared" si="191"/>
        <v>2701.4934363920866</v>
      </c>
      <c r="W382" s="87">
        <f t="shared" si="192"/>
        <v>2702.956471017807</v>
      </c>
      <c r="X382" s="87">
        <f t="shared" si="193"/>
        <v>2702.956471017807</v>
      </c>
      <c r="Y382" s="87">
        <f t="shared" si="194"/>
        <v>2702.956471017807</v>
      </c>
      <c r="Z382" s="87">
        <f t="shared" si="195"/>
        <v>2702.956471017807</v>
      </c>
      <c r="AA382" s="88">
        <v>473</v>
      </c>
      <c r="AB382" s="89">
        <f>AA382*GDPdeflator!$C$25/$AI$18*10^3</f>
        <v>45.478712808157368</v>
      </c>
      <c r="AC382" s="90" t="e">
        <f>INDEX(Efficiencies!$D$8:$M$89,MATCH(C382,Efficiencies!$C$8:$C$89),MATCH(D382,Efficiencies!$D$7:$M$7))</f>
        <v>#REF!</v>
      </c>
      <c r="AD382" s="90" t="e">
        <f t="shared" si="196"/>
        <v>#REF!</v>
      </c>
      <c r="AE382" s="90" t="e">
        <f>INDEX(Efficiencies!$P$8:$Y$89,MATCH(C382,Efficiencies!$C$8:$C$89),MATCH(D382,Efficiencies!$P$7:$Y$7))</f>
        <v>#REF!</v>
      </c>
      <c r="AF382" s="90" t="e">
        <f t="shared" si="199"/>
        <v>#REF!</v>
      </c>
      <c r="AG382" s="90" t="e">
        <f>AdditionalVehs!$C$33</f>
        <v>#REF!</v>
      </c>
    </row>
    <row r="383" spans="1:33" x14ac:dyDescent="0.2">
      <c r="A383" s="92" t="s">
        <v>1570</v>
      </c>
      <c r="B383" s="248" t="s">
        <v>1571</v>
      </c>
      <c r="C383" s="40" t="s">
        <v>1565</v>
      </c>
      <c r="D383" s="40">
        <v>2025</v>
      </c>
      <c r="E383" s="86">
        <f>GDPdeflator!$C$32*INDEX(Costs!$E$7:$O$89,MATCH($C383,Costs!$C$7:$C$89,0),MATCH(E$7,Costs!$E$6:$O$6,0))</f>
        <v>0</v>
      </c>
      <c r="F383" s="86">
        <f>GDPdeflator!$C$36*INDEX(Costs!$E$7:$O$89,MATCH($C383,Costs!$C$7:$C$89,0),MATCH(F$7,Costs!$E$6:$O$6,0))</f>
        <v>29.52518244886927</v>
      </c>
      <c r="G383" s="86">
        <f>GDPdeflator!$C$38*INDEX(Costs!$E$7:$O$89,MATCH($C383,Costs!$C$7:$C$89,0),MATCH(G$7,Costs!$E$6:$O$6,0))</f>
        <v>30.592995561989298</v>
      </c>
      <c r="H383" s="86">
        <f>GDPdeflator!$C$38*INDEX(Costs!$E$7:$O$89,MATCH($C383,Costs!$C$7:$C$89,0),MATCH(H$7,Costs!$E$6:$O$6,0))</f>
        <v>31.337670425325236</v>
      </c>
      <c r="I383" s="86">
        <f>GDPdeflator!$C$38*INDEX(Costs!$E$7:$O$89,MATCH($C383,Costs!$C$7:$C$89,0),MATCH(I$7,Costs!$E$6:$O$6,0))</f>
        <v>32.292606426544253</v>
      </c>
      <c r="J383" s="86">
        <f>GDPdeflator!$C$38*INDEX(Costs!$E$7:$O$89,MATCH($C383,Costs!$C$7:$C$89,0),MATCH(J$7,Costs!$E$6:$O$6,0))</f>
        <v>32.336410830269898</v>
      </c>
      <c r="K383" s="86">
        <f>GDPdeflator!$C$38*INDEX(Costs!$E$7:$O$89,MATCH($C383,Costs!$C$7:$C$89,0),MATCH(K$7,Costs!$E$6:$O$6,0))</f>
        <v>32.353932591760156</v>
      </c>
      <c r="L383" s="86">
        <f>GDPdeflator!$C$38*INDEX(Costs!$E$7:$O$89,MATCH($C383,Costs!$C$7:$C$89,0),MATCH(L$7,Costs!$E$6:$O$6,0))</f>
        <v>32.371454353250414</v>
      </c>
      <c r="M383" s="86">
        <f>GDPdeflator!$C$38*INDEX(Costs!$E$7:$O$89,MATCH($C383,Costs!$C$7:$C$89,0),MATCH(M$7,Costs!$E$6:$O$6,0))</f>
        <v>32.371454353250414</v>
      </c>
      <c r="N383" s="86">
        <f>GDPdeflator!$C$38*INDEX(Costs!$E$7:$O$89,MATCH($C383,Costs!$C$7:$C$89,0),MATCH(N$7,Costs!$E$6:$O$6,0))</f>
        <v>32.371454353250414</v>
      </c>
      <c r="O383" s="86">
        <f>GDPdeflator!$C$38*INDEX(Costs!$E$7:$O$89,MATCH($C383,Costs!$C$7:$C$89,0),MATCH(O$7,Costs!$E$6:$O$6,0))</f>
        <v>32.371454353250414</v>
      </c>
      <c r="P383" s="87">
        <f t="shared" si="201"/>
        <v>0</v>
      </c>
      <c r="Q383" s="87">
        <f t="shared" si="186"/>
        <v>2465.2980396643607</v>
      </c>
      <c r="R383" s="87">
        <f t="shared" si="187"/>
        <v>2554.4584565072214</v>
      </c>
      <c r="S383" s="87">
        <f t="shared" si="188"/>
        <v>2616.6374281003241</v>
      </c>
      <c r="T383" s="87">
        <f t="shared" si="189"/>
        <v>2696.3728152020667</v>
      </c>
      <c r="U383" s="87">
        <f t="shared" si="190"/>
        <v>2700.0304017663666</v>
      </c>
      <c r="V383" s="87">
        <f t="shared" si="191"/>
        <v>2701.4934363920866</v>
      </c>
      <c r="W383" s="87">
        <f t="shared" si="192"/>
        <v>2702.956471017807</v>
      </c>
      <c r="X383" s="87">
        <f t="shared" si="193"/>
        <v>2702.956471017807</v>
      </c>
      <c r="Y383" s="87">
        <f t="shared" si="194"/>
        <v>2702.956471017807</v>
      </c>
      <c r="Z383" s="87">
        <f t="shared" si="195"/>
        <v>2702.956471017807</v>
      </c>
      <c r="AA383" s="88">
        <v>473</v>
      </c>
      <c r="AB383" s="89">
        <f>AA383*GDPdeflator!$C$25/$AI$18*10^3</f>
        <v>45.478712808157368</v>
      </c>
      <c r="AC383" s="90" t="e">
        <f>INDEX(Efficiencies!$D$8:$M$89,MATCH(C383,Efficiencies!$C$8:$C$89),MATCH(D383,Efficiencies!$D$7:$M$7))</f>
        <v>#REF!</v>
      </c>
      <c r="AD383" s="90" t="e">
        <f t="shared" si="196"/>
        <v>#REF!</v>
      </c>
      <c r="AE383" s="90" t="e">
        <f>INDEX(Efficiencies!$P$8:$Y$89,MATCH(C383,Efficiencies!$C$8:$C$89),MATCH(D383,Efficiencies!$P$7:$Y$7))</f>
        <v>#REF!</v>
      </c>
      <c r="AF383" s="90" t="e">
        <f t="shared" si="199"/>
        <v>#REF!</v>
      </c>
      <c r="AG383" s="90" t="e">
        <f>AdditionalVehs!$C$33</f>
        <v>#REF!</v>
      </c>
    </row>
    <row r="384" spans="1:33" x14ac:dyDescent="0.2">
      <c r="A384" s="92" t="s">
        <v>1572</v>
      </c>
      <c r="B384" s="248" t="s">
        <v>1573</v>
      </c>
      <c r="C384" s="40" t="s">
        <v>1565</v>
      </c>
      <c r="D384" s="40">
        <v>2030</v>
      </c>
      <c r="E384" s="86">
        <f>GDPdeflator!$C$32*INDEX(Costs!$E$7:$O$89,MATCH($C384,Costs!$C$7:$C$89,0),MATCH(E$7,Costs!$E$6:$O$6,0))</f>
        <v>0</v>
      </c>
      <c r="F384" s="86">
        <f>GDPdeflator!$C$36*INDEX(Costs!$E$7:$O$89,MATCH($C384,Costs!$C$7:$C$89,0),MATCH(F$7,Costs!$E$6:$O$6,0))</f>
        <v>29.52518244886927</v>
      </c>
      <c r="G384" s="86">
        <f>GDPdeflator!$C$38*INDEX(Costs!$E$7:$O$89,MATCH($C384,Costs!$C$7:$C$89,0),MATCH(G$7,Costs!$E$6:$O$6,0))</f>
        <v>30.592995561989298</v>
      </c>
      <c r="H384" s="86">
        <f>GDPdeflator!$C$38*INDEX(Costs!$E$7:$O$89,MATCH($C384,Costs!$C$7:$C$89,0),MATCH(H$7,Costs!$E$6:$O$6,0))</f>
        <v>31.337670425325236</v>
      </c>
      <c r="I384" s="86">
        <f>GDPdeflator!$C$38*INDEX(Costs!$E$7:$O$89,MATCH($C384,Costs!$C$7:$C$89,0),MATCH(I$7,Costs!$E$6:$O$6,0))</f>
        <v>32.292606426544253</v>
      </c>
      <c r="J384" s="86">
        <f>GDPdeflator!$C$38*INDEX(Costs!$E$7:$O$89,MATCH($C384,Costs!$C$7:$C$89,0),MATCH(J$7,Costs!$E$6:$O$6,0))</f>
        <v>32.336410830269898</v>
      </c>
      <c r="K384" s="86">
        <f>GDPdeflator!$C$38*INDEX(Costs!$E$7:$O$89,MATCH($C384,Costs!$C$7:$C$89,0),MATCH(K$7,Costs!$E$6:$O$6,0))</f>
        <v>32.353932591760156</v>
      </c>
      <c r="L384" s="86">
        <f>GDPdeflator!$C$38*INDEX(Costs!$E$7:$O$89,MATCH($C384,Costs!$C$7:$C$89,0),MATCH(L$7,Costs!$E$6:$O$6,0))</f>
        <v>32.371454353250414</v>
      </c>
      <c r="M384" s="86">
        <f>GDPdeflator!$C$38*INDEX(Costs!$E$7:$O$89,MATCH($C384,Costs!$C$7:$C$89,0),MATCH(M$7,Costs!$E$6:$O$6,0))</f>
        <v>32.371454353250414</v>
      </c>
      <c r="N384" s="86">
        <f>GDPdeflator!$C$38*INDEX(Costs!$E$7:$O$89,MATCH($C384,Costs!$C$7:$C$89,0),MATCH(N$7,Costs!$E$6:$O$6,0))</f>
        <v>32.371454353250414</v>
      </c>
      <c r="O384" s="86">
        <f>GDPdeflator!$C$38*INDEX(Costs!$E$7:$O$89,MATCH($C384,Costs!$C$7:$C$89,0),MATCH(O$7,Costs!$E$6:$O$6,0))</f>
        <v>32.371454353250414</v>
      </c>
      <c r="P384" s="87">
        <f t="shared" si="201"/>
        <v>0</v>
      </c>
      <c r="Q384" s="87">
        <f t="shared" si="186"/>
        <v>2465.2980396643607</v>
      </c>
      <c r="R384" s="87">
        <f t="shared" si="187"/>
        <v>2554.4584565072214</v>
      </c>
      <c r="S384" s="87">
        <f t="shared" si="188"/>
        <v>2616.6374281003241</v>
      </c>
      <c r="T384" s="87">
        <f t="shared" si="189"/>
        <v>2696.3728152020667</v>
      </c>
      <c r="U384" s="87">
        <f t="shared" si="190"/>
        <v>2700.0304017663666</v>
      </c>
      <c r="V384" s="87">
        <f t="shared" si="191"/>
        <v>2701.4934363920866</v>
      </c>
      <c r="W384" s="87">
        <f t="shared" si="192"/>
        <v>2702.956471017807</v>
      </c>
      <c r="X384" s="87">
        <f t="shared" si="193"/>
        <v>2702.956471017807</v>
      </c>
      <c r="Y384" s="87">
        <f t="shared" si="194"/>
        <v>2702.956471017807</v>
      </c>
      <c r="Z384" s="87">
        <f t="shared" si="195"/>
        <v>2702.956471017807</v>
      </c>
      <c r="AA384" s="88">
        <v>473</v>
      </c>
      <c r="AB384" s="89">
        <f>AA384*GDPdeflator!$C$25/$AI$18*10^3</f>
        <v>45.478712808157368</v>
      </c>
      <c r="AC384" s="90" t="e">
        <f>INDEX(Efficiencies!$D$8:$M$89,MATCH(C384,Efficiencies!$C$8:$C$89),MATCH(D384,Efficiencies!$D$7:$M$7))</f>
        <v>#REF!</v>
      </c>
      <c r="AD384" s="90" t="e">
        <f t="shared" si="196"/>
        <v>#REF!</v>
      </c>
      <c r="AE384" s="90" t="e">
        <f>INDEX(Efficiencies!$P$8:$Y$89,MATCH(C384,Efficiencies!$C$8:$C$89),MATCH(D384,Efficiencies!$P$7:$Y$7))</f>
        <v>#REF!</v>
      </c>
      <c r="AF384" s="90" t="e">
        <f t="shared" si="199"/>
        <v>#REF!</v>
      </c>
      <c r="AG384" s="90" t="e">
        <f>AdditionalVehs!$C$33</f>
        <v>#REF!</v>
      </c>
    </row>
    <row r="385" spans="1:33" x14ac:dyDescent="0.2">
      <c r="A385" s="92" t="s">
        <v>1574</v>
      </c>
      <c r="B385" s="248" t="s">
        <v>1575</v>
      </c>
      <c r="C385" s="40" t="s">
        <v>1565</v>
      </c>
      <c r="D385" s="40">
        <v>2035</v>
      </c>
      <c r="E385" s="86">
        <f>GDPdeflator!$C$32*INDEX(Costs!$E$7:$O$89,MATCH($C385,Costs!$C$7:$C$89,0),MATCH(E$7,Costs!$E$6:$O$6,0))</f>
        <v>0</v>
      </c>
      <c r="F385" s="86">
        <f>GDPdeflator!$C$36*INDEX(Costs!$E$7:$O$89,MATCH($C385,Costs!$C$7:$C$89,0),MATCH(F$7,Costs!$E$6:$O$6,0))</f>
        <v>29.52518244886927</v>
      </c>
      <c r="G385" s="86">
        <f>GDPdeflator!$C$38*INDEX(Costs!$E$7:$O$89,MATCH($C385,Costs!$C$7:$C$89,0),MATCH(G$7,Costs!$E$6:$O$6,0))</f>
        <v>30.592995561989298</v>
      </c>
      <c r="H385" s="86">
        <f>GDPdeflator!$C$38*INDEX(Costs!$E$7:$O$89,MATCH($C385,Costs!$C$7:$C$89,0),MATCH(H$7,Costs!$E$6:$O$6,0))</f>
        <v>31.337670425325236</v>
      </c>
      <c r="I385" s="86">
        <f>GDPdeflator!$C$38*INDEX(Costs!$E$7:$O$89,MATCH($C385,Costs!$C$7:$C$89,0),MATCH(I$7,Costs!$E$6:$O$6,0))</f>
        <v>32.292606426544253</v>
      </c>
      <c r="J385" s="86">
        <f>GDPdeflator!$C$38*INDEX(Costs!$E$7:$O$89,MATCH($C385,Costs!$C$7:$C$89,0),MATCH(J$7,Costs!$E$6:$O$6,0))</f>
        <v>32.336410830269898</v>
      </c>
      <c r="K385" s="86">
        <f>GDPdeflator!$C$38*INDEX(Costs!$E$7:$O$89,MATCH($C385,Costs!$C$7:$C$89,0),MATCH(K$7,Costs!$E$6:$O$6,0))</f>
        <v>32.353932591760156</v>
      </c>
      <c r="L385" s="86">
        <f>GDPdeflator!$C$38*INDEX(Costs!$E$7:$O$89,MATCH($C385,Costs!$C$7:$C$89,0),MATCH(L$7,Costs!$E$6:$O$6,0))</f>
        <v>32.371454353250414</v>
      </c>
      <c r="M385" s="86">
        <f>GDPdeflator!$C$38*INDEX(Costs!$E$7:$O$89,MATCH($C385,Costs!$C$7:$C$89,0),MATCH(M$7,Costs!$E$6:$O$6,0))</f>
        <v>32.371454353250414</v>
      </c>
      <c r="N385" s="86">
        <f>GDPdeflator!$C$38*INDEX(Costs!$E$7:$O$89,MATCH($C385,Costs!$C$7:$C$89,0),MATCH(N$7,Costs!$E$6:$O$6,0))</f>
        <v>32.371454353250414</v>
      </c>
      <c r="O385" s="86">
        <f>GDPdeflator!$C$38*INDEX(Costs!$E$7:$O$89,MATCH($C385,Costs!$C$7:$C$89,0),MATCH(O$7,Costs!$E$6:$O$6,0))</f>
        <v>32.371454353250414</v>
      </c>
      <c r="P385" s="87">
        <f t="shared" si="201"/>
        <v>0</v>
      </c>
      <c r="Q385" s="87">
        <f t="shared" si="186"/>
        <v>2465.2980396643607</v>
      </c>
      <c r="R385" s="87">
        <f t="shared" si="187"/>
        <v>2554.4584565072214</v>
      </c>
      <c r="S385" s="87">
        <f t="shared" si="188"/>
        <v>2616.6374281003241</v>
      </c>
      <c r="T385" s="87">
        <f t="shared" si="189"/>
        <v>2696.3728152020667</v>
      </c>
      <c r="U385" s="87">
        <f t="shared" si="190"/>
        <v>2700.0304017663666</v>
      </c>
      <c r="V385" s="87">
        <f t="shared" si="191"/>
        <v>2701.4934363920866</v>
      </c>
      <c r="W385" s="87">
        <f t="shared" si="192"/>
        <v>2702.956471017807</v>
      </c>
      <c r="X385" s="87">
        <f t="shared" si="193"/>
        <v>2702.956471017807</v>
      </c>
      <c r="Y385" s="87">
        <f t="shared" si="194"/>
        <v>2702.956471017807</v>
      </c>
      <c r="Z385" s="87">
        <f t="shared" si="195"/>
        <v>2702.956471017807</v>
      </c>
      <c r="AA385" s="88">
        <v>473</v>
      </c>
      <c r="AB385" s="89">
        <f>AA385*GDPdeflator!$C$25/$AI$18*10^3</f>
        <v>45.478712808157368</v>
      </c>
      <c r="AC385" s="90" t="e">
        <f>INDEX(Efficiencies!$D$8:$M$89,MATCH(C385,Efficiencies!$C$8:$C$89),MATCH(D385,Efficiencies!$D$7:$M$7))</f>
        <v>#REF!</v>
      </c>
      <c r="AD385" s="90" t="e">
        <f t="shared" si="196"/>
        <v>#REF!</v>
      </c>
      <c r="AE385" s="90" t="e">
        <f>INDEX(Efficiencies!$P$8:$Y$89,MATCH(C385,Efficiencies!$C$8:$C$89),MATCH(D385,Efficiencies!$P$7:$Y$7))</f>
        <v>#REF!</v>
      </c>
      <c r="AF385" s="90" t="e">
        <f t="shared" si="199"/>
        <v>#REF!</v>
      </c>
      <c r="AG385" s="90" t="e">
        <f>AdditionalVehs!$C$33</f>
        <v>#REF!</v>
      </c>
    </row>
    <row r="386" spans="1:33" x14ac:dyDescent="0.2">
      <c r="A386" s="92" t="s">
        <v>1576</v>
      </c>
      <c r="B386" s="248" t="s">
        <v>1577</v>
      </c>
      <c r="C386" s="40" t="s">
        <v>1565</v>
      </c>
      <c r="D386" s="40">
        <v>2040</v>
      </c>
      <c r="E386" s="86">
        <f>GDPdeflator!$C$32*INDEX(Costs!$E$7:$O$89,MATCH($C386,Costs!$C$7:$C$89,0),MATCH(E$7,Costs!$E$6:$O$6,0))</f>
        <v>0</v>
      </c>
      <c r="F386" s="86">
        <f>GDPdeflator!$C$36*INDEX(Costs!$E$7:$O$89,MATCH($C386,Costs!$C$7:$C$89,0),MATCH(F$7,Costs!$E$6:$O$6,0))</f>
        <v>29.52518244886927</v>
      </c>
      <c r="G386" s="86">
        <f>GDPdeflator!$C$38*INDEX(Costs!$E$7:$O$89,MATCH($C386,Costs!$C$7:$C$89,0),MATCH(G$7,Costs!$E$6:$O$6,0))</f>
        <v>30.592995561989298</v>
      </c>
      <c r="H386" s="86">
        <f>GDPdeflator!$C$38*INDEX(Costs!$E$7:$O$89,MATCH($C386,Costs!$C$7:$C$89,0),MATCH(H$7,Costs!$E$6:$O$6,0))</f>
        <v>31.337670425325236</v>
      </c>
      <c r="I386" s="86">
        <f>GDPdeflator!$C$38*INDEX(Costs!$E$7:$O$89,MATCH($C386,Costs!$C$7:$C$89,0),MATCH(I$7,Costs!$E$6:$O$6,0))</f>
        <v>32.292606426544253</v>
      </c>
      <c r="J386" s="86">
        <f>GDPdeflator!$C$38*INDEX(Costs!$E$7:$O$89,MATCH($C386,Costs!$C$7:$C$89,0),MATCH(J$7,Costs!$E$6:$O$6,0))</f>
        <v>32.336410830269898</v>
      </c>
      <c r="K386" s="86">
        <f>GDPdeflator!$C$38*INDEX(Costs!$E$7:$O$89,MATCH($C386,Costs!$C$7:$C$89,0),MATCH(K$7,Costs!$E$6:$O$6,0))</f>
        <v>32.353932591760156</v>
      </c>
      <c r="L386" s="86">
        <f>GDPdeflator!$C$38*INDEX(Costs!$E$7:$O$89,MATCH($C386,Costs!$C$7:$C$89,0),MATCH(L$7,Costs!$E$6:$O$6,0))</f>
        <v>32.371454353250414</v>
      </c>
      <c r="M386" s="86">
        <f>GDPdeflator!$C$38*INDEX(Costs!$E$7:$O$89,MATCH($C386,Costs!$C$7:$C$89,0),MATCH(M$7,Costs!$E$6:$O$6,0))</f>
        <v>32.371454353250414</v>
      </c>
      <c r="N386" s="86">
        <f>GDPdeflator!$C$38*INDEX(Costs!$E$7:$O$89,MATCH($C386,Costs!$C$7:$C$89,0),MATCH(N$7,Costs!$E$6:$O$6,0))</f>
        <v>32.371454353250414</v>
      </c>
      <c r="O386" s="86">
        <f>GDPdeflator!$C$38*INDEX(Costs!$E$7:$O$89,MATCH($C386,Costs!$C$7:$C$89,0),MATCH(O$7,Costs!$E$6:$O$6,0))</f>
        <v>32.371454353250414</v>
      </c>
      <c r="P386" s="87">
        <f t="shared" si="201"/>
        <v>0</v>
      </c>
      <c r="Q386" s="87">
        <f t="shared" si="186"/>
        <v>2465.2980396643607</v>
      </c>
      <c r="R386" s="87">
        <f t="shared" si="187"/>
        <v>2554.4584565072214</v>
      </c>
      <c r="S386" s="87">
        <f t="shared" si="188"/>
        <v>2616.6374281003241</v>
      </c>
      <c r="T386" s="87">
        <f t="shared" si="189"/>
        <v>2696.3728152020667</v>
      </c>
      <c r="U386" s="87">
        <f t="shared" si="190"/>
        <v>2700.0304017663666</v>
      </c>
      <c r="V386" s="87">
        <f t="shared" si="191"/>
        <v>2701.4934363920866</v>
      </c>
      <c r="W386" s="87">
        <f t="shared" si="192"/>
        <v>2702.956471017807</v>
      </c>
      <c r="X386" s="87">
        <f t="shared" si="193"/>
        <v>2702.956471017807</v>
      </c>
      <c r="Y386" s="87">
        <f t="shared" si="194"/>
        <v>2702.956471017807</v>
      </c>
      <c r="Z386" s="87">
        <f t="shared" si="195"/>
        <v>2702.956471017807</v>
      </c>
      <c r="AA386" s="88">
        <v>473</v>
      </c>
      <c r="AB386" s="89">
        <f>AA386*GDPdeflator!$C$25/$AI$18*10^3</f>
        <v>45.478712808157368</v>
      </c>
      <c r="AC386" s="90" t="e">
        <f>INDEX(Efficiencies!$D$8:$M$89,MATCH(C386,Efficiencies!$C$8:$C$89),MATCH(D386,Efficiencies!$D$7:$M$7))</f>
        <v>#REF!</v>
      </c>
      <c r="AD386" s="90" t="e">
        <f t="shared" si="196"/>
        <v>#REF!</v>
      </c>
      <c r="AE386" s="90" t="e">
        <f>INDEX(Efficiencies!$P$8:$Y$89,MATCH(C386,Efficiencies!$C$8:$C$89),MATCH(D386,Efficiencies!$P$7:$Y$7))</f>
        <v>#REF!</v>
      </c>
      <c r="AF386" s="90" t="e">
        <f t="shared" si="199"/>
        <v>#REF!</v>
      </c>
      <c r="AG386" s="90" t="e">
        <f>AdditionalVehs!$C$33</f>
        <v>#REF!</v>
      </c>
    </row>
    <row r="387" spans="1:33" x14ac:dyDescent="0.2">
      <c r="A387" s="92" t="s">
        <v>1578</v>
      </c>
      <c r="B387" s="248" t="s">
        <v>1579</v>
      </c>
      <c r="C387" s="40" t="s">
        <v>1565</v>
      </c>
      <c r="D387" s="40">
        <v>2045</v>
      </c>
      <c r="E387" s="86">
        <f>GDPdeflator!$C$32*INDEX(Costs!$E$7:$O$89,MATCH($C387,Costs!$C$7:$C$89,0),MATCH(E$7,Costs!$E$6:$O$6,0))</f>
        <v>0</v>
      </c>
      <c r="F387" s="86">
        <f>GDPdeflator!$C$36*INDEX(Costs!$E$7:$O$89,MATCH($C387,Costs!$C$7:$C$89,0),MATCH(F$7,Costs!$E$6:$O$6,0))</f>
        <v>29.52518244886927</v>
      </c>
      <c r="G387" s="86">
        <f>GDPdeflator!$C$38*INDEX(Costs!$E$7:$O$89,MATCH($C387,Costs!$C$7:$C$89,0),MATCH(G$7,Costs!$E$6:$O$6,0))</f>
        <v>30.592995561989298</v>
      </c>
      <c r="H387" s="86">
        <f>GDPdeflator!$C$38*INDEX(Costs!$E$7:$O$89,MATCH($C387,Costs!$C$7:$C$89,0),MATCH(H$7,Costs!$E$6:$O$6,0))</f>
        <v>31.337670425325236</v>
      </c>
      <c r="I387" s="86">
        <f>GDPdeflator!$C$38*INDEX(Costs!$E$7:$O$89,MATCH($C387,Costs!$C$7:$C$89,0),MATCH(I$7,Costs!$E$6:$O$6,0))</f>
        <v>32.292606426544253</v>
      </c>
      <c r="J387" s="86">
        <f>GDPdeflator!$C$38*INDEX(Costs!$E$7:$O$89,MATCH($C387,Costs!$C$7:$C$89,0),MATCH(J$7,Costs!$E$6:$O$6,0))</f>
        <v>32.336410830269898</v>
      </c>
      <c r="K387" s="86">
        <f>GDPdeflator!$C$38*INDEX(Costs!$E$7:$O$89,MATCH($C387,Costs!$C$7:$C$89,0),MATCH(K$7,Costs!$E$6:$O$6,0))</f>
        <v>32.353932591760156</v>
      </c>
      <c r="L387" s="86">
        <f>GDPdeflator!$C$38*INDEX(Costs!$E$7:$O$89,MATCH($C387,Costs!$C$7:$C$89,0),MATCH(L$7,Costs!$E$6:$O$6,0))</f>
        <v>32.371454353250414</v>
      </c>
      <c r="M387" s="86">
        <f>GDPdeflator!$C$38*INDEX(Costs!$E$7:$O$89,MATCH($C387,Costs!$C$7:$C$89,0),MATCH(M$7,Costs!$E$6:$O$6,0))</f>
        <v>32.371454353250414</v>
      </c>
      <c r="N387" s="86">
        <f>GDPdeflator!$C$38*INDEX(Costs!$E$7:$O$89,MATCH($C387,Costs!$C$7:$C$89,0),MATCH(N$7,Costs!$E$6:$O$6,0))</f>
        <v>32.371454353250414</v>
      </c>
      <c r="O387" s="86">
        <f>GDPdeflator!$C$38*INDEX(Costs!$E$7:$O$89,MATCH($C387,Costs!$C$7:$C$89,0),MATCH(O$7,Costs!$E$6:$O$6,0))</f>
        <v>32.371454353250414</v>
      </c>
      <c r="P387" s="87">
        <f t="shared" si="201"/>
        <v>0</v>
      </c>
      <c r="Q387" s="87">
        <f t="shared" si="186"/>
        <v>2465.2980396643607</v>
      </c>
      <c r="R387" s="87">
        <f t="shared" si="187"/>
        <v>2554.4584565072214</v>
      </c>
      <c r="S387" s="87">
        <f t="shared" si="188"/>
        <v>2616.6374281003241</v>
      </c>
      <c r="T387" s="87">
        <f t="shared" si="189"/>
        <v>2696.3728152020667</v>
      </c>
      <c r="U387" s="87">
        <f t="shared" si="190"/>
        <v>2700.0304017663666</v>
      </c>
      <c r="V387" s="87">
        <f t="shared" si="191"/>
        <v>2701.4934363920866</v>
      </c>
      <c r="W387" s="87">
        <f t="shared" si="192"/>
        <v>2702.956471017807</v>
      </c>
      <c r="X387" s="87">
        <f t="shared" si="193"/>
        <v>2702.956471017807</v>
      </c>
      <c r="Y387" s="87">
        <f t="shared" si="194"/>
        <v>2702.956471017807</v>
      </c>
      <c r="Z387" s="87">
        <f t="shared" si="195"/>
        <v>2702.956471017807</v>
      </c>
      <c r="AA387" s="88">
        <v>473</v>
      </c>
      <c r="AB387" s="89">
        <f>AA387*GDPdeflator!$C$25/$AI$18*10^3</f>
        <v>45.478712808157368</v>
      </c>
      <c r="AC387" s="90" t="e">
        <f>INDEX(Efficiencies!$D$8:$M$89,MATCH(C387,Efficiencies!$C$8:$C$89),MATCH(D387,Efficiencies!$D$7:$M$7))</f>
        <v>#REF!</v>
      </c>
      <c r="AD387" s="90" t="e">
        <f t="shared" si="196"/>
        <v>#REF!</v>
      </c>
      <c r="AE387" s="90" t="e">
        <f>INDEX(Efficiencies!$P$8:$Y$89,MATCH(C387,Efficiencies!$C$8:$C$89),MATCH(D387,Efficiencies!$P$7:$Y$7))</f>
        <v>#REF!</v>
      </c>
      <c r="AF387" s="90" t="e">
        <f t="shared" si="199"/>
        <v>#REF!</v>
      </c>
      <c r="AG387" s="90" t="e">
        <f>AdditionalVehs!$C$33</f>
        <v>#REF!</v>
      </c>
    </row>
    <row r="388" spans="1:33" x14ac:dyDescent="0.2">
      <c r="A388" s="92" t="s">
        <v>1580</v>
      </c>
      <c r="B388" s="248" t="s">
        <v>1581</v>
      </c>
      <c r="C388" s="40" t="s">
        <v>1565</v>
      </c>
      <c r="D388" s="40">
        <v>2050</v>
      </c>
      <c r="E388" s="86">
        <f>GDPdeflator!$C$32*INDEX(Costs!$E$7:$O$89,MATCH($C388,Costs!$C$7:$C$89,0),MATCH(E$7,Costs!$E$6:$O$6,0))</f>
        <v>0</v>
      </c>
      <c r="F388" s="86">
        <f>GDPdeflator!$C$36*INDEX(Costs!$E$7:$O$89,MATCH($C388,Costs!$C$7:$C$89,0),MATCH(F$7,Costs!$E$6:$O$6,0))</f>
        <v>29.52518244886927</v>
      </c>
      <c r="G388" s="86">
        <f>GDPdeflator!$C$38*INDEX(Costs!$E$7:$O$89,MATCH($C388,Costs!$C$7:$C$89,0),MATCH(G$7,Costs!$E$6:$O$6,0))</f>
        <v>30.592995561989298</v>
      </c>
      <c r="H388" s="86">
        <f>GDPdeflator!$C$38*INDEX(Costs!$E$7:$O$89,MATCH($C388,Costs!$C$7:$C$89,0),MATCH(H$7,Costs!$E$6:$O$6,0))</f>
        <v>31.337670425325236</v>
      </c>
      <c r="I388" s="86">
        <f>GDPdeflator!$C$38*INDEX(Costs!$E$7:$O$89,MATCH($C388,Costs!$C$7:$C$89,0),MATCH(I$7,Costs!$E$6:$O$6,0))</f>
        <v>32.292606426544253</v>
      </c>
      <c r="J388" s="86">
        <f>GDPdeflator!$C$38*INDEX(Costs!$E$7:$O$89,MATCH($C388,Costs!$C$7:$C$89,0),MATCH(J$7,Costs!$E$6:$O$6,0))</f>
        <v>32.336410830269898</v>
      </c>
      <c r="K388" s="86">
        <f>GDPdeflator!$C$38*INDEX(Costs!$E$7:$O$89,MATCH($C388,Costs!$C$7:$C$89,0),MATCH(K$7,Costs!$E$6:$O$6,0))</f>
        <v>32.353932591760156</v>
      </c>
      <c r="L388" s="86">
        <f>GDPdeflator!$C$38*INDEX(Costs!$E$7:$O$89,MATCH($C388,Costs!$C$7:$C$89,0),MATCH(L$7,Costs!$E$6:$O$6,0))</f>
        <v>32.371454353250414</v>
      </c>
      <c r="M388" s="86">
        <f>GDPdeflator!$C$38*INDEX(Costs!$E$7:$O$89,MATCH($C388,Costs!$C$7:$C$89,0),MATCH(M$7,Costs!$E$6:$O$6,0))</f>
        <v>32.371454353250414</v>
      </c>
      <c r="N388" s="86">
        <f>GDPdeflator!$C$38*INDEX(Costs!$E$7:$O$89,MATCH($C388,Costs!$C$7:$C$89,0),MATCH(N$7,Costs!$E$6:$O$6,0))</f>
        <v>32.371454353250414</v>
      </c>
      <c r="O388" s="86">
        <f>GDPdeflator!$C$38*INDEX(Costs!$E$7:$O$89,MATCH($C388,Costs!$C$7:$C$89,0),MATCH(O$7,Costs!$E$6:$O$6,0))</f>
        <v>32.371454353250414</v>
      </c>
      <c r="P388" s="87">
        <f t="shared" si="201"/>
        <v>0</v>
      </c>
      <c r="Q388" s="87">
        <f t="shared" si="186"/>
        <v>2465.2980396643607</v>
      </c>
      <c r="R388" s="87">
        <f t="shared" si="187"/>
        <v>2554.4584565072214</v>
      </c>
      <c r="S388" s="87">
        <f t="shared" si="188"/>
        <v>2616.6374281003241</v>
      </c>
      <c r="T388" s="87">
        <f t="shared" si="189"/>
        <v>2696.3728152020667</v>
      </c>
      <c r="U388" s="87">
        <f t="shared" si="190"/>
        <v>2700.0304017663666</v>
      </c>
      <c r="V388" s="87">
        <f t="shared" si="191"/>
        <v>2701.4934363920866</v>
      </c>
      <c r="W388" s="87">
        <f t="shared" si="192"/>
        <v>2702.956471017807</v>
      </c>
      <c r="X388" s="87">
        <f t="shared" si="193"/>
        <v>2702.956471017807</v>
      </c>
      <c r="Y388" s="87">
        <f t="shared" si="194"/>
        <v>2702.956471017807</v>
      </c>
      <c r="Z388" s="87">
        <f t="shared" si="195"/>
        <v>2702.956471017807</v>
      </c>
      <c r="AA388" s="88">
        <v>473</v>
      </c>
      <c r="AB388" s="89">
        <f>AA388*GDPdeflator!$C$25/$AI$18*10^3</f>
        <v>45.478712808157368</v>
      </c>
      <c r="AC388" s="90" t="e">
        <f>INDEX(Efficiencies!$D$8:$M$89,MATCH(C388,Efficiencies!$C$8:$C$89),MATCH(D388,Efficiencies!$D$7:$M$7))</f>
        <v>#REF!</v>
      </c>
      <c r="AD388" s="90" t="e">
        <f t="shared" si="196"/>
        <v>#REF!</v>
      </c>
      <c r="AE388" s="90" t="e">
        <f>INDEX(Efficiencies!$P$8:$Y$89,MATCH(C388,Efficiencies!$C$8:$C$89),MATCH(D388,Efficiencies!$P$7:$Y$7))</f>
        <v>#REF!</v>
      </c>
      <c r="AF388" s="90" t="e">
        <f t="shared" si="199"/>
        <v>#REF!</v>
      </c>
      <c r="AG388" s="90" t="e">
        <f>AdditionalVehs!$C$33</f>
        <v>#REF!</v>
      </c>
    </row>
    <row r="389" spans="1:33" x14ac:dyDescent="0.2">
      <c r="A389" s="92" t="s">
        <v>1582</v>
      </c>
      <c r="B389" s="248" t="s">
        <v>1583</v>
      </c>
      <c r="C389" s="40" t="s">
        <v>1584</v>
      </c>
      <c r="D389" s="40">
        <v>2060</v>
      </c>
      <c r="E389" s="86">
        <f>GDPdeflator!$C$32*INDEX(Costs!$E$7:$O$89,MATCH($C389,Costs!$C$7:$C$89,0),MATCH(E$7,Costs!$E$6:$O$6,0))</f>
        <v>19.316090283832221</v>
      </c>
      <c r="F389" s="86">
        <f>GDPdeflator!$C$36*INDEX(Costs!$E$7:$O$89,MATCH($C389,Costs!$C$7:$C$89,0),MATCH(F$7,Costs!$E$6:$O$6,0))</f>
        <v>20.127939454004864</v>
      </c>
      <c r="G389" s="86">
        <f>GDPdeflator!$C$38*INDEX(Costs!$E$7:$O$89,MATCH($C389,Costs!$C$7:$C$89,0),MATCH(G$7,Costs!$E$6:$O$6,0))</f>
        <v>26.230076950915223</v>
      </c>
      <c r="H389" s="86">
        <f>GDPdeflator!$C$38*INDEX(Costs!$E$7:$O$89,MATCH($C389,Costs!$C$7:$C$89,0),MATCH(H$7,Costs!$E$6:$O$6,0))</f>
        <v>27.044838860212188</v>
      </c>
      <c r="I389" s="86">
        <f>GDPdeflator!$C$38*INDEX(Costs!$E$7:$O$89,MATCH($C389,Costs!$C$7:$C$89,0),MATCH(I$7,Costs!$E$6:$O$6,0))</f>
        <v>28.052340145901987</v>
      </c>
      <c r="J389" s="86">
        <f>GDPdeflator!$C$38*INDEX(Costs!$E$7:$O$89,MATCH($C389,Costs!$C$7:$C$89,0),MATCH(J$7,Costs!$E$6:$O$6,0))</f>
        <v>28.069861907392237</v>
      </c>
      <c r="K389" s="86">
        <f>GDPdeflator!$C$38*INDEX(Costs!$E$7:$O$89,MATCH($C389,Costs!$C$7:$C$89,0),MATCH(K$7,Costs!$E$6:$O$6,0))</f>
        <v>28.087383668882499</v>
      </c>
      <c r="L389" s="86">
        <f>GDPdeflator!$C$38*INDEX(Costs!$E$7:$O$89,MATCH($C389,Costs!$C$7:$C$89,0),MATCH(L$7,Costs!$E$6:$O$6,0))</f>
        <v>28.122427191863014</v>
      </c>
      <c r="M389" s="86">
        <f>GDPdeflator!$C$38*INDEX(Costs!$E$7:$O$89,MATCH($C389,Costs!$C$7:$C$89,0),MATCH(M$7,Costs!$E$6:$O$6,0))</f>
        <v>28.122427191863014</v>
      </c>
      <c r="N389" s="86">
        <f>GDPdeflator!$C$38*INDEX(Costs!$E$7:$O$89,MATCH($C389,Costs!$C$7:$C$89,0),MATCH(N$7,Costs!$E$6:$O$6,0))</f>
        <v>28.122427191863014</v>
      </c>
      <c r="O389" s="86">
        <f>GDPdeflator!$C$38*INDEX(Costs!$E$7:$O$89,MATCH($C389,Costs!$C$7:$C$89,0),MATCH(O$7,Costs!$E$6:$O$6,0))</f>
        <v>28.122427191863014</v>
      </c>
      <c r="P389" s="87">
        <f>E389/$AI$18*10^6</f>
        <v>1612.8577560249787</v>
      </c>
      <c r="Q389" s="87">
        <f t="shared" si="186"/>
        <v>1680.645657799872</v>
      </c>
      <c r="R389" s="87">
        <f t="shared" si="187"/>
        <v>2190.1628347029268</v>
      </c>
      <c r="S389" s="87">
        <f t="shared" si="188"/>
        <v>2258.1939447989098</v>
      </c>
      <c r="T389" s="87">
        <f t="shared" si="189"/>
        <v>2342.3184357778132</v>
      </c>
      <c r="U389" s="87">
        <f t="shared" si="190"/>
        <v>2343.7814704035327</v>
      </c>
      <c r="V389" s="87">
        <f t="shared" si="191"/>
        <v>2345.2445050292531</v>
      </c>
      <c r="W389" s="87">
        <f t="shared" si="192"/>
        <v>2348.170574280693</v>
      </c>
      <c r="X389" s="87">
        <f t="shared" si="193"/>
        <v>2348.170574280693</v>
      </c>
      <c r="Y389" s="87">
        <f t="shared" si="194"/>
        <v>2348.170574280693</v>
      </c>
      <c r="Z389" s="87">
        <f t="shared" si="195"/>
        <v>2348.170574280693</v>
      </c>
      <c r="AA389" s="88">
        <v>500</v>
      </c>
      <c r="AB389" s="89">
        <f>AA389*GDPdeflator!$C$25/$AI$18*10^3</f>
        <v>48.0747492686653</v>
      </c>
      <c r="AC389" s="90" t="e">
        <f>INDEX(Efficiencies!$D$8:$M$89,MATCH(C389,Efficiencies!$C$8:$C$89),MATCH(D389,Efficiencies!$D$7:$M$7))</f>
        <v>#REF!</v>
      </c>
      <c r="AD389" s="90" t="e">
        <f t="shared" si="196"/>
        <v>#REF!</v>
      </c>
      <c r="AE389" s="90" t="e">
        <f>INDEX(Efficiencies!$P$8:$Y$89,MATCH(C389,Efficiencies!$C$8:$C$89),MATCH(D389,Efficiencies!$P$7:$Y$7))</f>
        <v>#REF!</v>
      </c>
      <c r="AF389" s="90" t="e">
        <f t="shared" si="199"/>
        <v>#REF!</v>
      </c>
      <c r="AG389" s="90">
        <v>0</v>
      </c>
    </row>
    <row r="390" spans="1:33" x14ac:dyDescent="0.2">
      <c r="A390" s="92" t="s">
        <v>1585</v>
      </c>
      <c r="B390" s="248" t="s">
        <v>1586</v>
      </c>
      <c r="C390" s="40" t="s">
        <v>1584</v>
      </c>
      <c r="D390" s="40">
        <v>2005</v>
      </c>
      <c r="E390" s="86">
        <f>GDPdeflator!$C$32*INDEX(Costs!$E$7:$O$89,MATCH($C390,Costs!$C$7:$C$89,0),MATCH(E$7,Costs!$E$6:$O$6,0))</f>
        <v>19.316090283832221</v>
      </c>
      <c r="F390" s="86">
        <f>GDPdeflator!$C$36*INDEX(Costs!$E$7:$O$89,MATCH($C390,Costs!$C$7:$C$89,0),MATCH(F$7,Costs!$E$6:$O$6,0))</f>
        <v>20.127939454004864</v>
      </c>
      <c r="G390" s="86">
        <f>GDPdeflator!$C$38*INDEX(Costs!$E$7:$O$89,MATCH($C390,Costs!$C$7:$C$89,0),MATCH(G$7,Costs!$E$6:$O$6,0))</f>
        <v>26.230076950915223</v>
      </c>
      <c r="H390" s="86">
        <f>GDPdeflator!$C$38*INDEX(Costs!$E$7:$O$89,MATCH($C390,Costs!$C$7:$C$89,0),MATCH(H$7,Costs!$E$6:$O$6,0))</f>
        <v>27.044838860212188</v>
      </c>
      <c r="I390" s="86">
        <f>GDPdeflator!$C$38*INDEX(Costs!$E$7:$O$89,MATCH($C390,Costs!$C$7:$C$89,0),MATCH(I$7,Costs!$E$6:$O$6,0))</f>
        <v>28.052340145901987</v>
      </c>
      <c r="J390" s="86">
        <f>GDPdeflator!$C$38*INDEX(Costs!$E$7:$O$89,MATCH($C390,Costs!$C$7:$C$89,0),MATCH(J$7,Costs!$E$6:$O$6,0))</f>
        <v>28.069861907392237</v>
      </c>
      <c r="K390" s="86">
        <f>GDPdeflator!$C$38*INDEX(Costs!$E$7:$O$89,MATCH($C390,Costs!$C$7:$C$89,0),MATCH(K$7,Costs!$E$6:$O$6,0))</f>
        <v>28.087383668882499</v>
      </c>
      <c r="L390" s="86">
        <f>GDPdeflator!$C$38*INDEX(Costs!$E$7:$O$89,MATCH($C390,Costs!$C$7:$C$89,0),MATCH(L$7,Costs!$E$6:$O$6,0))</f>
        <v>28.122427191863014</v>
      </c>
      <c r="M390" s="86">
        <f>GDPdeflator!$C$38*INDEX(Costs!$E$7:$O$89,MATCH($C390,Costs!$C$7:$C$89,0),MATCH(M$7,Costs!$E$6:$O$6,0))</f>
        <v>28.122427191863014</v>
      </c>
      <c r="N390" s="86">
        <f>GDPdeflator!$C$38*INDEX(Costs!$E$7:$O$89,MATCH($C390,Costs!$C$7:$C$89,0),MATCH(N$7,Costs!$E$6:$O$6,0))</f>
        <v>28.122427191863014</v>
      </c>
      <c r="O390" s="86">
        <f>GDPdeflator!$C$38*INDEX(Costs!$E$7:$O$89,MATCH($C390,Costs!$C$7:$C$89,0),MATCH(O$7,Costs!$E$6:$O$6,0))</f>
        <v>28.122427191863014</v>
      </c>
      <c r="P390" s="87">
        <f t="shared" ref="P390:P399" si="202">E390/$AI$18*10^6</f>
        <v>1612.8577560249787</v>
      </c>
      <c r="Q390" s="87">
        <f t="shared" ref="Q390:Q422" si="203">F390/$AI$18*10^6</f>
        <v>1680.645657799872</v>
      </c>
      <c r="R390" s="87">
        <f t="shared" ref="R390:R422" si="204">G390/$AI$18*10^6</f>
        <v>2190.1628347029268</v>
      </c>
      <c r="S390" s="87">
        <f t="shared" ref="S390:S422" si="205">H390/$AI$18*10^6</f>
        <v>2258.1939447989098</v>
      </c>
      <c r="T390" s="87">
        <f t="shared" ref="T390:T422" si="206">I390/$AI$18*10^6</f>
        <v>2342.3184357778132</v>
      </c>
      <c r="U390" s="87">
        <f t="shared" ref="U390:U422" si="207">J390/$AI$18*10^6</f>
        <v>2343.7814704035327</v>
      </c>
      <c r="V390" s="87">
        <f t="shared" ref="V390:V422" si="208">K390/$AI$18*10^6</f>
        <v>2345.2445050292531</v>
      </c>
      <c r="W390" s="87">
        <f t="shared" ref="W390:W422" si="209">L390/$AI$18*10^6</f>
        <v>2348.170574280693</v>
      </c>
      <c r="X390" s="87">
        <f t="shared" ref="X390:X422" si="210">M390/$AI$18*10^6</f>
        <v>2348.170574280693</v>
      </c>
      <c r="Y390" s="87">
        <f t="shared" ref="Y390:Y422" si="211">N390/$AI$18*10^6</f>
        <v>2348.170574280693</v>
      </c>
      <c r="Z390" s="87">
        <f t="shared" ref="Z390:Z422" si="212">O390/$AI$18*10^6</f>
        <v>2348.170574280693</v>
      </c>
      <c r="AA390" s="88">
        <v>500</v>
      </c>
      <c r="AB390" s="89">
        <f>AA390*GDPdeflator!$C$25/$AI$18*10^3</f>
        <v>48.0747492686653</v>
      </c>
      <c r="AC390" s="90" t="e">
        <f>INDEX(Efficiencies!$D$8:$M$89,MATCH(C390,Efficiencies!$C$8:$C$89),MATCH(D390,Efficiencies!$D$7:$M$7))</f>
        <v>#REF!</v>
      </c>
      <c r="AD390" s="90" t="e">
        <f t="shared" si="196"/>
        <v>#REF!</v>
      </c>
      <c r="AE390" s="90" t="e">
        <f>INDEX(Efficiencies!$P$8:$Y$89,MATCH(C390,Efficiencies!$C$8:$C$89),MATCH(D390,Efficiencies!$P$7:$Y$7))</f>
        <v>#REF!</v>
      </c>
      <c r="AF390" s="90" t="e">
        <f t="shared" si="199"/>
        <v>#REF!</v>
      </c>
      <c r="AG390" s="90">
        <v>0</v>
      </c>
    </row>
    <row r="391" spans="1:33" x14ac:dyDescent="0.2">
      <c r="A391" s="92" t="s">
        <v>1587</v>
      </c>
      <c r="B391" s="248" t="s">
        <v>1588</v>
      </c>
      <c r="C391" s="40" t="s">
        <v>1584</v>
      </c>
      <c r="D391" s="40">
        <v>2010</v>
      </c>
      <c r="E391" s="86">
        <f>GDPdeflator!$C$32*INDEX(Costs!$E$7:$O$89,MATCH($C391,Costs!$C$7:$C$89,0),MATCH(E$7,Costs!$E$6:$O$6,0))</f>
        <v>19.316090283832221</v>
      </c>
      <c r="F391" s="86">
        <f>GDPdeflator!$C$36*INDEX(Costs!$E$7:$O$89,MATCH($C391,Costs!$C$7:$C$89,0),MATCH(F$7,Costs!$E$6:$O$6,0))</f>
        <v>20.127939454004864</v>
      </c>
      <c r="G391" s="86">
        <f>GDPdeflator!$C$38*INDEX(Costs!$E$7:$O$89,MATCH($C391,Costs!$C$7:$C$89,0),MATCH(G$7,Costs!$E$6:$O$6,0))</f>
        <v>26.230076950915223</v>
      </c>
      <c r="H391" s="86">
        <f>GDPdeflator!$C$38*INDEX(Costs!$E$7:$O$89,MATCH($C391,Costs!$C$7:$C$89,0),MATCH(H$7,Costs!$E$6:$O$6,0))</f>
        <v>27.044838860212188</v>
      </c>
      <c r="I391" s="86">
        <f>GDPdeflator!$C$38*INDEX(Costs!$E$7:$O$89,MATCH($C391,Costs!$C$7:$C$89,0),MATCH(I$7,Costs!$E$6:$O$6,0))</f>
        <v>28.052340145901987</v>
      </c>
      <c r="J391" s="86">
        <f>GDPdeflator!$C$38*INDEX(Costs!$E$7:$O$89,MATCH($C391,Costs!$C$7:$C$89,0),MATCH(J$7,Costs!$E$6:$O$6,0))</f>
        <v>28.069861907392237</v>
      </c>
      <c r="K391" s="86">
        <f>GDPdeflator!$C$38*INDEX(Costs!$E$7:$O$89,MATCH($C391,Costs!$C$7:$C$89,0),MATCH(K$7,Costs!$E$6:$O$6,0))</f>
        <v>28.087383668882499</v>
      </c>
      <c r="L391" s="86">
        <f>GDPdeflator!$C$38*INDEX(Costs!$E$7:$O$89,MATCH($C391,Costs!$C$7:$C$89,0),MATCH(L$7,Costs!$E$6:$O$6,0))</f>
        <v>28.122427191863014</v>
      </c>
      <c r="M391" s="86">
        <f>GDPdeflator!$C$38*INDEX(Costs!$E$7:$O$89,MATCH($C391,Costs!$C$7:$C$89,0),MATCH(M$7,Costs!$E$6:$O$6,0))</f>
        <v>28.122427191863014</v>
      </c>
      <c r="N391" s="86">
        <f>GDPdeflator!$C$38*INDEX(Costs!$E$7:$O$89,MATCH($C391,Costs!$C$7:$C$89,0),MATCH(N$7,Costs!$E$6:$O$6,0))</f>
        <v>28.122427191863014</v>
      </c>
      <c r="O391" s="86">
        <f>GDPdeflator!$C$38*INDEX(Costs!$E$7:$O$89,MATCH($C391,Costs!$C$7:$C$89,0),MATCH(O$7,Costs!$E$6:$O$6,0))</f>
        <v>28.122427191863014</v>
      </c>
      <c r="P391" s="87">
        <f t="shared" si="202"/>
        <v>1612.8577560249787</v>
      </c>
      <c r="Q391" s="87">
        <f t="shared" si="203"/>
        <v>1680.645657799872</v>
      </c>
      <c r="R391" s="87">
        <f t="shared" si="204"/>
        <v>2190.1628347029268</v>
      </c>
      <c r="S391" s="87">
        <f t="shared" si="205"/>
        <v>2258.1939447989098</v>
      </c>
      <c r="T391" s="87">
        <f t="shared" si="206"/>
        <v>2342.3184357778132</v>
      </c>
      <c r="U391" s="87">
        <f t="shared" si="207"/>
        <v>2343.7814704035327</v>
      </c>
      <c r="V391" s="87">
        <f t="shared" si="208"/>
        <v>2345.2445050292531</v>
      </c>
      <c r="W391" s="87">
        <f t="shared" si="209"/>
        <v>2348.170574280693</v>
      </c>
      <c r="X391" s="87">
        <f t="shared" si="210"/>
        <v>2348.170574280693</v>
      </c>
      <c r="Y391" s="87">
        <f t="shared" si="211"/>
        <v>2348.170574280693</v>
      </c>
      <c r="Z391" s="87">
        <f t="shared" si="212"/>
        <v>2348.170574280693</v>
      </c>
      <c r="AA391" s="88">
        <v>500</v>
      </c>
      <c r="AB391" s="89">
        <f>AA391*GDPdeflator!$C$25/$AI$18*10^3</f>
        <v>48.0747492686653</v>
      </c>
      <c r="AC391" s="90" t="e">
        <f>INDEX(Efficiencies!$D$8:$M$89,MATCH(C391,Efficiencies!$C$8:$C$89),MATCH(D391,Efficiencies!$D$7:$M$7))</f>
        <v>#REF!</v>
      </c>
      <c r="AD391" s="90" t="e">
        <f t="shared" si="196"/>
        <v>#REF!</v>
      </c>
      <c r="AE391" s="90" t="e">
        <f>INDEX(Efficiencies!$P$8:$Y$89,MATCH(C391,Efficiencies!$C$8:$C$89),MATCH(D391,Efficiencies!$P$7:$Y$7))</f>
        <v>#REF!</v>
      </c>
      <c r="AF391" s="90" t="e">
        <f t="shared" si="199"/>
        <v>#REF!</v>
      </c>
      <c r="AG391" s="90">
        <v>0</v>
      </c>
    </row>
    <row r="392" spans="1:33" x14ac:dyDescent="0.2">
      <c r="A392" s="92" t="s">
        <v>1589</v>
      </c>
      <c r="B392" s="248" t="s">
        <v>1590</v>
      </c>
      <c r="C392" s="40" t="s">
        <v>1584</v>
      </c>
      <c r="D392" s="40">
        <v>2015</v>
      </c>
      <c r="E392" s="86">
        <f>GDPdeflator!$C$32*INDEX(Costs!$E$7:$O$89,MATCH($C392,Costs!$C$7:$C$89,0),MATCH(E$7,Costs!$E$6:$O$6,0))</f>
        <v>19.316090283832221</v>
      </c>
      <c r="F392" s="86">
        <f>GDPdeflator!$C$36*INDEX(Costs!$E$7:$O$89,MATCH($C392,Costs!$C$7:$C$89,0),MATCH(F$7,Costs!$E$6:$O$6,0))</f>
        <v>20.127939454004864</v>
      </c>
      <c r="G392" s="86">
        <f>GDPdeflator!$C$38*INDEX(Costs!$E$7:$O$89,MATCH($C392,Costs!$C$7:$C$89,0),MATCH(G$7,Costs!$E$6:$O$6,0))</f>
        <v>26.230076950915223</v>
      </c>
      <c r="H392" s="86">
        <f>GDPdeflator!$C$38*INDEX(Costs!$E$7:$O$89,MATCH($C392,Costs!$C$7:$C$89,0),MATCH(H$7,Costs!$E$6:$O$6,0))</f>
        <v>27.044838860212188</v>
      </c>
      <c r="I392" s="86">
        <f>GDPdeflator!$C$38*INDEX(Costs!$E$7:$O$89,MATCH($C392,Costs!$C$7:$C$89,0),MATCH(I$7,Costs!$E$6:$O$6,0))</f>
        <v>28.052340145901987</v>
      </c>
      <c r="J392" s="86">
        <f>GDPdeflator!$C$38*INDEX(Costs!$E$7:$O$89,MATCH($C392,Costs!$C$7:$C$89,0),MATCH(J$7,Costs!$E$6:$O$6,0))</f>
        <v>28.069861907392237</v>
      </c>
      <c r="K392" s="86">
        <f>GDPdeflator!$C$38*INDEX(Costs!$E$7:$O$89,MATCH($C392,Costs!$C$7:$C$89,0),MATCH(K$7,Costs!$E$6:$O$6,0))</f>
        <v>28.087383668882499</v>
      </c>
      <c r="L392" s="86">
        <f>GDPdeflator!$C$38*INDEX(Costs!$E$7:$O$89,MATCH($C392,Costs!$C$7:$C$89,0),MATCH(L$7,Costs!$E$6:$O$6,0))</f>
        <v>28.122427191863014</v>
      </c>
      <c r="M392" s="86">
        <f>GDPdeflator!$C$38*INDEX(Costs!$E$7:$O$89,MATCH($C392,Costs!$C$7:$C$89,0),MATCH(M$7,Costs!$E$6:$O$6,0))</f>
        <v>28.122427191863014</v>
      </c>
      <c r="N392" s="86">
        <f>GDPdeflator!$C$38*INDEX(Costs!$E$7:$O$89,MATCH($C392,Costs!$C$7:$C$89,0),MATCH(N$7,Costs!$E$6:$O$6,0))</f>
        <v>28.122427191863014</v>
      </c>
      <c r="O392" s="86">
        <f>GDPdeflator!$C$38*INDEX(Costs!$E$7:$O$89,MATCH($C392,Costs!$C$7:$C$89,0),MATCH(O$7,Costs!$E$6:$O$6,0))</f>
        <v>28.122427191863014</v>
      </c>
      <c r="P392" s="87">
        <f t="shared" si="202"/>
        <v>1612.8577560249787</v>
      </c>
      <c r="Q392" s="87">
        <f t="shared" si="203"/>
        <v>1680.645657799872</v>
      </c>
      <c r="R392" s="87">
        <f t="shared" si="204"/>
        <v>2190.1628347029268</v>
      </c>
      <c r="S392" s="87">
        <f t="shared" si="205"/>
        <v>2258.1939447989098</v>
      </c>
      <c r="T392" s="87">
        <f t="shared" si="206"/>
        <v>2342.3184357778132</v>
      </c>
      <c r="U392" s="87">
        <f t="shared" si="207"/>
        <v>2343.7814704035327</v>
      </c>
      <c r="V392" s="87">
        <f t="shared" si="208"/>
        <v>2345.2445050292531</v>
      </c>
      <c r="W392" s="87">
        <f t="shared" si="209"/>
        <v>2348.170574280693</v>
      </c>
      <c r="X392" s="87">
        <f t="shared" si="210"/>
        <v>2348.170574280693</v>
      </c>
      <c r="Y392" s="87">
        <f t="shared" si="211"/>
        <v>2348.170574280693</v>
      </c>
      <c r="Z392" s="87">
        <f t="shared" si="212"/>
        <v>2348.170574280693</v>
      </c>
      <c r="AA392" s="88">
        <v>500</v>
      </c>
      <c r="AB392" s="89">
        <f>AA392*GDPdeflator!$C$25/$AI$18*10^3</f>
        <v>48.0747492686653</v>
      </c>
      <c r="AC392" s="90" t="e">
        <f>INDEX(Efficiencies!$D$8:$M$89,MATCH(C392,Efficiencies!$C$8:$C$89),MATCH(D392,Efficiencies!$D$7:$M$7))</f>
        <v>#REF!</v>
      </c>
      <c r="AD392" s="90" t="e">
        <f t="shared" si="196"/>
        <v>#REF!</v>
      </c>
      <c r="AE392" s="90" t="e">
        <f>INDEX(Efficiencies!$P$8:$Y$89,MATCH(C392,Efficiencies!$C$8:$C$89),MATCH(D392,Efficiencies!$P$7:$Y$7))</f>
        <v>#REF!</v>
      </c>
      <c r="AF392" s="90" t="e">
        <f t="shared" si="199"/>
        <v>#REF!</v>
      </c>
      <c r="AG392" s="90">
        <v>0</v>
      </c>
    </row>
    <row r="393" spans="1:33" x14ac:dyDescent="0.2">
      <c r="A393" s="92" t="s">
        <v>1591</v>
      </c>
      <c r="B393" s="248" t="s">
        <v>1592</v>
      </c>
      <c r="C393" s="40" t="s">
        <v>1584</v>
      </c>
      <c r="D393" s="40">
        <v>2020</v>
      </c>
      <c r="E393" s="86">
        <f>GDPdeflator!$C$32*INDEX(Costs!$E$7:$O$89,MATCH($C393,Costs!$C$7:$C$89,0),MATCH(E$7,Costs!$E$6:$O$6,0))</f>
        <v>19.316090283832221</v>
      </c>
      <c r="F393" s="86">
        <f>GDPdeflator!$C$36*INDEX(Costs!$E$7:$O$89,MATCH($C393,Costs!$C$7:$C$89,0),MATCH(F$7,Costs!$E$6:$O$6,0))</f>
        <v>20.127939454004864</v>
      </c>
      <c r="G393" s="86">
        <f>GDPdeflator!$C$38*INDEX(Costs!$E$7:$O$89,MATCH($C393,Costs!$C$7:$C$89,0),MATCH(G$7,Costs!$E$6:$O$6,0))</f>
        <v>26.230076950915223</v>
      </c>
      <c r="H393" s="86">
        <f>GDPdeflator!$C$38*INDEX(Costs!$E$7:$O$89,MATCH($C393,Costs!$C$7:$C$89,0),MATCH(H$7,Costs!$E$6:$O$6,0))</f>
        <v>27.044838860212188</v>
      </c>
      <c r="I393" s="86">
        <f>GDPdeflator!$C$38*INDEX(Costs!$E$7:$O$89,MATCH($C393,Costs!$C$7:$C$89,0),MATCH(I$7,Costs!$E$6:$O$6,0))</f>
        <v>28.052340145901987</v>
      </c>
      <c r="J393" s="86">
        <f>GDPdeflator!$C$38*INDEX(Costs!$E$7:$O$89,MATCH($C393,Costs!$C$7:$C$89,0),MATCH(J$7,Costs!$E$6:$O$6,0))</f>
        <v>28.069861907392237</v>
      </c>
      <c r="K393" s="86">
        <f>GDPdeflator!$C$38*INDEX(Costs!$E$7:$O$89,MATCH($C393,Costs!$C$7:$C$89,0),MATCH(K$7,Costs!$E$6:$O$6,0))</f>
        <v>28.087383668882499</v>
      </c>
      <c r="L393" s="86">
        <f>GDPdeflator!$C$38*INDEX(Costs!$E$7:$O$89,MATCH($C393,Costs!$C$7:$C$89,0),MATCH(L$7,Costs!$E$6:$O$6,0))</f>
        <v>28.122427191863014</v>
      </c>
      <c r="M393" s="86">
        <f>GDPdeflator!$C$38*INDEX(Costs!$E$7:$O$89,MATCH($C393,Costs!$C$7:$C$89,0),MATCH(M$7,Costs!$E$6:$O$6,0))</f>
        <v>28.122427191863014</v>
      </c>
      <c r="N393" s="86">
        <f>GDPdeflator!$C$38*INDEX(Costs!$E$7:$O$89,MATCH($C393,Costs!$C$7:$C$89,0),MATCH(N$7,Costs!$E$6:$O$6,0))</f>
        <v>28.122427191863014</v>
      </c>
      <c r="O393" s="86">
        <f>GDPdeflator!$C$38*INDEX(Costs!$E$7:$O$89,MATCH($C393,Costs!$C$7:$C$89,0),MATCH(O$7,Costs!$E$6:$O$6,0))</f>
        <v>28.122427191863014</v>
      </c>
      <c r="P393" s="87">
        <f t="shared" si="202"/>
        <v>1612.8577560249787</v>
      </c>
      <c r="Q393" s="87">
        <f t="shared" si="203"/>
        <v>1680.645657799872</v>
      </c>
      <c r="R393" s="87">
        <f t="shared" si="204"/>
        <v>2190.1628347029268</v>
      </c>
      <c r="S393" s="87">
        <f t="shared" si="205"/>
        <v>2258.1939447989098</v>
      </c>
      <c r="T393" s="87">
        <f t="shared" si="206"/>
        <v>2342.3184357778132</v>
      </c>
      <c r="U393" s="87">
        <f t="shared" si="207"/>
        <v>2343.7814704035327</v>
      </c>
      <c r="V393" s="87">
        <f t="shared" si="208"/>
        <v>2345.2445050292531</v>
      </c>
      <c r="W393" s="87">
        <f t="shared" si="209"/>
        <v>2348.170574280693</v>
      </c>
      <c r="X393" s="87">
        <f t="shared" si="210"/>
        <v>2348.170574280693</v>
      </c>
      <c r="Y393" s="87">
        <f t="shared" si="211"/>
        <v>2348.170574280693</v>
      </c>
      <c r="Z393" s="87">
        <f t="shared" si="212"/>
        <v>2348.170574280693</v>
      </c>
      <c r="AA393" s="88">
        <v>500</v>
      </c>
      <c r="AB393" s="89">
        <f>AA393*GDPdeflator!$C$25/$AI$18*10^3</f>
        <v>48.0747492686653</v>
      </c>
      <c r="AC393" s="90" t="e">
        <f>INDEX(Efficiencies!$D$8:$M$89,MATCH(C393,Efficiencies!$C$8:$C$89),MATCH(D393,Efficiencies!$D$7:$M$7))</f>
        <v>#REF!</v>
      </c>
      <c r="AD393" s="90" t="e">
        <f t="shared" si="196"/>
        <v>#REF!</v>
      </c>
      <c r="AE393" s="90" t="e">
        <f>INDEX(Efficiencies!$P$8:$Y$89,MATCH(C393,Efficiencies!$C$8:$C$89),MATCH(D393,Efficiencies!$P$7:$Y$7))</f>
        <v>#REF!</v>
      </c>
      <c r="AF393" s="90" t="e">
        <f t="shared" si="199"/>
        <v>#REF!</v>
      </c>
      <c r="AG393" s="90">
        <v>0</v>
      </c>
    </row>
    <row r="394" spans="1:33" x14ac:dyDescent="0.2">
      <c r="A394" s="92" t="s">
        <v>1593</v>
      </c>
      <c r="B394" s="248" t="s">
        <v>1594</v>
      </c>
      <c r="C394" s="40" t="s">
        <v>1584</v>
      </c>
      <c r="D394" s="40">
        <v>2025</v>
      </c>
      <c r="E394" s="86">
        <f>GDPdeflator!$C$32*INDEX(Costs!$E$7:$O$89,MATCH($C394,Costs!$C$7:$C$89,0),MATCH(E$7,Costs!$E$6:$O$6,0))</f>
        <v>19.316090283832221</v>
      </c>
      <c r="F394" s="86">
        <f>GDPdeflator!$C$36*INDEX(Costs!$E$7:$O$89,MATCH($C394,Costs!$C$7:$C$89,0),MATCH(F$7,Costs!$E$6:$O$6,0))</f>
        <v>20.127939454004864</v>
      </c>
      <c r="G394" s="86">
        <f>GDPdeflator!$C$38*INDEX(Costs!$E$7:$O$89,MATCH($C394,Costs!$C$7:$C$89,0),MATCH(G$7,Costs!$E$6:$O$6,0))</f>
        <v>26.230076950915223</v>
      </c>
      <c r="H394" s="86">
        <f>GDPdeflator!$C$38*INDEX(Costs!$E$7:$O$89,MATCH($C394,Costs!$C$7:$C$89,0),MATCH(H$7,Costs!$E$6:$O$6,0))</f>
        <v>27.044838860212188</v>
      </c>
      <c r="I394" s="86">
        <f>GDPdeflator!$C$38*INDEX(Costs!$E$7:$O$89,MATCH($C394,Costs!$C$7:$C$89,0),MATCH(I$7,Costs!$E$6:$O$6,0))</f>
        <v>28.052340145901987</v>
      </c>
      <c r="J394" s="86">
        <f>GDPdeflator!$C$38*INDEX(Costs!$E$7:$O$89,MATCH($C394,Costs!$C$7:$C$89,0),MATCH(J$7,Costs!$E$6:$O$6,0))</f>
        <v>28.069861907392237</v>
      </c>
      <c r="K394" s="86">
        <f>GDPdeflator!$C$38*INDEX(Costs!$E$7:$O$89,MATCH($C394,Costs!$C$7:$C$89,0),MATCH(K$7,Costs!$E$6:$O$6,0))</f>
        <v>28.087383668882499</v>
      </c>
      <c r="L394" s="86">
        <f>GDPdeflator!$C$38*INDEX(Costs!$E$7:$O$89,MATCH($C394,Costs!$C$7:$C$89,0),MATCH(L$7,Costs!$E$6:$O$6,0))</f>
        <v>28.122427191863014</v>
      </c>
      <c r="M394" s="86">
        <f>GDPdeflator!$C$38*INDEX(Costs!$E$7:$O$89,MATCH($C394,Costs!$C$7:$C$89,0),MATCH(M$7,Costs!$E$6:$O$6,0))</f>
        <v>28.122427191863014</v>
      </c>
      <c r="N394" s="86">
        <f>GDPdeflator!$C$38*INDEX(Costs!$E$7:$O$89,MATCH($C394,Costs!$C$7:$C$89,0),MATCH(N$7,Costs!$E$6:$O$6,0))</f>
        <v>28.122427191863014</v>
      </c>
      <c r="O394" s="86">
        <f>GDPdeflator!$C$38*INDEX(Costs!$E$7:$O$89,MATCH($C394,Costs!$C$7:$C$89,0),MATCH(O$7,Costs!$E$6:$O$6,0))</f>
        <v>28.122427191863014</v>
      </c>
      <c r="P394" s="87">
        <f t="shared" si="202"/>
        <v>1612.8577560249787</v>
      </c>
      <c r="Q394" s="87">
        <f t="shared" si="203"/>
        <v>1680.645657799872</v>
      </c>
      <c r="R394" s="87">
        <f t="shared" si="204"/>
        <v>2190.1628347029268</v>
      </c>
      <c r="S394" s="87">
        <f t="shared" si="205"/>
        <v>2258.1939447989098</v>
      </c>
      <c r="T394" s="87">
        <f t="shared" si="206"/>
        <v>2342.3184357778132</v>
      </c>
      <c r="U394" s="87">
        <f t="shared" si="207"/>
        <v>2343.7814704035327</v>
      </c>
      <c r="V394" s="87">
        <f t="shared" si="208"/>
        <v>2345.2445050292531</v>
      </c>
      <c r="W394" s="87">
        <f t="shared" si="209"/>
        <v>2348.170574280693</v>
      </c>
      <c r="X394" s="87">
        <f t="shared" si="210"/>
        <v>2348.170574280693</v>
      </c>
      <c r="Y394" s="87">
        <f t="shared" si="211"/>
        <v>2348.170574280693</v>
      </c>
      <c r="Z394" s="87">
        <f t="shared" si="212"/>
        <v>2348.170574280693</v>
      </c>
      <c r="AA394" s="88">
        <v>500</v>
      </c>
      <c r="AB394" s="89">
        <f>AA394*GDPdeflator!$C$25/$AI$18*10^3</f>
        <v>48.0747492686653</v>
      </c>
      <c r="AC394" s="90" t="e">
        <f>INDEX(Efficiencies!$D$8:$M$89,MATCH(C394,Efficiencies!$C$8:$C$89),MATCH(D394,Efficiencies!$D$7:$M$7))</f>
        <v>#REF!</v>
      </c>
      <c r="AD394" s="90" t="e">
        <f t="shared" si="196"/>
        <v>#REF!</v>
      </c>
      <c r="AE394" s="90" t="e">
        <f>INDEX(Efficiencies!$P$8:$Y$89,MATCH(C394,Efficiencies!$C$8:$C$89),MATCH(D394,Efficiencies!$P$7:$Y$7))</f>
        <v>#REF!</v>
      </c>
      <c r="AF394" s="90" t="e">
        <f t="shared" si="199"/>
        <v>#REF!</v>
      </c>
      <c r="AG394" s="90">
        <v>0</v>
      </c>
    </row>
    <row r="395" spans="1:33" x14ac:dyDescent="0.2">
      <c r="A395" s="92" t="s">
        <v>1595</v>
      </c>
      <c r="B395" s="248" t="s">
        <v>1596</v>
      </c>
      <c r="C395" s="40" t="s">
        <v>1584</v>
      </c>
      <c r="D395" s="40">
        <v>2030</v>
      </c>
      <c r="E395" s="86">
        <f>GDPdeflator!$C$32*INDEX(Costs!$E$7:$O$89,MATCH($C395,Costs!$C$7:$C$89,0),MATCH(E$7,Costs!$E$6:$O$6,0))</f>
        <v>19.316090283832221</v>
      </c>
      <c r="F395" s="86">
        <f>GDPdeflator!$C$36*INDEX(Costs!$E$7:$O$89,MATCH($C395,Costs!$C$7:$C$89,0),MATCH(F$7,Costs!$E$6:$O$6,0))</f>
        <v>20.127939454004864</v>
      </c>
      <c r="G395" s="86">
        <f>GDPdeflator!$C$38*INDEX(Costs!$E$7:$O$89,MATCH($C395,Costs!$C$7:$C$89,0),MATCH(G$7,Costs!$E$6:$O$6,0))</f>
        <v>26.230076950915223</v>
      </c>
      <c r="H395" s="86">
        <f>GDPdeflator!$C$38*INDEX(Costs!$E$7:$O$89,MATCH($C395,Costs!$C$7:$C$89,0),MATCH(H$7,Costs!$E$6:$O$6,0))</f>
        <v>27.044838860212188</v>
      </c>
      <c r="I395" s="86">
        <f>GDPdeflator!$C$38*INDEX(Costs!$E$7:$O$89,MATCH($C395,Costs!$C$7:$C$89,0),MATCH(I$7,Costs!$E$6:$O$6,0))</f>
        <v>28.052340145901987</v>
      </c>
      <c r="J395" s="86">
        <f>GDPdeflator!$C$38*INDEX(Costs!$E$7:$O$89,MATCH($C395,Costs!$C$7:$C$89,0),MATCH(J$7,Costs!$E$6:$O$6,0))</f>
        <v>28.069861907392237</v>
      </c>
      <c r="K395" s="86">
        <f>GDPdeflator!$C$38*INDEX(Costs!$E$7:$O$89,MATCH($C395,Costs!$C$7:$C$89,0),MATCH(K$7,Costs!$E$6:$O$6,0))</f>
        <v>28.087383668882499</v>
      </c>
      <c r="L395" s="86">
        <f>GDPdeflator!$C$38*INDEX(Costs!$E$7:$O$89,MATCH($C395,Costs!$C$7:$C$89,0),MATCH(L$7,Costs!$E$6:$O$6,0))</f>
        <v>28.122427191863014</v>
      </c>
      <c r="M395" s="86">
        <f>GDPdeflator!$C$38*INDEX(Costs!$E$7:$O$89,MATCH($C395,Costs!$C$7:$C$89,0),MATCH(M$7,Costs!$E$6:$O$6,0))</f>
        <v>28.122427191863014</v>
      </c>
      <c r="N395" s="86">
        <f>GDPdeflator!$C$38*INDEX(Costs!$E$7:$O$89,MATCH($C395,Costs!$C$7:$C$89,0),MATCH(N$7,Costs!$E$6:$O$6,0))</f>
        <v>28.122427191863014</v>
      </c>
      <c r="O395" s="86">
        <f>GDPdeflator!$C$38*INDEX(Costs!$E$7:$O$89,MATCH($C395,Costs!$C$7:$C$89,0),MATCH(O$7,Costs!$E$6:$O$6,0))</f>
        <v>28.122427191863014</v>
      </c>
      <c r="P395" s="87">
        <f t="shared" si="202"/>
        <v>1612.8577560249787</v>
      </c>
      <c r="Q395" s="87">
        <f t="shared" si="203"/>
        <v>1680.645657799872</v>
      </c>
      <c r="R395" s="87">
        <f t="shared" si="204"/>
        <v>2190.1628347029268</v>
      </c>
      <c r="S395" s="87">
        <f t="shared" si="205"/>
        <v>2258.1939447989098</v>
      </c>
      <c r="T395" s="87">
        <f t="shared" si="206"/>
        <v>2342.3184357778132</v>
      </c>
      <c r="U395" s="87">
        <f t="shared" si="207"/>
        <v>2343.7814704035327</v>
      </c>
      <c r="V395" s="87">
        <f t="shared" si="208"/>
        <v>2345.2445050292531</v>
      </c>
      <c r="W395" s="87">
        <f t="shared" si="209"/>
        <v>2348.170574280693</v>
      </c>
      <c r="X395" s="87">
        <f t="shared" si="210"/>
        <v>2348.170574280693</v>
      </c>
      <c r="Y395" s="87">
        <f t="shared" si="211"/>
        <v>2348.170574280693</v>
      </c>
      <c r="Z395" s="87">
        <f t="shared" si="212"/>
        <v>2348.170574280693</v>
      </c>
      <c r="AA395" s="88">
        <v>500</v>
      </c>
      <c r="AB395" s="89">
        <f>AA395*GDPdeflator!$C$25/$AI$18*10^3</f>
        <v>48.0747492686653</v>
      </c>
      <c r="AC395" s="90" t="e">
        <f>INDEX(Efficiencies!$D$8:$M$89,MATCH(C395,Efficiencies!$C$8:$C$89),MATCH(D395,Efficiencies!$D$7:$M$7))</f>
        <v>#REF!</v>
      </c>
      <c r="AD395" s="90" t="e">
        <f t="shared" si="196"/>
        <v>#REF!</v>
      </c>
      <c r="AE395" s="90" t="e">
        <f>INDEX(Efficiencies!$P$8:$Y$89,MATCH(C395,Efficiencies!$C$8:$C$89),MATCH(D395,Efficiencies!$P$7:$Y$7))</f>
        <v>#REF!</v>
      </c>
      <c r="AF395" s="90" t="e">
        <f t="shared" si="199"/>
        <v>#REF!</v>
      </c>
      <c r="AG395" s="90">
        <v>0</v>
      </c>
    </row>
    <row r="396" spans="1:33" x14ac:dyDescent="0.2">
      <c r="A396" s="92" t="s">
        <v>1597</v>
      </c>
      <c r="B396" s="248" t="s">
        <v>1598</v>
      </c>
      <c r="C396" s="40" t="s">
        <v>1584</v>
      </c>
      <c r="D396" s="40">
        <v>2035</v>
      </c>
      <c r="E396" s="86">
        <f>GDPdeflator!$C$32*INDEX(Costs!$E$7:$O$89,MATCH($C396,Costs!$C$7:$C$89,0),MATCH(E$7,Costs!$E$6:$O$6,0))</f>
        <v>19.316090283832221</v>
      </c>
      <c r="F396" s="86">
        <f>GDPdeflator!$C$36*INDEX(Costs!$E$7:$O$89,MATCH($C396,Costs!$C$7:$C$89,0),MATCH(F$7,Costs!$E$6:$O$6,0))</f>
        <v>20.127939454004864</v>
      </c>
      <c r="G396" s="86">
        <f>GDPdeflator!$C$38*INDEX(Costs!$E$7:$O$89,MATCH($C396,Costs!$C$7:$C$89,0),MATCH(G$7,Costs!$E$6:$O$6,0))</f>
        <v>26.230076950915223</v>
      </c>
      <c r="H396" s="86">
        <f>GDPdeflator!$C$38*INDEX(Costs!$E$7:$O$89,MATCH($C396,Costs!$C$7:$C$89,0),MATCH(H$7,Costs!$E$6:$O$6,0))</f>
        <v>27.044838860212188</v>
      </c>
      <c r="I396" s="86">
        <f>GDPdeflator!$C$38*INDEX(Costs!$E$7:$O$89,MATCH($C396,Costs!$C$7:$C$89,0),MATCH(I$7,Costs!$E$6:$O$6,0))</f>
        <v>28.052340145901987</v>
      </c>
      <c r="J396" s="86">
        <f>GDPdeflator!$C$38*INDEX(Costs!$E$7:$O$89,MATCH($C396,Costs!$C$7:$C$89,0),MATCH(J$7,Costs!$E$6:$O$6,0))</f>
        <v>28.069861907392237</v>
      </c>
      <c r="K396" s="86">
        <f>GDPdeflator!$C$38*INDEX(Costs!$E$7:$O$89,MATCH($C396,Costs!$C$7:$C$89,0),MATCH(K$7,Costs!$E$6:$O$6,0))</f>
        <v>28.087383668882499</v>
      </c>
      <c r="L396" s="86">
        <f>GDPdeflator!$C$38*INDEX(Costs!$E$7:$O$89,MATCH($C396,Costs!$C$7:$C$89,0),MATCH(L$7,Costs!$E$6:$O$6,0))</f>
        <v>28.122427191863014</v>
      </c>
      <c r="M396" s="86">
        <f>GDPdeflator!$C$38*INDEX(Costs!$E$7:$O$89,MATCH($C396,Costs!$C$7:$C$89,0),MATCH(M$7,Costs!$E$6:$O$6,0))</f>
        <v>28.122427191863014</v>
      </c>
      <c r="N396" s="86">
        <f>GDPdeflator!$C$38*INDEX(Costs!$E$7:$O$89,MATCH($C396,Costs!$C$7:$C$89,0),MATCH(N$7,Costs!$E$6:$O$6,0))</f>
        <v>28.122427191863014</v>
      </c>
      <c r="O396" s="86">
        <f>GDPdeflator!$C$38*INDEX(Costs!$E$7:$O$89,MATCH($C396,Costs!$C$7:$C$89,0),MATCH(O$7,Costs!$E$6:$O$6,0))</f>
        <v>28.122427191863014</v>
      </c>
      <c r="P396" s="87">
        <f t="shared" si="202"/>
        <v>1612.8577560249787</v>
      </c>
      <c r="Q396" s="87">
        <f t="shared" si="203"/>
        <v>1680.645657799872</v>
      </c>
      <c r="R396" s="87">
        <f t="shared" si="204"/>
        <v>2190.1628347029268</v>
      </c>
      <c r="S396" s="87">
        <f t="shared" si="205"/>
        <v>2258.1939447989098</v>
      </c>
      <c r="T396" s="87">
        <f t="shared" si="206"/>
        <v>2342.3184357778132</v>
      </c>
      <c r="U396" s="87">
        <f t="shared" si="207"/>
        <v>2343.7814704035327</v>
      </c>
      <c r="V396" s="87">
        <f t="shared" si="208"/>
        <v>2345.2445050292531</v>
      </c>
      <c r="W396" s="87">
        <f t="shared" si="209"/>
        <v>2348.170574280693</v>
      </c>
      <c r="X396" s="87">
        <f t="shared" si="210"/>
        <v>2348.170574280693</v>
      </c>
      <c r="Y396" s="87">
        <f t="shared" si="211"/>
        <v>2348.170574280693</v>
      </c>
      <c r="Z396" s="87">
        <f t="shared" si="212"/>
        <v>2348.170574280693</v>
      </c>
      <c r="AA396" s="88">
        <v>500</v>
      </c>
      <c r="AB396" s="89">
        <f>AA396*GDPdeflator!$C$25/$AI$18*10^3</f>
        <v>48.0747492686653</v>
      </c>
      <c r="AC396" s="90" t="e">
        <f>INDEX(Efficiencies!$D$8:$M$89,MATCH(C396,Efficiencies!$C$8:$C$89),MATCH(D396,Efficiencies!$D$7:$M$7))</f>
        <v>#REF!</v>
      </c>
      <c r="AD396" s="90" t="e">
        <f t="shared" si="196"/>
        <v>#REF!</v>
      </c>
      <c r="AE396" s="90" t="e">
        <f>INDEX(Efficiencies!$P$8:$Y$89,MATCH(C396,Efficiencies!$C$8:$C$89),MATCH(D396,Efficiencies!$P$7:$Y$7))</f>
        <v>#REF!</v>
      </c>
      <c r="AF396" s="90" t="e">
        <f t="shared" si="199"/>
        <v>#REF!</v>
      </c>
      <c r="AG396" s="90">
        <v>0</v>
      </c>
    </row>
    <row r="397" spans="1:33" x14ac:dyDescent="0.2">
      <c r="A397" s="92" t="s">
        <v>1599</v>
      </c>
      <c r="B397" s="248" t="s">
        <v>1600</v>
      </c>
      <c r="C397" s="40" t="s">
        <v>1584</v>
      </c>
      <c r="D397" s="40">
        <v>2040</v>
      </c>
      <c r="E397" s="86">
        <f>GDPdeflator!$C$32*INDEX(Costs!$E$7:$O$89,MATCH($C397,Costs!$C$7:$C$89,0),MATCH(E$7,Costs!$E$6:$O$6,0))</f>
        <v>19.316090283832221</v>
      </c>
      <c r="F397" s="86">
        <f>GDPdeflator!$C$36*INDEX(Costs!$E$7:$O$89,MATCH($C397,Costs!$C$7:$C$89,0),MATCH(F$7,Costs!$E$6:$O$6,0))</f>
        <v>20.127939454004864</v>
      </c>
      <c r="G397" s="86">
        <f>GDPdeflator!$C$38*INDEX(Costs!$E$7:$O$89,MATCH($C397,Costs!$C$7:$C$89,0),MATCH(G$7,Costs!$E$6:$O$6,0))</f>
        <v>26.230076950915223</v>
      </c>
      <c r="H397" s="86">
        <f>GDPdeflator!$C$38*INDEX(Costs!$E$7:$O$89,MATCH($C397,Costs!$C$7:$C$89,0),MATCH(H$7,Costs!$E$6:$O$6,0))</f>
        <v>27.044838860212188</v>
      </c>
      <c r="I397" s="86">
        <f>GDPdeflator!$C$38*INDEX(Costs!$E$7:$O$89,MATCH($C397,Costs!$C$7:$C$89,0),MATCH(I$7,Costs!$E$6:$O$6,0))</f>
        <v>28.052340145901987</v>
      </c>
      <c r="J397" s="86">
        <f>GDPdeflator!$C$38*INDEX(Costs!$E$7:$O$89,MATCH($C397,Costs!$C$7:$C$89,0),MATCH(J$7,Costs!$E$6:$O$6,0))</f>
        <v>28.069861907392237</v>
      </c>
      <c r="K397" s="86">
        <f>GDPdeflator!$C$38*INDEX(Costs!$E$7:$O$89,MATCH($C397,Costs!$C$7:$C$89,0),MATCH(K$7,Costs!$E$6:$O$6,0))</f>
        <v>28.087383668882499</v>
      </c>
      <c r="L397" s="86">
        <f>GDPdeflator!$C$38*INDEX(Costs!$E$7:$O$89,MATCH($C397,Costs!$C$7:$C$89,0),MATCH(L$7,Costs!$E$6:$O$6,0))</f>
        <v>28.122427191863014</v>
      </c>
      <c r="M397" s="86">
        <f>GDPdeflator!$C$38*INDEX(Costs!$E$7:$O$89,MATCH($C397,Costs!$C$7:$C$89,0),MATCH(M$7,Costs!$E$6:$O$6,0))</f>
        <v>28.122427191863014</v>
      </c>
      <c r="N397" s="86">
        <f>GDPdeflator!$C$38*INDEX(Costs!$E$7:$O$89,MATCH($C397,Costs!$C$7:$C$89,0),MATCH(N$7,Costs!$E$6:$O$6,0))</f>
        <v>28.122427191863014</v>
      </c>
      <c r="O397" s="86">
        <f>GDPdeflator!$C$38*INDEX(Costs!$E$7:$O$89,MATCH($C397,Costs!$C$7:$C$89,0),MATCH(O$7,Costs!$E$6:$O$6,0))</f>
        <v>28.122427191863014</v>
      </c>
      <c r="P397" s="87">
        <f t="shared" si="202"/>
        <v>1612.8577560249787</v>
      </c>
      <c r="Q397" s="87">
        <f t="shared" si="203"/>
        <v>1680.645657799872</v>
      </c>
      <c r="R397" s="87">
        <f t="shared" si="204"/>
        <v>2190.1628347029268</v>
      </c>
      <c r="S397" s="87">
        <f t="shared" si="205"/>
        <v>2258.1939447989098</v>
      </c>
      <c r="T397" s="87">
        <f t="shared" si="206"/>
        <v>2342.3184357778132</v>
      </c>
      <c r="U397" s="87">
        <f t="shared" si="207"/>
        <v>2343.7814704035327</v>
      </c>
      <c r="V397" s="87">
        <f t="shared" si="208"/>
        <v>2345.2445050292531</v>
      </c>
      <c r="W397" s="87">
        <f t="shared" si="209"/>
        <v>2348.170574280693</v>
      </c>
      <c r="X397" s="87">
        <f t="shared" si="210"/>
        <v>2348.170574280693</v>
      </c>
      <c r="Y397" s="87">
        <f t="shared" si="211"/>
        <v>2348.170574280693</v>
      </c>
      <c r="Z397" s="87">
        <f t="shared" si="212"/>
        <v>2348.170574280693</v>
      </c>
      <c r="AA397" s="88">
        <v>500</v>
      </c>
      <c r="AB397" s="89">
        <f>AA397*GDPdeflator!$C$25/$AI$18*10^3</f>
        <v>48.0747492686653</v>
      </c>
      <c r="AC397" s="90" t="e">
        <f>INDEX(Efficiencies!$D$8:$M$89,MATCH(C397,Efficiencies!$C$8:$C$89),MATCH(D397,Efficiencies!$D$7:$M$7))</f>
        <v>#REF!</v>
      </c>
      <c r="AD397" s="90" t="e">
        <f t="shared" si="196"/>
        <v>#REF!</v>
      </c>
      <c r="AE397" s="90" t="e">
        <f>INDEX(Efficiencies!$P$8:$Y$89,MATCH(C397,Efficiencies!$C$8:$C$89),MATCH(D397,Efficiencies!$P$7:$Y$7))</f>
        <v>#REF!</v>
      </c>
      <c r="AF397" s="90" t="e">
        <f t="shared" si="199"/>
        <v>#REF!</v>
      </c>
      <c r="AG397" s="90">
        <v>0</v>
      </c>
    </row>
    <row r="398" spans="1:33" x14ac:dyDescent="0.2">
      <c r="A398" s="92" t="s">
        <v>1601</v>
      </c>
      <c r="B398" s="248" t="s">
        <v>1602</v>
      </c>
      <c r="C398" s="40" t="s">
        <v>1584</v>
      </c>
      <c r="D398" s="40">
        <v>2045</v>
      </c>
      <c r="E398" s="86">
        <f>GDPdeflator!$C$32*INDEX(Costs!$E$7:$O$89,MATCH($C398,Costs!$C$7:$C$89,0),MATCH(E$7,Costs!$E$6:$O$6,0))</f>
        <v>19.316090283832221</v>
      </c>
      <c r="F398" s="86">
        <f>GDPdeflator!$C$36*INDEX(Costs!$E$7:$O$89,MATCH($C398,Costs!$C$7:$C$89,0),MATCH(F$7,Costs!$E$6:$O$6,0))</f>
        <v>20.127939454004864</v>
      </c>
      <c r="G398" s="86">
        <f>GDPdeflator!$C$38*INDEX(Costs!$E$7:$O$89,MATCH($C398,Costs!$C$7:$C$89,0),MATCH(G$7,Costs!$E$6:$O$6,0))</f>
        <v>26.230076950915223</v>
      </c>
      <c r="H398" s="86">
        <f>GDPdeflator!$C$38*INDEX(Costs!$E$7:$O$89,MATCH($C398,Costs!$C$7:$C$89,0),MATCH(H$7,Costs!$E$6:$O$6,0))</f>
        <v>27.044838860212188</v>
      </c>
      <c r="I398" s="86">
        <f>GDPdeflator!$C$38*INDEX(Costs!$E$7:$O$89,MATCH($C398,Costs!$C$7:$C$89,0),MATCH(I$7,Costs!$E$6:$O$6,0))</f>
        <v>28.052340145901987</v>
      </c>
      <c r="J398" s="86">
        <f>GDPdeflator!$C$38*INDEX(Costs!$E$7:$O$89,MATCH($C398,Costs!$C$7:$C$89,0),MATCH(J$7,Costs!$E$6:$O$6,0))</f>
        <v>28.069861907392237</v>
      </c>
      <c r="K398" s="86">
        <f>GDPdeflator!$C$38*INDEX(Costs!$E$7:$O$89,MATCH($C398,Costs!$C$7:$C$89,0),MATCH(K$7,Costs!$E$6:$O$6,0))</f>
        <v>28.087383668882499</v>
      </c>
      <c r="L398" s="86">
        <f>GDPdeflator!$C$38*INDEX(Costs!$E$7:$O$89,MATCH($C398,Costs!$C$7:$C$89,0),MATCH(L$7,Costs!$E$6:$O$6,0))</f>
        <v>28.122427191863014</v>
      </c>
      <c r="M398" s="86">
        <f>GDPdeflator!$C$38*INDEX(Costs!$E$7:$O$89,MATCH($C398,Costs!$C$7:$C$89,0),MATCH(M$7,Costs!$E$6:$O$6,0))</f>
        <v>28.122427191863014</v>
      </c>
      <c r="N398" s="86">
        <f>GDPdeflator!$C$38*INDEX(Costs!$E$7:$O$89,MATCH($C398,Costs!$C$7:$C$89,0),MATCH(N$7,Costs!$E$6:$O$6,0))</f>
        <v>28.122427191863014</v>
      </c>
      <c r="O398" s="86">
        <f>GDPdeflator!$C$38*INDEX(Costs!$E$7:$O$89,MATCH($C398,Costs!$C$7:$C$89,0),MATCH(O$7,Costs!$E$6:$O$6,0))</f>
        <v>28.122427191863014</v>
      </c>
      <c r="P398" s="87">
        <f t="shared" si="202"/>
        <v>1612.8577560249787</v>
      </c>
      <c r="Q398" s="87">
        <f t="shared" si="203"/>
        <v>1680.645657799872</v>
      </c>
      <c r="R398" s="87">
        <f t="shared" si="204"/>
        <v>2190.1628347029268</v>
      </c>
      <c r="S398" s="87">
        <f t="shared" si="205"/>
        <v>2258.1939447989098</v>
      </c>
      <c r="T398" s="87">
        <f t="shared" si="206"/>
        <v>2342.3184357778132</v>
      </c>
      <c r="U398" s="87">
        <f t="shared" si="207"/>
        <v>2343.7814704035327</v>
      </c>
      <c r="V398" s="87">
        <f t="shared" si="208"/>
        <v>2345.2445050292531</v>
      </c>
      <c r="W398" s="87">
        <f t="shared" si="209"/>
        <v>2348.170574280693</v>
      </c>
      <c r="X398" s="87">
        <f t="shared" si="210"/>
        <v>2348.170574280693</v>
      </c>
      <c r="Y398" s="87">
        <f t="shared" si="211"/>
        <v>2348.170574280693</v>
      </c>
      <c r="Z398" s="87">
        <f t="shared" si="212"/>
        <v>2348.170574280693</v>
      </c>
      <c r="AA398" s="88">
        <v>500</v>
      </c>
      <c r="AB398" s="89">
        <f>AA398*GDPdeflator!$C$25/$AI$18*10^3</f>
        <v>48.0747492686653</v>
      </c>
      <c r="AC398" s="90" t="e">
        <f>INDEX(Efficiencies!$D$8:$M$89,MATCH(C398,Efficiencies!$C$8:$C$89),MATCH(D398,Efficiencies!$D$7:$M$7))</f>
        <v>#REF!</v>
      </c>
      <c r="AD398" s="90" t="e">
        <f t="shared" si="196"/>
        <v>#REF!</v>
      </c>
      <c r="AE398" s="90" t="e">
        <f>INDEX(Efficiencies!$P$8:$Y$89,MATCH(C398,Efficiencies!$C$8:$C$89),MATCH(D398,Efficiencies!$P$7:$Y$7))</f>
        <v>#REF!</v>
      </c>
      <c r="AF398" s="90" t="e">
        <f t="shared" si="199"/>
        <v>#REF!</v>
      </c>
      <c r="AG398" s="90">
        <v>0</v>
      </c>
    </row>
    <row r="399" spans="1:33" x14ac:dyDescent="0.2">
      <c r="A399" s="92" t="s">
        <v>1603</v>
      </c>
      <c r="B399" s="248" t="s">
        <v>1604</v>
      </c>
      <c r="C399" s="40" t="s">
        <v>1584</v>
      </c>
      <c r="D399" s="40">
        <v>2050</v>
      </c>
      <c r="E399" s="86">
        <f>GDPdeflator!$C$32*INDEX(Costs!$E$7:$O$89,MATCH($C399,Costs!$C$7:$C$89,0),MATCH(E$7,Costs!$E$6:$O$6,0))</f>
        <v>19.316090283832221</v>
      </c>
      <c r="F399" s="86">
        <f>GDPdeflator!$C$36*INDEX(Costs!$E$7:$O$89,MATCH($C399,Costs!$C$7:$C$89,0),MATCH(F$7,Costs!$E$6:$O$6,0))</f>
        <v>20.127939454004864</v>
      </c>
      <c r="G399" s="86">
        <f>GDPdeflator!$C$38*INDEX(Costs!$E$7:$O$89,MATCH($C399,Costs!$C$7:$C$89,0),MATCH(G$7,Costs!$E$6:$O$6,0))</f>
        <v>26.230076950915223</v>
      </c>
      <c r="H399" s="86">
        <f>GDPdeflator!$C$38*INDEX(Costs!$E$7:$O$89,MATCH($C399,Costs!$C$7:$C$89,0),MATCH(H$7,Costs!$E$6:$O$6,0))</f>
        <v>27.044838860212188</v>
      </c>
      <c r="I399" s="86">
        <f>GDPdeflator!$C$38*INDEX(Costs!$E$7:$O$89,MATCH($C399,Costs!$C$7:$C$89,0),MATCH(I$7,Costs!$E$6:$O$6,0))</f>
        <v>28.052340145901987</v>
      </c>
      <c r="J399" s="86">
        <f>GDPdeflator!$C$38*INDEX(Costs!$E$7:$O$89,MATCH($C399,Costs!$C$7:$C$89,0),MATCH(J$7,Costs!$E$6:$O$6,0))</f>
        <v>28.069861907392237</v>
      </c>
      <c r="K399" s="86">
        <f>GDPdeflator!$C$38*INDEX(Costs!$E$7:$O$89,MATCH($C399,Costs!$C$7:$C$89,0),MATCH(K$7,Costs!$E$6:$O$6,0))</f>
        <v>28.087383668882499</v>
      </c>
      <c r="L399" s="86">
        <f>GDPdeflator!$C$38*INDEX(Costs!$E$7:$O$89,MATCH($C399,Costs!$C$7:$C$89,0),MATCH(L$7,Costs!$E$6:$O$6,0))</f>
        <v>28.122427191863014</v>
      </c>
      <c r="M399" s="86">
        <f>GDPdeflator!$C$38*INDEX(Costs!$E$7:$O$89,MATCH($C399,Costs!$C$7:$C$89,0),MATCH(M$7,Costs!$E$6:$O$6,0))</f>
        <v>28.122427191863014</v>
      </c>
      <c r="N399" s="86">
        <f>GDPdeflator!$C$38*INDEX(Costs!$E$7:$O$89,MATCH($C399,Costs!$C$7:$C$89,0),MATCH(N$7,Costs!$E$6:$O$6,0))</f>
        <v>28.122427191863014</v>
      </c>
      <c r="O399" s="86">
        <f>GDPdeflator!$C$38*INDEX(Costs!$E$7:$O$89,MATCH($C399,Costs!$C$7:$C$89,0),MATCH(O$7,Costs!$E$6:$O$6,0))</f>
        <v>28.122427191863014</v>
      </c>
      <c r="P399" s="87">
        <f t="shared" si="202"/>
        <v>1612.8577560249787</v>
      </c>
      <c r="Q399" s="87">
        <f t="shared" si="203"/>
        <v>1680.645657799872</v>
      </c>
      <c r="R399" s="87">
        <f t="shared" si="204"/>
        <v>2190.1628347029268</v>
      </c>
      <c r="S399" s="87">
        <f t="shared" si="205"/>
        <v>2258.1939447989098</v>
      </c>
      <c r="T399" s="87">
        <f t="shared" si="206"/>
        <v>2342.3184357778132</v>
      </c>
      <c r="U399" s="87">
        <f t="shared" si="207"/>
        <v>2343.7814704035327</v>
      </c>
      <c r="V399" s="87">
        <f t="shared" si="208"/>
        <v>2345.2445050292531</v>
      </c>
      <c r="W399" s="87">
        <f t="shared" si="209"/>
        <v>2348.170574280693</v>
      </c>
      <c r="X399" s="87">
        <f t="shared" si="210"/>
        <v>2348.170574280693</v>
      </c>
      <c r="Y399" s="87">
        <f t="shared" si="211"/>
        <v>2348.170574280693</v>
      </c>
      <c r="Z399" s="87">
        <f t="shared" si="212"/>
        <v>2348.170574280693</v>
      </c>
      <c r="AA399" s="88">
        <v>500</v>
      </c>
      <c r="AB399" s="89">
        <f>AA399*GDPdeflator!$C$25/$AI$18*10^3</f>
        <v>48.0747492686653</v>
      </c>
      <c r="AC399" s="90" t="e">
        <f>INDEX(Efficiencies!$D$8:$M$89,MATCH(C399,Efficiencies!$C$8:$C$89),MATCH(D399,Efficiencies!$D$7:$M$7))</f>
        <v>#REF!</v>
      </c>
      <c r="AD399" s="90" t="e">
        <f t="shared" si="196"/>
        <v>#REF!</v>
      </c>
      <c r="AE399" s="90" t="e">
        <f>INDEX(Efficiencies!$P$8:$Y$89,MATCH(C399,Efficiencies!$C$8:$C$89),MATCH(D399,Efficiencies!$P$7:$Y$7))</f>
        <v>#REF!</v>
      </c>
      <c r="AF399" s="90" t="e">
        <f t="shared" si="199"/>
        <v>#REF!</v>
      </c>
      <c r="AG399" s="90">
        <v>0</v>
      </c>
    </row>
    <row r="400" spans="1:33" hidden="1" x14ac:dyDescent="0.2">
      <c r="A400" s="92" t="s">
        <v>1605</v>
      </c>
      <c r="B400" s="248" t="s">
        <v>1606</v>
      </c>
      <c r="C400" s="40" t="s">
        <v>1607</v>
      </c>
      <c r="D400" s="40">
        <v>2060</v>
      </c>
      <c r="E400" s="86">
        <f>GDPdeflator!$C$32*INDEX(Costs!$E$7:$O$89,MATCH($C400,Costs!$C$7:$C$89,0),MATCH(E$7,Costs!$E$6:$O$6,0))</f>
        <v>27.414511285479026</v>
      </c>
      <c r="F400" s="86">
        <f>GDPdeflator!$C$36*INDEX(Costs!$E$7:$O$89,MATCH($C400,Costs!$C$7:$C$89,0),MATCH(F$7,Costs!$E$6:$O$6,0))</f>
        <v>28.741328047571852</v>
      </c>
      <c r="G400" s="86">
        <f>GDPdeflator!$C$38*INDEX(Costs!$E$7:$O$89,MATCH($C400,Costs!$C$7:$C$89,0),MATCH(G$7,Costs!$E$6:$O$6,0))</f>
        <v>35.131131787965941</v>
      </c>
      <c r="H400" s="86">
        <f>GDPdeflator!$C$38*INDEX(Costs!$E$7:$O$89,MATCH($C400,Costs!$C$7:$C$89,0),MATCH(H$7,Costs!$E$6:$O$6,0))</f>
        <v>35.805719605340848</v>
      </c>
      <c r="I400" s="86">
        <f>GDPdeflator!$C$38*INDEX(Costs!$E$7:$O$89,MATCH($C400,Costs!$C$7:$C$89,0),MATCH(I$7,Costs!$E$6:$O$6,0))</f>
        <v>36.786938248795259</v>
      </c>
      <c r="J400" s="86">
        <f>GDPdeflator!$C$38*INDEX(Costs!$E$7:$O$89,MATCH($C400,Costs!$C$7:$C$89,0),MATCH(J$7,Costs!$E$6:$O$6,0))</f>
        <v>36.821981771775775</v>
      </c>
      <c r="K400" s="86">
        <f>GDPdeflator!$C$38*INDEX(Costs!$E$7:$O$89,MATCH($C400,Costs!$C$7:$C$89,0),MATCH(K$7,Costs!$E$6:$O$6,0))</f>
        <v>36.839503533266033</v>
      </c>
      <c r="L400" s="86">
        <f>GDPdeflator!$C$38*INDEX(Costs!$E$7:$O$89,MATCH($C400,Costs!$C$7:$C$89,0),MATCH(L$7,Costs!$E$6:$O$6,0))</f>
        <v>36.86578617550142</v>
      </c>
      <c r="M400" s="86">
        <f>GDPdeflator!$C$38*INDEX(Costs!$E$7:$O$89,MATCH($C400,Costs!$C$7:$C$89,0),MATCH(M$7,Costs!$E$6:$O$6,0))</f>
        <v>36.86578617550142</v>
      </c>
      <c r="N400" s="86">
        <f>GDPdeflator!$C$38*INDEX(Costs!$E$7:$O$89,MATCH($C400,Costs!$C$7:$C$89,0),MATCH(N$7,Costs!$E$6:$O$6,0))</f>
        <v>36.86578617550142</v>
      </c>
      <c r="O400" s="86">
        <f>GDPdeflator!$C$38*INDEX(Costs!$E$7:$O$89,MATCH($C400,Costs!$C$7:$C$89,0),MATCH(O$7,Costs!$E$6:$O$6,0))</f>
        <v>36.86578617550142</v>
      </c>
      <c r="P400" s="87">
        <f>E400/$AI$18*10^6</f>
        <v>2289.0609074978379</v>
      </c>
      <c r="Q400" s="87">
        <f t="shared" si="203"/>
        <v>2399.8476492307927</v>
      </c>
      <c r="R400" s="87">
        <f t="shared" si="204"/>
        <v>2933.384424568716</v>
      </c>
      <c r="S400" s="87">
        <f t="shared" si="205"/>
        <v>2989.7112576589379</v>
      </c>
      <c r="T400" s="87">
        <f t="shared" si="206"/>
        <v>3071.6411966992614</v>
      </c>
      <c r="U400" s="87">
        <f t="shared" si="207"/>
        <v>3074.5672659507018</v>
      </c>
      <c r="V400" s="87">
        <f t="shared" si="208"/>
        <v>3076.0303005764217</v>
      </c>
      <c r="W400" s="87">
        <f t="shared" si="209"/>
        <v>3078.2248525150017</v>
      </c>
      <c r="X400" s="87">
        <f t="shared" si="210"/>
        <v>3078.2248525150017</v>
      </c>
      <c r="Y400" s="87">
        <f t="shared" si="211"/>
        <v>3078.2248525150017</v>
      </c>
      <c r="Z400" s="87">
        <f t="shared" si="212"/>
        <v>3078.2248525150017</v>
      </c>
      <c r="AA400" s="88">
        <v>500</v>
      </c>
      <c r="AB400" s="89">
        <f>AA400*GDPdeflator!$C$25/$AI$18*10^3</f>
        <v>48.0747492686653</v>
      </c>
      <c r="AC400" s="90" t="e">
        <f>INDEX(Efficiencies!$D$8:$M$89,MATCH(C400,Efficiencies!$C$8:$C$89),MATCH(D400,Efficiencies!$D$7:$M$7))</f>
        <v>#REF!</v>
      </c>
      <c r="AD400" s="90" t="e">
        <f t="shared" ref="AD400:AD463" si="213">AC400/($AI$11*$AI$15*10 ^ 9)</f>
        <v>#REF!</v>
      </c>
      <c r="AE400" s="90" t="e">
        <f>INDEX(Efficiencies!$P$8:$Y$89,MATCH(C400,Efficiencies!$C$8:$C$89),MATCH(D400,Efficiencies!$P$7:$Y$7))</f>
        <v>#REF!</v>
      </c>
      <c r="AF400" s="90" t="e">
        <f t="shared" si="199"/>
        <v>#REF!</v>
      </c>
      <c r="AG400" s="90">
        <v>0</v>
      </c>
    </row>
    <row r="401" spans="1:33" hidden="1" x14ac:dyDescent="0.2">
      <c r="A401" s="92" t="s">
        <v>1608</v>
      </c>
      <c r="B401" s="248" t="s">
        <v>1609</v>
      </c>
      <c r="C401" s="40" t="s">
        <v>1607</v>
      </c>
      <c r="D401" s="40">
        <v>2005</v>
      </c>
      <c r="E401" s="86">
        <f>GDPdeflator!$C$32*INDEX(Costs!$E$7:$O$89,MATCH($C401,Costs!$C$7:$C$89,0),MATCH(E$7,Costs!$E$6:$O$6,0))</f>
        <v>27.414511285479026</v>
      </c>
      <c r="F401" s="86">
        <f>GDPdeflator!$C$36*INDEX(Costs!$E$7:$O$89,MATCH($C401,Costs!$C$7:$C$89,0),MATCH(F$7,Costs!$E$6:$O$6,0))</f>
        <v>28.741328047571852</v>
      </c>
      <c r="G401" s="86">
        <f>GDPdeflator!$C$38*INDEX(Costs!$E$7:$O$89,MATCH($C401,Costs!$C$7:$C$89,0),MATCH(G$7,Costs!$E$6:$O$6,0))</f>
        <v>35.131131787965941</v>
      </c>
      <c r="H401" s="86">
        <f>GDPdeflator!$C$38*INDEX(Costs!$E$7:$O$89,MATCH($C401,Costs!$C$7:$C$89,0),MATCH(H$7,Costs!$E$6:$O$6,0))</f>
        <v>35.805719605340848</v>
      </c>
      <c r="I401" s="86">
        <f>GDPdeflator!$C$38*INDEX(Costs!$E$7:$O$89,MATCH($C401,Costs!$C$7:$C$89,0),MATCH(I$7,Costs!$E$6:$O$6,0))</f>
        <v>36.786938248795259</v>
      </c>
      <c r="J401" s="86">
        <f>GDPdeflator!$C$38*INDEX(Costs!$E$7:$O$89,MATCH($C401,Costs!$C$7:$C$89,0),MATCH(J$7,Costs!$E$6:$O$6,0))</f>
        <v>36.821981771775775</v>
      </c>
      <c r="K401" s="86">
        <f>GDPdeflator!$C$38*INDEX(Costs!$E$7:$O$89,MATCH($C401,Costs!$C$7:$C$89,0),MATCH(K$7,Costs!$E$6:$O$6,0))</f>
        <v>36.839503533266033</v>
      </c>
      <c r="L401" s="86">
        <f>GDPdeflator!$C$38*INDEX(Costs!$E$7:$O$89,MATCH($C401,Costs!$C$7:$C$89,0),MATCH(L$7,Costs!$E$6:$O$6,0))</f>
        <v>36.86578617550142</v>
      </c>
      <c r="M401" s="86">
        <f>GDPdeflator!$C$38*INDEX(Costs!$E$7:$O$89,MATCH($C401,Costs!$C$7:$C$89,0),MATCH(M$7,Costs!$E$6:$O$6,0))</f>
        <v>36.86578617550142</v>
      </c>
      <c r="N401" s="86">
        <f>GDPdeflator!$C$38*INDEX(Costs!$E$7:$O$89,MATCH($C401,Costs!$C$7:$C$89,0),MATCH(N$7,Costs!$E$6:$O$6,0))</f>
        <v>36.86578617550142</v>
      </c>
      <c r="O401" s="86">
        <f>GDPdeflator!$C$38*INDEX(Costs!$E$7:$O$89,MATCH($C401,Costs!$C$7:$C$89,0),MATCH(O$7,Costs!$E$6:$O$6,0))</f>
        <v>36.86578617550142</v>
      </c>
      <c r="P401" s="87">
        <f t="shared" ref="P401:P410" si="214">E401/$AI$18*10^6</f>
        <v>2289.0609074978379</v>
      </c>
      <c r="Q401" s="87">
        <f t="shared" si="203"/>
        <v>2399.8476492307927</v>
      </c>
      <c r="R401" s="87">
        <f t="shared" si="204"/>
        <v>2933.384424568716</v>
      </c>
      <c r="S401" s="87">
        <f t="shared" si="205"/>
        <v>2989.7112576589379</v>
      </c>
      <c r="T401" s="87">
        <f t="shared" si="206"/>
        <v>3071.6411966992614</v>
      </c>
      <c r="U401" s="87">
        <f t="shared" si="207"/>
        <v>3074.5672659507018</v>
      </c>
      <c r="V401" s="87">
        <f t="shared" si="208"/>
        <v>3076.0303005764217</v>
      </c>
      <c r="W401" s="87">
        <f t="shared" si="209"/>
        <v>3078.2248525150017</v>
      </c>
      <c r="X401" s="87">
        <f t="shared" si="210"/>
        <v>3078.2248525150017</v>
      </c>
      <c r="Y401" s="87">
        <f t="shared" si="211"/>
        <v>3078.2248525150017</v>
      </c>
      <c r="Z401" s="87">
        <f t="shared" si="212"/>
        <v>3078.2248525150017</v>
      </c>
      <c r="AA401" s="88">
        <v>500</v>
      </c>
      <c r="AB401" s="89">
        <f>AA401*GDPdeflator!$C$25/$AI$18*10^3</f>
        <v>48.0747492686653</v>
      </c>
      <c r="AC401" s="90" t="e">
        <f>INDEX(Efficiencies!$D$8:$M$89,MATCH(C401,Efficiencies!$C$8:$C$89),MATCH(D401,Efficiencies!$D$7:$M$7))</f>
        <v>#REF!</v>
      </c>
      <c r="AD401" s="90" t="e">
        <f t="shared" si="213"/>
        <v>#REF!</v>
      </c>
      <c r="AE401" s="90" t="e">
        <f>INDEX(Efficiencies!$P$8:$Y$89,MATCH(C401,Efficiencies!$C$8:$C$89),MATCH(D401,Efficiencies!$P$7:$Y$7))</f>
        <v>#REF!</v>
      </c>
      <c r="AF401" s="90" t="e">
        <f t="shared" si="199"/>
        <v>#REF!</v>
      </c>
      <c r="AG401" s="90">
        <v>0</v>
      </c>
    </row>
    <row r="402" spans="1:33" hidden="1" x14ac:dyDescent="0.2">
      <c r="A402" s="92" t="s">
        <v>1610</v>
      </c>
      <c r="B402" s="248" t="s">
        <v>1611</v>
      </c>
      <c r="C402" s="40" t="s">
        <v>1607</v>
      </c>
      <c r="D402" s="40">
        <v>2010</v>
      </c>
      <c r="E402" s="86">
        <f>GDPdeflator!$C$32*INDEX(Costs!$E$7:$O$89,MATCH($C402,Costs!$C$7:$C$89,0),MATCH(E$7,Costs!$E$6:$O$6,0))</f>
        <v>27.414511285479026</v>
      </c>
      <c r="F402" s="86">
        <f>GDPdeflator!$C$36*INDEX(Costs!$E$7:$O$89,MATCH($C402,Costs!$C$7:$C$89,0),MATCH(F$7,Costs!$E$6:$O$6,0))</f>
        <v>28.741328047571852</v>
      </c>
      <c r="G402" s="86">
        <f>GDPdeflator!$C$38*INDEX(Costs!$E$7:$O$89,MATCH($C402,Costs!$C$7:$C$89,0),MATCH(G$7,Costs!$E$6:$O$6,0))</f>
        <v>35.131131787965941</v>
      </c>
      <c r="H402" s="86">
        <f>GDPdeflator!$C$38*INDEX(Costs!$E$7:$O$89,MATCH($C402,Costs!$C$7:$C$89,0),MATCH(H$7,Costs!$E$6:$O$6,0))</f>
        <v>35.805719605340848</v>
      </c>
      <c r="I402" s="86">
        <f>GDPdeflator!$C$38*INDEX(Costs!$E$7:$O$89,MATCH($C402,Costs!$C$7:$C$89,0),MATCH(I$7,Costs!$E$6:$O$6,0))</f>
        <v>36.786938248795259</v>
      </c>
      <c r="J402" s="86">
        <f>GDPdeflator!$C$38*INDEX(Costs!$E$7:$O$89,MATCH($C402,Costs!$C$7:$C$89,0),MATCH(J$7,Costs!$E$6:$O$6,0))</f>
        <v>36.821981771775775</v>
      </c>
      <c r="K402" s="86">
        <f>GDPdeflator!$C$38*INDEX(Costs!$E$7:$O$89,MATCH($C402,Costs!$C$7:$C$89,0),MATCH(K$7,Costs!$E$6:$O$6,0))</f>
        <v>36.839503533266033</v>
      </c>
      <c r="L402" s="86">
        <f>GDPdeflator!$C$38*INDEX(Costs!$E$7:$O$89,MATCH($C402,Costs!$C$7:$C$89,0),MATCH(L$7,Costs!$E$6:$O$6,0))</f>
        <v>36.86578617550142</v>
      </c>
      <c r="M402" s="86">
        <f>GDPdeflator!$C$38*INDEX(Costs!$E$7:$O$89,MATCH($C402,Costs!$C$7:$C$89,0),MATCH(M$7,Costs!$E$6:$O$6,0))</f>
        <v>36.86578617550142</v>
      </c>
      <c r="N402" s="86">
        <f>GDPdeflator!$C$38*INDEX(Costs!$E$7:$O$89,MATCH($C402,Costs!$C$7:$C$89,0),MATCH(N$7,Costs!$E$6:$O$6,0))</f>
        <v>36.86578617550142</v>
      </c>
      <c r="O402" s="86">
        <f>GDPdeflator!$C$38*INDEX(Costs!$E$7:$O$89,MATCH($C402,Costs!$C$7:$C$89,0),MATCH(O$7,Costs!$E$6:$O$6,0))</f>
        <v>36.86578617550142</v>
      </c>
      <c r="P402" s="87">
        <f t="shared" si="214"/>
        <v>2289.0609074978379</v>
      </c>
      <c r="Q402" s="87">
        <f t="shared" si="203"/>
        <v>2399.8476492307927</v>
      </c>
      <c r="R402" s="87">
        <f t="shared" si="204"/>
        <v>2933.384424568716</v>
      </c>
      <c r="S402" s="87">
        <f t="shared" si="205"/>
        <v>2989.7112576589379</v>
      </c>
      <c r="T402" s="87">
        <f t="shared" si="206"/>
        <v>3071.6411966992614</v>
      </c>
      <c r="U402" s="87">
        <f t="shared" si="207"/>
        <v>3074.5672659507018</v>
      </c>
      <c r="V402" s="87">
        <f t="shared" si="208"/>
        <v>3076.0303005764217</v>
      </c>
      <c r="W402" s="87">
        <f t="shared" si="209"/>
        <v>3078.2248525150017</v>
      </c>
      <c r="X402" s="87">
        <f t="shared" si="210"/>
        <v>3078.2248525150017</v>
      </c>
      <c r="Y402" s="87">
        <f t="shared" si="211"/>
        <v>3078.2248525150017</v>
      </c>
      <c r="Z402" s="87">
        <f t="shared" si="212"/>
        <v>3078.2248525150017</v>
      </c>
      <c r="AA402" s="88">
        <v>500</v>
      </c>
      <c r="AB402" s="89">
        <f>AA402*GDPdeflator!$C$25/$AI$18*10^3</f>
        <v>48.0747492686653</v>
      </c>
      <c r="AC402" s="90" t="e">
        <f>INDEX(Efficiencies!$D$8:$M$89,MATCH(C402,Efficiencies!$C$8:$C$89),MATCH(D402,Efficiencies!$D$7:$M$7))</f>
        <v>#REF!</v>
      </c>
      <c r="AD402" s="90" t="e">
        <f t="shared" si="213"/>
        <v>#REF!</v>
      </c>
      <c r="AE402" s="90" t="e">
        <f>INDEX(Efficiencies!$P$8:$Y$89,MATCH(C402,Efficiencies!$C$8:$C$89),MATCH(D402,Efficiencies!$P$7:$Y$7))</f>
        <v>#REF!</v>
      </c>
      <c r="AF402" s="90" t="e">
        <f t="shared" si="199"/>
        <v>#REF!</v>
      </c>
      <c r="AG402" s="90">
        <v>0</v>
      </c>
    </row>
    <row r="403" spans="1:33" hidden="1" x14ac:dyDescent="0.2">
      <c r="A403" s="92" t="s">
        <v>1612</v>
      </c>
      <c r="B403" s="248" t="s">
        <v>1613</v>
      </c>
      <c r="C403" s="40" t="s">
        <v>1607</v>
      </c>
      <c r="D403" s="40">
        <v>2015</v>
      </c>
      <c r="E403" s="86">
        <f>GDPdeflator!$C$32*INDEX(Costs!$E$7:$O$89,MATCH($C403,Costs!$C$7:$C$89,0),MATCH(E$7,Costs!$E$6:$O$6,0))</f>
        <v>27.414511285479026</v>
      </c>
      <c r="F403" s="86">
        <f>GDPdeflator!$C$36*INDEX(Costs!$E$7:$O$89,MATCH($C403,Costs!$C$7:$C$89,0),MATCH(F$7,Costs!$E$6:$O$6,0))</f>
        <v>28.741328047571852</v>
      </c>
      <c r="G403" s="86">
        <f>GDPdeflator!$C$38*INDEX(Costs!$E$7:$O$89,MATCH($C403,Costs!$C$7:$C$89,0),MATCH(G$7,Costs!$E$6:$O$6,0))</f>
        <v>35.131131787965941</v>
      </c>
      <c r="H403" s="86">
        <f>GDPdeflator!$C$38*INDEX(Costs!$E$7:$O$89,MATCH($C403,Costs!$C$7:$C$89,0),MATCH(H$7,Costs!$E$6:$O$6,0))</f>
        <v>35.805719605340848</v>
      </c>
      <c r="I403" s="86">
        <f>GDPdeflator!$C$38*INDEX(Costs!$E$7:$O$89,MATCH($C403,Costs!$C$7:$C$89,0),MATCH(I$7,Costs!$E$6:$O$6,0))</f>
        <v>36.786938248795259</v>
      </c>
      <c r="J403" s="86">
        <f>GDPdeflator!$C$38*INDEX(Costs!$E$7:$O$89,MATCH($C403,Costs!$C$7:$C$89,0),MATCH(J$7,Costs!$E$6:$O$6,0))</f>
        <v>36.821981771775775</v>
      </c>
      <c r="K403" s="86">
        <f>GDPdeflator!$C$38*INDEX(Costs!$E$7:$O$89,MATCH($C403,Costs!$C$7:$C$89,0),MATCH(K$7,Costs!$E$6:$O$6,0))</f>
        <v>36.839503533266033</v>
      </c>
      <c r="L403" s="86">
        <f>GDPdeflator!$C$38*INDEX(Costs!$E$7:$O$89,MATCH($C403,Costs!$C$7:$C$89,0),MATCH(L$7,Costs!$E$6:$O$6,0))</f>
        <v>36.86578617550142</v>
      </c>
      <c r="M403" s="86">
        <f>GDPdeflator!$C$38*INDEX(Costs!$E$7:$O$89,MATCH($C403,Costs!$C$7:$C$89,0),MATCH(M$7,Costs!$E$6:$O$6,0))</f>
        <v>36.86578617550142</v>
      </c>
      <c r="N403" s="86">
        <f>GDPdeflator!$C$38*INDEX(Costs!$E$7:$O$89,MATCH($C403,Costs!$C$7:$C$89,0),MATCH(N$7,Costs!$E$6:$O$6,0))</f>
        <v>36.86578617550142</v>
      </c>
      <c r="O403" s="86">
        <f>GDPdeflator!$C$38*INDEX(Costs!$E$7:$O$89,MATCH($C403,Costs!$C$7:$C$89,0),MATCH(O$7,Costs!$E$6:$O$6,0))</f>
        <v>36.86578617550142</v>
      </c>
      <c r="P403" s="87">
        <f t="shared" si="214"/>
        <v>2289.0609074978379</v>
      </c>
      <c r="Q403" s="87">
        <f t="shared" si="203"/>
        <v>2399.8476492307927</v>
      </c>
      <c r="R403" s="87">
        <f t="shared" si="204"/>
        <v>2933.384424568716</v>
      </c>
      <c r="S403" s="87">
        <f t="shared" si="205"/>
        <v>2989.7112576589379</v>
      </c>
      <c r="T403" s="87">
        <f t="shared" si="206"/>
        <v>3071.6411966992614</v>
      </c>
      <c r="U403" s="87">
        <f t="shared" si="207"/>
        <v>3074.5672659507018</v>
      </c>
      <c r="V403" s="87">
        <f t="shared" si="208"/>
        <v>3076.0303005764217</v>
      </c>
      <c r="W403" s="87">
        <f t="shared" si="209"/>
        <v>3078.2248525150017</v>
      </c>
      <c r="X403" s="87">
        <f t="shared" si="210"/>
        <v>3078.2248525150017</v>
      </c>
      <c r="Y403" s="87">
        <f t="shared" si="211"/>
        <v>3078.2248525150017</v>
      </c>
      <c r="Z403" s="87">
        <f t="shared" si="212"/>
        <v>3078.2248525150017</v>
      </c>
      <c r="AA403" s="88">
        <v>500</v>
      </c>
      <c r="AB403" s="89">
        <f>AA403*GDPdeflator!$C$25/$AI$18*10^3</f>
        <v>48.0747492686653</v>
      </c>
      <c r="AC403" s="90" t="e">
        <f>INDEX(Efficiencies!$D$8:$M$89,MATCH(C403,Efficiencies!$C$8:$C$89),MATCH(D403,Efficiencies!$D$7:$M$7))</f>
        <v>#REF!</v>
      </c>
      <c r="AD403" s="90" t="e">
        <f t="shared" si="213"/>
        <v>#REF!</v>
      </c>
      <c r="AE403" s="90" t="e">
        <f>INDEX(Efficiencies!$P$8:$Y$89,MATCH(C403,Efficiencies!$C$8:$C$89),MATCH(D403,Efficiencies!$P$7:$Y$7))</f>
        <v>#REF!</v>
      </c>
      <c r="AF403" s="90" t="e">
        <f t="shared" si="199"/>
        <v>#REF!</v>
      </c>
      <c r="AG403" s="90">
        <v>0</v>
      </c>
    </row>
    <row r="404" spans="1:33" hidden="1" x14ac:dyDescent="0.2">
      <c r="A404" s="92" t="s">
        <v>1614</v>
      </c>
      <c r="B404" s="248" t="s">
        <v>1615</v>
      </c>
      <c r="C404" s="40" t="s">
        <v>1607</v>
      </c>
      <c r="D404" s="40">
        <v>2020</v>
      </c>
      <c r="E404" s="86">
        <f>GDPdeflator!$C$32*INDEX(Costs!$E$7:$O$89,MATCH($C404,Costs!$C$7:$C$89,0),MATCH(E$7,Costs!$E$6:$O$6,0))</f>
        <v>27.414511285479026</v>
      </c>
      <c r="F404" s="86">
        <f>GDPdeflator!$C$36*INDEX(Costs!$E$7:$O$89,MATCH($C404,Costs!$C$7:$C$89,0),MATCH(F$7,Costs!$E$6:$O$6,0))</f>
        <v>28.741328047571852</v>
      </c>
      <c r="G404" s="86">
        <f>GDPdeflator!$C$38*INDEX(Costs!$E$7:$O$89,MATCH($C404,Costs!$C$7:$C$89,0),MATCH(G$7,Costs!$E$6:$O$6,0))</f>
        <v>35.131131787965941</v>
      </c>
      <c r="H404" s="86">
        <f>GDPdeflator!$C$38*INDEX(Costs!$E$7:$O$89,MATCH($C404,Costs!$C$7:$C$89,0),MATCH(H$7,Costs!$E$6:$O$6,0))</f>
        <v>35.805719605340848</v>
      </c>
      <c r="I404" s="86">
        <f>GDPdeflator!$C$38*INDEX(Costs!$E$7:$O$89,MATCH($C404,Costs!$C$7:$C$89,0),MATCH(I$7,Costs!$E$6:$O$6,0))</f>
        <v>36.786938248795259</v>
      </c>
      <c r="J404" s="86">
        <f>GDPdeflator!$C$38*INDEX(Costs!$E$7:$O$89,MATCH($C404,Costs!$C$7:$C$89,0),MATCH(J$7,Costs!$E$6:$O$6,0))</f>
        <v>36.821981771775775</v>
      </c>
      <c r="K404" s="86">
        <f>GDPdeflator!$C$38*INDEX(Costs!$E$7:$O$89,MATCH($C404,Costs!$C$7:$C$89,0),MATCH(K$7,Costs!$E$6:$O$6,0))</f>
        <v>36.839503533266033</v>
      </c>
      <c r="L404" s="86">
        <f>GDPdeflator!$C$38*INDEX(Costs!$E$7:$O$89,MATCH($C404,Costs!$C$7:$C$89,0),MATCH(L$7,Costs!$E$6:$O$6,0))</f>
        <v>36.86578617550142</v>
      </c>
      <c r="M404" s="86">
        <f>GDPdeflator!$C$38*INDEX(Costs!$E$7:$O$89,MATCH($C404,Costs!$C$7:$C$89,0),MATCH(M$7,Costs!$E$6:$O$6,0))</f>
        <v>36.86578617550142</v>
      </c>
      <c r="N404" s="86">
        <f>GDPdeflator!$C$38*INDEX(Costs!$E$7:$O$89,MATCH($C404,Costs!$C$7:$C$89,0),MATCH(N$7,Costs!$E$6:$O$6,0))</f>
        <v>36.86578617550142</v>
      </c>
      <c r="O404" s="86">
        <f>GDPdeflator!$C$38*INDEX(Costs!$E$7:$O$89,MATCH($C404,Costs!$C$7:$C$89,0),MATCH(O$7,Costs!$E$6:$O$6,0))</f>
        <v>36.86578617550142</v>
      </c>
      <c r="P404" s="87">
        <f t="shared" si="214"/>
        <v>2289.0609074978379</v>
      </c>
      <c r="Q404" s="87">
        <f t="shared" si="203"/>
        <v>2399.8476492307927</v>
      </c>
      <c r="R404" s="87">
        <f t="shared" si="204"/>
        <v>2933.384424568716</v>
      </c>
      <c r="S404" s="87">
        <f t="shared" si="205"/>
        <v>2989.7112576589379</v>
      </c>
      <c r="T404" s="87">
        <f t="shared" si="206"/>
        <v>3071.6411966992614</v>
      </c>
      <c r="U404" s="87">
        <f t="shared" si="207"/>
        <v>3074.5672659507018</v>
      </c>
      <c r="V404" s="87">
        <f t="shared" si="208"/>
        <v>3076.0303005764217</v>
      </c>
      <c r="W404" s="87">
        <f t="shared" si="209"/>
        <v>3078.2248525150017</v>
      </c>
      <c r="X404" s="87">
        <f t="shared" si="210"/>
        <v>3078.2248525150017</v>
      </c>
      <c r="Y404" s="87">
        <f t="shared" si="211"/>
        <v>3078.2248525150017</v>
      </c>
      <c r="Z404" s="87">
        <f t="shared" si="212"/>
        <v>3078.2248525150017</v>
      </c>
      <c r="AA404" s="88">
        <v>500</v>
      </c>
      <c r="AB404" s="89">
        <f>AA404*GDPdeflator!$C$25/$AI$18*10^3</f>
        <v>48.0747492686653</v>
      </c>
      <c r="AC404" s="90" t="e">
        <f>INDEX(Efficiencies!$D$8:$M$89,MATCH(C404,Efficiencies!$C$8:$C$89),MATCH(D404,Efficiencies!$D$7:$M$7))</f>
        <v>#REF!</v>
      </c>
      <c r="AD404" s="90" t="e">
        <f t="shared" si="213"/>
        <v>#REF!</v>
      </c>
      <c r="AE404" s="90" t="e">
        <f>INDEX(Efficiencies!$P$8:$Y$89,MATCH(C404,Efficiencies!$C$8:$C$89),MATCH(D404,Efficiencies!$P$7:$Y$7))</f>
        <v>#REF!</v>
      </c>
      <c r="AF404" s="90" t="e">
        <f t="shared" si="199"/>
        <v>#REF!</v>
      </c>
      <c r="AG404" s="90">
        <v>0</v>
      </c>
    </row>
    <row r="405" spans="1:33" hidden="1" x14ac:dyDescent="0.2">
      <c r="A405" s="92" t="s">
        <v>1616</v>
      </c>
      <c r="B405" s="248" t="s">
        <v>1617</v>
      </c>
      <c r="C405" s="40" t="s">
        <v>1607</v>
      </c>
      <c r="D405" s="40">
        <v>2025</v>
      </c>
      <c r="E405" s="86">
        <f>GDPdeflator!$C$32*INDEX(Costs!$E$7:$O$89,MATCH($C405,Costs!$C$7:$C$89,0),MATCH(E$7,Costs!$E$6:$O$6,0))</f>
        <v>27.414511285479026</v>
      </c>
      <c r="F405" s="86">
        <f>GDPdeflator!$C$36*INDEX(Costs!$E$7:$O$89,MATCH($C405,Costs!$C$7:$C$89,0),MATCH(F$7,Costs!$E$6:$O$6,0))</f>
        <v>28.741328047571852</v>
      </c>
      <c r="G405" s="86">
        <f>GDPdeflator!$C$38*INDEX(Costs!$E$7:$O$89,MATCH($C405,Costs!$C$7:$C$89,0),MATCH(G$7,Costs!$E$6:$O$6,0))</f>
        <v>35.131131787965941</v>
      </c>
      <c r="H405" s="86">
        <f>GDPdeflator!$C$38*INDEX(Costs!$E$7:$O$89,MATCH($C405,Costs!$C$7:$C$89,0),MATCH(H$7,Costs!$E$6:$O$6,0))</f>
        <v>35.805719605340848</v>
      </c>
      <c r="I405" s="86">
        <f>GDPdeflator!$C$38*INDEX(Costs!$E$7:$O$89,MATCH($C405,Costs!$C$7:$C$89,0),MATCH(I$7,Costs!$E$6:$O$6,0))</f>
        <v>36.786938248795259</v>
      </c>
      <c r="J405" s="86">
        <f>GDPdeflator!$C$38*INDEX(Costs!$E$7:$O$89,MATCH($C405,Costs!$C$7:$C$89,0),MATCH(J$7,Costs!$E$6:$O$6,0))</f>
        <v>36.821981771775775</v>
      </c>
      <c r="K405" s="86">
        <f>GDPdeflator!$C$38*INDEX(Costs!$E$7:$O$89,MATCH($C405,Costs!$C$7:$C$89,0),MATCH(K$7,Costs!$E$6:$O$6,0))</f>
        <v>36.839503533266033</v>
      </c>
      <c r="L405" s="86">
        <f>GDPdeflator!$C$38*INDEX(Costs!$E$7:$O$89,MATCH($C405,Costs!$C$7:$C$89,0),MATCH(L$7,Costs!$E$6:$O$6,0))</f>
        <v>36.86578617550142</v>
      </c>
      <c r="M405" s="86">
        <f>GDPdeflator!$C$38*INDEX(Costs!$E$7:$O$89,MATCH($C405,Costs!$C$7:$C$89,0),MATCH(M$7,Costs!$E$6:$O$6,0))</f>
        <v>36.86578617550142</v>
      </c>
      <c r="N405" s="86">
        <f>GDPdeflator!$C$38*INDEX(Costs!$E$7:$O$89,MATCH($C405,Costs!$C$7:$C$89,0),MATCH(N$7,Costs!$E$6:$O$6,0))</f>
        <v>36.86578617550142</v>
      </c>
      <c r="O405" s="86">
        <f>GDPdeflator!$C$38*INDEX(Costs!$E$7:$O$89,MATCH($C405,Costs!$C$7:$C$89,0),MATCH(O$7,Costs!$E$6:$O$6,0))</f>
        <v>36.86578617550142</v>
      </c>
      <c r="P405" s="87">
        <f t="shared" si="214"/>
        <v>2289.0609074978379</v>
      </c>
      <c r="Q405" s="87">
        <f t="shared" si="203"/>
        <v>2399.8476492307927</v>
      </c>
      <c r="R405" s="87">
        <f t="shared" si="204"/>
        <v>2933.384424568716</v>
      </c>
      <c r="S405" s="87">
        <f t="shared" si="205"/>
        <v>2989.7112576589379</v>
      </c>
      <c r="T405" s="87">
        <f t="shared" si="206"/>
        <v>3071.6411966992614</v>
      </c>
      <c r="U405" s="87">
        <f t="shared" si="207"/>
        <v>3074.5672659507018</v>
      </c>
      <c r="V405" s="87">
        <f t="shared" si="208"/>
        <v>3076.0303005764217</v>
      </c>
      <c r="W405" s="87">
        <f t="shared" si="209"/>
        <v>3078.2248525150017</v>
      </c>
      <c r="X405" s="87">
        <f t="shared" si="210"/>
        <v>3078.2248525150017</v>
      </c>
      <c r="Y405" s="87">
        <f t="shared" si="211"/>
        <v>3078.2248525150017</v>
      </c>
      <c r="Z405" s="87">
        <f t="shared" si="212"/>
        <v>3078.2248525150017</v>
      </c>
      <c r="AA405" s="88">
        <v>500</v>
      </c>
      <c r="AB405" s="89">
        <f>AA405*GDPdeflator!$C$25/$AI$18*10^3</f>
        <v>48.0747492686653</v>
      </c>
      <c r="AC405" s="90" t="e">
        <f>INDEX(Efficiencies!$D$8:$M$89,MATCH(C405,Efficiencies!$C$8:$C$89),MATCH(D405,Efficiencies!$D$7:$M$7))</f>
        <v>#REF!</v>
      </c>
      <c r="AD405" s="90" t="e">
        <f t="shared" si="213"/>
        <v>#REF!</v>
      </c>
      <c r="AE405" s="90" t="e">
        <f>INDEX(Efficiencies!$P$8:$Y$89,MATCH(C405,Efficiencies!$C$8:$C$89),MATCH(D405,Efficiencies!$P$7:$Y$7))</f>
        <v>#REF!</v>
      </c>
      <c r="AF405" s="90" t="e">
        <f t="shared" si="199"/>
        <v>#REF!</v>
      </c>
      <c r="AG405" s="90">
        <v>0</v>
      </c>
    </row>
    <row r="406" spans="1:33" hidden="1" x14ac:dyDescent="0.2">
      <c r="A406" s="92" t="s">
        <v>1618</v>
      </c>
      <c r="B406" s="248" t="s">
        <v>1619</v>
      </c>
      <c r="C406" s="40" t="s">
        <v>1607</v>
      </c>
      <c r="D406" s="40">
        <v>2030</v>
      </c>
      <c r="E406" s="86">
        <f>GDPdeflator!$C$32*INDEX(Costs!$E$7:$O$89,MATCH($C406,Costs!$C$7:$C$89,0),MATCH(E$7,Costs!$E$6:$O$6,0))</f>
        <v>27.414511285479026</v>
      </c>
      <c r="F406" s="86">
        <f>GDPdeflator!$C$36*INDEX(Costs!$E$7:$O$89,MATCH($C406,Costs!$C$7:$C$89,0),MATCH(F$7,Costs!$E$6:$O$6,0))</f>
        <v>28.741328047571852</v>
      </c>
      <c r="G406" s="86">
        <f>GDPdeflator!$C$38*INDEX(Costs!$E$7:$O$89,MATCH($C406,Costs!$C$7:$C$89,0),MATCH(G$7,Costs!$E$6:$O$6,0))</f>
        <v>35.131131787965941</v>
      </c>
      <c r="H406" s="86">
        <f>GDPdeflator!$C$38*INDEX(Costs!$E$7:$O$89,MATCH($C406,Costs!$C$7:$C$89,0),MATCH(H$7,Costs!$E$6:$O$6,0))</f>
        <v>35.805719605340848</v>
      </c>
      <c r="I406" s="86">
        <f>GDPdeflator!$C$38*INDEX(Costs!$E$7:$O$89,MATCH($C406,Costs!$C$7:$C$89,0),MATCH(I$7,Costs!$E$6:$O$6,0))</f>
        <v>36.786938248795259</v>
      </c>
      <c r="J406" s="86">
        <f>GDPdeflator!$C$38*INDEX(Costs!$E$7:$O$89,MATCH($C406,Costs!$C$7:$C$89,0),MATCH(J$7,Costs!$E$6:$O$6,0))</f>
        <v>36.821981771775775</v>
      </c>
      <c r="K406" s="86">
        <f>GDPdeflator!$C$38*INDEX(Costs!$E$7:$O$89,MATCH($C406,Costs!$C$7:$C$89,0),MATCH(K$7,Costs!$E$6:$O$6,0))</f>
        <v>36.839503533266033</v>
      </c>
      <c r="L406" s="86">
        <f>GDPdeflator!$C$38*INDEX(Costs!$E$7:$O$89,MATCH($C406,Costs!$C$7:$C$89,0),MATCH(L$7,Costs!$E$6:$O$6,0))</f>
        <v>36.86578617550142</v>
      </c>
      <c r="M406" s="86">
        <f>GDPdeflator!$C$38*INDEX(Costs!$E$7:$O$89,MATCH($C406,Costs!$C$7:$C$89,0),MATCH(M$7,Costs!$E$6:$O$6,0))</f>
        <v>36.86578617550142</v>
      </c>
      <c r="N406" s="86">
        <f>GDPdeflator!$C$38*INDEX(Costs!$E$7:$O$89,MATCH($C406,Costs!$C$7:$C$89,0),MATCH(N$7,Costs!$E$6:$O$6,0))</f>
        <v>36.86578617550142</v>
      </c>
      <c r="O406" s="86">
        <f>GDPdeflator!$C$38*INDEX(Costs!$E$7:$O$89,MATCH($C406,Costs!$C$7:$C$89,0),MATCH(O$7,Costs!$E$6:$O$6,0))</f>
        <v>36.86578617550142</v>
      </c>
      <c r="P406" s="87">
        <f t="shared" si="214"/>
        <v>2289.0609074978379</v>
      </c>
      <c r="Q406" s="87">
        <f t="shared" si="203"/>
        <v>2399.8476492307927</v>
      </c>
      <c r="R406" s="87">
        <f t="shared" si="204"/>
        <v>2933.384424568716</v>
      </c>
      <c r="S406" s="87">
        <f t="shared" si="205"/>
        <v>2989.7112576589379</v>
      </c>
      <c r="T406" s="87">
        <f t="shared" si="206"/>
        <v>3071.6411966992614</v>
      </c>
      <c r="U406" s="87">
        <f t="shared" si="207"/>
        <v>3074.5672659507018</v>
      </c>
      <c r="V406" s="87">
        <f t="shared" si="208"/>
        <v>3076.0303005764217</v>
      </c>
      <c r="W406" s="87">
        <f t="shared" si="209"/>
        <v>3078.2248525150017</v>
      </c>
      <c r="X406" s="87">
        <f t="shared" si="210"/>
        <v>3078.2248525150017</v>
      </c>
      <c r="Y406" s="87">
        <f t="shared" si="211"/>
        <v>3078.2248525150017</v>
      </c>
      <c r="Z406" s="87">
        <f t="shared" si="212"/>
        <v>3078.2248525150017</v>
      </c>
      <c r="AA406" s="88">
        <v>500</v>
      </c>
      <c r="AB406" s="89">
        <f>AA406*GDPdeflator!$C$25/$AI$18*10^3</f>
        <v>48.0747492686653</v>
      </c>
      <c r="AC406" s="90" t="e">
        <f>INDEX(Efficiencies!$D$8:$M$89,MATCH(C406,Efficiencies!$C$8:$C$89),MATCH(D406,Efficiencies!$D$7:$M$7))</f>
        <v>#REF!</v>
      </c>
      <c r="AD406" s="90" t="e">
        <f t="shared" si="213"/>
        <v>#REF!</v>
      </c>
      <c r="AE406" s="90" t="e">
        <f>INDEX(Efficiencies!$P$8:$Y$89,MATCH(C406,Efficiencies!$C$8:$C$89),MATCH(D406,Efficiencies!$P$7:$Y$7))</f>
        <v>#REF!</v>
      </c>
      <c r="AF406" s="90" t="e">
        <f t="shared" si="199"/>
        <v>#REF!</v>
      </c>
      <c r="AG406" s="90">
        <v>0</v>
      </c>
    </row>
    <row r="407" spans="1:33" hidden="1" x14ac:dyDescent="0.2">
      <c r="A407" s="92" t="s">
        <v>1620</v>
      </c>
      <c r="B407" s="248" t="s">
        <v>1621</v>
      </c>
      <c r="C407" s="40" t="s">
        <v>1607</v>
      </c>
      <c r="D407" s="40">
        <v>2035</v>
      </c>
      <c r="E407" s="86">
        <f>GDPdeflator!$C$32*INDEX(Costs!$E$7:$O$89,MATCH($C407,Costs!$C$7:$C$89,0),MATCH(E$7,Costs!$E$6:$O$6,0))</f>
        <v>27.414511285479026</v>
      </c>
      <c r="F407" s="86">
        <f>GDPdeflator!$C$36*INDEX(Costs!$E$7:$O$89,MATCH($C407,Costs!$C$7:$C$89,0),MATCH(F$7,Costs!$E$6:$O$6,0))</f>
        <v>28.741328047571852</v>
      </c>
      <c r="G407" s="86">
        <f>GDPdeflator!$C$38*INDEX(Costs!$E$7:$O$89,MATCH($C407,Costs!$C$7:$C$89,0),MATCH(G$7,Costs!$E$6:$O$6,0))</f>
        <v>35.131131787965941</v>
      </c>
      <c r="H407" s="86">
        <f>GDPdeflator!$C$38*INDEX(Costs!$E$7:$O$89,MATCH($C407,Costs!$C$7:$C$89,0),MATCH(H$7,Costs!$E$6:$O$6,0))</f>
        <v>35.805719605340848</v>
      </c>
      <c r="I407" s="86">
        <f>GDPdeflator!$C$38*INDEX(Costs!$E$7:$O$89,MATCH($C407,Costs!$C$7:$C$89,0),MATCH(I$7,Costs!$E$6:$O$6,0))</f>
        <v>36.786938248795259</v>
      </c>
      <c r="J407" s="86">
        <f>GDPdeflator!$C$38*INDEX(Costs!$E$7:$O$89,MATCH($C407,Costs!$C$7:$C$89,0),MATCH(J$7,Costs!$E$6:$O$6,0))</f>
        <v>36.821981771775775</v>
      </c>
      <c r="K407" s="86">
        <f>GDPdeflator!$C$38*INDEX(Costs!$E$7:$O$89,MATCH($C407,Costs!$C$7:$C$89,0),MATCH(K$7,Costs!$E$6:$O$6,0))</f>
        <v>36.839503533266033</v>
      </c>
      <c r="L407" s="86">
        <f>GDPdeflator!$C$38*INDEX(Costs!$E$7:$O$89,MATCH($C407,Costs!$C$7:$C$89,0),MATCH(L$7,Costs!$E$6:$O$6,0))</f>
        <v>36.86578617550142</v>
      </c>
      <c r="M407" s="86">
        <f>GDPdeflator!$C$38*INDEX(Costs!$E$7:$O$89,MATCH($C407,Costs!$C$7:$C$89,0),MATCH(M$7,Costs!$E$6:$O$6,0))</f>
        <v>36.86578617550142</v>
      </c>
      <c r="N407" s="86">
        <f>GDPdeflator!$C$38*INDEX(Costs!$E$7:$O$89,MATCH($C407,Costs!$C$7:$C$89,0),MATCH(N$7,Costs!$E$6:$O$6,0))</f>
        <v>36.86578617550142</v>
      </c>
      <c r="O407" s="86">
        <f>GDPdeflator!$C$38*INDEX(Costs!$E$7:$O$89,MATCH($C407,Costs!$C$7:$C$89,0),MATCH(O$7,Costs!$E$6:$O$6,0))</f>
        <v>36.86578617550142</v>
      </c>
      <c r="P407" s="87">
        <f t="shared" si="214"/>
        <v>2289.0609074978379</v>
      </c>
      <c r="Q407" s="87">
        <f t="shared" si="203"/>
        <v>2399.8476492307927</v>
      </c>
      <c r="R407" s="87">
        <f t="shared" si="204"/>
        <v>2933.384424568716</v>
      </c>
      <c r="S407" s="87">
        <f t="shared" si="205"/>
        <v>2989.7112576589379</v>
      </c>
      <c r="T407" s="87">
        <f t="shared" si="206"/>
        <v>3071.6411966992614</v>
      </c>
      <c r="U407" s="87">
        <f t="shared" si="207"/>
        <v>3074.5672659507018</v>
      </c>
      <c r="V407" s="87">
        <f t="shared" si="208"/>
        <v>3076.0303005764217</v>
      </c>
      <c r="W407" s="87">
        <f t="shared" si="209"/>
        <v>3078.2248525150017</v>
      </c>
      <c r="X407" s="87">
        <f t="shared" si="210"/>
        <v>3078.2248525150017</v>
      </c>
      <c r="Y407" s="87">
        <f t="shared" si="211"/>
        <v>3078.2248525150017</v>
      </c>
      <c r="Z407" s="87">
        <f t="shared" si="212"/>
        <v>3078.2248525150017</v>
      </c>
      <c r="AA407" s="88">
        <v>500</v>
      </c>
      <c r="AB407" s="89">
        <f>AA407*GDPdeflator!$C$25/$AI$18*10^3</f>
        <v>48.0747492686653</v>
      </c>
      <c r="AC407" s="90" t="e">
        <f>INDEX(Efficiencies!$D$8:$M$89,MATCH(C407,Efficiencies!$C$8:$C$89),MATCH(D407,Efficiencies!$D$7:$M$7))</f>
        <v>#REF!</v>
      </c>
      <c r="AD407" s="90" t="e">
        <f t="shared" si="213"/>
        <v>#REF!</v>
      </c>
      <c r="AE407" s="90" t="e">
        <f>INDEX(Efficiencies!$P$8:$Y$89,MATCH(C407,Efficiencies!$C$8:$C$89),MATCH(D407,Efficiencies!$P$7:$Y$7))</f>
        <v>#REF!</v>
      </c>
      <c r="AF407" s="90" t="e">
        <f t="shared" si="199"/>
        <v>#REF!</v>
      </c>
      <c r="AG407" s="90">
        <v>0</v>
      </c>
    </row>
    <row r="408" spans="1:33" hidden="1" x14ac:dyDescent="0.2">
      <c r="A408" s="92" t="s">
        <v>1622</v>
      </c>
      <c r="B408" s="248" t="s">
        <v>1623</v>
      </c>
      <c r="C408" s="40" t="s">
        <v>1607</v>
      </c>
      <c r="D408" s="40">
        <v>2040</v>
      </c>
      <c r="E408" s="86">
        <f>GDPdeflator!$C$32*INDEX(Costs!$E$7:$O$89,MATCH($C408,Costs!$C$7:$C$89,0),MATCH(E$7,Costs!$E$6:$O$6,0))</f>
        <v>27.414511285479026</v>
      </c>
      <c r="F408" s="86">
        <f>GDPdeflator!$C$36*INDEX(Costs!$E$7:$O$89,MATCH($C408,Costs!$C$7:$C$89,0),MATCH(F$7,Costs!$E$6:$O$6,0))</f>
        <v>28.741328047571852</v>
      </c>
      <c r="G408" s="86">
        <f>GDPdeflator!$C$38*INDEX(Costs!$E$7:$O$89,MATCH($C408,Costs!$C$7:$C$89,0),MATCH(G$7,Costs!$E$6:$O$6,0))</f>
        <v>35.131131787965941</v>
      </c>
      <c r="H408" s="86">
        <f>GDPdeflator!$C$38*INDEX(Costs!$E$7:$O$89,MATCH($C408,Costs!$C$7:$C$89,0),MATCH(H$7,Costs!$E$6:$O$6,0))</f>
        <v>35.805719605340848</v>
      </c>
      <c r="I408" s="86">
        <f>GDPdeflator!$C$38*INDEX(Costs!$E$7:$O$89,MATCH($C408,Costs!$C$7:$C$89,0),MATCH(I$7,Costs!$E$6:$O$6,0))</f>
        <v>36.786938248795259</v>
      </c>
      <c r="J408" s="86">
        <f>GDPdeflator!$C$38*INDEX(Costs!$E$7:$O$89,MATCH($C408,Costs!$C$7:$C$89,0),MATCH(J$7,Costs!$E$6:$O$6,0))</f>
        <v>36.821981771775775</v>
      </c>
      <c r="K408" s="86">
        <f>GDPdeflator!$C$38*INDEX(Costs!$E$7:$O$89,MATCH($C408,Costs!$C$7:$C$89,0),MATCH(K$7,Costs!$E$6:$O$6,0))</f>
        <v>36.839503533266033</v>
      </c>
      <c r="L408" s="86">
        <f>GDPdeflator!$C$38*INDEX(Costs!$E$7:$O$89,MATCH($C408,Costs!$C$7:$C$89,0),MATCH(L$7,Costs!$E$6:$O$6,0))</f>
        <v>36.86578617550142</v>
      </c>
      <c r="M408" s="86">
        <f>GDPdeflator!$C$38*INDEX(Costs!$E$7:$O$89,MATCH($C408,Costs!$C$7:$C$89,0),MATCH(M$7,Costs!$E$6:$O$6,0))</f>
        <v>36.86578617550142</v>
      </c>
      <c r="N408" s="86">
        <f>GDPdeflator!$C$38*INDEX(Costs!$E$7:$O$89,MATCH($C408,Costs!$C$7:$C$89,0),MATCH(N$7,Costs!$E$6:$O$6,0))</f>
        <v>36.86578617550142</v>
      </c>
      <c r="O408" s="86">
        <f>GDPdeflator!$C$38*INDEX(Costs!$E$7:$O$89,MATCH($C408,Costs!$C$7:$C$89,0),MATCH(O$7,Costs!$E$6:$O$6,0))</f>
        <v>36.86578617550142</v>
      </c>
      <c r="P408" s="87">
        <f t="shared" si="214"/>
        <v>2289.0609074978379</v>
      </c>
      <c r="Q408" s="87">
        <f t="shared" si="203"/>
        <v>2399.8476492307927</v>
      </c>
      <c r="R408" s="87">
        <f t="shared" si="204"/>
        <v>2933.384424568716</v>
      </c>
      <c r="S408" s="87">
        <f t="shared" si="205"/>
        <v>2989.7112576589379</v>
      </c>
      <c r="T408" s="87">
        <f t="shared" si="206"/>
        <v>3071.6411966992614</v>
      </c>
      <c r="U408" s="87">
        <f t="shared" si="207"/>
        <v>3074.5672659507018</v>
      </c>
      <c r="V408" s="87">
        <f t="shared" si="208"/>
        <v>3076.0303005764217</v>
      </c>
      <c r="W408" s="87">
        <f t="shared" si="209"/>
        <v>3078.2248525150017</v>
      </c>
      <c r="X408" s="87">
        <f t="shared" si="210"/>
        <v>3078.2248525150017</v>
      </c>
      <c r="Y408" s="87">
        <f t="shared" si="211"/>
        <v>3078.2248525150017</v>
      </c>
      <c r="Z408" s="87">
        <f t="shared" si="212"/>
        <v>3078.2248525150017</v>
      </c>
      <c r="AA408" s="88">
        <v>500</v>
      </c>
      <c r="AB408" s="89">
        <f>AA408*GDPdeflator!$C$25/$AI$18*10^3</f>
        <v>48.0747492686653</v>
      </c>
      <c r="AC408" s="90" t="e">
        <f>INDEX(Efficiencies!$D$8:$M$89,MATCH(C408,Efficiencies!$C$8:$C$89),MATCH(D408,Efficiencies!$D$7:$M$7))</f>
        <v>#REF!</v>
      </c>
      <c r="AD408" s="90" t="e">
        <f t="shared" si="213"/>
        <v>#REF!</v>
      </c>
      <c r="AE408" s="90" t="e">
        <f>INDEX(Efficiencies!$P$8:$Y$89,MATCH(C408,Efficiencies!$C$8:$C$89),MATCH(D408,Efficiencies!$P$7:$Y$7))</f>
        <v>#REF!</v>
      </c>
      <c r="AF408" s="90" t="e">
        <f t="shared" si="199"/>
        <v>#REF!</v>
      </c>
      <c r="AG408" s="90">
        <v>0</v>
      </c>
    </row>
    <row r="409" spans="1:33" hidden="1" x14ac:dyDescent="0.2">
      <c r="A409" s="92" t="s">
        <v>1624</v>
      </c>
      <c r="B409" s="248" t="s">
        <v>1625</v>
      </c>
      <c r="C409" s="40" t="s">
        <v>1607</v>
      </c>
      <c r="D409" s="40">
        <v>2045</v>
      </c>
      <c r="E409" s="86">
        <f>GDPdeflator!$C$32*INDEX(Costs!$E$7:$O$89,MATCH($C409,Costs!$C$7:$C$89,0),MATCH(E$7,Costs!$E$6:$O$6,0))</f>
        <v>27.414511285479026</v>
      </c>
      <c r="F409" s="86">
        <f>GDPdeflator!$C$36*INDEX(Costs!$E$7:$O$89,MATCH($C409,Costs!$C$7:$C$89,0),MATCH(F$7,Costs!$E$6:$O$6,0))</f>
        <v>28.741328047571852</v>
      </c>
      <c r="G409" s="86">
        <f>GDPdeflator!$C$38*INDEX(Costs!$E$7:$O$89,MATCH($C409,Costs!$C$7:$C$89,0),MATCH(G$7,Costs!$E$6:$O$6,0))</f>
        <v>35.131131787965941</v>
      </c>
      <c r="H409" s="86">
        <f>GDPdeflator!$C$38*INDEX(Costs!$E$7:$O$89,MATCH($C409,Costs!$C$7:$C$89,0),MATCH(H$7,Costs!$E$6:$O$6,0))</f>
        <v>35.805719605340848</v>
      </c>
      <c r="I409" s="86">
        <f>GDPdeflator!$C$38*INDEX(Costs!$E$7:$O$89,MATCH($C409,Costs!$C$7:$C$89,0),MATCH(I$7,Costs!$E$6:$O$6,0))</f>
        <v>36.786938248795259</v>
      </c>
      <c r="J409" s="86">
        <f>GDPdeflator!$C$38*INDEX(Costs!$E$7:$O$89,MATCH($C409,Costs!$C$7:$C$89,0),MATCH(J$7,Costs!$E$6:$O$6,0))</f>
        <v>36.821981771775775</v>
      </c>
      <c r="K409" s="86">
        <f>GDPdeflator!$C$38*INDEX(Costs!$E$7:$O$89,MATCH($C409,Costs!$C$7:$C$89,0),MATCH(K$7,Costs!$E$6:$O$6,0))</f>
        <v>36.839503533266033</v>
      </c>
      <c r="L409" s="86">
        <f>GDPdeflator!$C$38*INDEX(Costs!$E$7:$O$89,MATCH($C409,Costs!$C$7:$C$89,0),MATCH(L$7,Costs!$E$6:$O$6,0))</f>
        <v>36.86578617550142</v>
      </c>
      <c r="M409" s="86">
        <f>GDPdeflator!$C$38*INDEX(Costs!$E$7:$O$89,MATCH($C409,Costs!$C$7:$C$89,0),MATCH(M$7,Costs!$E$6:$O$6,0))</f>
        <v>36.86578617550142</v>
      </c>
      <c r="N409" s="86">
        <f>GDPdeflator!$C$38*INDEX(Costs!$E$7:$O$89,MATCH($C409,Costs!$C$7:$C$89,0),MATCH(N$7,Costs!$E$6:$O$6,0))</f>
        <v>36.86578617550142</v>
      </c>
      <c r="O409" s="86">
        <f>GDPdeflator!$C$38*INDEX(Costs!$E$7:$O$89,MATCH($C409,Costs!$C$7:$C$89,0),MATCH(O$7,Costs!$E$6:$O$6,0))</f>
        <v>36.86578617550142</v>
      </c>
      <c r="P409" s="87">
        <f t="shared" si="214"/>
        <v>2289.0609074978379</v>
      </c>
      <c r="Q409" s="87">
        <f t="shared" si="203"/>
        <v>2399.8476492307927</v>
      </c>
      <c r="R409" s="87">
        <f t="shared" si="204"/>
        <v>2933.384424568716</v>
      </c>
      <c r="S409" s="87">
        <f t="shared" si="205"/>
        <v>2989.7112576589379</v>
      </c>
      <c r="T409" s="87">
        <f t="shared" si="206"/>
        <v>3071.6411966992614</v>
      </c>
      <c r="U409" s="87">
        <f t="shared" si="207"/>
        <v>3074.5672659507018</v>
      </c>
      <c r="V409" s="87">
        <f t="shared" si="208"/>
        <v>3076.0303005764217</v>
      </c>
      <c r="W409" s="87">
        <f t="shared" si="209"/>
        <v>3078.2248525150017</v>
      </c>
      <c r="X409" s="87">
        <f t="shared" si="210"/>
        <v>3078.2248525150017</v>
      </c>
      <c r="Y409" s="87">
        <f t="shared" si="211"/>
        <v>3078.2248525150017</v>
      </c>
      <c r="Z409" s="87">
        <f t="shared" si="212"/>
        <v>3078.2248525150017</v>
      </c>
      <c r="AA409" s="88">
        <v>500</v>
      </c>
      <c r="AB409" s="89">
        <f>AA409*GDPdeflator!$C$25/$AI$18*10^3</f>
        <v>48.0747492686653</v>
      </c>
      <c r="AC409" s="90" t="e">
        <f>INDEX(Efficiencies!$D$8:$M$89,MATCH(C409,Efficiencies!$C$8:$C$89),MATCH(D409,Efficiencies!$D$7:$M$7))</f>
        <v>#REF!</v>
      </c>
      <c r="AD409" s="90" t="e">
        <f t="shared" si="213"/>
        <v>#REF!</v>
      </c>
      <c r="AE409" s="90" t="e">
        <f>INDEX(Efficiencies!$P$8:$Y$89,MATCH(C409,Efficiencies!$C$8:$C$89),MATCH(D409,Efficiencies!$P$7:$Y$7))</f>
        <v>#REF!</v>
      </c>
      <c r="AF409" s="90" t="e">
        <f t="shared" si="199"/>
        <v>#REF!</v>
      </c>
      <c r="AG409" s="90">
        <v>0</v>
      </c>
    </row>
    <row r="410" spans="1:33" hidden="1" x14ac:dyDescent="0.2">
      <c r="A410" s="92" t="s">
        <v>1626</v>
      </c>
      <c r="B410" s="248" t="s">
        <v>1627</v>
      </c>
      <c r="C410" s="40" t="s">
        <v>1607</v>
      </c>
      <c r="D410" s="40">
        <v>2050</v>
      </c>
      <c r="E410" s="86">
        <f>GDPdeflator!$C$32*INDEX(Costs!$E$7:$O$89,MATCH($C410,Costs!$C$7:$C$89,0),MATCH(E$7,Costs!$E$6:$O$6,0))</f>
        <v>27.414511285479026</v>
      </c>
      <c r="F410" s="86">
        <f>GDPdeflator!$C$36*INDEX(Costs!$E$7:$O$89,MATCH($C410,Costs!$C$7:$C$89,0),MATCH(F$7,Costs!$E$6:$O$6,0))</f>
        <v>28.741328047571852</v>
      </c>
      <c r="G410" s="86">
        <f>GDPdeflator!$C$38*INDEX(Costs!$E$7:$O$89,MATCH($C410,Costs!$C$7:$C$89,0),MATCH(G$7,Costs!$E$6:$O$6,0))</f>
        <v>35.131131787965941</v>
      </c>
      <c r="H410" s="86">
        <f>GDPdeflator!$C$38*INDEX(Costs!$E$7:$O$89,MATCH($C410,Costs!$C$7:$C$89,0),MATCH(H$7,Costs!$E$6:$O$6,0))</f>
        <v>35.805719605340848</v>
      </c>
      <c r="I410" s="86">
        <f>GDPdeflator!$C$38*INDEX(Costs!$E$7:$O$89,MATCH($C410,Costs!$C$7:$C$89,0),MATCH(I$7,Costs!$E$6:$O$6,0))</f>
        <v>36.786938248795259</v>
      </c>
      <c r="J410" s="86">
        <f>GDPdeflator!$C$38*INDEX(Costs!$E$7:$O$89,MATCH($C410,Costs!$C$7:$C$89,0),MATCH(J$7,Costs!$E$6:$O$6,0))</f>
        <v>36.821981771775775</v>
      </c>
      <c r="K410" s="86">
        <f>GDPdeflator!$C$38*INDEX(Costs!$E$7:$O$89,MATCH($C410,Costs!$C$7:$C$89,0),MATCH(K$7,Costs!$E$6:$O$6,0))</f>
        <v>36.839503533266033</v>
      </c>
      <c r="L410" s="86">
        <f>GDPdeflator!$C$38*INDEX(Costs!$E$7:$O$89,MATCH($C410,Costs!$C$7:$C$89,0),MATCH(L$7,Costs!$E$6:$O$6,0))</f>
        <v>36.86578617550142</v>
      </c>
      <c r="M410" s="86">
        <f>GDPdeflator!$C$38*INDEX(Costs!$E$7:$O$89,MATCH($C410,Costs!$C$7:$C$89,0),MATCH(M$7,Costs!$E$6:$O$6,0))</f>
        <v>36.86578617550142</v>
      </c>
      <c r="N410" s="86">
        <f>GDPdeflator!$C$38*INDEX(Costs!$E$7:$O$89,MATCH($C410,Costs!$C$7:$C$89,0),MATCH(N$7,Costs!$E$6:$O$6,0))</f>
        <v>36.86578617550142</v>
      </c>
      <c r="O410" s="86">
        <f>GDPdeflator!$C$38*INDEX(Costs!$E$7:$O$89,MATCH($C410,Costs!$C$7:$C$89,0),MATCH(O$7,Costs!$E$6:$O$6,0))</f>
        <v>36.86578617550142</v>
      </c>
      <c r="P410" s="87">
        <f t="shared" si="214"/>
        <v>2289.0609074978379</v>
      </c>
      <c r="Q410" s="87">
        <f t="shared" si="203"/>
        <v>2399.8476492307927</v>
      </c>
      <c r="R410" s="87">
        <f t="shared" si="204"/>
        <v>2933.384424568716</v>
      </c>
      <c r="S410" s="87">
        <f t="shared" si="205"/>
        <v>2989.7112576589379</v>
      </c>
      <c r="T410" s="87">
        <f t="shared" si="206"/>
        <v>3071.6411966992614</v>
      </c>
      <c r="U410" s="87">
        <f t="shared" si="207"/>
        <v>3074.5672659507018</v>
      </c>
      <c r="V410" s="87">
        <f t="shared" si="208"/>
        <v>3076.0303005764217</v>
      </c>
      <c r="W410" s="87">
        <f t="shared" si="209"/>
        <v>3078.2248525150017</v>
      </c>
      <c r="X410" s="87">
        <f t="shared" si="210"/>
        <v>3078.2248525150017</v>
      </c>
      <c r="Y410" s="87">
        <f t="shared" si="211"/>
        <v>3078.2248525150017</v>
      </c>
      <c r="Z410" s="87">
        <f t="shared" si="212"/>
        <v>3078.2248525150017</v>
      </c>
      <c r="AA410" s="88">
        <v>500</v>
      </c>
      <c r="AB410" s="89">
        <f>AA410*GDPdeflator!$C$25/$AI$18*10^3</f>
        <v>48.0747492686653</v>
      </c>
      <c r="AC410" s="90" t="e">
        <f>INDEX(Efficiencies!$D$8:$M$89,MATCH(C410,Efficiencies!$C$8:$C$89),MATCH(D410,Efficiencies!$D$7:$M$7))</f>
        <v>#REF!</v>
      </c>
      <c r="AD410" s="90" t="e">
        <f t="shared" si="213"/>
        <v>#REF!</v>
      </c>
      <c r="AE410" s="90" t="e">
        <f>INDEX(Efficiencies!$P$8:$Y$89,MATCH(C410,Efficiencies!$C$8:$C$89),MATCH(D410,Efficiencies!$P$7:$Y$7))</f>
        <v>#REF!</v>
      </c>
      <c r="AF410" s="90" t="e">
        <f t="shared" si="199"/>
        <v>#REF!</v>
      </c>
      <c r="AG410" s="90">
        <v>0</v>
      </c>
    </row>
    <row r="411" spans="1:33" hidden="1" x14ac:dyDescent="0.2">
      <c r="A411" s="92" t="s">
        <v>1628</v>
      </c>
      <c r="B411" s="248" t="s">
        <v>1629</v>
      </c>
      <c r="C411" s="40" t="s">
        <v>1630</v>
      </c>
      <c r="D411" s="40">
        <v>2060</v>
      </c>
      <c r="E411" s="86">
        <f>GDPdeflator!$C$32*INDEX(Costs!$E$7:$O$89,MATCH($C411,Costs!$C$7:$C$89,0),MATCH(E$7,Costs!$E$6:$O$6,0))</f>
        <v>26.387678000581221</v>
      </c>
      <c r="F411" s="86">
        <f>GDPdeflator!$C$36*INDEX(Costs!$E$7:$O$89,MATCH($C411,Costs!$C$7:$C$89,0),MATCH(F$7,Costs!$E$6:$O$6,0))</f>
        <v>27.930444184160734</v>
      </c>
      <c r="G411" s="86">
        <f>GDPdeflator!$C$38*INDEX(Costs!$E$7:$O$89,MATCH($C411,Costs!$C$7:$C$89,0),MATCH(G$7,Costs!$E$6:$O$6,0))</f>
        <v>34.307608997923843</v>
      </c>
      <c r="H411" s="86">
        <f>GDPdeflator!$C$38*INDEX(Costs!$E$7:$O$89,MATCH($C411,Costs!$C$7:$C$89,0),MATCH(H$7,Costs!$E$6:$O$6,0))</f>
        <v>35.03476209976953</v>
      </c>
      <c r="I411" s="86">
        <f>GDPdeflator!$C$38*INDEX(Costs!$E$7:$O$89,MATCH($C411,Costs!$C$7:$C$89,0),MATCH(I$7,Costs!$E$6:$O$6,0))</f>
        <v>36.042263385459322</v>
      </c>
      <c r="J411" s="86">
        <f>GDPdeflator!$C$38*INDEX(Costs!$E$7:$O$89,MATCH($C411,Costs!$C$7:$C$89,0),MATCH(J$7,Costs!$E$6:$O$6,0))</f>
        <v>36.077306908439837</v>
      </c>
      <c r="K411" s="86">
        <f>GDPdeflator!$C$38*INDEX(Costs!$E$7:$O$89,MATCH($C411,Costs!$C$7:$C$89,0),MATCH(K$7,Costs!$E$6:$O$6,0))</f>
        <v>36.094828669930095</v>
      </c>
      <c r="L411" s="86">
        <f>GDPdeflator!$C$38*INDEX(Costs!$E$7:$O$89,MATCH($C411,Costs!$C$7:$C$89,0),MATCH(L$7,Costs!$E$6:$O$6,0))</f>
        <v>36.121111312165482</v>
      </c>
      <c r="M411" s="86">
        <f>GDPdeflator!$C$38*INDEX(Costs!$E$7:$O$89,MATCH($C411,Costs!$C$7:$C$89,0),MATCH(M$7,Costs!$E$6:$O$6,0))</f>
        <v>36.121111312165482</v>
      </c>
      <c r="N411" s="86">
        <f>GDPdeflator!$C$38*INDEX(Costs!$E$7:$O$89,MATCH($C411,Costs!$C$7:$C$89,0),MATCH(N$7,Costs!$E$6:$O$6,0))</f>
        <v>36.121111312165482</v>
      </c>
      <c r="O411" s="86">
        <f>GDPdeflator!$C$38*INDEX(Costs!$E$7:$O$89,MATCH($C411,Costs!$C$7:$C$89,0),MATCH(O$7,Costs!$E$6:$O$6,0))</f>
        <v>36.121111312165482</v>
      </c>
      <c r="P411" s="87">
        <f>E411/$AI$18*10^6</f>
        <v>2203.322230397212</v>
      </c>
      <c r="Q411" s="87">
        <f t="shared" si="203"/>
        <v>2332.1403487822754</v>
      </c>
      <c r="R411" s="87">
        <f t="shared" si="204"/>
        <v>2864.6217971598726</v>
      </c>
      <c r="S411" s="87">
        <f t="shared" si="205"/>
        <v>2925.3377341272562</v>
      </c>
      <c r="T411" s="87">
        <f t="shared" si="206"/>
        <v>3009.4622251061592</v>
      </c>
      <c r="U411" s="87">
        <f t="shared" si="207"/>
        <v>3012.3882943575991</v>
      </c>
      <c r="V411" s="87">
        <f t="shared" si="208"/>
        <v>3013.851328983319</v>
      </c>
      <c r="W411" s="87">
        <f t="shared" si="209"/>
        <v>3016.0458809218994</v>
      </c>
      <c r="X411" s="87">
        <f t="shared" si="210"/>
        <v>3016.0458809218994</v>
      </c>
      <c r="Y411" s="87">
        <f t="shared" si="211"/>
        <v>3016.0458809218994</v>
      </c>
      <c r="Z411" s="87">
        <f t="shared" si="212"/>
        <v>3016.0458809218994</v>
      </c>
      <c r="AA411" s="88">
        <v>500</v>
      </c>
      <c r="AB411" s="89">
        <f>AA411*GDPdeflator!$C$25/$AI$18*10^3</f>
        <v>48.0747492686653</v>
      </c>
      <c r="AC411" s="90" t="e">
        <f>INDEX(Efficiencies!$D$8:$M$89,MATCH(C411,Efficiencies!$C$8:$C$89),MATCH(D411,Efficiencies!$D$7:$M$7))</f>
        <v>#REF!</v>
      </c>
      <c r="AD411" s="90" t="e">
        <f t="shared" si="213"/>
        <v>#REF!</v>
      </c>
      <c r="AE411" s="90" t="e">
        <f>INDEX(Efficiencies!$P$8:$Y$89,MATCH(C411,Efficiencies!$C$8:$C$89),MATCH(D411,Efficiencies!$P$7:$Y$7))</f>
        <v>#REF!</v>
      </c>
      <c r="AF411" s="90" t="e">
        <f t="shared" si="199"/>
        <v>#REF!</v>
      </c>
      <c r="AG411" s="90">
        <v>0</v>
      </c>
    </row>
    <row r="412" spans="1:33" hidden="1" x14ac:dyDescent="0.2">
      <c r="A412" s="92" t="s">
        <v>1631</v>
      </c>
      <c r="B412" s="248" t="s">
        <v>1632</v>
      </c>
      <c r="C412" s="40" t="s">
        <v>1630</v>
      </c>
      <c r="D412" s="40">
        <v>2005</v>
      </c>
      <c r="E412" s="86">
        <f>GDPdeflator!$C$32*INDEX(Costs!$E$7:$O$89,MATCH($C412,Costs!$C$7:$C$89,0),MATCH(E$7,Costs!$E$6:$O$6,0))</f>
        <v>26.387678000581221</v>
      </c>
      <c r="F412" s="86">
        <f>GDPdeflator!$C$36*INDEX(Costs!$E$7:$O$89,MATCH($C412,Costs!$C$7:$C$89,0),MATCH(F$7,Costs!$E$6:$O$6,0))</f>
        <v>27.930444184160734</v>
      </c>
      <c r="G412" s="86">
        <f>GDPdeflator!$C$38*INDEX(Costs!$E$7:$O$89,MATCH($C412,Costs!$C$7:$C$89,0),MATCH(G$7,Costs!$E$6:$O$6,0))</f>
        <v>34.307608997923843</v>
      </c>
      <c r="H412" s="86">
        <f>GDPdeflator!$C$38*INDEX(Costs!$E$7:$O$89,MATCH($C412,Costs!$C$7:$C$89,0),MATCH(H$7,Costs!$E$6:$O$6,0))</f>
        <v>35.03476209976953</v>
      </c>
      <c r="I412" s="86">
        <f>GDPdeflator!$C$38*INDEX(Costs!$E$7:$O$89,MATCH($C412,Costs!$C$7:$C$89,0),MATCH(I$7,Costs!$E$6:$O$6,0))</f>
        <v>36.042263385459322</v>
      </c>
      <c r="J412" s="86">
        <f>GDPdeflator!$C$38*INDEX(Costs!$E$7:$O$89,MATCH($C412,Costs!$C$7:$C$89,0),MATCH(J$7,Costs!$E$6:$O$6,0))</f>
        <v>36.077306908439837</v>
      </c>
      <c r="K412" s="86">
        <f>GDPdeflator!$C$38*INDEX(Costs!$E$7:$O$89,MATCH($C412,Costs!$C$7:$C$89,0),MATCH(K$7,Costs!$E$6:$O$6,0))</f>
        <v>36.094828669930095</v>
      </c>
      <c r="L412" s="86">
        <f>GDPdeflator!$C$38*INDEX(Costs!$E$7:$O$89,MATCH($C412,Costs!$C$7:$C$89,0),MATCH(L$7,Costs!$E$6:$O$6,0))</f>
        <v>36.121111312165482</v>
      </c>
      <c r="M412" s="86">
        <f>GDPdeflator!$C$38*INDEX(Costs!$E$7:$O$89,MATCH($C412,Costs!$C$7:$C$89,0),MATCH(M$7,Costs!$E$6:$O$6,0))</f>
        <v>36.121111312165482</v>
      </c>
      <c r="N412" s="86">
        <f>GDPdeflator!$C$38*INDEX(Costs!$E$7:$O$89,MATCH($C412,Costs!$C$7:$C$89,0),MATCH(N$7,Costs!$E$6:$O$6,0))</f>
        <v>36.121111312165482</v>
      </c>
      <c r="O412" s="86">
        <f>GDPdeflator!$C$38*INDEX(Costs!$E$7:$O$89,MATCH($C412,Costs!$C$7:$C$89,0),MATCH(O$7,Costs!$E$6:$O$6,0))</f>
        <v>36.121111312165482</v>
      </c>
      <c r="P412" s="87">
        <f t="shared" ref="P412:P421" si="215">E412/$AI$18*10^6</f>
        <v>2203.322230397212</v>
      </c>
      <c r="Q412" s="87">
        <f t="shared" si="203"/>
        <v>2332.1403487822754</v>
      </c>
      <c r="R412" s="87">
        <f t="shared" si="204"/>
        <v>2864.6217971598726</v>
      </c>
      <c r="S412" s="87">
        <f t="shared" si="205"/>
        <v>2925.3377341272562</v>
      </c>
      <c r="T412" s="87">
        <f t="shared" si="206"/>
        <v>3009.4622251061592</v>
      </c>
      <c r="U412" s="87">
        <f t="shared" si="207"/>
        <v>3012.3882943575991</v>
      </c>
      <c r="V412" s="87">
        <f t="shared" si="208"/>
        <v>3013.851328983319</v>
      </c>
      <c r="W412" s="87">
        <f t="shared" si="209"/>
        <v>3016.0458809218994</v>
      </c>
      <c r="X412" s="87">
        <f t="shared" si="210"/>
        <v>3016.0458809218994</v>
      </c>
      <c r="Y412" s="87">
        <f t="shared" si="211"/>
        <v>3016.0458809218994</v>
      </c>
      <c r="Z412" s="87">
        <f t="shared" si="212"/>
        <v>3016.0458809218994</v>
      </c>
      <c r="AA412" s="88">
        <v>500</v>
      </c>
      <c r="AB412" s="89">
        <f>AA412*GDPdeflator!$C$25/$AI$18*10^3</f>
        <v>48.0747492686653</v>
      </c>
      <c r="AC412" s="90" t="e">
        <f>INDEX(Efficiencies!$D$8:$M$89,MATCH(C412,Efficiencies!$C$8:$C$89),MATCH(D412,Efficiencies!$D$7:$M$7))</f>
        <v>#REF!</v>
      </c>
      <c r="AD412" s="90" t="e">
        <f t="shared" si="213"/>
        <v>#REF!</v>
      </c>
      <c r="AE412" s="90" t="e">
        <f>INDEX(Efficiencies!$P$8:$Y$89,MATCH(C412,Efficiencies!$C$8:$C$89),MATCH(D412,Efficiencies!$P$7:$Y$7))</f>
        <v>#REF!</v>
      </c>
      <c r="AF412" s="90" t="e">
        <f t="shared" si="199"/>
        <v>#REF!</v>
      </c>
      <c r="AG412" s="90">
        <v>0</v>
      </c>
    </row>
    <row r="413" spans="1:33" hidden="1" x14ac:dyDescent="0.2">
      <c r="A413" s="92" t="s">
        <v>1633</v>
      </c>
      <c r="B413" s="248" t="s">
        <v>1634</v>
      </c>
      <c r="C413" s="40" t="s">
        <v>1630</v>
      </c>
      <c r="D413" s="40">
        <v>2010</v>
      </c>
      <c r="E413" s="86">
        <f>GDPdeflator!$C$32*INDEX(Costs!$E$7:$O$89,MATCH($C413,Costs!$C$7:$C$89,0),MATCH(E$7,Costs!$E$6:$O$6,0))</f>
        <v>26.387678000581221</v>
      </c>
      <c r="F413" s="86">
        <f>GDPdeflator!$C$36*INDEX(Costs!$E$7:$O$89,MATCH($C413,Costs!$C$7:$C$89,0),MATCH(F$7,Costs!$E$6:$O$6,0))</f>
        <v>27.930444184160734</v>
      </c>
      <c r="G413" s="86">
        <f>GDPdeflator!$C$38*INDEX(Costs!$E$7:$O$89,MATCH($C413,Costs!$C$7:$C$89,0),MATCH(G$7,Costs!$E$6:$O$6,0))</f>
        <v>34.307608997923843</v>
      </c>
      <c r="H413" s="86">
        <f>GDPdeflator!$C$38*INDEX(Costs!$E$7:$O$89,MATCH($C413,Costs!$C$7:$C$89,0),MATCH(H$7,Costs!$E$6:$O$6,0))</f>
        <v>35.03476209976953</v>
      </c>
      <c r="I413" s="86">
        <f>GDPdeflator!$C$38*INDEX(Costs!$E$7:$O$89,MATCH($C413,Costs!$C$7:$C$89,0),MATCH(I$7,Costs!$E$6:$O$6,0))</f>
        <v>36.042263385459322</v>
      </c>
      <c r="J413" s="86">
        <f>GDPdeflator!$C$38*INDEX(Costs!$E$7:$O$89,MATCH($C413,Costs!$C$7:$C$89,0),MATCH(J$7,Costs!$E$6:$O$6,0))</f>
        <v>36.077306908439837</v>
      </c>
      <c r="K413" s="86">
        <f>GDPdeflator!$C$38*INDEX(Costs!$E$7:$O$89,MATCH($C413,Costs!$C$7:$C$89,0),MATCH(K$7,Costs!$E$6:$O$6,0))</f>
        <v>36.094828669930095</v>
      </c>
      <c r="L413" s="86">
        <f>GDPdeflator!$C$38*INDEX(Costs!$E$7:$O$89,MATCH($C413,Costs!$C$7:$C$89,0),MATCH(L$7,Costs!$E$6:$O$6,0))</f>
        <v>36.121111312165482</v>
      </c>
      <c r="M413" s="86">
        <f>GDPdeflator!$C$38*INDEX(Costs!$E$7:$O$89,MATCH($C413,Costs!$C$7:$C$89,0),MATCH(M$7,Costs!$E$6:$O$6,0))</f>
        <v>36.121111312165482</v>
      </c>
      <c r="N413" s="86">
        <f>GDPdeflator!$C$38*INDEX(Costs!$E$7:$O$89,MATCH($C413,Costs!$C$7:$C$89,0),MATCH(N$7,Costs!$E$6:$O$6,0))</f>
        <v>36.121111312165482</v>
      </c>
      <c r="O413" s="86">
        <f>GDPdeflator!$C$38*INDEX(Costs!$E$7:$O$89,MATCH($C413,Costs!$C$7:$C$89,0),MATCH(O$7,Costs!$E$6:$O$6,0))</f>
        <v>36.121111312165482</v>
      </c>
      <c r="P413" s="87">
        <f t="shared" si="215"/>
        <v>2203.322230397212</v>
      </c>
      <c r="Q413" s="87">
        <f t="shared" si="203"/>
        <v>2332.1403487822754</v>
      </c>
      <c r="R413" s="87">
        <f t="shared" si="204"/>
        <v>2864.6217971598726</v>
      </c>
      <c r="S413" s="87">
        <f t="shared" si="205"/>
        <v>2925.3377341272562</v>
      </c>
      <c r="T413" s="87">
        <f t="shared" si="206"/>
        <v>3009.4622251061592</v>
      </c>
      <c r="U413" s="87">
        <f t="shared" si="207"/>
        <v>3012.3882943575991</v>
      </c>
      <c r="V413" s="87">
        <f t="shared" si="208"/>
        <v>3013.851328983319</v>
      </c>
      <c r="W413" s="87">
        <f t="shared" si="209"/>
        <v>3016.0458809218994</v>
      </c>
      <c r="X413" s="87">
        <f t="shared" si="210"/>
        <v>3016.0458809218994</v>
      </c>
      <c r="Y413" s="87">
        <f t="shared" si="211"/>
        <v>3016.0458809218994</v>
      </c>
      <c r="Z413" s="87">
        <f t="shared" si="212"/>
        <v>3016.0458809218994</v>
      </c>
      <c r="AA413" s="88">
        <v>500</v>
      </c>
      <c r="AB413" s="89">
        <f>AA413*GDPdeflator!$C$25/$AI$18*10^3</f>
        <v>48.0747492686653</v>
      </c>
      <c r="AC413" s="90" t="e">
        <f>INDEX(Efficiencies!$D$8:$M$89,MATCH(C413,Efficiencies!$C$8:$C$89),MATCH(D413,Efficiencies!$D$7:$M$7))</f>
        <v>#REF!</v>
      </c>
      <c r="AD413" s="90" t="e">
        <f t="shared" si="213"/>
        <v>#REF!</v>
      </c>
      <c r="AE413" s="90" t="e">
        <f>INDEX(Efficiencies!$P$8:$Y$89,MATCH(C413,Efficiencies!$C$8:$C$89),MATCH(D413,Efficiencies!$P$7:$Y$7))</f>
        <v>#REF!</v>
      </c>
      <c r="AF413" s="90" t="e">
        <f t="shared" si="199"/>
        <v>#REF!</v>
      </c>
      <c r="AG413" s="90">
        <v>0</v>
      </c>
    </row>
    <row r="414" spans="1:33" hidden="1" x14ac:dyDescent="0.2">
      <c r="A414" s="92" t="s">
        <v>1635</v>
      </c>
      <c r="B414" s="248" t="s">
        <v>1636</v>
      </c>
      <c r="C414" s="40" t="s">
        <v>1630</v>
      </c>
      <c r="D414" s="40">
        <v>2015</v>
      </c>
      <c r="E414" s="86">
        <f>GDPdeflator!$C$32*INDEX(Costs!$E$7:$O$89,MATCH($C414,Costs!$C$7:$C$89,0),MATCH(E$7,Costs!$E$6:$O$6,0))</f>
        <v>26.387678000581221</v>
      </c>
      <c r="F414" s="86">
        <f>GDPdeflator!$C$36*INDEX(Costs!$E$7:$O$89,MATCH($C414,Costs!$C$7:$C$89,0),MATCH(F$7,Costs!$E$6:$O$6,0))</f>
        <v>27.930444184160734</v>
      </c>
      <c r="G414" s="86">
        <f>GDPdeflator!$C$38*INDEX(Costs!$E$7:$O$89,MATCH($C414,Costs!$C$7:$C$89,0),MATCH(G$7,Costs!$E$6:$O$6,0))</f>
        <v>34.307608997923843</v>
      </c>
      <c r="H414" s="86">
        <f>GDPdeflator!$C$38*INDEX(Costs!$E$7:$O$89,MATCH($C414,Costs!$C$7:$C$89,0),MATCH(H$7,Costs!$E$6:$O$6,0))</f>
        <v>35.03476209976953</v>
      </c>
      <c r="I414" s="86">
        <f>GDPdeflator!$C$38*INDEX(Costs!$E$7:$O$89,MATCH($C414,Costs!$C$7:$C$89,0),MATCH(I$7,Costs!$E$6:$O$6,0))</f>
        <v>36.042263385459322</v>
      </c>
      <c r="J414" s="86">
        <f>GDPdeflator!$C$38*INDEX(Costs!$E$7:$O$89,MATCH($C414,Costs!$C$7:$C$89,0),MATCH(J$7,Costs!$E$6:$O$6,0))</f>
        <v>36.077306908439837</v>
      </c>
      <c r="K414" s="86">
        <f>GDPdeflator!$C$38*INDEX(Costs!$E$7:$O$89,MATCH($C414,Costs!$C$7:$C$89,0),MATCH(K$7,Costs!$E$6:$O$6,0))</f>
        <v>36.094828669930095</v>
      </c>
      <c r="L414" s="86">
        <f>GDPdeflator!$C$38*INDEX(Costs!$E$7:$O$89,MATCH($C414,Costs!$C$7:$C$89,0),MATCH(L$7,Costs!$E$6:$O$6,0))</f>
        <v>36.121111312165482</v>
      </c>
      <c r="M414" s="86">
        <f>GDPdeflator!$C$38*INDEX(Costs!$E$7:$O$89,MATCH($C414,Costs!$C$7:$C$89,0),MATCH(M$7,Costs!$E$6:$O$6,0))</f>
        <v>36.121111312165482</v>
      </c>
      <c r="N414" s="86">
        <f>GDPdeflator!$C$38*INDEX(Costs!$E$7:$O$89,MATCH($C414,Costs!$C$7:$C$89,0),MATCH(N$7,Costs!$E$6:$O$6,0))</f>
        <v>36.121111312165482</v>
      </c>
      <c r="O414" s="86">
        <f>GDPdeflator!$C$38*INDEX(Costs!$E$7:$O$89,MATCH($C414,Costs!$C$7:$C$89,0),MATCH(O$7,Costs!$E$6:$O$6,0))</f>
        <v>36.121111312165482</v>
      </c>
      <c r="P414" s="87">
        <f t="shared" si="215"/>
        <v>2203.322230397212</v>
      </c>
      <c r="Q414" s="87">
        <f t="shared" si="203"/>
        <v>2332.1403487822754</v>
      </c>
      <c r="R414" s="87">
        <f t="shared" si="204"/>
        <v>2864.6217971598726</v>
      </c>
      <c r="S414" s="87">
        <f t="shared" si="205"/>
        <v>2925.3377341272562</v>
      </c>
      <c r="T414" s="87">
        <f t="shared" si="206"/>
        <v>3009.4622251061592</v>
      </c>
      <c r="U414" s="87">
        <f t="shared" si="207"/>
        <v>3012.3882943575991</v>
      </c>
      <c r="V414" s="87">
        <f t="shared" si="208"/>
        <v>3013.851328983319</v>
      </c>
      <c r="W414" s="87">
        <f t="shared" si="209"/>
        <v>3016.0458809218994</v>
      </c>
      <c r="X414" s="87">
        <f t="shared" si="210"/>
        <v>3016.0458809218994</v>
      </c>
      <c r="Y414" s="87">
        <f t="shared" si="211"/>
        <v>3016.0458809218994</v>
      </c>
      <c r="Z414" s="87">
        <f t="shared" si="212"/>
        <v>3016.0458809218994</v>
      </c>
      <c r="AA414" s="88">
        <v>500</v>
      </c>
      <c r="AB414" s="89">
        <f>AA414*GDPdeflator!$C$25/$AI$18*10^3</f>
        <v>48.0747492686653</v>
      </c>
      <c r="AC414" s="90" t="e">
        <f>INDEX(Efficiencies!$D$8:$M$89,MATCH(C414,Efficiencies!$C$8:$C$89),MATCH(D414,Efficiencies!$D$7:$M$7))</f>
        <v>#REF!</v>
      </c>
      <c r="AD414" s="90" t="e">
        <f t="shared" si="213"/>
        <v>#REF!</v>
      </c>
      <c r="AE414" s="90" t="e">
        <f>INDEX(Efficiencies!$P$8:$Y$89,MATCH(C414,Efficiencies!$C$8:$C$89),MATCH(D414,Efficiencies!$P$7:$Y$7))</f>
        <v>#REF!</v>
      </c>
      <c r="AF414" s="90" t="e">
        <f t="shared" ref="AF414:AF477" si="216">AE414/($AI$11*$AI$15*10 ^ 9)</f>
        <v>#REF!</v>
      </c>
      <c r="AG414" s="90">
        <v>0</v>
      </c>
    </row>
    <row r="415" spans="1:33" hidden="1" x14ac:dyDescent="0.2">
      <c r="A415" s="92" t="s">
        <v>1637</v>
      </c>
      <c r="B415" s="248" t="s">
        <v>1638</v>
      </c>
      <c r="C415" s="40" t="s">
        <v>1630</v>
      </c>
      <c r="D415" s="40">
        <v>2020</v>
      </c>
      <c r="E415" s="86">
        <f>GDPdeflator!$C$32*INDEX(Costs!$E$7:$O$89,MATCH($C415,Costs!$C$7:$C$89,0),MATCH(E$7,Costs!$E$6:$O$6,0))</f>
        <v>26.387678000581221</v>
      </c>
      <c r="F415" s="86">
        <f>GDPdeflator!$C$36*INDEX(Costs!$E$7:$O$89,MATCH($C415,Costs!$C$7:$C$89,0),MATCH(F$7,Costs!$E$6:$O$6,0))</f>
        <v>27.930444184160734</v>
      </c>
      <c r="G415" s="86">
        <f>GDPdeflator!$C$38*INDEX(Costs!$E$7:$O$89,MATCH($C415,Costs!$C$7:$C$89,0),MATCH(G$7,Costs!$E$6:$O$6,0))</f>
        <v>34.307608997923843</v>
      </c>
      <c r="H415" s="86">
        <f>GDPdeflator!$C$38*INDEX(Costs!$E$7:$O$89,MATCH($C415,Costs!$C$7:$C$89,0),MATCH(H$7,Costs!$E$6:$O$6,0))</f>
        <v>35.03476209976953</v>
      </c>
      <c r="I415" s="86">
        <f>GDPdeflator!$C$38*INDEX(Costs!$E$7:$O$89,MATCH($C415,Costs!$C$7:$C$89,0),MATCH(I$7,Costs!$E$6:$O$6,0))</f>
        <v>36.042263385459322</v>
      </c>
      <c r="J415" s="86">
        <f>GDPdeflator!$C$38*INDEX(Costs!$E$7:$O$89,MATCH($C415,Costs!$C$7:$C$89,0),MATCH(J$7,Costs!$E$6:$O$6,0))</f>
        <v>36.077306908439837</v>
      </c>
      <c r="K415" s="86">
        <f>GDPdeflator!$C$38*INDEX(Costs!$E$7:$O$89,MATCH($C415,Costs!$C$7:$C$89,0),MATCH(K$7,Costs!$E$6:$O$6,0))</f>
        <v>36.094828669930095</v>
      </c>
      <c r="L415" s="86">
        <f>GDPdeflator!$C$38*INDEX(Costs!$E$7:$O$89,MATCH($C415,Costs!$C$7:$C$89,0),MATCH(L$7,Costs!$E$6:$O$6,0))</f>
        <v>36.121111312165482</v>
      </c>
      <c r="M415" s="86">
        <f>GDPdeflator!$C$38*INDEX(Costs!$E$7:$O$89,MATCH($C415,Costs!$C$7:$C$89,0),MATCH(M$7,Costs!$E$6:$O$6,0))</f>
        <v>36.121111312165482</v>
      </c>
      <c r="N415" s="86">
        <f>GDPdeflator!$C$38*INDEX(Costs!$E$7:$O$89,MATCH($C415,Costs!$C$7:$C$89,0),MATCH(N$7,Costs!$E$6:$O$6,0))</f>
        <v>36.121111312165482</v>
      </c>
      <c r="O415" s="86">
        <f>GDPdeflator!$C$38*INDEX(Costs!$E$7:$O$89,MATCH($C415,Costs!$C$7:$C$89,0),MATCH(O$7,Costs!$E$6:$O$6,0))</f>
        <v>36.121111312165482</v>
      </c>
      <c r="P415" s="87">
        <f t="shared" si="215"/>
        <v>2203.322230397212</v>
      </c>
      <c r="Q415" s="87">
        <f t="shared" si="203"/>
        <v>2332.1403487822754</v>
      </c>
      <c r="R415" s="87">
        <f t="shared" si="204"/>
        <v>2864.6217971598726</v>
      </c>
      <c r="S415" s="87">
        <f t="shared" si="205"/>
        <v>2925.3377341272562</v>
      </c>
      <c r="T415" s="87">
        <f t="shared" si="206"/>
        <v>3009.4622251061592</v>
      </c>
      <c r="U415" s="87">
        <f t="shared" si="207"/>
        <v>3012.3882943575991</v>
      </c>
      <c r="V415" s="87">
        <f t="shared" si="208"/>
        <v>3013.851328983319</v>
      </c>
      <c r="W415" s="87">
        <f t="shared" si="209"/>
        <v>3016.0458809218994</v>
      </c>
      <c r="X415" s="87">
        <f t="shared" si="210"/>
        <v>3016.0458809218994</v>
      </c>
      <c r="Y415" s="87">
        <f t="shared" si="211"/>
        <v>3016.0458809218994</v>
      </c>
      <c r="Z415" s="87">
        <f t="shared" si="212"/>
        <v>3016.0458809218994</v>
      </c>
      <c r="AA415" s="88">
        <v>500</v>
      </c>
      <c r="AB415" s="89">
        <f>AA415*GDPdeflator!$C$25/$AI$18*10^3</f>
        <v>48.0747492686653</v>
      </c>
      <c r="AC415" s="90" t="e">
        <f>INDEX(Efficiencies!$D$8:$M$89,MATCH(C415,Efficiencies!$C$8:$C$89),MATCH(D415,Efficiencies!$D$7:$M$7))</f>
        <v>#REF!</v>
      </c>
      <c r="AD415" s="90" t="e">
        <f t="shared" si="213"/>
        <v>#REF!</v>
      </c>
      <c r="AE415" s="90" t="e">
        <f>INDEX(Efficiencies!$P$8:$Y$89,MATCH(C415,Efficiencies!$C$8:$C$89),MATCH(D415,Efficiencies!$P$7:$Y$7))</f>
        <v>#REF!</v>
      </c>
      <c r="AF415" s="90" t="e">
        <f t="shared" si="216"/>
        <v>#REF!</v>
      </c>
      <c r="AG415" s="90">
        <v>0</v>
      </c>
    </row>
    <row r="416" spans="1:33" hidden="1" x14ac:dyDescent="0.2">
      <c r="A416" s="92" t="s">
        <v>1639</v>
      </c>
      <c r="B416" s="248" t="s">
        <v>1640</v>
      </c>
      <c r="C416" s="40" t="s">
        <v>1630</v>
      </c>
      <c r="D416" s="40">
        <v>2025</v>
      </c>
      <c r="E416" s="86">
        <f>GDPdeflator!$C$32*INDEX(Costs!$E$7:$O$89,MATCH($C416,Costs!$C$7:$C$89,0),MATCH(E$7,Costs!$E$6:$O$6,0))</f>
        <v>26.387678000581221</v>
      </c>
      <c r="F416" s="86">
        <f>GDPdeflator!$C$36*INDEX(Costs!$E$7:$O$89,MATCH($C416,Costs!$C$7:$C$89,0),MATCH(F$7,Costs!$E$6:$O$6,0))</f>
        <v>27.930444184160734</v>
      </c>
      <c r="G416" s="86">
        <f>GDPdeflator!$C$38*INDEX(Costs!$E$7:$O$89,MATCH($C416,Costs!$C$7:$C$89,0),MATCH(G$7,Costs!$E$6:$O$6,0))</f>
        <v>34.307608997923843</v>
      </c>
      <c r="H416" s="86">
        <f>GDPdeflator!$C$38*INDEX(Costs!$E$7:$O$89,MATCH($C416,Costs!$C$7:$C$89,0),MATCH(H$7,Costs!$E$6:$O$6,0))</f>
        <v>35.03476209976953</v>
      </c>
      <c r="I416" s="86">
        <f>GDPdeflator!$C$38*INDEX(Costs!$E$7:$O$89,MATCH($C416,Costs!$C$7:$C$89,0),MATCH(I$7,Costs!$E$6:$O$6,0))</f>
        <v>36.042263385459322</v>
      </c>
      <c r="J416" s="86">
        <f>GDPdeflator!$C$38*INDEX(Costs!$E$7:$O$89,MATCH($C416,Costs!$C$7:$C$89,0),MATCH(J$7,Costs!$E$6:$O$6,0))</f>
        <v>36.077306908439837</v>
      </c>
      <c r="K416" s="86">
        <f>GDPdeflator!$C$38*INDEX(Costs!$E$7:$O$89,MATCH($C416,Costs!$C$7:$C$89,0),MATCH(K$7,Costs!$E$6:$O$6,0))</f>
        <v>36.094828669930095</v>
      </c>
      <c r="L416" s="86">
        <f>GDPdeflator!$C$38*INDEX(Costs!$E$7:$O$89,MATCH($C416,Costs!$C$7:$C$89,0),MATCH(L$7,Costs!$E$6:$O$6,0))</f>
        <v>36.121111312165482</v>
      </c>
      <c r="M416" s="86">
        <f>GDPdeflator!$C$38*INDEX(Costs!$E$7:$O$89,MATCH($C416,Costs!$C$7:$C$89,0),MATCH(M$7,Costs!$E$6:$O$6,0))</f>
        <v>36.121111312165482</v>
      </c>
      <c r="N416" s="86">
        <f>GDPdeflator!$C$38*INDEX(Costs!$E$7:$O$89,MATCH($C416,Costs!$C$7:$C$89,0),MATCH(N$7,Costs!$E$6:$O$6,0))</f>
        <v>36.121111312165482</v>
      </c>
      <c r="O416" s="86">
        <f>GDPdeflator!$C$38*INDEX(Costs!$E$7:$O$89,MATCH($C416,Costs!$C$7:$C$89,0),MATCH(O$7,Costs!$E$6:$O$6,0))</f>
        <v>36.121111312165482</v>
      </c>
      <c r="P416" s="87">
        <f t="shared" si="215"/>
        <v>2203.322230397212</v>
      </c>
      <c r="Q416" s="87">
        <f t="shared" si="203"/>
        <v>2332.1403487822754</v>
      </c>
      <c r="R416" s="87">
        <f t="shared" si="204"/>
        <v>2864.6217971598726</v>
      </c>
      <c r="S416" s="87">
        <f t="shared" si="205"/>
        <v>2925.3377341272562</v>
      </c>
      <c r="T416" s="87">
        <f t="shared" si="206"/>
        <v>3009.4622251061592</v>
      </c>
      <c r="U416" s="87">
        <f t="shared" si="207"/>
        <v>3012.3882943575991</v>
      </c>
      <c r="V416" s="87">
        <f t="shared" si="208"/>
        <v>3013.851328983319</v>
      </c>
      <c r="W416" s="87">
        <f t="shared" si="209"/>
        <v>3016.0458809218994</v>
      </c>
      <c r="X416" s="87">
        <f t="shared" si="210"/>
        <v>3016.0458809218994</v>
      </c>
      <c r="Y416" s="87">
        <f t="shared" si="211"/>
        <v>3016.0458809218994</v>
      </c>
      <c r="Z416" s="87">
        <f t="shared" si="212"/>
        <v>3016.0458809218994</v>
      </c>
      <c r="AA416" s="88">
        <v>500</v>
      </c>
      <c r="AB416" s="89">
        <f>AA416*GDPdeflator!$C$25/$AI$18*10^3</f>
        <v>48.0747492686653</v>
      </c>
      <c r="AC416" s="90" t="e">
        <f>INDEX(Efficiencies!$D$8:$M$89,MATCH(C416,Efficiencies!$C$8:$C$89),MATCH(D416,Efficiencies!$D$7:$M$7))</f>
        <v>#REF!</v>
      </c>
      <c r="AD416" s="90" t="e">
        <f t="shared" si="213"/>
        <v>#REF!</v>
      </c>
      <c r="AE416" s="90" t="e">
        <f>INDEX(Efficiencies!$P$8:$Y$89,MATCH(C416,Efficiencies!$C$8:$C$89),MATCH(D416,Efficiencies!$P$7:$Y$7))</f>
        <v>#REF!</v>
      </c>
      <c r="AF416" s="90" t="e">
        <f t="shared" si="216"/>
        <v>#REF!</v>
      </c>
      <c r="AG416" s="90">
        <v>0</v>
      </c>
    </row>
    <row r="417" spans="1:33" hidden="1" x14ac:dyDescent="0.2">
      <c r="A417" s="92" t="s">
        <v>1641</v>
      </c>
      <c r="B417" s="248" t="s">
        <v>1642</v>
      </c>
      <c r="C417" s="40" t="s">
        <v>1630</v>
      </c>
      <c r="D417" s="40">
        <v>2030</v>
      </c>
      <c r="E417" s="86">
        <f>GDPdeflator!$C$32*INDEX(Costs!$E$7:$O$89,MATCH($C417,Costs!$C$7:$C$89,0),MATCH(E$7,Costs!$E$6:$O$6,0))</f>
        <v>26.387678000581221</v>
      </c>
      <c r="F417" s="86">
        <f>GDPdeflator!$C$36*INDEX(Costs!$E$7:$O$89,MATCH($C417,Costs!$C$7:$C$89,0),MATCH(F$7,Costs!$E$6:$O$6,0))</f>
        <v>27.930444184160734</v>
      </c>
      <c r="G417" s="86">
        <f>GDPdeflator!$C$38*INDEX(Costs!$E$7:$O$89,MATCH($C417,Costs!$C$7:$C$89,0),MATCH(G$7,Costs!$E$6:$O$6,0))</f>
        <v>34.307608997923843</v>
      </c>
      <c r="H417" s="86">
        <f>GDPdeflator!$C$38*INDEX(Costs!$E$7:$O$89,MATCH($C417,Costs!$C$7:$C$89,0),MATCH(H$7,Costs!$E$6:$O$6,0))</f>
        <v>35.03476209976953</v>
      </c>
      <c r="I417" s="86">
        <f>GDPdeflator!$C$38*INDEX(Costs!$E$7:$O$89,MATCH($C417,Costs!$C$7:$C$89,0),MATCH(I$7,Costs!$E$6:$O$6,0))</f>
        <v>36.042263385459322</v>
      </c>
      <c r="J417" s="86">
        <f>GDPdeflator!$C$38*INDEX(Costs!$E$7:$O$89,MATCH($C417,Costs!$C$7:$C$89,0),MATCH(J$7,Costs!$E$6:$O$6,0))</f>
        <v>36.077306908439837</v>
      </c>
      <c r="K417" s="86">
        <f>GDPdeflator!$C$38*INDEX(Costs!$E$7:$O$89,MATCH($C417,Costs!$C$7:$C$89,0),MATCH(K$7,Costs!$E$6:$O$6,0))</f>
        <v>36.094828669930095</v>
      </c>
      <c r="L417" s="86">
        <f>GDPdeflator!$C$38*INDEX(Costs!$E$7:$O$89,MATCH($C417,Costs!$C$7:$C$89,0),MATCH(L$7,Costs!$E$6:$O$6,0))</f>
        <v>36.121111312165482</v>
      </c>
      <c r="M417" s="86">
        <f>GDPdeflator!$C$38*INDEX(Costs!$E$7:$O$89,MATCH($C417,Costs!$C$7:$C$89,0),MATCH(M$7,Costs!$E$6:$O$6,0))</f>
        <v>36.121111312165482</v>
      </c>
      <c r="N417" s="86">
        <f>GDPdeflator!$C$38*INDEX(Costs!$E$7:$O$89,MATCH($C417,Costs!$C$7:$C$89,0),MATCH(N$7,Costs!$E$6:$O$6,0))</f>
        <v>36.121111312165482</v>
      </c>
      <c r="O417" s="86">
        <f>GDPdeflator!$C$38*INDEX(Costs!$E$7:$O$89,MATCH($C417,Costs!$C$7:$C$89,0),MATCH(O$7,Costs!$E$6:$O$6,0))</f>
        <v>36.121111312165482</v>
      </c>
      <c r="P417" s="87">
        <f t="shared" si="215"/>
        <v>2203.322230397212</v>
      </c>
      <c r="Q417" s="87">
        <f t="shared" si="203"/>
        <v>2332.1403487822754</v>
      </c>
      <c r="R417" s="87">
        <f t="shared" si="204"/>
        <v>2864.6217971598726</v>
      </c>
      <c r="S417" s="87">
        <f t="shared" si="205"/>
        <v>2925.3377341272562</v>
      </c>
      <c r="T417" s="87">
        <f t="shared" si="206"/>
        <v>3009.4622251061592</v>
      </c>
      <c r="U417" s="87">
        <f t="shared" si="207"/>
        <v>3012.3882943575991</v>
      </c>
      <c r="V417" s="87">
        <f t="shared" si="208"/>
        <v>3013.851328983319</v>
      </c>
      <c r="W417" s="87">
        <f t="shared" si="209"/>
        <v>3016.0458809218994</v>
      </c>
      <c r="X417" s="87">
        <f t="shared" si="210"/>
        <v>3016.0458809218994</v>
      </c>
      <c r="Y417" s="87">
        <f t="shared" si="211"/>
        <v>3016.0458809218994</v>
      </c>
      <c r="Z417" s="87">
        <f t="shared" si="212"/>
        <v>3016.0458809218994</v>
      </c>
      <c r="AA417" s="88">
        <v>500</v>
      </c>
      <c r="AB417" s="89">
        <f>AA417*GDPdeflator!$C$25/$AI$18*10^3</f>
        <v>48.0747492686653</v>
      </c>
      <c r="AC417" s="90" t="e">
        <f>INDEX(Efficiencies!$D$8:$M$89,MATCH(C417,Efficiencies!$C$8:$C$89),MATCH(D417,Efficiencies!$D$7:$M$7))</f>
        <v>#REF!</v>
      </c>
      <c r="AD417" s="90" t="e">
        <f t="shared" si="213"/>
        <v>#REF!</v>
      </c>
      <c r="AE417" s="90" t="e">
        <f>INDEX(Efficiencies!$P$8:$Y$89,MATCH(C417,Efficiencies!$C$8:$C$89),MATCH(D417,Efficiencies!$P$7:$Y$7))</f>
        <v>#REF!</v>
      </c>
      <c r="AF417" s="90" t="e">
        <f t="shared" si="216"/>
        <v>#REF!</v>
      </c>
      <c r="AG417" s="90">
        <v>0</v>
      </c>
    </row>
    <row r="418" spans="1:33" hidden="1" x14ac:dyDescent="0.2">
      <c r="A418" s="92" t="s">
        <v>1643</v>
      </c>
      <c r="B418" s="248" t="s">
        <v>1644</v>
      </c>
      <c r="C418" s="40" t="s">
        <v>1630</v>
      </c>
      <c r="D418" s="40">
        <v>2035</v>
      </c>
      <c r="E418" s="86">
        <f>GDPdeflator!$C$32*INDEX(Costs!$E$7:$O$89,MATCH($C418,Costs!$C$7:$C$89,0),MATCH(E$7,Costs!$E$6:$O$6,0))</f>
        <v>26.387678000581221</v>
      </c>
      <c r="F418" s="86">
        <f>GDPdeflator!$C$36*INDEX(Costs!$E$7:$O$89,MATCH($C418,Costs!$C$7:$C$89,0),MATCH(F$7,Costs!$E$6:$O$6,0))</f>
        <v>27.930444184160734</v>
      </c>
      <c r="G418" s="86">
        <f>GDPdeflator!$C$38*INDEX(Costs!$E$7:$O$89,MATCH($C418,Costs!$C$7:$C$89,0),MATCH(G$7,Costs!$E$6:$O$6,0))</f>
        <v>34.307608997923843</v>
      </c>
      <c r="H418" s="86">
        <f>GDPdeflator!$C$38*INDEX(Costs!$E$7:$O$89,MATCH($C418,Costs!$C$7:$C$89,0),MATCH(H$7,Costs!$E$6:$O$6,0))</f>
        <v>35.03476209976953</v>
      </c>
      <c r="I418" s="86">
        <f>GDPdeflator!$C$38*INDEX(Costs!$E$7:$O$89,MATCH($C418,Costs!$C$7:$C$89,0),MATCH(I$7,Costs!$E$6:$O$6,0))</f>
        <v>36.042263385459322</v>
      </c>
      <c r="J418" s="86">
        <f>GDPdeflator!$C$38*INDEX(Costs!$E$7:$O$89,MATCH($C418,Costs!$C$7:$C$89,0),MATCH(J$7,Costs!$E$6:$O$6,0))</f>
        <v>36.077306908439837</v>
      </c>
      <c r="K418" s="86">
        <f>GDPdeflator!$C$38*INDEX(Costs!$E$7:$O$89,MATCH($C418,Costs!$C$7:$C$89,0),MATCH(K$7,Costs!$E$6:$O$6,0))</f>
        <v>36.094828669930095</v>
      </c>
      <c r="L418" s="86">
        <f>GDPdeflator!$C$38*INDEX(Costs!$E$7:$O$89,MATCH($C418,Costs!$C$7:$C$89,0),MATCH(L$7,Costs!$E$6:$O$6,0))</f>
        <v>36.121111312165482</v>
      </c>
      <c r="M418" s="86">
        <f>GDPdeflator!$C$38*INDEX(Costs!$E$7:$O$89,MATCH($C418,Costs!$C$7:$C$89,0),MATCH(M$7,Costs!$E$6:$O$6,0))</f>
        <v>36.121111312165482</v>
      </c>
      <c r="N418" s="86">
        <f>GDPdeflator!$C$38*INDEX(Costs!$E$7:$O$89,MATCH($C418,Costs!$C$7:$C$89,0),MATCH(N$7,Costs!$E$6:$O$6,0))</f>
        <v>36.121111312165482</v>
      </c>
      <c r="O418" s="86">
        <f>GDPdeflator!$C$38*INDEX(Costs!$E$7:$O$89,MATCH($C418,Costs!$C$7:$C$89,0),MATCH(O$7,Costs!$E$6:$O$6,0))</f>
        <v>36.121111312165482</v>
      </c>
      <c r="P418" s="87">
        <f t="shared" si="215"/>
        <v>2203.322230397212</v>
      </c>
      <c r="Q418" s="87">
        <f t="shared" si="203"/>
        <v>2332.1403487822754</v>
      </c>
      <c r="R418" s="87">
        <f t="shared" si="204"/>
        <v>2864.6217971598726</v>
      </c>
      <c r="S418" s="87">
        <f t="shared" si="205"/>
        <v>2925.3377341272562</v>
      </c>
      <c r="T418" s="87">
        <f t="shared" si="206"/>
        <v>3009.4622251061592</v>
      </c>
      <c r="U418" s="87">
        <f t="shared" si="207"/>
        <v>3012.3882943575991</v>
      </c>
      <c r="V418" s="87">
        <f t="shared" si="208"/>
        <v>3013.851328983319</v>
      </c>
      <c r="W418" s="87">
        <f t="shared" si="209"/>
        <v>3016.0458809218994</v>
      </c>
      <c r="X418" s="87">
        <f t="shared" si="210"/>
        <v>3016.0458809218994</v>
      </c>
      <c r="Y418" s="87">
        <f t="shared" si="211"/>
        <v>3016.0458809218994</v>
      </c>
      <c r="Z418" s="87">
        <f t="shared" si="212"/>
        <v>3016.0458809218994</v>
      </c>
      <c r="AA418" s="88">
        <v>500</v>
      </c>
      <c r="AB418" s="89">
        <f>AA418*GDPdeflator!$C$25/$AI$18*10^3</f>
        <v>48.0747492686653</v>
      </c>
      <c r="AC418" s="90" t="e">
        <f>INDEX(Efficiencies!$D$8:$M$89,MATCH(C418,Efficiencies!$C$8:$C$89),MATCH(D418,Efficiencies!$D$7:$M$7))</f>
        <v>#REF!</v>
      </c>
      <c r="AD418" s="90" t="e">
        <f t="shared" si="213"/>
        <v>#REF!</v>
      </c>
      <c r="AE418" s="90" t="e">
        <f>INDEX(Efficiencies!$P$8:$Y$89,MATCH(C418,Efficiencies!$C$8:$C$89),MATCH(D418,Efficiencies!$P$7:$Y$7))</f>
        <v>#REF!</v>
      </c>
      <c r="AF418" s="90" t="e">
        <f t="shared" si="216"/>
        <v>#REF!</v>
      </c>
      <c r="AG418" s="90">
        <v>0</v>
      </c>
    </row>
    <row r="419" spans="1:33" hidden="1" x14ac:dyDescent="0.2">
      <c r="A419" s="92" t="s">
        <v>1645</v>
      </c>
      <c r="B419" s="248" t="s">
        <v>1646</v>
      </c>
      <c r="C419" s="40" t="s">
        <v>1630</v>
      </c>
      <c r="D419" s="40">
        <v>2040</v>
      </c>
      <c r="E419" s="86">
        <f>GDPdeflator!$C$32*INDEX(Costs!$E$7:$O$89,MATCH($C419,Costs!$C$7:$C$89,0),MATCH(E$7,Costs!$E$6:$O$6,0))</f>
        <v>26.387678000581221</v>
      </c>
      <c r="F419" s="86">
        <f>GDPdeflator!$C$36*INDEX(Costs!$E$7:$O$89,MATCH($C419,Costs!$C$7:$C$89,0),MATCH(F$7,Costs!$E$6:$O$6,0))</f>
        <v>27.930444184160734</v>
      </c>
      <c r="G419" s="86">
        <f>GDPdeflator!$C$38*INDEX(Costs!$E$7:$O$89,MATCH($C419,Costs!$C$7:$C$89,0),MATCH(G$7,Costs!$E$6:$O$6,0))</f>
        <v>34.307608997923843</v>
      </c>
      <c r="H419" s="86">
        <f>GDPdeflator!$C$38*INDEX(Costs!$E$7:$O$89,MATCH($C419,Costs!$C$7:$C$89,0),MATCH(H$7,Costs!$E$6:$O$6,0))</f>
        <v>35.03476209976953</v>
      </c>
      <c r="I419" s="86">
        <f>GDPdeflator!$C$38*INDEX(Costs!$E$7:$O$89,MATCH($C419,Costs!$C$7:$C$89,0),MATCH(I$7,Costs!$E$6:$O$6,0))</f>
        <v>36.042263385459322</v>
      </c>
      <c r="J419" s="86">
        <f>GDPdeflator!$C$38*INDEX(Costs!$E$7:$O$89,MATCH($C419,Costs!$C$7:$C$89,0),MATCH(J$7,Costs!$E$6:$O$6,0))</f>
        <v>36.077306908439837</v>
      </c>
      <c r="K419" s="86">
        <f>GDPdeflator!$C$38*INDEX(Costs!$E$7:$O$89,MATCH($C419,Costs!$C$7:$C$89,0),MATCH(K$7,Costs!$E$6:$O$6,0))</f>
        <v>36.094828669930095</v>
      </c>
      <c r="L419" s="86">
        <f>GDPdeflator!$C$38*INDEX(Costs!$E$7:$O$89,MATCH($C419,Costs!$C$7:$C$89,0),MATCH(L$7,Costs!$E$6:$O$6,0))</f>
        <v>36.121111312165482</v>
      </c>
      <c r="M419" s="86">
        <f>GDPdeflator!$C$38*INDEX(Costs!$E$7:$O$89,MATCH($C419,Costs!$C$7:$C$89,0),MATCH(M$7,Costs!$E$6:$O$6,0))</f>
        <v>36.121111312165482</v>
      </c>
      <c r="N419" s="86">
        <f>GDPdeflator!$C$38*INDEX(Costs!$E$7:$O$89,MATCH($C419,Costs!$C$7:$C$89,0),MATCH(N$7,Costs!$E$6:$O$6,0))</f>
        <v>36.121111312165482</v>
      </c>
      <c r="O419" s="86">
        <f>GDPdeflator!$C$38*INDEX(Costs!$E$7:$O$89,MATCH($C419,Costs!$C$7:$C$89,0),MATCH(O$7,Costs!$E$6:$O$6,0))</f>
        <v>36.121111312165482</v>
      </c>
      <c r="P419" s="87">
        <f t="shared" si="215"/>
        <v>2203.322230397212</v>
      </c>
      <c r="Q419" s="87">
        <f t="shared" si="203"/>
        <v>2332.1403487822754</v>
      </c>
      <c r="R419" s="87">
        <f t="shared" si="204"/>
        <v>2864.6217971598726</v>
      </c>
      <c r="S419" s="87">
        <f t="shared" si="205"/>
        <v>2925.3377341272562</v>
      </c>
      <c r="T419" s="87">
        <f t="shared" si="206"/>
        <v>3009.4622251061592</v>
      </c>
      <c r="U419" s="87">
        <f t="shared" si="207"/>
        <v>3012.3882943575991</v>
      </c>
      <c r="V419" s="87">
        <f t="shared" si="208"/>
        <v>3013.851328983319</v>
      </c>
      <c r="W419" s="87">
        <f t="shared" si="209"/>
        <v>3016.0458809218994</v>
      </c>
      <c r="X419" s="87">
        <f t="shared" si="210"/>
        <v>3016.0458809218994</v>
      </c>
      <c r="Y419" s="87">
        <f t="shared" si="211"/>
        <v>3016.0458809218994</v>
      </c>
      <c r="Z419" s="87">
        <f t="shared" si="212"/>
        <v>3016.0458809218994</v>
      </c>
      <c r="AA419" s="88">
        <v>500</v>
      </c>
      <c r="AB419" s="89">
        <f>AA419*GDPdeflator!$C$25/$AI$18*10^3</f>
        <v>48.0747492686653</v>
      </c>
      <c r="AC419" s="90" t="e">
        <f>INDEX(Efficiencies!$D$8:$M$89,MATCH(C419,Efficiencies!$C$8:$C$89),MATCH(D419,Efficiencies!$D$7:$M$7))</f>
        <v>#REF!</v>
      </c>
      <c r="AD419" s="90" t="e">
        <f t="shared" si="213"/>
        <v>#REF!</v>
      </c>
      <c r="AE419" s="90" t="e">
        <f>INDEX(Efficiencies!$P$8:$Y$89,MATCH(C419,Efficiencies!$C$8:$C$89),MATCH(D419,Efficiencies!$P$7:$Y$7))</f>
        <v>#REF!</v>
      </c>
      <c r="AF419" s="90" t="e">
        <f t="shared" si="216"/>
        <v>#REF!</v>
      </c>
      <c r="AG419" s="90">
        <v>0</v>
      </c>
    </row>
    <row r="420" spans="1:33" hidden="1" x14ac:dyDescent="0.2">
      <c r="A420" s="92" t="s">
        <v>1647</v>
      </c>
      <c r="B420" s="248" t="s">
        <v>1648</v>
      </c>
      <c r="C420" s="40" t="s">
        <v>1630</v>
      </c>
      <c r="D420" s="40">
        <v>2045</v>
      </c>
      <c r="E420" s="86">
        <f>GDPdeflator!$C$32*INDEX(Costs!$E$7:$O$89,MATCH($C420,Costs!$C$7:$C$89,0),MATCH(E$7,Costs!$E$6:$O$6,0))</f>
        <v>26.387678000581221</v>
      </c>
      <c r="F420" s="86">
        <f>GDPdeflator!$C$36*INDEX(Costs!$E$7:$O$89,MATCH($C420,Costs!$C$7:$C$89,0),MATCH(F$7,Costs!$E$6:$O$6,0))</f>
        <v>27.930444184160734</v>
      </c>
      <c r="G420" s="86">
        <f>GDPdeflator!$C$38*INDEX(Costs!$E$7:$O$89,MATCH($C420,Costs!$C$7:$C$89,0),MATCH(G$7,Costs!$E$6:$O$6,0))</f>
        <v>34.307608997923843</v>
      </c>
      <c r="H420" s="86">
        <f>GDPdeflator!$C$38*INDEX(Costs!$E$7:$O$89,MATCH($C420,Costs!$C$7:$C$89,0),MATCH(H$7,Costs!$E$6:$O$6,0))</f>
        <v>35.03476209976953</v>
      </c>
      <c r="I420" s="86">
        <f>GDPdeflator!$C$38*INDEX(Costs!$E$7:$O$89,MATCH($C420,Costs!$C$7:$C$89,0),MATCH(I$7,Costs!$E$6:$O$6,0))</f>
        <v>36.042263385459322</v>
      </c>
      <c r="J420" s="86">
        <f>GDPdeflator!$C$38*INDEX(Costs!$E$7:$O$89,MATCH($C420,Costs!$C$7:$C$89,0),MATCH(J$7,Costs!$E$6:$O$6,0))</f>
        <v>36.077306908439837</v>
      </c>
      <c r="K420" s="86">
        <f>GDPdeflator!$C$38*INDEX(Costs!$E$7:$O$89,MATCH($C420,Costs!$C$7:$C$89,0),MATCH(K$7,Costs!$E$6:$O$6,0))</f>
        <v>36.094828669930095</v>
      </c>
      <c r="L420" s="86">
        <f>GDPdeflator!$C$38*INDEX(Costs!$E$7:$O$89,MATCH($C420,Costs!$C$7:$C$89,0),MATCH(L$7,Costs!$E$6:$O$6,0))</f>
        <v>36.121111312165482</v>
      </c>
      <c r="M420" s="86">
        <f>GDPdeflator!$C$38*INDEX(Costs!$E$7:$O$89,MATCH($C420,Costs!$C$7:$C$89,0),MATCH(M$7,Costs!$E$6:$O$6,0))</f>
        <v>36.121111312165482</v>
      </c>
      <c r="N420" s="86">
        <f>GDPdeflator!$C$38*INDEX(Costs!$E$7:$O$89,MATCH($C420,Costs!$C$7:$C$89,0),MATCH(N$7,Costs!$E$6:$O$6,0))</f>
        <v>36.121111312165482</v>
      </c>
      <c r="O420" s="86">
        <f>GDPdeflator!$C$38*INDEX(Costs!$E$7:$O$89,MATCH($C420,Costs!$C$7:$C$89,0),MATCH(O$7,Costs!$E$6:$O$6,0))</f>
        <v>36.121111312165482</v>
      </c>
      <c r="P420" s="87">
        <f t="shared" si="215"/>
        <v>2203.322230397212</v>
      </c>
      <c r="Q420" s="87">
        <f t="shared" si="203"/>
        <v>2332.1403487822754</v>
      </c>
      <c r="R420" s="87">
        <f t="shared" si="204"/>
        <v>2864.6217971598726</v>
      </c>
      <c r="S420" s="87">
        <f t="shared" si="205"/>
        <v>2925.3377341272562</v>
      </c>
      <c r="T420" s="87">
        <f t="shared" si="206"/>
        <v>3009.4622251061592</v>
      </c>
      <c r="U420" s="87">
        <f t="shared" si="207"/>
        <v>3012.3882943575991</v>
      </c>
      <c r="V420" s="87">
        <f t="shared" si="208"/>
        <v>3013.851328983319</v>
      </c>
      <c r="W420" s="87">
        <f t="shared" si="209"/>
        <v>3016.0458809218994</v>
      </c>
      <c r="X420" s="87">
        <f t="shared" si="210"/>
        <v>3016.0458809218994</v>
      </c>
      <c r="Y420" s="87">
        <f t="shared" si="211"/>
        <v>3016.0458809218994</v>
      </c>
      <c r="Z420" s="87">
        <f t="shared" si="212"/>
        <v>3016.0458809218994</v>
      </c>
      <c r="AA420" s="88">
        <v>500</v>
      </c>
      <c r="AB420" s="89">
        <f>AA420*GDPdeflator!$C$25/$AI$18*10^3</f>
        <v>48.0747492686653</v>
      </c>
      <c r="AC420" s="90" t="e">
        <f>INDEX(Efficiencies!$D$8:$M$89,MATCH(C420,Efficiencies!$C$8:$C$89),MATCH(D420,Efficiencies!$D$7:$M$7))</f>
        <v>#REF!</v>
      </c>
      <c r="AD420" s="90" t="e">
        <f t="shared" si="213"/>
        <v>#REF!</v>
      </c>
      <c r="AE420" s="90" t="e">
        <f>INDEX(Efficiencies!$P$8:$Y$89,MATCH(C420,Efficiencies!$C$8:$C$89),MATCH(D420,Efficiencies!$P$7:$Y$7))</f>
        <v>#REF!</v>
      </c>
      <c r="AF420" s="90" t="e">
        <f t="shared" si="216"/>
        <v>#REF!</v>
      </c>
      <c r="AG420" s="90">
        <v>0</v>
      </c>
    </row>
    <row r="421" spans="1:33" hidden="1" x14ac:dyDescent="0.2">
      <c r="A421" s="92" t="s">
        <v>1649</v>
      </c>
      <c r="B421" s="248" t="s">
        <v>1650</v>
      </c>
      <c r="C421" s="40" t="s">
        <v>1630</v>
      </c>
      <c r="D421" s="40">
        <v>2050</v>
      </c>
      <c r="E421" s="86">
        <f>GDPdeflator!$C$32*INDEX(Costs!$E$7:$O$89,MATCH($C421,Costs!$C$7:$C$89,0),MATCH(E$7,Costs!$E$6:$O$6,0))</f>
        <v>26.387678000581221</v>
      </c>
      <c r="F421" s="86">
        <f>GDPdeflator!$C$36*INDEX(Costs!$E$7:$O$89,MATCH($C421,Costs!$C$7:$C$89,0),MATCH(F$7,Costs!$E$6:$O$6,0))</f>
        <v>27.930444184160734</v>
      </c>
      <c r="G421" s="86">
        <f>GDPdeflator!$C$38*INDEX(Costs!$E$7:$O$89,MATCH($C421,Costs!$C$7:$C$89,0),MATCH(G$7,Costs!$E$6:$O$6,0))</f>
        <v>34.307608997923843</v>
      </c>
      <c r="H421" s="86">
        <f>GDPdeflator!$C$38*INDEX(Costs!$E$7:$O$89,MATCH($C421,Costs!$C$7:$C$89,0),MATCH(H$7,Costs!$E$6:$O$6,0))</f>
        <v>35.03476209976953</v>
      </c>
      <c r="I421" s="86">
        <f>GDPdeflator!$C$38*INDEX(Costs!$E$7:$O$89,MATCH($C421,Costs!$C$7:$C$89,0),MATCH(I$7,Costs!$E$6:$O$6,0))</f>
        <v>36.042263385459322</v>
      </c>
      <c r="J421" s="86">
        <f>GDPdeflator!$C$38*INDEX(Costs!$E$7:$O$89,MATCH($C421,Costs!$C$7:$C$89,0),MATCH(J$7,Costs!$E$6:$O$6,0))</f>
        <v>36.077306908439837</v>
      </c>
      <c r="K421" s="86">
        <f>GDPdeflator!$C$38*INDEX(Costs!$E$7:$O$89,MATCH($C421,Costs!$C$7:$C$89,0),MATCH(K$7,Costs!$E$6:$O$6,0))</f>
        <v>36.094828669930095</v>
      </c>
      <c r="L421" s="86">
        <f>GDPdeflator!$C$38*INDEX(Costs!$E$7:$O$89,MATCH($C421,Costs!$C$7:$C$89,0),MATCH(L$7,Costs!$E$6:$O$6,0))</f>
        <v>36.121111312165482</v>
      </c>
      <c r="M421" s="86">
        <f>GDPdeflator!$C$38*INDEX(Costs!$E$7:$O$89,MATCH($C421,Costs!$C$7:$C$89,0),MATCH(M$7,Costs!$E$6:$O$6,0))</f>
        <v>36.121111312165482</v>
      </c>
      <c r="N421" s="86">
        <f>GDPdeflator!$C$38*INDEX(Costs!$E$7:$O$89,MATCH($C421,Costs!$C$7:$C$89,0),MATCH(N$7,Costs!$E$6:$O$6,0))</f>
        <v>36.121111312165482</v>
      </c>
      <c r="O421" s="86">
        <f>GDPdeflator!$C$38*INDEX(Costs!$E$7:$O$89,MATCH($C421,Costs!$C$7:$C$89,0),MATCH(O$7,Costs!$E$6:$O$6,0))</f>
        <v>36.121111312165482</v>
      </c>
      <c r="P421" s="87">
        <f t="shared" si="215"/>
        <v>2203.322230397212</v>
      </c>
      <c r="Q421" s="87">
        <f t="shared" si="203"/>
        <v>2332.1403487822754</v>
      </c>
      <c r="R421" s="87">
        <f t="shared" si="204"/>
        <v>2864.6217971598726</v>
      </c>
      <c r="S421" s="87">
        <f t="shared" si="205"/>
        <v>2925.3377341272562</v>
      </c>
      <c r="T421" s="87">
        <f t="shared" si="206"/>
        <v>3009.4622251061592</v>
      </c>
      <c r="U421" s="87">
        <f t="shared" si="207"/>
        <v>3012.3882943575991</v>
      </c>
      <c r="V421" s="87">
        <f t="shared" si="208"/>
        <v>3013.851328983319</v>
      </c>
      <c r="W421" s="87">
        <f t="shared" si="209"/>
        <v>3016.0458809218994</v>
      </c>
      <c r="X421" s="87">
        <f t="shared" si="210"/>
        <v>3016.0458809218994</v>
      </c>
      <c r="Y421" s="87">
        <f t="shared" si="211"/>
        <v>3016.0458809218994</v>
      </c>
      <c r="Z421" s="87">
        <f t="shared" si="212"/>
        <v>3016.0458809218994</v>
      </c>
      <c r="AA421" s="88">
        <v>500</v>
      </c>
      <c r="AB421" s="89">
        <f>AA421*GDPdeflator!$C$25/$AI$18*10^3</f>
        <v>48.0747492686653</v>
      </c>
      <c r="AC421" s="90" t="e">
        <f>INDEX(Efficiencies!$D$8:$M$89,MATCH(C421,Efficiencies!$C$8:$C$89),MATCH(D421,Efficiencies!$D$7:$M$7))</f>
        <v>#REF!</v>
      </c>
      <c r="AD421" s="90" t="e">
        <f t="shared" si="213"/>
        <v>#REF!</v>
      </c>
      <c r="AE421" s="90" t="e">
        <f>INDEX(Efficiencies!$P$8:$Y$89,MATCH(C421,Efficiencies!$C$8:$C$89),MATCH(D421,Efficiencies!$P$7:$Y$7))</f>
        <v>#REF!</v>
      </c>
      <c r="AF421" s="90" t="e">
        <f t="shared" si="216"/>
        <v>#REF!</v>
      </c>
      <c r="AG421" s="90">
        <v>0</v>
      </c>
    </row>
    <row r="422" spans="1:33" hidden="1" x14ac:dyDescent="0.2">
      <c r="A422" s="92" t="s">
        <v>1651</v>
      </c>
      <c r="B422" s="248" t="s">
        <v>1652</v>
      </c>
      <c r="C422" s="40" t="s">
        <v>1653</v>
      </c>
      <c r="D422" s="40">
        <v>2060</v>
      </c>
      <c r="E422" s="86">
        <f>GDPdeflator!$C$32*INDEX(Costs!$E$7:$O$89,MATCH($C422,Costs!$C$7:$C$89,0),MATCH(E$7,Costs!$E$6:$O$6,0))</f>
        <v>22.086602731764021</v>
      </c>
      <c r="F422" s="86">
        <f>GDPdeflator!$C$36*INDEX(Costs!$E$7:$O$89,MATCH($C422,Costs!$C$7:$C$89,0),MATCH(F$7,Costs!$E$6:$O$6,0))</f>
        <v>24.993242634471571</v>
      </c>
      <c r="G422" s="86">
        <f>GDPdeflator!$C$38*INDEX(Costs!$E$7:$O$89,MATCH($C422,Costs!$C$7:$C$89,0),MATCH(G$7,Costs!$E$6:$O$6,0))</f>
        <v>31.118648406697016</v>
      </c>
      <c r="H422" s="86">
        <f>GDPdeflator!$C$38*INDEX(Costs!$E$7:$O$89,MATCH($C422,Costs!$C$7:$C$89,0),MATCH(H$7,Costs!$E$6:$O$6,0))</f>
        <v>31.495366278737549</v>
      </c>
      <c r="I422" s="86">
        <f>GDPdeflator!$C$38*INDEX(Costs!$E$7:$O$89,MATCH($C422,Costs!$C$7:$C$89,0),MATCH(I$7,Costs!$E$6:$O$6,0))</f>
        <v>32.038540884935522</v>
      </c>
      <c r="J422" s="86">
        <f>GDPdeflator!$C$38*INDEX(Costs!$E$7:$O$89,MATCH($C422,Costs!$C$7:$C$89,0),MATCH(J$7,Costs!$E$6:$O$6,0))</f>
        <v>32.064823527170908</v>
      </c>
      <c r="K422" s="86">
        <f>GDPdeflator!$C$38*INDEX(Costs!$E$7:$O$89,MATCH($C422,Costs!$C$7:$C$89,0),MATCH(K$7,Costs!$E$6:$O$6,0))</f>
        <v>32.082345288661166</v>
      </c>
      <c r="L422" s="86">
        <f>GDPdeflator!$C$38*INDEX(Costs!$E$7:$O$89,MATCH($C422,Costs!$C$7:$C$89,0),MATCH(L$7,Costs!$E$6:$O$6,0))</f>
        <v>32.117388811641682</v>
      </c>
      <c r="M422" s="86">
        <f>GDPdeflator!$C$38*INDEX(Costs!$E$7:$O$89,MATCH($C422,Costs!$C$7:$C$89,0),MATCH(M$7,Costs!$E$6:$O$6,0))</f>
        <v>32.117388811641682</v>
      </c>
      <c r="N422" s="86">
        <f>GDPdeflator!$C$38*INDEX(Costs!$E$7:$O$89,MATCH($C422,Costs!$C$7:$C$89,0),MATCH(N$7,Costs!$E$6:$O$6,0))</f>
        <v>32.117388811641682</v>
      </c>
      <c r="O422" s="86">
        <f>GDPdeflator!$C$38*INDEX(Costs!$E$7:$O$89,MATCH($C422,Costs!$C$7:$C$89,0),MATCH(O$7,Costs!$E$6:$O$6,0))</f>
        <v>32.117388811641682</v>
      </c>
      <c r="P422" s="87">
        <f>E422/$AI$18*10^6</f>
        <v>1844.1904131077988</v>
      </c>
      <c r="Q422" s="87">
        <f t="shared" si="203"/>
        <v>2086.8894604909779</v>
      </c>
      <c r="R422" s="87">
        <f t="shared" si="204"/>
        <v>2598.3494952788228</v>
      </c>
      <c r="S422" s="87">
        <f t="shared" si="205"/>
        <v>2629.8047397318041</v>
      </c>
      <c r="T422" s="87">
        <f t="shared" si="206"/>
        <v>2675.1588131291255</v>
      </c>
      <c r="U422" s="87">
        <f t="shared" si="207"/>
        <v>2677.3533650677055</v>
      </c>
      <c r="V422" s="87">
        <f t="shared" si="208"/>
        <v>2678.8163996934259</v>
      </c>
      <c r="W422" s="87">
        <f t="shared" si="209"/>
        <v>2681.7424689448658</v>
      </c>
      <c r="X422" s="87">
        <f t="shared" si="210"/>
        <v>2681.7424689448658</v>
      </c>
      <c r="Y422" s="87">
        <f t="shared" si="211"/>
        <v>2681.7424689448658</v>
      </c>
      <c r="Z422" s="87">
        <f t="shared" si="212"/>
        <v>2681.7424689448658</v>
      </c>
      <c r="AA422" s="88">
        <v>500</v>
      </c>
      <c r="AB422" s="89">
        <f>AA422*GDPdeflator!$C$25/$AI$18*10^3</f>
        <v>48.0747492686653</v>
      </c>
      <c r="AC422" s="90" t="e">
        <f>INDEX(Efficiencies!$D$8:$M$89,MATCH(C422,Efficiencies!$C$8:$C$89),MATCH(D422,Efficiencies!$D$7:$M$7))</f>
        <v>#REF!</v>
      </c>
      <c r="AD422" s="90" t="e">
        <f t="shared" si="213"/>
        <v>#REF!</v>
      </c>
      <c r="AE422" s="90" t="e">
        <f>INDEX(Efficiencies!$P$8:$Y$89,MATCH(C422,Efficiencies!$C$8:$C$89),MATCH(D422,Efficiencies!$P$7:$Y$7))</f>
        <v>#REF!</v>
      </c>
      <c r="AF422" s="90" t="e">
        <f t="shared" si="216"/>
        <v>#REF!</v>
      </c>
      <c r="AG422" s="90">
        <v>0</v>
      </c>
    </row>
    <row r="423" spans="1:33" hidden="1" x14ac:dyDescent="0.2">
      <c r="A423" s="92" t="s">
        <v>1654</v>
      </c>
      <c r="B423" s="248" t="s">
        <v>1655</v>
      </c>
      <c r="C423" s="40" t="s">
        <v>1653</v>
      </c>
      <c r="D423" s="40">
        <v>2005</v>
      </c>
      <c r="E423" s="86">
        <f>GDPdeflator!$C$32*INDEX(Costs!$E$7:$O$89,MATCH($C423,Costs!$C$7:$C$89,0),MATCH(E$7,Costs!$E$6:$O$6,0))</f>
        <v>22.086602731764021</v>
      </c>
      <c r="F423" s="86">
        <f>GDPdeflator!$C$36*INDEX(Costs!$E$7:$O$89,MATCH($C423,Costs!$C$7:$C$89,0),MATCH(F$7,Costs!$E$6:$O$6,0))</f>
        <v>24.993242634471571</v>
      </c>
      <c r="G423" s="86">
        <f>GDPdeflator!$C$38*INDEX(Costs!$E$7:$O$89,MATCH($C423,Costs!$C$7:$C$89,0),MATCH(G$7,Costs!$E$6:$O$6,0))</f>
        <v>31.118648406697016</v>
      </c>
      <c r="H423" s="86">
        <f>GDPdeflator!$C$38*INDEX(Costs!$E$7:$O$89,MATCH($C423,Costs!$C$7:$C$89,0),MATCH(H$7,Costs!$E$6:$O$6,0))</f>
        <v>31.495366278737549</v>
      </c>
      <c r="I423" s="86">
        <f>GDPdeflator!$C$38*INDEX(Costs!$E$7:$O$89,MATCH($C423,Costs!$C$7:$C$89,0),MATCH(I$7,Costs!$E$6:$O$6,0))</f>
        <v>32.038540884935522</v>
      </c>
      <c r="J423" s="86">
        <f>GDPdeflator!$C$38*INDEX(Costs!$E$7:$O$89,MATCH($C423,Costs!$C$7:$C$89,0),MATCH(J$7,Costs!$E$6:$O$6,0))</f>
        <v>32.064823527170908</v>
      </c>
      <c r="K423" s="86">
        <f>GDPdeflator!$C$38*INDEX(Costs!$E$7:$O$89,MATCH($C423,Costs!$C$7:$C$89,0),MATCH(K$7,Costs!$E$6:$O$6,0))</f>
        <v>32.082345288661166</v>
      </c>
      <c r="L423" s="86">
        <f>GDPdeflator!$C$38*INDEX(Costs!$E$7:$O$89,MATCH($C423,Costs!$C$7:$C$89,0),MATCH(L$7,Costs!$E$6:$O$6,0))</f>
        <v>32.117388811641682</v>
      </c>
      <c r="M423" s="86">
        <f>GDPdeflator!$C$38*INDEX(Costs!$E$7:$O$89,MATCH($C423,Costs!$C$7:$C$89,0),MATCH(M$7,Costs!$E$6:$O$6,0))</f>
        <v>32.117388811641682</v>
      </c>
      <c r="N423" s="86">
        <f>GDPdeflator!$C$38*INDEX(Costs!$E$7:$O$89,MATCH($C423,Costs!$C$7:$C$89,0),MATCH(N$7,Costs!$E$6:$O$6,0))</f>
        <v>32.117388811641682</v>
      </c>
      <c r="O423" s="86">
        <f>GDPdeflator!$C$38*INDEX(Costs!$E$7:$O$89,MATCH($C423,Costs!$C$7:$C$89,0),MATCH(O$7,Costs!$E$6:$O$6,0))</f>
        <v>32.117388811641682</v>
      </c>
      <c r="P423" s="87">
        <f t="shared" ref="P423:P432" si="217">E423/$AI$18*10^6</f>
        <v>1844.1904131077988</v>
      </c>
      <c r="Q423" s="87">
        <f t="shared" ref="Q423:Q442" si="218">F423/$AI$18*10^6</f>
        <v>2086.8894604909779</v>
      </c>
      <c r="R423" s="87">
        <f t="shared" ref="R423:R486" si="219">G423/$AI$18*10^6</f>
        <v>2598.3494952788228</v>
      </c>
      <c r="S423" s="87">
        <f t="shared" ref="S423:S486" si="220">H423/$AI$18*10^6</f>
        <v>2629.8047397318041</v>
      </c>
      <c r="T423" s="87">
        <f t="shared" ref="T423:T486" si="221">I423/$AI$18*10^6</f>
        <v>2675.1588131291255</v>
      </c>
      <c r="U423" s="87">
        <f t="shared" ref="U423:U486" si="222">J423/$AI$18*10^6</f>
        <v>2677.3533650677055</v>
      </c>
      <c r="V423" s="87">
        <f t="shared" ref="V423:V486" si="223">K423/$AI$18*10^6</f>
        <v>2678.8163996934259</v>
      </c>
      <c r="W423" s="87">
        <f t="shared" ref="W423:W486" si="224">L423/$AI$18*10^6</f>
        <v>2681.7424689448658</v>
      </c>
      <c r="X423" s="87">
        <f t="shared" ref="X423:X486" si="225">M423/$AI$18*10^6</f>
        <v>2681.7424689448658</v>
      </c>
      <c r="Y423" s="87">
        <f t="shared" ref="Y423:Y486" si="226">N423/$AI$18*10^6</f>
        <v>2681.7424689448658</v>
      </c>
      <c r="Z423" s="87">
        <f t="shared" ref="Z423:Z486" si="227">O423/$AI$18*10^6</f>
        <v>2681.7424689448658</v>
      </c>
      <c r="AA423" s="88">
        <v>500</v>
      </c>
      <c r="AB423" s="89">
        <f>AA423*GDPdeflator!$C$25/$AI$18*10^3</f>
        <v>48.0747492686653</v>
      </c>
      <c r="AC423" s="90" t="e">
        <f>INDEX(Efficiencies!$D$8:$M$89,MATCH(C423,Efficiencies!$C$8:$C$89),MATCH(D423,Efficiencies!$D$7:$M$7))</f>
        <v>#REF!</v>
      </c>
      <c r="AD423" s="90" t="e">
        <f t="shared" si="213"/>
        <v>#REF!</v>
      </c>
      <c r="AE423" s="90" t="e">
        <f>INDEX(Efficiencies!$P$8:$Y$89,MATCH(C423,Efficiencies!$C$8:$C$89),MATCH(D423,Efficiencies!$P$7:$Y$7))</f>
        <v>#REF!</v>
      </c>
      <c r="AF423" s="90" t="e">
        <f t="shared" si="216"/>
        <v>#REF!</v>
      </c>
      <c r="AG423" s="90">
        <v>0</v>
      </c>
    </row>
    <row r="424" spans="1:33" hidden="1" x14ac:dyDescent="0.2">
      <c r="A424" s="92" t="s">
        <v>1656</v>
      </c>
      <c r="B424" s="248" t="s">
        <v>1657</v>
      </c>
      <c r="C424" s="40" t="s">
        <v>1653</v>
      </c>
      <c r="D424" s="40">
        <v>2010</v>
      </c>
      <c r="E424" s="86">
        <f>GDPdeflator!$C$32*INDEX(Costs!$E$7:$O$89,MATCH($C424,Costs!$C$7:$C$89,0),MATCH(E$7,Costs!$E$6:$O$6,0))</f>
        <v>22.086602731764021</v>
      </c>
      <c r="F424" s="86">
        <f>GDPdeflator!$C$36*INDEX(Costs!$E$7:$O$89,MATCH($C424,Costs!$C$7:$C$89,0),MATCH(F$7,Costs!$E$6:$O$6,0))</f>
        <v>24.993242634471571</v>
      </c>
      <c r="G424" s="86">
        <f>GDPdeflator!$C$38*INDEX(Costs!$E$7:$O$89,MATCH($C424,Costs!$C$7:$C$89,0),MATCH(G$7,Costs!$E$6:$O$6,0))</f>
        <v>31.118648406697016</v>
      </c>
      <c r="H424" s="86">
        <f>GDPdeflator!$C$38*INDEX(Costs!$E$7:$O$89,MATCH($C424,Costs!$C$7:$C$89,0),MATCH(H$7,Costs!$E$6:$O$6,0))</f>
        <v>31.495366278737549</v>
      </c>
      <c r="I424" s="86">
        <f>GDPdeflator!$C$38*INDEX(Costs!$E$7:$O$89,MATCH($C424,Costs!$C$7:$C$89,0),MATCH(I$7,Costs!$E$6:$O$6,0))</f>
        <v>32.038540884935522</v>
      </c>
      <c r="J424" s="86">
        <f>GDPdeflator!$C$38*INDEX(Costs!$E$7:$O$89,MATCH($C424,Costs!$C$7:$C$89,0),MATCH(J$7,Costs!$E$6:$O$6,0))</f>
        <v>32.064823527170908</v>
      </c>
      <c r="K424" s="86">
        <f>GDPdeflator!$C$38*INDEX(Costs!$E$7:$O$89,MATCH($C424,Costs!$C$7:$C$89,0),MATCH(K$7,Costs!$E$6:$O$6,0))</f>
        <v>32.082345288661166</v>
      </c>
      <c r="L424" s="86">
        <f>GDPdeflator!$C$38*INDEX(Costs!$E$7:$O$89,MATCH($C424,Costs!$C$7:$C$89,0),MATCH(L$7,Costs!$E$6:$O$6,0))</f>
        <v>32.117388811641682</v>
      </c>
      <c r="M424" s="86">
        <f>GDPdeflator!$C$38*INDEX(Costs!$E$7:$O$89,MATCH($C424,Costs!$C$7:$C$89,0),MATCH(M$7,Costs!$E$6:$O$6,0))</f>
        <v>32.117388811641682</v>
      </c>
      <c r="N424" s="86">
        <f>GDPdeflator!$C$38*INDEX(Costs!$E$7:$O$89,MATCH($C424,Costs!$C$7:$C$89,0),MATCH(N$7,Costs!$E$6:$O$6,0))</f>
        <v>32.117388811641682</v>
      </c>
      <c r="O424" s="86">
        <f>GDPdeflator!$C$38*INDEX(Costs!$E$7:$O$89,MATCH($C424,Costs!$C$7:$C$89,0),MATCH(O$7,Costs!$E$6:$O$6,0))</f>
        <v>32.117388811641682</v>
      </c>
      <c r="P424" s="87">
        <f t="shared" si="217"/>
        <v>1844.1904131077988</v>
      </c>
      <c r="Q424" s="87">
        <f t="shared" si="218"/>
        <v>2086.8894604909779</v>
      </c>
      <c r="R424" s="87">
        <f t="shared" si="219"/>
        <v>2598.3494952788228</v>
      </c>
      <c r="S424" s="87">
        <f t="shared" si="220"/>
        <v>2629.8047397318041</v>
      </c>
      <c r="T424" s="87">
        <f t="shared" si="221"/>
        <v>2675.1588131291255</v>
      </c>
      <c r="U424" s="87">
        <f t="shared" si="222"/>
        <v>2677.3533650677055</v>
      </c>
      <c r="V424" s="87">
        <f t="shared" si="223"/>
        <v>2678.8163996934259</v>
      </c>
      <c r="W424" s="87">
        <f t="shared" si="224"/>
        <v>2681.7424689448658</v>
      </c>
      <c r="X424" s="87">
        <f t="shared" si="225"/>
        <v>2681.7424689448658</v>
      </c>
      <c r="Y424" s="87">
        <f t="shared" si="226"/>
        <v>2681.7424689448658</v>
      </c>
      <c r="Z424" s="87">
        <f t="shared" si="227"/>
        <v>2681.7424689448658</v>
      </c>
      <c r="AA424" s="88">
        <v>500</v>
      </c>
      <c r="AB424" s="89">
        <f>AA424*GDPdeflator!$C$25/$AI$18*10^3</f>
        <v>48.0747492686653</v>
      </c>
      <c r="AC424" s="90" t="e">
        <f>INDEX(Efficiencies!$D$8:$M$89,MATCH(C424,Efficiencies!$C$8:$C$89),MATCH(D424,Efficiencies!$D$7:$M$7))</f>
        <v>#REF!</v>
      </c>
      <c r="AD424" s="90" t="e">
        <f t="shared" si="213"/>
        <v>#REF!</v>
      </c>
      <c r="AE424" s="90" t="e">
        <f>INDEX(Efficiencies!$P$8:$Y$89,MATCH(C424,Efficiencies!$C$8:$C$89),MATCH(D424,Efficiencies!$P$7:$Y$7))</f>
        <v>#REF!</v>
      </c>
      <c r="AF424" s="90" t="e">
        <f t="shared" si="216"/>
        <v>#REF!</v>
      </c>
      <c r="AG424" s="90">
        <v>0</v>
      </c>
    </row>
    <row r="425" spans="1:33" hidden="1" x14ac:dyDescent="0.2">
      <c r="A425" s="92" t="s">
        <v>1658</v>
      </c>
      <c r="B425" s="248" t="s">
        <v>1659</v>
      </c>
      <c r="C425" s="40" t="s">
        <v>1653</v>
      </c>
      <c r="D425" s="40">
        <v>2015</v>
      </c>
      <c r="E425" s="86">
        <f>GDPdeflator!$C$32*INDEX(Costs!$E$7:$O$89,MATCH($C425,Costs!$C$7:$C$89,0),MATCH(E$7,Costs!$E$6:$O$6,0))</f>
        <v>22.086602731764021</v>
      </c>
      <c r="F425" s="86">
        <f>GDPdeflator!$C$36*INDEX(Costs!$E$7:$O$89,MATCH($C425,Costs!$C$7:$C$89,0),MATCH(F$7,Costs!$E$6:$O$6,0))</f>
        <v>24.993242634471571</v>
      </c>
      <c r="G425" s="86">
        <f>GDPdeflator!$C$38*INDEX(Costs!$E$7:$O$89,MATCH($C425,Costs!$C$7:$C$89,0),MATCH(G$7,Costs!$E$6:$O$6,0))</f>
        <v>31.118648406697016</v>
      </c>
      <c r="H425" s="86">
        <f>GDPdeflator!$C$38*INDEX(Costs!$E$7:$O$89,MATCH($C425,Costs!$C$7:$C$89,0),MATCH(H$7,Costs!$E$6:$O$6,0))</f>
        <v>31.495366278737549</v>
      </c>
      <c r="I425" s="86">
        <f>GDPdeflator!$C$38*INDEX(Costs!$E$7:$O$89,MATCH($C425,Costs!$C$7:$C$89,0),MATCH(I$7,Costs!$E$6:$O$6,0))</f>
        <v>32.038540884935522</v>
      </c>
      <c r="J425" s="86">
        <f>GDPdeflator!$C$38*INDEX(Costs!$E$7:$O$89,MATCH($C425,Costs!$C$7:$C$89,0),MATCH(J$7,Costs!$E$6:$O$6,0))</f>
        <v>32.064823527170908</v>
      </c>
      <c r="K425" s="86">
        <f>GDPdeflator!$C$38*INDEX(Costs!$E$7:$O$89,MATCH($C425,Costs!$C$7:$C$89,0),MATCH(K$7,Costs!$E$6:$O$6,0))</f>
        <v>32.082345288661166</v>
      </c>
      <c r="L425" s="86">
        <f>GDPdeflator!$C$38*INDEX(Costs!$E$7:$O$89,MATCH($C425,Costs!$C$7:$C$89,0),MATCH(L$7,Costs!$E$6:$O$6,0))</f>
        <v>32.117388811641682</v>
      </c>
      <c r="M425" s="86">
        <f>GDPdeflator!$C$38*INDEX(Costs!$E$7:$O$89,MATCH($C425,Costs!$C$7:$C$89,0),MATCH(M$7,Costs!$E$6:$O$6,0))</f>
        <v>32.117388811641682</v>
      </c>
      <c r="N425" s="86">
        <f>GDPdeflator!$C$38*INDEX(Costs!$E$7:$O$89,MATCH($C425,Costs!$C$7:$C$89,0),MATCH(N$7,Costs!$E$6:$O$6,0))</f>
        <v>32.117388811641682</v>
      </c>
      <c r="O425" s="86">
        <f>GDPdeflator!$C$38*INDEX(Costs!$E$7:$O$89,MATCH($C425,Costs!$C$7:$C$89,0),MATCH(O$7,Costs!$E$6:$O$6,0))</f>
        <v>32.117388811641682</v>
      </c>
      <c r="P425" s="87">
        <f t="shared" si="217"/>
        <v>1844.1904131077988</v>
      </c>
      <c r="Q425" s="87">
        <f t="shared" si="218"/>
        <v>2086.8894604909779</v>
      </c>
      <c r="R425" s="87">
        <f t="shared" si="219"/>
        <v>2598.3494952788228</v>
      </c>
      <c r="S425" s="87">
        <f t="shared" si="220"/>
        <v>2629.8047397318041</v>
      </c>
      <c r="T425" s="87">
        <f t="shared" si="221"/>
        <v>2675.1588131291255</v>
      </c>
      <c r="U425" s="87">
        <f t="shared" si="222"/>
        <v>2677.3533650677055</v>
      </c>
      <c r="V425" s="87">
        <f t="shared" si="223"/>
        <v>2678.8163996934259</v>
      </c>
      <c r="W425" s="87">
        <f t="shared" si="224"/>
        <v>2681.7424689448658</v>
      </c>
      <c r="X425" s="87">
        <f t="shared" si="225"/>
        <v>2681.7424689448658</v>
      </c>
      <c r="Y425" s="87">
        <f t="shared" si="226"/>
        <v>2681.7424689448658</v>
      </c>
      <c r="Z425" s="87">
        <f t="shared" si="227"/>
        <v>2681.7424689448658</v>
      </c>
      <c r="AA425" s="88">
        <v>500</v>
      </c>
      <c r="AB425" s="89">
        <f>AA425*GDPdeflator!$C$25/$AI$18*10^3</f>
        <v>48.0747492686653</v>
      </c>
      <c r="AC425" s="90" t="e">
        <f>INDEX(Efficiencies!$D$8:$M$89,MATCH(C425,Efficiencies!$C$8:$C$89),MATCH(D425,Efficiencies!$D$7:$M$7))</f>
        <v>#REF!</v>
      </c>
      <c r="AD425" s="90" t="e">
        <f t="shared" si="213"/>
        <v>#REF!</v>
      </c>
      <c r="AE425" s="90" t="e">
        <f>INDEX(Efficiencies!$P$8:$Y$89,MATCH(C425,Efficiencies!$C$8:$C$89),MATCH(D425,Efficiencies!$P$7:$Y$7))</f>
        <v>#REF!</v>
      </c>
      <c r="AF425" s="90" t="e">
        <f t="shared" si="216"/>
        <v>#REF!</v>
      </c>
      <c r="AG425" s="90">
        <v>0</v>
      </c>
    </row>
    <row r="426" spans="1:33" hidden="1" x14ac:dyDescent="0.2">
      <c r="A426" s="92" t="s">
        <v>1660</v>
      </c>
      <c r="B426" s="248" t="s">
        <v>1661</v>
      </c>
      <c r="C426" s="40" t="s">
        <v>1653</v>
      </c>
      <c r="D426" s="40">
        <v>2020</v>
      </c>
      <c r="E426" s="86">
        <f>GDPdeflator!$C$32*INDEX(Costs!$E$7:$O$89,MATCH($C426,Costs!$C$7:$C$89,0),MATCH(E$7,Costs!$E$6:$O$6,0))</f>
        <v>22.086602731764021</v>
      </c>
      <c r="F426" s="86">
        <f>GDPdeflator!$C$36*INDEX(Costs!$E$7:$O$89,MATCH($C426,Costs!$C$7:$C$89,0),MATCH(F$7,Costs!$E$6:$O$6,0))</f>
        <v>24.993242634471571</v>
      </c>
      <c r="G426" s="86">
        <f>GDPdeflator!$C$38*INDEX(Costs!$E$7:$O$89,MATCH($C426,Costs!$C$7:$C$89,0),MATCH(G$7,Costs!$E$6:$O$6,0))</f>
        <v>31.118648406697016</v>
      </c>
      <c r="H426" s="86">
        <f>GDPdeflator!$C$38*INDEX(Costs!$E$7:$O$89,MATCH($C426,Costs!$C$7:$C$89,0),MATCH(H$7,Costs!$E$6:$O$6,0))</f>
        <v>31.495366278737549</v>
      </c>
      <c r="I426" s="86">
        <f>GDPdeflator!$C$38*INDEX(Costs!$E$7:$O$89,MATCH($C426,Costs!$C$7:$C$89,0),MATCH(I$7,Costs!$E$6:$O$6,0))</f>
        <v>32.038540884935522</v>
      </c>
      <c r="J426" s="86">
        <f>GDPdeflator!$C$38*INDEX(Costs!$E$7:$O$89,MATCH($C426,Costs!$C$7:$C$89,0),MATCH(J$7,Costs!$E$6:$O$6,0))</f>
        <v>32.064823527170908</v>
      </c>
      <c r="K426" s="86">
        <f>GDPdeflator!$C$38*INDEX(Costs!$E$7:$O$89,MATCH($C426,Costs!$C$7:$C$89,0),MATCH(K$7,Costs!$E$6:$O$6,0))</f>
        <v>32.082345288661166</v>
      </c>
      <c r="L426" s="86">
        <f>GDPdeflator!$C$38*INDEX(Costs!$E$7:$O$89,MATCH($C426,Costs!$C$7:$C$89,0),MATCH(L$7,Costs!$E$6:$O$6,0))</f>
        <v>32.117388811641682</v>
      </c>
      <c r="M426" s="86">
        <f>GDPdeflator!$C$38*INDEX(Costs!$E$7:$O$89,MATCH($C426,Costs!$C$7:$C$89,0),MATCH(M$7,Costs!$E$6:$O$6,0))</f>
        <v>32.117388811641682</v>
      </c>
      <c r="N426" s="86">
        <f>GDPdeflator!$C$38*INDEX(Costs!$E$7:$O$89,MATCH($C426,Costs!$C$7:$C$89,0),MATCH(N$7,Costs!$E$6:$O$6,0))</f>
        <v>32.117388811641682</v>
      </c>
      <c r="O426" s="86">
        <f>GDPdeflator!$C$38*INDEX(Costs!$E$7:$O$89,MATCH($C426,Costs!$C$7:$C$89,0),MATCH(O$7,Costs!$E$6:$O$6,0))</f>
        <v>32.117388811641682</v>
      </c>
      <c r="P426" s="87">
        <f t="shared" si="217"/>
        <v>1844.1904131077988</v>
      </c>
      <c r="Q426" s="87">
        <f t="shared" si="218"/>
        <v>2086.8894604909779</v>
      </c>
      <c r="R426" s="87">
        <f t="shared" si="219"/>
        <v>2598.3494952788228</v>
      </c>
      <c r="S426" s="87">
        <f t="shared" si="220"/>
        <v>2629.8047397318041</v>
      </c>
      <c r="T426" s="87">
        <f t="shared" si="221"/>
        <v>2675.1588131291255</v>
      </c>
      <c r="U426" s="87">
        <f t="shared" si="222"/>
        <v>2677.3533650677055</v>
      </c>
      <c r="V426" s="87">
        <f t="shared" si="223"/>
        <v>2678.8163996934259</v>
      </c>
      <c r="W426" s="87">
        <f t="shared" si="224"/>
        <v>2681.7424689448658</v>
      </c>
      <c r="X426" s="87">
        <f t="shared" si="225"/>
        <v>2681.7424689448658</v>
      </c>
      <c r="Y426" s="87">
        <f t="shared" si="226"/>
        <v>2681.7424689448658</v>
      </c>
      <c r="Z426" s="87">
        <f t="shared" si="227"/>
        <v>2681.7424689448658</v>
      </c>
      <c r="AA426" s="88">
        <v>500</v>
      </c>
      <c r="AB426" s="89">
        <f>AA426*GDPdeflator!$C$25/$AI$18*10^3</f>
        <v>48.0747492686653</v>
      </c>
      <c r="AC426" s="90" t="e">
        <f>INDEX(Efficiencies!$D$8:$M$89,MATCH(C426,Efficiencies!$C$8:$C$89),MATCH(D426,Efficiencies!$D$7:$M$7))</f>
        <v>#REF!</v>
      </c>
      <c r="AD426" s="90" t="e">
        <f t="shared" si="213"/>
        <v>#REF!</v>
      </c>
      <c r="AE426" s="90" t="e">
        <f>INDEX(Efficiencies!$P$8:$Y$89,MATCH(C426,Efficiencies!$C$8:$C$89),MATCH(D426,Efficiencies!$P$7:$Y$7))</f>
        <v>#REF!</v>
      </c>
      <c r="AF426" s="90" t="e">
        <f t="shared" si="216"/>
        <v>#REF!</v>
      </c>
      <c r="AG426" s="90">
        <v>0</v>
      </c>
    </row>
    <row r="427" spans="1:33" hidden="1" x14ac:dyDescent="0.2">
      <c r="A427" s="92" t="s">
        <v>1662</v>
      </c>
      <c r="B427" s="248" t="s">
        <v>1663</v>
      </c>
      <c r="C427" s="40" t="s">
        <v>1653</v>
      </c>
      <c r="D427" s="40">
        <v>2025</v>
      </c>
      <c r="E427" s="86">
        <f>GDPdeflator!$C$32*INDEX(Costs!$E$7:$O$89,MATCH($C427,Costs!$C$7:$C$89,0),MATCH(E$7,Costs!$E$6:$O$6,0))</f>
        <v>22.086602731764021</v>
      </c>
      <c r="F427" s="86">
        <f>GDPdeflator!$C$36*INDEX(Costs!$E$7:$O$89,MATCH($C427,Costs!$C$7:$C$89,0),MATCH(F$7,Costs!$E$6:$O$6,0))</f>
        <v>24.993242634471571</v>
      </c>
      <c r="G427" s="86">
        <f>GDPdeflator!$C$38*INDEX(Costs!$E$7:$O$89,MATCH($C427,Costs!$C$7:$C$89,0),MATCH(G$7,Costs!$E$6:$O$6,0))</f>
        <v>31.118648406697016</v>
      </c>
      <c r="H427" s="86">
        <f>GDPdeflator!$C$38*INDEX(Costs!$E$7:$O$89,MATCH($C427,Costs!$C$7:$C$89,0),MATCH(H$7,Costs!$E$6:$O$6,0))</f>
        <v>31.495366278737549</v>
      </c>
      <c r="I427" s="86">
        <f>GDPdeflator!$C$38*INDEX(Costs!$E$7:$O$89,MATCH($C427,Costs!$C$7:$C$89,0),MATCH(I$7,Costs!$E$6:$O$6,0))</f>
        <v>32.038540884935522</v>
      </c>
      <c r="J427" s="86">
        <f>GDPdeflator!$C$38*INDEX(Costs!$E$7:$O$89,MATCH($C427,Costs!$C$7:$C$89,0),MATCH(J$7,Costs!$E$6:$O$6,0))</f>
        <v>32.064823527170908</v>
      </c>
      <c r="K427" s="86">
        <f>GDPdeflator!$C$38*INDEX(Costs!$E$7:$O$89,MATCH($C427,Costs!$C$7:$C$89,0),MATCH(K$7,Costs!$E$6:$O$6,0))</f>
        <v>32.082345288661166</v>
      </c>
      <c r="L427" s="86">
        <f>GDPdeflator!$C$38*INDEX(Costs!$E$7:$O$89,MATCH($C427,Costs!$C$7:$C$89,0),MATCH(L$7,Costs!$E$6:$O$6,0))</f>
        <v>32.117388811641682</v>
      </c>
      <c r="M427" s="86">
        <f>GDPdeflator!$C$38*INDEX(Costs!$E$7:$O$89,MATCH($C427,Costs!$C$7:$C$89,0),MATCH(M$7,Costs!$E$6:$O$6,0))</f>
        <v>32.117388811641682</v>
      </c>
      <c r="N427" s="86">
        <f>GDPdeflator!$C$38*INDEX(Costs!$E$7:$O$89,MATCH($C427,Costs!$C$7:$C$89,0),MATCH(N$7,Costs!$E$6:$O$6,0))</f>
        <v>32.117388811641682</v>
      </c>
      <c r="O427" s="86">
        <f>GDPdeflator!$C$38*INDEX(Costs!$E$7:$O$89,MATCH($C427,Costs!$C$7:$C$89,0),MATCH(O$7,Costs!$E$6:$O$6,0))</f>
        <v>32.117388811641682</v>
      </c>
      <c r="P427" s="87">
        <f t="shared" si="217"/>
        <v>1844.1904131077988</v>
      </c>
      <c r="Q427" s="87">
        <f t="shared" si="218"/>
        <v>2086.8894604909779</v>
      </c>
      <c r="R427" s="87">
        <f t="shared" si="219"/>
        <v>2598.3494952788228</v>
      </c>
      <c r="S427" s="87">
        <f t="shared" si="220"/>
        <v>2629.8047397318041</v>
      </c>
      <c r="T427" s="87">
        <f t="shared" si="221"/>
        <v>2675.1588131291255</v>
      </c>
      <c r="U427" s="87">
        <f t="shared" si="222"/>
        <v>2677.3533650677055</v>
      </c>
      <c r="V427" s="87">
        <f t="shared" si="223"/>
        <v>2678.8163996934259</v>
      </c>
      <c r="W427" s="87">
        <f t="shared" si="224"/>
        <v>2681.7424689448658</v>
      </c>
      <c r="X427" s="87">
        <f t="shared" si="225"/>
        <v>2681.7424689448658</v>
      </c>
      <c r="Y427" s="87">
        <f t="shared" si="226"/>
        <v>2681.7424689448658</v>
      </c>
      <c r="Z427" s="87">
        <f t="shared" si="227"/>
        <v>2681.7424689448658</v>
      </c>
      <c r="AA427" s="88">
        <v>500</v>
      </c>
      <c r="AB427" s="89">
        <f>AA427*GDPdeflator!$C$25/$AI$18*10^3</f>
        <v>48.0747492686653</v>
      </c>
      <c r="AC427" s="90" t="e">
        <f>INDEX(Efficiencies!$D$8:$M$89,MATCH(C427,Efficiencies!$C$8:$C$89),MATCH(D427,Efficiencies!$D$7:$M$7))</f>
        <v>#REF!</v>
      </c>
      <c r="AD427" s="90" t="e">
        <f t="shared" si="213"/>
        <v>#REF!</v>
      </c>
      <c r="AE427" s="90" t="e">
        <f>INDEX(Efficiencies!$P$8:$Y$89,MATCH(C427,Efficiencies!$C$8:$C$89),MATCH(D427,Efficiencies!$P$7:$Y$7))</f>
        <v>#REF!</v>
      </c>
      <c r="AF427" s="90" t="e">
        <f t="shared" si="216"/>
        <v>#REF!</v>
      </c>
      <c r="AG427" s="90">
        <v>0</v>
      </c>
    </row>
    <row r="428" spans="1:33" hidden="1" x14ac:dyDescent="0.2">
      <c r="A428" s="92" t="s">
        <v>1664</v>
      </c>
      <c r="B428" s="248" t="s">
        <v>1665</v>
      </c>
      <c r="C428" s="40" t="s">
        <v>1653</v>
      </c>
      <c r="D428" s="40">
        <v>2030</v>
      </c>
      <c r="E428" s="86">
        <f>GDPdeflator!$C$32*INDEX(Costs!$E$7:$O$89,MATCH($C428,Costs!$C$7:$C$89,0),MATCH(E$7,Costs!$E$6:$O$6,0))</f>
        <v>22.086602731764021</v>
      </c>
      <c r="F428" s="86">
        <f>GDPdeflator!$C$36*INDEX(Costs!$E$7:$O$89,MATCH($C428,Costs!$C$7:$C$89,0),MATCH(F$7,Costs!$E$6:$O$6,0))</f>
        <v>24.993242634471571</v>
      </c>
      <c r="G428" s="86">
        <f>GDPdeflator!$C$38*INDEX(Costs!$E$7:$O$89,MATCH($C428,Costs!$C$7:$C$89,0),MATCH(G$7,Costs!$E$6:$O$6,0))</f>
        <v>31.118648406697016</v>
      </c>
      <c r="H428" s="86">
        <f>GDPdeflator!$C$38*INDEX(Costs!$E$7:$O$89,MATCH($C428,Costs!$C$7:$C$89,0),MATCH(H$7,Costs!$E$6:$O$6,0))</f>
        <v>31.495366278737549</v>
      </c>
      <c r="I428" s="86">
        <f>GDPdeflator!$C$38*INDEX(Costs!$E$7:$O$89,MATCH($C428,Costs!$C$7:$C$89,0),MATCH(I$7,Costs!$E$6:$O$6,0))</f>
        <v>32.038540884935522</v>
      </c>
      <c r="J428" s="86">
        <f>GDPdeflator!$C$38*INDEX(Costs!$E$7:$O$89,MATCH($C428,Costs!$C$7:$C$89,0),MATCH(J$7,Costs!$E$6:$O$6,0))</f>
        <v>32.064823527170908</v>
      </c>
      <c r="K428" s="86">
        <f>GDPdeflator!$C$38*INDEX(Costs!$E$7:$O$89,MATCH($C428,Costs!$C$7:$C$89,0),MATCH(K$7,Costs!$E$6:$O$6,0))</f>
        <v>32.082345288661166</v>
      </c>
      <c r="L428" s="86">
        <f>GDPdeflator!$C$38*INDEX(Costs!$E$7:$O$89,MATCH($C428,Costs!$C$7:$C$89,0),MATCH(L$7,Costs!$E$6:$O$6,0))</f>
        <v>32.117388811641682</v>
      </c>
      <c r="M428" s="86">
        <f>GDPdeflator!$C$38*INDEX(Costs!$E$7:$O$89,MATCH($C428,Costs!$C$7:$C$89,0),MATCH(M$7,Costs!$E$6:$O$6,0))</f>
        <v>32.117388811641682</v>
      </c>
      <c r="N428" s="86">
        <f>GDPdeflator!$C$38*INDEX(Costs!$E$7:$O$89,MATCH($C428,Costs!$C$7:$C$89,0),MATCH(N$7,Costs!$E$6:$O$6,0))</f>
        <v>32.117388811641682</v>
      </c>
      <c r="O428" s="86">
        <f>GDPdeflator!$C$38*INDEX(Costs!$E$7:$O$89,MATCH($C428,Costs!$C$7:$C$89,0),MATCH(O$7,Costs!$E$6:$O$6,0))</f>
        <v>32.117388811641682</v>
      </c>
      <c r="P428" s="87">
        <f t="shared" si="217"/>
        <v>1844.1904131077988</v>
      </c>
      <c r="Q428" s="87">
        <f t="shared" si="218"/>
        <v>2086.8894604909779</v>
      </c>
      <c r="R428" s="87">
        <f t="shared" si="219"/>
        <v>2598.3494952788228</v>
      </c>
      <c r="S428" s="87">
        <f t="shared" si="220"/>
        <v>2629.8047397318041</v>
      </c>
      <c r="T428" s="87">
        <f t="shared" si="221"/>
        <v>2675.1588131291255</v>
      </c>
      <c r="U428" s="87">
        <f t="shared" si="222"/>
        <v>2677.3533650677055</v>
      </c>
      <c r="V428" s="87">
        <f t="shared" si="223"/>
        <v>2678.8163996934259</v>
      </c>
      <c r="W428" s="87">
        <f t="shared" si="224"/>
        <v>2681.7424689448658</v>
      </c>
      <c r="X428" s="87">
        <f t="shared" si="225"/>
        <v>2681.7424689448658</v>
      </c>
      <c r="Y428" s="87">
        <f t="shared" si="226"/>
        <v>2681.7424689448658</v>
      </c>
      <c r="Z428" s="87">
        <f t="shared" si="227"/>
        <v>2681.7424689448658</v>
      </c>
      <c r="AA428" s="88">
        <v>500</v>
      </c>
      <c r="AB428" s="89">
        <f>AA428*GDPdeflator!$C$25/$AI$18*10^3</f>
        <v>48.0747492686653</v>
      </c>
      <c r="AC428" s="90" t="e">
        <f>INDEX(Efficiencies!$D$8:$M$89,MATCH(C428,Efficiencies!$C$8:$C$89),MATCH(D428,Efficiencies!$D$7:$M$7))</f>
        <v>#REF!</v>
      </c>
      <c r="AD428" s="90" t="e">
        <f t="shared" si="213"/>
        <v>#REF!</v>
      </c>
      <c r="AE428" s="90" t="e">
        <f>INDEX(Efficiencies!$P$8:$Y$89,MATCH(C428,Efficiencies!$C$8:$C$89),MATCH(D428,Efficiencies!$P$7:$Y$7))</f>
        <v>#REF!</v>
      </c>
      <c r="AF428" s="90" t="e">
        <f t="shared" si="216"/>
        <v>#REF!</v>
      </c>
      <c r="AG428" s="90">
        <v>0</v>
      </c>
    </row>
    <row r="429" spans="1:33" hidden="1" x14ac:dyDescent="0.2">
      <c r="A429" s="92" t="s">
        <v>1666</v>
      </c>
      <c r="B429" s="248" t="s">
        <v>1667</v>
      </c>
      <c r="C429" s="40" t="s">
        <v>1653</v>
      </c>
      <c r="D429" s="40">
        <v>2035</v>
      </c>
      <c r="E429" s="86">
        <f>GDPdeflator!$C$32*INDEX(Costs!$E$7:$O$89,MATCH($C429,Costs!$C$7:$C$89,0),MATCH(E$7,Costs!$E$6:$O$6,0))</f>
        <v>22.086602731764021</v>
      </c>
      <c r="F429" s="86">
        <f>GDPdeflator!$C$36*INDEX(Costs!$E$7:$O$89,MATCH($C429,Costs!$C$7:$C$89,0),MATCH(F$7,Costs!$E$6:$O$6,0))</f>
        <v>24.993242634471571</v>
      </c>
      <c r="G429" s="86">
        <f>GDPdeflator!$C$38*INDEX(Costs!$E$7:$O$89,MATCH($C429,Costs!$C$7:$C$89,0),MATCH(G$7,Costs!$E$6:$O$6,0))</f>
        <v>31.118648406697016</v>
      </c>
      <c r="H429" s="86">
        <f>GDPdeflator!$C$38*INDEX(Costs!$E$7:$O$89,MATCH($C429,Costs!$C$7:$C$89,0),MATCH(H$7,Costs!$E$6:$O$6,0))</f>
        <v>31.495366278737549</v>
      </c>
      <c r="I429" s="86">
        <f>GDPdeflator!$C$38*INDEX(Costs!$E$7:$O$89,MATCH($C429,Costs!$C$7:$C$89,0),MATCH(I$7,Costs!$E$6:$O$6,0))</f>
        <v>32.038540884935522</v>
      </c>
      <c r="J429" s="86">
        <f>GDPdeflator!$C$38*INDEX(Costs!$E$7:$O$89,MATCH($C429,Costs!$C$7:$C$89,0),MATCH(J$7,Costs!$E$6:$O$6,0))</f>
        <v>32.064823527170908</v>
      </c>
      <c r="K429" s="86">
        <f>GDPdeflator!$C$38*INDEX(Costs!$E$7:$O$89,MATCH($C429,Costs!$C$7:$C$89,0),MATCH(K$7,Costs!$E$6:$O$6,0))</f>
        <v>32.082345288661166</v>
      </c>
      <c r="L429" s="86">
        <f>GDPdeflator!$C$38*INDEX(Costs!$E$7:$O$89,MATCH($C429,Costs!$C$7:$C$89,0),MATCH(L$7,Costs!$E$6:$O$6,0))</f>
        <v>32.117388811641682</v>
      </c>
      <c r="M429" s="86">
        <f>GDPdeflator!$C$38*INDEX(Costs!$E$7:$O$89,MATCH($C429,Costs!$C$7:$C$89,0),MATCH(M$7,Costs!$E$6:$O$6,0))</f>
        <v>32.117388811641682</v>
      </c>
      <c r="N429" s="86">
        <f>GDPdeflator!$C$38*INDEX(Costs!$E$7:$O$89,MATCH($C429,Costs!$C$7:$C$89,0),MATCH(N$7,Costs!$E$6:$O$6,0))</f>
        <v>32.117388811641682</v>
      </c>
      <c r="O429" s="86">
        <f>GDPdeflator!$C$38*INDEX(Costs!$E$7:$O$89,MATCH($C429,Costs!$C$7:$C$89,0),MATCH(O$7,Costs!$E$6:$O$6,0))</f>
        <v>32.117388811641682</v>
      </c>
      <c r="P429" s="87">
        <f t="shared" si="217"/>
        <v>1844.1904131077988</v>
      </c>
      <c r="Q429" s="87">
        <f t="shared" si="218"/>
        <v>2086.8894604909779</v>
      </c>
      <c r="R429" s="87">
        <f t="shared" si="219"/>
        <v>2598.3494952788228</v>
      </c>
      <c r="S429" s="87">
        <f t="shared" si="220"/>
        <v>2629.8047397318041</v>
      </c>
      <c r="T429" s="87">
        <f t="shared" si="221"/>
        <v>2675.1588131291255</v>
      </c>
      <c r="U429" s="87">
        <f t="shared" si="222"/>
        <v>2677.3533650677055</v>
      </c>
      <c r="V429" s="87">
        <f t="shared" si="223"/>
        <v>2678.8163996934259</v>
      </c>
      <c r="W429" s="87">
        <f t="shared" si="224"/>
        <v>2681.7424689448658</v>
      </c>
      <c r="X429" s="87">
        <f t="shared" si="225"/>
        <v>2681.7424689448658</v>
      </c>
      <c r="Y429" s="87">
        <f t="shared" si="226"/>
        <v>2681.7424689448658</v>
      </c>
      <c r="Z429" s="87">
        <f t="shared" si="227"/>
        <v>2681.7424689448658</v>
      </c>
      <c r="AA429" s="88">
        <v>500</v>
      </c>
      <c r="AB429" s="89">
        <f>AA429*GDPdeflator!$C$25/$AI$18*10^3</f>
        <v>48.0747492686653</v>
      </c>
      <c r="AC429" s="90" t="e">
        <f>INDEX(Efficiencies!$D$8:$M$89,MATCH(C429,Efficiencies!$C$8:$C$89),MATCH(D429,Efficiencies!$D$7:$M$7))</f>
        <v>#REF!</v>
      </c>
      <c r="AD429" s="90" t="e">
        <f t="shared" si="213"/>
        <v>#REF!</v>
      </c>
      <c r="AE429" s="90" t="e">
        <f>INDEX(Efficiencies!$P$8:$Y$89,MATCH(C429,Efficiencies!$C$8:$C$89),MATCH(D429,Efficiencies!$P$7:$Y$7))</f>
        <v>#REF!</v>
      </c>
      <c r="AF429" s="90" t="e">
        <f t="shared" si="216"/>
        <v>#REF!</v>
      </c>
      <c r="AG429" s="90">
        <v>0</v>
      </c>
    </row>
    <row r="430" spans="1:33" hidden="1" x14ac:dyDescent="0.2">
      <c r="A430" s="92" t="s">
        <v>1668</v>
      </c>
      <c r="B430" s="248" t="s">
        <v>1669</v>
      </c>
      <c r="C430" s="40" t="s">
        <v>1653</v>
      </c>
      <c r="D430" s="40">
        <v>2040</v>
      </c>
      <c r="E430" s="86">
        <f>GDPdeflator!$C$32*INDEX(Costs!$E$7:$O$89,MATCH($C430,Costs!$C$7:$C$89,0),MATCH(E$7,Costs!$E$6:$O$6,0))</f>
        <v>22.086602731764021</v>
      </c>
      <c r="F430" s="86">
        <f>GDPdeflator!$C$36*INDEX(Costs!$E$7:$O$89,MATCH($C430,Costs!$C$7:$C$89,0),MATCH(F$7,Costs!$E$6:$O$6,0))</f>
        <v>24.993242634471571</v>
      </c>
      <c r="G430" s="86">
        <f>GDPdeflator!$C$38*INDEX(Costs!$E$7:$O$89,MATCH($C430,Costs!$C$7:$C$89,0),MATCH(G$7,Costs!$E$6:$O$6,0))</f>
        <v>31.118648406697016</v>
      </c>
      <c r="H430" s="86">
        <f>GDPdeflator!$C$38*INDEX(Costs!$E$7:$O$89,MATCH($C430,Costs!$C$7:$C$89,0),MATCH(H$7,Costs!$E$6:$O$6,0))</f>
        <v>31.495366278737549</v>
      </c>
      <c r="I430" s="86">
        <f>GDPdeflator!$C$38*INDEX(Costs!$E$7:$O$89,MATCH($C430,Costs!$C$7:$C$89,0),MATCH(I$7,Costs!$E$6:$O$6,0))</f>
        <v>32.038540884935522</v>
      </c>
      <c r="J430" s="86">
        <f>GDPdeflator!$C$38*INDEX(Costs!$E$7:$O$89,MATCH($C430,Costs!$C$7:$C$89,0),MATCH(J$7,Costs!$E$6:$O$6,0))</f>
        <v>32.064823527170908</v>
      </c>
      <c r="K430" s="86">
        <f>GDPdeflator!$C$38*INDEX(Costs!$E$7:$O$89,MATCH($C430,Costs!$C$7:$C$89,0),MATCH(K$7,Costs!$E$6:$O$6,0))</f>
        <v>32.082345288661166</v>
      </c>
      <c r="L430" s="86">
        <f>GDPdeflator!$C$38*INDEX(Costs!$E$7:$O$89,MATCH($C430,Costs!$C$7:$C$89,0),MATCH(L$7,Costs!$E$6:$O$6,0))</f>
        <v>32.117388811641682</v>
      </c>
      <c r="M430" s="86">
        <f>GDPdeflator!$C$38*INDEX(Costs!$E$7:$O$89,MATCH($C430,Costs!$C$7:$C$89,0),MATCH(M$7,Costs!$E$6:$O$6,0))</f>
        <v>32.117388811641682</v>
      </c>
      <c r="N430" s="86">
        <f>GDPdeflator!$C$38*INDEX(Costs!$E$7:$O$89,MATCH($C430,Costs!$C$7:$C$89,0),MATCH(N$7,Costs!$E$6:$O$6,0))</f>
        <v>32.117388811641682</v>
      </c>
      <c r="O430" s="86">
        <f>GDPdeflator!$C$38*INDEX(Costs!$E$7:$O$89,MATCH($C430,Costs!$C$7:$C$89,0),MATCH(O$7,Costs!$E$6:$O$6,0))</f>
        <v>32.117388811641682</v>
      </c>
      <c r="P430" s="87">
        <f t="shared" si="217"/>
        <v>1844.1904131077988</v>
      </c>
      <c r="Q430" s="87">
        <f t="shared" si="218"/>
        <v>2086.8894604909779</v>
      </c>
      <c r="R430" s="87">
        <f t="shared" si="219"/>
        <v>2598.3494952788228</v>
      </c>
      <c r="S430" s="87">
        <f t="shared" si="220"/>
        <v>2629.8047397318041</v>
      </c>
      <c r="T430" s="87">
        <f t="shared" si="221"/>
        <v>2675.1588131291255</v>
      </c>
      <c r="U430" s="87">
        <f t="shared" si="222"/>
        <v>2677.3533650677055</v>
      </c>
      <c r="V430" s="87">
        <f t="shared" si="223"/>
        <v>2678.8163996934259</v>
      </c>
      <c r="W430" s="87">
        <f t="shared" si="224"/>
        <v>2681.7424689448658</v>
      </c>
      <c r="X430" s="87">
        <f t="shared" si="225"/>
        <v>2681.7424689448658</v>
      </c>
      <c r="Y430" s="87">
        <f t="shared" si="226"/>
        <v>2681.7424689448658</v>
      </c>
      <c r="Z430" s="87">
        <f t="shared" si="227"/>
        <v>2681.7424689448658</v>
      </c>
      <c r="AA430" s="88">
        <v>500</v>
      </c>
      <c r="AB430" s="89">
        <f>AA430*GDPdeflator!$C$25/$AI$18*10^3</f>
        <v>48.0747492686653</v>
      </c>
      <c r="AC430" s="90" t="e">
        <f>INDEX(Efficiencies!$D$8:$M$89,MATCH(C430,Efficiencies!$C$8:$C$89),MATCH(D430,Efficiencies!$D$7:$M$7))</f>
        <v>#REF!</v>
      </c>
      <c r="AD430" s="90" t="e">
        <f t="shared" si="213"/>
        <v>#REF!</v>
      </c>
      <c r="AE430" s="90" t="e">
        <f>INDEX(Efficiencies!$P$8:$Y$89,MATCH(C430,Efficiencies!$C$8:$C$89),MATCH(D430,Efficiencies!$P$7:$Y$7))</f>
        <v>#REF!</v>
      </c>
      <c r="AF430" s="90" t="e">
        <f t="shared" si="216"/>
        <v>#REF!</v>
      </c>
      <c r="AG430" s="90">
        <v>0</v>
      </c>
    </row>
    <row r="431" spans="1:33" hidden="1" x14ac:dyDescent="0.2">
      <c r="A431" s="92" t="s">
        <v>1670</v>
      </c>
      <c r="B431" s="248" t="s">
        <v>1671</v>
      </c>
      <c r="C431" s="40" t="s">
        <v>1653</v>
      </c>
      <c r="D431" s="40">
        <v>2045</v>
      </c>
      <c r="E431" s="86">
        <f>GDPdeflator!$C$32*INDEX(Costs!$E$7:$O$89,MATCH($C431,Costs!$C$7:$C$89,0),MATCH(E$7,Costs!$E$6:$O$6,0))</f>
        <v>22.086602731764021</v>
      </c>
      <c r="F431" s="86">
        <f>GDPdeflator!$C$36*INDEX(Costs!$E$7:$O$89,MATCH($C431,Costs!$C$7:$C$89,0),MATCH(F$7,Costs!$E$6:$O$6,0))</f>
        <v>24.993242634471571</v>
      </c>
      <c r="G431" s="86">
        <f>GDPdeflator!$C$38*INDEX(Costs!$E$7:$O$89,MATCH($C431,Costs!$C$7:$C$89,0),MATCH(G$7,Costs!$E$6:$O$6,0))</f>
        <v>31.118648406697016</v>
      </c>
      <c r="H431" s="86">
        <f>GDPdeflator!$C$38*INDEX(Costs!$E$7:$O$89,MATCH($C431,Costs!$C$7:$C$89,0),MATCH(H$7,Costs!$E$6:$O$6,0))</f>
        <v>31.495366278737549</v>
      </c>
      <c r="I431" s="86">
        <f>GDPdeflator!$C$38*INDEX(Costs!$E$7:$O$89,MATCH($C431,Costs!$C$7:$C$89,0),MATCH(I$7,Costs!$E$6:$O$6,0))</f>
        <v>32.038540884935522</v>
      </c>
      <c r="J431" s="86">
        <f>GDPdeflator!$C$38*INDEX(Costs!$E$7:$O$89,MATCH($C431,Costs!$C$7:$C$89,0),MATCH(J$7,Costs!$E$6:$O$6,0))</f>
        <v>32.064823527170908</v>
      </c>
      <c r="K431" s="86">
        <f>GDPdeflator!$C$38*INDEX(Costs!$E$7:$O$89,MATCH($C431,Costs!$C$7:$C$89,0),MATCH(K$7,Costs!$E$6:$O$6,0))</f>
        <v>32.082345288661166</v>
      </c>
      <c r="L431" s="86">
        <f>GDPdeflator!$C$38*INDEX(Costs!$E$7:$O$89,MATCH($C431,Costs!$C$7:$C$89,0),MATCH(L$7,Costs!$E$6:$O$6,0))</f>
        <v>32.117388811641682</v>
      </c>
      <c r="M431" s="86">
        <f>GDPdeflator!$C$38*INDEX(Costs!$E$7:$O$89,MATCH($C431,Costs!$C$7:$C$89,0),MATCH(M$7,Costs!$E$6:$O$6,0))</f>
        <v>32.117388811641682</v>
      </c>
      <c r="N431" s="86">
        <f>GDPdeflator!$C$38*INDEX(Costs!$E$7:$O$89,MATCH($C431,Costs!$C$7:$C$89,0),MATCH(N$7,Costs!$E$6:$O$6,0))</f>
        <v>32.117388811641682</v>
      </c>
      <c r="O431" s="86">
        <f>GDPdeflator!$C$38*INDEX(Costs!$E$7:$O$89,MATCH($C431,Costs!$C$7:$C$89,0),MATCH(O$7,Costs!$E$6:$O$6,0))</f>
        <v>32.117388811641682</v>
      </c>
      <c r="P431" s="87">
        <f t="shared" si="217"/>
        <v>1844.1904131077988</v>
      </c>
      <c r="Q431" s="87">
        <f t="shared" si="218"/>
        <v>2086.8894604909779</v>
      </c>
      <c r="R431" s="87">
        <f t="shared" si="219"/>
        <v>2598.3494952788228</v>
      </c>
      <c r="S431" s="87">
        <f t="shared" si="220"/>
        <v>2629.8047397318041</v>
      </c>
      <c r="T431" s="87">
        <f t="shared" si="221"/>
        <v>2675.1588131291255</v>
      </c>
      <c r="U431" s="87">
        <f t="shared" si="222"/>
        <v>2677.3533650677055</v>
      </c>
      <c r="V431" s="87">
        <f t="shared" si="223"/>
        <v>2678.8163996934259</v>
      </c>
      <c r="W431" s="87">
        <f t="shared" si="224"/>
        <v>2681.7424689448658</v>
      </c>
      <c r="X431" s="87">
        <f t="shared" si="225"/>
        <v>2681.7424689448658</v>
      </c>
      <c r="Y431" s="87">
        <f t="shared" si="226"/>
        <v>2681.7424689448658</v>
      </c>
      <c r="Z431" s="87">
        <f t="shared" si="227"/>
        <v>2681.7424689448658</v>
      </c>
      <c r="AA431" s="88">
        <v>500</v>
      </c>
      <c r="AB431" s="89">
        <f>AA431*GDPdeflator!$C$25/$AI$18*10^3</f>
        <v>48.0747492686653</v>
      </c>
      <c r="AC431" s="90" t="e">
        <f>INDEX(Efficiencies!$D$8:$M$89,MATCH(C431,Efficiencies!$C$8:$C$89),MATCH(D431,Efficiencies!$D$7:$M$7))</f>
        <v>#REF!</v>
      </c>
      <c r="AD431" s="90" t="e">
        <f t="shared" si="213"/>
        <v>#REF!</v>
      </c>
      <c r="AE431" s="90" t="e">
        <f>INDEX(Efficiencies!$P$8:$Y$89,MATCH(C431,Efficiencies!$C$8:$C$89),MATCH(D431,Efficiencies!$P$7:$Y$7))</f>
        <v>#REF!</v>
      </c>
      <c r="AF431" s="90" t="e">
        <f t="shared" si="216"/>
        <v>#REF!</v>
      </c>
      <c r="AG431" s="90">
        <v>0</v>
      </c>
    </row>
    <row r="432" spans="1:33" hidden="1" x14ac:dyDescent="0.2">
      <c r="A432" s="92" t="s">
        <v>1672</v>
      </c>
      <c r="B432" s="248" t="s">
        <v>1673</v>
      </c>
      <c r="C432" s="40" t="s">
        <v>1653</v>
      </c>
      <c r="D432" s="40">
        <v>2050</v>
      </c>
      <c r="E432" s="86">
        <f>GDPdeflator!$C$32*INDEX(Costs!$E$7:$O$89,MATCH($C432,Costs!$C$7:$C$89,0),MATCH(E$7,Costs!$E$6:$O$6,0))</f>
        <v>22.086602731764021</v>
      </c>
      <c r="F432" s="86">
        <f>GDPdeflator!$C$36*INDEX(Costs!$E$7:$O$89,MATCH($C432,Costs!$C$7:$C$89,0),MATCH(F$7,Costs!$E$6:$O$6,0))</f>
        <v>24.993242634471571</v>
      </c>
      <c r="G432" s="86">
        <f>GDPdeflator!$C$38*INDEX(Costs!$E$7:$O$89,MATCH($C432,Costs!$C$7:$C$89,0),MATCH(G$7,Costs!$E$6:$O$6,0))</f>
        <v>31.118648406697016</v>
      </c>
      <c r="H432" s="86">
        <f>GDPdeflator!$C$38*INDEX(Costs!$E$7:$O$89,MATCH($C432,Costs!$C$7:$C$89,0),MATCH(H$7,Costs!$E$6:$O$6,0))</f>
        <v>31.495366278737549</v>
      </c>
      <c r="I432" s="86">
        <f>GDPdeflator!$C$38*INDEX(Costs!$E$7:$O$89,MATCH($C432,Costs!$C$7:$C$89,0),MATCH(I$7,Costs!$E$6:$O$6,0))</f>
        <v>32.038540884935522</v>
      </c>
      <c r="J432" s="86">
        <f>GDPdeflator!$C$38*INDEX(Costs!$E$7:$O$89,MATCH($C432,Costs!$C$7:$C$89,0),MATCH(J$7,Costs!$E$6:$O$6,0))</f>
        <v>32.064823527170908</v>
      </c>
      <c r="K432" s="86">
        <f>GDPdeflator!$C$38*INDEX(Costs!$E$7:$O$89,MATCH($C432,Costs!$C$7:$C$89,0),MATCH(K$7,Costs!$E$6:$O$6,0))</f>
        <v>32.082345288661166</v>
      </c>
      <c r="L432" s="86">
        <f>GDPdeflator!$C$38*INDEX(Costs!$E$7:$O$89,MATCH($C432,Costs!$C$7:$C$89,0),MATCH(L$7,Costs!$E$6:$O$6,0))</f>
        <v>32.117388811641682</v>
      </c>
      <c r="M432" s="86">
        <f>GDPdeflator!$C$38*INDEX(Costs!$E$7:$O$89,MATCH($C432,Costs!$C$7:$C$89,0),MATCH(M$7,Costs!$E$6:$O$6,0))</f>
        <v>32.117388811641682</v>
      </c>
      <c r="N432" s="86">
        <f>GDPdeflator!$C$38*INDEX(Costs!$E$7:$O$89,MATCH($C432,Costs!$C$7:$C$89,0),MATCH(N$7,Costs!$E$6:$O$6,0))</f>
        <v>32.117388811641682</v>
      </c>
      <c r="O432" s="86">
        <f>GDPdeflator!$C$38*INDEX(Costs!$E$7:$O$89,MATCH($C432,Costs!$C$7:$C$89,0),MATCH(O$7,Costs!$E$6:$O$6,0))</f>
        <v>32.117388811641682</v>
      </c>
      <c r="P432" s="87">
        <f t="shared" si="217"/>
        <v>1844.1904131077988</v>
      </c>
      <c r="Q432" s="87">
        <f t="shared" si="218"/>
        <v>2086.8894604909779</v>
      </c>
      <c r="R432" s="87">
        <f t="shared" si="219"/>
        <v>2598.3494952788228</v>
      </c>
      <c r="S432" s="87">
        <f t="shared" si="220"/>
        <v>2629.8047397318041</v>
      </c>
      <c r="T432" s="87">
        <f t="shared" si="221"/>
        <v>2675.1588131291255</v>
      </c>
      <c r="U432" s="87">
        <f t="shared" si="222"/>
        <v>2677.3533650677055</v>
      </c>
      <c r="V432" s="87">
        <f t="shared" si="223"/>
        <v>2678.8163996934259</v>
      </c>
      <c r="W432" s="87">
        <f t="shared" si="224"/>
        <v>2681.7424689448658</v>
      </c>
      <c r="X432" s="87">
        <f t="shared" si="225"/>
        <v>2681.7424689448658</v>
      </c>
      <c r="Y432" s="87">
        <f t="shared" si="226"/>
        <v>2681.7424689448658</v>
      </c>
      <c r="Z432" s="87">
        <f t="shared" si="227"/>
        <v>2681.7424689448658</v>
      </c>
      <c r="AA432" s="88">
        <v>500</v>
      </c>
      <c r="AB432" s="89">
        <f>AA432*GDPdeflator!$C$25/$AI$18*10^3</f>
        <v>48.0747492686653</v>
      </c>
      <c r="AC432" s="90" t="e">
        <f>INDEX(Efficiencies!$D$8:$M$89,MATCH(C432,Efficiencies!$C$8:$C$89),MATCH(D432,Efficiencies!$D$7:$M$7))</f>
        <v>#REF!</v>
      </c>
      <c r="AD432" s="90" t="e">
        <f t="shared" si="213"/>
        <v>#REF!</v>
      </c>
      <c r="AE432" s="90" t="e">
        <f>INDEX(Efficiencies!$P$8:$Y$89,MATCH(C432,Efficiencies!$C$8:$C$89),MATCH(D432,Efficiencies!$P$7:$Y$7))</f>
        <v>#REF!</v>
      </c>
      <c r="AF432" s="90" t="e">
        <f t="shared" si="216"/>
        <v>#REF!</v>
      </c>
      <c r="AG432" s="90">
        <v>0</v>
      </c>
    </row>
    <row r="433" spans="1:33" x14ac:dyDescent="0.2">
      <c r="A433" s="92" t="s">
        <v>1674</v>
      </c>
      <c r="B433" s="248" t="s">
        <v>1675</v>
      </c>
      <c r="C433" s="40" t="s">
        <v>1676</v>
      </c>
      <c r="D433" s="40">
        <v>2005</v>
      </c>
      <c r="E433" s="86">
        <f>GDPdeflator!$C$32*INDEX(Costs!$E$7:$O$89,MATCH($C433,Costs!$C$7:$C$89,0),MATCH(E$7,Costs!$E$6:$O$6,0))</f>
        <v>21.06945655332752</v>
      </c>
      <c r="F433" s="86">
        <f>GDPdeflator!$C$36*INDEX(Costs!$E$7:$O$89,MATCH($C433,Costs!$C$7:$C$89,0),MATCH(F$7,Costs!$E$6:$O$6,0))</f>
        <v>20.218037661050545</v>
      </c>
      <c r="G433" s="86">
        <f>GDPdeflator!$C$38*INDEX(Costs!$E$7:$O$89,MATCH($C433,Costs!$C$7:$C$89,0),MATCH(G$7,Costs!$E$6:$O$6,0))</f>
        <v>26.317685758366505</v>
      </c>
      <c r="H433" s="86">
        <f>GDPdeflator!$C$38*INDEX(Costs!$E$7:$O$89,MATCH($C433,Costs!$C$7:$C$89,0),MATCH(H$7,Costs!$E$6:$O$6,0))</f>
        <v>27.123686786918345</v>
      </c>
      <c r="I433" s="86">
        <f>GDPdeflator!$C$38*INDEX(Costs!$E$7:$O$89,MATCH($C433,Costs!$C$7:$C$89,0),MATCH(I$7,Costs!$E$6:$O$6,0))</f>
        <v>28.13118807260814</v>
      </c>
      <c r="J433" s="86">
        <f>GDPdeflator!$C$38*INDEX(Costs!$E$7:$O$89,MATCH($C433,Costs!$C$7:$C$89,0),MATCH(J$7,Costs!$E$6:$O$6,0))</f>
        <v>28.148709834098401</v>
      </c>
      <c r="K433" s="86">
        <f>GDPdeflator!$C$38*INDEX(Costs!$E$7:$O$89,MATCH($C433,Costs!$C$7:$C$89,0),MATCH(K$7,Costs!$E$6:$O$6,0))</f>
        <v>28.174992476333781</v>
      </c>
      <c r="L433" s="86">
        <f>GDPdeflator!$C$38*INDEX(Costs!$E$7:$O$89,MATCH($C433,Costs!$C$7:$C$89,0),MATCH(L$7,Costs!$E$6:$O$6,0))</f>
        <v>28.201275118569168</v>
      </c>
      <c r="M433" s="86">
        <f>GDPdeflator!$C$38*INDEX(Costs!$E$7:$O$89,MATCH($C433,Costs!$C$7:$C$89,0),MATCH(M$7,Costs!$E$6:$O$6,0))</f>
        <v>28.201275118569168</v>
      </c>
      <c r="N433" s="86">
        <f>GDPdeflator!$C$38*INDEX(Costs!$E$7:$O$89,MATCH($C433,Costs!$C$7:$C$89,0),MATCH(N$7,Costs!$E$6:$O$6,0))</f>
        <v>28.201275118569168</v>
      </c>
      <c r="O433" s="86">
        <f>GDPdeflator!$C$38*INDEX(Costs!$E$7:$O$89,MATCH($C433,Costs!$C$7:$C$89,0),MATCH(O$7,Costs!$E$6:$O$6,0))</f>
        <v>28.201275118569168</v>
      </c>
      <c r="P433" s="87">
        <f>E433/$AI$18*10^6</f>
        <v>1759.2605914515186</v>
      </c>
      <c r="Q433" s="87">
        <f t="shared" si="218"/>
        <v>1688.1686911830409</v>
      </c>
      <c r="R433" s="87">
        <f t="shared" si="219"/>
        <v>2197.4780078315266</v>
      </c>
      <c r="S433" s="87">
        <f t="shared" si="220"/>
        <v>2264.7776006146496</v>
      </c>
      <c r="T433" s="87">
        <f t="shared" si="221"/>
        <v>2348.902091593553</v>
      </c>
      <c r="U433" s="87">
        <f t="shared" si="222"/>
        <v>2350.3651262192734</v>
      </c>
      <c r="V433" s="87">
        <f t="shared" si="223"/>
        <v>2352.5596781578529</v>
      </c>
      <c r="W433" s="87">
        <f t="shared" si="224"/>
        <v>2354.7542300964328</v>
      </c>
      <c r="X433" s="87">
        <f t="shared" si="225"/>
        <v>2354.7542300964328</v>
      </c>
      <c r="Y433" s="87">
        <f t="shared" si="226"/>
        <v>2354.7542300964328</v>
      </c>
      <c r="Z433" s="87">
        <f t="shared" si="227"/>
        <v>2354.7542300964328</v>
      </c>
      <c r="AA433" s="88">
        <v>500</v>
      </c>
      <c r="AB433" s="89">
        <f>AA433*GDPdeflator!$C$25/$AI$18*10^3</f>
        <v>48.0747492686653</v>
      </c>
      <c r="AC433" s="90" t="e">
        <f>INDEX(Efficiencies!$D$8:$M$89,MATCH(C433,Efficiencies!$C$8:$C$89),MATCH(D433,Efficiencies!$D$7:$M$7))</f>
        <v>#REF!</v>
      </c>
      <c r="AD433" s="90" t="e">
        <f t="shared" si="213"/>
        <v>#REF!</v>
      </c>
      <c r="AE433" s="90" t="e">
        <f>INDEX(Efficiencies!$P$8:$Y$89,MATCH(C433,Efficiencies!$C$8:$C$89),MATCH(D433,Efficiencies!$P$7:$Y$7))</f>
        <v>#REF!</v>
      </c>
      <c r="AF433" s="90" t="e">
        <f t="shared" si="216"/>
        <v>#REF!</v>
      </c>
      <c r="AG433" s="90">
        <v>0</v>
      </c>
    </row>
    <row r="434" spans="1:33" x14ac:dyDescent="0.2">
      <c r="A434" s="92" t="s">
        <v>1677</v>
      </c>
      <c r="B434" s="248" t="s">
        <v>1678</v>
      </c>
      <c r="C434" s="40" t="s">
        <v>1676</v>
      </c>
      <c r="D434" s="40">
        <v>2010</v>
      </c>
      <c r="E434" s="86">
        <f>GDPdeflator!$C$32*INDEX(Costs!$E$7:$O$89,MATCH($C434,Costs!$C$7:$C$89,0),MATCH(E$7,Costs!$E$6:$O$6,0))</f>
        <v>21.06945655332752</v>
      </c>
      <c r="F434" s="86">
        <f>GDPdeflator!$C$36*INDEX(Costs!$E$7:$O$89,MATCH($C434,Costs!$C$7:$C$89,0),MATCH(F$7,Costs!$E$6:$O$6,0))</f>
        <v>20.218037661050545</v>
      </c>
      <c r="G434" s="86">
        <f>GDPdeflator!$C$38*INDEX(Costs!$E$7:$O$89,MATCH($C434,Costs!$C$7:$C$89,0),MATCH(G$7,Costs!$E$6:$O$6,0))</f>
        <v>26.317685758366505</v>
      </c>
      <c r="H434" s="86">
        <f>GDPdeflator!$C$38*INDEX(Costs!$E$7:$O$89,MATCH($C434,Costs!$C$7:$C$89,0),MATCH(H$7,Costs!$E$6:$O$6,0))</f>
        <v>27.123686786918345</v>
      </c>
      <c r="I434" s="86">
        <f>GDPdeflator!$C$38*INDEX(Costs!$E$7:$O$89,MATCH($C434,Costs!$C$7:$C$89,0),MATCH(I$7,Costs!$E$6:$O$6,0))</f>
        <v>28.13118807260814</v>
      </c>
      <c r="J434" s="86">
        <f>GDPdeflator!$C$38*INDEX(Costs!$E$7:$O$89,MATCH($C434,Costs!$C$7:$C$89,0),MATCH(J$7,Costs!$E$6:$O$6,0))</f>
        <v>28.148709834098401</v>
      </c>
      <c r="K434" s="86">
        <f>GDPdeflator!$C$38*INDEX(Costs!$E$7:$O$89,MATCH($C434,Costs!$C$7:$C$89,0),MATCH(K$7,Costs!$E$6:$O$6,0))</f>
        <v>28.174992476333781</v>
      </c>
      <c r="L434" s="86">
        <f>GDPdeflator!$C$38*INDEX(Costs!$E$7:$O$89,MATCH($C434,Costs!$C$7:$C$89,0),MATCH(L$7,Costs!$E$6:$O$6,0))</f>
        <v>28.201275118569168</v>
      </c>
      <c r="M434" s="86">
        <f>GDPdeflator!$C$38*INDEX(Costs!$E$7:$O$89,MATCH($C434,Costs!$C$7:$C$89,0),MATCH(M$7,Costs!$E$6:$O$6,0))</f>
        <v>28.201275118569168</v>
      </c>
      <c r="N434" s="86">
        <f>GDPdeflator!$C$38*INDEX(Costs!$E$7:$O$89,MATCH($C434,Costs!$C$7:$C$89,0),MATCH(N$7,Costs!$E$6:$O$6,0))</f>
        <v>28.201275118569168</v>
      </c>
      <c r="O434" s="86">
        <f>GDPdeflator!$C$38*INDEX(Costs!$E$7:$O$89,MATCH($C434,Costs!$C$7:$C$89,0),MATCH(O$7,Costs!$E$6:$O$6,0))</f>
        <v>28.201275118569168</v>
      </c>
      <c r="P434" s="87">
        <f t="shared" ref="P434:P442" si="228">E434/$AI$18*10^6</f>
        <v>1759.2605914515186</v>
      </c>
      <c r="Q434" s="87">
        <f t="shared" si="218"/>
        <v>1688.1686911830409</v>
      </c>
      <c r="R434" s="87">
        <f t="shared" si="219"/>
        <v>2197.4780078315266</v>
      </c>
      <c r="S434" s="87">
        <f t="shared" si="220"/>
        <v>2264.7776006146496</v>
      </c>
      <c r="T434" s="87">
        <f t="shared" si="221"/>
        <v>2348.902091593553</v>
      </c>
      <c r="U434" s="87">
        <f t="shared" si="222"/>
        <v>2350.3651262192734</v>
      </c>
      <c r="V434" s="87">
        <f t="shared" si="223"/>
        <v>2352.5596781578529</v>
      </c>
      <c r="W434" s="87">
        <f t="shared" si="224"/>
        <v>2354.7542300964328</v>
      </c>
      <c r="X434" s="87">
        <f t="shared" si="225"/>
        <v>2354.7542300964328</v>
      </c>
      <c r="Y434" s="87">
        <f t="shared" si="226"/>
        <v>2354.7542300964328</v>
      </c>
      <c r="Z434" s="87">
        <f t="shared" si="227"/>
        <v>2354.7542300964328</v>
      </c>
      <c r="AA434" s="88">
        <v>500</v>
      </c>
      <c r="AB434" s="89">
        <f>AA434*GDPdeflator!$C$25/$AI$18*10^3</f>
        <v>48.0747492686653</v>
      </c>
      <c r="AC434" s="90" t="e">
        <f>INDEX(Efficiencies!$D$8:$M$89,MATCH(C434,Efficiencies!$C$8:$C$89),MATCH(D434,Efficiencies!$D$7:$M$7))</f>
        <v>#REF!</v>
      </c>
      <c r="AD434" s="90" t="e">
        <f t="shared" si="213"/>
        <v>#REF!</v>
      </c>
      <c r="AE434" s="90" t="e">
        <f>INDEX(Efficiencies!$P$8:$Y$89,MATCH(C434,Efficiencies!$C$8:$C$89),MATCH(D434,Efficiencies!$P$7:$Y$7))</f>
        <v>#REF!</v>
      </c>
      <c r="AF434" s="90" t="e">
        <f t="shared" si="216"/>
        <v>#REF!</v>
      </c>
      <c r="AG434" s="90">
        <v>0</v>
      </c>
    </row>
    <row r="435" spans="1:33" x14ac:dyDescent="0.2">
      <c r="A435" s="92" t="s">
        <v>1679</v>
      </c>
      <c r="B435" s="248" t="s">
        <v>1680</v>
      </c>
      <c r="C435" s="40" t="s">
        <v>1676</v>
      </c>
      <c r="D435" s="40">
        <v>2015</v>
      </c>
      <c r="E435" s="86">
        <f>GDPdeflator!$C$32*INDEX(Costs!$E$7:$O$89,MATCH($C435,Costs!$C$7:$C$89,0),MATCH(E$7,Costs!$E$6:$O$6,0))</f>
        <v>21.06945655332752</v>
      </c>
      <c r="F435" s="86">
        <f>GDPdeflator!$C$36*INDEX(Costs!$E$7:$O$89,MATCH($C435,Costs!$C$7:$C$89,0),MATCH(F$7,Costs!$E$6:$O$6,0))</f>
        <v>20.218037661050545</v>
      </c>
      <c r="G435" s="86">
        <f>GDPdeflator!$C$38*INDEX(Costs!$E$7:$O$89,MATCH($C435,Costs!$C$7:$C$89,0),MATCH(G$7,Costs!$E$6:$O$6,0))</f>
        <v>26.317685758366505</v>
      </c>
      <c r="H435" s="86">
        <f>GDPdeflator!$C$38*INDEX(Costs!$E$7:$O$89,MATCH($C435,Costs!$C$7:$C$89,0),MATCH(H$7,Costs!$E$6:$O$6,0))</f>
        <v>27.123686786918345</v>
      </c>
      <c r="I435" s="86">
        <f>GDPdeflator!$C$38*INDEX(Costs!$E$7:$O$89,MATCH($C435,Costs!$C$7:$C$89,0),MATCH(I$7,Costs!$E$6:$O$6,0))</f>
        <v>28.13118807260814</v>
      </c>
      <c r="J435" s="86">
        <f>GDPdeflator!$C$38*INDEX(Costs!$E$7:$O$89,MATCH($C435,Costs!$C$7:$C$89,0),MATCH(J$7,Costs!$E$6:$O$6,0))</f>
        <v>28.148709834098401</v>
      </c>
      <c r="K435" s="86">
        <f>GDPdeflator!$C$38*INDEX(Costs!$E$7:$O$89,MATCH($C435,Costs!$C$7:$C$89,0),MATCH(K$7,Costs!$E$6:$O$6,0))</f>
        <v>28.174992476333781</v>
      </c>
      <c r="L435" s="86">
        <f>GDPdeflator!$C$38*INDEX(Costs!$E$7:$O$89,MATCH($C435,Costs!$C$7:$C$89,0),MATCH(L$7,Costs!$E$6:$O$6,0))</f>
        <v>28.201275118569168</v>
      </c>
      <c r="M435" s="86">
        <f>GDPdeflator!$C$38*INDEX(Costs!$E$7:$O$89,MATCH($C435,Costs!$C$7:$C$89,0),MATCH(M$7,Costs!$E$6:$O$6,0))</f>
        <v>28.201275118569168</v>
      </c>
      <c r="N435" s="86">
        <f>GDPdeflator!$C$38*INDEX(Costs!$E$7:$O$89,MATCH($C435,Costs!$C$7:$C$89,0),MATCH(N$7,Costs!$E$6:$O$6,0))</f>
        <v>28.201275118569168</v>
      </c>
      <c r="O435" s="86">
        <f>GDPdeflator!$C$38*INDEX(Costs!$E$7:$O$89,MATCH($C435,Costs!$C$7:$C$89,0),MATCH(O$7,Costs!$E$6:$O$6,0))</f>
        <v>28.201275118569168</v>
      </c>
      <c r="P435" s="87">
        <f t="shared" si="228"/>
        <v>1759.2605914515186</v>
      </c>
      <c r="Q435" s="87">
        <f t="shared" si="218"/>
        <v>1688.1686911830409</v>
      </c>
      <c r="R435" s="87">
        <f t="shared" si="219"/>
        <v>2197.4780078315266</v>
      </c>
      <c r="S435" s="87">
        <f t="shared" si="220"/>
        <v>2264.7776006146496</v>
      </c>
      <c r="T435" s="87">
        <f t="shared" si="221"/>
        <v>2348.902091593553</v>
      </c>
      <c r="U435" s="87">
        <f t="shared" si="222"/>
        <v>2350.3651262192734</v>
      </c>
      <c r="V435" s="87">
        <f t="shared" si="223"/>
        <v>2352.5596781578529</v>
      </c>
      <c r="W435" s="87">
        <f t="shared" si="224"/>
        <v>2354.7542300964328</v>
      </c>
      <c r="X435" s="87">
        <f t="shared" si="225"/>
        <v>2354.7542300964328</v>
      </c>
      <c r="Y435" s="87">
        <f t="shared" si="226"/>
        <v>2354.7542300964328</v>
      </c>
      <c r="Z435" s="87">
        <f t="shared" si="227"/>
        <v>2354.7542300964328</v>
      </c>
      <c r="AA435" s="88">
        <v>500</v>
      </c>
      <c r="AB435" s="89">
        <f>AA435*GDPdeflator!$C$25/$AI$18*10^3</f>
        <v>48.0747492686653</v>
      </c>
      <c r="AC435" s="90" t="e">
        <f>INDEX(Efficiencies!$D$8:$M$89,MATCH(C435,Efficiencies!$C$8:$C$89),MATCH(D435,Efficiencies!$D$7:$M$7))</f>
        <v>#REF!</v>
      </c>
      <c r="AD435" s="90" t="e">
        <f t="shared" si="213"/>
        <v>#REF!</v>
      </c>
      <c r="AE435" s="90" t="e">
        <f>INDEX(Efficiencies!$P$8:$Y$89,MATCH(C435,Efficiencies!$C$8:$C$89),MATCH(D435,Efficiencies!$P$7:$Y$7))</f>
        <v>#REF!</v>
      </c>
      <c r="AF435" s="90" t="e">
        <f t="shared" si="216"/>
        <v>#REF!</v>
      </c>
      <c r="AG435" s="90">
        <v>0</v>
      </c>
    </row>
    <row r="436" spans="1:33" x14ac:dyDescent="0.2">
      <c r="A436" s="92" t="s">
        <v>1681</v>
      </c>
      <c r="B436" s="248" t="s">
        <v>1682</v>
      </c>
      <c r="C436" s="40" t="s">
        <v>1676</v>
      </c>
      <c r="D436" s="40">
        <v>2020</v>
      </c>
      <c r="E436" s="86">
        <f>GDPdeflator!$C$32*INDEX(Costs!$E$7:$O$89,MATCH($C436,Costs!$C$7:$C$89,0),MATCH(E$7,Costs!$E$6:$O$6,0))</f>
        <v>21.06945655332752</v>
      </c>
      <c r="F436" s="86">
        <f>GDPdeflator!$C$36*INDEX(Costs!$E$7:$O$89,MATCH($C436,Costs!$C$7:$C$89,0),MATCH(F$7,Costs!$E$6:$O$6,0))</f>
        <v>20.218037661050545</v>
      </c>
      <c r="G436" s="86">
        <f>GDPdeflator!$C$38*INDEX(Costs!$E$7:$O$89,MATCH($C436,Costs!$C$7:$C$89,0),MATCH(G$7,Costs!$E$6:$O$6,0))</f>
        <v>26.317685758366505</v>
      </c>
      <c r="H436" s="86">
        <f>GDPdeflator!$C$38*INDEX(Costs!$E$7:$O$89,MATCH($C436,Costs!$C$7:$C$89,0),MATCH(H$7,Costs!$E$6:$O$6,0))</f>
        <v>27.123686786918345</v>
      </c>
      <c r="I436" s="86">
        <f>GDPdeflator!$C$38*INDEX(Costs!$E$7:$O$89,MATCH($C436,Costs!$C$7:$C$89,0),MATCH(I$7,Costs!$E$6:$O$6,0))</f>
        <v>28.13118807260814</v>
      </c>
      <c r="J436" s="86">
        <f>GDPdeflator!$C$38*INDEX(Costs!$E$7:$O$89,MATCH($C436,Costs!$C$7:$C$89,0),MATCH(J$7,Costs!$E$6:$O$6,0))</f>
        <v>28.148709834098401</v>
      </c>
      <c r="K436" s="86">
        <f>GDPdeflator!$C$38*INDEX(Costs!$E$7:$O$89,MATCH($C436,Costs!$C$7:$C$89,0),MATCH(K$7,Costs!$E$6:$O$6,0))</f>
        <v>28.174992476333781</v>
      </c>
      <c r="L436" s="86">
        <f>GDPdeflator!$C$38*INDEX(Costs!$E$7:$O$89,MATCH($C436,Costs!$C$7:$C$89,0),MATCH(L$7,Costs!$E$6:$O$6,0))</f>
        <v>28.201275118569168</v>
      </c>
      <c r="M436" s="86">
        <f>GDPdeflator!$C$38*INDEX(Costs!$E$7:$O$89,MATCH($C436,Costs!$C$7:$C$89,0),MATCH(M$7,Costs!$E$6:$O$6,0))</f>
        <v>28.201275118569168</v>
      </c>
      <c r="N436" s="86">
        <f>GDPdeflator!$C$38*INDEX(Costs!$E$7:$O$89,MATCH($C436,Costs!$C$7:$C$89,0),MATCH(N$7,Costs!$E$6:$O$6,0))</f>
        <v>28.201275118569168</v>
      </c>
      <c r="O436" s="86">
        <f>GDPdeflator!$C$38*INDEX(Costs!$E$7:$O$89,MATCH($C436,Costs!$C$7:$C$89,0),MATCH(O$7,Costs!$E$6:$O$6,0))</f>
        <v>28.201275118569168</v>
      </c>
      <c r="P436" s="87">
        <f t="shared" si="228"/>
        <v>1759.2605914515186</v>
      </c>
      <c r="Q436" s="87">
        <f t="shared" si="218"/>
        <v>1688.1686911830409</v>
      </c>
      <c r="R436" s="87">
        <f t="shared" si="219"/>
        <v>2197.4780078315266</v>
      </c>
      <c r="S436" s="87">
        <f t="shared" si="220"/>
        <v>2264.7776006146496</v>
      </c>
      <c r="T436" s="87">
        <f t="shared" si="221"/>
        <v>2348.902091593553</v>
      </c>
      <c r="U436" s="87">
        <f t="shared" si="222"/>
        <v>2350.3651262192734</v>
      </c>
      <c r="V436" s="87">
        <f t="shared" si="223"/>
        <v>2352.5596781578529</v>
      </c>
      <c r="W436" s="87">
        <f t="shared" si="224"/>
        <v>2354.7542300964328</v>
      </c>
      <c r="X436" s="87">
        <f t="shared" si="225"/>
        <v>2354.7542300964328</v>
      </c>
      <c r="Y436" s="87">
        <f t="shared" si="226"/>
        <v>2354.7542300964328</v>
      </c>
      <c r="Z436" s="87">
        <f t="shared" si="227"/>
        <v>2354.7542300964328</v>
      </c>
      <c r="AA436" s="88">
        <v>500</v>
      </c>
      <c r="AB436" s="89">
        <f>AA436*GDPdeflator!$C$25/$AI$18*10^3</f>
        <v>48.0747492686653</v>
      </c>
      <c r="AC436" s="90" t="e">
        <f>INDEX(Efficiencies!$D$8:$M$89,MATCH(C436,Efficiencies!$C$8:$C$89),MATCH(D436,Efficiencies!$D$7:$M$7))</f>
        <v>#REF!</v>
      </c>
      <c r="AD436" s="90" t="e">
        <f t="shared" si="213"/>
        <v>#REF!</v>
      </c>
      <c r="AE436" s="90" t="e">
        <f>INDEX(Efficiencies!$P$8:$Y$89,MATCH(C436,Efficiencies!$C$8:$C$89),MATCH(D436,Efficiencies!$P$7:$Y$7))</f>
        <v>#REF!</v>
      </c>
      <c r="AF436" s="90" t="e">
        <f t="shared" si="216"/>
        <v>#REF!</v>
      </c>
      <c r="AG436" s="90">
        <v>0</v>
      </c>
    </row>
    <row r="437" spans="1:33" x14ac:dyDescent="0.2">
      <c r="A437" s="92" t="s">
        <v>1683</v>
      </c>
      <c r="B437" s="248" t="s">
        <v>1684</v>
      </c>
      <c r="C437" s="40" t="s">
        <v>1676</v>
      </c>
      <c r="D437" s="40">
        <v>2025</v>
      </c>
      <c r="E437" s="86">
        <f>GDPdeflator!$C$32*INDEX(Costs!$E$7:$O$89,MATCH($C437,Costs!$C$7:$C$89,0),MATCH(E$7,Costs!$E$6:$O$6,0))</f>
        <v>21.06945655332752</v>
      </c>
      <c r="F437" s="86">
        <f>GDPdeflator!$C$36*INDEX(Costs!$E$7:$O$89,MATCH($C437,Costs!$C$7:$C$89,0),MATCH(F$7,Costs!$E$6:$O$6,0))</f>
        <v>20.218037661050545</v>
      </c>
      <c r="G437" s="86">
        <f>GDPdeflator!$C$38*INDEX(Costs!$E$7:$O$89,MATCH($C437,Costs!$C$7:$C$89,0),MATCH(G$7,Costs!$E$6:$O$6,0))</f>
        <v>26.317685758366505</v>
      </c>
      <c r="H437" s="86">
        <f>GDPdeflator!$C$38*INDEX(Costs!$E$7:$O$89,MATCH($C437,Costs!$C$7:$C$89,0),MATCH(H$7,Costs!$E$6:$O$6,0))</f>
        <v>27.123686786918345</v>
      </c>
      <c r="I437" s="86">
        <f>GDPdeflator!$C$38*INDEX(Costs!$E$7:$O$89,MATCH($C437,Costs!$C$7:$C$89,0),MATCH(I$7,Costs!$E$6:$O$6,0))</f>
        <v>28.13118807260814</v>
      </c>
      <c r="J437" s="86">
        <f>GDPdeflator!$C$38*INDEX(Costs!$E$7:$O$89,MATCH($C437,Costs!$C$7:$C$89,0),MATCH(J$7,Costs!$E$6:$O$6,0))</f>
        <v>28.148709834098401</v>
      </c>
      <c r="K437" s="86">
        <f>GDPdeflator!$C$38*INDEX(Costs!$E$7:$O$89,MATCH($C437,Costs!$C$7:$C$89,0),MATCH(K$7,Costs!$E$6:$O$6,0))</f>
        <v>28.174992476333781</v>
      </c>
      <c r="L437" s="86">
        <f>GDPdeflator!$C$38*INDEX(Costs!$E$7:$O$89,MATCH($C437,Costs!$C$7:$C$89,0),MATCH(L$7,Costs!$E$6:$O$6,0))</f>
        <v>28.201275118569168</v>
      </c>
      <c r="M437" s="86">
        <f>GDPdeflator!$C$38*INDEX(Costs!$E$7:$O$89,MATCH($C437,Costs!$C$7:$C$89,0),MATCH(M$7,Costs!$E$6:$O$6,0))</f>
        <v>28.201275118569168</v>
      </c>
      <c r="N437" s="86">
        <f>GDPdeflator!$C$38*INDEX(Costs!$E$7:$O$89,MATCH($C437,Costs!$C$7:$C$89,0),MATCH(N$7,Costs!$E$6:$O$6,0))</f>
        <v>28.201275118569168</v>
      </c>
      <c r="O437" s="86">
        <f>GDPdeflator!$C$38*INDEX(Costs!$E$7:$O$89,MATCH($C437,Costs!$C$7:$C$89,0),MATCH(O$7,Costs!$E$6:$O$6,0))</f>
        <v>28.201275118569168</v>
      </c>
      <c r="P437" s="87">
        <f t="shared" si="228"/>
        <v>1759.2605914515186</v>
      </c>
      <c r="Q437" s="87">
        <f t="shared" si="218"/>
        <v>1688.1686911830409</v>
      </c>
      <c r="R437" s="87">
        <f t="shared" si="219"/>
        <v>2197.4780078315266</v>
      </c>
      <c r="S437" s="87">
        <f t="shared" si="220"/>
        <v>2264.7776006146496</v>
      </c>
      <c r="T437" s="87">
        <f t="shared" si="221"/>
        <v>2348.902091593553</v>
      </c>
      <c r="U437" s="87">
        <f t="shared" si="222"/>
        <v>2350.3651262192734</v>
      </c>
      <c r="V437" s="87">
        <f t="shared" si="223"/>
        <v>2352.5596781578529</v>
      </c>
      <c r="W437" s="87">
        <f t="shared" si="224"/>
        <v>2354.7542300964328</v>
      </c>
      <c r="X437" s="87">
        <f t="shared" si="225"/>
        <v>2354.7542300964328</v>
      </c>
      <c r="Y437" s="87">
        <f t="shared" si="226"/>
        <v>2354.7542300964328</v>
      </c>
      <c r="Z437" s="87">
        <f t="shared" si="227"/>
        <v>2354.7542300964328</v>
      </c>
      <c r="AA437" s="88">
        <v>500</v>
      </c>
      <c r="AB437" s="89">
        <f>AA437*GDPdeflator!$C$25/$AI$18*10^3</f>
        <v>48.0747492686653</v>
      </c>
      <c r="AC437" s="90" t="e">
        <f>INDEX(Efficiencies!$D$8:$M$89,MATCH(C437,Efficiencies!$C$8:$C$89),MATCH(D437,Efficiencies!$D$7:$M$7))</f>
        <v>#REF!</v>
      </c>
      <c r="AD437" s="90" t="e">
        <f t="shared" si="213"/>
        <v>#REF!</v>
      </c>
      <c r="AE437" s="90" t="e">
        <f>INDEX(Efficiencies!$P$8:$Y$89,MATCH(C437,Efficiencies!$C$8:$C$89),MATCH(D437,Efficiencies!$P$7:$Y$7))</f>
        <v>#REF!</v>
      </c>
      <c r="AF437" s="90" t="e">
        <f t="shared" si="216"/>
        <v>#REF!</v>
      </c>
      <c r="AG437" s="90">
        <v>0</v>
      </c>
    </row>
    <row r="438" spans="1:33" x14ac:dyDescent="0.2">
      <c r="A438" s="92" t="s">
        <v>1685</v>
      </c>
      <c r="B438" s="248" t="s">
        <v>1686</v>
      </c>
      <c r="C438" s="40" t="s">
        <v>1676</v>
      </c>
      <c r="D438" s="40">
        <v>2030</v>
      </c>
      <c r="E438" s="86">
        <f>GDPdeflator!$C$32*INDEX(Costs!$E$7:$O$89,MATCH($C438,Costs!$C$7:$C$89,0),MATCH(E$7,Costs!$E$6:$O$6,0))</f>
        <v>21.06945655332752</v>
      </c>
      <c r="F438" s="86">
        <f>GDPdeflator!$C$36*INDEX(Costs!$E$7:$O$89,MATCH($C438,Costs!$C$7:$C$89,0),MATCH(F$7,Costs!$E$6:$O$6,0))</f>
        <v>20.218037661050545</v>
      </c>
      <c r="G438" s="86">
        <f>GDPdeflator!$C$38*INDEX(Costs!$E$7:$O$89,MATCH($C438,Costs!$C$7:$C$89,0),MATCH(G$7,Costs!$E$6:$O$6,0))</f>
        <v>26.317685758366505</v>
      </c>
      <c r="H438" s="86">
        <f>GDPdeflator!$C$38*INDEX(Costs!$E$7:$O$89,MATCH($C438,Costs!$C$7:$C$89,0),MATCH(H$7,Costs!$E$6:$O$6,0))</f>
        <v>27.123686786918345</v>
      </c>
      <c r="I438" s="86">
        <f>GDPdeflator!$C$38*INDEX(Costs!$E$7:$O$89,MATCH($C438,Costs!$C$7:$C$89,0),MATCH(I$7,Costs!$E$6:$O$6,0))</f>
        <v>28.13118807260814</v>
      </c>
      <c r="J438" s="86">
        <f>GDPdeflator!$C$38*INDEX(Costs!$E$7:$O$89,MATCH($C438,Costs!$C$7:$C$89,0),MATCH(J$7,Costs!$E$6:$O$6,0))</f>
        <v>28.148709834098401</v>
      </c>
      <c r="K438" s="86">
        <f>GDPdeflator!$C$38*INDEX(Costs!$E$7:$O$89,MATCH($C438,Costs!$C$7:$C$89,0),MATCH(K$7,Costs!$E$6:$O$6,0))</f>
        <v>28.174992476333781</v>
      </c>
      <c r="L438" s="86">
        <f>GDPdeflator!$C$38*INDEX(Costs!$E$7:$O$89,MATCH($C438,Costs!$C$7:$C$89,0),MATCH(L$7,Costs!$E$6:$O$6,0))</f>
        <v>28.201275118569168</v>
      </c>
      <c r="M438" s="86">
        <f>GDPdeflator!$C$38*INDEX(Costs!$E$7:$O$89,MATCH($C438,Costs!$C$7:$C$89,0),MATCH(M$7,Costs!$E$6:$O$6,0))</f>
        <v>28.201275118569168</v>
      </c>
      <c r="N438" s="86">
        <f>GDPdeflator!$C$38*INDEX(Costs!$E$7:$O$89,MATCH($C438,Costs!$C$7:$C$89,0),MATCH(N$7,Costs!$E$6:$O$6,0))</f>
        <v>28.201275118569168</v>
      </c>
      <c r="O438" s="86">
        <f>GDPdeflator!$C$38*INDEX(Costs!$E$7:$O$89,MATCH($C438,Costs!$C$7:$C$89,0),MATCH(O$7,Costs!$E$6:$O$6,0))</f>
        <v>28.201275118569168</v>
      </c>
      <c r="P438" s="87">
        <f t="shared" si="228"/>
        <v>1759.2605914515186</v>
      </c>
      <c r="Q438" s="87">
        <f t="shared" si="218"/>
        <v>1688.1686911830409</v>
      </c>
      <c r="R438" s="87">
        <f t="shared" si="219"/>
        <v>2197.4780078315266</v>
      </c>
      <c r="S438" s="87">
        <f t="shared" si="220"/>
        <v>2264.7776006146496</v>
      </c>
      <c r="T438" s="87">
        <f t="shared" si="221"/>
        <v>2348.902091593553</v>
      </c>
      <c r="U438" s="87">
        <f t="shared" si="222"/>
        <v>2350.3651262192734</v>
      </c>
      <c r="V438" s="87">
        <f t="shared" si="223"/>
        <v>2352.5596781578529</v>
      </c>
      <c r="W438" s="87">
        <f t="shared" si="224"/>
        <v>2354.7542300964328</v>
      </c>
      <c r="X438" s="87">
        <f t="shared" si="225"/>
        <v>2354.7542300964328</v>
      </c>
      <c r="Y438" s="87">
        <f t="shared" si="226"/>
        <v>2354.7542300964328</v>
      </c>
      <c r="Z438" s="87">
        <f t="shared" si="227"/>
        <v>2354.7542300964328</v>
      </c>
      <c r="AA438" s="88">
        <v>500</v>
      </c>
      <c r="AB438" s="89">
        <f>AA438*GDPdeflator!$C$25/$AI$18*10^3</f>
        <v>48.0747492686653</v>
      </c>
      <c r="AC438" s="90" t="e">
        <f>INDEX(Efficiencies!$D$8:$M$89,MATCH(C438,Efficiencies!$C$8:$C$89),MATCH(D438,Efficiencies!$D$7:$M$7))</f>
        <v>#REF!</v>
      </c>
      <c r="AD438" s="90" t="e">
        <f t="shared" si="213"/>
        <v>#REF!</v>
      </c>
      <c r="AE438" s="90" t="e">
        <f>INDEX(Efficiencies!$P$8:$Y$89,MATCH(C438,Efficiencies!$C$8:$C$89),MATCH(D438,Efficiencies!$P$7:$Y$7))</f>
        <v>#REF!</v>
      </c>
      <c r="AF438" s="90" t="e">
        <f t="shared" si="216"/>
        <v>#REF!</v>
      </c>
      <c r="AG438" s="90">
        <v>0</v>
      </c>
    </row>
    <row r="439" spans="1:33" x14ac:dyDescent="0.2">
      <c r="A439" s="92" t="s">
        <v>1687</v>
      </c>
      <c r="B439" s="248" t="s">
        <v>1688</v>
      </c>
      <c r="C439" s="40" t="s">
        <v>1676</v>
      </c>
      <c r="D439" s="40">
        <v>2035</v>
      </c>
      <c r="E439" s="86">
        <f>GDPdeflator!$C$32*INDEX(Costs!$E$7:$O$89,MATCH($C439,Costs!$C$7:$C$89,0),MATCH(E$7,Costs!$E$6:$O$6,0))</f>
        <v>21.06945655332752</v>
      </c>
      <c r="F439" s="86">
        <f>GDPdeflator!$C$36*INDEX(Costs!$E$7:$O$89,MATCH($C439,Costs!$C$7:$C$89,0),MATCH(F$7,Costs!$E$6:$O$6,0))</f>
        <v>20.218037661050545</v>
      </c>
      <c r="G439" s="86">
        <f>GDPdeflator!$C$38*INDEX(Costs!$E$7:$O$89,MATCH($C439,Costs!$C$7:$C$89,0),MATCH(G$7,Costs!$E$6:$O$6,0))</f>
        <v>26.317685758366505</v>
      </c>
      <c r="H439" s="86">
        <f>GDPdeflator!$C$38*INDEX(Costs!$E$7:$O$89,MATCH($C439,Costs!$C$7:$C$89,0),MATCH(H$7,Costs!$E$6:$O$6,0))</f>
        <v>27.123686786918345</v>
      </c>
      <c r="I439" s="86">
        <f>GDPdeflator!$C$38*INDEX(Costs!$E$7:$O$89,MATCH($C439,Costs!$C$7:$C$89,0),MATCH(I$7,Costs!$E$6:$O$6,0))</f>
        <v>28.13118807260814</v>
      </c>
      <c r="J439" s="86">
        <f>GDPdeflator!$C$38*INDEX(Costs!$E$7:$O$89,MATCH($C439,Costs!$C$7:$C$89,0),MATCH(J$7,Costs!$E$6:$O$6,0))</f>
        <v>28.148709834098401</v>
      </c>
      <c r="K439" s="86">
        <f>GDPdeflator!$C$38*INDEX(Costs!$E$7:$O$89,MATCH($C439,Costs!$C$7:$C$89,0),MATCH(K$7,Costs!$E$6:$O$6,0))</f>
        <v>28.174992476333781</v>
      </c>
      <c r="L439" s="86">
        <f>GDPdeflator!$C$38*INDEX(Costs!$E$7:$O$89,MATCH($C439,Costs!$C$7:$C$89,0),MATCH(L$7,Costs!$E$6:$O$6,0))</f>
        <v>28.201275118569168</v>
      </c>
      <c r="M439" s="86">
        <f>GDPdeflator!$C$38*INDEX(Costs!$E$7:$O$89,MATCH($C439,Costs!$C$7:$C$89,0),MATCH(M$7,Costs!$E$6:$O$6,0))</f>
        <v>28.201275118569168</v>
      </c>
      <c r="N439" s="86">
        <f>GDPdeflator!$C$38*INDEX(Costs!$E$7:$O$89,MATCH($C439,Costs!$C$7:$C$89,0),MATCH(N$7,Costs!$E$6:$O$6,0))</f>
        <v>28.201275118569168</v>
      </c>
      <c r="O439" s="86">
        <f>GDPdeflator!$C$38*INDEX(Costs!$E$7:$O$89,MATCH($C439,Costs!$C$7:$C$89,0),MATCH(O$7,Costs!$E$6:$O$6,0))</f>
        <v>28.201275118569168</v>
      </c>
      <c r="P439" s="87">
        <f t="shared" si="228"/>
        <v>1759.2605914515186</v>
      </c>
      <c r="Q439" s="87">
        <f t="shared" si="218"/>
        <v>1688.1686911830409</v>
      </c>
      <c r="R439" s="87">
        <f t="shared" si="219"/>
        <v>2197.4780078315266</v>
      </c>
      <c r="S439" s="87">
        <f t="shared" si="220"/>
        <v>2264.7776006146496</v>
      </c>
      <c r="T439" s="87">
        <f t="shared" si="221"/>
        <v>2348.902091593553</v>
      </c>
      <c r="U439" s="87">
        <f t="shared" si="222"/>
        <v>2350.3651262192734</v>
      </c>
      <c r="V439" s="87">
        <f t="shared" si="223"/>
        <v>2352.5596781578529</v>
      </c>
      <c r="W439" s="87">
        <f t="shared" si="224"/>
        <v>2354.7542300964328</v>
      </c>
      <c r="X439" s="87">
        <f t="shared" si="225"/>
        <v>2354.7542300964328</v>
      </c>
      <c r="Y439" s="87">
        <f t="shared" si="226"/>
        <v>2354.7542300964328</v>
      </c>
      <c r="Z439" s="87">
        <f t="shared" si="227"/>
        <v>2354.7542300964328</v>
      </c>
      <c r="AA439" s="88">
        <v>500</v>
      </c>
      <c r="AB439" s="89">
        <f>AA439*GDPdeflator!$C$25/$AI$18*10^3</f>
        <v>48.0747492686653</v>
      </c>
      <c r="AC439" s="90" t="e">
        <f>INDEX(Efficiencies!$D$8:$M$89,MATCH(C439,Efficiencies!$C$8:$C$89),MATCH(D439,Efficiencies!$D$7:$M$7))</f>
        <v>#REF!</v>
      </c>
      <c r="AD439" s="90" t="e">
        <f t="shared" si="213"/>
        <v>#REF!</v>
      </c>
      <c r="AE439" s="90" t="e">
        <f>INDEX(Efficiencies!$P$8:$Y$89,MATCH(C439,Efficiencies!$C$8:$C$89),MATCH(D439,Efficiencies!$P$7:$Y$7))</f>
        <v>#REF!</v>
      </c>
      <c r="AF439" s="90" t="e">
        <f t="shared" si="216"/>
        <v>#REF!</v>
      </c>
      <c r="AG439" s="90">
        <v>0</v>
      </c>
    </row>
    <row r="440" spans="1:33" x14ac:dyDescent="0.2">
      <c r="A440" s="92" t="s">
        <v>1689</v>
      </c>
      <c r="B440" s="248" t="s">
        <v>1690</v>
      </c>
      <c r="C440" s="40" t="s">
        <v>1676</v>
      </c>
      <c r="D440" s="40">
        <v>2040</v>
      </c>
      <c r="E440" s="86">
        <f>GDPdeflator!$C$32*INDEX(Costs!$E$7:$O$89,MATCH($C440,Costs!$C$7:$C$89,0),MATCH(E$7,Costs!$E$6:$O$6,0))</f>
        <v>21.06945655332752</v>
      </c>
      <c r="F440" s="86">
        <f>GDPdeflator!$C$36*INDEX(Costs!$E$7:$O$89,MATCH($C440,Costs!$C$7:$C$89,0),MATCH(F$7,Costs!$E$6:$O$6,0))</f>
        <v>20.218037661050545</v>
      </c>
      <c r="G440" s="86">
        <f>GDPdeflator!$C$38*INDEX(Costs!$E$7:$O$89,MATCH($C440,Costs!$C$7:$C$89,0),MATCH(G$7,Costs!$E$6:$O$6,0))</f>
        <v>26.317685758366505</v>
      </c>
      <c r="H440" s="86">
        <f>GDPdeflator!$C$38*INDEX(Costs!$E$7:$O$89,MATCH($C440,Costs!$C$7:$C$89,0),MATCH(H$7,Costs!$E$6:$O$6,0))</f>
        <v>27.123686786918345</v>
      </c>
      <c r="I440" s="86">
        <f>GDPdeflator!$C$38*INDEX(Costs!$E$7:$O$89,MATCH($C440,Costs!$C$7:$C$89,0),MATCH(I$7,Costs!$E$6:$O$6,0))</f>
        <v>28.13118807260814</v>
      </c>
      <c r="J440" s="86">
        <f>GDPdeflator!$C$38*INDEX(Costs!$E$7:$O$89,MATCH($C440,Costs!$C$7:$C$89,0),MATCH(J$7,Costs!$E$6:$O$6,0))</f>
        <v>28.148709834098401</v>
      </c>
      <c r="K440" s="86">
        <f>GDPdeflator!$C$38*INDEX(Costs!$E$7:$O$89,MATCH($C440,Costs!$C$7:$C$89,0),MATCH(K$7,Costs!$E$6:$O$6,0))</f>
        <v>28.174992476333781</v>
      </c>
      <c r="L440" s="86">
        <f>GDPdeflator!$C$38*INDEX(Costs!$E$7:$O$89,MATCH($C440,Costs!$C$7:$C$89,0),MATCH(L$7,Costs!$E$6:$O$6,0))</f>
        <v>28.201275118569168</v>
      </c>
      <c r="M440" s="86">
        <f>GDPdeflator!$C$38*INDEX(Costs!$E$7:$O$89,MATCH($C440,Costs!$C$7:$C$89,0),MATCH(M$7,Costs!$E$6:$O$6,0))</f>
        <v>28.201275118569168</v>
      </c>
      <c r="N440" s="86">
        <f>GDPdeflator!$C$38*INDEX(Costs!$E$7:$O$89,MATCH($C440,Costs!$C$7:$C$89,0),MATCH(N$7,Costs!$E$6:$O$6,0))</f>
        <v>28.201275118569168</v>
      </c>
      <c r="O440" s="86">
        <f>GDPdeflator!$C$38*INDEX(Costs!$E$7:$O$89,MATCH($C440,Costs!$C$7:$C$89,0),MATCH(O$7,Costs!$E$6:$O$6,0))</f>
        <v>28.201275118569168</v>
      </c>
      <c r="P440" s="87">
        <f t="shared" si="228"/>
        <v>1759.2605914515186</v>
      </c>
      <c r="Q440" s="87">
        <f t="shared" si="218"/>
        <v>1688.1686911830409</v>
      </c>
      <c r="R440" s="87">
        <f t="shared" si="219"/>
        <v>2197.4780078315266</v>
      </c>
      <c r="S440" s="87">
        <f t="shared" si="220"/>
        <v>2264.7776006146496</v>
      </c>
      <c r="T440" s="87">
        <f t="shared" si="221"/>
        <v>2348.902091593553</v>
      </c>
      <c r="U440" s="87">
        <f t="shared" si="222"/>
        <v>2350.3651262192734</v>
      </c>
      <c r="V440" s="87">
        <f t="shared" si="223"/>
        <v>2352.5596781578529</v>
      </c>
      <c r="W440" s="87">
        <f t="shared" si="224"/>
        <v>2354.7542300964328</v>
      </c>
      <c r="X440" s="87">
        <f t="shared" si="225"/>
        <v>2354.7542300964328</v>
      </c>
      <c r="Y440" s="87">
        <f t="shared" si="226"/>
        <v>2354.7542300964328</v>
      </c>
      <c r="Z440" s="87">
        <f t="shared" si="227"/>
        <v>2354.7542300964328</v>
      </c>
      <c r="AA440" s="88">
        <v>500</v>
      </c>
      <c r="AB440" s="89">
        <f>AA440*GDPdeflator!$C$25/$AI$18*10^3</f>
        <v>48.0747492686653</v>
      </c>
      <c r="AC440" s="90" t="e">
        <f>INDEX(Efficiencies!$D$8:$M$89,MATCH(C440,Efficiencies!$C$8:$C$89),MATCH(D440,Efficiencies!$D$7:$M$7))</f>
        <v>#REF!</v>
      </c>
      <c r="AD440" s="90" t="e">
        <f t="shared" si="213"/>
        <v>#REF!</v>
      </c>
      <c r="AE440" s="90" t="e">
        <f>INDEX(Efficiencies!$P$8:$Y$89,MATCH(C440,Efficiencies!$C$8:$C$89),MATCH(D440,Efficiencies!$P$7:$Y$7))</f>
        <v>#REF!</v>
      </c>
      <c r="AF440" s="90" t="e">
        <f t="shared" si="216"/>
        <v>#REF!</v>
      </c>
      <c r="AG440" s="90">
        <v>0</v>
      </c>
    </row>
    <row r="441" spans="1:33" x14ac:dyDescent="0.2">
      <c r="A441" s="92" t="s">
        <v>1691</v>
      </c>
      <c r="B441" s="248" t="s">
        <v>1692</v>
      </c>
      <c r="C441" s="40" t="s">
        <v>1676</v>
      </c>
      <c r="D441" s="40">
        <v>2045</v>
      </c>
      <c r="E441" s="86">
        <f>GDPdeflator!$C$32*INDEX(Costs!$E$7:$O$89,MATCH($C441,Costs!$C$7:$C$89,0),MATCH(E$7,Costs!$E$6:$O$6,0))</f>
        <v>21.06945655332752</v>
      </c>
      <c r="F441" s="86">
        <f>GDPdeflator!$C$36*INDEX(Costs!$E$7:$O$89,MATCH($C441,Costs!$C$7:$C$89,0),MATCH(F$7,Costs!$E$6:$O$6,0))</f>
        <v>20.218037661050545</v>
      </c>
      <c r="G441" s="86">
        <f>GDPdeflator!$C$38*INDEX(Costs!$E$7:$O$89,MATCH($C441,Costs!$C$7:$C$89,0),MATCH(G$7,Costs!$E$6:$O$6,0))</f>
        <v>26.317685758366505</v>
      </c>
      <c r="H441" s="86">
        <f>GDPdeflator!$C$38*INDEX(Costs!$E$7:$O$89,MATCH($C441,Costs!$C$7:$C$89,0),MATCH(H$7,Costs!$E$6:$O$6,0))</f>
        <v>27.123686786918345</v>
      </c>
      <c r="I441" s="86">
        <f>GDPdeflator!$C$38*INDEX(Costs!$E$7:$O$89,MATCH($C441,Costs!$C$7:$C$89,0),MATCH(I$7,Costs!$E$6:$O$6,0))</f>
        <v>28.13118807260814</v>
      </c>
      <c r="J441" s="86">
        <f>GDPdeflator!$C$38*INDEX(Costs!$E$7:$O$89,MATCH($C441,Costs!$C$7:$C$89,0),MATCH(J$7,Costs!$E$6:$O$6,0))</f>
        <v>28.148709834098401</v>
      </c>
      <c r="K441" s="86">
        <f>GDPdeflator!$C$38*INDEX(Costs!$E$7:$O$89,MATCH($C441,Costs!$C$7:$C$89,0),MATCH(K$7,Costs!$E$6:$O$6,0))</f>
        <v>28.174992476333781</v>
      </c>
      <c r="L441" s="86">
        <f>GDPdeflator!$C$38*INDEX(Costs!$E$7:$O$89,MATCH($C441,Costs!$C$7:$C$89,0),MATCH(L$7,Costs!$E$6:$O$6,0))</f>
        <v>28.201275118569168</v>
      </c>
      <c r="M441" s="86">
        <f>GDPdeflator!$C$38*INDEX(Costs!$E$7:$O$89,MATCH($C441,Costs!$C$7:$C$89,0),MATCH(M$7,Costs!$E$6:$O$6,0))</f>
        <v>28.201275118569168</v>
      </c>
      <c r="N441" s="86">
        <f>GDPdeflator!$C$38*INDEX(Costs!$E$7:$O$89,MATCH($C441,Costs!$C$7:$C$89,0),MATCH(N$7,Costs!$E$6:$O$6,0))</f>
        <v>28.201275118569168</v>
      </c>
      <c r="O441" s="86">
        <f>GDPdeflator!$C$38*INDEX(Costs!$E$7:$O$89,MATCH($C441,Costs!$C$7:$C$89,0),MATCH(O$7,Costs!$E$6:$O$6,0))</f>
        <v>28.201275118569168</v>
      </c>
      <c r="P441" s="87">
        <f t="shared" si="228"/>
        <v>1759.2605914515186</v>
      </c>
      <c r="Q441" s="87">
        <f t="shared" si="218"/>
        <v>1688.1686911830409</v>
      </c>
      <c r="R441" s="87">
        <f t="shared" si="219"/>
        <v>2197.4780078315266</v>
      </c>
      <c r="S441" s="87">
        <f t="shared" si="220"/>
        <v>2264.7776006146496</v>
      </c>
      <c r="T441" s="87">
        <f t="shared" si="221"/>
        <v>2348.902091593553</v>
      </c>
      <c r="U441" s="87">
        <f t="shared" si="222"/>
        <v>2350.3651262192734</v>
      </c>
      <c r="V441" s="87">
        <f t="shared" si="223"/>
        <v>2352.5596781578529</v>
      </c>
      <c r="W441" s="87">
        <f t="shared" si="224"/>
        <v>2354.7542300964328</v>
      </c>
      <c r="X441" s="87">
        <f t="shared" si="225"/>
        <v>2354.7542300964328</v>
      </c>
      <c r="Y441" s="87">
        <f t="shared" si="226"/>
        <v>2354.7542300964328</v>
      </c>
      <c r="Z441" s="87">
        <f t="shared" si="227"/>
        <v>2354.7542300964328</v>
      </c>
      <c r="AA441" s="88">
        <v>500</v>
      </c>
      <c r="AB441" s="89">
        <f>AA441*GDPdeflator!$C$25/$AI$18*10^3</f>
        <v>48.0747492686653</v>
      </c>
      <c r="AC441" s="90" t="e">
        <f>INDEX(Efficiencies!$D$8:$M$89,MATCH(C441,Efficiencies!$C$8:$C$89),MATCH(D441,Efficiencies!$D$7:$M$7))</f>
        <v>#REF!</v>
      </c>
      <c r="AD441" s="90" t="e">
        <f t="shared" si="213"/>
        <v>#REF!</v>
      </c>
      <c r="AE441" s="90" t="e">
        <f>INDEX(Efficiencies!$P$8:$Y$89,MATCH(C441,Efficiencies!$C$8:$C$89),MATCH(D441,Efficiencies!$P$7:$Y$7))</f>
        <v>#REF!</v>
      </c>
      <c r="AF441" s="90" t="e">
        <f t="shared" si="216"/>
        <v>#REF!</v>
      </c>
      <c r="AG441" s="90">
        <v>0</v>
      </c>
    </row>
    <row r="442" spans="1:33" x14ac:dyDescent="0.2">
      <c r="A442" s="92" t="s">
        <v>1693</v>
      </c>
      <c r="B442" s="248" t="s">
        <v>1694</v>
      </c>
      <c r="C442" s="40" t="s">
        <v>1676</v>
      </c>
      <c r="D442" s="40">
        <v>2050</v>
      </c>
      <c r="E442" s="86">
        <f>GDPdeflator!$C$32*INDEX(Costs!$E$7:$O$89,MATCH($C442,Costs!$C$7:$C$89,0),MATCH(E$7,Costs!$E$6:$O$6,0))</f>
        <v>21.06945655332752</v>
      </c>
      <c r="F442" s="86">
        <f>GDPdeflator!$C$36*INDEX(Costs!$E$7:$O$89,MATCH($C442,Costs!$C$7:$C$89,0),MATCH(F$7,Costs!$E$6:$O$6,0))</f>
        <v>20.218037661050545</v>
      </c>
      <c r="G442" s="86">
        <f>GDPdeflator!$C$38*INDEX(Costs!$E$7:$O$89,MATCH($C442,Costs!$C$7:$C$89,0),MATCH(G$7,Costs!$E$6:$O$6,0))</f>
        <v>26.317685758366505</v>
      </c>
      <c r="H442" s="86">
        <f>GDPdeflator!$C$38*INDEX(Costs!$E$7:$O$89,MATCH($C442,Costs!$C$7:$C$89,0),MATCH(H$7,Costs!$E$6:$O$6,0))</f>
        <v>27.123686786918345</v>
      </c>
      <c r="I442" s="86">
        <f>GDPdeflator!$C$38*INDEX(Costs!$E$7:$O$89,MATCH($C442,Costs!$C$7:$C$89,0),MATCH(I$7,Costs!$E$6:$O$6,0))</f>
        <v>28.13118807260814</v>
      </c>
      <c r="J442" s="86">
        <f>GDPdeflator!$C$38*INDEX(Costs!$E$7:$O$89,MATCH($C442,Costs!$C$7:$C$89,0),MATCH(J$7,Costs!$E$6:$O$6,0))</f>
        <v>28.148709834098401</v>
      </c>
      <c r="K442" s="86">
        <f>GDPdeflator!$C$38*INDEX(Costs!$E$7:$O$89,MATCH($C442,Costs!$C$7:$C$89,0),MATCH(K$7,Costs!$E$6:$O$6,0))</f>
        <v>28.174992476333781</v>
      </c>
      <c r="L442" s="86">
        <f>GDPdeflator!$C$38*INDEX(Costs!$E$7:$O$89,MATCH($C442,Costs!$C$7:$C$89,0),MATCH(L$7,Costs!$E$6:$O$6,0))</f>
        <v>28.201275118569168</v>
      </c>
      <c r="M442" s="86">
        <f>GDPdeflator!$C$38*INDEX(Costs!$E$7:$O$89,MATCH($C442,Costs!$C$7:$C$89,0),MATCH(M$7,Costs!$E$6:$O$6,0))</f>
        <v>28.201275118569168</v>
      </c>
      <c r="N442" s="86">
        <f>GDPdeflator!$C$38*INDEX(Costs!$E$7:$O$89,MATCH($C442,Costs!$C$7:$C$89,0),MATCH(N$7,Costs!$E$6:$O$6,0))</f>
        <v>28.201275118569168</v>
      </c>
      <c r="O442" s="86">
        <f>GDPdeflator!$C$38*INDEX(Costs!$E$7:$O$89,MATCH($C442,Costs!$C$7:$C$89,0),MATCH(O$7,Costs!$E$6:$O$6,0))</f>
        <v>28.201275118569168</v>
      </c>
      <c r="P442" s="87">
        <f t="shared" si="228"/>
        <v>1759.2605914515186</v>
      </c>
      <c r="Q442" s="87">
        <f t="shared" si="218"/>
        <v>1688.1686911830409</v>
      </c>
      <c r="R442" s="87">
        <f t="shared" si="219"/>
        <v>2197.4780078315266</v>
      </c>
      <c r="S442" s="87">
        <f t="shared" si="220"/>
        <v>2264.7776006146496</v>
      </c>
      <c r="T442" s="87">
        <f t="shared" si="221"/>
        <v>2348.902091593553</v>
      </c>
      <c r="U442" s="87">
        <f t="shared" si="222"/>
        <v>2350.3651262192734</v>
      </c>
      <c r="V442" s="87">
        <f t="shared" si="223"/>
        <v>2352.5596781578529</v>
      </c>
      <c r="W442" s="87">
        <f t="shared" si="224"/>
        <v>2354.7542300964328</v>
      </c>
      <c r="X442" s="87">
        <f t="shared" si="225"/>
        <v>2354.7542300964328</v>
      </c>
      <c r="Y442" s="87">
        <f t="shared" si="226"/>
        <v>2354.7542300964328</v>
      </c>
      <c r="Z442" s="87">
        <f t="shared" si="227"/>
        <v>2354.7542300964328</v>
      </c>
      <c r="AA442" s="88">
        <v>500</v>
      </c>
      <c r="AB442" s="89">
        <f>AA442*GDPdeflator!$C$25/$AI$18*10^3</f>
        <v>48.0747492686653</v>
      </c>
      <c r="AC442" s="90" t="e">
        <f>INDEX(Efficiencies!$D$8:$M$89,MATCH(C442,Efficiencies!$C$8:$C$89),MATCH(D442,Efficiencies!$D$7:$M$7))</f>
        <v>#REF!</v>
      </c>
      <c r="AD442" s="90" t="e">
        <f t="shared" si="213"/>
        <v>#REF!</v>
      </c>
      <c r="AE442" s="90" t="e">
        <f>INDEX(Efficiencies!$P$8:$Y$89,MATCH(C442,Efficiencies!$C$8:$C$89,0),MATCH(D442,Efficiencies!$P$7:$Y$7,0))</f>
        <v>#REF!</v>
      </c>
      <c r="AF442" s="90" t="e">
        <f t="shared" si="216"/>
        <v>#REF!</v>
      </c>
      <c r="AG442" s="90">
        <v>0</v>
      </c>
    </row>
    <row r="443" spans="1:33" x14ac:dyDescent="0.2">
      <c r="A443" s="92" t="s">
        <v>1695</v>
      </c>
      <c r="B443" s="248" t="s">
        <v>1696</v>
      </c>
      <c r="C443" s="40" t="s">
        <v>1697</v>
      </c>
      <c r="D443" s="40">
        <v>2010</v>
      </c>
      <c r="E443" s="86">
        <f>GDPdeflator!$C$32*INDEX(Costs!$E$7:$O$89,MATCH($C443,Costs!$C$7:$C$89,0),MATCH(E$7,Costs!$E$6:$O$6,0))</f>
        <v>0</v>
      </c>
      <c r="F443" s="86">
        <f>GDPdeflator!$C$36*INDEX(Costs!$E$7:$O$89,MATCH($C443,Costs!$C$7:$C$89,0),MATCH(F$7,Costs!$E$6:$O$6,0))</f>
        <v>0</v>
      </c>
      <c r="G443" s="86">
        <f>GDPdeflator!$C$38*INDEX(Costs!$E$7:$O$89,MATCH($C443,Costs!$C$7:$C$89,0),MATCH(G$7,Costs!$E$6:$O$6,0))</f>
        <v>33.948412887373571</v>
      </c>
      <c r="H443" s="86">
        <f>GDPdeflator!$C$38*INDEX(Costs!$E$7:$O$89,MATCH($C443,Costs!$C$7:$C$89,0),MATCH(H$7,Costs!$E$6:$O$6,0))</f>
        <v>32.415258756976058</v>
      </c>
      <c r="I443" s="86">
        <f>GDPdeflator!$C$38*INDEX(Costs!$E$7:$O$89,MATCH($C443,Costs!$C$7:$C$89,0),MATCH(I$7,Costs!$E$6:$O$6,0))</f>
        <v>32.467824041446832</v>
      </c>
      <c r="J443" s="86">
        <f>GDPdeflator!$C$38*INDEX(Costs!$E$7:$O$89,MATCH($C443,Costs!$C$7:$C$89,0),MATCH(J$7,Costs!$E$6:$O$6,0))</f>
        <v>31.854562389287821</v>
      </c>
      <c r="K443" s="86">
        <f>GDPdeflator!$C$38*INDEX(Costs!$E$7:$O$89,MATCH($C443,Costs!$C$7:$C$89,0),MATCH(K$7,Costs!$E$6:$O$6,0))</f>
        <v>31.696866535875508</v>
      </c>
      <c r="L443" s="86">
        <f>GDPdeflator!$C$38*INDEX(Costs!$E$7:$O$89,MATCH($C443,Costs!$C$7:$C$89,0),MATCH(L$7,Costs!$E$6:$O$6,0))</f>
        <v>31.670583893640121</v>
      </c>
      <c r="M443" s="86">
        <f>GDPdeflator!$C$38*INDEX(Costs!$E$7:$O$89,MATCH($C443,Costs!$C$7:$C$89,0),MATCH(M$7,Costs!$E$6:$O$6,0))</f>
        <v>31.670583893640121</v>
      </c>
      <c r="N443" s="86">
        <f>GDPdeflator!$C$38*INDEX(Costs!$E$7:$O$89,MATCH($C443,Costs!$C$7:$C$89,0),MATCH(N$7,Costs!$E$6:$O$6,0))</f>
        <v>31.670583893640121</v>
      </c>
      <c r="O443" s="86">
        <f>GDPdeflator!$C$38*INDEX(Costs!$E$7:$O$89,MATCH($C443,Costs!$C$7:$C$89,0),MATCH(O$7,Costs!$E$6:$O$6,0))</f>
        <v>31.670583893640121</v>
      </c>
      <c r="P443" s="87">
        <v>0</v>
      </c>
      <c r="Q443" s="87">
        <f>F443/$AI$18*10^6</f>
        <v>0</v>
      </c>
      <c r="R443" s="87">
        <f t="shared" si="219"/>
        <v>2834.6295873326121</v>
      </c>
      <c r="S443" s="87">
        <f t="shared" si="220"/>
        <v>2706.6140575821069</v>
      </c>
      <c r="T443" s="87">
        <f t="shared" si="221"/>
        <v>2711.0031614592676</v>
      </c>
      <c r="U443" s="87">
        <f t="shared" si="222"/>
        <v>2659.7969495590651</v>
      </c>
      <c r="V443" s="87">
        <f t="shared" si="223"/>
        <v>2646.6296379275846</v>
      </c>
      <c r="W443" s="87">
        <f t="shared" si="224"/>
        <v>2644.4350859890046</v>
      </c>
      <c r="X443" s="87">
        <f t="shared" si="225"/>
        <v>2644.4350859890046</v>
      </c>
      <c r="Y443" s="87">
        <f t="shared" si="226"/>
        <v>2644.4350859890046</v>
      </c>
      <c r="Z443" s="87">
        <f t="shared" si="227"/>
        <v>2644.4350859890046</v>
      </c>
      <c r="AA443" s="88">
        <v>500</v>
      </c>
      <c r="AB443" s="89">
        <f>AA443*GDPdeflator!$C$25/$AI$18*10^3</f>
        <v>48.0747492686653</v>
      </c>
      <c r="AC443" s="90">
        <f>INDEX(Efficiencies!$D$8:$M$89,MATCH(C443,Efficiencies!$C$8:$C$89),MATCH(D443,Efficiencies!$D$7:$M$7))</f>
        <v>0</v>
      </c>
      <c r="AD443" s="90">
        <f t="shared" si="213"/>
        <v>0</v>
      </c>
      <c r="AE443" s="90">
        <f>INDEX(Efficiencies!$P$8:$Y$89,MATCH(C443,Efficiencies!$C$8:$C$89),MATCH(D443,Efficiencies!$P$7:$Y$7))</f>
        <v>0</v>
      </c>
      <c r="AF443" s="90">
        <f t="shared" si="216"/>
        <v>0</v>
      </c>
      <c r="AG443" s="90">
        <v>0</v>
      </c>
    </row>
    <row r="444" spans="1:33" x14ac:dyDescent="0.2">
      <c r="A444" s="92" t="s">
        <v>1698</v>
      </c>
      <c r="B444" s="248" t="s">
        <v>1699</v>
      </c>
      <c r="C444" s="40" t="s">
        <v>1697</v>
      </c>
      <c r="D444" s="40">
        <v>2015</v>
      </c>
      <c r="E444" s="86">
        <f>GDPdeflator!$C$32*INDEX(Costs!$E$7:$O$89,MATCH($C444,Costs!$C$7:$C$89,0),MATCH(E$7,Costs!$E$6:$O$6,0))</f>
        <v>0</v>
      </c>
      <c r="F444" s="86">
        <f>GDPdeflator!$C$36*INDEX(Costs!$E$7:$O$89,MATCH($C444,Costs!$C$7:$C$89,0),MATCH(F$7,Costs!$E$6:$O$6,0))</f>
        <v>0</v>
      </c>
      <c r="G444" s="86">
        <f>GDPdeflator!$C$38*INDEX(Costs!$E$7:$O$89,MATCH($C444,Costs!$C$7:$C$89,0),MATCH(G$7,Costs!$E$6:$O$6,0))</f>
        <v>33.948412887373571</v>
      </c>
      <c r="H444" s="86">
        <f>GDPdeflator!$C$38*INDEX(Costs!$E$7:$O$89,MATCH($C444,Costs!$C$7:$C$89,0),MATCH(H$7,Costs!$E$6:$O$6,0))</f>
        <v>32.415258756976058</v>
      </c>
      <c r="I444" s="86">
        <f>GDPdeflator!$C$38*INDEX(Costs!$E$7:$O$89,MATCH($C444,Costs!$C$7:$C$89,0),MATCH(I$7,Costs!$E$6:$O$6,0))</f>
        <v>32.467824041446832</v>
      </c>
      <c r="J444" s="86">
        <f>GDPdeflator!$C$38*INDEX(Costs!$E$7:$O$89,MATCH($C444,Costs!$C$7:$C$89,0),MATCH(J$7,Costs!$E$6:$O$6,0))</f>
        <v>31.854562389287821</v>
      </c>
      <c r="K444" s="86">
        <f>GDPdeflator!$C$38*INDEX(Costs!$E$7:$O$89,MATCH($C444,Costs!$C$7:$C$89,0),MATCH(K$7,Costs!$E$6:$O$6,0))</f>
        <v>31.696866535875508</v>
      </c>
      <c r="L444" s="86">
        <f>GDPdeflator!$C$38*INDEX(Costs!$E$7:$O$89,MATCH($C444,Costs!$C$7:$C$89,0),MATCH(L$7,Costs!$E$6:$O$6,0))</f>
        <v>31.670583893640121</v>
      </c>
      <c r="M444" s="86">
        <f>GDPdeflator!$C$38*INDEX(Costs!$E$7:$O$89,MATCH($C444,Costs!$C$7:$C$89,0),MATCH(M$7,Costs!$E$6:$O$6,0))</f>
        <v>31.670583893640121</v>
      </c>
      <c r="N444" s="86">
        <f>GDPdeflator!$C$38*INDEX(Costs!$E$7:$O$89,MATCH($C444,Costs!$C$7:$C$89,0),MATCH(N$7,Costs!$E$6:$O$6,0))</f>
        <v>31.670583893640121</v>
      </c>
      <c r="O444" s="86">
        <f>GDPdeflator!$C$38*INDEX(Costs!$E$7:$O$89,MATCH($C444,Costs!$C$7:$C$89,0),MATCH(O$7,Costs!$E$6:$O$6,0))</f>
        <v>31.670583893640121</v>
      </c>
      <c r="P444" s="87">
        <v>0</v>
      </c>
      <c r="Q444" s="87">
        <f t="shared" ref="Q444:Q507" si="229">F444/$AI$18*10^6</f>
        <v>0</v>
      </c>
      <c r="R444" s="87">
        <f t="shared" si="219"/>
        <v>2834.6295873326121</v>
      </c>
      <c r="S444" s="87">
        <f t="shared" si="220"/>
        <v>2706.6140575821069</v>
      </c>
      <c r="T444" s="87">
        <f t="shared" si="221"/>
        <v>2711.0031614592676</v>
      </c>
      <c r="U444" s="87">
        <f t="shared" si="222"/>
        <v>2659.7969495590651</v>
      </c>
      <c r="V444" s="87">
        <f t="shared" si="223"/>
        <v>2646.6296379275846</v>
      </c>
      <c r="W444" s="87">
        <f t="shared" si="224"/>
        <v>2644.4350859890046</v>
      </c>
      <c r="X444" s="87">
        <f t="shared" si="225"/>
        <v>2644.4350859890046</v>
      </c>
      <c r="Y444" s="87">
        <f t="shared" si="226"/>
        <v>2644.4350859890046</v>
      </c>
      <c r="Z444" s="87">
        <f t="shared" si="227"/>
        <v>2644.4350859890046</v>
      </c>
      <c r="AA444" s="88">
        <v>500</v>
      </c>
      <c r="AB444" s="89">
        <f>AA444*GDPdeflator!$C$25/$AI$18*10^3</f>
        <v>48.0747492686653</v>
      </c>
      <c r="AC444" s="90" t="e">
        <f>INDEX(Efficiencies!$D$8:$M$89,MATCH(C444,Efficiencies!$C$8:$C$89),MATCH(D444,Efficiencies!$D$7:$M$7))</f>
        <v>#REF!</v>
      </c>
      <c r="AD444" s="90" t="e">
        <f t="shared" si="213"/>
        <v>#REF!</v>
      </c>
      <c r="AE444" s="90" t="e">
        <f>INDEX(Efficiencies!$P$8:$Y$89,MATCH(C444,Efficiencies!$C$8:$C$89),MATCH(D444,Efficiencies!$P$7:$Y$7))</f>
        <v>#REF!</v>
      </c>
      <c r="AF444" s="90" t="e">
        <f t="shared" si="216"/>
        <v>#REF!</v>
      </c>
      <c r="AG444" s="90">
        <v>0</v>
      </c>
    </row>
    <row r="445" spans="1:33" x14ac:dyDescent="0.2">
      <c r="A445" s="92" t="s">
        <v>1700</v>
      </c>
      <c r="B445" s="248" t="s">
        <v>1701</v>
      </c>
      <c r="C445" s="40" t="s">
        <v>1697</v>
      </c>
      <c r="D445" s="40">
        <v>2020</v>
      </c>
      <c r="E445" s="86">
        <f>GDPdeflator!$C$32*INDEX(Costs!$E$7:$O$89,MATCH($C445,Costs!$C$7:$C$89,0),MATCH(E$7,Costs!$E$6:$O$6,0))</f>
        <v>0</v>
      </c>
      <c r="F445" s="86">
        <f>GDPdeflator!$C$36*INDEX(Costs!$E$7:$O$89,MATCH($C445,Costs!$C$7:$C$89,0),MATCH(F$7,Costs!$E$6:$O$6,0))</f>
        <v>0</v>
      </c>
      <c r="G445" s="86">
        <f>GDPdeflator!$C$38*INDEX(Costs!$E$7:$O$89,MATCH($C445,Costs!$C$7:$C$89,0),MATCH(G$7,Costs!$E$6:$O$6,0))</f>
        <v>33.948412887373571</v>
      </c>
      <c r="H445" s="86">
        <f>GDPdeflator!$C$38*INDEX(Costs!$E$7:$O$89,MATCH($C445,Costs!$C$7:$C$89,0),MATCH(H$7,Costs!$E$6:$O$6,0))</f>
        <v>32.415258756976058</v>
      </c>
      <c r="I445" s="86">
        <f>GDPdeflator!$C$38*INDEX(Costs!$E$7:$O$89,MATCH($C445,Costs!$C$7:$C$89,0),MATCH(I$7,Costs!$E$6:$O$6,0))</f>
        <v>32.467824041446832</v>
      </c>
      <c r="J445" s="86">
        <f>GDPdeflator!$C$38*INDEX(Costs!$E$7:$O$89,MATCH($C445,Costs!$C$7:$C$89,0),MATCH(J$7,Costs!$E$6:$O$6,0))</f>
        <v>31.854562389287821</v>
      </c>
      <c r="K445" s="86">
        <f>GDPdeflator!$C$38*INDEX(Costs!$E$7:$O$89,MATCH($C445,Costs!$C$7:$C$89,0),MATCH(K$7,Costs!$E$6:$O$6,0))</f>
        <v>31.696866535875508</v>
      </c>
      <c r="L445" s="86">
        <f>GDPdeflator!$C$38*INDEX(Costs!$E$7:$O$89,MATCH($C445,Costs!$C$7:$C$89,0),MATCH(L$7,Costs!$E$6:$O$6,0))</f>
        <v>31.670583893640121</v>
      </c>
      <c r="M445" s="86">
        <f>GDPdeflator!$C$38*INDEX(Costs!$E$7:$O$89,MATCH($C445,Costs!$C$7:$C$89,0),MATCH(M$7,Costs!$E$6:$O$6,0))</f>
        <v>31.670583893640121</v>
      </c>
      <c r="N445" s="86">
        <f>GDPdeflator!$C$38*INDEX(Costs!$E$7:$O$89,MATCH($C445,Costs!$C$7:$C$89,0),MATCH(N$7,Costs!$E$6:$O$6,0))</f>
        <v>31.670583893640121</v>
      </c>
      <c r="O445" s="86">
        <f>GDPdeflator!$C$38*INDEX(Costs!$E$7:$O$89,MATCH($C445,Costs!$C$7:$C$89,0),MATCH(O$7,Costs!$E$6:$O$6,0))</f>
        <v>31.670583893640121</v>
      </c>
      <c r="P445" s="87">
        <v>0</v>
      </c>
      <c r="Q445" s="87">
        <f t="shared" si="229"/>
        <v>0</v>
      </c>
      <c r="R445" s="87">
        <f t="shared" si="219"/>
        <v>2834.6295873326121</v>
      </c>
      <c r="S445" s="87">
        <f t="shared" si="220"/>
        <v>2706.6140575821069</v>
      </c>
      <c r="T445" s="87">
        <f t="shared" si="221"/>
        <v>2711.0031614592676</v>
      </c>
      <c r="U445" s="87">
        <f t="shared" si="222"/>
        <v>2659.7969495590651</v>
      </c>
      <c r="V445" s="87">
        <f t="shared" si="223"/>
        <v>2646.6296379275846</v>
      </c>
      <c r="W445" s="87">
        <f t="shared" si="224"/>
        <v>2644.4350859890046</v>
      </c>
      <c r="X445" s="87">
        <f t="shared" si="225"/>
        <v>2644.4350859890046</v>
      </c>
      <c r="Y445" s="87">
        <f t="shared" si="226"/>
        <v>2644.4350859890046</v>
      </c>
      <c r="Z445" s="87">
        <f t="shared" si="227"/>
        <v>2644.4350859890046</v>
      </c>
      <c r="AA445" s="88">
        <v>500</v>
      </c>
      <c r="AB445" s="89">
        <f>AA445*GDPdeflator!$C$25/$AI$18*10^3</f>
        <v>48.0747492686653</v>
      </c>
      <c r="AC445" s="90" t="e">
        <f>INDEX(Efficiencies!$D$8:$M$89,MATCH(C445,Efficiencies!$C$8:$C$89),MATCH(D445,Efficiencies!$D$7:$M$7))</f>
        <v>#REF!</v>
      </c>
      <c r="AD445" s="90" t="e">
        <f t="shared" si="213"/>
        <v>#REF!</v>
      </c>
      <c r="AE445" s="90" t="e">
        <f>INDEX(Efficiencies!$P$8:$Y$89,MATCH(C445,Efficiencies!$C$8:$C$89),MATCH(D445,Efficiencies!$P$7:$Y$7))</f>
        <v>#REF!</v>
      </c>
      <c r="AF445" s="90" t="e">
        <f t="shared" si="216"/>
        <v>#REF!</v>
      </c>
      <c r="AG445" s="90">
        <v>0</v>
      </c>
    </row>
    <row r="446" spans="1:33" x14ac:dyDescent="0.2">
      <c r="A446" s="92" t="s">
        <v>1702</v>
      </c>
      <c r="B446" s="248" t="s">
        <v>1703</v>
      </c>
      <c r="C446" s="40" t="s">
        <v>1697</v>
      </c>
      <c r="D446" s="40">
        <v>2025</v>
      </c>
      <c r="E446" s="86">
        <f>GDPdeflator!$C$32*INDEX(Costs!$E$7:$O$89,MATCH($C446,Costs!$C$7:$C$89,0),MATCH(E$7,Costs!$E$6:$O$6,0))</f>
        <v>0</v>
      </c>
      <c r="F446" s="86">
        <f>GDPdeflator!$C$36*INDEX(Costs!$E$7:$O$89,MATCH($C446,Costs!$C$7:$C$89,0),MATCH(F$7,Costs!$E$6:$O$6,0))</f>
        <v>0</v>
      </c>
      <c r="G446" s="86">
        <f>GDPdeflator!$C$38*INDEX(Costs!$E$7:$O$89,MATCH($C446,Costs!$C$7:$C$89,0),MATCH(G$7,Costs!$E$6:$O$6,0))</f>
        <v>33.948412887373571</v>
      </c>
      <c r="H446" s="86">
        <f>GDPdeflator!$C$38*INDEX(Costs!$E$7:$O$89,MATCH($C446,Costs!$C$7:$C$89,0),MATCH(H$7,Costs!$E$6:$O$6,0))</f>
        <v>32.415258756976058</v>
      </c>
      <c r="I446" s="86">
        <f>GDPdeflator!$C$38*INDEX(Costs!$E$7:$O$89,MATCH($C446,Costs!$C$7:$C$89,0),MATCH(I$7,Costs!$E$6:$O$6,0))</f>
        <v>32.467824041446832</v>
      </c>
      <c r="J446" s="86">
        <f>GDPdeflator!$C$38*INDEX(Costs!$E$7:$O$89,MATCH($C446,Costs!$C$7:$C$89,0),MATCH(J$7,Costs!$E$6:$O$6,0))</f>
        <v>31.854562389287821</v>
      </c>
      <c r="K446" s="86">
        <f>GDPdeflator!$C$38*INDEX(Costs!$E$7:$O$89,MATCH($C446,Costs!$C$7:$C$89,0),MATCH(K$7,Costs!$E$6:$O$6,0))</f>
        <v>31.696866535875508</v>
      </c>
      <c r="L446" s="86">
        <f>GDPdeflator!$C$38*INDEX(Costs!$E$7:$O$89,MATCH($C446,Costs!$C$7:$C$89,0),MATCH(L$7,Costs!$E$6:$O$6,0))</f>
        <v>31.670583893640121</v>
      </c>
      <c r="M446" s="86">
        <f>GDPdeflator!$C$38*INDEX(Costs!$E$7:$O$89,MATCH($C446,Costs!$C$7:$C$89,0),MATCH(M$7,Costs!$E$6:$O$6,0))</f>
        <v>31.670583893640121</v>
      </c>
      <c r="N446" s="86">
        <f>GDPdeflator!$C$38*INDEX(Costs!$E$7:$O$89,MATCH($C446,Costs!$C$7:$C$89,0),MATCH(N$7,Costs!$E$6:$O$6,0))</f>
        <v>31.670583893640121</v>
      </c>
      <c r="O446" s="86">
        <f>GDPdeflator!$C$38*INDEX(Costs!$E$7:$O$89,MATCH($C446,Costs!$C$7:$C$89,0),MATCH(O$7,Costs!$E$6:$O$6,0))</f>
        <v>31.670583893640121</v>
      </c>
      <c r="P446" s="87">
        <v>0</v>
      </c>
      <c r="Q446" s="87">
        <f t="shared" si="229"/>
        <v>0</v>
      </c>
      <c r="R446" s="87">
        <f t="shared" si="219"/>
        <v>2834.6295873326121</v>
      </c>
      <c r="S446" s="87">
        <f t="shared" si="220"/>
        <v>2706.6140575821069</v>
      </c>
      <c r="T446" s="87">
        <f t="shared" si="221"/>
        <v>2711.0031614592676</v>
      </c>
      <c r="U446" s="87">
        <f t="shared" si="222"/>
        <v>2659.7969495590651</v>
      </c>
      <c r="V446" s="87">
        <f t="shared" si="223"/>
        <v>2646.6296379275846</v>
      </c>
      <c r="W446" s="87">
        <f t="shared" si="224"/>
        <v>2644.4350859890046</v>
      </c>
      <c r="X446" s="87">
        <f t="shared" si="225"/>
        <v>2644.4350859890046</v>
      </c>
      <c r="Y446" s="87">
        <f t="shared" si="226"/>
        <v>2644.4350859890046</v>
      </c>
      <c r="Z446" s="87">
        <f t="shared" si="227"/>
        <v>2644.4350859890046</v>
      </c>
      <c r="AA446" s="88">
        <v>500</v>
      </c>
      <c r="AB446" s="89">
        <f>AA446*GDPdeflator!$C$25/$AI$18*10^3</f>
        <v>48.0747492686653</v>
      </c>
      <c r="AC446" s="90" t="e">
        <f>INDEX(Efficiencies!$D$8:$M$89,MATCH(C446,Efficiencies!$C$8:$C$89),MATCH(D446,Efficiencies!$D$7:$M$7))</f>
        <v>#REF!</v>
      </c>
      <c r="AD446" s="90" t="e">
        <f t="shared" si="213"/>
        <v>#REF!</v>
      </c>
      <c r="AE446" s="90" t="e">
        <f>INDEX(Efficiencies!$P$8:$Y$89,MATCH(C446,Efficiencies!$C$8:$C$89),MATCH(D446,Efficiencies!$P$7:$Y$7))</f>
        <v>#REF!</v>
      </c>
      <c r="AF446" s="90" t="e">
        <f t="shared" si="216"/>
        <v>#REF!</v>
      </c>
      <c r="AG446" s="90">
        <v>0</v>
      </c>
    </row>
    <row r="447" spans="1:33" x14ac:dyDescent="0.2">
      <c r="A447" s="92" t="s">
        <v>1704</v>
      </c>
      <c r="B447" s="248" t="s">
        <v>1705</v>
      </c>
      <c r="C447" s="40" t="s">
        <v>1697</v>
      </c>
      <c r="D447" s="40">
        <v>2030</v>
      </c>
      <c r="E447" s="86">
        <f>GDPdeflator!$C$32*INDEX(Costs!$E$7:$O$89,MATCH($C447,Costs!$C$7:$C$89,0),MATCH(E$7,Costs!$E$6:$O$6,0))</f>
        <v>0</v>
      </c>
      <c r="F447" s="86">
        <f>GDPdeflator!$C$36*INDEX(Costs!$E$7:$O$89,MATCH($C447,Costs!$C$7:$C$89,0),MATCH(F$7,Costs!$E$6:$O$6,0))</f>
        <v>0</v>
      </c>
      <c r="G447" s="86">
        <f>GDPdeflator!$C$38*INDEX(Costs!$E$7:$O$89,MATCH($C447,Costs!$C$7:$C$89,0),MATCH(G$7,Costs!$E$6:$O$6,0))</f>
        <v>33.948412887373571</v>
      </c>
      <c r="H447" s="86">
        <f>GDPdeflator!$C$38*INDEX(Costs!$E$7:$O$89,MATCH($C447,Costs!$C$7:$C$89,0),MATCH(H$7,Costs!$E$6:$O$6,0))</f>
        <v>32.415258756976058</v>
      </c>
      <c r="I447" s="86">
        <f>GDPdeflator!$C$38*INDEX(Costs!$E$7:$O$89,MATCH($C447,Costs!$C$7:$C$89,0),MATCH(I$7,Costs!$E$6:$O$6,0))</f>
        <v>32.467824041446832</v>
      </c>
      <c r="J447" s="86">
        <f>GDPdeflator!$C$38*INDEX(Costs!$E$7:$O$89,MATCH($C447,Costs!$C$7:$C$89,0),MATCH(J$7,Costs!$E$6:$O$6,0))</f>
        <v>31.854562389287821</v>
      </c>
      <c r="K447" s="86">
        <f>GDPdeflator!$C$38*INDEX(Costs!$E$7:$O$89,MATCH($C447,Costs!$C$7:$C$89,0),MATCH(K$7,Costs!$E$6:$O$6,0))</f>
        <v>31.696866535875508</v>
      </c>
      <c r="L447" s="86">
        <f>GDPdeflator!$C$38*INDEX(Costs!$E$7:$O$89,MATCH($C447,Costs!$C$7:$C$89,0),MATCH(L$7,Costs!$E$6:$O$6,0))</f>
        <v>31.670583893640121</v>
      </c>
      <c r="M447" s="86">
        <f>GDPdeflator!$C$38*INDEX(Costs!$E$7:$O$89,MATCH($C447,Costs!$C$7:$C$89,0),MATCH(M$7,Costs!$E$6:$O$6,0))</f>
        <v>31.670583893640121</v>
      </c>
      <c r="N447" s="86">
        <f>GDPdeflator!$C$38*INDEX(Costs!$E$7:$O$89,MATCH($C447,Costs!$C$7:$C$89,0),MATCH(N$7,Costs!$E$6:$O$6,0))</f>
        <v>31.670583893640121</v>
      </c>
      <c r="O447" s="86">
        <f>GDPdeflator!$C$38*INDEX(Costs!$E$7:$O$89,MATCH($C447,Costs!$C$7:$C$89,0),MATCH(O$7,Costs!$E$6:$O$6,0))</f>
        <v>31.670583893640121</v>
      </c>
      <c r="P447" s="87">
        <v>0</v>
      </c>
      <c r="Q447" s="87">
        <f t="shared" si="229"/>
        <v>0</v>
      </c>
      <c r="R447" s="87">
        <f t="shared" si="219"/>
        <v>2834.6295873326121</v>
      </c>
      <c r="S447" s="87">
        <f t="shared" si="220"/>
        <v>2706.6140575821069</v>
      </c>
      <c r="T447" s="87">
        <f t="shared" si="221"/>
        <v>2711.0031614592676</v>
      </c>
      <c r="U447" s="87">
        <f t="shared" si="222"/>
        <v>2659.7969495590651</v>
      </c>
      <c r="V447" s="87">
        <f t="shared" si="223"/>
        <v>2646.6296379275846</v>
      </c>
      <c r="W447" s="87">
        <f t="shared" si="224"/>
        <v>2644.4350859890046</v>
      </c>
      <c r="X447" s="87">
        <f t="shared" si="225"/>
        <v>2644.4350859890046</v>
      </c>
      <c r="Y447" s="87">
        <f t="shared" si="226"/>
        <v>2644.4350859890046</v>
      </c>
      <c r="Z447" s="87">
        <f t="shared" si="227"/>
        <v>2644.4350859890046</v>
      </c>
      <c r="AA447" s="88">
        <v>500</v>
      </c>
      <c r="AB447" s="89">
        <f>AA447*GDPdeflator!$C$25/$AI$18*10^3</f>
        <v>48.0747492686653</v>
      </c>
      <c r="AC447" s="90" t="e">
        <f>INDEX(Efficiencies!$D$8:$M$89,MATCH(C447,Efficiencies!$C$8:$C$89),MATCH(D447,Efficiencies!$D$7:$M$7))</f>
        <v>#REF!</v>
      </c>
      <c r="AD447" s="90" t="e">
        <f t="shared" si="213"/>
        <v>#REF!</v>
      </c>
      <c r="AE447" s="90" t="e">
        <f>INDEX(Efficiencies!$P$8:$Y$89,MATCH(C447,Efficiencies!$C$8:$C$89),MATCH(D447,Efficiencies!$P$7:$Y$7))</f>
        <v>#REF!</v>
      </c>
      <c r="AF447" s="90" t="e">
        <f t="shared" si="216"/>
        <v>#REF!</v>
      </c>
      <c r="AG447" s="90">
        <v>0</v>
      </c>
    </row>
    <row r="448" spans="1:33" x14ac:dyDescent="0.2">
      <c r="A448" s="92" t="s">
        <v>1706</v>
      </c>
      <c r="B448" s="248" t="s">
        <v>1707</v>
      </c>
      <c r="C448" s="40" t="s">
        <v>1697</v>
      </c>
      <c r="D448" s="40">
        <v>2035</v>
      </c>
      <c r="E448" s="86">
        <f>GDPdeflator!$C$32*INDEX(Costs!$E$7:$O$89,MATCH($C448,Costs!$C$7:$C$89,0),MATCH(E$7,Costs!$E$6:$O$6,0))</f>
        <v>0</v>
      </c>
      <c r="F448" s="86">
        <f>GDPdeflator!$C$36*INDEX(Costs!$E$7:$O$89,MATCH($C448,Costs!$C$7:$C$89,0),MATCH(F$7,Costs!$E$6:$O$6,0))</f>
        <v>0</v>
      </c>
      <c r="G448" s="86">
        <f>GDPdeflator!$C$38*INDEX(Costs!$E$7:$O$89,MATCH($C448,Costs!$C$7:$C$89,0),MATCH(G$7,Costs!$E$6:$O$6,0))</f>
        <v>33.948412887373571</v>
      </c>
      <c r="H448" s="86">
        <f>GDPdeflator!$C$38*INDEX(Costs!$E$7:$O$89,MATCH($C448,Costs!$C$7:$C$89,0),MATCH(H$7,Costs!$E$6:$O$6,0))</f>
        <v>32.415258756976058</v>
      </c>
      <c r="I448" s="86">
        <f>GDPdeflator!$C$38*INDEX(Costs!$E$7:$O$89,MATCH($C448,Costs!$C$7:$C$89,0),MATCH(I$7,Costs!$E$6:$O$6,0))</f>
        <v>32.467824041446832</v>
      </c>
      <c r="J448" s="86">
        <f>GDPdeflator!$C$38*INDEX(Costs!$E$7:$O$89,MATCH($C448,Costs!$C$7:$C$89,0),MATCH(J$7,Costs!$E$6:$O$6,0))</f>
        <v>31.854562389287821</v>
      </c>
      <c r="K448" s="86">
        <f>GDPdeflator!$C$38*INDEX(Costs!$E$7:$O$89,MATCH($C448,Costs!$C$7:$C$89,0),MATCH(K$7,Costs!$E$6:$O$6,0))</f>
        <v>31.696866535875508</v>
      </c>
      <c r="L448" s="86">
        <f>GDPdeflator!$C$38*INDEX(Costs!$E$7:$O$89,MATCH($C448,Costs!$C$7:$C$89,0),MATCH(L$7,Costs!$E$6:$O$6,0))</f>
        <v>31.670583893640121</v>
      </c>
      <c r="M448" s="86">
        <f>GDPdeflator!$C$38*INDEX(Costs!$E$7:$O$89,MATCH($C448,Costs!$C$7:$C$89,0),MATCH(M$7,Costs!$E$6:$O$6,0))</f>
        <v>31.670583893640121</v>
      </c>
      <c r="N448" s="86">
        <f>GDPdeflator!$C$38*INDEX(Costs!$E$7:$O$89,MATCH($C448,Costs!$C$7:$C$89,0),MATCH(N$7,Costs!$E$6:$O$6,0))</f>
        <v>31.670583893640121</v>
      </c>
      <c r="O448" s="86">
        <f>GDPdeflator!$C$38*INDEX(Costs!$E$7:$O$89,MATCH($C448,Costs!$C$7:$C$89,0),MATCH(O$7,Costs!$E$6:$O$6,0))</f>
        <v>31.670583893640121</v>
      </c>
      <c r="P448" s="87">
        <v>0</v>
      </c>
      <c r="Q448" s="87">
        <f t="shared" si="229"/>
        <v>0</v>
      </c>
      <c r="R448" s="87">
        <f t="shared" si="219"/>
        <v>2834.6295873326121</v>
      </c>
      <c r="S448" s="87">
        <f t="shared" si="220"/>
        <v>2706.6140575821069</v>
      </c>
      <c r="T448" s="87">
        <f t="shared" si="221"/>
        <v>2711.0031614592676</v>
      </c>
      <c r="U448" s="87">
        <f t="shared" si="222"/>
        <v>2659.7969495590651</v>
      </c>
      <c r="V448" s="87">
        <f t="shared" si="223"/>
        <v>2646.6296379275846</v>
      </c>
      <c r="W448" s="87">
        <f t="shared" si="224"/>
        <v>2644.4350859890046</v>
      </c>
      <c r="X448" s="87">
        <f t="shared" si="225"/>
        <v>2644.4350859890046</v>
      </c>
      <c r="Y448" s="87">
        <f t="shared" si="226"/>
        <v>2644.4350859890046</v>
      </c>
      <c r="Z448" s="87">
        <f t="shared" si="227"/>
        <v>2644.4350859890046</v>
      </c>
      <c r="AA448" s="88">
        <v>500</v>
      </c>
      <c r="AB448" s="89">
        <f>AA448*GDPdeflator!$C$25/$AI$18*10^3</f>
        <v>48.0747492686653</v>
      </c>
      <c r="AC448" s="90" t="e">
        <f>INDEX(Efficiencies!$D$8:$M$89,MATCH(C448,Efficiencies!$C$8:$C$89),MATCH(D448,Efficiencies!$D$7:$M$7))</f>
        <v>#REF!</v>
      </c>
      <c r="AD448" s="90" t="e">
        <f t="shared" si="213"/>
        <v>#REF!</v>
      </c>
      <c r="AE448" s="90" t="e">
        <f>INDEX(Efficiencies!$P$8:$Y$89,MATCH(C448,Efficiencies!$C$8:$C$89),MATCH(D448,Efficiencies!$P$7:$Y$7))</f>
        <v>#REF!</v>
      </c>
      <c r="AF448" s="90" t="e">
        <f t="shared" si="216"/>
        <v>#REF!</v>
      </c>
      <c r="AG448" s="90">
        <v>0</v>
      </c>
    </row>
    <row r="449" spans="1:33" x14ac:dyDescent="0.2">
      <c r="A449" s="92" t="s">
        <v>1708</v>
      </c>
      <c r="B449" s="248" t="s">
        <v>1709</v>
      </c>
      <c r="C449" s="40" t="s">
        <v>1697</v>
      </c>
      <c r="D449" s="40">
        <v>2040</v>
      </c>
      <c r="E449" s="86">
        <f>GDPdeflator!$C$32*INDEX(Costs!$E$7:$O$89,MATCH($C449,Costs!$C$7:$C$89,0),MATCH(E$7,Costs!$E$6:$O$6,0))</f>
        <v>0</v>
      </c>
      <c r="F449" s="86">
        <f>GDPdeflator!$C$36*INDEX(Costs!$E$7:$O$89,MATCH($C449,Costs!$C$7:$C$89,0),MATCH(F$7,Costs!$E$6:$O$6,0))</f>
        <v>0</v>
      </c>
      <c r="G449" s="86">
        <f>GDPdeflator!$C$38*INDEX(Costs!$E$7:$O$89,MATCH($C449,Costs!$C$7:$C$89,0),MATCH(G$7,Costs!$E$6:$O$6,0))</f>
        <v>33.948412887373571</v>
      </c>
      <c r="H449" s="86">
        <f>GDPdeflator!$C$38*INDEX(Costs!$E$7:$O$89,MATCH($C449,Costs!$C$7:$C$89,0),MATCH(H$7,Costs!$E$6:$O$6,0))</f>
        <v>32.415258756976058</v>
      </c>
      <c r="I449" s="86">
        <f>GDPdeflator!$C$38*INDEX(Costs!$E$7:$O$89,MATCH($C449,Costs!$C$7:$C$89,0),MATCH(I$7,Costs!$E$6:$O$6,0))</f>
        <v>32.467824041446832</v>
      </c>
      <c r="J449" s="86">
        <f>GDPdeflator!$C$38*INDEX(Costs!$E$7:$O$89,MATCH($C449,Costs!$C$7:$C$89,0),MATCH(J$7,Costs!$E$6:$O$6,0))</f>
        <v>31.854562389287821</v>
      </c>
      <c r="K449" s="86">
        <f>GDPdeflator!$C$38*INDEX(Costs!$E$7:$O$89,MATCH($C449,Costs!$C$7:$C$89,0),MATCH(K$7,Costs!$E$6:$O$6,0))</f>
        <v>31.696866535875508</v>
      </c>
      <c r="L449" s="86">
        <f>GDPdeflator!$C$38*INDEX(Costs!$E$7:$O$89,MATCH($C449,Costs!$C$7:$C$89,0),MATCH(L$7,Costs!$E$6:$O$6,0))</f>
        <v>31.670583893640121</v>
      </c>
      <c r="M449" s="86">
        <f>GDPdeflator!$C$38*INDEX(Costs!$E$7:$O$89,MATCH($C449,Costs!$C$7:$C$89,0),MATCH(M$7,Costs!$E$6:$O$6,0))</f>
        <v>31.670583893640121</v>
      </c>
      <c r="N449" s="86">
        <f>GDPdeflator!$C$38*INDEX(Costs!$E$7:$O$89,MATCH($C449,Costs!$C$7:$C$89,0),MATCH(N$7,Costs!$E$6:$O$6,0))</f>
        <v>31.670583893640121</v>
      </c>
      <c r="O449" s="86">
        <f>GDPdeflator!$C$38*INDEX(Costs!$E$7:$O$89,MATCH($C449,Costs!$C$7:$C$89,0),MATCH(O$7,Costs!$E$6:$O$6,0))</f>
        <v>31.670583893640121</v>
      </c>
      <c r="P449" s="87">
        <v>0</v>
      </c>
      <c r="Q449" s="87">
        <f t="shared" si="229"/>
        <v>0</v>
      </c>
      <c r="R449" s="87">
        <f t="shared" si="219"/>
        <v>2834.6295873326121</v>
      </c>
      <c r="S449" s="87">
        <f t="shared" si="220"/>
        <v>2706.6140575821069</v>
      </c>
      <c r="T449" s="87">
        <f t="shared" si="221"/>
        <v>2711.0031614592676</v>
      </c>
      <c r="U449" s="87">
        <f t="shared" si="222"/>
        <v>2659.7969495590651</v>
      </c>
      <c r="V449" s="87">
        <f t="shared" si="223"/>
        <v>2646.6296379275846</v>
      </c>
      <c r="W449" s="87">
        <f t="shared" si="224"/>
        <v>2644.4350859890046</v>
      </c>
      <c r="X449" s="87">
        <f t="shared" si="225"/>
        <v>2644.4350859890046</v>
      </c>
      <c r="Y449" s="87">
        <f t="shared" si="226"/>
        <v>2644.4350859890046</v>
      </c>
      <c r="Z449" s="87">
        <f t="shared" si="227"/>
        <v>2644.4350859890046</v>
      </c>
      <c r="AA449" s="88">
        <v>500</v>
      </c>
      <c r="AB449" s="89">
        <f>AA449*GDPdeflator!$C$25/$AI$18*10^3</f>
        <v>48.0747492686653</v>
      </c>
      <c r="AC449" s="90" t="e">
        <f>INDEX(Efficiencies!$D$8:$M$89,MATCH(C449,Efficiencies!$C$8:$C$89),MATCH(D449,Efficiencies!$D$7:$M$7))</f>
        <v>#REF!</v>
      </c>
      <c r="AD449" s="90" t="e">
        <f t="shared" si="213"/>
        <v>#REF!</v>
      </c>
      <c r="AE449" s="90" t="e">
        <f>INDEX(Efficiencies!$P$8:$Y$89,MATCH(C449,Efficiencies!$C$8:$C$89),MATCH(D449,Efficiencies!$P$7:$Y$7))</f>
        <v>#REF!</v>
      </c>
      <c r="AF449" s="90" t="e">
        <f t="shared" si="216"/>
        <v>#REF!</v>
      </c>
      <c r="AG449" s="90">
        <v>0</v>
      </c>
    </row>
    <row r="450" spans="1:33" x14ac:dyDescent="0.2">
      <c r="A450" s="92" t="s">
        <v>1710</v>
      </c>
      <c r="B450" s="248" t="s">
        <v>1711</v>
      </c>
      <c r="C450" s="40" t="s">
        <v>1697</v>
      </c>
      <c r="D450" s="40">
        <v>2045</v>
      </c>
      <c r="E450" s="86">
        <f>GDPdeflator!$C$32*INDEX(Costs!$E$7:$O$89,MATCH($C450,Costs!$C$7:$C$89,0),MATCH(E$7,Costs!$E$6:$O$6,0))</f>
        <v>0</v>
      </c>
      <c r="F450" s="86">
        <f>GDPdeflator!$C$36*INDEX(Costs!$E$7:$O$89,MATCH($C450,Costs!$C$7:$C$89,0),MATCH(F$7,Costs!$E$6:$O$6,0))</f>
        <v>0</v>
      </c>
      <c r="G450" s="86">
        <f>GDPdeflator!$C$38*INDEX(Costs!$E$7:$O$89,MATCH($C450,Costs!$C$7:$C$89,0),MATCH(G$7,Costs!$E$6:$O$6,0))</f>
        <v>33.948412887373571</v>
      </c>
      <c r="H450" s="86">
        <f>GDPdeflator!$C$38*INDEX(Costs!$E$7:$O$89,MATCH($C450,Costs!$C$7:$C$89,0),MATCH(H$7,Costs!$E$6:$O$6,0))</f>
        <v>32.415258756976058</v>
      </c>
      <c r="I450" s="86">
        <f>GDPdeflator!$C$38*INDEX(Costs!$E$7:$O$89,MATCH($C450,Costs!$C$7:$C$89,0),MATCH(I$7,Costs!$E$6:$O$6,0))</f>
        <v>32.467824041446832</v>
      </c>
      <c r="J450" s="86">
        <f>GDPdeflator!$C$38*INDEX(Costs!$E$7:$O$89,MATCH($C450,Costs!$C$7:$C$89,0),MATCH(J$7,Costs!$E$6:$O$6,0))</f>
        <v>31.854562389287821</v>
      </c>
      <c r="K450" s="86">
        <f>GDPdeflator!$C$38*INDEX(Costs!$E$7:$O$89,MATCH($C450,Costs!$C$7:$C$89,0),MATCH(K$7,Costs!$E$6:$O$6,0))</f>
        <v>31.696866535875508</v>
      </c>
      <c r="L450" s="86">
        <f>GDPdeflator!$C$38*INDEX(Costs!$E$7:$O$89,MATCH($C450,Costs!$C$7:$C$89,0),MATCH(L$7,Costs!$E$6:$O$6,0))</f>
        <v>31.670583893640121</v>
      </c>
      <c r="M450" s="86">
        <f>GDPdeflator!$C$38*INDEX(Costs!$E$7:$O$89,MATCH($C450,Costs!$C$7:$C$89,0),MATCH(M$7,Costs!$E$6:$O$6,0))</f>
        <v>31.670583893640121</v>
      </c>
      <c r="N450" s="86">
        <f>GDPdeflator!$C$38*INDEX(Costs!$E$7:$O$89,MATCH($C450,Costs!$C$7:$C$89,0),MATCH(N$7,Costs!$E$6:$O$6,0))</f>
        <v>31.670583893640121</v>
      </c>
      <c r="O450" s="86">
        <f>GDPdeflator!$C$38*INDEX(Costs!$E$7:$O$89,MATCH($C450,Costs!$C$7:$C$89,0),MATCH(O$7,Costs!$E$6:$O$6,0))</f>
        <v>31.670583893640121</v>
      </c>
      <c r="P450" s="87">
        <v>0</v>
      </c>
      <c r="Q450" s="87">
        <f t="shared" si="229"/>
        <v>0</v>
      </c>
      <c r="R450" s="87">
        <f t="shared" si="219"/>
        <v>2834.6295873326121</v>
      </c>
      <c r="S450" s="87">
        <f t="shared" si="220"/>
        <v>2706.6140575821069</v>
      </c>
      <c r="T450" s="87">
        <f t="shared" si="221"/>
        <v>2711.0031614592676</v>
      </c>
      <c r="U450" s="87">
        <f t="shared" si="222"/>
        <v>2659.7969495590651</v>
      </c>
      <c r="V450" s="87">
        <f t="shared" si="223"/>
        <v>2646.6296379275846</v>
      </c>
      <c r="W450" s="87">
        <f t="shared" si="224"/>
        <v>2644.4350859890046</v>
      </c>
      <c r="X450" s="87">
        <f t="shared" si="225"/>
        <v>2644.4350859890046</v>
      </c>
      <c r="Y450" s="87">
        <f t="shared" si="226"/>
        <v>2644.4350859890046</v>
      </c>
      <c r="Z450" s="87">
        <f t="shared" si="227"/>
        <v>2644.4350859890046</v>
      </c>
      <c r="AA450" s="88">
        <v>500</v>
      </c>
      <c r="AB450" s="89">
        <f>AA450*GDPdeflator!$C$25/$AI$18*10^3</f>
        <v>48.0747492686653</v>
      </c>
      <c r="AC450" s="90" t="e">
        <f>INDEX(Efficiencies!$D$8:$M$89,MATCH(C450,Efficiencies!$C$8:$C$89),MATCH(D450,Efficiencies!$D$7:$M$7))</f>
        <v>#REF!</v>
      </c>
      <c r="AD450" s="90" t="e">
        <f t="shared" si="213"/>
        <v>#REF!</v>
      </c>
      <c r="AE450" s="90" t="e">
        <f>INDEX(Efficiencies!$P$8:$Y$89,MATCH(C450,Efficiencies!$C$8:$C$89),MATCH(D450,Efficiencies!$P$7:$Y$7))</f>
        <v>#REF!</v>
      </c>
      <c r="AF450" s="90" t="e">
        <f t="shared" si="216"/>
        <v>#REF!</v>
      </c>
      <c r="AG450" s="90">
        <v>0</v>
      </c>
    </row>
    <row r="451" spans="1:33" x14ac:dyDescent="0.2">
      <c r="A451" s="92" t="s">
        <v>1712</v>
      </c>
      <c r="B451" s="248" t="s">
        <v>1713</v>
      </c>
      <c r="C451" s="40" t="s">
        <v>1697</v>
      </c>
      <c r="D451" s="40">
        <v>2050</v>
      </c>
      <c r="E451" s="86">
        <f>GDPdeflator!$C$32*INDEX(Costs!$E$7:$O$89,MATCH($C451,Costs!$C$7:$C$89,0),MATCH(E$7,Costs!$E$6:$O$6,0))</f>
        <v>0</v>
      </c>
      <c r="F451" s="86">
        <f>GDPdeflator!$C$36*INDEX(Costs!$E$7:$O$89,MATCH($C451,Costs!$C$7:$C$89,0),MATCH(F$7,Costs!$E$6:$O$6,0))</f>
        <v>0</v>
      </c>
      <c r="G451" s="86">
        <f>GDPdeflator!$C$38*INDEX(Costs!$E$7:$O$89,MATCH($C451,Costs!$C$7:$C$89,0),MATCH(G$7,Costs!$E$6:$O$6,0))</f>
        <v>33.948412887373571</v>
      </c>
      <c r="H451" s="86">
        <f>GDPdeflator!$C$38*INDEX(Costs!$E$7:$O$89,MATCH($C451,Costs!$C$7:$C$89,0),MATCH(H$7,Costs!$E$6:$O$6,0))</f>
        <v>32.415258756976058</v>
      </c>
      <c r="I451" s="86">
        <f>GDPdeflator!$C$38*INDEX(Costs!$E$7:$O$89,MATCH($C451,Costs!$C$7:$C$89,0),MATCH(I$7,Costs!$E$6:$O$6,0))</f>
        <v>32.467824041446832</v>
      </c>
      <c r="J451" s="86">
        <f>GDPdeflator!$C$38*INDEX(Costs!$E$7:$O$89,MATCH($C451,Costs!$C$7:$C$89,0),MATCH(J$7,Costs!$E$6:$O$6,0))</f>
        <v>31.854562389287821</v>
      </c>
      <c r="K451" s="86">
        <f>GDPdeflator!$C$38*INDEX(Costs!$E$7:$O$89,MATCH($C451,Costs!$C$7:$C$89,0),MATCH(K$7,Costs!$E$6:$O$6,0))</f>
        <v>31.696866535875508</v>
      </c>
      <c r="L451" s="86">
        <f>GDPdeflator!$C$38*INDEX(Costs!$E$7:$O$89,MATCH($C451,Costs!$C$7:$C$89,0),MATCH(L$7,Costs!$E$6:$O$6,0))</f>
        <v>31.670583893640121</v>
      </c>
      <c r="M451" s="86">
        <f>GDPdeflator!$C$38*INDEX(Costs!$E$7:$O$89,MATCH($C451,Costs!$C$7:$C$89,0),MATCH(M$7,Costs!$E$6:$O$6,0))</f>
        <v>31.670583893640121</v>
      </c>
      <c r="N451" s="86">
        <f>GDPdeflator!$C$38*INDEX(Costs!$E$7:$O$89,MATCH($C451,Costs!$C$7:$C$89,0),MATCH(N$7,Costs!$E$6:$O$6,0))</f>
        <v>31.670583893640121</v>
      </c>
      <c r="O451" s="86">
        <f>GDPdeflator!$C$38*INDEX(Costs!$E$7:$O$89,MATCH($C451,Costs!$C$7:$C$89,0),MATCH(O$7,Costs!$E$6:$O$6,0))</f>
        <v>31.670583893640121</v>
      </c>
      <c r="P451" s="87">
        <v>0</v>
      </c>
      <c r="Q451" s="87">
        <f t="shared" si="229"/>
        <v>0</v>
      </c>
      <c r="R451" s="87">
        <f t="shared" si="219"/>
        <v>2834.6295873326121</v>
      </c>
      <c r="S451" s="87">
        <f t="shared" si="220"/>
        <v>2706.6140575821069</v>
      </c>
      <c r="T451" s="87">
        <f t="shared" si="221"/>
        <v>2711.0031614592676</v>
      </c>
      <c r="U451" s="87">
        <f t="shared" si="222"/>
        <v>2659.7969495590651</v>
      </c>
      <c r="V451" s="87">
        <f t="shared" si="223"/>
        <v>2646.6296379275846</v>
      </c>
      <c r="W451" s="87">
        <f t="shared" si="224"/>
        <v>2644.4350859890046</v>
      </c>
      <c r="X451" s="87">
        <f t="shared" si="225"/>
        <v>2644.4350859890046</v>
      </c>
      <c r="Y451" s="87">
        <f t="shared" si="226"/>
        <v>2644.4350859890046</v>
      </c>
      <c r="Z451" s="87">
        <f t="shared" si="227"/>
        <v>2644.4350859890046</v>
      </c>
      <c r="AA451" s="88">
        <v>500</v>
      </c>
      <c r="AB451" s="89">
        <f>AA451*GDPdeflator!$C$25/$AI$18*10^3</f>
        <v>48.0747492686653</v>
      </c>
      <c r="AC451" s="90" t="e">
        <f>INDEX(Efficiencies!$D$8:$M$89,MATCH(C451,Efficiencies!$C$8:$C$89),MATCH(D451,Efficiencies!$D$7:$M$7))</f>
        <v>#REF!</v>
      </c>
      <c r="AD451" s="90" t="e">
        <f t="shared" si="213"/>
        <v>#REF!</v>
      </c>
      <c r="AE451" s="90" t="e">
        <f>INDEX(Efficiencies!$P$8:$Y$89,MATCH(C451,Efficiencies!$C$8:$C$89),MATCH(D451,Efficiencies!$P$7:$Y$7))</f>
        <v>#REF!</v>
      </c>
      <c r="AF451" s="90" t="e">
        <f t="shared" si="216"/>
        <v>#REF!</v>
      </c>
      <c r="AG451" s="90">
        <v>0</v>
      </c>
    </row>
    <row r="452" spans="1:33" x14ac:dyDescent="0.2">
      <c r="A452" s="92" t="s">
        <v>1714</v>
      </c>
      <c r="B452" s="248" t="s">
        <v>1715</v>
      </c>
      <c r="C452" s="40" t="s">
        <v>1716</v>
      </c>
      <c r="D452" s="40">
        <v>2060</v>
      </c>
      <c r="E452" s="86">
        <f>GDPdeflator!$C$32*INDEX(Costs!$E$7:$O$89,MATCH($C452,Costs!$C$7:$C$89,0),MATCH(E$7,Costs!$E$6:$O$6,0))</f>
        <v>26.668604087958926</v>
      </c>
      <c r="F452" s="86">
        <f>GDPdeflator!$C$36*INDEX(Costs!$E$7:$O$89,MATCH($C452,Costs!$C$7:$C$89,0),MATCH(F$7,Costs!$E$6:$O$6,0))</f>
        <v>28.831426254617533</v>
      </c>
      <c r="G452" s="86">
        <f>GDPdeflator!$C$38*INDEX(Costs!$E$7:$O$89,MATCH($C452,Costs!$C$7:$C$89,0),MATCH(G$7,Costs!$E$6:$O$6,0))</f>
        <v>35.271305879887997</v>
      </c>
      <c r="H452" s="86">
        <f>GDPdeflator!$C$38*INDEX(Costs!$E$7:$O$89,MATCH($C452,Costs!$C$7:$C$89,0),MATCH(H$7,Costs!$E$6:$O$6,0))</f>
        <v>35.963415458753161</v>
      </c>
      <c r="I452" s="86">
        <f>GDPdeflator!$C$38*INDEX(Costs!$E$7:$O$89,MATCH($C452,Costs!$C$7:$C$89,0),MATCH(I$7,Costs!$E$6:$O$6,0))</f>
        <v>36.962155863697831</v>
      </c>
      <c r="J452" s="86">
        <f>GDPdeflator!$C$38*INDEX(Costs!$E$7:$O$89,MATCH($C452,Costs!$C$7:$C$89,0),MATCH(J$7,Costs!$E$6:$O$6,0))</f>
        <v>36.988438505933217</v>
      </c>
      <c r="K452" s="86">
        <f>GDPdeflator!$C$38*INDEX(Costs!$E$7:$O$89,MATCH($C452,Costs!$C$7:$C$89,0),MATCH(K$7,Costs!$E$6:$O$6,0))</f>
        <v>37.005960267423482</v>
      </c>
      <c r="L452" s="86">
        <f>GDPdeflator!$C$38*INDEX(Costs!$E$7:$O$89,MATCH($C452,Costs!$C$7:$C$89,0),MATCH(L$7,Costs!$E$6:$O$6,0))</f>
        <v>37.032242909658869</v>
      </c>
      <c r="M452" s="86">
        <f>GDPdeflator!$C$38*INDEX(Costs!$E$7:$O$89,MATCH($C452,Costs!$C$7:$C$89,0),MATCH(M$7,Costs!$E$6:$O$6,0))</f>
        <v>37.032242909658869</v>
      </c>
      <c r="N452" s="86">
        <f>GDPdeflator!$C$38*INDEX(Costs!$E$7:$O$89,MATCH($C452,Costs!$C$7:$C$89,0),MATCH(N$7,Costs!$E$6:$O$6,0))</f>
        <v>37.032242909658869</v>
      </c>
      <c r="O452" s="86">
        <f>GDPdeflator!$C$38*INDEX(Costs!$E$7:$O$89,MATCH($C452,Costs!$C$7:$C$89,0),MATCH(O$7,Costs!$E$6:$O$6,0))</f>
        <v>37.032242909658869</v>
      </c>
      <c r="P452" s="87">
        <f>E452/$AI$18*10^6</f>
        <v>2226.7790382832322</v>
      </c>
      <c r="Q452" s="87">
        <f t="shared" si="229"/>
        <v>2407.3706826139619</v>
      </c>
      <c r="R452" s="87">
        <f t="shared" si="219"/>
        <v>2945.0887015744761</v>
      </c>
      <c r="S452" s="87">
        <f t="shared" si="220"/>
        <v>3002.8785692904185</v>
      </c>
      <c r="T452" s="87">
        <f t="shared" si="221"/>
        <v>3086.2715429564619</v>
      </c>
      <c r="U452" s="87">
        <f t="shared" si="222"/>
        <v>3088.4660948950423</v>
      </c>
      <c r="V452" s="87">
        <f t="shared" si="223"/>
        <v>3089.9291295207627</v>
      </c>
      <c r="W452" s="87">
        <f t="shared" si="224"/>
        <v>3092.1236814593431</v>
      </c>
      <c r="X452" s="87">
        <f t="shared" si="225"/>
        <v>3092.1236814593431</v>
      </c>
      <c r="Y452" s="87">
        <f t="shared" si="226"/>
        <v>3092.1236814593431</v>
      </c>
      <c r="Z452" s="87">
        <f t="shared" si="227"/>
        <v>3092.1236814593431</v>
      </c>
      <c r="AA452" s="88">
        <v>500</v>
      </c>
      <c r="AB452" s="89">
        <f>AA452*GDPdeflator!$C$25/$AI$18*10^3</f>
        <v>48.0747492686653</v>
      </c>
      <c r="AC452" s="90" t="e">
        <f>INDEX(Efficiencies!$D$8:$M$89,MATCH(C452,Efficiencies!$C$8:$C$89),MATCH(D452,Efficiencies!$D$7:$M$7))</f>
        <v>#REF!</v>
      </c>
      <c r="AD452" s="90" t="e">
        <f t="shared" si="213"/>
        <v>#REF!</v>
      </c>
      <c r="AE452" s="90" t="e">
        <f>INDEX(Efficiencies!$P$8:$Y$89,MATCH(C452,Efficiencies!$C$8:$C$89),MATCH(D452,Efficiencies!$P$7:$Y$7))</f>
        <v>#REF!</v>
      </c>
      <c r="AF452" s="90" t="e">
        <f t="shared" si="216"/>
        <v>#REF!</v>
      </c>
      <c r="AG452" s="90">
        <v>0</v>
      </c>
    </row>
    <row r="453" spans="1:33" x14ac:dyDescent="0.2">
      <c r="A453" s="92" t="s">
        <v>1717</v>
      </c>
      <c r="B453" s="248" t="s">
        <v>1718</v>
      </c>
      <c r="C453" s="40" t="s">
        <v>1716</v>
      </c>
      <c r="D453" s="40">
        <v>2005</v>
      </c>
      <c r="E453" s="86">
        <f>GDPdeflator!$C$32*INDEX(Costs!$E$7:$O$89,MATCH($C453,Costs!$C$7:$C$89,0),MATCH(E$7,Costs!$E$6:$O$6,0))</f>
        <v>26.668604087958926</v>
      </c>
      <c r="F453" s="86">
        <f>GDPdeflator!$C$36*INDEX(Costs!$E$7:$O$89,MATCH($C453,Costs!$C$7:$C$89,0),MATCH(F$7,Costs!$E$6:$O$6,0))</f>
        <v>28.831426254617533</v>
      </c>
      <c r="G453" s="86">
        <f>GDPdeflator!$C$38*INDEX(Costs!$E$7:$O$89,MATCH($C453,Costs!$C$7:$C$89,0),MATCH(G$7,Costs!$E$6:$O$6,0))</f>
        <v>35.271305879887997</v>
      </c>
      <c r="H453" s="86">
        <f>GDPdeflator!$C$38*INDEX(Costs!$E$7:$O$89,MATCH($C453,Costs!$C$7:$C$89,0),MATCH(H$7,Costs!$E$6:$O$6,0))</f>
        <v>35.963415458753161</v>
      </c>
      <c r="I453" s="86">
        <f>GDPdeflator!$C$38*INDEX(Costs!$E$7:$O$89,MATCH($C453,Costs!$C$7:$C$89,0),MATCH(I$7,Costs!$E$6:$O$6,0))</f>
        <v>36.962155863697831</v>
      </c>
      <c r="J453" s="86">
        <f>GDPdeflator!$C$38*INDEX(Costs!$E$7:$O$89,MATCH($C453,Costs!$C$7:$C$89,0),MATCH(J$7,Costs!$E$6:$O$6,0))</f>
        <v>36.988438505933217</v>
      </c>
      <c r="K453" s="86">
        <f>GDPdeflator!$C$38*INDEX(Costs!$E$7:$O$89,MATCH($C453,Costs!$C$7:$C$89,0),MATCH(K$7,Costs!$E$6:$O$6,0))</f>
        <v>37.005960267423482</v>
      </c>
      <c r="L453" s="86">
        <f>GDPdeflator!$C$38*INDEX(Costs!$E$7:$O$89,MATCH($C453,Costs!$C$7:$C$89,0),MATCH(L$7,Costs!$E$6:$O$6,0))</f>
        <v>37.032242909658869</v>
      </c>
      <c r="M453" s="86">
        <f>GDPdeflator!$C$38*INDEX(Costs!$E$7:$O$89,MATCH($C453,Costs!$C$7:$C$89,0),MATCH(M$7,Costs!$E$6:$O$6,0))</f>
        <v>37.032242909658869</v>
      </c>
      <c r="N453" s="86">
        <f>GDPdeflator!$C$38*INDEX(Costs!$E$7:$O$89,MATCH($C453,Costs!$C$7:$C$89,0),MATCH(N$7,Costs!$E$6:$O$6,0))</f>
        <v>37.032242909658869</v>
      </c>
      <c r="O453" s="86">
        <f>GDPdeflator!$C$38*INDEX(Costs!$E$7:$O$89,MATCH($C453,Costs!$C$7:$C$89,0),MATCH(O$7,Costs!$E$6:$O$6,0))</f>
        <v>37.032242909658869</v>
      </c>
      <c r="P453" s="87">
        <f t="shared" ref="P453:P462" si="230">E453/$AI$18*10^6</f>
        <v>2226.7790382832322</v>
      </c>
      <c r="Q453" s="87">
        <f t="shared" si="229"/>
        <v>2407.3706826139619</v>
      </c>
      <c r="R453" s="87">
        <f t="shared" si="219"/>
        <v>2945.0887015744761</v>
      </c>
      <c r="S453" s="87">
        <f t="shared" si="220"/>
        <v>3002.8785692904185</v>
      </c>
      <c r="T453" s="87">
        <f t="shared" si="221"/>
        <v>3086.2715429564619</v>
      </c>
      <c r="U453" s="87">
        <f t="shared" si="222"/>
        <v>3088.4660948950423</v>
      </c>
      <c r="V453" s="87">
        <f t="shared" si="223"/>
        <v>3089.9291295207627</v>
      </c>
      <c r="W453" s="87">
        <f t="shared" si="224"/>
        <v>3092.1236814593431</v>
      </c>
      <c r="X453" s="87">
        <f t="shared" si="225"/>
        <v>3092.1236814593431</v>
      </c>
      <c r="Y453" s="87">
        <f t="shared" si="226"/>
        <v>3092.1236814593431</v>
      </c>
      <c r="Z453" s="87">
        <f t="shared" si="227"/>
        <v>3092.1236814593431</v>
      </c>
      <c r="AA453" s="88">
        <v>500</v>
      </c>
      <c r="AB453" s="89">
        <f>AA453*GDPdeflator!$C$25/$AI$18*10^3</f>
        <v>48.0747492686653</v>
      </c>
      <c r="AC453" s="90" t="e">
        <f>INDEX(Efficiencies!$D$8:$M$89,MATCH(C453,Efficiencies!$C$8:$C$89),MATCH(D453,Efficiencies!$D$7:$M$7))</f>
        <v>#REF!</v>
      </c>
      <c r="AD453" s="90" t="e">
        <f t="shared" si="213"/>
        <v>#REF!</v>
      </c>
      <c r="AE453" s="90" t="e">
        <f>INDEX(Efficiencies!$P$8:$Y$89,MATCH(C453,Efficiencies!$C$8:$C$89),MATCH(D453,Efficiencies!$P$7:$Y$7))</f>
        <v>#REF!</v>
      </c>
      <c r="AF453" s="90" t="e">
        <f t="shared" si="216"/>
        <v>#REF!</v>
      </c>
      <c r="AG453" s="90">
        <v>0</v>
      </c>
    </row>
    <row r="454" spans="1:33" x14ac:dyDescent="0.2">
      <c r="A454" s="92" t="s">
        <v>1719</v>
      </c>
      <c r="B454" s="248" t="s">
        <v>1720</v>
      </c>
      <c r="C454" s="40" t="s">
        <v>1716</v>
      </c>
      <c r="D454" s="40">
        <v>2010</v>
      </c>
      <c r="E454" s="86">
        <f>GDPdeflator!$C$32*INDEX(Costs!$E$7:$O$89,MATCH($C454,Costs!$C$7:$C$89,0),MATCH(E$7,Costs!$E$6:$O$6,0))</f>
        <v>26.668604087958926</v>
      </c>
      <c r="F454" s="86">
        <f>GDPdeflator!$C$36*INDEX(Costs!$E$7:$O$89,MATCH($C454,Costs!$C$7:$C$89,0),MATCH(F$7,Costs!$E$6:$O$6,0))</f>
        <v>28.831426254617533</v>
      </c>
      <c r="G454" s="86">
        <f>GDPdeflator!$C$38*INDEX(Costs!$E$7:$O$89,MATCH($C454,Costs!$C$7:$C$89,0),MATCH(G$7,Costs!$E$6:$O$6,0))</f>
        <v>35.271305879887997</v>
      </c>
      <c r="H454" s="86">
        <f>GDPdeflator!$C$38*INDEX(Costs!$E$7:$O$89,MATCH($C454,Costs!$C$7:$C$89,0),MATCH(H$7,Costs!$E$6:$O$6,0))</f>
        <v>35.963415458753161</v>
      </c>
      <c r="I454" s="86">
        <f>GDPdeflator!$C$38*INDEX(Costs!$E$7:$O$89,MATCH($C454,Costs!$C$7:$C$89,0),MATCH(I$7,Costs!$E$6:$O$6,0))</f>
        <v>36.962155863697831</v>
      </c>
      <c r="J454" s="86">
        <f>GDPdeflator!$C$38*INDEX(Costs!$E$7:$O$89,MATCH($C454,Costs!$C$7:$C$89,0),MATCH(J$7,Costs!$E$6:$O$6,0))</f>
        <v>36.988438505933217</v>
      </c>
      <c r="K454" s="86">
        <f>GDPdeflator!$C$38*INDEX(Costs!$E$7:$O$89,MATCH($C454,Costs!$C$7:$C$89,0),MATCH(K$7,Costs!$E$6:$O$6,0))</f>
        <v>37.005960267423482</v>
      </c>
      <c r="L454" s="86">
        <f>GDPdeflator!$C$38*INDEX(Costs!$E$7:$O$89,MATCH($C454,Costs!$C$7:$C$89,0),MATCH(L$7,Costs!$E$6:$O$6,0))</f>
        <v>37.032242909658869</v>
      </c>
      <c r="M454" s="86">
        <f>GDPdeflator!$C$38*INDEX(Costs!$E$7:$O$89,MATCH($C454,Costs!$C$7:$C$89,0),MATCH(M$7,Costs!$E$6:$O$6,0))</f>
        <v>37.032242909658869</v>
      </c>
      <c r="N454" s="86">
        <f>GDPdeflator!$C$38*INDEX(Costs!$E$7:$O$89,MATCH($C454,Costs!$C$7:$C$89,0),MATCH(N$7,Costs!$E$6:$O$6,0))</f>
        <v>37.032242909658869</v>
      </c>
      <c r="O454" s="86">
        <f>GDPdeflator!$C$38*INDEX(Costs!$E$7:$O$89,MATCH($C454,Costs!$C$7:$C$89,0),MATCH(O$7,Costs!$E$6:$O$6,0))</f>
        <v>37.032242909658869</v>
      </c>
      <c r="P454" s="87">
        <f t="shared" si="230"/>
        <v>2226.7790382832322</v>
      </c>
      <c r="Q454" s="87">
        <f t="shared" si="229"/>
        <v>2407.3706826139619</v>
      </c>
      <c r="R454" s="87">
        <f t="shared" si="219"/>
        <v>2945.0887015744761</v>
      </c>
      <c r="S454" s="87">
        <f t="shared" si="220"/>
        <v>3002.8785692904185</v>
      </c>
      <c r="T454" s="87">
        <f t="shared" si="221"/>
        <v>3086.2715429564619</v>
      </c>
      <c r="U454" s="87">
        <f t="shared" si="222"/>
        <v>3088.4660948950423</v>
      </c>
      <c r="V454" s="87">
        <f t="shared" si="223"/>
        <v>3089.9291295207627</v>
      </c>
      <c r="W454" s="87">
        <f t="shared" si="224"/>
        <v>3092.1236814593431</v>
      </c>
      <c r="X454" s="87">
        <f t="shared" si="225"/>
        <v>3092.1236814593431</v>
      </c>
      <c r="Y454" s="87">
        <f t="shared" si="226"/>
        <v>3092.1236814593431</v>
      </c>
      <c r="Z454" s="87">
        <f t="shared" si="227"/>
        <v>3092.1236814593431</v>
      </c>
      <c r="AA454" s="88">
        <v>500</v>
      </c>
      <c r="AB454" s="89">
        <f>AA454*GDPdeflator!$C$25/$AI$18*10^3</f>
        <v>48.0747492686653</v>
      </c>
      <c r="AC454" s="90" t="e">
        <f>INDEX(Efficiencies!$D$8:$M$89,MATCH(C454,Efficiencies!$C$8:$C$89),MATCH(D454,Efficiencies!$D$7:$M$7))</f>
        <v>#REF!</v>
      </c>
      <c r="AD454" s="90" t="e">
        <f t="shared" si="213"/>
        <v>#REF!</v>
      </c>
      <c r="AE454" s="90" t="e">
        <f>INDEX(Efficiencies!$P$8:$Y$89,MATCH(C454,Efficiencies!$C$8:$C$89),MATCH(D454,Efficiencies!$P$7:$Y$7))</f>
        <v>#REF!</v>
      </c>
      <c r="AF454" s="90" t="e">
        <f t="shared" si="216"/>
        <v>#REF!</v>
      </c>
      <c r="AG454" s="90">
        <v>0</v>
      </c>
    </row>
    <row r="455" spans="1:33" x14ac:dyDescent="0.2">
      <c r="A455" s="92" t="s">
        <v>1721</v>
      </c>
      <c r="B455" s="248" t="s">
        <v>1722</v>
      </c>
      <c r="C455" s="40" t="s">
        <v>1716</v>
      </c>
      <c r="D455" s="40">
        <v>2015</v>
      </c>
      <c r="E455" s="86">
        <f>GDPdeflator!$C$32*INDEX(Costs!$E$7:$O$89,MATCH($C455,Costs!$C$7:$C$89,0),MATCH(E$7,Costs!$E$6:$O$6,0))</f>
        <v>26.668604087958926</v>
      </c>
      <c r="F455" s="86">
        <f>GDPdeflator!$C$36*INDEX(Costs!$E$7:$O$89,MATCH($C455,Costs!$C$7:$C$89,0),MATCH(F$7,Costs!$E$6:$O$6,0))</f>
        <v>28.831426254617533</v>
      </c>
      <c r="G455" s="86">
        <f>GDPdeflator!$C$38*INDEX(Costs!$E$7:$O$89,MATCH($C455,Costs!$C$7:$C$89,0),MATCH(G$7,Costs!$E$6:$O$6,0))</f>
        <v>35.271305879887997</v>
      </c>
      <c r="H455" s="86">
        <f>GDPdeflator!$C$38*INDEX(Costs!$E$7:$O$89,MATCH($C455,Costs!$C$7:$C$89,0),MATCH(H$7,Costs!$E$6:$O$6,0))</f>
        <v>35.963415458753161</v>
      </c>
      <c r="I455" s="86">
        <f>GDPdeflator!$C$38*INDEX(Costs!$E$7:$O$89,MATCH($C455,Costs!$C$7:$C$89,0),MATCH(I$7,Costs!$E$6:$O$6,0))</f>
        <v>36.962155863697831</v>
      </c>
      <c r="J455" s="86">
        <f>GDPdeflator!$C$38*INDEX(Costs!$E$7:$O$89,MATCH($C455,Costs!$C$7:$C$89,0),MATCH(J$7,Costs!$E$6:$O$6,0))</f>
        <v>36.988438505933217</v>
      </c>
      <c r="K455" s="86">
        <f>GDPdeflator!$C$38*INDEX(Costs!$E$7:$O$89,MATCH($C455,Costs!$C$7:$C$89,0),MATCH(K$7,Costs!$E$6:$O$6,0))</f>
        <v>37.005960267423482</v>
      </c>
      <c r="L455" s="86">
        <f>GDPdeflator!$C$38*INDEX(Costs!$E$7:$O$89,MATCH($C455,Costs!$C$7:$C$89,0),MATCH(L$7,Costs!$E$6:$O$6,0))</f>
        <v>37.032242909658869</v>
      </c>
      <c r="M455" s="86">
        <f>GDPdeflator!$C$38*INDEX(Costs!$E$7:$O$89,MATCH($C455,Costs!$C$7:$C$89,0),MATCH(M$7,Costs!$E$6:$O$6,0))</f>
        <v>37.032242909658869</v>
      </c>
      <c r="N455" s="86">
        <f>GDPdeflator!$C$38*INDEX(Costs!$E$7:$O$89,MATCH($C455,Costs!$C$7:$C$89,0),MATCH(N$7,Costs!$E$6:$O$6,0))</f>
        <v>37.032242909658869</v>
      </c>
      <c r="O455" s="86">
        <f>GDPdeflator!$C$38*INDEX(Costs!$E$7:$O$89,MATCH($C455,Costs!$C$7:$C$89,0),MATCH(O$7,Costs!$E$6:$O$6,0))</f>
        <v>37.032242909658869</v>
      </c>
      <c r="P455" s="87">
        <f t="shared" si="230"/>
        <v>2226.7790382832322</v>
      </c>
      <c r="Q455" s="87">
        <f t="shared" si="229"/>
        <v>2407.3706826139619</v>
      </c>
      <c r="R455" s="87">
        <f t="shared" si="219"/>
        <v>2945.0887015744761</v>
      </c>
      <c r="S455" s="87">
        <f t="shared" si="220"/>
        <v>3002.8785692904185</v>
      </c>
      <c r="T455" s="87">
        <f t="shared" si="221"/>
        <v>3086.2715429564619</v>
      </c>
      <c r="U455" s="87">
        <f t="shared" si="222"/>
        <v>3088.4660948950423</v>
      </c>
      <c r="V455" s="87">
        <f t="shared" si="223"/>
        <v>3089.9291295207627</v>
      </c>
      <c r="W455" s="87">
        <f t="shared" si="224"/>
        <v>3092.1236814593431</v>
      </c>
      <c r="X455" s="87">
        <f t="shared" si="225"/>
        <v>3092.1236814593431</v>
      </c>
      <c r="Y455" s="87">
        <f t="shared" si="226"/>
        <v>3092.1236814593431</v>
      </c>
      <c r="Z455" s="87">
        <f t="shared" si="227"/>
        <v>3092.1236814593431</v>
      </c>
      <c r="AA455" s="88">
        <v>500</v>
      </c>
      <c r="AB455" s="89">
        <f>AA455*GDPdeflator!$C$25/$AI$18*10^3</f>
        <v>48.0747492686653</v>
      </c>
      <c r="AC455" s="90" t="e">
        <f>INDEX(Efficiencies!$D$8:$M$89,MATCH(C455,Efficiencies!$C$8:$C$89),MATCH(D455,Efficiencies!$D$7:$M$7))</f>
        <v>#REF!</v>
      </c>
      <c r="AD455" s="90" t="e">
        <f t="shared" si="213"/>
        <v>#REF!</v>
      </c>
      <c r="AE455" s="90" t="e">
        <f>INDEX(Efficiencies!$P$8:$Y$89,MATCH(C455,Efficiencies!$C$8:$C$89),MATCH(D455,Efficiencies!$P$7:$Y$7))</f>
        <v>#REF!</v>
      </c>
      <c r="AF455" s="90" t="e">
        <f t="shared" si="216"/>
        <v>#REF!</v>
      </c>
      <c r="AG455" s="90">
        <v>0</v>
      </c>
    </row>
    <row r="456" spans="1:33" x14ac:dyDescent="0.2">
      <c r="A456" s="92" t="s">
        <v>1723</v>
      </c>
      <c r="B456" s="248" t="s">
        <v>1724</v>
      </c>
      <c r="C456" s="40" t="s">
        <v>1716</v>
      </c>
      <c r="D456" s="40">
        <v>2020</v>
      </c>
      <c r="E456" s="86">
        <f>GDPdeflator!$C$32*INDEX(Costs!$E$7:$O$89,MATCH($C456,Costs!$C$7:$C$89,0),MATCH(E$7,Costs!$E$6:$O$6,0))</f>
        <v>26.668604087958926</v>
      </c>
      <c r="F456" s="86">
        <f>GDPdeflator!$C$36*INDEX(Costs!$E$7:$O$89,MATCH($C456,Costs!$C$7:$C$89,0),MATCH(F$7,Costs!$E$6:$O$6,0))</f>
        <v>28.831426254617533</v>
      </c>
      <c r="G456" s="86">
        <f>GDPdeflator!$C$38*INDEX(Costs!$E$7:$O$89,MATCH($C456,Costs!$C$7:$C$89,0),MATCH(G$7,Costs!$E$6:$O$6,0))</f>
        <v>35.271305879887997</v>
      </c>
      <c r="H456" s="86">
        <f>GDPdeflator!$C$38*INDEX(Costs!$E$7:$O$89,MATCH($C456,Costs!$C$7:$C$89,0),MATCH(H$7,Costs!$E$6:$O$6,0))</f>
        <v>35.963415458753161</v>
      </c>
      <c r="I456" s="86">
        <f>GDPdeflator!$C$38*INDEX(Costs!$E$7:$O$89,MATCH($C456,Costs!$C$7:$C$89,0),MATCH(I$7,Costs!$E$6:$O$6,0))</f>
        <v>36.962155863697831</v>
      </c>
      <c r="J456" s="86">
        <f>GDPdeflator!$C$38*INDEX(Costs!$E$7:$O$89,MATCH($C456,Costs!$C$7:$C$89,0),MATCH(J$7,Costs!$E$6:$O$6,0))</f>
        <v>36.988438505933217</v>
      </c>
      <c r="K456" s="86">
        <f>GDPdeflator!$C$38*INDEX(Costs!$E$7:$O$89,MATCH($C456,Costs!$C$7:$C$89,0),MATCH(K$7,Costs!$E$6:$O$6,0))</f>
        <v>37.005960267423482</v>
      </c>
      <c r="L456" s="86">
        <f>GDPdeflator!$C$38*INDEX(Costs!$E$7:$O$89,MATCH($C456,Costs!$C$7:$C$89,0),MATCH(L$7,Costs!$E$6:$O$6,0))</f>
        <v>37.032242909658869</v>
      </c>
      <c r="M456" s="86">
        <f>GDPdeflator!$C$38*INDEX(Costs!$E$7:$O$89,MATCH($C456,Costs!$C$7:$C$89,0),MATCH(M$7,Costs!$E$6:$O$6,0))</f>
        <v>37.032242909658869</v>
      </c>
      <c r="N456" s="86">
        <f>GDPdeflator!$C$38*INDEX(Costs!$E$7:$O$89,MATCH($C456,Costs!$C$7:$C$89,0),MATCH(N$7,Costs!$E$6:$O$6,0))</f>
        <v>37.032242909658869</v>
      </c>
      <c r="O456" s="86">
        <f>GDPdeflator!$C$38*INDEX(Costs!$E$7:$O$89,MATCH($C456,Costs!$C$7:$C$89,0),MATCH(O$7,Costs!$E$6:$O$6,0))</f>
        <v>37.032242909658869</v>
      </c>
      <c r="P456" s="87">
        <f t="shared" si="230"/>
        <v>2226.7790382832322</v>
      </c>
      <c r="Q456" s="87">
        <f t="shared" si="229"/>
        <v>2407.3706826139619</v>
      </c>
      <c r="R456" s="87">
        <f t="shared" si="219"/>
        <v>2945.0887015744761</v>
      </c>
      <c r="S456" s="87">
        <f t="shared" si="220"/>
        <v>3002.8785692904185</v>
      </c>
      <c r="T456" s="87">
        <f t="shared" si="221"/>
        <v>3086.2715429564619</v>
      </c>
      <c r="U456" s="87">
        <f t="shared" si="222"/>
        <v>3088.4660948950423</v>
      </c>
      <c r="V456" s="87">
        <f t="shared" si="223"/>
        <v>3089.9291295207627</v>
      </c>
      <c r="W456" s="87">
        <f t="shared" si="224"/>
        <v>3092.1236814593431</v>
      </c>
      <c r="X456" s="87">
        <f t="shared" si="225"/>
        <v>3092.1236814593431</v>
      </c>
      <c r="Y456" s="87">
        <f t="shared" si="226"/>
        <v>3092.1236814593431</v>
      </c>
      <c r="Z456" s="87">
        <f t="shared" si="227"/>
        <v>3092.1236814593431</v>
      </c>
      <c r="AA456" s="88">
        <v>500</v>
      </c>
      <c r="AB456" s="89">
        <f>AA456*GDPdeflator!$C$25/$AI$18*10^3</f>
        <v>48.0747492686653</v>
      </c>
      <c r="AC456" s="90" t="e">
        <f>INDEX(Efficiencies!$D$8:$M$89,MATCH(C456,Efficiencies!$C$8:$C$89),MATCH(D456,Efficiencies!$D$7:$M$7))</f>
        <v>#REF!</v>
      </c>
      <c r="AD456" s="90" t="e">
        <f t="shared" si="213"/>
        <v>#REF!</v>
      </c>
      <c r="AE456" s="90" t="e">
        <f>INDEX(Efficiencies!$P$8:$Y$89,MATCH(C456,Efficiencies!$C$8:$C$89),MATCH(D456,Efficiencies!$P$7:$Y$7))</f>
        <v>#REF!</v>
      </c>
      <c r="AF456" s="90" t="e">
        <f t="shared" si="216"/>
        <v>#REF!</v>
      </c>
      <c r="AG456" s="90">
        <v>0</v>
      </c>
    </row>
    <row r="457" spans="1:33" x14ac:dyDescent="0.2">
      <c r="A457" s="92" t="s">
        <v>1725</v>
      </c>
      <c r="B457" s="248" t="s">
        <v>1726</v>
      </c>
      <c r="C457" s="40" t="s">
        <v>1716</v>
      </c>
      <c r="D457" s="40">
        <v>2025</v>
      </c>
      <c r="E457" s="86">
        <f>GDPdeflator!$C$32*INDEX(Costs!$E$7:$O$89,MATCH($C457,Costs!$C$7:$C$89,0),MATCH(E$7,Costs!$E$6:$O$6,0))</f>
        <v>26.668604087958926</v>
      </c>
      <c r="F457" s="86">
        <f>GDPdeflator!$C$36*INDEX(Costs!$E$7:$O$89,MATCH($C457,Costs!$C$7:$C$89,0),MATCH(F$7,Costs!$E$6:$O$6,0))</f>
        <v>28.831426254617533</v>
      </c>
      <c r="G457" s="86">
        <f>GDPdeflator!$C$38*INDEX(Costs!$E$7:$O$89,MATCH($C457,Costs!$C$7:$C$89,0),MATCH(G$7,Costs!$E$6:$O$6,0))</f>
        <v>35.271305879887997</v>
      </c>
      <c r="H457" s="86">
        <f>GDPdeflator!$C$38*INDEX(Costs!$E$7:$O$89,MATCH($C457,Costs!$C$7:$C$89,0),MATCH(H$7,Costs!$E$6:$O$6,0))</f>
        <v>35.963415458753161</v>
      </c>
      <c r="I457" s="86">
        <f>GDPdeflator!$C$38*INDEX(Costs!$E$7:$O$89,MATCH($C457,Costs!$C$7:$C$89,0),MATCH(I$7,Costs!$E$6:$O$6,0))</f>
        <v>36.962155863697831</v>
      </c>
      <c r="J457" s="86">
        <f>GDPdeflator!$C$38*INDEX(Costs!$E$7:$O$89,MATCH($C457,Costs!$C$7:$C$89,0),MATCH(J$7,Costs!$E$6:$O$6,0))</f>
        <v>36.988438505933217</v>
      </c>
      <c r="K457" s="86">
        <f>GDPdeflator!$C$38*INDEX(Costs!$E$7:$O$89,MATCH($C457,Costs!$C$7:$C$89,0),MATCH(K$7,Costs!$E$6:$O$6,0))</f>
        <v>37.005960267423482</v>
      </c>
      <c r="L457" s="86">
        <f>GDPdeflator!$C$38*INDEX(Costs!$E$7:$O$89,MATCH($C457,Costs!$C$7:$C$89,0),MATCH(L$7,Costs!$E$6:$O$6,0))</f>
        <v>37.032242909658869</v>
      </c>
      <c r="M457" s="86">
        <f>GDPdeflator!$C$38*INDEX(Costs!$E$7:$O$89,MATCH($C457,Costs!$C$7:$C$89,0),MATCH(M$7,Costs!$E$6:$O$6,0))</f>
        <v>37.032242909658869</v>
      </c>
      <c r="N457" s="86">
        <f>GDPdeflator!$C$38*INDEX(Costs!$E$7:$O$89,MATCH($C457,Costs!$C$7:$C$89,0),MATCH(N$7,Costs!$E$6:$O$6,0))</f>
        <v>37.032242909658869</v>
      </c>
      <c r="O457" s="86">
        <f>GDPdeflator!$C$38*INDEX(Costs!$E$7:$O$89,MATCH($C457,Costs!$C$7:$C$89,0),MATCH(O$7,Costs!$E$6:$O$6,0))</f>
        <v>37.032242909658869</v>
      </c>
      <c r="P457" s="87">
        <f t="shared" si="230"/>
        <v>2226.7790382832322</v>
      </c>
      <c r="Q457" s="87">
        <f t="shared" si="229"/>
        <v>2407.3706826139619</v>
      </c>
      <c r="R457" s="87">
        <f t="shared" si="219"/>
        <v>2945.0887015744761</v>
      </c>
      <c r="S457" s="87">
        <f t="shared" si="220"/>
        <v>3002.8785692904185</v>
      </c>
      <c r="T457" s="87">
        <f t="shared" si="221"/>
        <v>3086.2715429564619</v>
      </c>
      <c r="U457" s="87">
        <f t="shared" si="222"/>
        <v>3088.4660948950423</v>
      </c>
      <c r="V457" s="87">
        <f t="shared" si="223"/>
        <v>3089.9291295207627</v>
      </c>
      <c r="W457" s="87">
        <f t="shared" si="224"/>
        <v>3092.1236814593431</v>
      </c>
      <c r="X457" s="87">
        <f t="shared" si="225"/>
        <v>3092.1236814593431</v>
      </c>
      <c r="Y457" s="87">
        <f t="shared" si="226"/>
        <v>3092.1236814593431</v>
      </c>
      <c r="Z457" s="87">
        <f t="shared" si="227"/>
        <v>3092.1236814593431</v>
      </c>
      <c r="AA457" s="88">
        <v>500</v>
      </c>
      <c r="AB457" s="89">
        <f>AA457*GDPdeflator!$C$25/$AI$18*10^3</f>
        <v>48.0747492686653</v>
      </c>
      <c r="AC457" s="90" t="e">
        <f>INDEX(Efficiencies!$D$8:$M$89,MATCH(C457,Efficiencies!$C$8:$C$89),MATCH(D457,Efficiencies!$D$7:$M$7))</f>
        <v>#REF!</v>
      </c>
      <c r="AD457" s="90" t="e">
        <f t="shared" si="213"/>
        <v>#REF!</v>
      </c>
      <c r="AE457" s="90" t="e">
        <f>INDEX(Efficiencies!$P$8:$Y$89,MATCH(C457,Efficiencies!$C$8:$C$89),MATCH(D457,Efficiencies!$P$7:$Y$7))</f>
        <v>#REF!</v>
      </c>
      <c r="AF457" s="90" t="e">
        <f t="shared" si="216"/>
        <v>#REF!</v>
      </c>
      <c r="AG457" s="90">
        <v>0</v>
      </c>
    </row>
    <row r="458" spans="1:33" x14ac:dyDescent="0.2">
      <c r="A458" s="92" t="s">
        <v>1727</v>
      </c>
      <c r="B458" s="248" t="s">
        <v>1728</v>
      </c>
      <c r="C458" s="40" t="s">
        <v>1716</v>
      </c>
      <c r="D458" s="40">
        <v>2030</v>
      </c>
      <c r="E458" s="86">
        <f>GDPdeflator!$C$32*INDEX(Costs!$E$7:$O$89,MATCH($C458,Costs!$C$7:$C$89,0),MATCH(E$7,Costs!$E$6:$O$6,0))</f>
        <v>26.668604087958926</v>
      </c>
      <c r="F458" s="86">
        <f>GDPdeflator!$C$36*INDEX(Costs!$E$7:$O$89,MATCH($C458,Costs!$C$7:$C$89,0),MATCH(F$7,Costs!$E$6:$O$6,0))</f>
        <v>28.831426254617533</v>
      </c>
      <c r="G458" s="86">
        <f>GDPdeflator!$C$38*INDEX(Costs!$E$7:$O$89,MATCH($C458,Costs!$C$7:$C$89,0),MATCH(G$7,Costs!$E$6:$O$6,0))</f>
        <v>35.271305879887997</v>
      </c>
      <c r="H458" s="86">
        <f>GDPdeflator!$C$38*INDEX(Costs!$E$7:$O$89,MATCH($C458,Costs!$C$7:$C$89,0),MATCH(H$7,Costs!$E$6:$O$6,0))</f>
        <v>35.963415458753161</v>
      </c>
      <c r="I458" s="86">
        <f>GDPdeflator!$C$38*INDEX(Costs!$E$7:$O$89,MATCH($C458,Costs!$C$7:$C$89,0),MATCH(I$7,Costs!$E$6:$O$6,0))</f>
        <v>36.962155863697831</v>
      </c>
      <c r="J458" s="86">
        <f>GDPdeflator!$C$38*INDEX(Costs!$E$7:$O$89,MATCH($C458,Costs!$C$7:$C$89,0),MATCH(J$7,Costs!$E$6:$O$6,0))</f>
        <v>36.988438505933217</v>
      </c>
      <c r="K458" s="86">
        <f>GDPdeflator!$C$38*INDEX(Costs!$E$7:$O$89,MATCH($C458,Costs!$C$7:$C$89,0),MATCH(K$7,Costs!$E$6:$O$6,0))</f>
        <v>37.005960267423482</v>
      </c>
      <c r="L458" s="86">
        <f>GDPdeflator!$C$38*INDEX(Costs!$E$7:$O$89,MATCH($C458,Costs!$C$7:$C$89,0),MATCH(L$7,Costs!$E$6:$O$6,0))</f>
        <v>37.032242909658869</v>
      </c>
      <c r="M458" s="86">
        <f>GDPdeflator!$C$38*INDEX(Costs!$E$7:$O$89,MATCH($C458,Costs!$C$7:$C$89,0),MATCH(M$7,Costs!$E$6:$O$6,0))</f>
        <v>37.032242909658869</v>
      </c>
      <c r="N458" s="86">
        <f>GDPdeflator!$C$38*INDEX(Costs!$E$7:$O$89,MATCH($C458,Costs!$C$7:$C$89,0),MATCH(N$7,Costs!$E$6:$O$6,0))</f>
        <v>37.032242909658869</v>
      </c>
      <c r="O458" s="86">
        <f>GDPdeflator!$C$38*INDEX(Costs!$E$7:$O$89,MATCH($C458,Costs!$C$7:$C$89,0),MATCH(O$7,Costs!$E$6:$O$6,0))</f>
        <v>37.032242909658869</v>
      </c>
      <c r="P458" s="87">
        <f t="shared" si="230"/>
        <v>2226.7790382832322</v>
      </c>
      <c r="Q458" s="87">
        <f t="shared" si="229"/>
        <v>2407.3706826139619</v>
      </c>
      <c r="R458" s="87">
        <f t="shared" si="219"/>
        <v>2945.0887015744761</v>
      </c>
      <c r="S458" s="87">
        <f t="shared" si="220"/>
        <v>3002.8785692904185</v>
      </c>
      <c r="T458" s="87">
        <f t="shared" si="221"/>
        <v>3086.2715429564619</v>
      </c>
      <c r="U458" s="87">
        <f t="shared" si="222"/>
        <v>3088.4660948950423</v>
      </c>
      <c r="V458" s="87">
        <f t="shared" si="223"/>
        <v>3089.9291295207627</v>
      </c>
      <c r="W458" s="87">
        <f t="shared" si="224"/>
        <v>3092.1236814593431</v>
      </c>
      <c r="X458" s="87">
        <f t="shared" si="225"/>
        <v>3092.1236814593431</v>
      </c>
      <c r="Y458" s="87">
        <f t="shared" si="226"/>
        <v>3092.1236814593431</v>
      </c>
      <c r="Z458" s="87">
        <f t="shared" si="227"/>
        <v>3092.1236814593431</v>
      </c>
      <c r="AA458" s="88">
        <v>500</v>
      </c>
      <c r="AB458" s="89">
        <f>AA458*GDPdeflator!$C$25/$AI$18*10^3</f>
        <v>48.0747492686653</v>
      </c>
      <c r="AC458" s="90" t="e">
        <f>INDEX(Efficiencies!$D$8:$M$89,MATCH(C458,Efficiencies!$C$8:$C$89),MATCH(D458,Efficiencies!$D$7:$M$7))</f>
        <v>#REF!</v>
      </c>
      <c r="AD458" s="90" t="e">
        <f t="shared" si="213"/>
        <v>#REF!</v>
      </c>
      <c r="AE458" s="90" t="e">
        <f>INDEX(Efficiencies!$P$8:$Y$89,MATCH(C458,Efficiencies!$C$8:$C$89),MATCH(D458,Efficiencies!$P$7:$Y$7))</f>
        <v>#REF!</v>
      </c>
      <c r="AF458" s="90" t="e">
        <f t="shared" si="216"/>
        <v>#REF!</v>
      </c>
      <c r="AG458" s="90">
        <v>0</v>
      </c>
    </row>
    <row r="459" spans="1:33" x14ac:dyDescent="0.2">
      <c r="A459" s="92" t="s">
        <v>1729</v>
      </c>
      <c r="B459" s="248" t="s">
        <v>1730</v>
      </c>
      <c r="C459" s="40" t="s">
        <v>1716</v>
      </c>
      <c r="D459" s="40">
        <v>2035</v>
      </c>
      <c r="E459" s="86">
        <f>GDPdeflator!$C$32*INDEX(Costs!$E$7:$O$89,MATCH($C459,Costs!$C$7:$C$89,0),MATCH(E$7,Costs!$E$6:$O$6,0))</f>
        <v>26.668604087958926</v>
      </c>
      <c r="F459" s="86">
        <f>GDPdeflator!$C$36*INDEX(Costs!$E$7:$O$89,MATCH($C459,Costs!$C$7:$C$89,0),MATCH(F$7,Costs!$E$6:$O$6,0))</f>
        <v>28.831426254617533</v>
      </c>
      <c r="G459" s="86">
        <f>GDPdeflator!$C$38*INDEX(Costs!$E$7:$O$89,MATCH($C459,Costs!$C$7:$C$89,0),MATCH(G$7,Costs!$E$6:$O$6,0))</f>
        <v>35.271305879887997</v>
      </c>
      <c r="H459" s="86">
        <f>GDPdeflator!$C$38*INDEX(Costs!$E$7:$O$89,MATCH($C459,Costs!$C$7:$C$89,0),MATCH(H$7,Costs!$E$6:$O$6,0))</f>
        <v>35.963415458753161</v>
      </c>
      <c r="I459" s="86">
        <f>GDPdeflator!$C$38*INDEX(Costs!$E$7:$O$89,MATCH($C459,Costs!$C$7:$C$89,0),MATCH(I$7,Costs!$E$6:$O$6,0))</f>
        <v>36.962155863697831</v>
      </c>
      <c r="J459" s="86">
        <f>GDPdeflator!$C$38*INDEX(Costs!$E$7:$O$89,MATCH($C459,Costs!$C$7:$C$89,0),MATCH(J$7,Costs!$E$6:$O$6,0))</f>
        <v>36.988438505933217</v>
      </c>
      <c r="K459" s="86">
        <f>GDPdeflator!$C$38*INDEX(Costs!$E$7:$O$89,MATCH($C459,Costs!$C$7:$C$89,0),MATCH(K$7,Costs!$E$6:$O$6,0))</f>
        <v>37.005960267423482</v>
      </c>
      <c r="L459" s="86">
        <f>GDPdeflator!$C$38*INDEX(Costs!$E$7:$O$89,MATCH($C459,Costs!$C$7:$C$89,0),MATCH(L$7,Costs!$E$6:$O$6,0))</f>
        <v>37.032242909658869</v>
      </c>
      <c r="M459" s="86">
        <f>GDPdeflator!$C$38*INDEX(Costs!$E$7:$O$89,MATCH($C459,Costs!$C$7:$C$89,0),MATCH(M$7,Costs!$E$6:$O$6,0))</f>
        <v>37.032242909658869</v>
      </c>
      <c r="N459" s="86">
        <f>GDPdeflator!$C$38*INDEX(Costs!$E$7:$O$89,MATCH($C459,Costs!$C$7:$C$89,0),MATCH(N$7,Costs!$E$6:$O$6,0))</f>
        <v>37.032242909658869</v>
      </c>
      <c r="O459" s="86">
        <f>GDPdeflator!$C$38*INDEX(Costs!$E$7:$O$89,MATCH($C459,Costs!$C$7:$C$89,0),MATCH(O$7,Costs!$E$6:$O$6,0))</f>
        <v>37.032242909658869</v>
      </c>
      <c r="P459" s="87">
        <f t="shared" si="230"/>
        <v>2226.7790382832322</v>
      </c>
      <c r="Q459" s="87">
        <f t="shared" si="229"/>
        <v>2407.3706826139619</v>
      </c>
      <c r="R459" s="87">
        <f t="shared" si="219"/>
        <v>2945.0887015744761</v>
      </c>
      <c r="S459" s="87">
        <f t="shared" si="220"/>
        <v>3002.8785692904185</v>
      </c>
      <c r="T459" s="87">
        <f t="shared" si="221"/>
        <v>3086.2715429564619</v>
      </c>
      <c r="U459" s="87">
        <f t="shared" si="222"/>
        <v>3088.4660948950423</v>
      </c>
      <c r="V459" s="87">
        <f t="shared" si="223"/>
        <v>3089.9291295207627</v>
      </c>
      <c r="W459" s="87">
        <f t="shared" si="224"/>
        <v>3092.1236814593431</v>
      </c>
      <c r="X459" s="87">
        <f t="shared" si="225"/>
        <v>3092.1236814593431</v>
      </c>
      <c r="Y459" s="87">
        <f t="shared" si="226"/>
        <v>3092.1236814593431</v>
      </c>
      <c r="Z459" s="87">
        <f t="shared" si="227"/>
        <v>3092.1236814593431</v>
      </c>
      <c r="AA459" s="88">
        <v>500</v>
      </c>
      <c r="AB459" s="89">
        <f>AA459*GDPdeflator!$C$25/$AI$18*10^3</f>
        <v>48.0747492686653</v>
      </c>
      <c r="AC459" s="90" t="e">
        <f>INDEX(Efficiencies!$D$8:$M$89,MATCH(C459,Efficiencies!$C$8:$C$89),MATCH(D459,Efficiencies!$D$7:$M$7))</f>
        <v>#REF!</v>
      </c>
      <c r="AD459" s="90" t="e">
        <f t="shared" si="213"/>
        <v>#REF!</v>
      </c>
      <c r="AE459" s="90" t="e">
        <f>INDEX(Efficiencies!$P$8:$Y$89,MATCH(C459,Efficiencies!$C$8:$C$89),MATCH(D459,Efficiencies!$P$7:$Y$7))</f>
        <v>#REF!</v>
      </c>
      <c r="AF459" s="90" t="e">
        <f t="shared" si="216"/>
        <v>#REF!</v>
      </c>
      <c r="AG459" s="90">
        <v>0</v>
      </c>
    </row>
    <row r="460" spans="1:33" x14ac:dyDescent="0.2">
      <c r="A460" s="92" t="s">
        <v>1731</v>
      </c>
      <c r="B460" s="248" t="s">
        <v>1732</v>
      </c>
      <c r="C460" s="40" t="s">
        <v>1716</v>
      </c>
      <c r="D460" s="40">
        <v>2040</v>
      </c>
      <c r="E460" s="86">
        <f>GDPdeflator!$C$32*INDEX(Costs!$E$7:$O$89,MATCH($C460,Costs!$C$7:$C$89,0),MATCH(E$7,Costs!$E$6:$O$6,0))</f>
        <v>26.668604087958926</v>
      </c>
      <c r="F460" s="86">
        <f>GDPdeflator!$C$36*INDEX(Costs!$E$7:$O$89,MATCH($C460,Costs!$C$7:$C$89,0),MATCH(F$7,Costs!$E$6:$O$6,0))</f>
        <v>28.831426254617533</v>
      </c>
      <c r="G460" s="86">
        <f>GDPdeflator!$C$38*INDEX(Costs!$E$7:$O$89,MATCH($C460,Costs!$C$7:$C$89,0),MATCH(G$7,Costs!$E$6:$O$6,0))</f>
        <v>35.271305879887997</v>
      </c>
      <c r="H460" s="86">
        <f>GDPdeflator!$C$38*INDEX(Costs!$E$7:$O$89,MATCH($C460,Costs!$C$7:$C$89,0),MATCH(H$7,Costs!$E$6:$O$6,0))</f>
        <v>35.963415458753161</v>
      </c>
      <c r="I460" s="86">
        <f>GDPdeflator!$C$38*INDEX(Costs!$E$7:$O$89,MATCH($C460,Costs!$C$7:$C$89,0),MATCH(I$7,Costs!$E$6:$O$6,0))</f>
        <v>36.962155863697831</v>
      </c>
      <c r="J460" s="86">
        <f>GDPdeflator!$C$38*INDEX(Costs!$E$7:$O$89,MATCH($C460,Costs!$C$7:$C$89,0),MATCH(J$7,Costs!$E$6:$O$6,0))</f>
        <v>36.988438505933217</v>
      </c>
      <c r="K460" s="86">
        <f>GDPdeflator!$C$38*INDEX(Costs!$E$7:$O$89,MATCH($C460,Costs!$C$7:$C$89,0),MATCH(K$7,Costs!$E$6:$O$6,0))</f>
        <v>37.005960267423482</v>
      </c>
      <c r="L460" s="86">
        <f>GDPdeflator!$C$38*INDEX(Costs!$E$7:$O$89,MATCH($C460,Costs!$C$7:$C$89,0),MATCH(L$7,Costs!$E$6:$O$6,0))</f>
        <v>37.032242909658869</v>
      </c>
      <c r="M460" s="86">
        <f>GDPdeflator!$C$38*INDEX(Costs!$E$7:$O$89,MATCH($C460,Costs!$C$7:$C$89,0),MATCH(M$7,Costs!$E$6:$O$6,0))</f>
        <v>37.032242909658869</v>
      </c>
      <c r="N460" s="86">
        <f>GDPdeflator!$C$38*INDEX(Costs!$E$7:$O$89,MATCH($C460,Costs!$C$7:$C$89,0),MATCH(N$7,Costs!$E$6:$O$6,0))</f>
        <v>37.032242909658869</v>
      </c>
      <c r="O460" s="86">
        <f>GDPdeflator!$C$38*INDEX(Costs!$E$7:$O$89,MATCH($C460,Costs!$C$7:$C$89,0),MATCH(O$7,Costs!$E$6:$O$6,0))</f>
        <v>37.032242909658869</v>
      </c>
      <c r="P460" s="87">
        <f t="shared" si="230"/>
        <v>2226.7790382832322</v>
      </c>
      <c r="Q460" s="87">
        <f t="shared" si="229"/>
        <v>2407.3706826139619</v>
      </c>
      <c r="R460" s="87">
        <f t="shared" si="219"/>
        <v>2945.0887015744761</v>
      </c>
      <c r="S460" s="87">
        <f t="shared" si="220"/>
        <v>3002.8785692904185</v>
      </c>
      <c r="T460" s="87">
        <f t="shared" si="221"/>
        <v>3086.2715429564619</v>
      </c>
      <c r="U460" s="87">
        <f t="shared" si="222"/>
        <v>3088.4660948950423</v>
      </c>
      <c r="V460" s="87">
        <f t="shared" si="223"/>
        <v>3089.9291295207627</v>
      </c>
      <c r="W460" s="87">
        <f t="shared" si="224"/>
        <v>3092.1236814593431</v>
      </c>
      <c r="X460" s="87">
        <f t="shared" si="225"/>
        <v>3092.1236814593431</v>
      </c>
      <c r="Y460" s="87">
        <f t="shared" si="226"/>
        <v>3092.1236814593431</v>
      </c>
      <c r="Z460" s="87">
        <f t="shared" si="227"/>
        <v>3092.1236814593431</v>
      </c>
      <c r="AA460" s="88">
        <v>500</v>
      </c>
      <c r="AB460" s="89">
        <f>AA460*GDPdeflator!$C$25/$AI$18*10^3</f>
        <v>48.0747492686653</v>
      </c>
      <c r="AC460" s="90" t="e">
        <f>INDEX(Efficiencies!$D$8:$M$89,MATCH(C460,Efficiencies!$C$8:$C$89),MATCH(D460,Efficiencies!$D$7:$M$7))</f>
        <v>#REF!</v>
      </c>
      <c r="AD460" s="90" t="e">
        <f t="shared" si="213"/>
        <v>#REF!</v>
      </c>
      <c r="AE460" s="90" t="e">
        <f>INDEX(Efficiencies!$P$8:$Y$89,MATCH(C460,Efficiencies!$C$8:$C$89),MATCH(D460,Efficiencies!$P$7:$Y$7))</f>
        <v>#REF!</v>
      </c>
      <c r="AF460" s="90" t="e">
        <f t="shared" si="216"/>
        <v>#REF!</v>
      </c>
      <c r="AG460" s="90">
        <v>0</v>
      </c>
    </row>
    <row r="461" spans="1:33" x14ac:dyDescent="0.2">
      <c r="A461" s="92" t="s">
        <v>1733</v>
      </c>
      <c r="B461" s="248" t="s">
        <v>1734</v>
      </c>
      <c r="C461" s="40" t="s">
        <v>1716</v>
      </c>
      <c r="D461" s="40">
        <v>2045</v>
      </c>
      <c r="E461" s="86">
        <f>GDPdeflator!$C$32*INDEX(Costs!$E$7:$O$89,MATCH($C461,Costs!$C$7:$C$89,0),MATCH(E$7,Costs!$E$6:$O$6,0))</f>
        <v>26.668604087958926</v>
      </c>
      <c r="F461" s="86">
        <f>GDPdeflator!$C$36*INDEX(Costs!$E$7:$O$89,MATCH($C461,Costs!$C$7:$C$89,0),MATCH(F$7,Costs!$E$6:$O$6,0))</f>
        <v>28.831426254617533</v>
      </c>
      <c r="G461" s="86">
        <f>GDPdeflator!$C$38*INDEX(Costs!$E$7:$O$89,MATCH($C461,Costs!$C$7:$C$89,0),MATCH(G$7,Costs!$E$6:$O$6,0))</f>
        <v>35.271305879887997</v>
      </c>
      <c r="H461" s="86">
        <f>GDPdeflator!$C$38*INDEX(Costs!$E$7:$O$89,MATCH($C461,Costs!$C$7:$C$89,0),MATCH(H$7,Costs!$E$6:$O$6,0))</f>
        <v>35.963415458753161</v>
      </c>
      <c r="I461" s="86">
        <f>GDPdeflator!$C$38*INDEX(Costs!$E$7:$O$89,MATCH($C461,Costs!$C$7:$C$89,0),MATCH(I$7,Costs!$E$6:$O$6,0))</f>
        <v>36.962155863697831</v>
      </c>
      <c r="J461" s="86">
        <f>GDPdeflator!$C$38*INDEX(Costs!$E$7:$O$89,MATCH($C461,Costs!$C$7:$C$89,0),MATCH(J$7,Costs!$E$6:$O$6,0))</f>
        <v>36.988438505933217</v>
      </c>
      <c r="K461" s="86">
        <f>GDPdeflator!$C$38*INDEX(Costs!$E$7:$O$89,MATCH($C461,Costs!$C$7:$C$89,0),MATCH(K$7,Costs!$E$6:$O$6,0))</f>
        <v>37.005960267423482</v>
      </c>
      <c r="L461" s="86">
        <f>GDPdeflator!$C$38*INDEX(Costs!$E$7:$O$89,MATCH($C461,Costs!$C$7:$C$89,0),MATCH(L$7,Costs!$E$6:$O$6,0))</f>
        <v>37.032242909658869</v>
      </c>
      <c r="M461" s="86">
        <f>GDPdeflator!$C$38*INDEX(Costs!$E$7:$O$89,MATCH($C461,Costs!$C$7:$C$89,0),MATCH(M$7,Costs!$E$6:$O$6,0))</f>
        <v>37.032242909658869</v>
      </c>
      <c r="N461" s="86">
        <f>GDPdeflator!$C$38*INDEX(Costs!$E$7:$O$89,MATCH($C461,Costs!$C$7:$C$89,0),MATCH(N$7,Costs!$E$6:$O$6,0))</f>
        <v>37.032242909658869</v>
      </c>
      <c r="O461" s="86">
        <f>GDPdeflator!$C$38*INDEX(Costs!$E$7:$O$89,MATCH($C461,Costs!$C$7:$C$89,0),MATCH(O$7,Costs!$E$6:$O$6,0))</f>
        <v>37.032242909658869</v>
      </c>
      <c r="P461" s="87">
        <f t="shared" si="230"/>
        <v>2226.7790382832322</v>
      </c>
      <c r="Q461" s="87">
        <f t="shared" si="229"/>
        <v>2407.3706826139619</v>
      </c>
      <c r="R461" s="87">
        <f t="shared" si="219"/>
        <v>2945.0887015744761</v>
      </c>
      <c r="S461" s="87">
        <f t="shared" si="220"/>
        <v>3002.8785692904185</v>
      </c>
      <c r="T461" s="87">
        <f t="shared" si="221"/>
        <v>3086.2715429564619</v>
      </c>
      <c r="U461" s="87">
        <f t="shared" si="222"/>
        <v>3088.4660948950423</v>
      </c>
      <c r="V461" s="87">
        <f t="shared" si="223"/>
        <v>3089.9291295207627</v>
      </c>
      <c r="W461" s="87">
        <f t="shared" si="224"/>
        <v>3092.1236814593431</v>
      </c>
      <c r="X461" s="87">
        <f t="shared" si="225"/>
        <v>3092.1236814593431</v>
      </c>
      <c r="Y461" s="87">
        <f t="shared" si="226"/>
        <v>3092.1236814593431</v>
      </c>
      <c r="Z461" s="87">
        <f t="shared" si="227"/>
        <v>3092.1236814593431</v>
      </c>
      <c r="AA461" s="88">
        <v>500</v>
      </c>
      <c r="AB461" s="89">
        <f>AA461*GDPdeflator!$C$25/$AI$18*10^3</f>
        <v>48.0747492686653</v>
      </c>
      <c r="AC461" s="90" t="e">
        <f>INDEX(Efficiencies!$D$8:$M$89,MATCH(C461,Efficiencies!$C$8:$C$89),MATCH(D461,Efficiencies!$D$7:$M$7))</f>
        <v>#REF!</v>
      </c>
      <c r="AD461" s="90" t="e">
        <f t="shared" si="213"/>
        <v>#REF!</v>
      </c>
      <c r="AE461" s="90" t="e">
        <f>INDEX(Efficiencies!$P$8:$Y$89,MATCH(C461,Efficiencies!$C$8:$C$89),MATCH(D461,Efficiencies!$P$7:$Y$7))</f>
        <v>#REF!</v>
      </c>
      <c r="AF461" s="90" t="e">
        <f t="shared" si="216"/>
        <v>#REF!</v>
      </c>
      <c r="AG461" s="90">
        <v>0</v>
      </c>
    </row>
    <row r="462" spans="1:33" x14ac:dyDescent="0.2">
      <c r="A462" s="92" t="s">
        <v>1735</v>
      </c>
      <c r="B462" s="248" t="s">
        <v>1736</v>
      </c>
      <c r="C462" s="40" t="s">
        <v>1716</v>
      </c>
      <c r="D462" s="40">
        <v>2050</v>
      </c>
      <c r="E462" s="86">
        <f>GDPdeflator!$C$32*INDEX(Costs!$E$7:$O$89,MATCH($C462,Costs!$C$7:$C$89,0),MATCH(E$7,Costs!$E$6:$O$6,0))</f>
        <v>26.668604087958926</v>
      </c>
      <c r="F462" s="86">
        <f>GDPdeflator!$C$36*INDEX(Costs!$E$7:$O$89,MATCH($C462,Costs!$C$7:$C$89,0),MATCH(F$7,Costs!$E$6:$O$6,0))</f>
        <v>28.831426254617533</v>
      </c>
      <c r="G462" s="86">
        <f>GDPdeflator!$C$38*INDEX(Costs!$E$7:$O$89,MATCH($C462,Costs!$C$7:$C$89,0),MATCH(G$7,Costs!$E$6:$O$6,0))</f>
        <v>35.271305879887997</v>
      </c>
      <c r="H462" s="86">
        <f>GDPdeflator!$C$38*INDEX(Costs!$E$7:$O$89,MATCH($C462,Costs!$C$7:$C$89,0),MATCH(H$7,Costs!$E$6:$O$6,0))</f>
        <v>35.963415458753161</v>
      </c>
      <c r="I462" s="86">
        <f>GDPdeflator!$C$38*INDEX(Costs!$E$7:$O$89,MATCH($C462,Costs!$C$7:$C$89,0),MATCH(I$7,Costs!$E$6:$O$6,0))</f>
        <v>36.962155863697831</v>
      </c>
      <c r="J462" s="86">
        <f>GDPdeflator!$C$38*INDEX(Costs!$E$7:$O$89,MATCH($C462,Costs!$C$7:$C$89,0),MATCH(J$7,Costs!$E$6:$O$6,0))</f>
        <v>36.988438505933217</v>
      </c>
      <c r="K462" s="86">
        <f>GDPdeflator!$C$38*INDEX(Costs!$E$7:$O$89,MATCH($C462,Costs!$C$7:$C$89,0),MATCH(K$7,Costs!$E$6:$O$6,0))</f>
        <v>37.005960267423482</v>
      </c>
      <c r="L462" s="86">
        <f>GDPdeflator!$C$38*INDEX(Costs!$E$7:$O$89,MATCH($C462,Costs!$C$7:$C$89,0),MATCH(L$7,Costs!$E$6:$O$6,0))</f>
        <v>37.032242909658869</v>
      </c>
      <c r="M462" s="86">
        <f>GDPdeflator!$C$38*INDEX(Costs!$E$7:$O$89,MATCH($C462,Costs!$C$7:$C$89,0),MATCH(M$7,Costs!$E$6:$O$6,0))</f>
        <v>37.032242909658869</v>
      </c>
      <c r="N462" s="86">
        <f>GDPdeflator!$C$38*INDEX(Costs!$E$7:$O$89,MATCH($C462,Costs!$C$7:$C$89,0),MATCH(N$7,Costs!$E$6:$O$6,0))</f>
        <v>37.032242909658869</v>
      </c>
      <c r="O462" s="86">
        <f>GDPdeflator!$C$38*INDEX(Costs!$E$7:$O$89,MATCH($C462,Costs!$C$7:$C$89,0),MATCH(O$7,Costs!$E$6:$O$6,0))</f>
        <v>37.032242909658869</v>
      </c>
      <c r="P462" s="87">
        <f t="shared" si="230"/>
        <v>2226.7790382832322</v>
      </c>
      <c r="Q462" s="87">
        <f t="shared" si="229"/>
        <v>2407.3706826139619</v>
      </c>
      <c r="R462" s="87">
        <f t="shared" si="219"/>
        <v>2945.0887015744761</v>
      </c>
      <c r="S462" s="87">
        <f t="shared" si="220"/>
        <v>3002.8785692904185</v>
      </c>
      <c r="T462" s="87">
        <f t="shared" si="221"/>
        <v>3086.2715429564619</v>
      </c>
      <c r="U462" s="87">
        <f t="shared" si="222"/>
        <v>3088.4660948950423</v>
      </c>
      <c r="V462" s="87">
        <f t="shared" si="223"/>
        <v>3089.9291295207627</v>
      </c>
      <c r="W462" s="87">
        <f t="shared" si="224"/>
        <v>3092.1236814593431</v>
      </c>
      <c r="X462" s="87">
        <f t="shared" si="225"/>
        <v>3092.1236814593431</v>
      </c>
      <c r="Y462" s="87">
        <f t="shared" si="226"/>
        <v>3092.1236814593431</v>
      </c>
      <c r="Z462" s="87">
        <f t="shared" si="227"/>
        <v>3092.1236814593431</v>
      </c>
      <c r="AA462" s="88">
        <v>500</v>
      </c>
      <c r="AB462" s="89">
        <f>AA462*GDPdeflator!$C$25/$AI$18*10^3</f>
        <v>48.0747492686653</v>
      </c>
      <c r="AC462" s="90" t="e">
        <f>INDEX(Efficiencies!$D$8:$M$89,MATCH(C462,Efficiencies!$C$8:$C$89),MATCH(D462,Efficiencies!$D$7:$M$7))</f>
        <v>#REF!</v>
      </c>
      <c r="AD462" s="90" t="e">
        <f t="shared" si="213"/>
        <v>#REF!</v>
      </c>
      <c r="AE462" s="90" t="e">
        <f>INDEX(Efficiencies!$P$8:$Y$89,MATCH(C462,Efficiencies!$C$8:$C$89),MATCH(D462,Efficiencies!$P$7:$Y$7))</f>
        <v>#REF!</v>
      </c>
      <c r="AF462" s="90" t="e">
        <f t="shared" si="216"/>
        <v>#REF!</v>
      </c>
      <c r="AG462" s="90">
        <v>0</v>
      </c>
    </row>
    <row r="463" spans="1:33" x14ac:dyDescent="0.2">
      <c r="A463" s="92" t="s">
        <v>1737</v>
      </c>
      <c r="B463" s="248" t="s">
        <v>1738</v>
      </c>
      <c r="C463" s="40" t="s">
        <v>1739</v>
      </c>
      <c r="D463" s="40">
        <v>2060</v>
      </c>
      <c r="E463" s="86">
        <f>GDPdeflator!$C$32*INDEX(Costs!$E$7:$O$89,MATCH($C463,Costs!$C$7:$C$89,0),MATCH(E$7,Costs!$E$6:$O$6,0))</f>
        <v>25.496464206141624</v>
      </c>
      <c r="F463" s="86">
        <f>GDPdeflator!$C$36*INDEX(Costs!$E$7:$O$89,MATCH($C463,Costs!$C$7:$C$89,0),MATCH(F$7,Costs!$E$6:$O$6,0))</f>
        <v>26.669069285521218</v>
      </c>
      <c r="G463" s="86">
        <f>GDPdeflator!$C$38*INDEX(Costs!$E$7:$O$89,MATCH($C463,Costs!$C$7:$C$89,0),MATCH(G$7,Costs!$E$6:$O$6,0))</f>
        <v>33.063563932115578</v>
      </c>
      <c r="H463" s="86">
        <f>GDPdeflator!$C$38*INDEX(Costs!$E$7:$O$89,MATCH($C463,Costs!$C$7:$C$89,0),MATCH(H$7,Costs!$E$6:$O$6,0))</f>
        <v>33.790717033961258</v>
      </c>
      <c r="I463" s="86">
        <f>GDPdeflator!$C$38*INDEX(Costs!$E$7:$O$89,MATCH($C463,Costs!$C$7:$C$89,0),MATCH(I$7,Costs!$E$6:$O$6,0))</f>
        <v>34.798218319651056</v>
      </c>
      <c r="J463" s="86">
        <f>GDPdeflator!$C$38*INDEX(Costs!$E$7:$O$89,MATCH($C463,Costs!$C$7:$C$89,0),MATCH(J$7,Costs!$E$6:$O$6,0))</f>
        <v>34.824500961886443</v>
      </c>
      <c r="K463" s="86">
        <f>GDPdeflator!$C$38*INDEX(Costs!$E$7:$O$89,MATCH($C463,Costs!$C$7:$C$89,0),MATCH(K$7,Costs!$E$6:$O$6,0))</f>
        <v>34.842022723376701</v>
      </c>
      <c r="L463" s="86">
        <f>GDPdeflator!$C$38*INDEX(Costs!$E$7:$O$89,MATCH($C463,Costs!$C$7:$C$89,0),MATCH(L$7,Costs!$E$6:$O$6,0))</f>
        <v>34.86830536561208</v>
      </c>
      <c r="M463" s="86">
        <f>GDPdeflator!$C$38*INDEX(Costs!$E$7:$O$89,MATCH($C463,Costs!$C$7:$C$89,0),MATCH(M$7,Costs!$E$6:$O$6,0))</f>
        <v>34.86830536561208</v>
      </c>
      <c r="N463" s="86">
        <f>GDPdeflator!$C$38*INDEX(Costs!$E$7:$O$89,MATCH($C463,Costs!$C$7:$C$89,0),MATCH(N$7,Costs!$E$6:$O$6,0))</f>
        <v>34.86830536561208</v>
      </c>
      <c r="O463" s="86">
        <f>GDPdeflator!$C$38*INDEX(Costs!$E$7:$O$89,MATCH($C463,Costs!$C$7:$C$89,0),MATCH(O$7,Costs!$E$6:$O$6,0))</f>
        <v>34.86830536561208</v>
      </c>
      <c r="P463" s="87">
        <f>E463/$AI$18*10^6</f>
        <v>2128.9075295174239</v>
      </c>
      <c r="Q463" s="87">
        <f t="shared" si="229"/>
        <v>2226.8178814179146</v>
      </c>
      <c r="R463" s="87">
        <f t="shared" si="219"/>
        <v>2760.7463387337489</v>
      </c>
      <c r="S463" s="87">
        <f t="shared" si="220"/>
        <v>2821.4622757011316</v>
      </c>
      <c r="T463" s="87">
        <f t="shared" si="221"/>
        <v>2905.5867666800355</v>
      </c>
      <c r="U463" s="87">
        <f t="shared" si="222"/>
        <v>2907.7813186186154</v>
      </c>
      <c r="V463" s="87">
        <f t="shared" si="223"/>
        <v>2909.2443532443353</v>
      </c>
      <c r="W463" s="87">
        <f t="shared" si="224"/>
        <v>2911.4389051829148</v>
      </c>
      <c r="X463" s="87">
        <f t="shared" si="225"/>
        <v>2911.4389051829148</v>
      </c>
      <c r="Y463" s="87">
        <f t="shared" si="226"/>
        <v>2911.4389051829148</v>
      </c>
      <c r="Z463" s="87">
        <f t="shared" si="227"/>
        <v>2911.4389051829148</v>
      </c>
      <c r="AA463" s="88">
        <v>500</v>
      </c>
      <c r="AB463" s="89">
        <f>AA463*GDPdeflator!$C$25/$AI$18*10^3</f>
        <v>48.0747492686653</v>
      </c>
      <c r="AC463" s="90" t="e">
        <f>INDEX(Efficiencies!$D$8:$M$89,MATCH(C463,Efficiencies!$C$8:$C$89),MATCH(D463,Efficiencies!$D$7:$M$7))</f>
        <v>#REF!</v>
      </c>
      <c r="AD463" s="90" t="e">
        <f t="shared" si="213"/>
        <v>#REF!</v>
      </c>
      <c r="AE463" s="90" t="e">
        <f>INDEX(Efficiencies!$P$8:$Y$89,MATCH(C463,Efficiencies!$C$8:$C$89),MATCH(D463,Efficiencies!$P$7:$Y$7))</f>
        <v>#REF!</v>
      </c>
      <c r="AF463" s="90" t="e">
        <f t="shared" si="216"/>
        <v>#REF!</v>
      </c>
      <c r="AG463" s="90">
        <v>0</v>
      </c>
    </row>
    <row r="464" spans="1:33" x14ac:dyDescent="0.2">
      <c r="A464" s="92" t="s">
        <v>1740</v>
      </c>
      <c r="B464" s="248" t="s">
        <v>1741</v>
      </c>
      <c r="C464" s="40" t="s">
        <v>1739</v>
      </c>
      <c r="D464" s="40">
        <v>2005</v>
      </c>
      <c r="E464" s="86">
        <f>GDPdeflator!$C$32*INDEX(Costs!$E$7:$O$89,MATCH($C464,Costs!$C$7:$C$89,0),MATCH(E$7,Costs!$E$6:$O$6,0))</f>
        <v>25.496464206141624</v>
      </c>
      <c r="F464" s="86">
        <f>GDPdeflator!$C$36*INDEX(Costs!$E$7:$O$89,MATCH($C464,Costs!$C$7:$C$89,0),MATCH(F$7,Costs!$E$6:$O$6,0))</f>
        <v>26.669069285521218</v>
      </c>
      <c r="G464" s="86">
        <f>GDPdeflator!$C$38*INDEX(Costs!$E$7:$O$89,MATCH($C464,Costs!$C$7:$C$89,0),MATCH(G$7,Costs!$E$6:$O$6,0))</f>
        <v>33.063563932115578</v>
      </c>
      <c r="H464" s="86">
        <f>GDPdeflator!$C$38*INDEX(Costs!$E$7:$O$89,MATCH($C464,Costs!$C$7:$C$89,0),MATCH(H$7,Costs!$E$6:$O$6,0))</f>
        <v>33.790717033961258</v>
      </c>
      <c r="I464" s="86">
        <f>GDPdeflator!$C$38*INDEX(Costs!$E$7:$O$89,MATCH($C464,Costs!$C$7:$C$89,0),MATCH(I$7,Costs!$E$6:$O$6,0))</f>
        <v>34.798218319651056</v>
      </c>
      <c r="J464" s="86">
        <f>GDPdeflator!$C$38*INDEX(Costs!$E$7:$O$89,MATCH($C464,Costs!$C$7:$C$89,0),MATCH(J$7,Costs!$E$6:$O$6,0))</f>
        <v>34.824500961886443</v>
      </c>
      <c r="K464" s="86">
        <f>GDPdeflator!$C$38*INDEX(Costs!$E$7:$O$89,MATCH($C464,Costs!$C$7:$C$89,0),MATCH(K$7,Costs!$E$6:$O$6,0))</f>
        <v>34.842022723376701</v>
      </c>
      <c r="L464" s="86">
        <f>GDPdeflator!$C$38*INDEX(Costs!$E$7:$O$89,MATCH($C464,Costs!$C$7:$C$89,0),MATCH(L$7,Costs!$E$6:$O$6,0))</f>
        <v>34.86830536561208</v>
      </c>
      <c r="M464" s="86">
        <f>GDPdeflator!$C$38*INDEX(Costs!$E$7:$O$89,MATCH($C464,Costs!$C$7:$C$89,0),MATCH(M$7,Costs!$E$6:$O$6,0))</f>
        <v>34.86830536561208</v>
      </c>
      <c r="N464" s="86">
        <f>GDPdeflator!$C$38*INDEX(Costs!$E$7:$O$89,MATCH($C464,Costs!$C$7:$C$89,0),MATCH(N$7,Costs!$E$6:$O$6,0))</f>
        <v>34.86830536561208</v>
      </c>
      <c r="O464" s="86">
        <f>GDPdeflator!$C$38*INDEX(Costs!$E$7:$O$89,MATCH($C464,Costs!$C$7:$C$89,0),MATCH(O$7,Costs!$E$6:$O$6,0))</f>
        <v>34.86830536561208</v>
      </c>
      <c r="P464" s="87">
        <f t="shared" ref="P464:P473" si="231">E464/$AI$18*10^6</f>
        <v>2128.9075295174239</v>
      </c>
      <c r="Q464" s="87">
        <f t="shared" si="229"/>
        <v>2226.8178814179146</v>
      </c>
      <c r="R464" s="87">
        <f t="shared" si="219"/>
        <v>2760.7463387337489</v>
      </c>
      <c r="S464" s="87">
        <f t="shared" si="220"/>
        <v>2821.4622757011316</v>
      </c>
      <c r="T464" s="87">
        <f t="shared" si="221"/>
        <v>2905.5867666800355</v>
      </c>
      <c r="U464" s="87">
        <f t="shared" si="222"/>
        <v>2907.7813186186154</v>
      </c>
      <c r="V464" s="87">
        <f t="shared" si="223"/>
        <v>2909.2443532443353</v>
      </c>
      <c r="W464" s="87">
        <f t="shared" si="224"/>
        <v>2911.4389051829148</v>
      </c>
      <c r="X464" s="87">
        <f t="shared" si="225"/>
        <v>2911.4389051829148</v>
      </c>
      <c r="Y464" s="87">
        <f t="shared" si="226"/>
        <v>2911.4389051829148</v>
      </c>
      <c r="Z464" s="87">
        <f t="shared" si="227"/>
        <v>2911.4389051829148</v>
      </c>
      <c r="AA464" s="88">
        <v>500</v>
      </c>
      <c r="AB464" s="89">
        <f>AA464*GDPdeflator!$C$25/$AI$18*10^3</f>
        <v>48.0747492686653</v>
      </c>
      <c r="AC464" s="90" t="e">
        <f>INDEX(Efficiencies!$D$8:$M$89,MATCH(C464,Efficiencies!$C$8:$C$89),MATCH(D464,Efficiencies!$D$7:$M$7))</f>
        <v>#REF!</v>
      </c>
      <c r="AD464" s="90" t="e">
        <f t="shared" ref="AD464:AD518" si="232">AC464/($AI$11*$AI$15*10 ^ 9)</f>
        <v>#REF!</v>
      </c>
      <c r="AE464" s="90" t="e">
        <f>INDEX(Efficiencies!$P$8:$Y$89,MATCH(C464,Efficiencies!$C$8:$C$89),MATCH(D464,Efficiencies!$P$7:$Y$7))</f>
        <v>#REF!</v>
      </c>
      <c r="AF464" s="90" t="e">
        <f t="shared" si="216"/>
        <v>#REF!</v>
      </c>
      <c r="AG464" s="90">
        <v>0</v>
      </c>
    </row>
    <row r="465" spans="1:33" x14ac:dyDescent="0.2">
      <c r="A465" s="92" t="s">
        <v>1742</v>
      </c>
      <c r="B465" s="248" t="s">
        <v>1743</v>
      </c>
      <c r="C465" s="40" t="s">
        <v>1739</v>
      </c>
      <c r="D465" s="40">
        <v>2010</v>
      </c>
      <c r="E465" s="86">
        <f>GDPdeflator!$C$32*INDEX(Costs!$E$7:$O$89,MATCH($C465,Costs!$C$7:$C$89,0),MATCH(E$7,Costs!$E$6:$O$6,0))</f>
        <v>25.496464206141624</v>
      </c>
      <c r="F465" s="86">
        <f>GDPdeflator!$C$36*INDEX(Costs!$E$7:$O$89,MATCH($C465,Costs!$C$7:$C$89,0),MATCH(F$7,Costs!$E$6:$O$6,0))</f>
        <v>26.669069285521218</v>
      </c>
      <c r="G465" s="86">
        <f>GDPdeflator!$C$38*INDEX(Costs!$E$7:$O$89,MATCH($C465,Costs!$C$7:$C$89,0),MATCH(G$7,Costs!$E$6:$O$6,0))</f>
        <v>33.063563932115578</v>
      </c>
      <c r="H465" s="86">
        <f>GDPdeflator!$C$38*INDEX(Costs!$E$7:$O$89,MATCH($C465,Costs!$C$7:$C$89,0),MATCH(H$7,Costs!$E$6:$O$6,0))</f>
        <v>33.790717033961258</v>
      </c>
      <c r="I465" s="86">
        <f>GDPdeflator!$C$38*INDEX(Costs!$E$7:$O$89,MATCH($C465,Costs!$C$7:$C$89,0),MATCH(I$7,Costs!$E$6:$O$6,0))</f>
        <v>34.798218319651056</v>
      </c>
      <c r="J465" s="86">
        <f>GDPdeflator!$C$38*INDEX(Costs!$E$7:$O$89,MATCH($C465,Costs!$C$7:$C$89,0),MATCH(J$7,Costs!$E$6:$O$6,0))</f>
        <v>34.824500961886443</v>
      </c>
      <c r="K465" s="86">
        <f>GDPdeflator!$C$38*INDEX(Costs!$E$7:$O$89,MATCH($C465,Costs!$C$7:$C$89,0),MATCH(K$7,Costs!$E$6:$O$6,0))</f>
        <v>34.842022723376701</v>
      </c>
      <c r="L465" s="86">
        <f>GDPdeflator!$C$38*INDEX(Costs!$E$7:$O$89,MATCH($C465,Costs!$C$7:$C$89,0),MATCH(L$7,Costs!$E$6:$O$6,0))</f>
        <v>34.86830536561208</v>
      </c>
      <c r="M465" s="86">
        <f>GDPdeflator!$C$38*INDEX(Costs!$E$7:$O$89,MATCH($C465,Costs!$C$7:$C$89,0),MATCH(M$7,Costs!$E$6:$O$6,0))</f>
        <v>34.86830536561208</v>
      </c>
      <c r="N465" s="86">
        <f>GDPdeflator!$C$38*INDEX(Costs!$E$7:$O$89,MATCH($C465,Costs!$C$7:$C$89,0),MATCH(N$7,Costs!$E$6:$O$6,0))</f>
        <v>34.86830536561208</v>
      </c>
      <c r="O465" s="86">
        <f>GDPdeflator!$C$38*INDEX(Costs!$E$7:$O$89,MATCH($C465,Costs!$C$7:$C$89,0),MATCH(O$7,Costs!$E$6:$O$6,0))</f>
        <v>34.86830536561208</v>
      </c>
      <c r="P465" s="87">
        <f t="shared" si="231"/>
        <v>2128.9075295174239</v>
      </c>
      <c r="Q465" s="87">
        <f t="shared" si="229"/>
        <v>2226.8178814179146</v>
      </c>
      <c r="R465" s="87">
        <f t="shared" si="219"/>
        <v>2760.7463387337489</v>
      </c>
      <c r="S465" s="87">
        <f t="shared" si="220"/>
        <v>2821.4622757011316</v>
      </c>
      <c r="T465" s="87">
        <f t="shared" si="221"/>
        <v>2905.5867666800355</v>
      </c>
      <c r="U465" s="87">
        <f t="shared" si="222"/>
        <v>2907.7813186186154</v>
      </c>
      <c r="V465" s="87">
        <f t="shared" si="223"/>
        <v>2909.2443532443353</v>
      </c>
      <c r="W465" s="87">
        <f t="shared" si="224"/>
        <v>2911.4389051829148</v>
      </c>
      <c r="X465" s="87">
        <f t="shared" si="225"/>
        <v>2911.4389051829148</v>
      </c>
      <c r="Y465" s="87">
        <f t="shared" si="226"/>
        <v>2911.4389051829148</v>
      </c>
      <c r="Z465" s="87">
        <f t="shared" si="227"/>
        <v>2911.4389051829148</v>
      </c>
      <c r="AA465" s="88">
        <v>500</v>
      </c>
      <c r="AB465" s="89">
        <f>AA465*GDPdeflator!$C$25/$AI$18*10^3</f>
        <v>48.0747492686653</v>
      </c>
      <c r="AC465" s="90" t="e">
        <f>INDEX(Efficiencies!$D$8:$M$89,MATCH(C465,Efficiencies!$C$8:$C$89),MATCH(D465,Efficiencies!$D$7:$M$7))</f>
        <v>#REF!</v>
      </c>
      <c r="AD465" s="90" t="e">
        <f t="shared" si="232"/>
        <v>#REF!</v>
      </c>
      <c r="AE465" s="90" t="e">
        <f>INDEX(Efficiencies!$P$8:$Y$89,MATCH(C465,Efficiencies!$C$8:$C$89),MATCH(D465,Efficiencies!$P$7:$Y$7))</f>
        <v>#REF!</v>
      </c>
      <c r="AF465" s="90" t="e">
        <f t="shared" si="216"/>
        <v>#REF!</v>
      </c>
      <c r="AG465" s="90">
        <v>0</v>
      </c>
    </row>
    <row r="466" spans="1:33" x14ac:dyDescent="0.2">
      <c r="A466" s="92" t="s">
        <v>1744</v>
      </c>
      <c r="B466" s="248" t="s">
        <v>1745</v>
      </c>
      <c r="C466" s="40" t="s">
        <v>1739</v>
      </c>
      <c r="D466" s="40">
        <v>2015</v>
      </c>
      <c r="E466" s="86">
        <f>GDPdeflator!$C$32*INDEX(Costs!$E$7:$O$89,MATCH($C466,Costs!$C$7:$C$89,0),MATCH(E$7,Costs!$E$6:$O$6,0))</f>
        <v>25.496464206141624</v>
      </c>
      <c r="F466" s="86">
        <f>GDPdeflator!$C$36*INDEX(Costs!$E$7:$O$89,MATCH($C466,Costs!$C$7:$C$89,0),MATCH(F$7,Costs!$E$6:$O$6,0))</f>
        <v>26.669069285521218</v>
      </c>
      <c r="G466" s="86">
        <f>GDPdeflator!$C$38*INDEX(Costs!$E$7:$O$89,MATCH($C466,Costs!$C$7:$C$89,0),MATCH(G$7,Costs!$E$6:$O$6,0))</f>
        <v>33.063563932115578</v>
      </c>
      <c r="H466" s="86">
        <f>GDPdeflator!$C$38*INDEX(Costs!$E$7:$O$89,MATCH($C466,Costs!$C$7:$C$89,0),MATCH(H$7,Costs!$E$6:$O$6,0))</f>
        <v>33.790717033961258</v>
      </c>
      <c r="I466" s="86">
        <f>GDPdeflator!$C$38*INDEX(Costs!$E$7:$O$89,MATCH($C466,Costs!$C$7:$C$89,0),MATCH(I$7,Costs!$E$6:$O$6,0))</f>
        <v>34.798218319651056</v>
      </c>
      <c r="J466" s="86">
        <f>GDPdeflator!$C$38*INDEX(Costs!$E$7:$O$89,MATCH($C466,Costs!$C$7:$C$89,0),MATCH(J$7,Costs!$E$6:$O$6,0))</f>
        <v>34.824500961886443</v>
      </c>
      <c r="K466" s="86">
        <f>GDPdeflator!$C$38*INDEX(Costs!$E$7:$O$89,MATCH($C466,Costs!$C$7:$C$89,0),MATCH(K$7,Costs!$E$6:$O$6,0))</f>
        <v>34.842022723376701</v>
      </c>
      <c r="L466" s="86">
        <f>GDPdeflator!$C$38*INDEX(Costs!$E$7:$O$89,MATCH($C466,Costs!$C$7:$C$89,0),MATCH(L$7,Costs!$E$6:$O$6,0))</f>
        <v>34.86830536561208</v>
      </c>
      <c r="M466" s="86">
        <f>GDPdeflator!$C$38*INDEX(Costs!$E$7:$O$89,MATCH($C466,Costs!$C$7:$C$89,0),MATCH(M$7,Costs!$E$6:$O$6,0))</f>
        <v>34.86830536561208</v>
      </c>
      <c r="N466" s="86">
        <f>GDPdeflator!$C$38*INDEX(Costs!$E$7:$O$89,MATCH($C466,Costs!$C$7:$C$89,0),MATCH(N$7,Costs!$E$6:$O$6,0))</f>
        <v>34.86830536561208</v>
      </c>
      <c r="O466" s="86">
        <f>GDPdeflator!$C$38*INDEX(Costs!$E$7:$O$89,MATCH($C466,Costs!$C$7:$C$89,0),MATCH(O$7,Costs!$E$6:$O$6,0))</f>
        <v>34.86830536561208</v>
      </c>
      <c r="P466" s="87">
        <f t="shared" si="231"/>
        <v>2128.9075295174239</v>
      </c>
      <c r="Q466" s="87">
        <f t="shared" si="229"/>
        <v>2226.8178814179146</v>
      </c>
      <c r="R466" s="87">
        <f t="shared" si="219"/>
        <v>2760.7463387337489</v>
      </c>
      <c r="S466" s="87">
        <f t="shared" si="220"/>
        <v>2821.4622757011316</v>
      </c>
      <c r="T466" s="87">
        <f t="shared" si="221"/>
        <v>2905.5867666800355</v>
      </c>
      <c r="U466" s="87">
        <f t="shared" si="222"/>
        <v>2907.7813186186154</v>
      </c>
      <c r="V466" s="87">
        <f t="shared" si="223"/>
        <v>2909.2443532443353</v>
      </c>
      <c r="W466" s="87">
        <f t="shared" si="224"/>
        <v>2911.4389051829148</v>
      </c>
      <c r="X466" s="87">
        <f t="shared" si="225"/>
        <v>2911.4389051829148</v>
      </c>
      <c r="Y466" s="87">
        <f t="shared" si="226"/>
        <v>2911.4389051829148</v>
      </c>
      <c r="Z466" s="87">
        <f t="shared" si="227"/>
        <v>2911.4389051829148</v>
      </c>
      <c r="AA466" s="88">
        <v>500</v>
      </c>
      <c r="AB466" s="89">
        <f>AA466*GDPdeflator!$C$25/$AI$18*10^3</f>
        <v>48.0747492686653</v>
      </c>
      <c r="AC466" s="90" t="e">
        <f>INDEX(Efficiencies!$D$8:$M$89,MATCH(C466,Efficiencies!$C$8:$C$89),MATCH(D466,Efficiencies!$D$7:$M$7))</f>
        <v>#REF!</v>
      </c>
      <c r="AD466" s="90" t="e">
        <f t="shared" si="232"/>
        <v>#REF!</v>
      </c>
      <c r="AE466" s="90" t="e">
        <f>INDEX(Efficiencies!$P$8:$Y$89,MATCH(C466,Efficiencies!$C$8:$C$89),MATCH(D466,Efficiencies!$P$7:$Y$7))</f>
        <v>#REF!</v>
      </c>
      <c r="AF466" s="90" t="e">
        <f t="shared" si="216"/>
        <v>#REF!</v>
      </c>
      <c r="AG466" s="90">
        <v>0</v>
      </c>
    </row>
    <row r="467" spans="1:33" x14ac:dyDescent="0.2">
      <c r="A467" s="92" t="s">
        <v>1746</v>
      </c>
      <c r="B467" s="248" t="s">
        <v>1747</v>
      </c>
      <c r="C467" s="40" t="s">
        <v>1739</v>
      </c>
      <c r="D467" s="40">
        <v>2020</v>
      </c>
      <c r="E467" s="86">
        <f>GDPdeflator!$C$32*INDEX(Costs!$E$7:$O$89,MATCH($C467,Costs!$C$7:$C$89,0),MATCH(E$7,Costs!$E$6:$O$6,0))</f>
        <v>25.496464206141624</v>
      </c>
      <c r="F467" s="86">
        <f>GDPdeflator!$C$36*INDEX(Costs!$E$7:$O$89,MATCH($C467,Costs!$C$7:$C$89,0),MATCH(F$7,Costs!$E$6:$O$6,0))</f>
        <v>26.669069285521218</v>
      </c>
      <c r="G467" s="86">
        <f>GDPdeflator!$C$38*INDEX(Costs!$E$7:$O$89,MATCH($C467,Costs!$C$7:$C$89,0),MATCH(G$7,Costs!$E$6:$O$6,0))</f>
        <v>33.063563932115578</v>
      </c>
      <c r="H467" s="86">
        <f>GDPdeflator!$C$38*INDEX(Costs!$E$7:$O$89,MATCH($C467,Costs!$C$7:$C$89,0),MATCH(H$7,Costs!$E$6:$O$6,0))</f>
        <v>33.790717033961258</v>
      </c>
      <c r="I467" s="86">
        <f>GDPdeflator!$C$38*INDEX(Costs!$E$7:$O$89,MATCH($C467,Costs!$C$7:$C$89,0),MATCH(I$7,Costs!$E$6:$O$6,0))</f>
        <v>34.798218319651056</v>
      </c>
      <c r="J467" s="86">
        <f>GDPdeflator!$C$38*INDEX(Costs!$E$7:$O$89,MATCH($C467,Costs!$C$7:$C$89,0),MATCH(J$7,Costs!$E$6:$O$6,0))</f>
        <v>34.824500961886443</v>
      </c>
      <c r="K467" s="86">
        <f>GDPdeflator!$C$38*INDEX(Costs!$E$7:$O$89,MATCH($C467,Costs!$C$7:$C$89,0),MATCH(K$7,Costs!$E$6:$O$6,0))</f>
        <v>34.842022723376701</v>
      </c>
      <c r="L467" s="86">
        <f>GDPdeflator!$C$38*INDEX(Costs!$E$7:$O$89,MATCH($C467,Costs!$C$7:$C$89,0),MATCH(L$7,Costs!$E$6:$O$6,0))</f>
        <v>34.86830536561208</v>
      </c>
      <c r="M467" s="86">
        <f>GDPdeflator!$C$38*INDEX(Costs!$E$7:$O$89,MATCH($C467,Costs!$C$7:$C$89,0),MATCH(M$7,Costs!$E$6:$O$6,0))</f>
        <v>34.86830536561208</v>
      </c>
      <c r="N467" s="86">
        <f>GDPdeflator!$C$38*INDEX(Costs!$E$7:$O$89,MATCH($C467,Costs!$C$7:$C$89,0),MATCH(N$7,Costs!$E$6:$O$6,0))</f>
        <v>34.86830536561208</v>
      </c>
      <c r="O467" s="86">
        <f>GDPdeflator!$C$38*INDEX(Costs!$E$7:$O$89,MATCH($C467,Costs!$C$7:$C$89,0),MATCH(O$7,Costs!$E$6:$O$6,0))</f>
        <v>34.86830536561208</v>
      </c>
      <c r="P467" s="87">
        <f t="shared" si="231"/>
        <v>2128.9075295174239</v>
      </c>
      <c r="Q467" s="87">
        <f t="shared" si="229"/>
        <v>2226.8178814179146</v>
      </c>
      <c r="R467" s="87">
        <f t="shared" si="219"/>
        <v>2760.7463387337489</v>
      </c>
      <c r="S467" s="87">
        <f t="shared" si="220"/>
        <v>2821.4622757011316</v>
      </c>
      <c r="T467" s="87">
        <f t="shared" si="221"/>
        <v>2905.5867666800355</v>
      </c>
      <c r="U467" s="87">
        <f t="shared" si="222"/>
        <v>2907.7813186186154</v>
      </c>
      <c r="V467" s="87">
        <f t="shared" si="223"/>
        <v>2909.2443532443353</v>
      </c>
      <c r="W467" s="87">
        <f t="shared" si="224"/>
        <v>2911.4389051829148</v>
      </c>
      <c r="X467" s="87">
        <f t="shared" si="225"/>
        <v>2911.4389051829148</v>
      </c>
      <c r="Y467" s="87">
        <f t="shared" si="226"/>
        <v>2911.4389051829148</v>
      </c>
      <c r="Z467" s="87">
        <f t="shared" si="227"/>
        <v>2911.4389051829148</v>
      </c>
      <c r="AA467" s="88">
        <v>500</v>
      </c>
      <c r="AB467" s="89">
        <f>AA467*GDPdeflator!$C$25/$AI$18*10^3</f>
        <v>48.0747492686653</v>
      </c>
      <c r="AC467" s="90" t="e">
        <f>INDEX(Efficiencies!$D$8:$M$89,MATCH(C467,Efficiencies!$C$8:$C$89),MATCH(D467,Efficiencies!$D$7:$M$7))</f>
        <v>#REF!</v>
      </c>
      <c r="AD467" s="90" t="e">
        <f t="shared" si="232"/>
        <v>#REF!</v>
      </c>
      <c r="AE467" s="90" t="e">
        <f>INDEX(Efficiencies!$P$8:$Y$89,MATCH(C467,Efficiencies!$C$8:$C$89),MATCH(D467,Efficiencies!$P$7:$Y$7))</f>
        <v>#REF!</v>
      </c>
      <c r="AF467" s="90" t="e">
        <f t="shared" si="216"/>
        <v>#REF!</v>
      </c>
      <c r="AG467" s="90">
        <v>0</v>
      </c>
    </row>
    <row r="468" spans="1:33" x14ac:dyDescent="0.2">
      <c r="A468" s="92" t="s">
        <v>1748</v>
      </c>
      <c r="B468" s="248" t="s">
        <v>1749</v>
      </c>
      <c r="C468" s="40" t="s">
        <v>1739</v>
      </c>
      <c r="D468" s="40">
        <v>2025</v>
      </c>
      <c r="E468" s="86">
        <f>GDPdeflator!$C$32*INDEX(Costs!$E$7:$O$89,MATCH($C468,Costs!$C$7:$C$89,0),MATCH(E$7,Costs!$E$6:$O$6,0))</f>
        <v>25.496464206141624</v>
      </c>
      <c r="F468" s="86">
        <f>GDPdeflator!$C$36*INDEX(Costs!$E$7:$O$89,MATCH($C468,Costs!$C$7:$C$89,0),MATCH(F$7,Costs!$E$6:$O$6,0))</f>
        <v>26.669069285521218</v>
      </c>
      <c r="G468" s="86">
        <f>GDPdeflator!$C$38*INDEX(Costs!$E$7:$O$89,MATCH($C468,Costs!$C$7:$C$89,0),MATCH(G$7,Costs!$E$6:$O$6,0))</f>
        <v>33.063563932115578</v>
      </c>
      <c r="H468" s="86">
        <f>GDPdeflator!$C$38*INDEX(Costs!$E$7:$O$89,MATCH($C468,Costs!$C$7:$C$89,0),MATCH(H$7,Costs!$E$6:$O$6,0))</f>
        <v>33.790717033961258</v>
      </c>
      <c r="I468" s="86">
        <f>GDPdeflator!$C$38*INDEX(Costs!$E$7:$O$89,MATCH($C468,Costs!$C$7:$C$89,0),MATCH(I$7,Costs!$E$6:$O$6,0))</f>
        <v>34.798218319651056</v>
      </c>
      <c r="J468" s="86">
        <f>GDPdeflator!$C$38*INDEX(Costs!$E$7:$O$89,MATCH($C468,Costs!$C$7:$C$89,0),MATCH(J$7,Costs!$E$6:$O$6,0))</f>
        <v>34.824500961886443</v>
      </c>
      <c r="K468" s="86">
        <f>GDPdeflator!$C$38*INDEX(Costs!$E$7:$O$89,MATCH($C468,Costs!$C$7:$C$89,0),MATCH(K$7,Costs!$E$6:$O$6,0))</f>
        <v>34.842022723376701</v>
      </c>
      <c r="L468" s="86">
        <f>GDPdeflator!$C$38*INDEX(Costs!$E$7:$O$89,MATCH($C468,Costs!$C$7:$C$89,0),MATCH(L$7,Costs!$E$6:$O$6,0))</f>
        <v>34.86830536561208</v>
      </c>
      <c r="M468" s="86">
        <f>GDPdeflator!$C$38*INDEX(Costs!$E$7:$O$89,MATCH($C468,Costs!$C$7:$C$89,0),MATCH(M$7,Costs!$E$6:$O$6,0))</f>
        <v>34.86830536561208</v>
      </c>
      <c r="N468" s="86">
        <f>GDPdeflator!$C$38*INDEX(Costs!$E$7:$O$89,MATCH($C468,Costs!$C$7:$C$89,0),MATCH(N$7,Costs!$E$6:$O$6,0))</f>
        <v>34.86830536561208</v>
      </c>
      <c r="O468" s="86">
        <f>GDPdeflator!$C$38*INDEX(Costs!$E$7:$O$89,MATCH($C468,Costs!$C$7:$C$89,0),MATCH(O$7,Costs!$E$6:$O$6,0))</f>
        <v>34.86830536561208</v>
      </c>
      <c r="P468" s="87">
        <f t="shared" si="231"/>
        <v>2128.9075295174239</v>
      </c>
      <c r="Q468" s="87">
        <f t="shared" si="229"/>
        <v>2226.8178814179146</v>
      </c>
      <c r="R468" s="87">
        <f t="shared" si="219"/>
        <v>2760.7463387337489</v>
      </c>
      <c r="S468" s="87">
        <f t="shared" si="220"/>
        <v>2821.4622757011316</v>
      </c>
      <c r="T468" s="87">
        <f t="shared" si="221"/>
        <v>2905.5867666800355</v>
      </c>
      <c r="U468" s="87">
        <f t="shared" si="222"/>
        <v>2907.7813186186154</v>
      </c>
      <c r="V468" s="87">
        <f t="shared" si="223"/>
        <v>2909.2443532443353</v>
      </c>
      <c r="W468" s="87">
        <f t="shared" si="224"/>
        <v>2911.4389051829148</v>
      </c>
      <c r="X468" s="87">
        <f t="shared" si="225"/>
        <v>2911.4389051829148</v>
      </c>
      <c r="Y468" s="87">
        <f t="shared" si="226"/>
        <v>2911.4389051829148</v>
      </c>
      <c r="Z468" s="87">
        <f t="shared" si="227"/>
        <v>2911.4389051829148</v>
      </c>
      <c r="AA468" s="88">
        <v>500</v>
      </c>
      <c r="AB468" s="89">
        <f>AA468*GDPdeflator!$C$25/$AI$18*10^3</f>
        <v>48.0747492686653</v>
      </c>
      <c r="AC468" s="90" t="e">
        <f>INDEX(Efficiencies!$D$8:$M$89,MATCH(C468,Efficiencies!$C$8:$C$89),MATCH(D468,Efficiencies!$D$7:$M$7))</f>
        <v>#REF!</v>
      </c>
      <c r="AD468" s="90" t="e">
        <f t="shared" si="232"/>
        <v>#REF!</v>
      </c>
      <c r="AE468" s="90" t="e">
        <f>INDEX(Efficiencies!$P$8:$Y$89,MATCH(C468,Efficiencies!$C$8:$C$89),MATCH(D468,Efficiencies!$P$7:$Y$7))</f>
        <v>#REF!</v>
      </c>
      <c r="AF468" s="90" t="e">
        <f t="shared" si="216"/>
        <v>#REF!</v>
      </c>
      <c r="AG468" s="90">
        <v>0</v>
      </c>
    </row>
    <row r="469" spans="1:33" x14ac:dyDescent="0.2">
      <c r="A469" s="92" t="s">
        <v>1750</v>
      </c>
      <c r="B469" s="248" t="s">
        <v>1751</v>
      </c>
      <c r="C469" s="40" t="s">
        <v>1739</v>
      </c>
      <c r="D469" s="40">
        <v>2030</v>
      </c>
      <c r="E469" s="86">
        <f>GDPdeflator!$C$32*INDEX(Costs!$E$7:$O$89,MATCH($C469,Costs!$C$7:$C$89,0),MATCH(E$7,Costs!$E$6:$O$6,0))</f>
        <v>25.496464206141624</v>
      </c>
      <c r="F469" s="86">
        <f>GDPdeflator!$C$36*INDEX(Costs!$E$7:$O$89,MATCH($C469,Costs!$C$7:$C$89,0),MATCH(F$7,Costs!$E$6:$O$6,0))</f>
        <v>26.669069285521218</v>
      </c>
      <c r="G469" s="86">
        <f>GDPdeflator!$C$38*INDEX(Costs!$E$7:$O$89,MATCH($C469,Costs!$C$7:$C$89,0),MATCH(G$7,Costs!$E$6:$O$6,0))</f>
        <v>33.063563932115578</v>
      </c>
      <c r="H469" s="86">
        <f>GDPdeflator!$C$38*INDEX(Costs!$E$7:$O$89,MATCH($C469,Costs!$C$7:$C$89,0),MATCH(H$7,Costs!$E$6:$O$6,0))</f>
        <v>33.790717033961258</v>
      </c>
      <c r="I469" s="86">
        <f>GDPdeflator!$C$38*INDEX(Costs!$E$7:$O$89,MATCH($C469,Costs!$C$7:$C$89,0),MATCH(I$7,Costs!$E$6:$O$6,0))</f>
        <v>34.798218319651056</v>
      </c>
      <c r="J469" s="86">
        <f>GDPdeflator!$C$38*INDEX(Costs!$E$7:$O$89,MATCH($C469,Costs!$C$7:$C$89,0),MATCH(J$7,Costs!$E$6:$O$6,0))</f>
        <v>34.824500961886443</v>
      </c>
      <c r="K469" s="86">
        <f>GDPdeflator!$C$38*INDEX(Costs!$E$7:$O$89,MATCH($C469,Costs!$C$7:$C$89,0),MATCH(K$7,Costs!$E$6:$O$6,0))</f>
        <v>34.842022723376701</v>
      </c>
      <c r="L469" s="86">
        <f>GDPdeflator!$C$38*INDEX(Costs!$E$7:$O$89,MATCH($C469,Costs!$C$7:$C$89,0),MATCH(L$7,Costs!$E$6:$O$6,0))</f>
        <v>34.86830536561208</v>
      </c>
      <c r="M469" s="86">
        <f>GDPdeflator!$C$38*INDEX(Costs!$E$7:$O$89,MATCH($C469,Costs!$C$7:$C$89,0),MATCH(M$7,Costs!$E$6:$O$6,0))</f>
        <v>34.86830536561208</v>
      </c>
      <c r="N469" s="86">
        <f>GDPdeflator!$C$38*INDEX(Costs!$E$7:$O$89,MATCH($C469,Costs!$C$7:$C$89,0),MATCH(N$7,Costs!$E$6:$O$6,0))</f>
        <v>34.86830536561208</v>
      </c>
      <c r="O469" s="86">
        <f>GDPdeflator!$C$38*INDEX(Costs!$E$7:$O$89,MATCH($C469,Costs!$C$7:$C$89,0),MATCH(O$7,Costs!$E$6:$O$6,0))</f>
        <v>34.86830536561208</v>
      </c>
      <c r="P469" s="87">
        <f t="shared" si="231"/>
        <v>2128.9075295174239</v>
      </c>
      <c r="Q469" s="87">
        <f t="shared" si="229"/>
        <v>2226.8178814179146</v>
      </c>
      <c r="R469" s="87">
        <f t="shared" si="219"/>
        <v>2760.7463387337489</v>
      </c>
      <c r="S469" s="87">
        <f t="shared" si="220"/>
        <v>2821.4622757011316</v>
      </c>
      <c r="T469" s="87">
        <f t="shared" si="221"/>
        <v>2905.5867666800355</v>
      </c>
      <c r="U469" s="87">
        <f t="shared" si="222"/>
        <v>2907.7813186186154</v>
      </c>
      <c r="V469" s="87">
        <f t="shared" si="223"/>
        <v>2909.2443532443353</v>
      </c>
      <c r="W469" s="87">
        <f t="shared" si="224"/>
        <v>2911.4389051829148</v>
      </c>
      <c r="X469" s="87">
        <f t="shared" si="225"/>
        <v>2911.4389051829148</v>
      </c>
      <c r="Y469" s="87">
        <f t="shared" si="226"/>
        <v>2911.4389051829148</v>
      </c>
      <c r="Z469" s="87">
        <f t="shared" si="227"/>
        <v>2911.4389051829148</v>
      </c>
      <c r="AA469" s="88">
        <v>500</v>
      </c>
      <c r="AB469" s="89">
        <f>AA469*GDPdeflator!$C$25/$AI$18*10^3</f>
        <v>48.0747492686653</v>
      </c>
      <c r="AC469" s="90" t="e">
        <f>INDEX(Efficiencies!$D$8:$M$89,MATCH(C469,Efficiencies!$C$8:$C$89),MATCH(D469,Efficiencies!$D$7:$M$7))</f>
        <v>#REF!</v>
      </c>
      <c r="AD469" s="90" t="e">
        <f t="shared" si="232"/>
        <v>#REF!</v>
      </c>
      <c r="AE469" s="90" t="e">
        <f>INDEX(Efficiencies!$P$8:$Y$89,MATCH(C469,Efficiencies!$C$8:$C$89),MATCH(D469,Efficiencies!$P$7:$Y$7))</f>
        <v>#REF!</v>
      </c>
      <c r="AF469" s="90" t="e">
        <f t="shared" si="216"/>
        <v>#REF!</v>
      </c>
      <c r="AG469" s="90">
        <v>0</v>
      </c>
    </row>
    <row r="470" spans="1:33" x14ac:dyDescent="0.2">
      <c r="A470" s="92" t="s">
        <v>1752</v>
      </c>
      <c r="B470" s="248" t="s">
        <v>1753</v>
      </c>
      <c r="C470" s="40" t="s">
        <v>1739</v>
      </c>
      <c r="D470" s="40">
        <v>2035</v>
      </c>
      <c r="E470" s="86">
        <f>GDPdeflator!$C$32*INDEX(Costs!$E$7:$O$89,MATCH($C470,Costs!$C$7:$C$89,0),MATCH(E$7,Costs!$E$6:$O$6,0))</f>
        <v>25.496464206141624</v>
      </c>
      <c r="F470" s="86">
        <f>GDPdeflator!$C$36*INDEX(Costs!$E$7:$O$89,MATCH($C470,Costs!$C$7:$C$89,0),MATCH(F$7,Costs!$E$6:$O$6,0))</f>
        <v>26.669069285521218</v>
      </c>
      <c r="G470" s="86">
        <f>GDPdeflator!$C$38*INDEX(Costs!$E$7:$O$89,MATCH($C470,Costs!$C$7:$C$89,0),MATCH(G$7,Costs!$E$6:$O$6,0))</f>
        <v>33.063563932115578</v>
      </c>
      <c r="H470" s="86">
        <f>GDPdeflator!$C$38*INDEX(Costs!$E$7:$O$89,MATCH($C470,Costs!$C$7:$C$89,0),MATCH(H$7,Costs!$E$6:$O$6,0))</f>
        <v>33.790717033961258</v>
      </c>
      <c r="I470" s="86">
        <f>GDPdeflator!$C$38*INDEX(Costs!$E$7:$O$89,MATCH($C470,Costs!$C$7:$C$89,0),MATCH(I$7,Costs!$E$6:$O$6,0))</f>
        <v>34.798218319651056</v>
      </c>
      <c r="J470" s="86">
        <f>GDPdeflator!$C$38*INDEX(Costs!$E$7:$O$89,MATCH($C470,Costs!$C$7:$C$89,0),MATCH(J$7,Costs!$E$6:$O$6,0))</f>
        <v>34.824500961886443</v>
      </c>
      <c r="K470" s="86">
        <f>GDPdeflator!$C$38*INDEX(Costs!$E$7:$O$89,MATCH($C470,Costs!$C$7:$C$89,0),MATCH(K$7,Costs!$E$6:$O$6,0))</f>
        <v>34.842022723376701</v>
      </c>
      <c r="L470" s="86">
        <f>GDPdeflator!$C$38*INDEX(Costs!$E$7:$O$89,MATCH($C470,Costs!$C$7:$C$89,0),MATCH(L$7,Costs!$E$6:$O$6,0))</f>
        <v>34.86830536561208</v>
      </c>
      <c r="M470" s="86">
        <f>GDPdeflator!$C$38*INDEX(Costs!$E$7:$O$89,MATCH($C470,Costs!$C$7:$C$89,0),MATCH(M$7,Costs!$E$6:$O$6,0))</f>
        <v>34.86830536561208</v>
      </c>
      <c r="N470" s="86">
        <f>GDPdeflator!$C$38*INDEX(Costs!$E$7:$O$89,MATCH($C470,Costs!$C$7:$C$89,0),MATCH(N$7,Costs!$E$6:$O$6,0))</f>
        <v>34.86830536561208</v>
      </c>
      <c r="O470" s="86">
        <f>GDPdeflator!$C$38*INDEX(Costs!$E$7:$O$89,MATCH($C470,Costs!$C$7:$C$89,0),MATCH(O$7,Costs!$E$6:$O$6,0))</f>
        <v>34.86830536561208</v>
      </c>
      <c r="P470" s="87">
        <f t="shared" si="231"/>
        <v>2128.9075295174239</v>
      </c>
      <c r="Q470" s="87">
        <f t="shared" si="229"/>
        <v>2226.8178814179146</v>
      </c>
      <c r="R470" s="87">
        <f t="shared" si="219"/>
        <v>2760.7463387337489</v>
      </c>
      <c r="S470" s="87">
        <f t="shared" si="220"/>
        <v>2821.4622757011316</v>
      </c>
      <c r="T470" s="87">
        <f t="shared" si="221"/>
        <v>2905.5867666800355</v>
      </c>
      <c r="U470" s="87">
        <f t="shared" si="222"/>
        <v>2907.7813186186154</v>
      </c>
      <c r="V470" s="87">
        <f t="shared" si="223"/>
        <v>2909.2443532443353</v>
      </c>
      <c r="W470" s="87">
        <f t="shared" si="224"/>
        <v>2911.4389051829148</v>
      </c>
      <c r="X470" s="87">
        <f t="shared" si="225"/>
        <v>2911.4389051829148</v>
      </c>
      <c r="Y470" s="87">
        <f t="shared" si="226"/>
        <v>2911.4389051829148</v>
      </c>
      <c r="Z470" s="87">
        <f t="shared" si="227"/>
        <v>2911.4389051829148</v>
      </c>
      <c r="AA470" s="88">
        <v>500</v>
      </c>
      <c r="AB470" s="89">
        <f>AA470*GDPdeflator!$C$25/$AI$18*10^3</f>
        <v>48.0747492686653</v>
      </c>
      <c r="AC470" s="90" t="e">
        <f>INDEX(Efficiencies!$D$8:$M$89,MATCH(C470,Efficiencies!$C$8:$C$89),MATCH(D470,Efficiencies!$D$7:$M$7))</f>
        <v>#REF!</v>
      </c>
      <c r="AD470" s="90" t="e">
        <f t="shared" si="232"/>
        <v>#REF!</v>
      </c>
      <c r="AE470" s="90" t="e">
        <f>INDEX(Efficiencies!$P$8:$Y$89,MATCH(C470,Efficiencies!$C$8:$C$89),MATCH(D470,Efficiencies!$P$7:$Y$7))</f>
        <v>#REF!</v>
      </c>
      <c r="AF470" s="90" t="e">
        <f t="shared" si="216"/>
        <v>#REF!</v>
      </c>
      <c r="AG470" s="90">
        <v>0</v>
      </c>
    </row>
    <row r="471" spans="1:33" x14ac:dyDescent="0.2">
      <c r="A471" s="92" t="s">
        <v>1754</v>
      </c>
      <c r="B471" s="248" t="s">
        <v>1755</v>
      </c>
      <c r="C471" s="40" t="s">
        <v>1739</v>
      </c>
      <c r="D471" s="40">
        <v>2040</v>
      </c>
      <c r="E471" s="86">
        <f>GDPdeflator!$C$32*INDEX(Costs!$E$7:$O$89,MATCH($C471,Costs!$C$7:$C$89,0),MATCH(E$7,Costs!$E$6:$O$6,0))</f>
        <v>25.496464206141624</v>
      </c>
      <c r="F471" s="86">
        <f>GDPdeflator!$C$36*INDEX(Costs!$E$7:$O$89,MATCH($C471,Costs!$C$7:$C$89,0),MATCH(F$7,Costs!$E$6:$O$6,0))</f>
        <v>26.669069285521218</v>
      </c>
      <c r="G471" s="86">
        <f>GDPdeflator!$C$38*INDEX(Costs!$E$7:$O$89,MATCH($C471,Costs!$C$7:$C$89,0),MATCH(G$7,Costs!$E$6:$O$6,0))</f>
        <v>33.063563932115578</v>
      </c>
      <c r="H471" s="86">
        <f>GDPdeflator!$C$38*INDEX(Costs!$E$7:$O$89,MATCH($C471,Costs!$C$7:$C$89,0),MATCH(H$7,Costs!$E$6:$O$6,0))</f>
        <v>33.790717033961258</v>
      </c>
      <c r="I471" s="86">
        <f>GDPdeflator!$C$38*INDEX(Costs!$E$7:$O$89,MATCH($C471,Costs!$C$7:$C$89,0),MATCH(I$7,Costs!$E$6:$O$6,0))</f>
        <v>34.798218319651056</v>
      </c>
      <c r="J471" s="86">
        <f>GDPdeflator!$C$38*INDEX(Costs!$E$7:$O$89,MATCH($C471,Costs!$C$7:$C$89,0),MATCH(J$7,Costs!$E$6:$O$6,0))</f>
        <v>34.824500961886443</v>
      </c>
      <c r="K471" s="86">
        <f>GDPdeflator!$C$38*INDEX(Costs!$E$7:$O$89,MATCH($C471,Costs!$C$7:$C$89,0),MATCH(K$7,Costs!$E$6:$O$6,0))</f>
        <v>34.842022723376701</v>
      </c>
      <c r="L471" s="86">
        <f>GDPdeflator!$C$38*INDEX(Costs!$E$7:$O$89,MATCH($C471,Costs!$C$7:$C$89,0),MATCH(L$7,Costs!$E$6:$O$6,0))</f>
        <v>34.86830536561208</v>
      </c>
      <c r="M471" s="86">
        <f>GDPdeflator!$C$38*INDEX(Costs!$E$7:$O$89,MATCH($C471,Costs!$C$7:$C$89,0),MATCH(M$7,Costs!$E$6:$O$6,0))</f>
        <v>34.86830536561208</v>
      </c>
      <c r="N471" s="86">
        <f>GDPdeflator!$C$38*INDEX(Costs!$E$7:$O$89,MATCH($C471,Costs!$C$7:$C$89,0),MATCH(N$7,Costs!$E$6:$O$6,0))</f>
        <v>34.86830536561208</v>
      </c>
      <c r="O471" s="86">
        <f>GDPdeflator!$C$38*INDEX(Costs!$E$7:$O$89,MATCH($C471,Costs!$C$7:$C$89,0),MATCH(O$7,Costs!$E$6:$O$6,0))</f>
        <v>34.86830536561208</v>
      </c>
      <c r="P471" s="87">
        <f t="shared" si="231"/>
        <v>2128.9075295174239</v>
      </c>
      <c r="Q471" s="87">
        <f t="shared" si="229"/>
        <v>2226.8178814179146</v>
      </c>
      <c r="R471" s="87">
        <f t="shared" si="219"/>
        <v>2760.7463387337489</v>
      </c>
      <c r="S471" s="87">
        <f t="shared" si="220"/>
        <v>2821.4622757011316</v>
      </c>
      <c r="T471" s="87">
        <f t="shared" si="221"/>
        <v>2905.5867666800355</v>
      </c>
      <c r="U471" s="87">
        <f t="shared" si="222"/>
        <v>2907.7813186186154</v>
      </c>
      <c r="V471" s="87">
        <f t="shared" si="223"/>
        <v>2909.2443532443353</v>
      </c>
      <c r="W471" s="87">
        <f t="shared" si="224"/>
        <v>2911.4389051829148</v>
      </c>
      <c r="X471" s="87">
        <f t="shared" si="225"/>
        <v>2911.4389051829148</v>
      </c>
      <c r="Y471" s="87">
        <f t="shared" si="226"/>
        <v>2911.4389051829148</v>
      </c>
      <c r="Z471" s="87">
        <f t="shared" si="227"/>
        <v>2911.4389051829148</v>
      </c>
      <c r="AA471" s="88">
        <v>500</v>
      </c>
      <c r="AB471" s="89">
        <f>AA471*GDPdeflator!$C$25/$AI$18*10^3</f>
        <v>48.0747492686653</v>
      </c>
      <c r="AC471" s="90" t="e">
        <f>INDEX(Efficiencies!$D$8:$M$89,MATCH(C471,Efficiencies!$C$8:$C$89),MATCH(D471,Efficiencies!$D$7:$M$7))</f>
        <v>#REF!</v>
      </c>
      <c r="AD471" s="90" t="e">
        <f t="shared" si="232"/>
        <v>#REF!</v>
      </c>
      <c r="AE471" s="90" t="e">
        <f>INDEX(Efficiencies!$P$8:$Y$89,MATCH(C471,Efficiencies!$C$8:$C$89),MATCH(D471,Efficiencies!$P$7:$Y$7))</f>
        <v>#REF!</v>
      </c>
      <c r="AF471" s="90" t="e">
        <f t="shared" si="216"/>
        <v>#REF!</v>
      </c>
      <c r="AG471" s="90">
        <v>0</v>
      </c>
    </row>
    <row r="472" spans="1:33" x14ac:dyDescent="0.2">
      <c r="A472" s="92" t="s">
        <v>1756</v>
      </c>
      <c r="B472" s="248" t="s">
        <v>1757</v>
      </c>
      <c r="C472" s="40" t="s">
        <v>1739</v>
      </c>
      <c r="D472" s="40">
        <v>2045</v>
      </c>
      <c r="E472" s="86">
        <f>GDPdeflator!$C$32*INDEX(Costs!$E$7:$O$89,MATCH($C472,Costs!$C$7:$C$89,0),MATCH(E$7,Costs!$E$6:$O$6,0))</f>
        <v>25.496464206141624</v>
      </c>
      <c r="F472" s="86">
        <f>GDPdeflator!$C$36*INDEX(Costs!$E$7:$O$89,MATCH($C472,Costs!$C$7:$C$89,0),MATCH(F$7,Costs!$E$6:$O$6,0))</f>
        <v>26.669069285521218</v>
      </c>
      <c r="G472" s="86">
        <f>GDPdeflator!$C$38*INDEX(Costs!$E$7:$O$89,MATCH($C472,Costs!$C$7:$C$89,0),MATCH(G$7,Costs!$E$6:$O$6,0))</f>
        <v>33.063563932115578</v>
      </c>
      <c r="H472" s="86">
        <f>GDPdeflator!$C$38*INDEX(Costs!$E$7:$O$89,MATCH($C472,Costs!$C$7:$C$89,0),MATCH(H$7,Costs!$E$6:$O$6,0))</f>
        <v>33.790717033961258</v>
      </c>
      <c r="I472" s="86">
        <f>GDPdeflator!$C$38*INDEX(Costs!$E$7:$O$89,MATCH($C472,Costs!$C$7:$C$89,0),MATCH(I$7,Costs!$E$6:$O$6,0))</f>
        <v>34.798218319651056</v>
      </c>
      <c r="J472" s="86">
        <f>GDPdeflator!$C$38*INDEX(Costs!$E$7:$O$89,MATCH($C472,Costs!$C$7:$C$89,0),MATCH(J$7,Costs!$E$6:$O$6,0))</f>
        <v>34.824500961886443</v>
      </c>
      <c r="K472" s="86">
        <f>GDPdeflator!$C$38*INDEX(Costs!$E$7:$O$89,MATCH($C472,Costs!$C$7:$C$89,0),MATCH(K$7,Costs!$E$6:$O$6,0))</f>
        <v>34.842022723376701</v>
      </c>
      <c r="L472" s="86">
        <f>GDPdeflator!$C$38*INDEX(Costs!$E$7:$O$89,MATCH($C472,Costs!$C$7:$C$89,0),MATCH(L$7,Costs!$E$6:$O$6,0))</f>
        <v>34.86830536561208</v>
      </c>
      <c r="M472" s="86">
        <f>GDPdeflator!$C$38*INDEX(Costs!$E$7:$O$89,MATCH($C472,Costs!$C$7:$C$89,0),MATCH(M$7,Costs!$E$6:$O$6,0))</f>
        <v>34.86830536561208</v>
      </c>
      <c r="N472" s="86">
        <f>GDPdeflator!$C$38*INDEX(Costs!$E$7:$O$89,MATCH($C472,Costs!$C$7:$C$89,0),MATCH(N$7,Costs!$E$6:$O$6,0))</f>
        <v>34.86830536561208</v>
      </c>
      <c r="O472" s="86">
        <f>GDPdeflator!$C$38*INDEX(Costs!$E$7:$O$89,MATCH($C472,Costs!$C$7:$C$89,0),MATCH(O$7,Costs!$E$6:$O$6,0))</f>
        <v>34.86830536561208</v>
      </c>
      <c r="P472" s="87">
        <f t="shared" si="231"/>
        <v>2128.9075295174239</v>
      </c>
      <c r="Q472" s="87">
        <f t="shared" si="229"/>
        <v>2226.8178814179146</v>
      </c>
      <c r="R472" s="87">
        <f t="shared" si="219"/>
        <v>2760.7463387337489</v>
      </c>
      <c r="S472" s="87">
        <f t="shared" si="220"/>
        <v>2821.4622757011316</v>
      </c>
      <c r="T472" s="87">
        <f t="shared" si="221"/>
        <v>2905.5867666800355</v>
      </c>
      <c r="U472" s="87">
        <f t="shared" si="222"/>
        <v>2907.7813186186154</v>
      </c>
      <c r="V472" s="87">
        <f t="shared" si="223"/>
        <v>2909.2443532443353</v>
      </c>
      <c r="W472" s="87">
        <f t="shared" si="224"/>
        <v>2911.4389051829148</v>
      </c>
      <c r="X472" s="87">
        <f t="shared" si="225"/>
        <v>2911.4389051829148</v>
      </c>
      <c r="Y472" s="87">
        <f t="shared" si="226"/>
        <v>2911.4389051829148</v>
      </c>
      <c r="Z472" s="87">
        <f t="shared" si="227"/>
        <v>2911.4389051829148</v>
      </c>
      <c r="AA472" s="88">
        <v>500</v>
      </c>
      <c r="AB472" s="89">
        <f>AA472*GDPdeflator!$C$25/$AI$18*10^3</f>
        <v>48.0747492686653</v>
      </c>
      <c r="AC472" s="90" t="e">
        <f>INDEX(Efficiencies!$D$8:$M$89,MATCH(C472,Efficiencies!$C$8:$C$89),MATCH(D472,Efficiencies!$D$7:$M$7))</f>
        <v>#REF!</v>
      </c>
      <c r="AD472" s="90" t="e">
        <f t="shared" si="232"/>
        <v>#REF!</v>
      </c>
      <c r="AE472" s="90" t="e">
        <f>INDEX(Efficiencies!$P$8:$Y$89,MATCH(C472,Efficiencies!$C$8:$C$89),MATCH(D472,Efficiencies!$P$7:$Y$7))</f>
        <v>#REF!</v>
      </c>
      <c r="AF472" s="90" t="e">
        <f t="shared" si="216"/>
        <v>#REF!</v>
      </c>
      <c r="AG472" s="90">
        <v>0</v>
      </c>
    </row>
    <row r="473" spans="1:33" x14ac:dyDescent="0.2">
      <c r="A473" s="92" t="s">
        <v>1758</v>
      </c>
      <c r="B473" s="248" t="s">
        <v>1759</v>
      </c>
      <c r="C473" s="40" t="s">
        <v>1739</v>
      </c>
      <c r="D473" s="40">
        <v>2050</v>
      </c>
      <c r="E473" s="86">
        <f>GDPdeflator!$C$32*INDEX(Costs!$E$7:$O$89,MATCH($C473,Costs!$C$7:$C$89,0),MATCH(E$7,Costs!$E$6:$O$6,0))</f>
        <v>25.496464206141624</v>
      </c>
      <c r="F473" s="86">
        <f>GDPdeflator!$C$36*INDEX(Costs!$E$7:$O$89,MATCH($C473,Costs!$C$7:$C$89,0),MATCH(F$7,Costs!$E$6:$O$6,0))</f>
        <v>26.669069285521218</v>
      </c>
      <c r="G473" s="86">
        <f>GDPdeflator!$C$38*INDEX(Costs!$E$7:$O$89,MATCH($C473,Costs!$C$7:$C$89,0),MATCH(G$7,Costs!$E$6:$O$6,0))</f>
        <v>33.063563932115578</v>
      </c>
      <c r="H473" s="86">
        <f>GDPdeflator!$C$38*INDEX(Costs!$E$7:$O$89,MATCH($C473,Costs!$C$7:$C$89,0),MATCH(H$7,Costs!$E$6:$O$6,0))</f>
        <v>33.790717033961258</v>
      </c>
      <c r="I473" s="86">
        <f>GDPdeflator!$C$38*INDEX(Costs!$E$7:$O$89,MATCH($C473,Costs!$C$7:$C$89,0),MATCH(I$7,Costs!$E$6:$O$6,0))</f>
        <v>34.798218319651056</v>
      </c>
      <c r="J473" s="86">
        <f>GDPdeflator!$C$38*INDEX(Costs!$E$7:$O$89,MATCH($C473,Costs!$C$7:$C$89,0),MATCH(J$7,Costs!$E$6:$O$6,0))</f>
        <v>34.824500961886443</v>
      </c>
      <c r="K473" s="86">
        <f>GDPdeflator!$C$38*INDEX(Costs!$E$7:$O$89,MATCH($C473,Costs!$C$7:$C$89,0),MATCH(K$7,Costs!$E$6:$O$6,0))</f>
        <v>34.842022723376701</v>
      </c>
      <c r="L473" s="86">
        <f>GDPdeflator!$C$38*INDEX(Costs!$E$7:$O$89,MATCH($C473,Costs!$C$7:$C$89,0),MATCH(L$7,Costs!$E$6:$O$6,0))</f>
        <v>34.86830536561208</v>
      </c>
      <c r="M473" s="86">
        <f>GDPdeflator!$C$38*INDEX(Costs!$E$7:$O$89,MATCH($C473,Costs!$C$7:$C$89,0),MATCH(M$7,Costs!$E$6:$O$6,0))</f>
        <v>34.86830536561208</v>
      </c>
      <c r="N473" s="86">
        <f>GDPdeflator!$C$38*INDEX(Costs!$E$7:$O$89,MATCH($C473,Costs!$C$7:$C$89,0),MATCH(N$7,Costs!$E$6:$O$6,0))</f>
        <v>34.86830536561208</v>
      </c>
      <c r="O473" s="86">
        <f>GDPdeflator!$C$38*INDEX(Costs!$E$7:$O$89,MATCH($C473,Costs!$C$7:$C$89,0),MATCH(O$7,Costs!$E$6:$O$6,0))</f>
        <v>34.86830536561208</v>
      </c>
      <c r="P473" s="87">
        <f t="shared" si="231"/>
        <v>2128.9075295174239</v>
      </c>
      <c r="Q473" s="87">
        <f t="shared" si="229"/>
        <v>2226.8178814179146</v>
      </c>
      <c r="R473" s="87">
        <f t="shared" si="219"/>
        <v>2760.7463387337489</v>
      </c>
      <c r="S473" s="87">
        <f t="shared" si="220"/>
        <v>2821.4622757011316</v>
      </c>
      <c r="T473" s="87">
        <f t="shared" si="221"/>
        <v>2905.5867666800355</v>
      </c>
      <c r="U473" s="87">
        <f t="shared" si="222"/>
        <v>2907.7813186186154</v>
      </c>
      <c r="V473" s="87">
        <f t="shared" si="223"/>
        <v>2909.2443532443353</v>
      </c>
      <c r="W473" s="87">
        <f t="shared" si="224"/>
        <v>2911.4389051829148</v>
      </c>
      <c r="X473" s="87">
        <f t="shared" si="225"/>
        <v>2911.4389051829148</v>
      </c>
      <c r="Y473" s="87">
        <f t="shared" si="226"/>
        <v>2911.4389051829148</v>
      </c>
      <c r="Z473" s="87">
        <f t="shared" si="227"/>
        <v>2911.4389051829148</v>
      </c>
      <c r="AA473" s="88">
        <v>500</v>
      </c>
      <c r="AB473" s="89">
        <f>AA473*GDPdeflator!$C$25/$AI$18*10^3</f>
        <v>48.0747492686653</v>
      </c>
      <c r="AC473" s="90" t="e">
        <f>INDEX(Efficiencies!$D$8:$M$89,MATCH(C473,Efficiencies!$C$8:$C$89),MATCH(D473,Efficiencies!$D$7:$M$7))</f>
        <v>#REF!</v>
      </c>
      <c r="AD473" s="90" t="e">
        <f t="shared" si="232"/>
        <v>#REF!</v>
      </c>
      <c r="AE473" s="90" t="e">
        <f>INDEX(Efficiencies!$P$8:$Y$89,MATCH(C473,Efficiencies!$C$8:$C$89),MATCH(D473,Efficiencies!$P$7:$Y$7))</f>
        <v>#REF!</v>
      </c>
      <c r="AF473" s="90" t="e">
        <f t="shared" si="216"/>
        <v>#REF!</v>
      </c>
      <c r="AG473" s="90">
        <v>0</v>
      </c>
    </row>
    <row r="474" spans="1:33" x14ac:dyDescent="0.2">
      <c r="A474" s="92" t="s">
        <v>1760</v>
      </c>
      <c r="B474" s="248" t="s">
        <v>1761</v>
      </c>
      <c r="C474" s="40" t="s">
        <v>1762</v>
      </c>
      <c r="D474" s="40">
        <v>2010</v>
      </c>
      <c r="E474" s="86">
        <f>GDPdeflator!$C$32*INDEX(Costs!$E$7:$O$89,MATCH($C474,Costs!$C$7:$C$89,0),MATCH(E$7,Costs!$E$6:$O$6,0))</f>
        <v>0</v>
      </c>
      <c r="F474" s="86">
        <f>GDPdeflator!$C$36*INDEX(Costs!$E$7:$O$89,MATCH($C474,Costs!$C$7:$C$89,0),MATCH(F$7,Costs!$E$6:$O$6,0))</f>
        <v>26.741147851157763</v>
      </c>
      <c r="G474" s="86">
        <f>GDPdeflator!$C$38*INDEX(Costs!$E$7:$O$89,MATCH($C474,Costs!$C$7:$C$89,0),MATCH(G$7,Costs!$E$6:$O$6,0))</f>
        <v>32.660563417839661</v>
      </c>
      <c r="H474" s="86">
        <f>GDPdeflator!$C$38*INDEX(Costs!$E$7:$O$89,MATCH($C474,Costs!$C$7:$C$89,0),MATCH(H$7,Costs!$E$6:$O$6,0))</f>
        <v>33.475325327136623</v>
      </c>
      <c r="I474" s="86">
        <f>GDPdeflator!$C$38*INDEX(Costs!$E$7:$O$89,MATCH($C474,Costs!$C$7:$C$89,0),MATCH(I$7,Costs!$E$6:$O$6,0))</f>
        <v>34.482826612826422</v>
      </c>
      <c r="J474" s="86">
        <f>GDPdeflator!$C$38*INDEX(Costs!$E$7:$O$89,MATCH($C474,Costs!$C$7:$C$89,0),MATCH(J$7,Costs!$E$6:$O$6,0))</f>
        <v>34.50034837431668</v>
      </c>
      <c r="K474" s="86">
        <f>GDPdeflator!$C$38*INDEX(Costs!$E$7:$O$89,MATCH($C474,Costs!$C$7:$C$89,0),MATCH(K$7,Costs!$E$6:$O$6,0))</f>
        <v>34.517870135806938</v>
      </c>
      <c r="L474" s="86">
        <f>GDPdeflator!$C$38*INDEX(Costs!$E$7:$O$89,MATCH($C474,Costs!$C$7:$C$89,0),MATCH(L$7,Costs!$E$6:$O$6,0))</f>
        <v>34.552913658787446</v>
      </c>
      <c r="M474" s="86">
        <f>GDPdeflator!$C$38*INDEX(Costs!$E$7:$O$89,MATCH($C474,Costs!$C$7:$C$89,0),MATCH(M$7,Costs!$E$6:$O$6,0))</f>
        <v>34.552913658787446</v>
      </c>
      <c r="N474" s="86">
        <f>GDPdeflator!$C$38*INDEX(Costs!$E$7:$O$89,MATCH($C474,Costs!$C$7:$C$89,0),MATCH(N$7,Costs!$E$6:$O$6,0))</f>
        <v>34.552913658787446</v>
      </c>
      <c r="O474" s="86">
        <f>GDPdeflator!$C$38*INDEX(Costs!$E$7:$O$89,MATCH($C474,Costs!$C$7:$C$89,0),MATCH(O$7,Costs!$E$6:$O$6,0))</f>
        <v>34.552913658787446</v>
      </c>
      <c r="P474" s="87">
        <f>E474/$AI$18*10^6</f>
        <v>0</v>
      </c>
      <c r="Q474" s="87">
        <f t="shared" si="229"/>
        <v>2232.8363081244497</v>
      </c>
      <c r="R474" s="87">
        <f t="shared" si="219"/>
        <v>2727.0965423421881</v>
      </c>
      <c r="S474" s="87">
        <f t="shared" si="220"/>
        <v>2795.1276524381706</v>
      </c>
      <c r="T474" s="87">
        <f t="shared" si="221"/>
        <v>2879.252143417074</v>
      </c>
      <c r="U474" s="87">
        <f t="shared" si="222"/>
        <v>2880.7151780427939</v>
      </c>
      <c r="V474" s="87">
        <f t="shared" si="223"/>
        <v>2882.1782126685143</v>
      </c>
      <c r="W474" s="87">
        <f t="shared" si="224"/>
        <v>2885.1042819199538</v>
      </c>
      <c r="X474" s="87">
        <f t="shared" si="225"/>
        <v>2885.1042819199538</v>
      </c>
      <c r="Y474" s="87">
        <f t="shared" si="226"/>
        <v>2885.1042819199538</v>
      </c>
      <c r="Z474" s="87">
        <f t="shared" si="227"/>
        <v>2885.1042819199538</v>
      </c>
      <c r="AA474" s="88">
        <v>500</v>
      </c>
      <c r="AB474" s="89">
        <f>AA474*GDPdeflator!$C$25/$AI$18*10^3</f>
        <v>48.0747492686653</v>
      </c>
      <c r="AC474" s="90">
        <f>INDEX(Efficiencies!$D$8:$M$89,MATCH(C474,Efficiencies!$C$8:$C$89),MATCH(D474,Efficiencies!$D$7:$M$7))</f>
        <v>0</v>
      </c>
      <c r="AD474" s="90">
        <f t="shared" si="232"/>
        <v>0</v>
      </c>
      <c r="AE474" s="90">
        <f>INDEX(Efficiencies!$P$8:$Y$89,MATCH(C474,Efficiencies!$C$8:$C$89),MATCH(D474,Efficiencies!$P$7:$Y$7))</f>
        <v>0</v>
      </c>
      <c r="AF474" s="90">
        <f t="shared" si="216"/>
        <v>0</v>
      </c>
      <c r="AG474" s="90" t="e">
        <f>AdditionalVehs!$C$33</f>
        <v>#REF!</v>
      </c>
    </row>
    <row r="475" spans="1:33" x14ac:dyDescent="0.2">
      <c r="A475" s="92" t="s">
        <v>1763</v>
      </c>
      <c r="B475" s="248" t="s">
        <v>1764</v>
      </c>
      <c r="C475" s="40" t="s">
        <v>1762</v>
      </c>
      <c r="D475" s="40">
        <v>2015</v>
      </c>
      <c r="E475" s="86">
        <f>GDPdeflator!$C$32*INDEX(Costs!$E$7:$O$89,MATCH($C475,Costs!$C$7:$C$89,0),MATCH(E$7,Costs!$E$6:$O$6,0))</f>
        <v>0</v>
      </c>
      <c r="F475" s="86">
        <f>GDPdeflator!$C$36*INDEX(Costs!$E$7:$O$89,MATCH($C475,Costs!$C$7:$C$89,0),MATCH(F$7,Costs!$E$6:$O$6,0))</f>
        <v>26.741147851157763</v>
      </c>
      <c r="G475" s="86">
        <f>GDPdeflator!$C$38*INDEX(Costs!$E$7:$O$89,MATCH($C475,Costs!$C$7:$C$89,0),MATCH(G$7,Costs!$E$6:$O$6,0))</f>
        <v>32.660563417839661</v>
      </c>
      <c r="H475" s="86">
        <f>GDPdeflator!$C$38*INDEX(Costs!$E$7:$O$89,MATCH($C475,Costs!$C$7:$C$89,0),MATCH(H$7,Costs!$E$6:$O$6,0))</f>
        <v>33.475325327136623</v>
      </c>
      <c r="I475" s="86">
        <f>GDPdeflator!$C$38*INDEX(Costs!$E$7:$O$89,MATCH($C475,Costs!$C$7:$C$89,0),MATCH(I$7,Costs!$E$6:$O$6,0))</f>
        <v>34.482826612826422</v>
      </c>
      <c r="J475" s="86">
        <f>GDPdeflator!$C$38*INDEX(Costs!$E$7:$O$89,MATCH($C475,Costs!$C$7:$C$89,0),MATCH(J$7,Costs!$E$6:$O$6,0))</f>
        <v>34.50034837431668</v>
      </c>
      <c r="K475" s="86">
        <f>GDPdeflator!$C$38*INDEX(Costs!$E$7:$O$89,MATCH($C475,Costs!$C$7:$C$89,0),MATCH(K$7,Costs!$E$6:$O$6,0))</f>
        <v>34.517870135806938</v>
      </c>
      <c r="L475" s="86">
        <f>GDPdeflator!$C$38*INDEX(Costs!$E$7:$O$89,MATCH($C475,Costs!$C$7:$C$89,0),MATCH(L$7,Costs!$E$6:$O$6,0))</f>
        <v>34.552913658787446</v>
      </c>
      <c r="M475" s="86">
        <f>GDPdeflator!$C$38*INDEX(Costs!$E$7:$O$89,MATCH($C475,Costs!$C$7:$C$89,0),MATCH(M$7,Costs!$E$6:$O$6,0))</f>
        <v>34.552913658787446</v>
      </c>
      <c r="N475" s="86">
        <f>GDPdeflator!$C$38*INDEX(Costs!$E$7:$O$89,MATCH($C475,Costs!$C$7:$C$89,0),MATCH(N$7,Costs!$E$6:$O$6,0))</f>
        <v>34.552913658787446</v>
      </c>
      <c r="O475" s="86">
        <f>GDPdeflator!$C$38*INDEX(Costs!$E$7:$O$89,MATCH($C475,Costs!$C$7:$C$89,0),MATCH(O$7,Costs!$E$6:$O$6,0))</f>
        <v>34.552913658787446</v>
      </c>
      <c r="P475" s="87">
        <f t="shared" ref="P475:P482" si="233">E475/$AI$18*10^6</f>
        <v>0</v>
      </c>
      <c r="Q475" s="87">
        <f t="shared" si="229"/>
        <v>2232.8363081244497</v>
      </c>
      <c r="R475" s="87">
        <f t="shared" si="219"/>
        <v>2727.0965423421881</v>
      </c>
      <c r="S475" s="87">
        <f t="shared" si="220"/>
        <v>2795.1276524381706</v>
      </c>
      <c r="T475" s="87">
        <f t="shared" si="221"/>
        <v>2879.252143417074</v>
      </c>
      <c r="U475" s="87">
        <f t="shared" si="222"/>
        <v>2880.7151780427939</v>
      </c>
      <c r="V475" s="87">
        <f t="shared" si="223"/>
        <v>2882.1782126685143</v>
      </c>
      <c r="W475" s="87">
        <f t="shared" si="224"/>
        <v>2885.1042819199538</v>
      </c>
      <c r="X475" s="87">
        <f t="shared" si="225"/>
        <v>2885.1042819199538</v>
      </c>
      <c r="Y475" s="87">
        <f t="shared" si="226"/>
        <v>2885.1042819199538</v>
      </c>
      <c r="Z475" s="87">
        <f t="shared" si="227"/>
        <v>2885.1042819199538</v>
      </c>
      <c r="AA475" s="88">
        <v>500</v>
      </c>
      <c r="AB475" s="89">
        <f>AA475*GDPdeflator!$C$25/$AI$18*10^3</f>
        <v>48.0747492686653</v>
      </c>
      <c r="AC475" s="90" t="e">
        <f>INDEX(Efficiencies!$D$8:$M$89,MATCH(C475,Efficiencies!$C$8:$C$89),MATCH(D475,Efficiencies!$D$7:$M$7))</f>
        <v>#REF!</v>
      </c>
      <c r="AD475" s="90" t="e">
        <f t="shared" si="232"/>
        <v>#REF!</v>
      </c>
      <c r="AE475" s="90" t="e">
        <f>INDEX(Efficiencies!$P$8:$Y$89,MATCH(C475,Efficiencies!$C$8:$C$89),MATCH(D475,Efficiencies!$P$7:$Y$7))</f>
        <v>#REF!</v>
      </c>
      <c r="AF475" s="90" t="e">
        <f t="shared" si="216"/>
        <v>#REF!</v>
      </c>
      <c r="AG475" s="90" t="e">
        <f>AdditionalVehs!$C$33</f>
        <v>#REF!</v>
      </c>
    </row>
    <row r="476" spans="1:33" x14ac:dyDescent="0.2">
      <c r="A476" s="92" t="s">
        <v>1765</v>
      </c>
      <c r="B476" s="248" t="s">
        <v>1766</v>
      </c>
      <c r="C476" s="40" t="s">
        <v>1762</v>
      </c>
      <c r="D476" s="40">
        <v>2020</v>
      </c>
      <c r="E476" s="86">
        <f>GDPdeflator!$C$32*INDEX(Costs!$E$7:$O$89,MATCH($C476,Costs!$C$7:$C$89,0),MATCH(E$7,Costs!$E$6:$O$6,0))</f>
        <v>0</v>
      </c>
      <c r="F476" s="86">
        <f>GDPdeflator!$C$36*INDEX(Costs!$E$7:$O$89,MATCH($C476,Costs!$C$7:$C$89,0),MATCH(F$7,Costs!$E$6:$O$6,0))</f>
        <v>26.741147851157763</v>
      </c>
      <c r="G476" s="86">
        <f>GDPdeflator!$C$38*INDEX(Costs!$E$7:$O$89,MATCH($C476,Costs!$C$7:$C$89,0),MATCH(G$7,Costs!$E$6:$O$6,0))</f>
        <v>32.660563417839661</v>
      </c>
      <c r="H476" s="86">
        <f>GDPdeflator!$C$38*INDEX(Costs!$E$7:$O$89,MATCH($C476,Costs!$C$7:$C$89,0),MATCH(H$7,Costs!$E$6:$O$6,0))</f>
        <v>33.475325327136623</v>
      </c>
      <c r="I476" s="86">
        <f>GDPdeflator!$C$38*INDEX(Costs!$E$7:$O$89,MATCH($C476,Costs!$C$7:$C$89,0),MATCH(I$7,Costs!$E$6:$O$6,0))</f>
        <v>34.482826612826422</v>
      </c>
      <c r="J476" s="86">
        <f>GDPdeflator!$C$38*INDEX(Costs!$E$7:$O$89,MATCH($C476,Costs!$C$7:$C$89,0),MATCH(J$7,Costs!$E$6:$O$6,0))</f>
        <v>34.50034837431668</v>
      </c>
      <c r="K476" s="86">
        <f>GDPdeflator!$C$38*INDEX(Costs!$E$7:$O$89,MATCH($C476,Costs!$C$7:$C$89,0),MATCH(K$7,Costs!$E$6:$O$6,0))</f>
        <v>34.517870135806938</v>
      </c>
      <c r="L476" s="86">
        <f>GDPdeflator!$C$38*INDEX(Costs!$E$7:$O$89,MATCH($C476,Costs!$C$7:$C$89,0),MATCH(L$7,Costs!$E$6:$O$6,0))</f>
        <v>34.552913658787446</v>
      </c>
      <c r="M476" s="86">
        <f>GDPdeflator!$C$38*INDEX(Costs!$E$7:$O$89,MATCH($C476,Costs!$C$7:$C$89,0),MATCH(M$7,Costs!$E$6:$O$6,0))</f>
        <v>34.552913658787446</v>
      </c>
      <c r="N476" s="86">
        <f>GDPdeflator!$C$38*INDEX(Costs!$E$7:$O$89,MATCH($C476,Costs!$C$7:$C$89,0),MATCH(N$7,Costs!$E$6:$O$6,0))</f>
        <v>34.552913658787446</v>
      </c>
      <c r="O476" s="86">
        <f>GDPdeflator!$C$38*INDEX(Costs!$E$7:$O$89,MATCH($C476,Costs!$C$7:$C$89,0),MATCH(O$7,Costs!$E$6:$O$6,0))</f>
        <v>34.552913658787446</v>
      </c>
      <c r="P476" s="87">
        <f t="shared" si="233"/>
        <v>0</v>
      </c>
      <c r="Q476" s="87">
        <f t="shared" si="229"/>
        <v>2232.8363081244497</v>
      </c>
      <c r="R476" s="87">
        <f t="shared" si="219"/>
        <v>2727.0965423421881</v>
      </c>
      <c r="S476" s="87">
        <f t="shared" si="220"/>
        <v>2795.1276524381706</v>
      </c>
      <c r="T476" s="87">
        <f t="shared" si="221"/>
        <v>2879.252143417074</v>
      </c>
      <c r="U476" s="87">
        <f t="shared" si="222"/>
        <v>2880.7151780427939</v>
      </c>
      <c r="V476" s="87">
        <f t="shared" si="223"/>
        <v>2882.1782126685143</v>
      </c>
      <c r="W476" s="87">
        <f t="shared" si="224"/>
        <v>2885.1042819199538</v>
      </c>
      <c r="X476" s="87">
        <f t="shared" si="225"/>
        <v>2885.1042819199538</v>
      </c>
      <c r="Y476" s="87">
        <f t="shared" si="226"/>
        <v>2885.1042819199538</v>
      </c>
      <c r="Z476" s="87">
        <f t="shared" si="227"/>
        <v>2885.1042819199538</v>
      </c>
      <c r="AA476" s="88">
        <v>500</v>
      </c>
      <c r="AB476" s="89">
        <f>AA476*GDPdeflator!$C$25/$AI$18*10^3</f>
        <v>48.0747492686653</v>
      </c>
      <c r="AC476" s="90" t="e">
        <f>INDEX(Efficiencies!$D$8:$M$89,MATCH(C476,Efficiencies!$C$8:$C$89),MATCH(D476,Efficiencies!$D$7:$M$7))</f>
        <v>#REF!</v>
      </c>
      <c r="AD476" s="90" t="e">
        <f t="shared" si="232"/>
        <v>#REF!</v>
      </c>
      <c r="AE476" s="90" t="e">
        <f>INDEX(Efficiencies!$P$8:$Y$89,MATCH(C476,Efficiencies!$C$8:$C$89),MATCH(D476,Efficiencies!$P$7:$Y$7))</f>
        <v>#REF!</v>
      </c>
      <c r="AF476" s="90" t="e">
        <f t="shared" si="216"/>
        <v>#REF!</v>
      </c>
      <c r="AG476" s="90" t="e">
        <f>AdditionalVehs!$C$33</f>
        <v>#REF!</v>
      </c>
    </row>
    <row r="477" spans="1:33" x14ac:dyDescent="0.2">
      <c r="A477" s="92" t="s">
        <v>1767</v>
      </c>
      <c r="B477" s="248" t="s">
        <v>1768</v>
      </c>
      <c r="C477" s="40" t="s">
        <v>1762</v>
      </c>
      <c r="D477" s="40">
        <v>2025</v>
      </c>
      <c r="E477" s="86">
        <f>GDPdeflator!$C$32*INDEX(Costs!$E$7:$O$89,MATCH($C477,Costs!$C$7:$C$89,0),MATCH(E$7,Costs!$E$6:$O$6,0))</f>
        <v>0</v>
      </c>
      <c r="F477" s="86">
        <f>GDPdeflator!$C$36*INDEX(Costs!$E$7:$O$89,MATCH($C477,Costs!$C$7:$C$89,0),MATCH(F$7,Costs!$E$6:$O$6,0))</f>
        <v>26.741147851157763</v>
      </c>
      <c r="G477" s="86">
        <f>GDPdeflator!$C$38*INDEX(Costs!$E$7:$O$89,MATCH($C477,Costs!$C$7:$C$89,0),MATCH(G$7,Costs!$E$6:$O$6,0))</f>
        <v>32.660563417839661</v>
      </c>
      <c r="H477" s="86">
        <f>GDPdeflator!$C$38*INDEX(Costs!$E$7:$O$89,MATCH($C477,Costs!$C$7:$C$89,0),MATCH(H$7,Costs!$E$6:$O$6,0))</f>
        <v>33.475325327136623</v>
      </c>
      <c r="I477" s="86">
        <f>GDPdeflator!$C$38*INDEX(Costs!$E$7:$O$89,MATCH($C477,Costs!$C$7:$C$89,0),MATCH(I$7,Costs!$E$6:$O$6,0))</f>
        <v>34.482826612826422</v>
      </c>
      <c r="J477" s="86">
        <f>GDPdeflator!$C$38*INDEX(Costs!$E$7:$O$89,MATCH($C477,Costs!$C$7:$C$89,0),MATCH(J$7,Costs!$E$6:$O$6,0))</f>
        <v>34.50034837431668</v>
      </c>
      <c r="K477" s="86">
        <f>GDPdeflator!$C$38*INDEX(Costs!$E$7:$O$89,MATCH($C477,Costs!$C$7:$C$89,0),MATCH(K$7,Costs!$E$6:$O$6,0))</f>
        <v>34.517870135806938</v>
      </c>
      <c r="L477" s="86">
        <f>GDPdeflator!$C$38*INDEX(Costs!$E$7:$O$89,MATCH($C477,Costs!$C$7:$C$89,0),MATCH(L$7,Costs!$E$6:$O$6,0))</f>
        <v>34.552913658787446</v>
      </c>
      <c r="M477" s="86">
        <f>GDPdeflator!$C$38*INDEX(Costs!$E$7:$O$89,MATCH($C477,Costs!$C$7:$C$89,0),MATCH(M$7,Costs!$E$6:$O$6,0))</f>
        <v>34.552913658787446</v>
      </c>
      <c r="N477" s="86">
        <f>GDPdeflator!$C$38*INDEX(Costs!$E$7:$O$89,MATCH($C477,Costs!$C$7:$C$89,0),MATCH(N$7,Costs!$E$6:$O$6,0))</f>
        <v>34.552913658787446</v>
      </c>
      <c r="O477" s="86">
        <f>GDPdeflator!$C$38*INDEX(Costs!$E$7:$O$89,MATCH($C477,Costs!$C$7:$C$89,0),MATCH(O$7,Costs!$E$6:$O$6,0))</f>
        <v>34.552913658787446</v>
      </c>
      <c r="P477" s="87">
        <f t="shared" si="233"/>
        <v>0</v>
      </c>
      <c r="Q477" s="87">
        <f t="shared" si="229"/>
        <v>2232.8363081244497</v>
      </c>
      <c r="R477" s="87">
        <f t="shared" si="219"/>
        <v>2727.0965423421881</v>
      </c>
      <c r="S477" s="87">
        <f t="shared" si="220"/>
        <v>2795.1276524381706</v>
      </c>
      <c r="T477" s="87">
        <f t="shared" si="221"/>
        <v>2879.252143417074</v>
      </c>
      <c r="U477" s="87">
        <f t="shared" si="222"/>
        <v>2880.7151780427939</v>
      </c>
      <c r="V477" s="87">
        <f t="shared" si="223"/>
        <v>2882.1782126685143</v>
      </c>
      <c r="W477" s="87">
        <f t="shared" si="224"/>
        <v>2885.1042819199538</v>
      </c>
      <c r="X477" s="87">
        <f t="shared" si="225"/>
        <v>2885.1042819199538</v>
      </c>
      <c r="Y477" s="87">
        <f t="shared" si="226"/>
        <v>2885.1042819199538</v>
      </c>
      <c r="Z477" s="87">
        <f t="shared" si="227"/>
        <v>2885.1042819199538</v>
      </c>
      <c r="AA477" s="88">
        <v>500</v>
      </c>
      <c r="AB477" s="89">
        <f>AA477*GDPdeflator!$C$25/$AI$18*10^3</f>
        <v>48.0747492686653</v>
      </c>
      <c r="AC477" s="90" t="e">
        <f>INDEX(Efficiencies!$D$8:$M$89,MATCH(C477,Efficiencies!$C$8:$C$89),MATCH(D477,Efficiencies!$D$7:$M$7))</f>
        <v>#REF!</v>
      </c>
      <c r="AD477" s="90" t="e">
        <f t="shared" si="232"/>
        <v>#REF!</v>
      </c>
      <c r="AE477" s="90" t="e">
        <f>INDEX(Efficiencies!$P$8:$Y$89,MATCH(C477,Efficiencies!$C$8:$C$89),MATCH(D477,Efficiencies!$P$7:$Y$7))</f>
        <v>#REF!</v>
      </c>
      <c r="AF477" s="90" t="e">
        <f t="shared" si="216"/>
        <v>#REF!</v>
      </c>
      <c r="AG477" s="90" t="e">
        <f>AdditionalVehs!$C$33</f>
        <v>#REF!</v>
      </c>
    </row>
    <row r="478" spans="1:33" x14ac:dyDescent="0.2">
      <c r="A478" s="92" t="s">
        <v>1769</v>
      </c>
      <c r="B478" s="248" t="s">
        <v>1770</v>
      </c>
      <c r="C478" s="40" t="s">
        <v>1762</v>
      </c>
      <c r="D478" s="40">
        <v>2030</v>
      </c>
      <c r="E478" s="86">
        <f>GDPdeflator!$C$32*INDEX(Costs!$E$7:$O$89,MATCH($C478,Costs!$C$7:$C$89,0),MATCH(E$7,Costs!$E$6:$O$6,0))</f>
        <v>0</v>
      </c>
      <c r="F478" s="86">
        <f>GDPdeflator!$C$36*INDEX(Costs!$E$7:$O$89,MATCH($C478,Costs!$C$7:$C$89,0),MATCH(F$7,Costs!$E$6:$O$6,0))</f>
        <v>26.741147851157763</v>
      </c>
      <c r="G478" s="86">
        <f>GDPdeflator!$C$38*INDEX(Costs!$E$7:$O$89,MATCH($C478,Costs!$C$7:$C$89,0),MATCH(G$7,Costs!$E$6:$O$6,0))</f>
        <v>32.660563417839661</v>
      </c>
      <c r="H478" s="86">
        <f>GDPdeflator!$C$38*INDEX(Costs!$E$7:$O$89,MATCH($C478,Costs!$C$7:$C$89,0),MATCH(H$7,Costs!$E$6:$O$6,0))</f>
        <v>33.475325327136623</v>
      </c>
      <c r="I478" s="86">
        <f>GDPdeflator!$C$38*INDEX(Costs!$E$7:$O$89,MATCH($C478,Costs!$C$7:$C$89,0),MATCH(I$7,Costs!$E$6:$O$6,0))</f>
        <v>34.482826612826422</v>
      </c>
      <c r="J478" s="86">
        <f>GDPdeflator!$C$38*INDEX(Costs!$E$7:$O$89,MATCH($C478,Costs!$C$7:$C$89,0),MATCH(J$7,Costs!$E$6:$O$6,0))</f>
        <v>34.50034837431668</v>
      </c>
      <c r="K478" s="86">
        <f>GDPdeflator!$C$38*INDEX(Costs!$E$7:$O$89,MATCH($C478,Costs!$C$7:$C$89,0),MATCH(K$7,Costs!$E$6:$O$6,0))</f>
        <v>34.517870135806938</v>
      </c>
      <c r="L478" s="86">
        <f>GDPdeflator!$C$38*INDEX(Costs!$E$7:$O$89,MATCH($C478,Costs!$C$7:$C$89,0),MATCH(L$7,Costs!$E$6:$O$6,0))</f>
        <v>34.552913658787446</v>
      </c>
      <c r="M478" s="86">
        <f>GDPdeflator!$C$38*INDEX(Costs!$E$7:$O$89,MATCH($C478,Costs!$C$7:$C$89,0),MATCH(M$7,Costs!$E$6:$O$6,0))</f>
        <v>34.552913658787446</v>
      </c>
      <c r="N478" s="86">
        <f>GDPdeflator!$C$38*INDEX(Costs!$E$7:$O$89,MATCH($C478,Costs!$C$7:$C$89,0),MATCH(N$7,Costs!$E$6:$O$6,0))</f>
        <v>34.552913658787446</v>
      </c>
      <c r="O478" s="86">
        <f>GDPdeflator!$C$38*INDEX(Costs!$E$7:$O$89,MATCH($C478,Costs!$C$7:$C$89,0),MATCH(O$7,Costs!$E$6:$O$6,0))</f>
        <v>34.552913658787446</v>
      </c>
      <c r="P478" s="87">
        <f t="shared" si="233"/>
        <v>0</v>
      </c>
      <c r="Q478" s="87">
        <f t="shared" si="229"/>
        <v>2232.8363081244497</v>
      </c>
      <c r="R478" s="87">
        <f t="shared" si="219"/>
        <v>2727.0965423421881</v>
      </c>
      <c r="S478" s="87">
        <f t="shared" si="220"/>
        <v>2795.1276524381706</v>
      </c>
      <c r="T478" s="87">
        <f t="shared" si="221"/>
        <v>2879.252143417074</v>
      </c>
      <c r="U478" s="87">
        <f t="shared" si="222"/>
        <v>2880.7151780427939</v>
      </c>
      <c r="V478" s="87">
        <f t="shared" si="223"/>
        <v>2882.1782126685143</v>
      </c>
      <c r="W478" s="87">
        <f t="shared" si="224"/>
        <v>2885.1042819199538</v>
      </c>
      <c r="X478" s="87">
        <f t="shared" si="225"/>
        <v>2885.1042819199538</v>
      </c>
      <c r="Y478" s="87">
        <f t="shared" si="226"/>
        <v>2885.1042819199538</v>
      </c>
      <c r="Z478" s="87">
        <f t="shared" si="227"/>
        <v>2885.1042819199538</v>
      </c>
      <c r="AA478" s="88">
        <v>500</v>
      </c>
      <c r="AB478" s="89">
        <f>AA478*GDPdeflator!$C$25/$AI$18*10^3</f>
        <v>48.0747492686653</v>
      </c>
      <c r="AC478" s="90" t="e">
        <f>INDEX(Efficiencies!$D$8:$M$89,MATCH(C478,Efficiencies!$C$8:$C$89),MATCH(D478,Efficiencies!$D$7:$M$7))</f>
        <v>#REF!</v>
      </c>
      <c r="AD478" s="90" t="e">
        <f t="shared" si="232"/>
        <v>#REF!</v>
      </c>
      <c r="AE478" s="90" t="e">
        <f>INDEX(Efficiencies!$P$8:$Y$89,MATCH(C478,Efficiencies!$C$8:$C$89),MATCH(D478,Efficiencies!$P$7:$Y$7))</f>
        <v>#REF!</v>
      </c>
      <c r="AF478" s="90" t="e">
        <f t="shared" ref="AF478:AF532" si="234">AE478/($AI$11*$AI$15*10 ^ 9)</f>
        <v>#REF!</v>
      </c>
      <c r="AG478" s="90" t="e">
        <f>AdditionalVehs!$C$33</f>
        <v>#REF!</v>
      </c>
    </row>
    <row r="479" spans="1:33" x14ac:dyDescent="0.2">
      <c r="A479" s="92" t="s">
        <v>1771</v>
      </c>
      <c r="B479" s="248" t="s">
        <v>1772</v>
      </c>
      <c r="C479" s="40" t="s">
        <v>1762</v>
      </c>
      <c r="D479" s="40">
        <v>2035</v>
      </c>
      <c r="E479" s="86">
        <f>GDPdeflator!$C$32*INDEX(Costs!$E$7:$O$89,MATCH($C479,Costs!$C$7:$C$89,0),MATCH(E$7,Costs!$E$6:$O$6,0))</f>
        <v>0</v>
      </c>
      <c r="F479" s="86">
        <f>GDPdeflator!$C$36*INDEX(Costs!$E$7:$O$89,MATCH($C479,Costs!$C$7:$C$89,0),MATCH(F$7,Costs!$E$6:$O$6,0))</f>
        <v>26.741147851157763</v>
      </c>
      <c r="G479" s="86">
        <f>GDPdeflator!$C$38*INDEX(Costs!$E$7:$O$89,MATCH($C479,Costs!$C$7:$C$89,0),MATCH(G$7,Costs!$E$6:$O$6,0))</f>
        <v>32.660563417839661</v>
      </c>
      <c r="H479" s="86">
        <f>GDPdeflator!$C$38*INDEX(Costs!$E$7:$O$89,MATCH($C479,Costs!$C$7:$C$89,0),MATCH(H$7,Costs!$E$6:$O$6,0))</f>
        <v>33.475325327136623</v>
      </c>
      <c r="I479" s="86">
        <f>GDPdeflator!$C$38*INDEX(Costs!$E$7:$O$89,MATCH($C479,Costs!$C$7:$C$89,0),MATCH(I$7,Costs!$E$6:$O$6,0))</f>
        <v>34.482826612826422</v>
      </c>
      <c r="J479" s="86">
        <f>GDPdeflator!$C$38*INDEX(Costs!$E$7:$O$89,MATCH($C479,Costs!$C$7:$C$89,0),MATCH(J$7,Costs!$E$6:$O$6,0))</f>
        <v>34.50034837431668</v>
      </c>
      <c r="K479" s="86">
        <f>GDPdeflator!$C$38*INDEX(Costs!$E$7:$O$89,MATCH($C479,Costs!$C$7:$C$89,0),MATCH(K$7,Costs!$E$6:$O$6,0))</f>
        <v>34.517870135806938</v>
      </c>
      <c r="L479" s="86">
        <f>GDPdeflator!$C$38*INDEX(Costs!$E$7:$O$89,MATCH($C479,Costs!$C$7:$C$89,0),MATCH(L$7,Costs!$E$6:$O$6,0))</f>
        <v>34.552913658787446</v>
      </c>
      <c r="M479" s="86">
        <f>GDPdeflator!$C$38*INDEX(Costs!$E$7:$O$89,MATCH($C479,Costs!$C$7:$C$89,0),MATCH(M$7,Costs!$E$6:$O$6,0))</f>
        <v>34.552913658787446</v>
      </c>
      <c r="N479" s="86">
        <f>GDPdeflator!$C$38*INDEX(Costs!$E$7:$O$89,MATCH($C479,Costs!$C$7:$C$89,0),MATCH(N$7,Costs!$E$6:$O$6,0))</f>
        <v>34.552913658787446</v>
      </c>
      <c r="O479" s="86">
        <f>GDPdeflator!$C$38*INDEX(Costs!$E$7:$O$89,MATCH($C479,Costs!$C$7:$C$89,0),MATCH(O$7,Costs!$E$6:$O$6,0))</f>
        <v>34.552913658787446</v>
      </c>
      <c r="P479" s="87">
        <f t="shared" si="233"/>
        <v>0</v>
      </c>
      <c r="Q479" s="87">
        <f t="shared" si="229"/>
        <v>2232.8363081244497</v>
      </c>
      <c r="R479" s="87">
        <f t="shared" si="219"/>
        <v>2727.0965423421881</v>
      </c>
      <c r="S479" s="87">
        <f t="shared" si="220"/>
        <v>2795.1276524381706</v>
      </c>
      <c r="T479" s="87">
        <f t="shared" si="221"/>
        <v>2879.252143417074</v>
      </c>
      <c r="U479" s="87">
        <f t="shared" si="222"/>
        <v>2880.7151780427939</v>
      </c>
      <c r="V479" s="87">
        <f t="shared" si="223"/>
        <v>2882.1782126685143</v>
      </c>
      <c r="W479" s="87">
        <f t="shared" si="224"/>
        <v>2885.1042819199538</v>
      </c>
      <c r="X479" s="87">
        <f t="shared" si="225"/>
        <v>2885.1042819199538</v>
      </c>
      <c r="Y479" s="87">
        <f t="shared" si="226"/>
        <v>2885.1042819199538</v>
      </c>
      <c r="Z479" s="87">
        <f t="shared" si="227"/>
        <v>2885.1042819199538</v>
      </c>
      <c r="AA479" s="88">
        <v>500</v>
      </c>
      <c r="AB479" s="89">
        <f>AA479*GDPdeflator!$C$25/$AI$18*10^3</f>
        <v>48.0747492686653</v>
      </c>
      <c r="AC479" s="90" t="e">
        <f>INDEX(Efficiencies!$D$8:$M$89,MATCH(C479,Efficiencies!$C$8:$C$89),MATCH(D479,Efficiencies!$D$7:$M$7))</f>
        <v>#REF!</v>
      </c>
      <c r="AD479" s="90" t="e">
        <f t="shared" si="232"/>
        <v>#REF!</v>
      </c>
      <c r="AE479" s="90" t="e">
        <f>INDEX(Efficiencies!$P$8:$Y$89,MATCH(C479,Efficiencies!$C$8:$C$89),MATCH(D479,Efficiencies!$P$7:$Y$7))</f>
        <v>#REF!</v>
      </c>
      <c r="AF479" s="90" t="e">
        <f t="shared" si="234"/>
        <v>#REF!</v>
      </c>
      <c r="AG479" s="90" t="e">
        <f>AdditionalVehs!$C$33</f>
        <v>#REF!</v>
      </c>
    </row>
    <row r="480" spans="1:33" x14ac:dyDescent="0.2">
      <c r="A480" s="92" t="s">
        <v>1773</v>
      </c>
      <c r="B480" s="248" t="s">
        <v>1774</v>
      </c>
      <c r="C480" s="40" t="s">
        <v>1762</v>
      </c>
      <c r="D480" s="40">
        <v>2040</v>
      </c>
      <c r="E480" s="86">
        <f>GDPdeflator!$C$32*INDEX(Costs!$E$7:$O$89,MATCH($C480,Costs!$C$7:$C$89,0),MATCH(E$7,Costs!$E$6:$O$6,0))</f>
        <v>0</v>
      </c>
      <c r="F480" s="86">
        <f>GDPdeflator!$C$36*INDEX(Costs!$E$7:$O$89,MATCH($C480,Costs!$C$7:$C$89,0),MATCH(F$7,Costs!$E$6:$O$6,0))</f>
        <v>26.741147851157763</v>
      </c>
      <c r="G480" s="86">
        <f>GDPdeflator!$C$38*INDEX(Costs!$E$7:$O$89,MATCH($C480,Costs!$C$7:$C$89,0),MATCH(G$7,Costs!$E$6:$O$6,0))</f>
        <v>32.660563417839661</v>
      </c>
      <c r="H480" s="86">
        <f>GDPdeflator!$C$38*INDEX(Costs!$E$7:$O$89,MATCH($C480,Costs!$C$7:$C$89,0),MATCH(H$7,Costs!$E$6:$O$6,0))</f>
        <v>33.475325327136623</v>
      </c>
      <c r="I480" s="86">
        <f>GDPdeflator!$C$38*INDEX(Costs!$E$7:$O$89,MATCH($C480,Costs!$C$7:$C$89,0),MATCH(I$7,Costs!$E$6:$O$6,0))</f>
        <v>34.482826612826422</v>
      </c>
      <c r="J480" s="86">
        <f>GDPdeflator!$C$38*INDEX(Costs!$E$7:$O$89,MATCH($C480,Costs!$C$7:$C$89,0),MATCH(J$7,Costs!$E$6:$O$6,0))</f>
        <v>34.50034837431668</v>
      </c>
      <c r="K480" s="86">
        <f>GDPdeflator!$C$38*INDEX(Costs!$E$7:$O$89,MATCH($C480,Costs!$C$7:$C$89,0),MATCH(K$7,Costs!$E$6:$O$6,0))</f>
        <v>34.517870135806938</v>
      </c>
      <c r="L480" s="86">
        <f>GDPdeflator!$C$38*INDEX(Costs!$E$7:$O$89,MATCH($C480,Costs!$C$7:$C$89,0),MATCH(L$7,Costs!$E$6:$O$6,0))</f>
        <v>34.552913658787446</v>
      </c>
      <c r="M480" s="86">
        <f>GDPdeflator!$C$38*INDEX(Costs!$E$7:$O$89,MATCH($C480,Costs!$C$7:$C$89,0),MATCH(M$7,Costs!$E$6:$O$6,0))</f>
        <v>34.552913658787446</v>
      </c>
      <c r="N480" s="86">
        <f>GDPdeflator!$C$38*INDEX(Costs!$E$7:$O$89,MATCH($C480,Costs!$C$7:$C$89,0),MATCH(N$7,Costs!$E$6:$O$6,0))</f>
        <v>34.552913658787446</v>
      </c>
      <c r="O480" s="86">
        <f>GDPdeflator!$C$38*INDEX(Costs!$E$7:$O$89,MATCH($C480,Costs!$C$7:$C$89,0),MATCH(O$7,Costs!$E$6:$O$6,0))</f>
        <v>34.552913658787446</v>
      </c>
      <c r="P480" s="87">
        <f t="shared" si="233"/>
        <v>0</v>
      </c>
      <c r="Q480" s="87">
        <f t="shared" si="229"/>
        <v>2232.8363081244497</v>
      </c>
      <c r="R480" s="87">
        <f t="shared" si="219"/>
        <v>2727.0965423421881</v>
      </c>
      <c r="S480" s="87">
        <f t="shared" si="220"/>
        <v>2795.1276524381706</v>
      </c>
      <c r="T480" s="87">
        <f t="shared" si="221"/>
        <v>2879.252143417074</v>
      </c>
      <c r="U480" s="87">
        <f t="shared" si="222"/>
        <v>2880.7151780427939</v>
      </c>
      <c r="V480" s="87">
        <f t="shared" si="223"/>
        <v>2882.1782126685143</v>
      </c>
      <c r="W480" s="87">
        <f t="shared" si="224"/>
        <v>2885.1042819199538</v>
      </c>
      <c r="X480" s="87">
        <f t="shared" si="225"/>
        <v>2885.1042819199538</v>
      </c>
      <c r="Y480" s="87">
        <f t="shared" si="226"/>
        <v>2885.1042819199538</v>
      </c>
      <c r="Z480" s="87">
        <f t="shared" si="227"/>
        <v>2885.1042819199538</v>
      </c>
      <c r="AA480" s="88">
        <v>500</v>
      </c>
      <c r="AB480" s="89">
        <f>AA480*GDPdeflator!$C$25/$AI$18*10^3</f>
        <v>48.0747492686653</v>
      </c>
      <c r="AC480" s="90" t="e">
        <f>INDEX(Efficiencies!$D$8:$M$89,MATCH(C480,Efficiencies!$C$8:$C$89),MATCH(D480,Efficiencies!$D$7:$M$7))</f>
        <v>#REF!</v>
      </c>
      <c r="AD480" s="90" t="e">
        <f t="shared" si="232"/>
        <v>#REF!</v>
      </c>
      <c r="AE480" s="90" t="e">
        <f>INDEX(Efficiencies!$P$8:$Y$89,MATCH(C480,Efficiencies!$C$8:$C$89),MATCH(D480,Efficiencies!$P$7:$Y$7))</f>
        <v>#REF!</v>
      </c>
      <c r="AF480" s="90" t="e">
        <f t="shared" si="234"/>
        <v>#REF!</v>
      </c>
      <c r="AG480" s="90" t="e">
        <f>AdditionalVehs!$C$33</f>
        <v>#REF!</v>
      </c>
    </row>
    <row r="481" spans="1:33" x14ac:dyDescent="0.2">
      <c r="A481" s="92" t="s">
        <v>1775</v>
      </c>
      <c r="B481" s="248" t="s">
        <v>1776</v>
      </c>
      <c r="C481" s="40" t="s">
        <v>1762</v>
      </c>
      <c r="D481" s="40">
        <v>2045</v>
      </c>
      <c r="E481" s="86">
        <f>GDPdeflator!$C$32*INDEX(Costs!$E$7:$O$89,MATCH($C481,Costs!$C$7:$C$89,0),MATCH(E$7,Costs!$E$6:$O$6,0))</f>
        <v>0</v>
      </c>
      <c r="F481" s="86">
        <f>GDPdeflator!$C$36*INDEX(Costs!$E$7:$O$89,MATCH($C481,Costs!$C$7:$C$89,0),MATCH(F$7,Costs!$E$6:$O$6,0))</f>
        <v>26.741147851157763</v>
      </c>
      <c r="G481" s="86">
        <f>GDPdeflator!$C$38*INDEX(Costs!$E$7:$O$89,MATCH($C481,Costs!$C$7:$C$89,0),MATCH(G$7,Costs!$E$6:$O$6,0))</f>
        <v>32.660563417839661</v>
      </c>
      <c r="H481" s="86">
        <f>GDPdeflator!$C$38*INDEX(Costs!$E$7:$O$89,MATCH($C481,Costs!$C$7:$C$89,0),MATCH(H$7,Costs!$E$6:$O$6,0))</f>
        <v>33.475325327136623</v>
      </c>
      <c r="I481" s="86">
        <f>GDPdeflator!$C$38*INDEX(Costs!$E$7:$O$89,MATCH($C481,Costs!$C$7:$C$89,0),MATCH(I$7,Costs!$E$6:$O$6,0))</f>
        <v>34.482826612826422</v>
      </c>
      <c r="J481" s="86">
        <f>GDPdeflator!$C$38*INDEX(Costs!$E$7:$O$89,MATCH($C481,Costs!$C$7:$C$89,0),MATCH(J$7,Costs!$E$6:$O$6,0))</f>
        <v>34.50034837431668</v>
      </c>
      <c r="K481" s="86">
        <f>GDPdeflator!$C$38*INDEX(Costs!$E$7:$O$89,MATCH($C481,Costs!$C$7:$C$89,0),MATCH(K$7,Costs!$E$6:$O$6,0))</f>
        <v>34.517870135806938</v>
      </c>
      <c r="L481" s="86">
        <f>GDPdeflator!$C$38*INDEX(Costs!$E$7:$O$89,MATCH($C481,Costs!$C$7:$C$89,0),MATCH(L$7,Costs!$E$6:$O$6,0))</f>
        <v>34.552913658787446</v>
      </c>
      <c r="M481" s="86">
        <f>GDPdeflator!$C$38*INDEX(Costs!$E$7:$O$89,MATCH($C481,Costs!$C$7:$C$89,0),MATCH(M$7,Costs!$E$6:$O$6,0))</f>
        <v>34.552913658787446</v>
      </c>
      <c r="N481" s="86">
        <f>GDPdeflator!$C$38*INDEX(Costs!$E$7:$O$89,MATCH($C481,Costs!$C$7:$C$89,0),MATCH(N$7,Costs!$E$6:$O$6,0))</f>
        <v>34.552913658787446</v>
      </c>
      <c r="O481" s="86">
        <f>GDPdeflator!$C$38*INDEX(Costs!$E$7:$O$89,MATCH($C481,Costs!$C$7:$C$89,0),MATCH(O$7,Costs!$E$6:$O$6,0))</f>
        <v>34.552913658787446</v>
      </c>
      <c r="P481" s="87">
        <f t="shared" si="233"/>
        <v>0</v>
      </c>
      <c r="Q481" s="87">
        <f t="shared" si="229"/>
        <v>2232.8363081244497</v>
      </c>
      <c r="R481" s="87">
        <f t="shared" si="219"/>
        <v>2727.0965423421881</v>
      </c>
      <c r="S481" s="87">
        <f t="shared" si="220"/>
        <v>2795.1276524381706</v>
      </c>
      <c r="T481" s="87">
        <f t="shared" si="221"/>
        <v>2879.252143417074</v>
      </c>
      <c r="U481" s="87">
        <f t="shared" si="222"/>
        <v>2880.7151780427939</v>
      </c>
      <c r="V481" s="87">
        <f t="shared" si="223"/>
        <v>2882.1782126685143</v>
      </c>
      <c r="W481" s="87">
        <f t="shared" si="224"/>
        <v>2885.1042819199538</v>
      </c>
      <c r="X481" s="87">
        <f t="shared" si="225"/>
        <v>2885.1042819199538</v>
      </c>
      <c r="Y481" s="87">
        <f t="shared" si="226"/>
        <v>2885.1042819199538</v>
      </c>
      <c r="Z481" s="87">
        <f t="shared" si="227"/>
        <v>2885.1042819199538</v>
      </c>
      <c r="AA481" s="88">
        <v>500</v>
      </c>
      <c r="AB481" s="89">
        <f>AA481*GDPdeflator!$C$25/$AI$18*10^3</f>
        <v>48.0747492686653</v>
      </c>
      <c r="AC481" s="90" t="e">
        <f>INDEX(Efficiencies!$D$8:$M$89,MATCH(C481,Efficiencies!$C$8:$C$89),MATCH(D481,Efficiencies!$D$7:$M$7))</f>
        <v>#REF!</v>
      </c>
      <c r="AD481" s="90" t="e">
        <f t="shared" si="232"/>
        <v>#REF!</v>
      </c>
      <c r="AE481" s="90" t="e">
        <f>INDEX(Efficiencies!$P$8:$Y$89,MATCH(C481,Efficiencies!$C$8:$C$89),MATCH(D481,Efficiencies!$P$7:$Y$7))</f>
        <v>#REF!</v>
      </c>
      <c r="AF481" s="90" t="e">
        <f t="shared" si="234"/>
        <v>#REF!</v>
      </c>
      <c r="AG481" s="90" t="e">
        <f>AdditionalVehs!$C$33</f>
        <v>#REF!</v>
      </c>
    </row>
    <row r="482" spans="1:33" x14ac:dyDescent="0.2">
      <c r="A482" s="92" t="s">
        <v>1777</v>
      </c>
      <c r="B482" s="248" t="s">
        <v>1778</v>
      </c>
      <c r="C482" s="40" t="s">
        <v>1762</v>
      </c>
      <c r="D482" s="40">
        <v>2050</v>
      </c>
      <c r="E482" s="86">
        <f>GDPdeflator!$C$32*INDEX(Costs!$E$7:$O$89,MATCH($C482,Costs!$C$7:$C$89,0),MATCH(E$7,Costs!$E$6:$O$6,0))</f>
        <v>0</v>
      </c>
      <c r="F482" s="86">
        <f>GDPdeflator!$C$36*INDEX(Costs!$E$7:$O$89,MATCH($C482,Costs!$C$7:$C$89,0),MATCH(F$7,Costs!$E$6:$O$6,0))</f>
        <v>26.741147851157763</v>
      </c>
      <c r="G482" s="86">
        <f>GDPdeflator!$C$38*INDEX(Costs!$E$7:$O$89,MATCH($C482,Costs!$C$7:$C$89,0),MATCH(G$7,Costs!$E$6:$O$6,0))</f>
        <v>32.660563417839661</v>
      </c>
      <c r="H482" s="86">
        <f>GDPdeflator!$C$38*INDEX(Costs!$E$7:$O$89,MATCH($C482,Costs!$C$7:$C$89,0),MATCH(H$7,Costs!$E$6:$O$6,0))</f>
        <v>33.475325327136623</v>
      </c>
      <c r="I482" s="86">
        <f>GDPdeflator!$C$38*INDEX(Costs!$E$7:$O$89,MATCH($C482,Costs!$C$7:$C$89,0),MATCH(I$7,Costs!$E$6:$O$6,0))</f>
        <v>34.482826612826422</v>
      </c>
      <c r="J482" s="86">
        <f>GDPdeflator!$C$38*INDEX(Costs!$E$7:$O$89,MATCH($C482,Costs!$C$7:$C$89,0),MATCH(J$7,Costs!$E$6:$O$6,0))</f>
        <v>34.50034837431668</v>
      </c>
      <c r="K482" s="86">
        <f>GDPdeflator!$C$38*INDEX(Costs!$E$7:$O$89,MATCH($C482,Costs!$C$7:$C$89,0),MATCH(K$7,Costs!$E$6:$O$6,0))</f>
        <v>34.517870135806938</v>
      </c>
      <c r="L482" s="86">
        <f>GDPdeflator!$C$38*INDEX(Costs!$E$7:$O$89,MATCH($C482,Costs!$C$7:$C$89,0),MATCH(L$7,Costs!$E$6:$O$6,0))</f>
        <v>34.552913658787446</v>
      </c>
      <c r="M482" s="86">
        <f>GDPdeflator!$C$38*INDEX(Costs!$E$7:$O$89,MATCH($C482,Costs!$C$7:$C$89,0),MATCH(M$7,Costs!$E$6:$O$6,0))</f>
        <v>34.552913658787446</v>
      </c>
      <c r="N482" s="86">
        <f>GDPdeflator!$C$38*INDEX(Costs!$E$7:$O$89,MATCH($C482,Costs!$C$7:$C$89,0),MATCH(N$7,Costs!$E$6:$O$6,0))</f>
        <v>34.552913658787446</v>
      </c>
      <c r="O482" s="86">
        <f>GDPdeflator!$C$38*INDEX(Costs!$E$7:$O$89,MATCH($C482,Costs!$C$7:$C$89,0),MATCH(O$7,Costs!$E$6:$O$6,0))</f>
        <v>34.552913658787446</v>
      </c>
      <c r="P482" s="87">
        <f t="shared" si="233"/>
        <v>0</v>
      </c>
      <c r="Q482" s="87">
        <f t="shared" si="229"/>
        <v>2232.8363081244497</v>
      </c>
      <c r="R482" s="87">
        <f t="shared" si="219"/>
        <v>2727.0965423421881</v>
      </c>
      <c r="S482" s="87">
        <f t="shared" si="220"/>
        <v>2795.1276524381706</v>
      </c>
      <c r="T482" s="87">
        <f t="shared" si="221"/>
        <v>2879.252143417074</v>
      </c>
      <c r="U482" s="87">
        <f t="shared" si="222"/>
        <v>2880.7151780427939</v>
      </c>
      <c r="V482" s="87">
        <f t="shared" si="223"/>
        <v>2882.1782126685143</v>
      </c>
      <c r="W482" s="87">
        <f t="shared" si="224"/>
        <v>2885.1042819199538</v>
      </c>
      <c r="X482" s="87">
        <f t="shared" si="225"/>
        <v>2885.1042819199538</v>
      </c>
      <c r="Y482" s="87">
        <f t="shared" si="226"/>
        <v>2885.1042819199538</v>
      </c>
      <c r="Z482" s="87">
        <f t="shared" si="227"/>
        <v>2885.1042819199538</v>
      </c>
      <c r="AA482" s="88">
        <v>500</v>
      </c>
      <c r="AB482" s="89">
        <f>AA482*GDPdeflator!$C$25/$AI$18*10^3</f>
        <v>48.0747492686653</v>
      </c>
      <c r="AC482" s="90" t="e">
        <f>INDEX(Efficiencies!$D$8:$M$89,MATCH(C482,Efficiencies!$C$8:$C$89),MATCH(D482,Efficiencies!$D$7:$M$7))</f>
        <v>#REF!</v>
      </c>
      <c r="AD482" s="90" t="e">
        <f t="shared" si="232"/>
        <v>#REF!</v>
      </c>
      <c r="AE482" s="90" t="e">
        <f>INDEX(Efficiencies!$P$8:$Y$89,MATCH(C482,Efficiencies!$C$8:$C$89),MATCH(D482,Efficiencies!$P$7:$Y$7))</f>
        <v>#REF!</v>
      </c>
      <c r="AF482" s="90" t="e">
        <f t="shared" si="234"/>
        <v>#REF!</v>
      </c>
      <c r="AG482" s="90" t="e">
        <f>AdditionalVehs!$C$33</f>
        <v>#REF!</v>
      </c>
    </row>
    <row r="483" spans="1:33" x14ac:dyDescent="0.2">
      <c r="A483" s="92" t="s">
        <v>1779</v>
      </c>
      <c r="B483" s="248" t="s">
        <v>1780</v>
      </c>
      <c r="C483" s="40" t="s">
        <v>1781</v>
      </c>
      <c r="D483" s="40">
        <v>2060</v>
      </c>
      <c r="E483" s="86">
        <f>GDPdeflator!$C$32*INDEX(Costs!$E$7:$O$89,MATCH($C483,Costs!$C$7:$C$89,0),MATCH(E$7,Costs!$E$6:$O$6,0))</f>
        <v>23.549355807420319</v>
      </c>
      <c r="F483" s="86">
        <f>GDPdeflator!$C$36*INDEX(Costs!$E$7:$O$89,MATCH($C483,Costs!$C$7:$C$89,0),MATCH(F$7,Costs!$E$6:$O$6,0))</f>
        <v>21.353275069826111</v>
      </c>
      <c r="G483" s="86">
        <f>GDPdeflator!$C$38*INDEX(Costs!$E$7:$O$89,MATCH($C483,Costs!$C$7:$C$89,0),MATCH(G$7,Costs!$E$6:$O$6,0))</f>
        <v>22.962268432982228</v>
      </c>
      <c r="H483" s="86">
        <f>GDPdeflator!$C$38*INDEX(Costs!$E$7:$O$89,MATCH($C483,Costs!$C$7:$C$89,0),MATCH(H$7,Costs!$E$6:$O$6,0))</f>
        <v>23.741986819298681</v>
      </c>
      <c r="I483" s="86">
        <f>GDPdeflator!$C$38*INDEX(Costs!$E$7:$O$89,MATCH($C483,Costs!$C$7:$C$89,0),MATCH(I$7,Costs!$E$6:$O$6,0))</f>
        <v>24.644357536046932</v>
      </c>
      <c r="J483" s="86">
        <f>GDPdeflator!$C$38*INDEX(Costs!$E$7:$O$89,MATCH($C483,Costs!$C$7:$C$89,0),MATCH(J$7,Costs!$E$6:$O$6,0))</f>
        <v>24.705683701262831</v>
      </c>
      <c r="K483" s="86">
        <f>GDPdeflator!$C$38*INDEX(Costs!$E$7:$O$89,MATCH($C483,Costs!$C$7:$C$89,0),MATCH(K$7,Costs!$E$6:$O$6,0))</f>
        <v>24.731966343498218</v>
      </c>
      <c r="L483" s="86">
        <f>GDPdeflator!$C$38*INDEX(Costs!$E$7:$O$89,MATCH($C483,Costs!$C$7:$C$89,0),MATCH(L$7,Costs!$E$6:$O$6,0))</f>
        <v>24.749488104988476</v>
      </c>
      <c r="M483" s="86">
        <f>GDPdeflator!$C$38*INDEX(Costs!$E$7:$O$89,MATCH($C483,Costs!$C$7:$C$89,0),MATCH(M$7,Costs!$E$6:$O$6,0))</f>
        <v>24.749488104988476</v>
      </c>
      <c r="N483" s="86">
        <f>GDPdeflator!$C$38*INDEX(Costs!$E$7:$O$89,MATCH($C483,Costs!$C$7:$C$89,0),MATCH(N$7,Costs!$E$6:$O$6,0))</f>
        <v>24.749488104988476</v>
      </c>
      <c r="O483" s="86">
        <f>GDPdeflator!$C$38*INDEX(Costs!$E$7:$O$89,MATCH($C483,Costs!$C$7:$C$89,0),MATCH(O$7,Costs!$E$6:$O$6,0))</f>
        <v>24.749488104988476</v>
      </c>
      <c r="P483" s="87">
        <f>E483/$AI$18*10^6</f>
        <v>1966.3275852039728</v>
      </c>
      <c r="Q483" s="87">
        <f t="shared" si="229"/>
        <v>1782.9589118109654</v>
      </c>
      <c r="R483" s="87">
        <f t="shared" si="219"/>
        <v>1917.3068770061359</v>
      </c>
      <c r="S483" s="87">
        <f t="shared" si="220"/>
        <v>1982.4119178506785</v>
      </c>
      <c r="T483" s="87">
        <f t="shared" si="221"/>
        <v>2057.7582010752612</v>
      </c>
      <c r="U483" s="87">
        <f t="shared" si="222"/>
        <v>2062.8788222652815</v>
      </c>
      <c r="V483" s="87">
        <f t="shared" si="223"/>
        <v>2065.0733742038615</v>
      </c>
      <c r="W483" s="87">
        <f t="shared" si="224"/>
        <v>2066.5364088295814</v>
      </c>
      <c r="X483" s="87">
        <f t="shared" si="225"/>
        <v>2066.5364088295814</v>
      </c>
      <c r="Y483" s="87">
        <f t="shared" si="226"/>
        <v>2066.5364088295814</v>
      </c>
      <c r="Z483" s="87">
        <f t="shared" si="227"/>
        <v>2066.5364088295814</v>
      </c>
      <c r="AA483" s="88">
        <v>450</v>
      </c>
      <c r="AB483" s="89">
        <f>AA483*GDPdeflator!$C$25/$AI$18*10^3</f>
        <v>43.267274341798768</v>
      </c>
      <c r="AC483" s="90" t="e">
        <f>INDEX(Efficiencies!$D$8:$M$89,MATCH(C483,Efficiencies!$C$8:$C$89),MATCH(D483,Efficiencies!$D$7:$M$7))</f>
        <v>#REF!</v>
      </c>
      <c r="AD483" s="90" t="e">
        <f t="shared" si="232"/>
        <v>#REF!</v>
      </c>
      <c r="AE483" s="90" t="e">
        <f>INDEX(Efficiencies!$P$8:$Y$89,MATCH(C483,Efficiencies!$C$8:$C$89),MATCH(D483,Efficiencies!$P$7:$Y$7))</f>
        <v>#REF!</v>
      </c>
      <c r="AF483" s="90" t="e">
        <f t="shared" si="234"/>
        <v>#REF!</v>
      </c>
      <c r="AG483" s="90">
        <v>0</v>
      </c>
    </row>
    <row r="484" spans="1:33" x14ac:dyDescent="0.2">
      <c r="A484" s="92" t="s">
        <v>1782</v>
      </c>
      <c r="B484" s="248" t="s">
        <v>1783</v>
      </c>
      <c r="C484" s="40" t="s">
        <v>1781</v>
      </c>
      <c r="D484" s="40">
        <v>2005</v>
      </c>
      <c r="E484" s="86">
        <f>GDPdeflator!$C$32*INDEX(Costs!$E$7:$O$89,MATCH($C484,Costs!$C$7:$C$89,0),MATCH(E$7,Costs!$E$6:$O$6,0))</f>
        <v>23.549355807420319</v>
      </c>
      <c r="F484" s="86">
        <f>GDPdeflator!$C$36*INDEX(Costs!$E$7:$O$89,MATCH($C484,Costs!$C$7:$C$89,0),MATCH(F$7,Costs!$E$6:$O$6,0))</f>
        <v>21.353275069826111</v>
      </c>
      <c r="G484" s="86">
        <f>GDPdeflator!$C$38*INDEX(Costs!$E$7:$O$89,MATCH($C484,Costs!$C$7:$C$89,0),MATCH(G$7,Costs!$E$6:$O$6,0))</f>
        <v>22.962268432982228</v>
      </c>
      <c r="H484" s="86">
        <f>GDPdeflator!$C$38*INDEX(Costs!$E$7:$O$89,MATCH($C484,Costs!$C$7:$C$89,0),MATCH(H$7,Costs!$E$6:$O$6,0))</f>
        <v>23.741986819298681</v>
      </c>
      <c r="I484" s="86">
        <f>GDPdeflator!$C$38*INDEX(Costs!$E$7:$O$89,MATCH($C484,Costs!$C$7:$C$89,0),MATCH(I$7,Costs!$E$6:$O$6,0))</f>
        <v>24.644357536046932</v>
      </c>
      <c r="J484" s="86">
        <f>GDPdeflator!$C$38*INDEX(Costs!$E$7:$O$89,MATCH($C484,Costs!$C$7:$C$89,0),MATCH(J$7,Costs!$E$6:$O$6,0))</f>
        <v>24.705683701262831</v>
      </c>
      <c r="K484" s="86">
        <f>GDPdeflator!$C$38*INDEX(Costs!$E$7:$O$89,MATCH($C484,Costs!$C$7:$C$89,0),MATCH(K$7,Costs!$E$6:$O$6,0))</f>
        <v>24.731966343498218</v>
      </c>
      <c r="L484" s="86">
        <f>GDPdeflator!$C$38*INDEX(Costs!$E$7:$O$89,MATCH($C484,Costs!$C$7:$C$89,0),MATCH(L$7,Costs!$E$6:$O$6,0))</f>
        <v>24.749488104988476</v>
      </c>
      <c r="M484" s="86">
        <f>GDPdeflator!$C$38*INDEX(Costs!$E$7:$O$89,MATCH($C484,Costs!$C$7:$C$89,0),MATCH(M$7,Costs!$E$6:$O$6,0))</f>
        <v>24.749488104988476</v>
      </c>
      <c r="N484" s="86">
        <f>GDPdeflator!$C$38*INDEX(Costs!$E$7:$O$89,MATCH($C484,Costs!$C$7:$C$89,0),MATCH(N$7,Costs!$E$6:$O$6,0))</f>
        <v>24.749488104988476</v>
      </c>
      <c r="O484" s="86">
        <f>GDPdeflator!$C$38*INDEX(Costs!$E$7:$O$89,MATCH($C484,Costs!$C$7:$C$89,0),MATCH(O$7,Costs!$E$6:$O$6,0))</f>
        <v>24.749488104988476</v>
      </c>
      <c r="P484" s="87">
        <f t="shared" ref="P484:P493" si="235">E484/$AI$18*10^6</f>
        <v>1966.3275852039728</v>
      </c>
      <c r="Q484" s="87">
        <f t="shared" si="229"/>
        <v>1782.9589118109654</v>
      </c>
      <c r="R484" s="87">
        <f t="shared" si="219"/>
        <v>1917.3068770061359</v>
      </c>
      <c r="S484" s="87">
        <f t="shared" si="220"/>
        <v>1982.4119178506785</v>
      </c>
      <c r="T484" s="87">
        <f t="shared" si="221"/>
        <v>2057.7582010752612</v>
      </c>
      <c r="U484" s="87">
        <f t="shared" si="222"/>
        <v>2062.8788222652815</v>
      </c>
      <c r="V484" s="87">
        <f t="shared" si="223"/>
        <v>2065.0733742038615</v>
      </c>
      <c r="W484" s="87">
        <f t="shared" si="224"/>
        <v>2066.5364088295814</v>
      </c>
      <c r="X484" s="87">
        <f t="shared" si="225"/>
        <v>2066.5364088295814</v>
      </c>
      <c r="Y484" s="87">
        <f t="shared" si="226"/>
        <v>2066.5364088295814</v>
      </c>
      <c r="Z484" s="87">
        <f t="shared" si="227"/>
        <v>2066.5364088295814</v>
      </c>
      <c r="AA484" s="88">
        <v>450</v>
      </c>
      <c r="AB484" s="89">
        <f>AA484*GDPdeflator!$C$25/$AI$18*10^3</f>
        <v>43.267274341798768</v>
      </c>
      <c r="AC484" s="90" t="e">
        <f>INDEX(Efficiencies!$D$8:$M$89,MATCH(C484,Efficiencies!$C$8:$C$89),MATCH(D484,Efficiencies!$D$7:$M$7))</f>
        <v>#REF!</v>
      </c>
      <c r="AD484" s="90" t="e">
        <f t="shared" si="232"/>
        <v>#REF!</v>
      </c>
      <c r="AE484" s="90" t="e">
        <f>INDEX(Efficiencies!$P$8:$Y$89,MATCH(C484,Efficiencies!$C$8:$C$89),MATCH(D484,Efficiencies!$P$7:$Y$7))</f>
        <v>#REF!</v>
      </c>
      <c r="AF484" s="90" t="e">
        <f t="shared" si="234"/>
        <v>#REF!</v>
      </c>
      <c r="AG484" s="90">
        <v>0</v>
      </c>
    </row>
    <row r="485" spans="1:33" x14ac:dyDescent="0.2">
      <c r="A485" s="92" t="s">
        <v>1784</v>
      </c>
      <c r="B485" s="248" t="s">
        <v>1785</v>
      </c>
      <c r="C485" s="40" t="s">
        <v>1781</v>
      </c>
      <c r="D485" s="40">
        <v>2010</v>
      </c>
      <c r="E485" s="86">
        <f>GDPdeflator!$C$32*INDEX(Costs!$E$7:$O$89,MATCH($C485,Costs!$C$7:$C$89,0),MATCH(E$7,Costs!$E$6:$O$6,0))</f>
        <v>23.549355807420319</v>
      </c>
      <c r="F485" s="86">
        <f>GDPdeflator!$C$36*INDEX(Costs!$E$7:$O$89,MATCH($C485,Costs!$C$7:$C$89,0),MATCH(F$7,Costs!$E$6:$O$6,0))</f>
        <v>21.353275069826111</v>
      </c>
      <c r="G485" s="86">
        <f>GDPdeflator!$C$38*INDEX(Costs!$E$7:$O$89,MATCH($C485,Costs!$C$7:$C$89,0),MATCH(G$7,Costs!$E$6:$O$6,0))</f>
        <v>22.962268432982228</v>
      </c>
      <c r="H485" s="86">
        <f>GDPdeflator!$C$38*INDEX(Costs!$E$7:$O$89,MATCH($C485,Costs!$C$7:$C$89,0),MATCH(H$7,Costs!$E$6:$O$6,0))</f>
        <v>23.741986819298681</v>
      </c>
      <c r="I485" s="86">
        <f>GDPdeflator!$C$38*INDEX(Costs!$E$7:$O$89,MATCH($C485,Costs!$C$7:$C$89,0),MATCH(I$7,Costs!$E$6:$O$6,0))</f>
        <v>24.644357536046932</v>
      </c>
      <c r="J485" s="86">
        <f>GDPdeflator!$C$38*INDEX(Costs!$E$7:$O$89,MATCH($C485,Costs!$C$7:$C$89,0),MATCH(J$7,Costs!$E$6:$O$6,0))</f>
        <v>24.705683701262831</v>
      </c>
      <c r="K485" s="86">
        <f>GDPdeflator!$C$38*INDEX(Costs!$E$7:$O$89,MATCH($C485,Costs!$C$7:$C$89,0),MATCH(K$7,Costs!$E$6:$O$6,0))</f>
        <v>24.731966343498218</v>
      </c>
      <c r="L485" s="86">
        <f>GDPdeflator!$C$38*INDEX(Costs!$E$7:$O$89,MATCH($C485,Costs!$C$7:$C$89,0),MATCH(L$7,Costs!$E$6:$O$6,0))</f>
        <v>24.749488104988476</v>
      </c>
      <c r="M485" s="86">
        <f>GDPdeflator!$C$38*INDEX(Costs!$E$7:$O$89,MATCH($C485,Costs!$C$7:$C$89,0),MATCH(M$7,Costs!$E$6:$O$6,0))</f>
        <v>24.749488104988476</v>
      </c>
      <c r="N485" s="86">
        <f>GDPdeflator!$C$38*INDEX(Costs!$E$7:$O$89,MATCH($C485,Costs!$C$7:$C$89,0),MATCH(N$7,Costs!$E$6:$O$6,0))</f>
        <v>24.749488104988476</v>
      </c>
      <c r="O485" s="86">
        <f>GDPdeflator!$C$38*INDEX(Costs!$E$7:$O$89,MATCH($C485,Costs!$C$7:$C$89,0),MATCH(O$7,Costs!$E$6:$O$6,0))</f>
        <v>24.749488104988476</v>
      </c>
      <c r="P485" s="87">
        <f t="shared" si="235"/>
        <v>1966.3275852039728</v>
      </c>
      <c r="Q485" s="87">
        <f t="shared" si="229"/>
        <v>1782.9589118109654</v>
      </c>
      <c r="R485" s="87">
        <f t="shared" si="219"/>
        <v>1917.3068770061359</v>
      </c>
      <c r="S485" s="87">
        <f t="shared" si="220"/>
        <v>1982.4119178506785</v>
      </c>
      <c r="T485" s="87">
        <f t="shared" si="221"/>
        <v>2057.7582010752612</v>
      </c>
      <c r="U485" s="87">
        <f t="shared" si="222"/>
        <v>2062.8788222652815</v>
      </c>
      <c r="V485" s="87">
        <f t="shared" si="223"/>
        <v>2065.0733742038615</v>
      </c>
      <c r="W485" s="87">
        <f t="shared" si="224"/>
        <v>2066.5364088295814</v>
      </c>
      <c r="X485" s="87">
        <f t="shared" si="225"/>
        <v>2066.5364088295814</v>
      </c>
      <c r="Y485" s="87">
        <f t="shared" si="226"/>
        <v>2066.5364088295814</v>
      </c>
      <c r="Z485" s="87">
        <f t="shared" si="227"/>
        <v>2066.5364088295814</v>
      </c>
      <c r="AA485" s="88">
        <v>450</v>
      </c>
      <c r="AB485" s="89">
        <f>AA485*GDPdeflator!$C$25/$AI$18*10^3</f>
        <v>43.267274341798768</v>
      </c>
      <c r="AC485" s="90" t="e">
        <f>INDEX(Efficiencies!$D$8:$M$89,MATCH(C485,Efficiencies!$C$8:$C$89),MATCH(D485,Efficiencies!$D$7:$M$7))</f>
        <v>#REF!</v>
      </c>
      <c r="AD485" s="90" t="e">
        <f t="shared" si="232"/>
        <v>#REF!</v>
      </c>
      <c r="AE485" s="90" t="e">
        <f>INDEX(Efficiencies!$P$8:$Y$89,MATCH(C485,Efficiencies!$C$8:$C$89),MATCH(D485,Efficiencies!$P$7:$Y$7))</f>
        <v>#REF!</v>
      </c>
      <c r="AF485" s="90" t="e">
        <f t="shared" si="234"/>
        <v>#REF!</v>
      </c>
      <c r="AG485" s="90">
        <v>0</v>
      </c>
    </row>
    <row r="486" spans="1:33" x14ac:dyDescent="0.2">
      <c r="A486" s="92" t="s">
        <v>1786</v>
      </c>
      <c r="B486" s="248" t="s">
        <v>1787</v>
      </c>
      <c r="C486" s="40" t="s">
        <v>1781</v>
      </c>
      <c r="D486" s="40">
        <v>2015</v>
      </c>
      <c r="E486" s="86">
        <f>GDPdeflator!$C$32*INDEX(Costs!$E$7:$O$89,MATCH($C486,Costs!$C$7:$C$89,0),MATCH(E$7,Costs!$E$6:$O$6,0))</f>
        <v>23.549355807420319</v>
      </c>
      <c r="F486" s="86">
        <f>GDPdeflator!$C$36*INDEX(Costs!$E$7:$O$89,MATCH($C486,Costs!$C$7:$C$89,0),MATCH(F$7,Costs!$E$6:$O$6,0))</f>
        <v>21.353275069826111</v>
      </c>
      <c r="G486" s="86">
        <f>GDPdeflator!$C$38*INDEX(Costs!$E$7:$O$89,MATCH($C486,Costs!$C$7:$C$89,0),MATCH(G$7,Costs!$E$6:$O$6,0))</f>
        <v>22.962268432982228</v>
      </c>
      <c r="H486" s="86">
        <f>GDPdeflator!$C$38*INDEX(Costs!$E$7:$O$89,MATCH($C486,Costs!$C$7:$C$89,0),MATCH(H$7,Costs!$E$6:$O$6,0))</f>
        <v>23.741986819298681</v>
      </c>
      <c r="I486" s="86">
        <f>GDPdeflator!$C$38*INDEX(Costs!$E$7:$O$89,MATCH($C486,Costs!$C$7:$C$89,0),MATCH(I$7,Costs!$E$6:$O$6,0))</f>
        <v>24.644357536046932</v>
      </c>
      <c r="J486" s="86">
        <f>GDPdeflator!$C$38*INDEX(Costs!$E$7:$O$89,MATCH($C486,Costs!$C$7:$C$89,0),MATCH(J$7,Costs!$E$6:$O$6,0))</f>
        <v>24.705683701262831</v>
      </c>
      <c r="K486" s="86">
        <f>GDPdeflator!$C$38*INDEX(Costs!$E$7:$O$89,MATCH($C486,Costs!$C$7:$C$89,0),MATCH(K$7,Costs!$E$6:$O$6,0))</f>
        <v>24.731966343498218</v>
      </c>
      <c r="L486" s="86">
        <f>GDPdeflator!$C$38*INDEX(Costs!$E$7:$O$89,MATCH($C486,Costs!$C$7:$C$89,0),MATCH(L$7,Costs!$E$6:$O$6,0))</f>
        <v>24.749488104988476</v>
      </c>
      <c r="M486" s="86">
        <f>GDPdeflator!$C$38*INDEX(Costs!$E$7:$O$89,MATCH($C486,Costs!$C$7:$C$89,0),MATCH(M$7,Costs!$E$6:$O$6,0))</f>
        <v>24.749488104988476</v>
      </c>
      <c r="N486" s="86">
        <f>GDPdeflator!$C$38*INDEX(Costs!$E$7:$O$89,MATCH($C486,Costs!$C$7:$C$89,0),MATCH(N$7,Costs!$E$6:$O$6,0))</f>
        <v>24.749488104988476</v>
      </c>
      <c r="O486" s="86">
        <f>GDPdeflator!$C$38*INDEX(Costs!$E$7:$O$89,MATCH($C486,Costs!$C$7:$C$89,0),MATCH(O$7,Costs!$E$6:$O$6,0))</f>
        <v>24.749488104988476</v>
      </c>
      <c r="P486" s="87">
        <f t="shared" si="235"/>
        <v>1966.3275852039728</v>
      </c>
      <c r="Q486" s="87">
        <f t="shared" si="229"/>
        <v>1782.9589118109654</v>
      </c>
      <c r="R486" s="87">
        <f t="shared" si="219"/>
        <v>1917.3068770061359</v>
      </c>
      <c r="S486" s="87">
        <f t="shared" si="220"/>
        <v>1982.4119178506785</v>
      </c>
      <c r="T486" s="87">
        <f t="shared" si="221"/>
        <v>2057.7582010752612</v>
      </c>
      <c r="U486" s="87">
        <f t="shared" si="222"/>
        <v>2062.8788222652815</v>
      </c>
      <c r="V486" s="87">
        <f t="shared" si="223"/>
        <v>2065.0733742038615</v>
      </c>
      <c r="W486" s="87">
        <f t="shared" si="224"/>
        <v>2066.5364088295814</v>
      </c>
      <c r="X486" s="87">
        <f t="shared" si="225"/>
        <v>2066.5364088295814</v>
      </c>
      <c r="Y486" s="87">
        <f t="shared" si="226"/>
        <v>2066.5364088295814</v>
      </c>
      <c r="Z486" s="87">
        <f t="shared" si="227"/>
        <v>2066.5364088295814</v>
      </c>
      <c r="AA486" s="88">
        <v>450</v>
      </c>
      <c r="AB486" s="89">
        <f>AA486*GDPdeflator!$C$25/$AI$18*10^3</f>
        <v>43.267274341798768</v>
      </c>
      <c r="AC486" s="90" t="e">
        <f>INDEX(Efficiencies!$D$8:$M$89,MATCH(C486,Efficiencies!$C$8:$C$89),MATCH(D486,Efficiencies!$D$7:$M$7))</f>
        <v>#REF!</v>
      </c>
      <c r="AD486" s="90" t="e">
        <f t="shared" si="232"/>
        <v>#REF!</v>
      </c>
      <c r="AE486" s="90" t="e">
        <f>INDEX(Efficiencies!$P$8:$Y$89,MATCH(C486,Efficiencies!$C$8:$C$89),MATCH(D486,Efficiencies!$P$7:$Y$7))</f>
        <v>#REF!</v>
      </c>
      <c r="AF486" s="90" t="e">
        <f t="shared" si="234"/>
        <v>#REF!</v>
      </c>
      <c r="AG486" s="90">
        <v>0</v>
      </c>
    </row>
    <row r="487" spans="1:33" x14ac:dyDescent="0.2">
      <c r="A487" s="92" t="s">
        <v>1788</v>
      </c>
      <c r="B487" s="248" t="s">
        <v>1789</v>
      </c>
      <c r="C487" s="40" t="s">
        <v>1781</v>
      </c>
      <c r="D487" s="40">
        <v>2020</v>
      </c>
      <c r="E487" s="86">
        <f>GDPdeflator!$C$32*INDEX(Costs!$E$7:$O$89,MATCH($C487,Costs!$C$7:$C$89,0),MATCH(E$7,Costs!$E$6:$O$6,0))</f>
        <v>23.549355807420319</v>
      </c>
      <c r="F487" s="86">
        <f>GDPdeflator!$C$36*INDEX(Costs!$E$7:$O$89,MATCH($C487,Costs!$C$7:$C$89,0),MATCH(F$7,Costs!$E$6:$O$6,0))</f>
        <v>21.353275069826111</v>
      </c>
      <c r="G487" s="86">
        <f>GDPdeflator!$C$38*INDEX(Costs!$E$7:$O$89,MATCH($C487,Costs!$C$7:$C$89,0),MATCH(G$7,Costs!$E$6:$O$6,0))</f>
        <v>22.962268432982228</v>
      </c>
      <c r="H487" s="86">
        <f>GDPdeflator!$C$38*INDEX(Costs!$E$7:$O$89,MATCH($C487,Costs!$C$7:$C$89,0),MATCH(H$7,Costs!$E$6:$O$6,0))</f>
        <v>23.741986819298681</v>
      </c>
      <c r="I487" s="86">
        <f>GDPdeflator!$C$38*INDEX(Costs!$E$7:$O$89,MATCH($C487,Costs!$C$7:$C$89,0),MATCH(I$7,Costs!$E$6:$O$6,0))</f>
        <v>24.644357536046932</v>
      </c>
      <c r="J487" s="86">
        <f>GDPdeflator!$C$38*INDEX(Costs!$E$7:$O$89,MATCH($C487,Costs!$C$7:$C$89,0),MATCH(J$7,Costs!$E$6:$O$6,0))</f>
        <v>24.705683701262831</v>
      </c>
      <c r="K487" s="86">
        <f>GDPdeflator!$C$38*INDEX(Costs!$E$7:$O$89,MATCH($C487,Costs!$C$7:$C$89,0),MATCH(K$7,Costs!$E$6:$O$6,0))</f>
        <v>24.731966343498218</v>
      </c>
      <c r="L487" s="86">
        <f>GDPdeflator!$C$38*INDEX(Costs!$E$7:$O$89,MATCH($C487,Costs!$C$7:$C$89,0),MATCH(L$7,Costs!$E$6:$O$6,0))</f>
        <v>24.749488104988476</v>
      </c>
      <c r="M487" s="86">
        <f>GDPdeflator!$C$38*INDEX(Costs!$E$7:$O$89,MATCH($C487,Costs!$C$7:$C$89,0),MATCH(M$7,Costs!$E$6:$O$6,0))</f>
        <v>24.749488104988476</v>
      </c>
      <c r="N487" s="86">
        <f>GDPdeflator!$C$38*INDEX(Costs!$E$7:$O$89,MATCH($C487,Costs!$C$7:$C$89,0),MATCH(N$7,Costs!$E$6:$O$6,0))</f>
        <v>24.749488104988476</v>
      </c>
      <c r="O487" s="86">
        <f>GDPdeflator!$C$38*INDEX(Costs!$E$7:$O$89,MATCH($C487,Costs!$C$7:$C$89,0),MATCH(O$7,Costs!$E$6:$O$6,0))</f>
        <v>24.749488104988476</v>
      </c>
      <c r="P487" s="87">
        <f t="shared" si="235"/>
        <v>1966.3275852039728</v>
      </c>
      <c r="Q487" s="87">
        <f t="shared" si="229"/>
        <v>1782.9589118109654</v>
      </c>
      <c r="R487" s="87">
        <f t="shared" ref="R487:R550" si="236">G487/$AI$18*10^6</f>
        <v>1917.3068770061359</v>
      </c>
      <c r="S487" s="87">
        <f t="shared" ref="S487:S550" si="237">H487/$AI$18*10^6</f>
        <v>1982.4119178506785</v>
      </c>
      <c r="T487" s="87">
        <f t="shared" ref="T487:T550" si="238">I487/$AI$18*10^6</f>
        <v>2057.7582010752612</v>
      </c>
      <c r="U487" s="87">
        <f t="shared" ref="U487:U550" si="239">J487/$AI$18*10^6</f>
        <v>2062.8788222652815</v>
      </c>
      <c r="V487" s="87">
        <f t="shared" ref="V487:V550" si="240">K487/$AI$18*10^6</f>
        <v>2065.0733742038615</v>
      </c>
      <c r="W487" s="87">
        <f t="shared" ref="W487:W550" si="241">L487/$AI$18*10^6</f>
        <v>2066.5364088295814</v>
      </c>
      <c r="X487" s="87">
        <f t="shared" ref="X487:X550" si="242">M487/$AI$18*10^6</f>
        <v>2066.5364088295814</v>
      </c>
      <c r="Y487" s="87">
        <f t="shared" ref="Y487:Y550" si="243">N487/$AI$18*10^6</f>
        <v>2066.5364088295814</v>
      </c>
      <c r="Z487" s="87">
        <f t="shared" ref="Z487:Z550" si="244">O487/$AI$18*10^6</f>
        <v>2066.5364088295814</v>
      </c>
      <c r="AA487" s="88">
        <v>450</v>
      </c>
      <c r="AB487" s="89">
        <f>AA487*GDPdeflator!$C$25/$AI$18*10^3</f>
        <v>43.267274341798768</v>
      </c>
      <c r="AC487" s="90" t="e">
        <f>INDEX(Efficiencies!$D$8:$M$89,MATCH(C487,Efficiencies!$C$8:$C$89),MATCH(D487,Efficiencies!$D$7:$M$7))</f>
        <v>#REF!</v>
      </c>
      <c r="AD487" s="90" t="e">
        <f t="shared" si="232"/>
        <v>#REF!</v>
      </c>
      <c r="AE487" s="90" t="e">
        <f>INDEX(Efficiencies!$P$8:$Y$89,MATCH(C487,Efficiencies!$C$8:$C$89),MATCH(D487,Efficiencies!$P$7:$Y$7))</f>
        <v>#REF!</v>
      </c>
      <c r="AF487" s="90" t="e">
        <f t="shared" si="234"/>
        <v>#REF!</v>
      </c>
      <c r="AG487" s="90">
        <v>0</v>
      </c>
    </row>
    <row r="488" spans="1:33" x14ac:dyDescent="0.2">
      <c r="A488" s="92" t="s">
        <v>1790</v>
      </c>
      <c r="B488" s="248" t="s">
        <v>1791</v>
      </c>
      <c r="C488" s="40" t="s">
        <v>1781</v>
      </c>
      <c r="D488" s="40">
        <v>2025</v>
      </c>
      <c r="E488" s="86">
        <f>GDPdeflator!$C$32*INDEX(Costs!$E$7:$O$89,MATCH($C488,Costs!$C$7:$C$89,0),MATCH(E$7,Costs!$E$6:$O$6,0))</f>
        <v>23.549355807420319</v>
      </c>
      <c r="F488" s="86">
        <f>GDPdeflator!$C$36*INDEX(Costs!$E$7:$O$89,MATCH($C488,Costs!$C$7:$C$89,0),MATCH(F$7,Costs!$E$6:$O$6,0))</f>
        <v>21.353275069826111</v>
      </c>
      <c r="G488" s="86">
        <f>GDPdeflator!$C$38*INDEX(Costs!$E$7:$O$89,MATCH($C488,Costs!$C$7:$C$89,0),MATCH(G$7,Costs!$E$6:$O$6,0))</f>
        <v>22.962268432982228</v>
      </c>
      <c r="H488" s="86">
        <f>GDPdeflator!$C$38*INDEX(Costs!$E$7:$O$89,MATCH($C488,Costs!$C$7:$C$89,0),MATCH(H$7,Costs!$E$6:$O$6,0))</f>
        <v>23.741986819298681</v>
      </c>
      <c r="I488" s="86">
        <f>GDPdeflator!$C$38*INDEX(Costs!$E$7:$O$89,MATCH($C488,Costs!$C$7:$C$89,0),MATCH(I$7,Costs!$E$6:$O$6,0))</f>
        <v>24.644357536046932</v>
      </c>
      <c r="J488" s="86">
        <f>GDPdeflator!$C$38*INDEX(Costs!$E$7:$O$89,MATCH($C488,Costs!$C$7:$C$89,0),MATCH(J$7,Costs!$E$6:$O$6,0))</f>
        <v>24.705683701262831</v>
      </c>
      <c r="K488" s="86">
        <f>GDPdeflator!$C$38*INDEX(Costs!$E$7:$O$89,MATCH($C488,Costs!$C$7:$C$89,0),MATCH(K$7,Costs!$E$6:$O$6,0))</f>
        <v>24.731966343498218</v>
      </c>
      <c r="L488" s="86">
        <f>GDPdeflator!$C$38*INDEX(Costs!$E$7:$O$89,MATCH($C488,Costs!$C$7:$C$89,0),MATCH(L$7,Costs!$E$6:$O$6,0))</f>
        <v>24.749488104988476</v>
      </c>
      <c r="M488" s="86">
        <f>GDPdeflator!$C$38*INDEX(Costs!$E$7:$O$89,MATCH($C488,Costs!$C$7:$C$89,0),MATCH(M$7,Costs!$E$6:$O$6,0))</f>
        <v>24.749488104988476</v>
      </c>
      <c r="N488" s="86">
        <f>GDPdeflator!$C$38*INDEX(Costs!$E$7:$O$89,MATCH($C488,Costs!$C$7:$C$89,0),MATCH(N$7,Costs!$E$6:$O$6,0))</f>
        <v>24.749488104988476</v>
      </c>
      <c r="O488" s="86">
        <f>GDPdeflator!$C$38*INDEX(Costs!$E$7:$O$89,MATCH($C488,Costs!$C$7:$C$89,0),MATCH(O$7,Costs!$E$6:$O$6,0))</f>
        <v>24.749488104988476</v>
      </c>
      <c r="P488" s="87">
        <f t="shared" si="235"/>
        <v>1966.3275852039728</v>
      </c>
      <c r="Q488" s="87">
        <f t="shared" si="229"/>
        <v>1782.9589118109654</v>
      </c>
      <c r="R488" s="87">
        <f t="shared" si="236"/>
        <v>1917.3068770061359</v>
      </c>
      <c r="S488" s="87">
        <f t="shared" si="237"/>
        <v>1982.4119178506785</v>
      </c>
      <c r="T488" s="87">
        <f t="shared" si="238"/>
        <v>2057.7582010752612</v>
      </c>
      <c r="U488" s="87">
        <f t="shared" si="239"/>
        <v>2062.8788222652815</v>
      </c>
      <c r="V488" s="87">
        <f t="shared" si="240"/>
        <v>2065.0733742038615</v>
      </c>
      <c r="W488" s="87">
        <f t="shared" si="241"/>
        <v>2066.5364088295814</v>
      </c>
      <c r="X488" s="87">
        <f t="shared" si="242"/>
        <v>2066.5364088295814</v>
      </c>
      <c r="Y488" s="87">
        <f t="shared" si="243"/>
        <v>2066.5364088295814</v>
      </c>
      <c r="Z488" s="87">
        <f t="shared" si="244"/>
        <v>2066.5364088295814</v>
      </c>
      <c r="AA488" s="88">
        <v>450</v>
      </c>
      <c r="AB488" s="89">
        <f>AA488*GDPdeflator!$C$25/$AI$18*10^3</f>
        <v>43.267274341798768</v>
      </c>
      <c r="AC488" s="90" t="e">
        <f>INDEX(Efficiencies!$D$8:$M$89,MATCH(C488,Efficiencies!$C$8:$C$89),MATCH(D488,Efficiencies!$D$7:$M$7))</f>
        <v>#REF!</v>
      </c>
      <c r="AD488" s="90" t="e">
        <f t="shared" si="232"/>
        <v>#REF!</v>
      </c>
      <c r="AE488" s="90" t="e">
        <f>INDEX(Efficiencies!$P$8:$Y$89,MATCH(C488,Efficiencies!$C$8:$C$89),MATCH(D488,Efficiencies!$P$7:$Y$7))</f>
        <v>#REF!</v>
      </c>
      <c r="AF488" s="90" t="e">
        <f t="shared" si="234"/>
        <v>#REF!</v>
      </c>
      <c r="AG488" s="90">
        <v>0</v>
      </c>
    </row>
    <row r="489" spans="1:33" x14ac:dyDescent="0.2">
      <c r="A489" s="92" t="s">
        <v>1792</v>
      </c>
      <c r="B489" s="248" t="s">
        <v>1793</v>
      </c>
      <c r="C489" s="40" t="s">
        <v>1781</v>
      </c>
      <c r="D489" s="40">
        <v>2030</v>
      </c>
      <c r="E489" s="86">
        <f>GDPdeflator!$C$32*INDEX(Costs!$E$7:$O$89,MATCH($C489,Costs!$C$7:$C$89,0),MATCH(E$7,Costs!$E$6:$O$6,0))</f>
        <v>23.549355807420319</v>
      </c>
      <c r="F489" s="86">
        <f>GDPdeflator!$C$36*INDEX(Costs!$E$7:$O$89,MATCH($C489,Costs!$C$7:$C$89,0),MATCH(F$7,Costs!$E$6:$O$6,0))</f>
        <v>21.353275069826111</v>
      </c>
      <c r="G489" s="86">
        <f>GDPdeflator!$C$38*INDEX(Costs!$E$7:$O$89,MATCH($C489,Costs!$C$7:$C$89,0),MATCH(G$7,Costs!$E$6:$O$6,0))</f>
        <v>22.962268432982228</v>
      </c>
      <c r="H489" s="86">
        <f>GDPdeflator!$C$38*INDEX(Costs!$E$7:$O$89,MATCH($C489,Costs!$C$7:$C$89,0),MATCH(H$7,Costs!$E$6:$O$6,0))</f>
        <v>23.741986819298681</v>
      </c>
      <c r="I489" s="86">
        <f>GDPdeflator!$C$38*INDEX(Costs!$E$7:$O$89,MATCH($C489,Costs!$C$7:$C$89,0),MATCH(I$7,Costs!$E$6:$O$6,0))</f>
        <v>24.644357536046932</v>
      </c>
      <c r="J489" s="86">
        <f>GDPdeflator!$C$38*INDEX(Costs!$E$7:$O$89,MATCH($C489,Costs!$C$7:$C$89,0),MATCH(J$7,Costs!$E$6:$O$6,0))</f>
        <v>24.705683701262831</v>
      </c>
      <c r="K489" s="86">
        <f>GDPdeflator!$C$38*INDEX(Costs!$E$7:$O$89,MATCH($C489,Costs!$C$7:$C$89,0),MATCH(K$7,Costs!$E$6:$O$6,0))</f>
        <v>24.731966343498218</v>
      </c>
      <c r="L489" s="86">
        <f>GDPdeflator!$C$38*INDEX(Costs!$E$7:$O$89,MATCH($C489,Costs!$C$7:$C$89,0),MATCH(L$7,Costs!$E$6:$O$6,0))</f>
        <v>24.749488104988476</v>
      </c>
      <c r="M489" s="86">
        <f>GDPdeflator!$C$38*INDEX(Costs!$E$7:$O$89,MATCH($C489,Costs!$C$7:$C$89,0),MATCH(M$7,Costs!$E$6:$O$6,0))</f>
        <v>24.749488104988476</v>
      </c>
      <c r="N489" s="86">
        <f>GDPdeflator!$C$38*INDEX(Costs!$E$7:$O$89,MATCH($C489,Costs!$C$7:$C$89,0),MATCH(N$7,Costs!$E$6:$O$6,0))</f>
        <v>24.749488104988476</v>
      </c>
      <c r="O489" s="86">
        <f>GDPdeflator!$C$38*INDEX(Costs!$E$7:$O$89,MATCH($C489,Costs!$C$7:$C$89,0),MATCH(O$7,Costs!$E$6:$O$6,0))</f>
        <v>24.749488104988476</v>
      </c>
      <c r="P489" s="87">
        <f t="shared" si="235"/>
        <v>1966.3275852039728</v>
      </c>
      <c r="Q489" s="87">
        <f t="shared" si="229"/>
        <v>1782.9589118109654</v>
      </c>
      <c r="R489" s="87">
        <f t="shared" si="236"/>
        <v>1917.3068770061359</v>
      </c>
      <c r="S489" s="87">
        <f t="shared" si="237"/>
        <v>1982.4119178506785</v>
      </c>
      <c r="T489" s="87">
        <f t="shared" si="238"/>
        <v>2057.7582010752612</v>
      </c>
      <c r="U489" s="87">
        <f t="shared" si="239"/>
        <v>2062.8788222652815</v>
      </c>
      <c r="V489" s="87">
        <f t="shared" si="240"/>
        <v>2065.0733742038615</v>
      </c>
      <c r="W489" s="87">
        <f t="shared" si="241"/>
        <v>2066.5364088295814</v>
      </c>
      <c r="X489" s="87">
        <f t="shared" si="242"/>
        <v>2066.5364088295814</v>
      </c>
      <c r="Y489" s="87">
        <f t="shared" si="243"/>
        <v>2066.5364088295814</v>
      </c>
      <c r="Z489" s="87">
        <f t="shared" si="244"/>
        <v>2066.5364088295814</v>
      </c>
      <c r="AA489" s="88">
        <v>450</v>
      </c>
      <c r="AB489" s="89">
        <f>AA489*GDPdeflator!$C$25/$AI$18*10^3</f>
        <v>43.267274341798768</v>
      </c>
      <c r="AC489" s="90" t="e">
        <f>INDEX(Efficiencies!$D$8:$M$89,MATCH(C489,Efficiencies!$C$8:$C$89),MATCH(D489,Efficiencies!$D$7:$M$7))</f>
        <v>#REF!</v>
      </c>
      <c r="AD489" s="90" t="e">
        <f t="shared" si="232"/>
        <v>#REF!</v>
      </c>
      <c r="AE489" s="90" t="e">
        <f>INDEX(Efficiencies!$P$8:$Y$89,MATCH(C489,Efficiencies!$C$8:$C$89),MATCH(D489,Efficiencies!$P$7:$Y$7))</f>
        <v>#REF!</v>
      </c>
      <c r="AF489" s="90" t="e">
        <f t="shared" si="234"/>
        <v>#REF!</v>
      </c>
      <c r="AG489" s="90">
        <v>0</v>
      </c>
    </row>
    <row r="490" spans="1:33" x14ac:dyDescent="0.2">
      <c r="A490" s="92" t="s">
        <v>1794</v>
      </c>
      <c r="B490" s="248" t="s">
        <v>1795</v>
      </c>
      <c r="C490" s="40" t="s">
        <v>1781</v>
      </c>
      <c r="D490" s="40">
        <v>2035</v>
      </c>
      <c r="E490" s="86">
        <f>GDPdeflator!$C$32*INDEX(Costs!$E$7:$O$89,MATCH($C490,Costs!$C$7:$C$89,0),MATCH(E$7,Costs!$E$6:$O$6,0))</f>
        <v>23.549355807420319</v>
      </c>
      <c r="F490" s="86">
        <f>GDPdeflator!$C$36*INDEX(Costs!$E$7:$O$89,MATCH($C490,Costs!$C$7:$C$89,0),MATCH(F$7,Costs!$E$6:$O$6,0))</f>
        <v>21.353275069826111</v>
      </c>
      <c r="G490" s="86">
        <f>GDPdeflator!$C$38*INDEX(Costs!$E$7:$O$89,MATCH($C490,Costs!$C$7:$C$89,0),MATCH(G$7,Costs!$E$6:$O$6,0))</f>
        <v>22.962268432982228</v>
      </c>
      <c r="H490" s="86">
        <f>GDPdeflator!$C$38*INDEX(Costs!$E$7:$O$89,MATCH($C490,Costs!$C$7:$C$89,0),MATCH(H$7,Costs!$E$6:$O$6,0))</f>
        <v>23.741986819298681</v>
      </c>
      <c r="I490" s="86">
        <f>GDPdeflator!$C$38*INDEX(Costs!$E$7:$O$89,MATCH($C490,Costs!$C$7:$C$89,0),MATCH(I$7,Costs!$E$6:$O$6,0))</f>
        <v>24.644357536046932</v>
      </c>
      <c r="J490" s="86">
        <f>GDPdeflator!$C$38*INDEX(Costs!$E$7:$O$89,MATCH($C490,Costs!$C$7:$C$89,0),MATCH(J$7,Costs!$E$6:$O$6,0))</f>
        <v>24.705683701262831</v>
      </c>
      <c r="K490" s="86">
        <f>GDPdeflator!$C$38*INDEX(Costs!$E$7:$O$89,MATCH($C490,Costs!$C$7:$C$89,0),MATCH(K$7,Costs!$E$6:$O$6,0))</f>
        <v>24.731966343498218</v>
      </c>
      <c r="L490" s="86">
        <f>GDPdeflator!$C$38*INDEX(Costs!$E$7:$O$89,MATCH($C490,Costs!$C$7:$C$89,0),MATCH(L$7,Costs!$E$6:$O$6,0))</f>
        <v>24.749488104988476</v>
      </c>
      <c r="M490" s="86">
        <f>GDPdeflator!$C$38*INDEX(Costs!$E$7:$O$89,MATCH($C490,Costs!$C$7:$C$89,0),MATCH(M$7,Costs!$E$6:$O$6,0))</f>
        <v>24.749488104988476</v>
      </c>
      <c r="N490" s="86">
        <f>GDPdeflator!$C$38*INDEX(Costs!$E$7:$O$89,MATCH($C490,Costs!$C$7:$C$89,0),MATCH(N$7,Costs!$E$6:$O$6,0))</f>
        <v>24.749488104988476</v>
      </c>
      <c r="O490" s="86">
        <f>GDPdeflator!$C$38*INDEX(Costs!$E$7:$O$89,MATCH($C490,Costs!$C$7:$C$89,0),MATCH(O$7,Costs!$E$6:$O$6,0))</f>
        <v>24.749488104988476</v>
      </c>
      <c r="P490" s="87">
        <f t="shared" si="235"/>
        <v>1966.3275852039728</v>
      </c>
      <c r="Q490" s="87">
        <f t="shared" si="229"/>
        <v>1782.9589118109654</v>
      </c>
      <c r="R490" s="87">
        <f t="shared" si="236"/>
        <v>1917.3068770061359</v>
      </c>
      <c r="S490" s="87">
        <f t="shared" si="237"/>
        <v>1982.4119178506785</v>
      </c>
      <c r="T490" s="87">
        <f t="shared" si="238"/>
        <v>2057.7582010752612</v>
      </c>
      <c r="U490" s="87">
        <f t="shared" si="239"/>
        <v>2062.8788222652815</v>
      </c>
      <c r="V490" s="87">
        <f t="shared" si="240"/>
        <v>2065.0733742038615</v>
      </c>
      <c r="W490" s="87">
        <f t="shared" si="241"/>
        <v>2066.5364088295814</v>
      </c>
      <c r="X490" s="87">
        <f t="shared" si="242"/>
        <v>2066.5364088295814</v>
      </c>
      <c r="Y490" s="87">
        <f t="shared" si="243"/>
        <v>2066.5364088295814</v>
      </c>
      <c r="Z490" s="87">
        <f t="shared" si="244"/>
        <v>2066.5364088295814</v>
      </c>
      <c r="AA490" s="88">
        <v>450</v>
      </c>
      <c r="AB490" s="89">
        <f>AA490*GDPdeflator!$C$25/$AI$18*10^3</f>
        <v>43.267274341798768</v>
      </c>
      <c r="AC490" s="90" t="e">
        <f>INDEX(Efficiencies!$D$8:$M$89,MATCH(C490,Efficiencies!$C$8:$C$89),MATCH(D490,Efficiencies!$D$7:$M$7))</f>
        <v>#REF!</v>
      </c>
      <c r="AD490" s="90" t="e">
        <f t="shared" si="232"/>
        <v>#REF!</v>
      </c>
      <c r="AE490" s="90" t="e">
        <f>INDEX(Efficiencies!$P$8:$Y$89,MATCH(C490,Efficiencies!$C$8:$C$89),MATCH(D490,Efficiencies!$P$7:$Y$7))</f>
        <v>#REF!</v>
      </c>
      <c r="AF490" s="90" t="e">
        <f t="shared" si="234"/>
        <v>#REF!</v>
      </c>
      <c r="AG490" s="90">
        <v>0</v>
      </c>
    </row>
    <row r="491" spans="1:33" x14ac:dyDescent="0.2">
      <c r="A491" s="92" t="s">
        <v>1796</v>
      </c>
      <c r="B491" s="248" t="s">
        <v>1797</v>
      </c>
      <c r="C491" s="40" t="s">
        <v>1781</v>
      </c>
      <c r="D491" s="40">
        <v>2040</v>
      </c>
      <c r="E491" s="86">
        <f>GDPdeflator!$C$32*INDEX(Costs!$E$7:$O$89,MATCH($C491,Costs!$C$7:$C$89,0),MATCH(E$7,Costs!$E$6:$O$6,0))</f>
        <v>23.549355807420319</v>
      </c>
      <c r="F491" s="86">
        <f>GDPdeflator!$C$36*INDEX(Costs!$E$7:$O$89,MATCH($C491,Costs!$C$7:$C$89,0),MATCH(F$7,Costs!$E$6:$O$6,0))</f>
        <v>21.353275069826111</v>
      </c>
      <c r="G491" s="86">
        <f>GDPdeflator!$C$38*INDEX(Costs!$E$7:$O$89,MATCH($C491,Costs!$C$7:$C$89,0),MATCH(G$7,Costs!$E$6:$O$6,0))</f>
        <v>22.962268432982228</v>
      </c>
      <c r="H491" s="86">
        <f>GDPdeflator!$C$38*INDEX(Costs!$E$7:$O$89,MATCH($C491,Costs!$C$7:$C$89,0),MATCH(H$7,Costs!$E$6:$O$6,0))</f>
        <v>23.741986819298681</v>
      </c>
      <c r="I491" s="86">
        <f>GDPdeflator!$C$38*INDEX(Costs!$E$7:$O$89,MATCH($C491,Costs!$C$7:$C$89,0),MATCH(I$7,Costs!$E$6:$O$6,0))</f>
        <v>24.644357536046932</v>
      </c>
      <c r="J491" s="86">
        <f>GDPdeflator!$C$38*INDEX(Costs!$E$7:$O$89,MATCH($C491,Costs!$C$7:$C$89,0),MATCH(J$7,Costs!$E$6:$O$6,0))</f>
        <v>24.705683701262831</v>
      </c>
      <c r="K491" s="86">
        <f>GDPdeflator!$C$38*INDEX(Costs!$E$7:$O$89,MATCH($C491,Costs!$C$7:$C$89,0),MATCH(K$7,Costs!$E$6:$O$6,0))</f>
        <v>24.731966343498218</v>
      </c>
      <c r="L491" s="86">
        <f>GDPdeflator!$C$38*INDEX(Costs!$E$7:$O$89,MATCH($C491,Costs!$C$7:$C$89,0),MATCH(L$7,Costs!$E$6:$O$6,0))</f>
        <v>24.749488104988476</v>
      </c>
      <c r="M491" s="86">
        <f>GDPdeflator!$C$38*INDEX(Costs!$E$7:$O$89,MATCH($C491,Costs!$C$7:$C$89,0),MATCH(M$7,Costs!$E$6:$O$6,0))</f>
        <v>24.749488104988476</v>
      </c>
      <c r="N491" s="86">
        <f>GDPdeflator!$C$38*INDEX(Costs!$E$7:$O$89,MATCH($C491,Costs!$C$7:$C$89,0),MATCH(N$7,Costs!$E$6:$O$6,0))</f>
        <v>24.749488104988476</v>
      </c>
      <c r="O491" s="86">
        <f>GDPdeflator!$C$38*INDEX(Costs!$E$7:$O$89,MATCH($C491,Costs!$C$7:$C$89,0),MATCH(O$7,Costs!$E$6:$O$6,0))</f>
        <v>24.749488104988476</v>
      </c>
      <c r="P491" s="87">
        <f t="shared" si="235"/>
        <v>1966.3275852039728</v>
      </c>
      <c r="Q491" s="87">
        <f t="shared" si="229"/>
        <v>1782.9589118109654</v>
      </c>
      <c r="R491" s="87">
        <f t="shared" si="236"/>
        <v>1917.3068770061359</v>
      </c>
      <c r="S491" s="87">
        <f t="shared" si="237"/>
        <v>1982.4119178506785</v>
      </c>
      <c r="T491" s="87">
        <f t="shared" si="238"/>
        <v>2057.7582010752612</v>
      </c>
      <c r="U491" s="87">
        <f t="shared" si="239"/>
        <v>2062.8788222652815</v>
      </c>
      <c r="V491" s="87">
        <f t="shared" si="240"/>
        <v>2065.0733742038615</v>
      </c>
      <c r="W491" s="87">
        <f t="shared" si="241"/>
        <v>2066.5364088295814</v>
      </c>
      <c r="X491" s="87">
        <f t="shared" si="242"/>
        <v>2066.5364088295814</v>
      </c>
      <c r="Y491" s="87">
        <f t="shared" si="243"/>
        <v>2066.5364088295814</v>
      </c>
      <c r="Z491" s="87">
        <f t="shared" si="244"/>
        <v>2066.5364088295814</v>
      </c>
      <c r="AA491" s="88">
        <v>450</v>
      </c>
      <c r="AB491" s="89">
        <f>AA491*GDPdeflator!$C$25/$AI$18*10^3</f>
        <v>43.267274341798768</v>
      </c>
      <c r="AC491" s="90" t="e">
        <f>INDEX(Efficiencies!$D$8:$M$89,MATCH(C491,Efficiencies!$C$8:$C$89),MATCH(D491,Efficiencies!$D$7:$M$7))</f>
        <v>#REF!</v>
      </c>
      <c r="AD491" s="90" t="e">
        <f t="shared" si="232"/>
        <v>#REF!</v>
      </c>
      <c r="AE491" s="90" t="e">
        <f>INDEX(Efficiencies!$P$8:$Y$89,MATCH(C491,Efficiencies!$C$8:$C$89),MATCH(D491,Efficiencies!$P$7:$Y$7))</f>
        <v>#REF!</v>
      </c>
      <c r="AF491" s="90" t="e">
        <f t="shared" si="234"/>
        <v>#REF!</v>
      </c>
      <c r="AG491" s="90">
        <v>0</v>
      </c>
    </row>
    <row r="492" spans="1:33" x14ac:dyDescent="0.2">
      <c r="A492" s="92" t="s">
        <v>1798</v>
      </c>
      <c r="B492" s="248" t="s">
        <v>1799</v>
      </c>
      <c r="C492" s="40" t="s">
        <v>1781</v>
      </c>
      <c r="D492" s="40">
        <v>2045</v>
      </c>
      <c r="E492" s="86">
        <f>GDPdeflator!$C$32*INDEX(Costs!$E$7:$O$89,MATCH($C492,Costs!$C$7:$C$89,0),MATCH(E$7,Costs!$E$6:$O$6,0))</f>
        <v>23.549355807420319</v>
      </c>
      <c r="F492" s="86">
        <f>GDPdeflator!$C$36*INDEX(Costs!$E$7:$O$89,MATCH($C492,Costs!$C$7:$C$89,0),MATCH(F$7,Costs!$E$6:$O$6,0))</f>
        <v>21.353275069826111</v>
      </c>
      <c r="G492" s="86">
        <f>GDPdeflator!$C$38*INDEX(Costs!$E$7:$O$89,MATCH($C492,Costs!$C$7:$C$89,0),MATCH(G$7,Costs!$E$6:$O$6,0))</f>
        <v>22.962268432982228</v>
      </c>
      <c r="H492" s="86">
        <f>GDPdeflator!$C$38*INDEX(Costs!$E$7:$O$89,MATCH($C492,Costs!$C$7:$C$89,0),MATCH(H$7,Costs!$E$6:$O$6,0))</f>
        <v>23.741986819298681</v>
      </c>
      <c r="I492" s="86">
        <f>GDPdeflator!$C$38*INDEX(Costs!$E$7:$O$89,MATCH($C492,Costs!$C$7:$C$89,0),MATCH(I$7,Costs!$E$6:$O$6,0))</f>
        <v>24.644357536046932</v>
      </c>
      <c r="J492" s="86">
        <f>GDPdeflator!$C$38*INDEX(Costs!$E$7:$O$89,MATCH($C492,Costs!$C$7:$C$89,0),MATCH(J$7,Costs!$E$6:$O$6,0))</f>
        <v>24.705683701262831</v>
      </c>
      <c r="K492" s="86">
        <f>GDPdeflator!$C$38*INDEX(Costs!$E$7:$O$89,MATCH($C492,Costs!$C$7:$C$89,0),MATCH(K$7,Costs!$E$6:$O$6,0))</f>
        <v>24.731966343498218</v>
      </c>
      <c r="L492" s="86">
        <f>GDPdeflator!$C$38*INDEX(Costs!$E$7:$O$89,MATCH($C492,Costs!$C$7:$C$89,0),MATCH(L$7,Costs!$E$6:$O$6,0))</f>
        <v>24.749488104988476</v>
      </c>
      <c r="M492" s="86">
        <f>GDPdeflator!$C$38*INDEX(Costs!$E$7:$O$89,MATCH($C492,Costs!$C$7:$C$89,0),MATCH(M$7,Costs!$E$6:$O$6,0))</f>
        <v>24.749488104988476</v>
      </c>
      <c r="N492" s="86">
        <f>GDPdeflator!$C$38*INDEX(Costs!$E$7:$O$89,MATCH($C492,Costs!$C$7:$C$89,0),MATCH(N$7,Costs!$E$6:$O$6,0))</f>
        <v>24.749488104988476</v>
      </c>
      <c r="O492" s="86">
        <f>GDPdeflator!$C$38*INDEX(Costs!$E$7:$O$89,MATCH($C492,Costs!$C$7:$C$89,0),MATCH(O$7,Costs!$E$6:$O$6,0))</f>
        <v>24.749488104988476</v>
      </c>
      <c r="P492" s="87">
        <f t="shared" si="235"/>
        <v>1966.3275852039728</v>
      </c>
      <c r="Q492" s="87">
        <f t="shared" si="229"/>
        <v>1782.9589118109654</v>
      </c>
      <c r="R492" s="87">
        <f t="shared" si="236"/>
        <v>1917.3068770061359</v>
      </c>
      <c r="S492" s="87">
        <f t="shared" si="237"/>
        <v>1982.4119178506785</v>
      </c>
      <c r="T492" s="87">
        <f t="shared" si="238"/>
        <v>2057.7582010752612</v>
      </c>
      <c r="U492" s="87">
        <f t="shared" si="239"/>
        <v>2062.8788222652815</v>
      </c>
      <c r="V492" s="87">
        <f t="shared" si="240"/>
        <v>2065.0733742038615</v>
      </c>
      <c r="W492" s="87">
        <f t="shared" si="241"/>
        <v>2066.5364088295814</v>
      </c>
      <c r="X492" s="87">
        <f t="shared" si="242"/>
        <v>2066.5364088295814</v>
      </c>
      <c r="Y492" s="87">
        <f t="shared" si="243"/>
        <v>2066.5364088295814</v>
      </c>
      <c r="Z492" s="87">
        <f t="shared" si="244"/>
        <v>2066.5364088295814</v>
      </c>
      <c r="AA492" s="88">
        <v>450</v>
      </c>
      <c r="AB492" s="89">
        <f>AA492*GDPdeflator!$C$25/$AI$18*10^3</f>
        <v>43.267274341798768</v>
      </c>
      <c r="AC492" s="90" t="e">
        <f>INDEX(Efficiencies!$D$8:$M$89,MATCH(C492,Efficiencies!$C$8:$C$89),MATCH(D492,Efficiencies!$D$7:$M$7))</f>
        <v>#REF!</v>
      </c>
      <c r="AD492" s="90" t="e">
        <f t="shared" si="232"/>
        <v>#REF!</v>
      </c>
      <c r="AE492" s="90" t="e">
        <f>INDEX(Efficiencies!$P$8:$Y$89,MATCH(C492,Efficiencies!$C$8:$C$89),MATCH(D492,Efficiencies!$P$7:$Y$7))</f>
        <v>#REF!</v>
      </c>
      <c r="AF492" s="90" t="e">
        <f t="shared" si="234"/>
        <v>#REF!</v>
      </c>
      <c r="AG492" s="90">
        <v>0</v>
      </c>
    </row>
    <row r="493" spans="1:33" x14ac:dyDescent="0.2">
      <c r="A493" s="92" t="s">
        <v>1800</v>
      </c>
      <c r="B493" s="248" t="s">
        <v>1801</v>
      </c>
      <c r="C493" s="40" t="s">
        <v>1781</v>
      </c>
      <c r="D493" s="40">
        <v>2050</v>
      </c>
      <c r="E493" s="86">
        <f>GDPdeflator!$C$32*INDEX(Costs!$E$7:$O$89,MATCH($C493,Costs!$C$7:$C$89,0),MATCH(E$7,Costs!$E$6:$O$6,0))</f>
        <v>23.549355807420319</v>
      </c>
      <c r="F493" s="86">
        <f>GDPdeflator!$C$36*INDEX(Costs!$E$7:$O$89,MATCH($C493,Costs!$C$7:$C$89,0),MATCH(F$7,Costs!$E$6:$O$6,0))</f>
        <v>21.353275069826111</v>
      </c>
      <c r="G493" s="86">
        <f>GDPdeflator!$C$38*INDEX(Costs!$E$7:$O$89,MATCH($C493,Costs!$C$7:$C$89,0),MATCH(G$7,Costs!$E$6:$O$6,0))</f>
        <v>22.962268432982228</v>
      </c>
      <c r="H493" s="86">
        <f>GDPdeflator!$C$38*INDEX(Costs!$E$7:$O$89,MATCH($C493,Costs!$C$7:$C$89,0),MATCH(H$7,Costs!$E$6:$O$6,0))</f>
        <v>23.741986819298681</v>
      </c>
      <c r="I493" s="86">
        <f>GDPdeflator!$C$38*INDEX(Costs!$E$7:$O$89,MATCH($C493,Costs!$C$7:$C$89,0),MATCH(I$7,Costs!$E$6:$O$6,0))</f>
        <v>24.644357536046932</v>
      </c>
      <c r="J493" s="86">
        <f>GDPdeflator!$C$38*INDEX(Costs!$E$7:$O$89,MATCH($C493,Costs!$C$7:$C$89,0),MATCH(J$7,Costs!$E$6:$O$6,0))</f>
        <v>24.705683701262831</v>
      </c>
      <c r="K493" s="86">
        <f>GDPdeflator!$C$38*INDEX(Costs!$E$7:$O$89,MATCH($C493,Costs!$C$7:$C$89,0),MATCH(K$7,Costs!$E$6:$O$6,0))</f>
        <v>24.731966343498218</v>
      </c>
      <c r="L493" s="86">
        <f>GDPdeflator!$C$38*INDEX(Costs!$E$7:$O$89,MATCH($C493,Costs!$C$7:$C$89,0),MATCH(L$7,Costs!$E$6:$O$6,0))</f>
        <v>24.749488104988476</v>
      </c>
      <c r="M493" s="86">
        <f>GDPdeflator!$C$38*INDEX(Costs!$E$7:$O$89,MATCH($C493,Costs!$C$7:$C$89,0),MATCH(M$7,Costs!$E$6:$O$6,0))</f>
        <v>24.749488104988476</v>
      </c>
      <c r="N493" s="86">
        <f>GDPdeflator!$C$38*INDEX(Costs!$E$7:$O$89,MATCH($C493,Costs!$C$7:$C$89,0),MATCH(N$7,Costs!$E$6:$O$6,0))</f>
        <v>24.749488104988476</v>
      </c>
      <c r="O493" s="86">
        <f>GDPdeflator!$C$38*INDEX(Costs!$E$7:$O$89,MATCH($C493,Costs!$C$7:$C$89,0),MATCH(O$7,Costs!$E$6:$O$6,0))</f>
        <v>24.749488104988476</v>
      </c>
      <c r="P493" s="87">
        <f t="shared" si="235"/>
        <v>1966.3275852039728</v>
      </c>
      <c r="Q493" s="87">
        <f t="shared" si="229"/>
        <v>1782.9589118109654</v>
      </c>
      <c r="R493" s="87">
        <f t="shared" si="236"/>
        <v>1917.3068770061359</v>
      </c>
      <c r="S493" s="87">
        <f t="shared" si="237"/>
        <v>1982.4119178506785</v>
      </c>
      <c r="T493" s="87">
        <f t="shared" si="238"/>
        <v>2057.7582010752612</v>
      </c>
      <c r="U493" s="87">
        <f t="shared" si="239"/>
        <v>2062.8788222652815</v>
      </c>
      <c r="V493" s="87">
        <f t="shared" si="240"/>
        <v>2065.0733742038615</v>
      </c>
      <c r="W493" s="87">
        <f t="shared" si="241"/>
        <v>2066.5364088295814</v>
      </c>
      <c r="X493" s="87">
        <f t="shared" si="242"/>
        <v>2066.5364088295814</v>
      </c>
      <c r="Y493" s="87">
        <f t="shared" si="243"/>
        <v>2066.5364088295814</v>
      </c>
      <c r="Z493" s="87">
        <f t="shared" si="244"/>
        <v>2066.5364088295814</v>
      </c>
      <c r="AA493" s="88">
        <v>450</v>
      </c>
      <c r="AB493" s="89">
        <f>AA493*GDPdeflator!$C$25/$AI$18*10^3</f>
        <v>43.267274341798768</v>
      </c>
      <c r="AC493" s="90" t="e">
        <f>INDEX(Efficiencies!$D$8:$M$89,MATCH(C493,Efficiencies!$C$8:$C$89),MATCH(D493,Efficiencies!$D$7:$M$7))</f>
        <v>#REF!</v>
      </c>
      <c r="AD493" s="90" t="e">
        <f t="shared" si="232"/>
        <v>#REF!</v>
      </c>
      <c r="AE493" s="90" t="e">
        <f>INDEX(Efficiencies!$P$8:$Y$89,MATCH(C493,Efficiencies!$C$8:$C$89),MATCH(D493,Efficiencies!$P$7:$Y$7))</f>
        <v>#REF!</v>
      </c>
      <c r="AF493" s="90" t="e">
        <f t="shared" si="234"/>
        <v>#REF!</v>
      </c>
      <c r="AG493" s="90">
        <v>0</v>
      </c>
    </row>
    <row r="494" spans="1:33" x14ac:dyDescent="0.2">
      <c r="A494" s="92" t="s">
        <v>1802</v>
      </c>
      <c r="B494" s="248" t="s">
        <v>1803</v>
      </c>
      <c r="C494" s="40" t="s">
        <v>1804</v>
      </c>
      <c r="D494" s="40">
        <v>2020</v>
      </c>
      <c r="E494" s="86">
        <f>GDPdeflator!$C$32*INDEX(Costs!$E$7:$O$89,MATCH($C494,Costs!$C$7:$C$89,0),MATCH(E$7,Costs!$E$6:$O$6,0))</f>
        <v>0</v>
      </c>
      <c r="F494" s="86">
        <f>GDPdeflator!$C$36*INDEX(Costs!$E$7:$O$89,MATCH($C494,Costs!$C$7:$C$89,0),MATCH(F$7,Costs!$E$6:$O$6,0))</f>
        <v>0</v>
      </c>
      <c r="G494" s="86">
        <f>GDPdeflator!$C$38*INDEX(Costs!$E$7:$O$89,MATCH($C494,Costs!$C$7:$C$89,0),MATCH(G$7,Costs!$E$6:$O$6,0))</f>
        <v>0</v>
      </c>
      <c r="H494" s="86">
        <f>GDPdeflator!$C$38*INDEX(Costs!$E$7:$O$89,MATCH($C494,Costs!$C$7:$C$89,0),MATCH(H$7,Costs!$E$6:$O$6,0))</f>
        <v>33.212498904782763</v>
      </c>
      <c r="I494" s="86">
        <f>GDPdeflator!$C$38*INDEX(Costs!$E$7:$O$89,MATCH($C494,Costs!$C$7:$C$89,0),MATCH(I$7,Costs!$E$6:$O$6,0))</f>
        <v>32.77445486752633</v>
      </c>
      <c r="J494" s="86">
        <f>GDPdeflator!$C$38*INDEX(Costs!$E$7:$O$89,MATCH($C494,Costs!$C$7:$C$89,0),MATCH(J$7,Costs!$E$6:$O$6,0))</f>
        <v>32.301367307289382</v>
      </c>
      <c r="K494" s="86">
        <f>GDPdeflator!$C$38*INDEX(Costs!$E$7:$O$89,MATCH($C494,Costs!$C$7:$C$89,0),MATCH(K$7,Costs!$E$6:$O$6,0))</f>
        <v>32.178714976857577</v>
      </c>
      <c r="L494" s="86">
        <f>GDPdeflator!$C$38*INDEX(Costs!$E$7:$O$89,MATCH($C494,Costs!$C$7:$C$89,0),MATCH(L$7,Costs!$E$6:$O$6,0))</f>
        <v>32.161193215367327</v>
      </c>
      <c r="M494" s="86">
        <f>GDPdeflator!$C$38*INDEX(Costs!$E$7:$O$89,MATCH($C494,Costs!$C$7:$C$89,0),MATCH(M$7,Costs!$E$6:$O$6,0))</f>
        <v>32.161193215367327</v>
      </c>
      <c r="N494" s="86">
        <f>GDPdeflator!$C$38*INDEX(Costs!$E$7:$O$89,MATCH($C494,Costs!$C$7:$C$89,0),MATCH(N$7,Costs!$E$6:$O$6,0))</f>
        <v>32.161193215367327</v>
      </c>
      <c r="O494" s="86">
        <f>GDPdeflator!$C$38*INDEX(Costs!$E$7:$O$89,MATCH($C494,Costs!$C$7:$C$89,0),MATCH(O$7,Costs!$E$6:$O$6,0))</f>
        <v>32.161193215367327</v>
      </c>
      <c r="P494" s="87">
        <f>E494/$AI$18*10^6</f>
        <v>0</v>
      </c>
      <c r="Q494" s="87">
        <f t="shared" si="229"/>
        <v>0</v>
      </c>
      <c r="R494" s="87">
        <f t="shared" si="236"/>
        <v>0</v>
      </c>
      <c r="S494" s="87">
        <f t="shared" si="237"/>
        <v>2773.1821330523694</v>
      </c>
      <c r="T494" s="87">
        <f t="shared" si="238"/>
        <v>2736.6062674093682</v>
      </c>
      <c r="U494" s="87">
        <f t="shared" si="239"/>
        <v>2697.1043325149267</v>
      </c>
      <c r="V494" s="87">
        <f t="shared" si="240"/>
        <v>2686.8630901348861</v>
      </c>
      <c r="W494" s="87">
        <f t="shared" si="241"/>
        <v>2685.4000555091666</v>
      </c>
      <c r="X494" s="87">
        <f t="shared" si="242"/>
        <v>2685.4000555091666</v>
      </c>
      <c r="Y494" s="87">
        <f t="shared" si="243"/>
        <v>2685.4000555091666</v>
      </c>
      <c r="Z494" s="87">
        <f t="shared" si="244"/>
        <v>2685.4000555091666</v>
      </c>
      <c r="AA494" s="88">
        <v>473</v>
      </c>
      <c r="AB494" s="89">
        <f>AA494*GDPdeflator!$C$25/$AI$18*10^3</f>
        <v>45.478712808157368</v>
      </c>
      <c r="AC494" s="90" t="e">
        <f>INDEX(Efficiencies!$D$8:$M$89,MATCH(C494,Efficiencies!$C$8:$C$89),MATCH(D494,Efficiencies!$D$7:$M$7))</f>
        <v>#REF!</v>
      </c>
      <c r="AD494" s="90" t="e">
        <f t="shared" si="232"/>
        <v>#REF!</v>
      </c>
      <c r="AE494" s="90" t="e">
        <f>INDEX(Efficiencies!$P$8:$Y$89,MATCH(C494,Efficiencies!$C$8:$C$89),MATCH(D494,Efficiencies!$P$7:$Y$7))</f>
        <v>#REF!</v>
      </c>
      <c r="AF494" s="90" t="e">
        <f t="shared" si="234"/>
        <v>#REF!</v>
      </c>
      <c r="AG494" s="90">
        <v>0</v>
      </c>
    </row>
    <row r="495" spans="1:33" x14ac:dyDescent="0.2">
      <c r="A495" s="92" t="s">
        <v>1805</v>
      </c>
      <c r="B495" s="248" t="s">
        <v>1806</v>
      </c>
      <c r="C495" s="40" t="s">
        <v>1804</v>
      </c>
      <c r="D495" s="40">
        <v>2025</v>
      </c>
      <c r="E495" s="86">
        <f>GDPdeflator!$C$32*INDEX(Costs!$E$7:$O$89,MATCH($C495,Costs!$C$7:$C$89,0),MATCH(E$7,Costs!$E$6:$O$6,0))</f>
        <v>0</v>
      </c>
      <c r="F495" s="86">
        <f>GDPdeflator!$C$36*INDEX(Costs!$E$7:$O$89,MATCH($C495,Costs!$C$7:$C$89,0),MATCH(F$7,Costs!$E$6:$O$6,0))</f>
        <v>0</v>
      </c>
      <c r="G495" s="86">
        <f>GDPdeflator!$C$38*INDEX(Costs!$E$7:$O$89,MATCH($C495,Costs!$C$7:$C$89,0),MATCH(G$7,Costs!$E$6:$O$6,0))</f>
        <v>0</v>
      </c>
      <c r="H495" s="86">
        <f>GDPdeflator!$C$38*INDEX(Costs!$E$7:$O$89,MATCH($C495,Costs!$C$7:$C$89,0),MATCH(H$7,Costs!$E$6:$O$6,0))</f>
        <v>33.212498904782763</v>
      </c>
      <c r="I495" s="86">
        <f>GDPdeflator!$C$38*INDEX(Costs!$E$7:$O$89,MATCH($C495,Costs!$C$7:$C$89,0),MATCH(I$7,Costs!$E$6:$O$6,0))</f>
        <v>32.77445486752633</v>
      </c>
      <c r="J495" s="86">
        <f>GDPdeflator!$C$38*INDEX(Costs!$E$7:$O$89,MATCH($C495,Costs!$C$7:$C$89,0),MATCH(J$7,Costs!$E$6:$O$6,0))</f>
        <v>32.301367307289382</v>
      </c>
      <c r="K495" s="86">
        <f>GDPdeflator!$C$38*INDEX(Costs!$E$7:$O$89,MATCH($C495,Costs!$C$7:$C$89,0),MATCH(K$7,Costs!$E$6:$O$6,0))</f>
        <v>32.178714976857577</v>
      </c>
      <c r="L495" s="86">
        <f>GDPdeflator!$C$38*INDEX(Costs!$E$7:$O$89,MATCH($C495,Costs!$C$7:$C$89,0),MATCH(L$7,Costs!$E$6:$O$6,0))</f>
        <v>32.161193215367327</v>
      </c>
      <c r="M495" s="86">
        <f>GDPdeflator!$C$38*INDEX(Costs!$E$7:$O$89,MATCH($C495,Costs!$C$7:$C$89,0),MATCH(M$7,Costs!$E$6:$O$6,0))</f>
        <v>32.161193215367327</v>
      </c>
      <c r="N495" s="86">
        <f>GDPdeflator!$C$38*INDEX(Costs!$E$7:$O$89,MATCH($C495,Costs!$C$7:$C$89,0),MATCH(N$7,Costs!$E$6:$O$6,0))</f>
        <v>32.161193215367327</v>
      </c>
      <c r="O495" s="86">
        <f>GDPdeflator!$C$38*INDEX(Costs!$E$7:$O$89,MATCH($C495,Costs!$C$7:$C$89,0),MATCH(O$7,Costs!$E$6:$O$6,0))</f>
        <v>32.161193215367327</v>
      </c>
      <c r="P495" s="87">
        <f t="shared" ref="P495:P500" si="245">E495/$AI$18*10^6</f>
        <v>0</v>
      </c>
      <c r="Q495" s="87">
        <f t="shared" si="229"/>
        <v>0</v>
      </c>
      <c r="R495" s="87">
        <f t="shared" si="236"/>
        <v>0</v>
      </c>
      <c r="S495" s="87">
        <f t="shared" si="237"/>
        <v>2773.1821330523694</v>
      </c>
      <c r="T495" s="87">
        <f t="shared" si="238"/>
        <v>2736.6062674093682</v>
      </c>
      <c r="U495" s="87">
        <f t="shared" si="239"/>
        <v>2697.1043325149267</v>
      </c>
      <c r="V495" s="87">
        <f t="shared" si="240"/>
        <v>2686.8630901348861</v>
      </c>
      <c r="W495" s="87">
        <f t="shared" si="241"/>
        <v>2685.4000555091666</v>
      </c>
      <c r="X495" s="87">
        <f t="shared" si="242"/>
        <v>2685.4000555091666</v>
      </c>
      <c r="Y495" s="87">
        <f t="shared" si="243"/>
        <v>2685.4000555091666</v>
      </c>
      <c r="Z495" s="87">
        <f t="shared" si="244"/>
        <v>2685.4000555091666</v>
      </c>
      <c r="AA495" s="88">
        <v>473</v>
      </c>
      <c r="AB495" s="89">
        <f>AA495*GDPdeflator!$C$25/$AI$18*10^3</f>
        <v>45.478712808157368</v>
      </c>
      <c r="AC495" s="90" t="e">
        <f>INDEX(Efficiencies!$D$8:$M$89,MATCH(C495,Efficiencies!$C$8:$C$89),MATCH(D495,Efficiencies!$D$7:$M$7))</f>
        <v>#REF!</v>
      </c>
      <c r="AD495" s="90" t="e">
        <f t="shared" si="232"/>
        <v>#REF!</v>
      </c>
      <c r="AE495" s="90" t="e">
        <f>INDEX(Efficiencies!$P$8:$Y$89,MATCH(C495,Efficiencies!$C$8:$C$89),MATCH(D495,Efficiencies!$P$7:$Y$7))</f>
        <v>#REF!</v>
      </c>
      <c r="AF495" s="90" t="e">
        <f t="shared" si="234"/>
        <v>#REF!</v>
      </c>
      <c r="AG495" s="90">
        <v>0</v>
      </c>
    </row>
    <row r="496" spans="1:33" x14ac:dyDescent="0.2">
      <c r="A496" s="92" t="s">
        <v>1807</v>
      </c>
      <c r="B496" s="248" t="s">
        <v>1808</v>
      </c>
      <c r="C496" s="40" t="s">
        <v>1804</v>
      </c>
      <c r="D496" s="40">
        <v>2030</v>
      </c>
      <c r="E496" s="86">
        <f>GDPdeflator!$C$32*INDEX(Costs!$E$7:$O$89,MATCH($C496,Costs!$C$7:$C$89,0),MATCH(E$7,Costs!$E$6:$O$6,0))</f>
        <v>0</v>
      </c>
      <c r="F496" s="86">
        <f>GDPdeflator!$C$36*INDEX(Costs!$E$7:$O$89,MATCH($C496,Costs!$C$7:$C$89,0),MATCH(F$7,Costs!$E$6:$O$6,0))</f>
        <v>0</v>
      </c>
      <c r="G496" s="86">
        <f>GDPdeflator!$C$38*INDEX(Costs!$E$7:$O$89,MATCH($C496,Costs!$C$7:$C$89,0),MATCH(G$7,Costs!$E$6:$O$6,0))</f>
        <v>0</v>
      </c>
      <c r="H496" s="86">
        <f>GDPdeflator!$C$38*INDEX(Costs!$E$7:$O$89,MATCH($C496,Costs!$C$7:$C$89,0),MATCH(H$7,Costs!$E$6:$O$6,0))</f>
        <v>33.212498904782763</v>
      </c>
      <c r="I496" s="86">
        <f>GDPdeflator!$C$38*INDEX(Costs!$E$7:$O$89,MATCH($C496,Costs!$C$7:$C$89,0),MATCH(I$7,Costs!$E$6:$O$6,0))</f>
        <v>32.77445486752633</v>
      </c>
      <c r="J496" s="86">
        <f>GDPdeflator!$C$38*INDEX(Costs!$E$7:$O$89,MATCH($C496,Costs!$C$7:$C$89,0),MATCH(J$7,Costs!$E$6:$O$6,0))</f>
        <v>32.301367307289382</v>
      </c>
      <c r="K496" s="86">
        <f>GDPdeflator!$C$38*INDEX(Costs!$E$7:$O$89,MATCH($C496,Costs!$C$7:$C$89,0),MATCH(K$7,Costs!$E$6:$O$6,0))</f>
        <v>32.178714976857577</v>
      </c>
      <c r="L496" s="86">
        <f>GDPdeflator!$C$38*INDEX(Costs!$E$7:$O$89,MATCH($C496,Costs!$C$7:$C$89,0),MATCH(L$7,Costs!$E$6:$O$6,0))</f>
        <v>32.161193215367327</v>
      </c>
      <c r="M496" s="86">
        <f>GDPdeflator!$C$38*INDEX(Costs!$E$7:$O$89,MATCH($C496,Costs!$C$7:$C$89,0),MATCH(M$7,Costs!$E$6:$O$6,0))</f>
        <v>32.161193215367327</v>
      </c>
      <c r="N496" s="86">
        <f>GDPdeflator!$C$38*INDEX(Costs!$E$7:$O$89,MATCH($C496,Costs!$C$7:$C$89,0),MATCH(N$7,Costs!$E$6:$O$6,0))</f>
        <v>32.161193215367327</v>
      </c>
      <c r="O496" s="86">
        <f>GDPdeflator!$C$38*INDEX(Costs!$E$7:$O$89,MATCH($C496,Costs!$C$7:$C$89,0),MATCH(O$7,Costs!$E$6:$O$6,0))</f>
        <v>32.161193215367327</v>
      </c>
      <c r="P496" s="87">
        <f t="shared" si="245"/>
        <v>0</v>
      </c>
      <c r="Q496" s="87">
        <f t="shared" si="229"/>
        <v>0</v>
      </c>
      <c r="R496" s="87">
        <f t="shared" si="236"/>
        <v>0</v>
      </c>
      <c r="S496" s="87">
        <f t="shared" si="237"/>
        <v>2773.1821330523694</v>
      </c>
      <c r="T496" s="87">
        <f t="shared" si="238"/>
        <v>2736.6062674093682</v>
      </c>
      <c r="U496" s="87">
        <f t="shared" si="239"/>
        <v>2697.1043325149267</v>
      </c>
      <c r="V496" s="87">
        <f t="shared" si="240"/>
        <v>2686.8630901348861</v>
      </c>
      <c r="W496" s="87">
        <f t="shared" si="241"/>
        <v>2685.4000555091666</v>
      </c>
      <c r="X496" s="87">
        <f t="shared" si="242"/>
        <v>2685.4000555091666</v>
      </c>
      <c r="Y496" s="87">
        <f t="shared" si="243"/>
        <v>2685.4000555091666</v>
      </c>
      <c r="Z496" s="87">
        <f t="shared" si="244"/>
        <v>2685.4000555091666</v>
      </c>
      <c r="AA496" s="88">
        <v>473</v>
      </c>
      <c r="AB496" s="89">
        <f>AA496*GDPdeflator!$C$25/$AI$18*10^3</f>
        <v>45.478712808157368</v>
      </c>
      <c r="AC496" s="90" t="e">
        <f>INDEX(Efficiencies!$D$8:$M$89,MATCH(C496,Efficiencies!$C$8:$C$89),MATCH(D496,Efficiencies!$D$7:$M$7))</f>
        <v>#REF!</v>
      </c>
      <c r="AD496" s="90" t="e">
        <f t="shared" si="232"/>
        <v>#REF!</v>
      </c>
      <c r="AE496" s="90" t="e">
        <f>INDEX(Efficiencies!$P$8:$Y$89,MATCH(C496,Efficiencies!$C$8:$C$89),MATCH(D496,Efficiencies!$P$7:$Y$7))</f>
        <v>#REF!</v>
      </c>
      <c r="AF496" s="90" t="e">
        <f t="shared" si="234"/>
        <v>#REF!</v>
      </c>
      <c r="AG496" s="90">
        <v>0</v>
      </c>
    </row>
    <row r="497" spans="1:33" x14ac:dyDescent="0.2">
      <c r="A497" s="92" t="s">
        <v>1809</v>
      </c>
      <c r="B497" s="248" t="s">
        <v>1810</v>
      </c>
      <c r="C497" s="40" t="s">
        <v>1804</v>
      </c>
      <c r="D497" s="40">
        <v>2035</v>
      </c>
      <c r="E497" s="86">
        <f>GDPdeflator!$C$32*INDEX(Costs!$E$7:$O$89,MATCH($C497,Costs!$C$7:$C$89,0),MATCH(E$7,Costs!$E$6:$O$6,0))</f>
        <v>0</v>
      </c>
      <c r="F497" s="86">
        <f>GDPdeflator!$C$36*INDEX(Costs!$E$7:$O$89,MATCH($C497,Costs!$C$7:$C$89,0),MATCH(F$7,Costs!$E$6:$O$6,0))</f>
        <v>0</v>
      </c>
      <c r="G497" s="86">
        <f>GDPdeflator!$C$38*INDEX(Costs!$E$7:$O$89,MATCH($C497,Costs!$C$7:$C$89,0),MATCH(G$7,Costs!$E$6:$O$6,0))</f>
        <v>0</v>
      </c>
      <c r="H497" s="86">
        <f>GDPdeflator!$C$38*INDEX(Costs!$E$7:$O$89,MATCH($C497,Costs!$C$7:$C$89,0),MATCH(H$7,Costs!$E$6:$O$6,0))</f>
        <v>33.212498904782763</v>
      </c>
      <c r="I497" s="86">
        <f>GDPdeflator!$C$38*INDEX(Costs!$E$7:$O$89,MATCH($C497,Costs!$C$7:$C$89,0),MATCH(I$7,Costs!$E$6:$O$6,0))</f>
        <v>32.77445486752633</v>
      </c>
      <c r="J497" s="86">
        <f>GDPdeflator!$C$38*INDEX(Costs!$E$7:$O$89,MATCH($C497,Costs!$C$7:$C$89,0),MATCH(J$7,Costs!$E$6:$O$6,0))</f>
        <v>32.301367307289382</v>
      </c>
      <c r="K497" s="86">
        <f>GDPdeflator!$C$38*INDEX(Costs!$E$7:$O$89,MATCH($C497,Costs!$C$7:$C$89,0),MATCH(K$7,Costs!$E$6:$O$6,0))</f>
        <v>32.178714976857577</v>
      </c>
      <c r="L497" s="86">
        <f>GDPdeflator!$C$38*INDEX(Costs!$E$7:$O$89,MATCH($C497,Costs!$C$7:$C$89,0),MATCH(L$7,Costs!$E$6:$O$6,0))</f>
        <v>32.161193215367327</v>
      </c>
      <c r="M497" s="86">
        <f>GDPdeflator!$C$38*INDEX(Costs!$E$7:$O$89,MATCH($C497,Costs!$C$7:$C$89,0),MATCH(M$7,Costs!$E$6:$O$6,0))</f>
        <v>32.161193215367327</v>
      </c>
      <c r="N497" s="86">
        <f>GDPdeflator!$C$38*INDEX(Costs!$E$7:$O$89,MATCH($C497,Costs!$C$7:$C$89,0),MATCH(N$7,Costs!$E$6:$O$6,0))</f>
        <v>32.161193215367327</v>
      </c>
      <c r="O497" s="86">
        <f>GDPdeflator!$C$38*INDEX(Costs!$E$7:$O$89,MATCH($C497,Costs!$C$7:$C$89,0),MATCH(O$7,Costs!$E$6:$O$6,0))</f>
        <v>32.161193215367327</v>
      </c>
      <c r="P497" s="87">
        <f t="shared" si="245"/>
        <v>0</v>
      </c>
      <c r="Q497" s="87">
        <f t="shared" si="229"/>
        <v>0</v>
      </c>
      <c r="R497" s="87">
        <f t="shared" si="236"/>
        <v>0</v>
      </c>
      <c r="S497" s="87">
        <f t="shared" si="237"/>
        <v>2773.1821330523694</v>
      </c>
      <c r="T497" s="87">
        <f t="shared" si="238"/>
        <v>2736.6062674093682</v>
      </c>
      <c r="U497" s="87">
        <f t="shared" si="239"/>
        <v>2697.1043325149267</v>
      </c>
      <c r="V497" s="87">
        <f t="shared" si="240"/>
        <v>2686.8630901348861</v>
      </c>
      <c r="W497" s="87">
        <f t="shared" si="241"/>
        <v>2685.4000555091666</v>
      </c>
      <c r="X497" s="87">
        <f t="shared" si="242"/>
        <v>2685.4000555091666</v>
      </c>
      <c r="Y497" s="87">
        <f t="shared" si="243"/>
        <v>2685.4000555091666</v>
      </c>
      <c r="Z497" s="87">
        <f t="shared" si="244"/>
        <v>2685.4000555091666</v>
      </c>
      <c r="AA497" s="88">
        <v>473</v>
      </c>
      <c r="AB497" s="89">
        <f>AA497*GDPdeflator!$C$25/$AI$18*10^3</f>
        <v>45.478712808157368</v>
      </c>
      <c r="AC497" s="90" t="e">
        <f>INDEX(Efficiencies!$D$8:$M$89,MATCH(C497,Efficiencies!$C$8:$C$89),MATCH(D497,Efficiencies!$D$7:$M$7))</f>
        <v>#REF!</v>
      </c>
      <c r="AD497" s="90" t="e">
        <f t="shared" si="232"/>
        <v>#REF!</v>
      </c>
      <c r="AE497" s="90" t="e">
        <f>INDEX(Efficiencies!$P$8:$Y$89,MATCH(C497,Efficiencies!$C$8:$C$89),MATCH(D497,Efficiencies!$P$7:$Y$7))</f>
        <v>#REF!</v>
      </c>
      <c r="AF497" s="90" t="e">
        <f t="shared" si="234"/>
        <v>#REF!</v>
      </c>
      <c r="AG497" s="90">
        <v>0</v>
      </c>
    </row>
    <row r="498" spans="1:33" x14ac:dyDescent="0.2">
      <c r="A498" s="92" t="s">
        <v>1811</v>
      </c>
      <c r="B498" s="248" t="s">
        <v>1812</v>
      </c>
      <c r="C498" s="40" t="s">
        <v>1804</v>
      </c>
      <c r="D498" s="40">
        <v>2040</v>
      </c>
      <c r="E498" s="86">
        <f>GDPdeflator!$C$32*INDEX(Costs!$E$7:$O$89,MATCH($C498,Costs!$C$7:$C$89,0),MATCH(E$7,Costs!$E$6:$O$6,0))</f>
        <v>0</v>
      </c>
      <c r="F498" s="86">
        <f>GDPdeflator!$C$36*INDEX(Costs!$E$7:$O$89,MATCH($C498,Costs!$C$7:$C$89,0),MATCH(F$7,Costs!$E$6:$O$6,0))</f>
        <v>0</v>
      </c>
      <c r="G498" s="86">
        <f>GDPdeflator!$C$38*INDEX(Costs!$E$7:$O$89,MATCH($C498,Costs!$C$7:$C$89,0),MATCH(G$7,Costs!$E$6:$O$6,0))</f>
        <v>0</v>
      </c>
      <c r="H498" s="86">
        <f>GDPdeflator!$C$38*INDEX(Costs!$E$7:$O$89,MATCH($C498,Costs!$C$7:$C$89,0),MATCH(H$7,Costs!$E$6:$O$6,0))</f>
        <v>33.212498904782763</v>
      </c>
      <c r="I498" s="86">
        <f>GDPdeflator!$C$38*INDEX(Costs!$E$7:$O$89,MATCH($C498,Costs!$C$7:$C$89,0),MATCH(I$7,Costs!$E$6:$O$6,0))</f>
        <v>32.77445486752633</v>
      </c>
      <c r="J498" s="86">
        <f>GDPdeflator!$C$38*INDEX(Costs!$E$7:$O$89,MATCH($C498,Costs!$C$7:$C$89,0),MATCH(J$7,Costs!$E$6:$O$6,0))</f>
        <v>32.301367307289382</v>
      </c>
      <c r="K498" s="86">
        <f>GDPdeflator!$C$38*INDEX(Costs!$E$7:$O$89,MATCH($C498,Costs!$C$7:$C$89,0),MATCH(K$7,Costs!$E$6:$O$6,0))</f>
        <v>32.178714976857577</v>
      </c>
      <c r="L498" s="86">
        <f>GDPdeflator!$C$38*INDEX(Costs!$E$7:$O$89,MATCH($C498,Costs!$C$7:$C$89,0),MATCH(L$7,Costs!$E$6:$O$6,0))</f>
        <v>32.161193215367327</v>
      </c>
      <c r="M498" s="86">
        <f>GDPdeflator!$C$38*INDEX(Costs!$E$7:$O$89,MATCH($C498,Costs!$C$7:$C$89,0),MATCH(M$7,Costs!$E$6:$O$6,0))</f>
        <v>32.161193215367327</v>
      </c>
      <c r="N498" s="86">
        <f>GDPdeflator!$C$38*INDEX(Costs!$E$7:$O$89,MATCH($C498,Costs!$C$7:$C$89,0),MATCH(N$7,Costs!$E$6:$O$6,0))</f>
        <v>32.161193215367327</v>
      </c>
      <c r="O498" s="86">
        <f>GDPdeflator!$C$38*INDEX(Costs!$E$7:$O$89,MATCH($C498,Costs!$C$7:$C$89,0),MATCH(O$7,Costs!$E$6:$O$6,0))</f>
        <v>32.161193215367327</v>
      </c>
      <c r="P498" s="87">
        <f t="shared" si="245"/>
        <v>0</v>
      </c>
      <c r="Q498" s="87">
        <f t="shared" si="229"/>
        <v>0</v>
      </c>
      <c r="R498" s="87">
        <f t="shared" si="236"/>
        <v>0</v>
      </c>
      <c r="S498" s="87">
        <f t="shared" si="237"/>
        <v>2773.1821330523694</v>
      </c>
      <c r="T498" s="87">
        <f t="shared" si="238"/>
        <v>2736.6062674093682</v>
      </c>
      <c r="U498" s="87">
        <f t="shared" si="239"/>
        <v>2697.1043325149267</v>
      </c>
      <c r="V498" s="87">
        <f t="shared" si="240"/>
        <v>2686.8630901348861</v>
      </c>
      <c r="W498" s="87">
        <f t="shared" si="241"/>
        <v>2685.4000555091666</v>
      </c>
      <c r="X498" s="87">
        <f t="shared" si="242"/>
        <v>2685.4000555091666</v>
      </c>
      <c r="Y498" s="87">
        <f t="shared" si="243"/>
        <v>2685.4000555091666</v>
      </c>
      <c r="Z498" s="87">
        <f t="shared" si="244"/>
        <v>2685.4000555091666</v>
      </c>
      <c r="AA498" s="88">
        <v>473</v>
      </c>
      <c r="AB498" s="89">
        <f>AA498*GDPdeflator!$C$25/$AI$18*10^3</f>
        <v>45.478712808157368</v>
      </c>
      <c r="AC498" s="90" t="e">
        <f>INDEX(Efficiencies!$D$8:$M$89,MATCH(C498,Efficiencies!$C$8:$C$89),MATCH(D498,Efficiencies!$D$7:$M$7))</f>
        <v>#REF!</v>
      </c>
      <c r="AD498" s="90" t="e">
        <f t="shared" si="232"/>
        <v>#REF!</v>
      </c>
      <c r="AE498" s="90" t="e">
        <f>INDEX(Efficiencies!$P$8:$Y$89,MATCH(C498,Efficiencies!$C$8:$C$89),MATCH(D498,Efficiencies!$P$7:$Y$7))</f>
        <v>#REF!</v>
      </c>
      <c r="AF498" s="90" t="e">
        <f t="shared" si="234"/>
        <v>#REF!</v>
      </c>
      <c r="AG498" s="90">
        <v>0</v>
      </c>
    </row>
    <row r="499" spans="1:33" x14ac:dyDescent="0.2">
      <c r="A499" s="92" t="s">
        <v>1813</v>
      </c>
      <c r="B499" s="248" t="s">
        <v>1814</v>
      </c>
      <c r="C499" s="40" t="s">
        <v>1804</v>
      </c>
      <c r="D499" s="40">
        <v>2045</v>
      </c>
      <c r="E499" s="86">
        <f>GDPdeflator!$C$32*INDEX(Costs!$E$7:$O$89,MATCH($C499,Costs!$C$7:$C$89,0),MATCH(E$7,Costs!$E$6:$O$6,0))</f>
        <v>0</v>
      </c>
      <c r="F499" s="86">
        <f>GDPdeflator!$C$36*INDEX(Costs!$E$7:$O$89,MATCH($C499,Costs!$C$7:$C$89,0),MATCH(F$7,Costs!$E$6:$O$6,0))</f>
        <v>0</v>
      </c>
      <c r="G499" s="86">
        <f>GDPdeflator!$C$38*INDEX(Costs!$E$7:$O$89,MATCH($C499,Costs!$C$7:$C$89,0),MATCH(G$7,Costs!$E$6:$O$6,0))</f>
        <v>0</v>
      </c>
      <c r="H499" s="86">
        <f>GDPdeflator!$C$38*INDEX(Costs!$E$7:$O$89,MATCH($C499,Costs!$C$7:$C$89,0),MATCH(H$7,Costs!$E$6:$O$6,0))</f>
        <v>33.212498904782763</v>
      </c>
      <c r="I499" s="86">
        <f>GDPdeflator!$C$38*INDEX(Costs!$E$7:$O$89,MATCH($C499,Costs!$C$7:$C$89,0),MATCH(I$7,Costs!$E$6:$O$6,0))</f>
        <v>32.77445486752633</v>
      </c>
      <c r="J499" s="86">
        <f>GDPdeflator!$C$38*INDEX(Costs!$E$7:$O$89,MATCH($C499,Costs!$C$7:$C$89,0),MATCH(J$7,Costs!$E$6:$O$6,0))</f>
        <v>32.301367307289382</v>
      </c>
      <c r="K499" s="86">
        <f>GDPdeflator!$C$38*INDEX(Costs!$E$7:$O$89,MATCH($C499,Costs!$C$7:$C$89,0),MATCH(K$7,Costs!$E$6:$O$6,0))</f>
        <v>32.178714976857577</v>
      </c>
      <c r="L499" s="86">
        <f>GDPdeflator!$C$38*INDEX(Costs!$E$7:$O$89,MATCH($C499,Costs!$C$7:$C$89,0),MATCH(L$7,Costs!$E$6:$O$6,0))</f>
        <v>32.161193215367327</v>
      </c>
      <c r="M499" s="86">
        <f>GDPdeflator!$C$38*INDEX(Costs!$E$7:$O$89,MATCH($C499,Costs!$C$7:$C$89,0),MATCH(M$7,Costs!$E$6:$O$6,0))</f>
        <v>32.161193215367327</v>
      </c>
      <c r="N499" s="86">
        <f>GDPdeflator!$C$38*INDEX(Costs!$E$7:$O$89,MATCH($C499,Costs!$C$7:$C$89,0),MATCH(N$7,Costs!$E$6:$O$6,0))</f>
        <v>32.161193215367327</v>
      </c>
      <c r="O499" s="86">
        <f>GDPdeflator!$C$38*INDEX(Costs!$E$7:$O$89,MATCH($C499,Costs!$C$7:$C$89,0),MATCH(O$7,Costs!$E$6:$O$6,0))</f>
        <v>32.161193215367327</v>
      </c>
      <c r="P499" s="87">
        <f t="shared" si="245"/>
        <v>0</v>
      </c>
      <c r="Q499" s="87">
        <f t="shared" si="229"/>
        <v>0</v>
      </c>
      <c r="R499" s="87">
        <f t="shared" si="236"/>
        <v>0</v>
      </c>
      <c r="S499" s="87">
        <f t="shared" si="237"/>
        <v>2773.1821330523694</v>
      </c>
      <c r="T499" s="87">
        <f t="shared" si="238"/>
        <v>2736.6062674093682</v>
      </c>
      <c r="U499" s="87">
        <f t="shared" si="239"/>
        <v>2697.1043325149267</v>
      </c>
      <c r="V499" s="87">
        <f t="shared" si="240"/>
        <v>2686.8630901348861</v>
      </c>
      <c r="W499" s="87">
        <f t="shared" si="241"/>
        <v>2685.4000555091666</v>
      </c>
      <c r="X499" s="87">
        <f t="shared" si="242"/>
        <v>2685.4000555091666</v>
      </c>
      <c r="Y499" s="87">
        <f t="shared" si="243"/>
        <v>2685.4000555091666</v>
      </c>
      <c r="Z499" s="87">
        <f t="shared" si="244"/>
        <v>2685.4000555091666</v>
      </c>
      <c r="AA499" s="88">
        <v>473</v>
      </c>
      <c r="AB499" s="89">
        <f>AA499*GDPdeflator!$C$25/$AI$18*10^3</f>
        <v>45.478712808157368</v>
      </c>
      <c r="AC499" s="90" t="e">
        <f>INDEX(Efficiencies!$D$8:$M$89,MATCH(C499,Efficiencies!$C$8:$C$89),MATCH(D499,Efficiencies!$D$7:$M$7))</f>
        <v>#REF!</v>
      </c>
      <c r="AD499" s="90" t="e">
        <f t="shared" si="232"/>
        <v>#REF!</v>
      </c>
      <c r="AE499" s="90" t="e">
        <f>INDEX(Efficiencies!$P$8:$Y$89,MATCH(C499,Efficiencies!$C$8:$C$89),MATCH(D499,Efficiencies!$P$7:$Y$7))</f>
        <v>#REF!</v>
      </c>
      <c r="AF499" s="90" t="e">
        <f t="shared" si="234"/>
        <v>#REF!</v>
      </c>
      <c r="AG499" s="90">
        <v>0</v>
      </c>
    </row>
    <row r="500" spans="1:33" x14ac:dyDescent="0.2">
      <c r="A500" s="92" t="s">
        <v>1815</v>
      </c>
      <c r="B500" s="248" t="s">
        <v>1816</v>
      </c>
      <c r="C500" s="40" t="s">
        <v>1804</v>
      </c>
      <c r="D500" s="40">
        <v>2050</v>
      </c>
      <c r="E500" s="86">
        <f>GDPdeflator!$C$32*INDEX(Costs!$E$7:$O$89,MATCH($C500,Costs!$C$7:$C$89,0),MATCH(E$7,Costs!$E$6:$O$6,0))</f>
        <v>0</v>
      </c>
      <c r="F500" s="86">
        <f>GDPdeflator!$C$36*INDEX(Costs!$E$7:$O$89,MATCH($C500,Costs!$C$7:$C$89,0),MATCH(F$7,Costs!$E$6:$O$6,0))</f>
        <v>0</v>
      </c>
      <c r="G500" s="86">
        <f>GDPdeflator!$C$38*INDEX(Costs!$E$7:$O$89,MATCH($C500,Costs!$C$7:$C$89,0),MATCH(G$7,Costs!$E$6:$O$6,0))</f>
        <v>0</v>
      </c>
      <c r="H500" s="86">
        <f>GDPdeflator!$C$38*INDEX(Costs!$E$7:$O$89,MATCH($C500,Costs!$C$7:$C$89,0),MATCH(H$7,Costs!$E$6:$O$6,0))</f>
        <v>33.212498904782763</v>
      </c>
      <c r="I500" s="86">
        <f>GDPdeflator!$C$38*INDEX(Costs!$E$7:$O$89,MATCH($C500,Costs!$C$7:$C$89,0),MATCH(I$7,Costs!$E$6:$O$6,0))</f>
        <v>32.77445486752633</v>
      </c>
      <c r="J500" s="86">
        <f>GDPdeflator!$C$38*INDEX(Costs!$E$7:$O$89,MATCH($C500,Costs!$C$7:$C$89,0),MATCH(J$7,Costs!$E$6:$O$6,0))</f>
        <v>32.301367307289382</v>
      </c>
      <c r="K500" s="86">
        <f>GDPdeflator!$C$38*INDEX(Costs!$E$7:$O$89,MATCH($C500,Costs!$C$7:$C$89,0),MATCH(K$7,Costs!$E$6:$O$6,0))</f>
        <v>32.178714976857577</v>
      </c>
      <c r="L500" s="86">
        <f>GDPdeflator!$C$38*INDEX(Costs!$E$7:$O$89,MATCH($C500,Costs!$C$7:$C$89,0),MATCH(L$7,Costs!$E$6:$O$6,0))</f>
        <v>32.161193215367327</v>
      </c>
      <c r="M500" s="86">
        <f>GDPdeflator!$C$38*INDEX(Costs!$E$7:$O$89,MATCH($C500,Costs!$C$7:$C$89,0),MATCH(M$7,Costs!$E$6:$O$6,0))</f>
        <v>32.161193215367327</v>
      </c>
      <c r="N500" s="86">
        <f>GDPdeflator!$C$38*INDEX(Costs!$E$7:$O$89,MATCH($C500,Costs!$C$7:$C$89,0),MATCH(N$7,Costs!$E$6:$O$6,0))</f>
        <v>32.161193215367327</v>
      </c>
      <c r="O500" s="86">
        <f>GDPdeflator!$C$38*INDEX(Costs!$E$7:$O$89,MATCH($C500,Costs!$C$7:$C$89,0),MATCH(O$7,Costs!$E$6:$O$6,0))</f>
        <v>32.161193215367327</v>
      </c>
      <c r="P500" s="87">
        <f t="shared" si="245"/>
        <v>0</v>
      </c>
      <c r="Q500" s="87">
        <f t="shared" si="229"/>
        <v>0</v>
      </c>
      <c r="R500" s="87">
        <f t="shared" si="236"/>
        <v>0</v>
      </c>
      <c r="S500" s="87">
        <f t="shared" si="237"/>
        <v>2773.1821330523694</v>
      </c>
      <c r="T500" s="87">
        <f t="shared" si="238"/>
        <v>2736.6062674093682</v>
      </c>
      <c r="U500" s="87">
        <f t="shared" si="239"/>
        <v>2697.1043325149267</v>
      </c>
      <c r="V500" s="87">
        <f t="shared" si="240"/>
        <v>2686.8630901348861</v>
      </c>
      <c r="W500" s="87">
        <f t="shared" si="241"/>
        <v>2685.4000555091666</v>
      </c>
      <c r="X500" s="87">
        <f t="shared" si="242"/>
        <v>2685.4000555091666</v>
      </c>
      <c r="Y500" s="87">
        <f t="shared" si="243"/>
        <v>2685.4000555091666</v>
      </c>
      <c r="Z500" s="87">
        <f t="shared" si="244"/>
        <v>2685.4000555091666</v>
      </c>
      <c r="AA500" s="88">
        <v>473</v>
      </c>
      <c r="AB500" s="89">
        <f>AA500*GDPdeflator!$C$25/$AI$18*10^3</f>
        <v>45.478712808157368</v>
      </c>
      <c r="AC500" s="90" t="e">
        <f>INDEX(Efficiencies!$D$8:$M$89,MATCH(C500,Efficiencies!$C$8:$C$89),MATCH(D500,Efficiencies!$D$7:$M$7))</f>
        <v>#REF!</v>
      </c>
      <c r="AD500" s="90" t="e">
        <f t="shared" si="232"/>
        <v>#REF!</v>
      </c>
      <c r="AE500" s="90" t="e">
        <f>INDEX(Efficiencies!$P$8:$Y$89,MATCH(C500,Efficiencies!$C$8:$C$89),MATCH(D500,Efficiencies!$P$7:$Y$7))</f>
        <v>#REF!</v>
      </c>
      <c r="AF500" s="90" t="e">
        <f t="shared" si="234"/>
        <v>#REF!</v>
      </c>
      <c r="AG500" s="90">
        <v>0</v>
      </c>
    </row>
    <row r="501" spans="1:33" x14ac:dyDescent="0.2">
      <c r="A501" s="92" t="s">
        <v>1817</v>
      </c>
      <c r="B501" s="248" t="s">
        <v>1818</v>
      </c>
      <c r="C501" s="40" t="s">
        <v>1819</v>
      </c>
      <c r="D501" s="40">
        <v>2060</v>
      </c>
      <c r="E501" s="86">
        <f>GDPdeflator!$C$32*INDEX(Costs!$E$7:$O$89,MATCH($C501,Costs!$C$7:$C$89,0),MATCH(E$7,Costs!$E$6:$O$6,0))</f>
        <v>25.835512932287127</v>
      </c>
      <c r="F501" s="86">
        <f>GDPdeflator!$C$36*INDEX(Costs!$E$7:$O$89,MATCH($C501,Costs!$C$7:$C$89,0),MATCH(F$7,Costs!$E$6:$O$6,0))</f>
        <v>25.58789080097306</v>
      </c>
      <c r="G501" s="86">
        <f>GDPdeflator!$C$38*INDEX(Costs!$E$7:$O$89,MATCH($C501,Costs!$C$7:$C$89,0),MATCH(G$7,Costs!$E$6:$O$6,0))</f>
        <v>26.659360107426526</v>
      </c>
      <c r="H501" s="86">
        <f>GDPdeflator!$C$38*INDEX(Costs!$E$7:$O$89,MATCH($C501,Costs!$C$7:$C$89,0),MATCH(H$7,Costs!$E$6:$O$6,0))</f>
        <v>26.44033808879831</v>
      </c>
      <c r="I501" s="86">
        <f>GDPdeflator!$C$38*INDEX(Costs!$E$7:$O$89,MATCH($C501,Costs!$C$7:$C$89,0),MATCH(I$7,Costs!$E$6:$O$6,0))</f>
        <v>26.948469172015773</v>
      </c>
      <c r="J501" s="86">
        <f>GDPdeflator!$C$38*INDEX(Costs!$E$7:$O$89,MATCH($C501,Costs!$C$7:$C$89,0),MATCH(J$7,Costs!$E$6:$O$6,0))</f>
        <v>27.009795337231669</v>
      </c>
      <c r="K501" s="86">
        <f>GDPdeflator!$C$38*INDEX(Costs!$E$7:$O$89,MATCH($C501,Costs!$C$7:$C$89,0),MATCH(K$7,Costs!$E$6:$O$6,0))</f>
        <v>27.02731709872193</v>
      </c>
      <c r="L501" s="86">
        <f>GDPdeflator!$C$38*INDEX(Costs!$E$7:$O$89,MATCH($C501,Costs!$C$7:$C$89,0),MATCH(L$7,Costs!$E$6:$O$6,0))</f>
        <v>27.001034456486543</v>
      </c>
      <c r="M501" s="86">
        <f>GDPdeflator!$C$38*INDEX(Costs!$E$7:$O$89,MATCH($C501,Costs!$C$7:$C$89,0),MATCH(M$7,Costs!$E$6:$O$6,0))</f>
        <v>27.001034456486543</v>
      </c>
      <c r="N501" s="86">
        <f>GDPdeflator!$C$38*INDEX(Costs!$E$7:$O$89,MATCH($C501,Costs!$C$7:$C$89,0),MATCH(N$7,Costs!$E$6:$O$6,0))</f>
        <v>27.001034456486543</v>
      </c>
      <c r="O501" s="86">
        <f>GDPdeflator!$C$38*INDEX(Costs!$E$7:$O$89,MATCH($C501,Costs!$C$7:$C$89,0),MATCH(O$7,Costs!$E$6:$O$6,0))</f>
        <v>27.001034456486543</v>
      </c>
      <c r="P501" s="87">
        <f>E501/$AI$18*10^6</f>
        <v>2157.2174700695173</v>
      </c>
      <c r="Q501" s="87">
        <f t="shared" si="229"/>
        <v>2136.5414808198907</v>
      </c>
      <c r="R501" s="87">
        <f t="shared" si="236"/>
        <v>2226.007183033068</v>
      </c>
      <c r="S501" s="87">
        <f t="shared" si="237"/>
        <v>2207.7192502115677</v>
      </c>
      <c r="T501" s="87">
        <f t="shared" si="238"/>
        <v>2250.1472543574491</v>
      </c>
      <c r="U501" s="87">
        <f t="shared" si="239"/>
        <v>2255.267875547469</v>
      </c>
      <c r="V501" s="87">
        <f t="shared" si="240"/>
        <v>2256.7309101731898</v>
      </c>
      <c r="W501" s="87">
        <f t="shared" si="241"/>
        <v>2254.536358234609</v>
      </c>
      <c r="X501" s="87">
        <f t="shared" si="242"/>
        <v>2254.536358234609</v>
      </c>
      <c r="Y501" s="87">
        <f t="shared" si="243"/>
        <v>2254.536358234609</v>
      </c>
      <c r="Z501" s="87">
        <f t="shared" si="244"/>
        <v>2254.536358234609</v>
      </c>
      <c r="AA501" s="88">
        <v>450</v>
      </c>
      <c r="AB501" s="89">
        <f>AA501*GDPdeflator!$C$25/$AI$18*10^3</f>
        <v>43.267274341798768</v>
      </c>
      <c r="AC501" s="90" t="e">
        <f>INDEX(Efficiencies!$D$8:$M$89,MATCH(C501,Efficiencies!$C$8:$C$89),MATCH(D501,Efficiencies!$D$7:$M$7))</f>
        <v>#REF!</v>
      </c>
      <c r="AD501" s="90" t="e">
        <f t="shared" si="232"/>
        <v>#REF!</v>
      </c>
      <c r="AE501" s="90" t="e">
        <f>INDEX(Efficiencies!$P$8:$Y$89,MATCH(C501,Efficiencies!$C$8:$C$89),MATCH(D501,Efficiencies!$P$7:$Y$7))</f>
        <v>#REF!</v>
      </c>
      <c r="AF501" s="90" t="e">
        <f t="shared" si="234"/>
        <v>#REF!</v>
      </c>
      <c r="AG501" s="90">
        <v>0</v>
      </c>
    </row>
    <row r="502" spans="1:33" x14ac:dyDescent="0.2">
      <c r="A502" s="92" t="s">
        <v>1820</v>
      </c>
      <c r="B502" s="248" t="s">
        <v>1821</v>
      </c>
      <c r="C502" s="40" t="s">
        <v>1819</v>
      </c>
      <c r="D502" s="40">
        <v>2005</v>
      </c>
      <c r="E502" s="86">
        <f>GDPdeflator!$C$32*INDEX(Costs!$E$7:$O$89,MATCH($C502,Costs!$C$7:$C$89,0),MATCH(E$7,Costs!$E$6:$O$6,0))</f>
        <v>25.835512932287127</v>
      </c>
      <c r="F502" s="86">
        <f>GDPdeflator!$C$36*INDEX(Costs!$E$7:$O$89,MATCH($C502,Costs!$C$7:$C$89,0),MATCH(F$7,Costs!$E$6:$O$6,0))</f>
        <v>25.58789080097306</v>
      </c>
      <c r="G502" s="86">
        <f>GDPdeflator!$C$38*INDEX(Costs!$E$7:$O$89,MATCH($C502,Costs!$C$7:$C$89,0),MATCH(G$7,Costs!$E$6:$O$6,0))</f>
        <v>26.659360107426526</v>
      </c>
      <c r="H502" s="86">
        <f>GDPdeflator!$C$38*INDEX(Costs!$E$7:$O$89,MATCH($C502,Costs!$C$7:$C$89,0),MATCH(H$7,Costs!$E$6:$O$6,0))</f>
        <v>26.44033808879831</v>
      </c>
      <c r="I502" s="86">
        <f>GDPdeflator!$C$38*INDEX(Costs!$E$7:$O$89,MATCH($C502,Costs!$C$7:$C$89,0),MATCH(I$7,Costs!$E$6:$O$6,0))</f>
        <v>26.948469172015773</v>
      </c>
      <c r="J502" s="86">
        <f>GDPdeflator!$C$38*INDEX(Costs!$E$7:$O$89,MATCH($C502,Costs!$C$7:$C$89,0),MATCH(J$7,Costs!$E$6:$O$6,0))</f>
        <v>27.009795337231669</v>
      </c>
      <c r="K502" s="86">
        <f>GDPdeflator!$C$38*INDEX(Costs!$E$7:$O$89,MATCH($C502,Costs!$C$7:$C$89,0),MATCH(K$7,Costs!$E$6:$O$6,0))</f>
        <v>27.02731709872193</v>
      </c>
      <c r="L502" s="86">
        <f>GDPdeflator!$C$38*INDEX(Costs!$E$7:$O$89,MATCH($C502,Costs!$C$7:$C$89,0),MATCH(L$7,Costs!$E$6:$O$6,0))</f>
        <v>27.001034456486543</v>
      </c>
      <c r="M502" s="86">
        <f>GDPdeflator!$C$38*INDEX(Costs!$E$7:$O$89,MATCH($C502,Costs!$C$7:$C$89,0),MATCH(M$7,Costs!$E$6:$O$6,0))</f>
        <v>27.001034456486543</v>
      </c>
      <c r="N502" s="86">
        <f>GDPdeflator!$C$38*INDEX(Costs!$E$7:$O$89,MATCH($C502,Costs!$C$7:$C$89,0),MATCH(N$7,Costs!$E$6:$O$6,0))</f>
        <v>27.001034456486543</v>
      </c>
      <c r="O502" s="86">
        <f>GDPdeflator!$C$38*INDEX(Costs!$E$7:$O$89,MATCH($C502,Costs!$C$7:$C$89,0),MATCH(O$7,Costs!$E$6:$O$6,0))</f>
        <v>27.001034456486543</v>
      </c>
      <c r="P502" s="87">
        <f t="shared" ref="P502:P511" si="246">E502/$AI$18*10^6</f>
        <v>2157.2174700695173</v>
      </c>
      <c r="Q502" s="87">
        <f t="shared" si="229"/>
        <v>2136.5414808198907</v>
      </c>
      <c r="R502" s="87">
        <f t="shared" si="236"/>
        <v>2226.007183033068</v>
      </c>
      <c r="S502" s="87">
        <f t="shared" si="237"/>
        <v>2207.7192502115677</v>
      </c>
      <c r="T502" s="87">
        <f t="shared" si="238"/>
        <v>2250.1472543574491</v>
      </c>
      <c r="U502" s="87">
        <f t="shared" si="239"/>
        <v>2255.267875547469</v>
      </c>
      <c r="V502" s="87">
        <f t="shared" si="240"/>
        <v>2256.7309101731898</v>
      </c>
      <c r="W502" s="87">
        <f t="shared" si="241"/>
        <v>2254.536358234609</v>
      </c>
      <c r="X502" s="87">
        <f t="shared" si="242"/>
        <v>2254.536358234609</v>
      </c>
      <c r="Y502" s="87">
        <f t="shared" si="243"/>
        <v>2254.536358234609</v>
      </c>
      <c r="Z502" s="87">
        <f t="shared" si="244"/>
        <v>2254.536358234609</v>
      </c>
      <c r="AA502" s="88">
        <v>450</v>
      </c>
      <c r="AB502" s="89">
        <f>AA502*GDPdeflator!$C$25/$AI$18*10^3</f>
        <v>43.267274341798768</v>
      </c>
      <c r="AC502" s="90" t="e">
        <f>INDEX(Efficiencies!$D$8:$M$89,MATCH(C502,Efficiencies!$C$8:$C$89),MATCH(D502,Efficiencies!$D$7:$M$7))</f>
        <v>#REF!</v>
      </c>
      <c r="AD502" s="90" t="e">
        <f t="shared" si="232"/>
        <v>#REF!</v>
      </c>
      <c r="AE502" s="90" t="e">
        <f>INDEX(Efficiencies!$P$8:$Y$89,MATCH(C502,Efficiencies!$C$8:$C$89),MATCH(D502,Efficiencies!$P$7:$Y$7))</f>
        <v>#REF!</v>
      </c>
      <c r="AF502" s="90" t="e">
        <f t="shared" si="234"/>
        <v>#REF!</v>
      </c>
      <c r="AG502" s="90">
        <v>0</v>
      </c>
    </row>
    <row r="503" spans="1:33" x14ac:dyDescent="0.2">
      <c r="A503" s="92" t="s">
        <v>1822</v>
      </c>
      <c r="B503" s="248" t="s">
        <v>1823</v>
      </c>
      <c r="C503" s="40" t="s">
        <v>1819</v>
      </c>
      <c r="D503" s="40">
        <v>2010</v>
      </c>
      <c r="E503" s="86">
        <f>GDPdeflator!$C$32*INDEX(Costs!$E$7:$O$89,MATCH($C503,Costs!$C$7:$C$89,0),MATCH(E$7,Costs!$E$6:$O$6,0))</f>
        <v>25.835512932287127</v>
      </c>
      <c r="F503" s="86">
        <f>GDPdeflator!$C$36*INDEX(Costs!$E$7:$O$89,MATCH($C503,Costs!$C$7:$C$89,0),MATCH(F$7,Costs!$E$6:$O$6,0))</f>
        <v>25.58789080097306</v>
      </c>
      <c r="G503" s="86">
        <f>GDPdeflator!$C$38*INDEX(Costs!$E$7:$O$89,MATCH($C503,Costs!$C$7:$C$89,0),MATCH(G$7,Costs!$E$6:$O$6,0))</f>
        <v>26.659360107426526</v>
      </c>
      <c r="H503" s="86">
        <f>GDPdeflator!$C$38*INDEX(Costs!$E$7:$O$89,MATCH($C503,Costs!$C$7:$C$89,0),MATCH(H$7,Costs!$E$6:$O$6,0))</f>
        <v>26.44033808879831</v>
      </c>
      <c r="I503" s="86">
        <f>GDPdeflator!$C$38*INDEX(Costs!$E$7:$O$89,MATCH($C503,Costs!$C$7:$C$89,0),MATCH(I$7,Costs!$E$6:$O$6,0))</f>
        <v>26.948469172015773</v>
      </c>
      <c r="J503" s="86">
        <f>GDPdeflator!$C$38*INDEX(Costs!$E$7:$O$89,MATCH($C503,Costs!$C$7:$C$89,0),MATCH(J$7,Costs!$E$6:$O$6,0))</f>
        <v>27.009795337231669</v>
      </c>
      <c r="K503" s="86">
        <f>GDPdeflator!$C$38*INDEX(Costs!$E$7:$O$89,MATCH($C503,Costs!$C$7:$C$89,0),MATCH(K$7,Costs!$E$6:$O$6,0))</f>
        <v>27.02731709872193</v>
      </c>
      <c r="L503" s="86">
        <f>GDPdeflator!$C$38*INDEX(Costs!$E$7:$O$89,MATCH($C503,Costs!$C$7:$C$89,0),MATCH(L$7,Costs!$E$6:$O$6,0))</f>
        <v>27.001034456486543</v>
      </c>
      <c r="M503" s="86">
        <f>GDPdeflator!$C$38*INDEX(Costs!$E$7:$O$89,MATCH($C503,Costs!$C$7:$C$89,0),MATCH(M$7,Costs!$E$6:$O$6,0))</f>
        <v>27.001034456486543</v>
      </c>
      <c r="N503" s="86">
        <f>GDPdeflator!$C$38*INDEX(Costs!$E$7:$O$89,MATCH($C503,Costs!$C$7:$C$89,0),MATCH(N$7,Costs!$E$6:$O$6,0))</f>
        <v>27.001034456486543</v>
      </c>
      <c r="O503" s="86">
        <f>GDPdeflator!$C$38*INDEX(Costs!$E$7:$O$89,MATCH($C503,Costs!$C$7:$C$89,0),MATCH(O$7,Costs!$E$6:$O$6,0))</f>
        <v>27.001034456486543</v>
      </c>
      <c r="P503" s="87">
        <f t="shared" si="246"/>
        <v>2157.2174700695173</v>
      </c>
      <c r="Q503" s="87">
        <f t="shared" si="229"/>
        <v>2136.5414808198907</v>
      </c>
      <c r="R503" s="87">
        <f t="shared" si="236"/>
        <v>2226.007183033068</v>
      </c>
      <c r="S503" s="87">
        <f t="shared" si="237"/>
        <v>2207.7192502115677</v>
      </c>
      <c r="T503" s="87">
        <f t="shared" si="238"/>
        <v>2250.1472543574491</v>
      </c>
      <c r="U503" s="87">
        <f t="shared" si="239"/>
        <v>2255.267875547469</v>
      </c>
      <c r="V503" s="87">
        <f t="shared" si="240"/>
        <v>2256.7309101731898</v>
      </c>
      <c r="W503" s="87">
        <f t="shared" si="241"/>
        <v>2254.536358234609</v>
      </c>
      <c r="X503" s="87">
        <f t="shared" si="242"/>
        <v>2254.536358234609</v>
      </c>
      <c r="Y503" s="87">
        <f t="shared" si="243"/>
        <v>2254.536358234609</v>
      </c>
      <c r="Z503" s="87">
        <f t="shared" si="244"/>
        <v>2254.536358234609</v>
      </c>
      <c r="AA503" s="88">
        <v>450</v>
      </c>
      <c r="AB503" s="89">
        <f>AA503*GDPdeflator!$C$25/$AI$18*10^3</f>
        <v>43.267274341798768</v>
      </c>
      <c r="AC503" s="90" t="e">
        <f>INDEX(Efficiencies!$D$8:$M$89,MATCH(C503,Efficiencies!$C$8:$C$89),MATCH(D503,Efficiencies!$D$7:$M$7))</f>
        <v>#REF!</v>
      </c>
      <c r="AD503" s="90" t="e">
        <f t="shared" si="232"/>
        <v>#REF!</v>
      </c>
      <c r="AE503" s="90" t="e">
        <f>INDEX(Efficiencies!$P$8:$Y$89,MATCH(C503,Efficiencies!$C$8:$C$89),MATCH(D503,Efficiencies!$P$7:$Y$7))</f>
        <v>#REF!</v>
      </c>
      <c r="AF503" s="90" t="e">
        <f t="shared" si="234"/>
        <v>#REF!</v>
      </c>
      <c r="AG503" s="90">
        <v>0</v>
      </c>
    </row>
    <row r="504" spans="1:33" x14ac:dyDescent="0.2">
      <c r="A504" s="92" t="s">
        <v>1824</v>
      </c>
      <c r="B504" s="248" t="s">
        <v>1825</v>
      </c>
      <c r="C504" s="40" t="s">
        <v>1819</v>
      </c>
      <c r="D504" s="40">
        <v>2015</v>
      </c>
      <c r="E504" s="86">
        <f>GDPdeflator!$C$32*INDEX(Costs!$E$7:$O$89,MATCH($C504,Costs!$C$7:$C$89,0),MATCH(E$7,Costs!$E$6:$O$6,0))</f>
        <v>25.835512932287127</v>
      </c>
      <c r="F504" s="86">
        <f>GDPdeflator!$C$36*INDEX(Costs!$E$7:$O$89,MATCH($C504,Costs!$C$7:$C$89,0),MATCH(F$7,Costs!$E$6:$O$6,0))</f>
        <v>25.58789080097306</v>
      </c>
      <c r="G504" s="86">
        <f>GDPdeflator!$C$38*INDEX(Costs!$E$7:$O$89,MATCH($C504,Costs!$C$7:$C$89,0),MATCH(G$7,Costs!$E$6:$O$6,0))</f>
        <v>26.659360107426526</v>
      </c>
      <c r="H504" s="86">
        <f>GDPdeflator!$C$38*INDEX(Costs!$E$7:$O$89,MATCH($C504,Costs!$C$7:$C$89,0),MATCH(H$7,Costs!$E$6:$O$6,0))</f>
        <v>26.44033808879831</v>
      </c>
      <c r="I504" s="86">
        <f>GDPdeflator!$C$38*INDEX(Costs!$E$7:$O$89,MATCH($C504,Costs!$C$7:$C$89,0),MATCH(I$7,Costs!$E$6:$O$6,0))</f>
        <v>26.948469172015773</v>
      </c>
      <c r="J504" s="86">
        <f>GDPdeflator!$C$38*INDEX(Costs!$E$7:$O$89,MATCH($C504,Costs!$C$7:$C$89,0),MATCH(J$7,Costs!$E$6:$O$6,0))</f>
        <v>27.009795337231669</v>
      </c>
      <c r="K504" s="86">
        <f>GDPdeflator!$C$38*INDEX(Costs!$E$7:$O$89,MATCH($C504,Costs!$C$7:$C$89,0),MATCH(K$7,Costs!$E$6:$O$6,0))</f>
        <v>27.02731709872193</v>
      </c>
      <c r="L504" s="86">
        <f>GDPdeflator!$C$38*INDEX(Costs!$E$7:$O$89,MATCH($C504,Costs!$C$7:$C$89,0),MATCH(L$7,Costs!$E$6:$O$6,0))</f>
        <v>27.001034456486543</v>
      </c>
      <c r="M504" s="86">
        <f>GDPdeflator!$C$38*INDEX(Costs!$E$7:$O$89,MATCH($C504,Costs!$C$7:$C$89,0),MATCH(M$7,Costs!$E$6:$O$6,0))</f>
        <v>27.001034456486543</v>
      </c>
      <c r="N504" s="86">
        <f>GDPdeflator!$C$38*INDEX(Costs!$E$7:$O$89,MATCH($C504,Costs!$C$7:$C$89,0),MATCH(N$7,Costs!$E$6:$O$6,0))</f>
        <v>27.001034456486543</v>
      </c>
      <c r="O504" s="86">
        <f>GDPdeflator!$C$38*INDEX(Costs!$E$7:$O$89,MATCH($C504,Costs!$C$7:$C$89,0),MATCH(O$7,Costs!$E$6:$O$6,0))</f>
        <v>27.001034456486543</v>
      </c>
      <c r="P504" s="87">
        <f t="shared" si="246"/>
        <v>2157.2174700695173</v>
      </c>
      <c r="Q504" s="87">
        <f t="shared" si="229"/>
        <v>2136.5414808198907</v>
      </c>
      <c r="R504" s="87">
        <f t="shared" si="236"/>
        <v>2226.007183033068</v>
      </c>
      <c r="S504" s="87">
        <f t="shared" si="237"/>
        <v>2207.7192502115677</v>
      </c>
      <c r="T504" s="87">
        <f t="shared" si="238"/>
        <v>2250.1472543574491</v>
      </c>
      <c r="U504" s="87">
        <f t="shared" si="239"/>
        <v>2255.267875547469</v>
      </c>
      <c r="V504" s="87">
        <f t="shared" si="240"/>
        <v>2256.7309101731898</v>
      </c>
      <c r="W504" s="87">
        <f t="shared" si="241"/>
        <v>2254.536358234609</v>
      </c>
      <c r="X504" s="87">
        <f t="shared" si="242"/>
        <v>2254.536358234609</v>
      </c>
      <c r="Y504" s="87">
        <f t="shared" si="243"/>
        <v>2254.536358234609</v>
      </c>
      <c r="Z504" s="87">
        <f t="shared" si="244"/>
        <v>2254.536358234609</v>
      </c>
      <c r="AA504" s="88">
        <v>450</v>
      </c>
      <c r="AB504" s="89">
        <f>AA504*GDPdeflator!$C$25/$AI$18*10^3</f>
        <v>43.267274341798768</v>
      </c>
      <c r="AC504" s="90" t="e">
        <f>INDEX(Efficiencies!$D$8:$M$89,MATCH(C504,Efficiencies!$C$8:$C$89),MATCH(D504,Efficiencies!$D$7:$M$7))</f>
        <v>#REF!</v>
      </c>
      <c r="AD504" s="90" t="e">
        <f t="shared" si="232"/>
        <v>#REF!</v>
      </c>
      <c r="AE504" s="90" t="e">
        <f>INDEX(Efficiencies!$P$8:$Y$89,MATCH(C504,Efficiencies!$C$8:$C$89),MATCH(D504,Efficiencies!$P$7:$Y$7))</f>
        <v>#REF!</v>
      </c>
      <c r="AF504" s="90" t="e">
        <f t="shared" si="234"/>
        <v>#REF!</v>
      </c>
      <c r="AG504" s="90">
        <v>0</v>
      </c>
    </row>
    <row r="505" spans="1:33" x14ac:dyDescent="0.2">
      <c r="A505" s="92" t="s">
        <v>1826</v>
      </c>
      <c r="B505" s="248" t="s">
        <v>1827</v>
      </c>
      <c r="C505" s="40" t="s">
        <v>1819</v>
      </c>
      <c r="D505" s="40">
        <v>2020</v>
      </c>
      <c r="E505" s="86">
        <f>GDPdeflator!$C$32*INDEX(Costs!$E$7:$O$89,MATCH($C505,Costs!$C$7:$C$89,0),MATCH(E$7,Costs!$E$6:$O$6,0))</f>
        <v>25.835512932287127</v>
      </c>
      <c r="F505" s="86">
        <f>GDPdeflator!$C$36*INDEX(Costs!$E$7:$O$89,MATCH($C505,Costs!$C$7:$C$89,0),MATCH(F$7,Costs!$E$6:$O$6,0))</f>
        <v>25.58789080097306</v>
      </c>
      <c r="G505" s="86">
        <f>GDPdeflator!$C$38*INDEX(Costs!$E$7:$O$89,MATCH($C505,Costs!$C$7:$C$89,0),MATCH(G$7,Costs!$E$6:$O$6,0))</f>
        <v>26.659360107426526</v>
      </c>
      <c r="H505" s="86">
        <f>GDPdeflator!$C$38*INDEX(Costs!$E$7:$O$89,MATCH($C505,Costs!$C$7:$C$89,0),MATCH(H$7,Costs!$E$6:$O$6,0))</f>
        <v>26.44033808879831</v>
      </c>
      <c r="I505" s="86">
        <f>GDPdeflator!$C$38*INDEX(Costs!$E$7:$O$89,MATCH($C505,Costs!$C$7:$C$89,0),MATCH(I$7,Costs!$E$6:$O$6,0))</f>
        <v>26.948469172015773</v>
      </c>
      <c r="J505" s="86">
        <f>GDPdeflator!$C$38*INDEX(Costs!$E$7:$O$89,MATCH($C505,Costs!$C$7:$C$89,0),MATCH(J$7,Costs!$E$6:$O$6,0))</f>
        <v>27.009795337231669</v>
      </c>
      <c r="K505" s="86">
        <f>GDPdeflator!$C$38*INDEX(Costs!$E$7:$O$89,MATCH($C505,Costs!$C$7:$C$89,0),MATCH(K$7,Costs!$E$6:$O$6,0))</f>
        <v>27.02731709872193</v>
      </c>
      <c r="L505" s="86">
        <f>GDPdeflator!$C$38*INDEX(Costs!$E$7:$O$89,MATCH($C505,Costs!$C$7:$C$89,0),MATCH(L$7,Costs!$E$6:$O$6,0))</f>
        <v>27.001034456486543</v>
      </c>
      <c r="M505" s="86">
        <f>GDPdeflator!$C$38*INDEX(Costs!$E$7:$O$89,MATCH($C505,Costs!$C$7:$C$89,0),MATCH(M$7,Costs!$E$6:$O$6,0))</f>
        <v>27.001034456486543</v>
      </c>
      <c r="N505" s="86">
        <f>GDPdeflator!$C$38*INDEX(Costs!$E$7:$O$89,MATCH($C505,Costs!$C$7:$C$89,0),MATCH(N$7,Costs!$E$6:$O$6,0))</f>
        <v>27.001034456486543</v>
      </c>
      <c r="O505" s="86">
        <f>GDPdeflator!$C$38*INDEX(Costs!$E$7:$O$89,MATCH($C505,Costs!$C$7:$C$89,0),MATCH(O$7,Costs!$E$6:$O$6,0))</f>
        <v>27.001034456486543</v>
      </c>
      <c r="P505" s="87">
        <f t="shared" si="246"/>
        <v>2157.2174700695173</v>
      </c>
      <c r="Q505" s="87">
        <f t="shared" si="229"/>
        <v>2136.5414808198907</v>
      </c>
      <c r="R505" s="87">
        <f t="shared" si="236"/>
        <v>2226.007183033068</v>
      </c>
      <c r="S505" s="87">
        <f t="shared" si="237"/>
        <v>2207.7192502115677</v>
      </c>
      <c r="T505" s="87">
        <f t="shared" si="238"/>
        <v>2250.1472543574491</v>
      </c>
      <c r="U505" s="87">
        <f t="shared" si="239"/>
        <v>2255.267875547469</v>
      </c>
      <c r="V505" s="87">
        <f t="shared" si="240"/>
        <v>2256.7309101731898</v>
      </c>
      <c r="W505" s="87">
        <f t="shared" si="241"/>
        <v>2254.536358234609</v>
      </c>
      <c r="X505" s="87">
        <f t="shared" si="242"/>
        <v>2254.536358234609</v>
      </c>
      <c r="Y505" s="87">
        <f t="shared" si="243"/>
        <v>2254.536358234609</v>
      </c>
      <c r="Z505" s="87">
        <f t="shared" si="244"/>
        <v>2254.536358234609</v>
      </c>
      <c r="AA505" s="88">
        <v>450</v>
      </c>
      <c r="AB505" s="89">
        <f>AA505*GDPdeflator!$C$25/$AI$18*10^3</f>
        <v>43.267274341798768</v>
      </c>
      <c r="AC505" s="90" t="e">
        <f>INDEX(Efficiencies!$D$8:$M$89,MATCH(C505,Efficiencies!$C$8:$C$89),MATCH(D505,Efficiencies!$D$7:$M$7))</f>
        <v>#REF!</v>
      </c>
      <c r="AD505" s="90" t="e">
        <f t="shared" si="232"/>
        <v>#REF!</v>
      </c>
      <c r="AE505" s="90" t="e">
        <f>INDEX(Efficiencies!$P$8:$Y$89,MATCH(C505,Efficiencies!$C$8:$C$89),MATCH(D505,Efficiencies!$P$7:$Y$7))</f>
        <v>#REF!</v>
      </c>
      <c r="AF505" s="90" t="e">
        <f t="shared" si="234"/>
        <v>#REF!</v>
      </c>
      <c r="AG505" s="90">
        <v>0</v>
      </c>
    </row>
    <row r="506" spans="1:33" x14ac:dyDescent="0.2">
      <c r="A506" s="92" t="s">
        <v>1828</v>
      </c>
      <c r="B506" s="248" t="s">
        <v>1829</v>
      </c>
      <c r="C506" s="40" t="s">
        <v>1819</v>
      </c>
      <c r="D506" s="40">
        <v>2025</v>
      </c>
      <c r="E506" s="86">
        <f>GDPdeflator!$C$32*INDEX(Costs!$E$7:$O$89,MATCH($C506,Costs!$C$7:$C$89,0),MATCH(E$7,Costs!$E$6:$O$6,0))</f>
        <v>25.835512932287127</v>
      </c>
      <c r="F506" s="86">
        <f>GDPdeflator!$C$36*INDEX(Costs!$E$7:$O$89,MATCH($C506,Costs!$C$7:$C$89,0),MATCH(F$7,Costs!$E$6:$O$6,0))</f>
        <v>25.58789080097306</v>
      </c>
      <c r="G506" s="86">
        <f>GDPdeflator!$C$38*INDEX(Costs!$E$7:$O$89,MATCH($C506,Costs!$C$7:$C$89,0),MATCH(G$7,Costs!$E$6:$O$6,0))</f>
        <v>26.659360107426526</v>
      </c>
      <c r="H506" s="86">
        <f>GDPdeflator!$C$38*INDEX(Costs!$E$7:$O$89,MATCH($C506,Costs!$C$7:$C$89,0),MATCH(H$7,Costs!$E$6:$O$6,0))</f>
        <v>26.44033808879831</v>
      </c>
      <c r="I506" s="86">
        <f>GDPdeflator!$C$38*INDEX(Costs!$E$7:$O$89,MATCH($C506,Costs!$C$7:$C$89,0),MATCH(I$7,Costs!$E$6:$O$6,0))</f>
        <v>26.948469172015773</v>
      </c>
      <c r="J506" s="86">
        <f>GDPdeflator!$C$38*INDEX(Costs!$E$7:$O$89,MATCH($C506,Costs!$C$7:$C$89,0),MATCH(J$7,Costs!$E$6:$O$6,0))</f>
        <v>27.009795337231669</v>
      </c>
      <c r="K506" s="86">
        <f>GDPdeflator!$C$38*INDEX(Costs!$E$7:$O$89,MATCH($C506,Costs!$C$7:$C$89,0),MATCH(K$7,Costs!$E$6:$O$6,0))</f>
        <v>27.02731709872193</v>
      </c>
      <c r="L506" s="86">
        <f>GDPdeflator!$C$38*INDEX(Costs!$E$7:$O$89,MATCH($C506,Costs!$C$7:$C$89,0),MATCH(L$7,Costs!$E$6:$O$6,0))</f>
        <v>27.001034456486543</v>
      </c>
      <c r="M506" s="86">
        <f>GDPdeflator!$C$38*INDEX(Costs!$E$7:$O$89,MATCH($C506,Costs!$C$7:$C$89,0),MATCH(M$7,Costs!$E$6:$O$6,0))</f>
        <v>27.001034456486543</v>
      </c>
      <c r="N506" s="86">
        <f>GDPdeflator!$C$38*INDEX(Costs!$E$7:$O$89,MATCH($C506,Costs!$C$7:$C$89,0),MATCH(N$7,Costs!$E$6:$O$6,0))</f>
        <v>27.001034456486543</v>
      </c>
      <c r="O506" s="86">
        <f>GDPdeflator!$C$38*INDEX(Costs!$E$7:$O$89,MATCH($C506,Costs!$C$7:$C$89,0),MATCH(O$7,Costs!$E$6:$O$6,0))</f>
        <v>27.001034456486543</v>
      </c>
      <c r="P506" s="87">
        <f t="shared" si="246"/>
        <v>2157.2174700695173</v>
      </c>
      <c r="Q506" s="87">
        <f t="shared" si="229"/>
        <v>2136.5414808198907</v>
      </c>
      <c r="R506" s="87">
        <f t="shared" si="236"/>
        <v>2226.007183033068</v>
      </c>
      <c r="S506" s="87">
        <f t="shared" si="237"/>
        <v>2207.7192502115677</v>
      </c>
      <c r="T506" s="87">
        <f t="shared" si="238"/>
        <v>2250.1472543574491</v>
      </c>
      <c r="U506" s="87">
        <f t="shared" si="239"/>
        <v>2255.267875547469</v>
      </c>
      <c r="V506" s="87">
        <f t="shared" si="240"/>
        <v>2256.7309101731898</v>
      </c>
      <c r="W506" s="87">
        <f t="shared" si="241"/>
        <v>2254.536358234609</v>
      </c>
      <c r="X506" s="87">
        <f t="shared" si="242"/>
        <v>2254.536358234609</v>
      </c>
      <c r="Y506" s="87">
        <f t="shared" si="243"/>
        <v>2254.536358234609</v>
      </c>
      <c r="Z506" s="87">
        <f t="shared" si="244"/>
        <v>2254.536358234609</v>
      </c>
      <c r="AA506" s="88">
        <v>450</v>
      </c>
      <c r="AB506" s="89">
        <f>AA506*GDPdeflator!$C$25/$AI$18*10^3</f>
        <v>43.267274341798768</v>
      </c>
      <c r="AC506" s="90" t="e">
        <f>INDEX(Efficiencies!$D$8:$M$89,MATCH(C506,Efficiencies!$C$8:$C$89),MATCH(D506,Efficiencies!$D$7:$M$7))</f>
        <v>#REF!</v>
      </c>
      <c r="AD506" s="90" t="e">
        <f t="shared" si="232"/>
        <v>#REF!</v>
      </c>
      <c r="AE506" s="90" t="e">
        <f>INDEX(Efficiencies!$P$8:$Y$89,MATCH(C506,Efficiencies!$C$8:$C$89),MATCH(D506,Efficiencies!$P$7:$Y$7))</f>
        <v>#REF!</v>
      </c>
      <c r="AF506" s="90" t="e">
        <f t="shared" si="234"/>
        <v>#REF!</v>
      </c>
      <c r="AG506" s="90">
        <v>0</v>
      </c>
    </row>
    <row r="507" spans="1:33" x14ac:dyDescent="0.2">
      <c r="A507" s="92" t="s">
        <v>1830</v>
      </c>
      <c r="B507" s="248" t="s">
        <v>1831</v>
      </c>
      <c r="C507" s="40" t="s">
        <v>1819</v>
      </c>
      <c r="D507" s="40">
        <v>2030</v>
      </c>
      <c r="E507" s="86">
        <f>GDPdeflator!$C$32*INDEX(Costs!$E$7:$O$89,MATCH($C507,Costs!$C$7:$C$89,0),MATCH(E$7,Costs!$E$6:$O$6,0))</f>
        <v>25.835512932287127</v>
      </c>
      <c r="F507" s="86">
        <f>GDPdeflator!$C$36*INDEX(Costs!$E$7:$O$89,MATCH($C507,Costs!$C$7:$C$89,0),MATCH(F$7,Costs!$E$6:$O$6,0))</f>
        <v>25.58789080097306</v>
      </c>
      <c r="G507" s="86">
        <f>GDPdeflator!$C$38*INDEX(Costs!$E$7:$O$89,MATCH($C507,Costs!$C$7:$C$89,0),MATCH(G$7,Costs!$E$6:$O$6,0))</f>
        <v>26.659360107426526</v>
      </c>
      <c r="H507" s="86">
        <f>GDPdeflator!$C$38*INDEX(Costs!$E$7:$O$89,MATCH($C507,Costs!$C$7:$C$89,0),MATCH(H$7,Costs!$E$6:$O$6,0))</f>
        <v>26.44033808879831</v>
      </c>
      <c r="I507" s="86">
        <f>GDPdeflator!$C$38*INDEX(Costs!$E$7:$O$89,MATCH($C507,Costs!$C$7:$C$89,0),MATCH(I$7,Costs!$E$6:$O$6,0))</f>
        <v>26.948469172015773</v>
      </c>
      <c r="J507" s="86">
        <f>GDPdeflator!$C$38*INDEX(Costs!$E$7:$O$89,MATCH($C507,Costs!$C$7:$C$89,0),MATCH(J$7,Costs!$E$6:$O$6,0))</f>
        <v>27.009795337231669</v>
      </c>
      <c r="K507" s="86">
        <f>GDPdeflator!$C$38*INDEX(Costs!$E$7:$O$89,MATCH($C507,Costs!$C$7:$C$89,0),MATCH(K$7,Costs!$E$6:$O$6,0))</f>
        <v>27.02731709872193</v>
      </c>
      <c r="L507" s="86">
        <f>GDPdeflator!$C$38*INDEX(Costs!$E$7:$O$89,MATCH($C507,Costs!$C$7:$C$89,0),MATCH(L$7,Costs!$E$6:$O$6,0))</f>
        <v>27.001034456486543</v>
      </c>
      <c r="M507" s="86">
        <f>GDPdeflator!$C$38*INDEX(Costs!$E$7:$O$89,MATCH($C507,Costs!$C$7:$C$89,0),MATCH(M$7,Costs!$E$6:$O$6,0))</f>
        <v>27.001034456486543</v>
      </c>
      <c r="N507" s="86">
        <f>GDPdeflator!$C$38*INDEX(Costs!$E$7:$O$89,MATCH($C507,Costs!$C$7:$C$89,0),MATCH(N$7,Costs!$E$6:$O$6,0))</f>
        <v>27.001034456486543</v>
      </c>
      <c r="O507" s="86">
        <f>GDPdeflator!$C$38*INDEX(Costs!$E$7:$O$89,MATCH($C507,Costs!$C$7:$C$89,0),MATCH(O$7,Costs!$E$6:$O$6,0))</f>
        <v>27.001034456486543</v>
      </c>
      <c r="P507" s="87">
        <f t="shared" si="246"/>
        <v>2157.2174700695173</v>
      </c>
      <c r="Q507" s="87">
        <f t="shared" si="229"/>
        <v>2136.5414808198907</v>
      </c>
      <c r="R507" s="87">
        <f t="shared" si="236"/>
        <v>2226.007183033068</v>
      </c>
      <c r="S507" s="87">
        <f t="shared" si="237"/>
        <v>2207.7192502115677</v>
      </c>
      <c r="T507" s="87">
        <f t="shared" si="238"/>
        <v>2250.1472543574491</v>
      </c>
      <c r="U507" s="87">
        <f t="shared" si="239"/>
        <v>2255.267875547469</v>
      </c>
      <c r="V507" s="87">
        <f t="shared" si="240"/>
        <v>2256.7309101731898</v>
      </c>
      <c r="W507" s="87">
        <f t="shared" si="241"/>
        <v>2254.536358234609</v>
      </c>
      <c r="X507" s="87">
        <f t="shared" si="242"/>
        <v>2254.536358234609</v>
      </c>
      <c r="Y507" s="87">
        <f t="shared" si="243"/>
        <v>2254.536358234609</v>
      </c>
      <c r="Z507" s="87">
        <f t="shared" si="244"/>
        <v>2254.536358234609</v>
      </c>
      <c r="AA507" s="88">
        <v>450</v>
      </c>
      <c r="AB507" s="89">
        <f>AA507*GDPdeflator!$C$25/$AI$18*10^3</f>
        <v>43.267274341798768</v>
      </c>
      <c r="AC507" s="90" t="e">
        <f>INDEX(Efficiencies!$D$8:$M$89,MATCH(C507,Efficiencies!$C$8:$C$89),MATCH(D507,Efficiencies!$D$7:$M$7))</f>
        <v>#REF!</v>
      </c>
      <c r="AD507" s="90" t="e">
        <f t="shared" si="232"/>
        <v>#REF!</v>
      </c>
      <c r="AE507" s="90" t="e">
        <f>INDEX(Efficiencies!$P$8:$Y$89,MATCH(C507,Efficiencies!$C$8:$C$89),MATCH(D507,Efficiencies!$P$7:$Y$7))</f>
        <v>#REF!</v>
      </c>
      <c r="AF507" s="90" t="e">
        <f t="shared" si="234"/>
        <v>#REF!</v>
      </c>
      <c r="AG507" s="90">
        <v>0</v>
      </c>
    </row>
    <row r="508" spans="1:33" x14ac:dyDescent="0.2">
      <c r="A508" s="92" t="s">
        <v>1832</v>
      </c>
      <c r="B508" s="248" t="s">
        <v>1833</v>
      </c>
      <c r="C508" s="40" t="s">
        <v>1819</v>
      </c>
      <c r="D508" s="40">
        <v>2035</v>
      </c>
      <c r="E508" s="86">
        <f>GDPdeflator!$C$32*INDEX(Costs!$E$7:$O$89,MATCH($C508,Costs!$C$7:$C$89,0),MATCH(E$7,Costs!$E$6:$O$6,0))</f>
        <v>25.835512932287127</v>
      </c>
      <c r="F508" s="86">
        <f>GDPdeflator!$C$36*INDEX(Costs!$E$7:$O$89,MATCH($C508,Costs!$C$7:$C$89,0),MATCH(F$7,Costs!$E$6:$O$6,0))</f>
        <v>25.58789080097306</v>
      </c>
      <c r="G508" s="86">
        <f>GDPdeflator!$C$38*INDEX(Costs!$E$7:$O$89,MATCH($C508,Costs!$C$7:$C$89,0),MATCH(G$7,Costs!$E$6:$O$6,0))</f>
        <v>26.659360107426526</v>
      </c>
      <c r="H508" s="86">
        <f>GDPdeflator!$C$38*INDEX(Costs!$E$7:$O$89,MATCH($C508,Costs!$C$7:$C$89,0),MATCH(H$7,Costs!$E$6:$O$6,0))</f>
        <v>26.44033808879831</v>
      </c>
      <c r="I508" s="86">
        <f>GDPdeflator!$C$38*INDEX(Costs!$E$7:$O$89,MATCH($C508,Costs!$C$7:$C$89,0),MATCH(I$7,Costs!$E$6:$O$6,0))</f>
        <v>26.948469172015773</v>
      </c>
      <c r="J508" s="86">
        <f>GDPdeflator!$C$38*INDEX(Costs!$E$7:$O$89,MATCH($C508,Costs!$C$7:$C$89,0),MATCH(J$7,Costs!$E$6:$O$6,0))</f>
        <v>27.009795337231669</v>
      </c>
      <c r="K508" s="86">
        <f>GDPdeflator!$C$38*INDEX(Costs!$E$7:$O$89,MATCH($C508,Costs!$C$7:$C$89,0),MATCH(K$7,Costs!$E$6:$O$6,0))</f>
        <v>27.02731709872193</v>
      </c>
      <c r="L508" s="86">
        <f>GDPdeflator!$C$38*INDEX(Costs!$E$7:$O$89,MATCH($C508,Costs!$C$7:$C$89,0),MATCH(L$7,Costs!$E$6:$O$6,0))</f>
        <v>27.001034456486543</v>
      </c>
      <c r="M508" s="86">
        <f>GDPdeflator!$C$38*INDEX(Costs!$E$7:$O$89,MATCH($C508,Costs!$C$7:$C$89,0),MATCH(M$7,Costs!$E$6:$O$6,0))</f>
        <v>27.001034456486543</v>
      </c>
      <c r="N508" s="86">
        <f>GDPdeflator!$C$38*INDEX(Costs!$E$7:$O$89,MATCH($C508,Costs!$C$7:$C$89,0),MATCH(N$7,Costs!$E$6:$O$6,0))</f>
        <v>27.001034456486543</v>
      </c>
      <c r="O508" s="86">
        <f>GDPdeflator!$C$38*INDEX(Costs!$E$7:$O$89,MATCH($C508,Costs!$C$7:$C$89,0),MATCH(O$7,Costs!$E$6:$O$6,0))</f>
        <v>27.001034456486543</v>
      </c>
      <c r="P508" s="87">
        <f t="shared" si="246"/>
        <v>2157.2174700695173</v>
      </c>
      <c r="Q508" s="87">
        <f t="shared" ref="Q508:Q558" si="247">F508/$AI$18*10^6</f>
        <v>2136.5414808198907</v>
      </c>
      <c r="R508" s="87">
        <f t="shared" si="236"/>
        <v>2226.007183033068</v>
      </c>
      <c r="S508" s="87">
        <f t="shared" si="237"/>
        <v>2207.7192502115677</v>
      </c>
      <c r="T508" s="87">
        <f t="shared" si="238"/>
        <v>2250.1472543574491</v>
      </c>
      <c r="U508" s="87">
        <f t="shared" si="239"/>
        <v>2255.267875547469</v>
      </c>
      <c r="V508" s="87">
        <f t="shared" si="240"/>
        <v>2256.7309101731898</v>
      </c>
      <c r="W508" s="87">
        <f t="shared" si="241"/>
        <v>2254.536358234609</v>
      </c>
      <c r="X508" s="87">
        <f t="shared" si="242"/>
        <v>2254.536358234609</v>
      </c>
      <c r="Y508" s="87">
        <f t="shared" si="243"/>
        <v>2254.536358234609</v>
      </c>
      <c r="Z508" s="87">
        <f t="shared" si="244"/>
        <v>2254.536358234609</v>
      </c>
      <c r="AA508" s="88">
        <v>450</v>
      </c>
      <c r="AB508" s="89">
        <f>AA508*GDPdeflator!$C$25/$AI$18*10^3</f>
        <v>43.267274341798768</v>
      </c>
      <c r="AC508" s="90" t="e">
        <f>INDEX(Efficiencies!$D$8:$M$89,MATCH(C508,Efficiencies!$C$8:$C$89),MATCH(D508,Efficiencies!$D$7:$M$7))</f>
        <v>#REF!</v>
      </c>
      <c r="AD508" s="90" t="e">
        <f t="shared" si="232"/>
        <v>#REF!</v>
      </c>
      <c r="AE508" s="90" t="e">
        <f>INDEX(Efficiencies!$P$8:$Y$89,MATCH(C508,Efficiencies!$C$8:$C$89),MATCH(D508,Efficiencies!$P$7:$Y$7))</f>
        <v>#REF!</v>
      </c>
      <c r="AF508" s="90" t="e">
        <f t="shared" si="234"/>
        <v>#REF!</v>
      </c>
      <c r="AG508" s="90">
        <v>0</v>
      </c>
    </row>
    <row r="509" spans="1:33" x14ac:dyDescent="0.2">
      <c r="A509" s="92" t="s">
        <v>1834</v>
      </c>
      <c r="B509" s="248" t="s">
        <v>1835</v>
      </c>
      <c r="C509" s="40" t="s">
        <v>1819</v>
      </c>
      <c r="D509" s="40">
        <v>2040</v>
      </c>
      <c r="E509" s="86">
        <f>GDPdeflator!$C$32*INDEX(Costs!$E$7:$O$89,MATCH($C509,Costs!$C$7:$C$89,0),MATCH(E$7,Costs!$E$6:$O$6,0))</f>
        <v>25.835512932287127</v>
      </c>
      <c r="F509" s="86">
        <f>GDPdeflator!$C$36*INDEX(Costs!$E$7:$O$89,MATCH($C509,Costs!$C$7:$C$89,0),MATCH(F$7,Costs!$E$6:$O$6,0))</f>
        <v>25.58789080097306</v>
      </c>
      <c r="G509" s="86">
        <f>GDPdeflator!$C$38*INDEX(Costs!$E$7:$O$89,MATCH($C509,Costs!$C$7:$C$89,0),MATCH(G$7,Costs!$E$6:$O$6,0))</f>
        <v>26.659360107426526</v>
      </c>
      <c r="H509" s="86">
        <f>GDPdeflator!$C$38*INDEX(Costs!$E$7:$O$89,MATCH($C509,Costs!$C$7:$C$89,0),MATCH(H$7,Costs!$E$6:$O$6,0))</f>
        <v>26.44033808879831</v>
      </c>
      <c r="I509" s="86">
        <f>GDPdeflator!$C$38*INDEX(Costs!$E$7:$O$89,MATCH($C509,Costs!$C$7:$C$89,0),MATCH(I$7,Costs!$E$6:$O$6,0))</f>
        <v>26.948469172015773</v>
      </c>
      <c r="J509" s="86">
        <f>GDPdeflator!$C$38*INDEX(Costs!$E$7:$O$89,MATCH($C509,Costs!$C$7:$C$89,0),MATCH(J$7,Costs!$E$6:$O$6,0))</f>
        <v>27.009795337231669</v>
      </c>
      <c r="K509" s="86">
        <f>GDPdeflator!$C$38*INDEX(Costs!$E$7:$O$89,MATCH($C509,Costs!$C$7:$C$89,0),MATCH(K$7,Costs!$E$6:$O$6,0))</f>
        <v>27.02731709872193</v>
      </c>
      <c r="L509" s="86">
        <f>GDPdeflator!$C$38*INDEX(Costs!$E$7:$O$89,MATCH($C509,Costs!$C$7:$C$89,0),MATCH(L$7,Costs!$E$6:$O$6,0))</f>
        <v>27.001034456486543</v>
      </c>
      <c r="M509" s="86">
        <f>GDPdeflator!$C$38*INDEX(Costs!$E$7:$O$89,MATCH($C509,Costs!$C$7:$C$89,0),MATCH(M$7,Costs!$E$6:$O$6,0))</f>
        <v>27.001034456486543</v>
      </c>
      <c r="N509" s="86">
        <f>GDPdeflator!$C$38*INDEX(Costs!$E$7:$O$89,MATCH($C509,Costs!$C$7:$C$89,0),MATCH(N$7,Costs!$E$6:$O$6,0))</f>
        <v>27.001034456486543</v>
      </c>
      <c r="O509" s="86">
        <f>GDPdeflator!$C$38*INDEX(Costs!$E$7:$O$89,MATCH($C509,Costs!$C$7:$C$89,0),MATCH(O$7,Costs!$E$6:$O$6,0))</f>
        <v>27.001034456486543</v>
      </c>
      <c r="P509" s="87">
        <f t="shared" si="246"/>
        <v>2157.2174700695173</v>
      </c>
      <c r="Q509" s="87">
        <f t="shared" si="247"/>
        <v>2136.5414808198907</v>
      </c>
      <c r="R509" s="87">
        <f t="shared" si="236"/>
        <v>2226.007183033068</v>
      </c>
      <c r="S509" s="87">
        <f t="shared" si="237"/>
        <v>2207.7192502115677</v>
      </c>
      <c r="T509" s="87">
        <f t="shared" si="238"/>
        <v>2250.1472543574491</v>
      </c>
      <c r="U509" s="87">
        <f t="shared" si="239"/>
        <v>2255.267875547469</v>
      </c>
      <c r="V509" s="87">
        <f t="shared" si="240"/>
        <v>2256.7309101731898</v>
      </c>
      <c r="W509" s="87">
        <f t="shared" si="241"/>
        <v>2254.536358234609</v>
      </c>
      <c r="X509" s="87">
        <f t="shared" si="242"/>
        <v>2254.536358234609</v>
      </c>
      <c r="Y509" s="87">
        <f t="shared" si="243"/>
        <v>2254.536358234609</v>
      </c>
      <c r="Z509" s="87">
        <f t="shared" si="244"/>
        <v>2254.536358234609</v>
      </c>
      <c r="AA509" s="88">
        <v>450</v>
      </c>
      <c r="AB509" s="89">
        <f>AA509*GDPdeflator!$C$25/$AI$18*10^3</f>
        <v>43.267274341798768</v>
      </c>
      <c r="AC509" s="90" t="e">
        <f>INDEX(Efficiencies!$D$8:$M$89,MATCH(C509,Efficiencies!$C$8:$C$89),MATCH(D509,Efficiencies!$D$7:$M$7))</f>
        <v>#REF!</v>
      </c>
      <c r="AD509" s="90" t="e">
        <f t="shared" si="232"/>
        <v>#REF!</v>
      </c>
      <c r="AE509" s="90" t="e">
        <f>INDEX(Efficiencies!$P$8:$Y$89,MATCH(C509,Efficiencies!$C$8:$C$89),MATCH(D509,Efficiencies!$P$7:$Y$7))</f>
        <v>#REF!</v>
      </c>
      <c r="AF509" s="90" t="e">
        <f t="shared" si="234"/>
        <v>#REF!</v>
      </c>
      <c r="AG509" s="90">
        <v>0</v>
      </c>
    </row>
    <row r="510" spans="1:33" x14ac:dyDescent="0.2">
      <c r="A510" s="92" t="s">
        <v>1836</v>
      </c>
      <c r="B510" s="248" t="s">
        <v>1837</v>
      </c>
      <c r="C510" s="40" t="s">
        <v>1819</v>
      </c>
      <c r="D510" s="40">
        <v>2045</v>
      </c>
      <c r="E510" s="86">
        <f>GDPdeflator!$C$32*INDEX(Costs!$E$7:$O$89,MATCH($C510,Costs!$C$7:$C$89,0),MATCH(E$7,Costs!$E$6:$O$6,0))</f>
        <v>25.835512932287127</v>
      </c>
      <c r="F510" s="86">
        <f>GDPdeflator!$C$36*INDEX(Costs!$E$7:$O$89,MATCH($C510,Costs!$C$7:$C$89,0),MATCH(F$7,Costs!$E$6:$O$6,0))</f>
        <v>25.58789080097306</v>
      </c>
      <c r="G510" s="86">
        <f>GDPdeflator!$C$38*INDEX(Costs!$E$7:$O$89,MATCH($C510,Costs!$C$7:$C$89,0),MATCH(G$7,Costs!$E$6:$O$6,0))</f>
        <v>26.659360107426526</v>
      </c>
      <c r="H510" s="86">
        <f>GDPdeflator!$C$38*INDEX(Costs!$E$7:$O$89,MATCH($C510,Costs!$C$7:$C$89,0),MATCH(H$7,Costs!$E$6:$O$6,0))</f>
        <v>26.44033808879831</v>
      </c>
      <c r="I510" s="86">
        <f>GDPdeflator!$C$38*INDEX(Costs!$E$7:$O$89,MATCH($C510,Costs!$C$7:$C$89,0),MATCH(I$7,Costs!$E$6:$O$6,0))</f>
        <v>26.948469172015773</v>
      </c>
      <c r="J510" s="86">
        <f>GDPdeflator!$C$38*INDEX(Costs!$E$7:$O$89,MATCH($C510,Costs!$C$7:$C$89,0),MATCH(J$7,Costs!$E$6:$O$6,0))</f>
        <v>27.009795337231669</v>
      </c>
      <c r="K510" s="86">
        <f>GDPdeflator!$C$38*INDEX(Costs!$E$7:$O$89,MATCH($C510,Costs!$C$7:$C$89,0),MATCH(K$7,Costs!$E$6:$O$6,0))</f>
        <v>27.02731709872193</v>
      </c>
      <c r="L510" s="86">
        <f>GDPdeflator!$C$38*INDEX(Costs!$E$7:$O$89,MATCH($C510,Costs!$C$7:$C$89,0),MATCH(L$7,Costs!$E$6:$O$6,0))</f>
        <v>27.001034456486543</v>
      </c>
      <c r="M510" s="86">
        <f>GDPdeflator!$C$38*INDEX(Costs!$E$7:$O$89,MATCH($C510,Costs!$C$7:$C$89,0),MATCH(M$7,Costs!$E$6:$O$6,0))</f>
        <v>27.001034456486543</v>
      </c>
      <c r="N510" s="86">
        <f>GDPdeflator!$C$38*INDEX(Costs!$E$7:$O$89,MATCH($C510,Costs!$C$7:$C$89,0),MATCH(N$7,Costs!$E$6:$O$6,0))</f>
        <v>27.001034456486543</v>
      </c>
      <c r="O510" s="86">
        <f>GDPdeflator!$C$38*INDEX(Costs!$E$7:$O$89,MATCH($C510,Costs!$C$7:$C$89,0),MATCH(O$7,Costs!$E$6:$O$6,0))</f>
        <v>27.001034456486543</v>
      </c>
      <c r="P510" s="87">
        <f t="shared" si="246"/>
        <v>2157.2174700695173</v>
      </c>
      <c r="Q510" s="87">
        <f t="shared" si="247"/>
        <v>2136.5414808198907</v>
      </c>
      <c r="R510" s="87">
        <f t="shared" si="236"/>
        <v>2226.007183033068</v>
      </c>
      <c r="S510" s="87">
        <f t="shared" si="237"/>
        <v>2207.7192502115677</v>
      </c>
      <c r="T510" s="87">
        <f t="shared" si="238"/>
        <v>2250.1472543574491</v>
      </c>
      <c r="U510" s="87">
        <f t="shared" si="239"/>
        <v>2255.267875547469</v>
      </c>
      <c r="V510" s="87">
        <f t="shared" si="240"/>
        <v>2256.7309101731898</v>
      </c>
      <c r="W510" s="87">
        <f t="shared" si="241"/>
        <v>2254.536358234609</v>
      </c>
      <c r="X510" s="87">
        <f t="shared" si="242"/>
        <v>2254.536358234609</v>
      </c>
      <c r="Y510" s="87">
        <f t="shared" si="243"/>
        <v>2254.536358234609</v>
      </c>
      <c r="Z510" s="87">
        <f t="shared" si="244"/>
        <v>2254.536358234609</v>
      </c>
      <c r="AA510" s="88">
        <v>450</v>
      </c>
      <c r="AB510" s="89">
        <f>AA510*GDPdeflator!$C$25/$AI$18*10^3</f>
        <v>43.267274341798768</v>
      </c>
      <c r="AC510" s="90" t="e">
        <f>INDEX(Efficiencies!$D$8:$M$89,MATCH(C510,Efficiencies!$C$8:$C$89),MATCH(D510,Efficiencies!$D$7:$M$7))</f>
        <v>#REF!</v>
      </c>
      <c r="AD510" s="90" t="e">
        <f t="shared" si="232"/>
        <v>#REF!</v>
      </c>
      <c r="AE510" s="90" t="e">
        <f>INDEX(Efficiencies!$P$8:$Y$89,MATCH(C510,Efficiencies!$C$8:$C$89),MATCH(D510,Efficiencies!$P$7:$Y$7))</f>
        <v>#REF!</v>
      </c>
      <c r="AF510" s="90" t="e">
        <f t="shared" si="234"/>
        <v>#REF!</v>
      </c>
      <c r="AG510" s="90">
        <v>0</v>
      </c>
    </row>
    <row r="511" spans="1:33" x14ac:dyDescent="0.2">
      <c r="A511" s="92" t="s">
        <v>1838</v>
      </c>
      <c r="B511" s="248" t="s">
        <v>1839</v>
      </c>
      <c r="C511" s="40" t="s">
        <v>1819</v>
      </c>
      <c r="D511" s="40">
        <v>2050</v>
      </c>
      <c r="E511" s="86">
        <f>GDPdeflator!$C$32*INDEX(Costs!$E$7:$O$89,MATCH($C511,Costs!$C$7:$C$89,0),MATCH(E$7,Costs!$E$6:$O$6,0))</f>
        <v>25.835512932287127</v>
      </c>
      <c r="F511" s="86">
        <f>GDPdeflator!$C$36*INDEX(Costs!$E$7:$O$89,MATCH($C511,Costs!$C$7:$C$89,0),MATCH(F$7,Costs!$E$6:$O$6,0))</f>
        <v>25.58789080097306</v>
      </c>
      <c r="G511" s="86">
        <f>GDPdeflator!$C$38*INDEX(Costs!$E$7:$O$89,MATCH($C511,Costs!$C$7:$C$89,0),MATCH(G$7,Costs!$E$6:$O$6,0))</f>
        <v>26.659360107426526</v>
      </c>
      <c r="H511" s="86">
        <f>GDPdeflator!$C$38*INDEX(Costs!$E$7:$O$89,MATCH($C511,Costs!$C$7:$C$89,0),MATCH(H$7,Costs!$E$6:$O$6,0))</f>
        <v>26.44033808879831</v>
      </c>
      <c r="I511" s="86">
        <f>GDPdeflator!$C$38*INDEX(Costs!$E$7:$O$89,MATCH($C511,Costs!$C$7:$C$89,0),MATCH(I$7,Costs!$E$6:$O$6,0))</f>
        <v>26.948469172015773</v>
      </c>
      <c r="J511" s="86">
        <f>GDPdeflator!$C$38*INDEX(Costs!$E$7:$O$89,MATCH($C511,Costs!$C$7:$C$89,0),MATCH(J$7,Costs!$E$6:$O$6,0))</f>
        <v>27.009795337231669</v>
      </c>
      <c r="K511" s="86">
        <f>GDPdeflator!$C$38*INDEX(Costs!$E$7:$O$89,MATCH($C511,Costs!$C$7:$C$89,0),MATCH(K$7,Costs!$E$6:$O$6,0))</f>
        <v>27.02731709872193</v>
      </c>
      <c r="L511" s="86">
        <f>GDPdeflator!$C$38*INDEX(Costs!$E$7:$O$89,MATCH($C511,Costs!$C$7:$C$89,0),MATCH(L$7,Costs!$E$6:$O$6,0))</f>
        <v>27.001034456486543</v>
      </c>
      <c r="M511" s="86">
        <f>GDPdeflator!$C$38*INDEX(Costs!$E$7:$O$89,MATCH($C511,Costs!$C$7:$C$89,0),MATCH(M$7,Costs!$E$6:$O$6,0))</f>
        <v>27.001034456486543</v>
      </c>
      <c r="N511" s="86">
        <f>GDPdeflator!$C$38*INDEX(Costs!$E$7:$O$89,MATCH($C511,Costs!$C$7:$C$89,0),MATCH(N$7,Costs!$E$6:$O$6,0))</f>
        <v>27.001034456486543</v>
      </c>
      <c r="O511" s="86">
        <f>GDPdeflator!$C$38*INDEX(Costs!$E$7:$O$89,MATCH($C511,Costs!$C$7:$C$89,0),MATCH(O$7,Costs!$E$6:$O$6,0))</f>
        <v>27.001034456486543</v>
      </c>
      <c r="P511" s="87">
        <f t="shared" si="246"/>
        <v>2157.2174700695173</v>
      </c>
      <c r="Q511" s="87">
        <f t="shared" si="247"/>
        <v>2136.5414808198907</v>
      </c>
      <c r="R511" s="87">
        <f t="shared" si="236"/>
        <v>2226.007183033068</v>
      </c>
      <c r="S511" s="87">
        <f t="shared" si="237"/>
        <v>2207.7192502115677</v>
      </c>
      <c r="T511" s="87">
        <f t="shared" si="238"/>
        <v>2250.1472543574491</v>
      </c>
      <c r="U511" s="87">
        <f t="shared" si="239"/>
        <v>2255.267875547469</v>
      </c>
      <c r="V511" s="87">
        <f t="shared" si="240"/>
        <v>2256.7309101731898</v>
      </c>
      <c r="W511" s="87">
        <f t="shared" si="241"/>
        <v>2254.536358234609</v>
      </c>
      <c r="X511" s="87">
        <f t="shared" si="242"/>
        <v>2254.536358234609</v>
      </c>
      <c r="Y511" s="87">
        <f t="shared" si="243"/>
        <v>2254.536358234609</v>
      </c>
      <c r="Z511" s="87">
        <f t="shared" si="244"/>
        <v>2254.536358234609</v>
      </c>
      <c r="AA511" s="88">
        <v>450</v>
      </c>
      <c r="AB511" s="89">
        <f>AA511*GDPdeflator!$C$25/$AI$18*10^3</f>
        <v>43.267274341798768</v>
      </c>
      <c r="AC511" s="90" t="e">
        <f>INDEX(Efficiencies!$D$8:$M$89,MATCH(C511,Efficiencies!$C$8:$C$89),MATCH(D511,Efficiencies!$D$7:$M$7))</f>
        <v>#REF!</v>
      </c>
      <c r="AD511" s="90" t="e">
        <f t="shared" si="232"/>
        <v>#REF!</v>
      </c>
      <c r="AE511" s="90" t="e">
        <f>INDEX(Efficiencies!$P$8:$Y$89,MATCH(C511,Efficiencies!$C$8:$C$89),MATCH(D511,Efficiencies!$P$7:$Y$7))</f>
        <v>#REF!</v>
      </c>
      <c r="AF511" s="90" t="e">
        <f t="shared" si="234"/>
        <v>#REF!</v>
      </c>
      <c r="AG511" s="90">
        <v>0</v>
      </c>
    </row>
    <row r="512" spans="1:33" s="96" customFormat="1" x14ac:dyDescent="0.2">
      <c r="A512" s="94" t="s">
        <v>1840</v>
      </c>
      <c r="B512" s="95" t="s">
        <v>1841</v>
      </c>
      <c r="C512" s="96" t="s">
        <v>1842</v>
      </c>
      <c r="D512" s="96">
        <v>2060</v>
      </c>
      <c r="E512" s="97">
        <f>GDPdeflator!$C$32*INDEX(Costs!$E$7:$O$89,MATCH($C512,Costs!$C$7:$C$89,0),MATCH(E$7,Costs!$E$6:$O$6,0))</f>
        <v>56.969873098905353</v>
      </c>
      <c r="F512" s="97">
        <f>GDPdeflator!$C$36*INDEX(Costs!$E$7:$O$89,MATCH($C512,Costs!$C$7:$C$89,0),MATCH(F$7,Costs!$E$6:$O$6,0))</f>
        <v>40.81448779169294</v>
      </c>
      <c r="G512" s="97">
        <f>GDPdeflator!$C$38*INDEX(Costs!$E$7:$O$89,MATCH($C512,Costs!$C$7:$C$89,0),MATCH(G$7,Costs!$E$6:$O$6,0))</f>
        <v>39.406441591588731</v>
      </c>
      <c r="H512" s="97">
        <f>GDPdeflator!$C$38*INDEX(Costs!$E$7:$O$89,MATCH($C512,Costs!$C$7:$C$89,0),MATCH(H$7,Costs!$E$6:$O$6,0))</f>
        <v>37.32135197424811</v>
      </c>
      <c r="I512" s="97">
        <f>GDPdeflator!$C$38*INDEX(Costs!$E$7:$O$89,MATCH($C512,Costs!$C$7:$C$89,0),MATCH(I$7,Costs!$E$6:$O$6,0))</f>
        <v>34.360174282394617</v>
      </c>
      <c r="J512" s="97">
        <f>GDPdeflator!$C$38*INDEX(Costs!$E$7:$O$89,MATCH($C512,Costs!$C$7:$C$89,0),MATCH(J$7,Costs!$E$6:$O$6,0))</f>
        <v>32.695606940820177</v>
      </c>
      <c r="K512" s="97">
        <f>GDPdeflator!$C$38*INDEX(Costs!$E$7:$O$89,MATCH($C512,Costs!$C$7:$C$89,0),MATCH(K$7,Costs!$E$6:$O$6,0))</f>
        <v>32.275084665054003</v>
      </c>
      <c r="L512" s="97">
        <f>GDPdeflator!$C$38*INDEX(Costs!$E$7:$O$89,MATCH($C512,Costs!$C$7:$C$89,0),MATCH(L$7,Costs!$E$6:$O$6,0))</f>
        <v>32.204997619092964</v>
      </c>
      <c r="M512" s="97">
        <f>GDPdeflator!$C$38*INDEX(Costs!$E$7:$O$89,MATCH($C512,Costs!$C$7:$C$89,0),MATCH(M$7,Costs!$E$6:$O$6,0))</f>
        <v>32.204997619092964</v>
      </c>
      <c r="N512" s="97">
        <f>GDPdeflator!$C$38*INDEX(Costs!$E$7:$O$89,MATCH($C512,Costs!$C$7:$C$89,0),MATCH(N$7,Costs!$E$6:$O$6,0))</f>
        <v>32.204997619092964</v>
      </c>
      <c r="O512" s="97">
        <f>GDPdeflator!$C$38*INDEX(Costs!$E$7:$O$89,MATCH($C512,Costs!$C$7:$C$89,0),MATCH(O$7,Costs!$E$6:$O$6,0))</f>
        <v>32.204997619092964</v>
      </c>
      <c r="P512" s="98">
        <f>E512/$AI$18*10^6</f>
        <v>4756.8788681960368</v>
      </c>
      <c r="Q512" s="98">
        <f t="shared" si="247"/>
        <v>3407.9341225753892</v>
      </c>
      <c r="R512" s="98">
        <f t="shared" si="236"/>
        <v>3290.3648732444099</v>
      </c>
      <c r="S512" s="98">
        <f t="shared" si="237"/>
        <v>3116.2637527837237</v>
      </c>
      <c r="T512" s="98">
        <f t="shared" si="238"/>
        <v>2869.0109010370334</v>
      </c>
      <c r="U512" s="98">
        <f t="shared" si="239"/>
        <v>2730.022611593628</v>
      </c>
      <c r="V512" s="98">
        <f t="shared" si="240"/>
        <v>2694.9097805763472</v>
      </c>
      <c r="W512" s="98">
        <f t="shared" si="241"/>
        <v>2689.057642073466</v>
      </c>
      <c r="X512" s="98">
        <f t="shared" si="242"/>
        <v>2689.057642073466</v>
      </c>
      <c r="Y512" s="98">
        <f t="shared" si="243"/>
        <v>2689.057642073466</v>
      </c>
      <c r="Z512" s="98">
        <f t="shared" si="244"/>
        <v>2689.057642073466</v>
      </c>
      <c r="AA512" s="99">
        <v>270</v>
      </c>
      <c r="AB512" s="100">
        <f>AA512*GDPdeflator!$C$25/$AI$18*10^3</f>
        <v>25.96036460507926</v>
      </c>
      <c r="AC512" s="101" t="e">
        <f>INDEX(Efficiencies!$D$8:$M$89,MATCH(C512,Efficiencies!$C$8:$C$89),MATCH(D512,Efficiencies!$D$7:$M$7))</f>
        <v>#REF!</v>
      </c>
      <c r="AD512" s="101" t="e">
        <f t="shared" si="232"/>
        <v>#REF!</v>
      </c>
      <c r="AE512" s="101" t="e">
        <f>INDEX(Efficiencies!$P$8:$Y$89,MATCH(C512,Efficiencies!$C$8:$C$89),MATCH(D512,Efficiencies!$P$7:$Y$7))</f>
        <v>#REF!</v>
      </c>
      <c r="AF512" s="101" t="e">
        <f t="shared" si="234"/>
        <v>#REF!</v>
      </c>
      <c r="AG512" s="101">
        <v>0</v>
      </c>
    </row>
    <row r="513" spans="1:33" s="96" customFormat="1" x14ac:dyDescent="0.2">
      <c r="A513" s="94" t="s">
        <v>1843</v>
      </c>
      <c r="B513" s="95" t="s">
        <v>1844</v>
      </c>
      <c r="C513" s="96" t="s">
        <v>1842</v>
      </c>
      <c r="D513" s="96">
        <v>2005</v>
      </c>
      <c r="E513" s="97">
        <f>GDPdeflator!$C$32*INDEX(Costs!$E$7:$O$89,MATCH($C513,Costs!$C$7:$C$89,0),MATCH(E$7,Costs!$E$6:$O$6,0))</f>
        <v>56.969873098905353</v>
      </c>
      <c r="F513" s="97">
        <f>GDPdeflator!$C$36*INDEX(Costs!$E$7:$O$89,MATCH($C513,Costs!$C$7:$C$89,0),MATCH(F$7,Costs!$E$6:$O$6,0))</f>
        <v>40.81448779169294</v>
      </c>
      <c r="G513" s="97">
        <f>GDPdeflator!$C$38*INDEX(Costs!$E$7:$O$89,MATCH($C513,Costs!$C$7:$C$89,0),MATCH(G$7,Costs!$E$6:$O$6,0))</f>
        <v>39.406441591588731</v>
      </c>
      <c r="H513" s="97">
        <f>GDPdeflator!$C$38*INDEX(Costs!$E$7:$O$89,MATCH($C513,Costs!$C$7:$C$89,0),MATCH(H$7,Costs!$E$6:$O$6,0))</f>
        <v>37.32135197424811</v>
      </c>
      <c r="I513" s="97">
        <f>GDPdeflator!$C$38*INDEX(Costs!$E$7:$O$89,MATCH($C513,Costs!$C$7:$C$89,0),MATCH(I$7,Costs!$E$6:$O$6,0))</f>
        <v>34.360174282394617</v>
      </c>
      <c r="J513" s="97">
        <f>GDPdeflator!$C$38*INDEX(Costs!$E$7:$O$89,MATCH($C513,Costs!$C$7:$C$89,0),MATCH(J$7,Costs!$E$6:$O$6,0))</f>
        <v>32.695606940820177</v>
      </c>
      <c r="K513" s="97">
        <f>GDPdeflator!$C$38*INDEX(Costs!$E$7:$O$89,MATCH($C513,Costs!$C$7:$C$89,0),MATCH(K$7,Costs!$E$6:$O$6,0))</f>
        <v>32.275084665054003</v>
      </c>
      <c r="L513" s="97">
        <f>GDPdeflator!$C$38*INDEX(Costs!$E$7:$O$89,MATCH($C513,Costs!$C$7:$C$89,0),MATCH(L$7,Costs!$E$6:$O$6,0))</f>
        <v>32.204997619092964</v>
      </c>
      <c r="M513" s="97">
        <f>GDPdeflator!$C$38*INDEX(Costs!$E$7:$O$89,MATCH($C513,Costs!$C$7:$C$89,0),MATCH(M$7,Costs!$E$6:$O$6,0))</f>
        <v>32.204997619092964</v>
      </c>
      <c r="N513" s="97">
        <f>GDPdeflator!$C$38*INDEX(Costs!$E$7:$O$89,MATCH($C513,Costs!$C$7:$C$89,0),MATCH(N$7,Costs!$E$6:$O$6,0))</f>
        <v>32.204997619092964</v>
      </c>
      <c r="O513" s="97">
        <f>GDPdeflator!$C$38*INDEX(Costs!$E$7:$O$89,MATCH($C513,Costs!$C$7:$C$89,0),MATCH(O$7,Costs!$E$6:$O$6,0))</f>
        <v>32.204997619092964</v>
      </c>
      <c r="P513" s="98">
        <f t="shared" ref="P513:P522" si="248">E513/$AI$18*10^6</f>
        <v>4756.8788681960368</v>
      </c>
      <c r="Q513" s="98">
        <f t="shared" si="247"/>
        <v>3407.9341225753892</v>
      </c>
      <c r="R513" s="98">
        <f t="shared" si="236"/>
        <v>3290.3648732444099</v>
      </c>
      <c r="S513" s="98">
        <f t="shared" si="237"/>
        <v>3116.2637527837237</v>
      </c>
      <c r="T513" s="98">
        <f t="shared" si="238"/>
        <v>2869.0109010370334</v>
      </c>
      <c r="U513" s="98">
        <f t="shared" si="239"/>
        <v>2730.022611593628</v>
      </c>
      <c r="V513" s="98">
        <f t="shared" si="240"/>
        <v>2694.9097805763472</v>
      </c>
      <c r="W513" s="98">
        <f t="shared" si="241"/>
        <v>2689.057642073466</v>
      </c>
      <c r="X513" s="98">
        <f t="shared" si="242"/>
        <v>2689.057642073466</v>
      </c>
      <c r="Y513" s="98">
        <f t="shared" si="243"/>
        <v>2689.057642073466</v>
      </c>
      <c r="Z513" s="98">
        <f t="shared" si="244"/>
        <v>2689.057642073466</v>
      </c>
      <c r="AA513" s="99">
        <v>270</v>
      </c>
      <c r="AB513" s="100">
        <f>AA513*GDPdeflator!$C$25/$AI$18*10^3</f>
        <v>25.96036460507926</v>
      </c>
      <c r="AC513" s="101" t="e">
        <f>INDEX(Efficiencies!$D$8:$M$89,MATCH(C513,Efficiencies!$C$8:$C$89),MATCH(D513,Efficiencies!$D$7:$M$7))</f>
        <v>#REF!</v>
      </c>
      <c r="AD513" s="101" t="e">
        <f t="shared" si="232"/>
        <v>#REF!</v>
      </c>
      <c r="AE513" s="101" t="e">
        <f>INDEX(Efficiencies!$P$8:$Y$89,MATCH(C513,Efficiencies!$C$8:$C$89),MATCH(D513,Efficiencies!$P$7:$Y$7))</f>
        <v>#REF!</v>
      </c>
      <c r="AF513" s="101" t="e">
        <f t="shared" si="234"/>
        <v>#REF!</v>
      </c>
      <c r="AG513" s="101">
        <v>0</v>
      </c>
    </row>
    <row r="514" spans="1:33" s="96" customFormat="1" x14ac:dyDescent="0.2">
      <c r="A514" s="94" t="s">
        <v>1845</v>
      </c>
      <c r="B514" s="95" t="s">
        <v>1846</v>
      </c>
      <c r="C514" s="96" t="s">
        <v>1842</v>
      </c>
      <c r="D514" s="96">
        <v>2010</v>
      </c>
      <c r="E514" s="97">
        <f>GDPdeflator!$C$32*INDEX(Costs!$E$7:$O$89,MATCH($C514,Costs!$C$7:$C$89,0),MATCH(E$7,Costs!$E$6:$O$6,0))</f>
        <v>56.969873098905353</v>
      </c>
      <c r="F514" s="97">
        <f>GDPdeflator!$C$36*INDEX(Costs!$E$7:$O$89,MATCH($C514,Costs!$C$7:$C$89,0),MATCH(F$7,Costs!$E$6:$O$6,0))</f>
        <v>40.81448779169294</v>
      </c>
      <c r="G514" s="97">
        <f>GDPdeflator!$C$38*INDEX(Costs!$E$7:$O$89,MATCH($C514,Costs!$C$7:$C$89,0),MATCH(G$7,Costs!$E$6:$O$6,0))</f>
        <v>39.406441591588731</v>
      </c>
      <c r="H514" s="97">
        <f>GDPdeflator!$C$38*INDEX(Costs!$E$7:$O$89,MATCH($C514,Costs!$C$7:$C$89,0),MATCH(H$7,Costs!$E$6:$O$6,0))</f>
        <v>37.32135197424811</v>
      </c>
      <c r="I514" s="97">
        <f>GDPdeflator!$C$38*INDEX(Costs!$E$7:$O$89,MATCH($C514,Costs!$C$7:$C$89,0),MATCH(I$7,Costs!$E$6:$O$6,0))</f>
        <v>34.360174282394617</v>
      </c>
      <c r="J514" s="97">
        <f>GDPdeflator!$C$38*INDEX(Costs!$E$7:$O$89,MATCH($C514,Costs!$C$7:$C$89,0),MATCH(J$7,Costs!$E$6:$O$6,0))</f>
        <v>32.695606940820177</v>
      </c>
      <c r="K514" s="97">
        <f>GDPdeflator!$C$38*INDEX(Costs!$E$7:$O$89,MATCH($C514,Costs!$C$7:$C$89,0),MATCH(K$7,Costs!$E$6:$O$6,0))</f>
        <v>32.275084665054003</v>
      </c>
      <c r="L514" s="97">
        <f>GDPdeflator!$C$38*INDEX(Costs!$E$7:$O$89,MATCH($C514,Costs!$C$7:$C$89,0),MATCH(L$7,Costs!$E$6:$O$6,0))</f>
        <v>32.204997619092964</v>
      </c>
      <c r="M514" s="97">
        <f>GDPdeflator!$C$38*INDEX(Costs!$E$7:$O$89,MATCH($C514,Costs!$C$7:$C$89,0),MATCH(M$7,Costs!$E$6:$O$6,0))</f>
        <v>32.204997619092964</v>
      </c>
      <c r="N514" s="97">
        <f>GDPdeflator!$C$38*INDEX(Costs!$E$7:$O$89,MATCH($C514,Costs!$C$7:$C$89,0),MATCH(N$7,Costs!$E$6:$O$6,0))</f>
        <v>32.204997619092964</v>
      </c>
      <c r="O514" s="97">
        <f>GDPdeflator!$C$38*INDEX(Costs!$E$7:$O$89,MATCH($C514,Costs!$C$7:$C$89,0),MATCH(O$7,Costs!$E$6:$O$6,0))</f>
        <v>32.204997619092964</v>
      </c>
      <c r="P514" s="98">
        <f t="shared" si="248"/>
        <v>4756.8788681960368</v>
      </c>
      <c r="Q514" s="98">
        <f t="shared" si="247"/>
        <v>3407.9341225753892</v>
      </c>
      <c r="R514" s="98">
        <f t="shared" si="236"/>
        <v>3290.3648732444099</v>
      </c>
      <c r="S514" s="98">
        <f t="shared" si="237"/>
        <v>3116.2637527837237</v>
      </c>
      <c r="T514" s="98">
        <f t="shared" si="238"/>
        <v>2869.0109010370334</v>
      </c>
      <c r="U514" s="98">
        <f t="shared" si="239"/>
        <v>2730.022611593628</v>
      </c>
      <c r="V514" s="98">
        <f t="shared" si="240"/>
        <v>2694.9097805763472</v>
      </c>
      <c r="W514" s="98">
        <f t="shared" si="241"/>
        <v>2689.057642073466</v>
      </c>
      <c r="X514" s="98">
        <f t="shared" si="242"/>
        <v>2689.057642073466</v>
      </c>
      <c r="Y514" s="98">
        <f t="shared" si="243"/>
        <v>2689.057642073466</v>
      </c>
      <c r="Z514" s="98">
        <f t="shared" si="244"/>
        <v>2689.057642073466</v>
      </c>
      <c r="AA514" s="99">
        <v>270</v>
      </c>
      <c r="AB514" s="100">
        <f>AA514*GDPdeflator!$C$25/$AI$18*10^3</f>
        <v>25.96036460507926</v>
      </c>
      <c r="AC514" s="101" t="e">
        <f>INDEX(Efficiencies!$D$8:$M$89,MATCH(C514,Efficiencies!$C$8:$C$89),MATCH(D514,Efficiencies!$D$7:$M$7))</f>
        <v>#REF!</v>
      </c>
      <c r="AD514" s="101" t="e">
        <f t="shared" si="232"/>
        <v>#REF!</v>
      </c>
      <c r="AE514" s="101" t="e">
        <f>INDEX(Efficiencies!$P$8:$Y$89,MATCH(C514,Efficiencies!$C$8:$C$89),MATCH(D514,Efficiencies!$P$7:$Y$7))</f>
        <v>#REF!</v>
      </c>
      <c r="AF514" s="101" t="e">
        <f t="shared" si="234"/>
        <v>#REF!</v>
      </c>
      <c r="AG514" s="101">
        <v>0</v>
      </c>
    </row>
    <row r="515" spans="1:33" s="96" customFormat="1" x14ac:dyDescent="0.2">
      <c r="A515" s="94" t="s">
        <v>1847</v>
      </c>
      <c r="B515" s="95" t="s">
        <v>1848</v>
      </c>
      <c r="C515" s="96" t="s">
        <v>1842</v>
      </c>
      <c r="D515" s="96">
        <v>2015</v>
      </c>
      <c r="E515" s="97">
        <f>GDPdeflator!$C$32*INDEX(Costs!$E$7:$O$89,MATCH($C515,Costs!$C$7:$C$89,0),MATCH(E$7,Costs!$E$6:$O$6,0))</f>
        <v>56.969873098905353</v>
      </c>
      <c r="F515" s="97">
        <f>GDPdeflator!$C$36*INDEX(Costs!$E$7:$O$89,MATCH($C515,Costs!$C$7:$C$89,0),MATCH(F$7,Costs!$E$6:$O$6,0))</f>
        <v>40.81448779169294</v>
      </c>
      <c r="G515" s="97">
        <f>GDPdeflator!$C$38*INDEX(Costs!$E$7:$O$89,MATCH($C515,Costs!$C$7:$C$89,0),MATCH(G$7,Costs!$E$6:$O$6,0))</f>
        <v>39.406441591588731</v>
      </c>
      <c r="H515" s="97">
        <f>GDPdeflator!$C$38*INDEX(Costs!$E$7:$O$89,MATCH($C515,Costs!$C$7:$C$89,0),MATCH(H$7,Costs!$E$6:$O$6,0))</f>
        <v>37.32135197424811</v>
      </c>
      <c r="I515" s="97">
        <f>GDPdeflator!$C$38*INDEX(Costs!$E$7:$O$89,MATCH($C515,Costs!$C$7:$C$89,0),MATCH(I$7,Costs!$E$6:$O$6,0))</f>
        <v>34.360174282394617</v>
      </c>
      <c r="J515" s="97">
        <f>GDPdeflator!$C$38*INDEX(Costs!$E$7:$O$89,MATCH($C515,Costs!$C$7:$C$89,0),MATCH(J$7,Costs!$E$6:$O$6,0))</f>
        <v>32.695606940820177</v>
      </c>
      <c r="K515" s="97">
        <f>GDPdeflator!$C$38*INDEX(Costs!$E$7:$O$89,MATCH($C515,Costs!$C$7:$C$89,0),MATCH(K$7,Costs!$E$6:$O$6,0))</f>
        <v>32.275084665054003</v>
      </c>
      <c r="L515" s="97">
        <f>GDPdeflator!$C$38*INDEX(Costs!$E$7:$O$89,MATCH($C515,Costs!$C$7:$C$89,0),MATCH(L$7,Costs!$E$6:$O$6,0))</f>
        <v>32.204997619092964</v>
      </c>
      <c r="M515" s="97">
        <f>GDPdeflator!$C$38*INDEX(Costs!$E$7:$O$89,MATCH($C515,Costs!$C$7:$C$89,0),MATCH(M$7,Costs!$E$6:$O$6,0))</f>
        <v>32.204997619092964</v>
      </c>
      <c r="N515" s="97">
        <f>GDPdeflator!$C$38*INDEX(Costs!$E$7:$O$89,MATCH($C515,Costs!$C$7:$C$89,0),MATCH(N$7,Costs!$E$6:$O$6,0))</f>
        <v>32.204997619092964</v>
      </c>
      <c r="O515" s="97">
        <f>GDPdeflator!$C$38*INDEX(Costs!$E$7:$O$89,MATCH($C515,Costs!$C$7:$C$89,0),MATCH(O$7,Costs!$E$6:$O$6,0))</f>
        <v>32.204997619092964</v>
      </c>
      <c r="P515" s="98">
        <f t="shared" si="248"/>
        <v>4756.8788681960368</v>
      </c>
      <c r="Q515" s="98">
        <f t="shared" si="247"/>
        <v>3407.9341225753892</v>
      </c>
      <c r="R515" s="98">
        <f t="shared" si="236"/>
        <v>3290.3648732444099</v>
      </c>
      <c r="S515" s="98">
        <f t="shared" si="237"/>
        <v>3116.2637527837237</v>
      </c>
      <c r="T515" s="98">
        <f t="shared" si="238"/>
        <v>2869.0109010370334</v>
      </c>
      <c r="U515" s="98">
        <f t="shared" si="239"/>
        <v>2730.022611593628</v>
      </c>
      <c r="V515" s="98">
        <f t="shared" si="240"/>
        <v>2694.9097805763472</v>
      </c>
      <c r="W515" s="98">
        <f t="shared" si="241"/>
        <v>2689.057642073466</v>
      </c>
      <c r="X515" s="98">
        <f t="shared" si="242"/>
        <v>2689.057642073466</v>
      </c>
      <c r="Y515" s="98">
        <f t="shared" si="243"/>
        <v>2689.057642073466</v>
      </c>
      <c r="Z515" s="98">
        <f t="shared" si="244"/>
        <v>2689.057642073466</v>
      </c>
      <c r="AA515" s="99">
        <v>270</v>
      </c>
      <c r="AB515" s="100">
        <f>AA515*GDPdeflator!$C$25/$AI$18*10^3</f>
        <v>25.96036460507926</v>
      </c>
      <c r="AC515" s="101" t="e">
        <f>INDEX(Efficiencies!$D$8:$M$89,MATCH(C515,Efficiencies!$C$8:$C$89),MATCH(D515,Efficiencies!$D$7:$M$7))</f>
        <v>#REF!</v>
      </c>
      <c r="AD515" s="101" t="e">
        <f t="shared" si="232"/>
        <v>#REF!</v>
      </c>
      <c r="AE515" s="101" t="e">
        <f>INDEX(Efficiencies!$P$8:$Y$89,MATCH(C515,Efficiencies!$C$8:$C$89),MATCH(D515,Efficiencies!$P$7:$Y$7))</f>
        <v>#REF!</v>
      </c>
      <c r="AF515" s="101" t="e">
        <f t="shared" si="234"/>
        <v>#REF!</v>
      </c>
      <c r="AG515" s="101">
        <v>0</v>
      </c>
    </row>
    <row r="516" spans="1:33" s="96" customFormat="1" x14ac:dyDescent="0.2">
      <c r="A516" s="94" t="s">
        <v>1849</v>
      </c>
      <c r="B516" s="95" t="s">
        <v>1850</v>
      </c>
      <c r="C516" s="96" t="s">
        <v>1842</v>
      </c>
      <c r="D516" s="96">
        <v>2020</v>
      </c>
      <c r="E516" s="97">
        <f>GDPdeflator!$C$32*INDEX(Costs!$E$7:$O$89,MATCH($C516,Costs!$C$7:$C$89,0),MATCH(E$7,Costs!$E$6:$O$6,0))</f>
        <v>56.969873098905353</v>
      </c>
      <c r="F516" s="97">
        <f>GDPdeflator!$C$36*INDEX(Costs!$E$7:$O$89,MATCH($C516,Costs!$C$7:$C$89,0),MATCH(F$7,Costs!$E$6:$O$6,0))</f>
        <v>40.81448779169294</v>
      </c>
      <c r="G516" s="97">
        <f>GDPdeflator!$C$38*INDEX(Costs!$E$7:$O$89,MATCH($C516,Costs!$C$7:$C$89,0),MATCH(G$7,Costs!$E$6:$O$6,0))</f>
        <v>39.406441591588731</v>
      </c>
      <c r="H516" s="97">
        <f>GDPdeflator!$C$38*INDEX(Costs!$E$7:$O$89,MATCH($C516,Costs!$C$7:$C$89,0),MATCH(H$7,Costs!$E$6:$O$6,0))</f>
        <v>37.32135197424811</v>
      </c>
      <c r="I516" s="97">
        <f>GDPdeflator!$C$38*INDEX(Costs!$E$7:$O$89,MATCH($C516,Costs!$C$7:$C$89,0),MATCH(I$7,Costs!$E$6:$O$6,0))</f>
        <v>34.360174282394617</v>
      </c>
      <c r="J516" s="97">
        <f>GDPdeflator!$C$38*INDEX(Costs!$E$7:$O$89,MATCH($C516,Costs!$C$7:$C$89,0),MATCH(J$7,Costs!$E$6:$O$6,0))</f>
        <v>32.695606940820177</v>
      </c>
      <c r="K516" s="97">
        <f>GDPdeflator!$C$38*INDEX(Costs!$E$7:$O$89,MATCH($C516,Costs!$C$7:$C$89,0),MATCH(K$7,Costs!$E$6:$O$6,0))</f>
        <v>32.275084665054003</v>
      </c>
      <c r="L516" s="97">
        <f>GDPdeflator!$C$38*INDEX(Costs!$E$7:$O$89,MATCH($C516,Costs!$C$7:$C$89,0),MATCH(L$7,Costs!$E$6:$O$6,0))</f>
        <v>32.204997619092964</v>
      </c>
      <c r="M516" s="97">
        <f>GDPdeflator!$C$38*INDEX(Costs!$E$7:$O$89,MATCH($C516,Costs!$C$7:$C$89,0),MATCH(M$7,Costs!$E$6:$O$6,0))</f>
        <v>32.204997619092964</v>
      </c>
      <c r="N516" s="97">
        <f>GDPdeflator!$C$38*INDEX(Costs!$E$7:$O$89,MATCH($C516,Costs!$C$7:$C$89,0),MATCH(N$7,Costs!$E$6:$O$6,0))</f>
        <v>32.204997619092964</v>
      </c>
      <c r="O516" s="97">
        <f>GDPdeflator!$C$38*INDEX(Costs!$E$7:$O$89,MATCH($C516,Costs!$C$7:$C$89,0),MATCH(O$7,Costs!$E$6:$O$6,0))</f>
        <v>32.204997619092964</v>
      </c>
      <c r="P516" s="98">
        <f t="shared" si="248"/>
        <v>4756.8788681960368</v>
      </c>
      <c r="Q516" s="98">
        <f t="shared" si="247"/>
        <v>3407.9341225753892</v>
      </c>
      <c r="R516" s="98">
        <f t="shared" si="236"/>
        <v>3290.3648732444099</v>
      </c>
      <c r="S516" s="98">
        <f t="shared" si="237"/>
        <v>3116.2637527837237</v>
      </c>
      <c r="T516" s="98">
        <f t="shared" si="238"/>
        <v>2869.0109010370334</v>
      </c>
      <c r="U516" s="98">
        <f t="shared" si="239"/>
        <v>2730.022611593628</v>
      </c>
      <c r="V516" s="98">
        <f t="shared" si="240"/>
        <v>2694.9097805763472</v>
      </c>
      <c r="W516" s="98">
        <f t="shared" si="241"/>
        <v>2689.057642073466</v>
      </c>
      <c r="X516" s="98">
        <f t="shared" si="242"/>
        <v>2689.057642073466</v>
      </c>
      <c r="Y516" s="98">
        <f t="shared" si="243"/>
        <v>2689.057642073466</v>
      </c>
      <c r="Z516" s="98">
        <f t="shared" si="244"/>
        <v>2689.057642073466</v>
      </c>
      <c r="AA516" s="99">
        <v>270</v>
      </c>
      <c r="AB516" s="100">
        <f>AA516*GDPdeflator!$C$25/$AI$18*10^3</f>
        <v>25.96036460507926</v>
      </c>
      <c r="AC516" s="101" t="e">
        <f>INDEX(Efficiencies!$D$8:$M$89,MATCH(C516,Efficiencies!$C$8:$C$89),MATCH(D516,Efficiencies!$D$7:$M$7))</f>
        <v>#REF!</v>
      </c>
      <c r="AD516" s="101" t="e">
        <f t="shared" si="232"/>
        <v>#REF!</v>
      </c>
      <c r="AE516" s="101" t="e">
        <f>INDEX(Efficiencies!$P$8:$Y$89,MATCH(C516,Efficiencies!$C$8:$C$89),MATCH(D516,Efficiencies!$P$7:$Y$7))</f>
        <v>#REF!</v>
      </c>
      <c r="AF516" s="101" t="e">
        <f t="shared" si="234"/>
        <v>#REF!</v>
      </c>
      <c r="AG516" s="101">
        <v>0</v>
      </c>
    </row>
    <row r="517" spans="1:33" s="96" customFormat="1" x14ac:dyDescent="0.2">
      <c r="A517" s="94" t="s">
        <v>1851</v>
      </c>
      <c r="B517" s="95" t="s">
        <v>1852</v>
      </c>
      <c r="C517" s="96" t="s">
        <v>1842</v>
      </c>
      <c r="D517" s="96">
        <v>2025</v>
      </c>
      <c r="E517" s="97">
        <f>GDPdeflator!$C$32*INDEX(Costs!$E$7:$O$89,MATCH($C517,Costs!$C$7:$C$89,0),MATCH(E$7,Costs!$E$6:$O$6,0))</f>
        <v>56.969873098905353</v>
      </c>
      <c r="F517" s="97">
        <f>GDPdeflator!$C$36*INDEX(Costs!$E$7:$O$89,MATCH($C517,Costs!$C$7:$C$89,0),MATCH(F$7,Costs!$E$6:$O$6,0))</f>
        <v>40.81448779169294</v>
      </c>
      <c r="G517" s="97">
        <f>GDPdeflator!$C$38*INDEX(Costs!$E$7:$O$89,MATCH($C517,Costs!$C$7:$C$89,0),MATCH(G$7,Costs!$E$6:$O$6,0))</f>
        <v>39.406441591588731</v>
      </c>
      <c r="H517" s="97">
        <f>GDPdeflator!$C$38*INDEX(Costs!$E$7:$O$89,MATCH($C517,Costs!$C$7:$C$89,0),MATCH(H$7,Costs!$E$6:$O$6,0))</f>
        <v>37.32135197424811</v>
      </c>
      <c r="I517" s="97">
        <f>GDPdeflator!$C$38*INDEX(Costs!$E$7:$O$89,MATCH($C517,Costs!$C$7:$C$89,0),MATCH(I$7,Costs!$E$6:$O$6,0))</f>
        <v>34.360174282394617</v>
      </c>
      <c r="J517" s="97">
        <f>GDPdeflator!$C$38*INDEX(Costs!$E$7:$O$89,MATCH($C517,Costs!$C$7:$C$89,0),MATCH(J$7,Costs!$E$6:$O$6,0))</f>
        <v>32.695606940820177</v>
      </c>
      <c r="K517" s="97">
        <f>GDPdeflator!$C$38*INDEX(Costs!$E$7:$O$89,MATCH($C517,Costs!$C$7:$C$89,0),MATCH(K$7,Costs!$E$6:$O$6,0))</f>
        <v>32.275084665054003</v>
      </c>
      <c r="L517" s="97">
        <f>GDPdeflator!$C$38*INDEX(Costs!$E$7:$O$89,MATCH($C517,Costs!$C$7:$C$89,0),MATCH(L$7,Costs!$E$6:$O$6,0))</f>
        <v>32.204997619092964</v>
      </c>
      <c r="M517" s="97">
        <f>GDPdeflator!$C$38*INDEX(Costs!$E$7:$O$89,MATCH($C517,Costs!$C$7:$C$89,0),MATCH(M$7,Costs!$E$6:$O$6,0))</f>
        <v>32.204997619092964</v>
      </c>
      <c r="N517" s="97">
        <f>GDPdeflator!$C$38*INDEX(Costs!$E$7:$O$89,MATCH($C517,Costs!$C$7:$C$89,0),MATCH(N$7,Costs!$E$6:$O$6,0))</f>
        <v>32.204997619092964</v>
      </c>
      <c r="O517" s="97">
        <f>GDPdeflator!$C$38*INDEX(Costs!$E$7:$O$89,MATCH($C517,Costs!$C$7:$C$89,0),MATCH(O$7,Costs!$E$6:$O$6,0))</f>
        <v>32.204997619092964</v>
      </c>
      <c r="P517" s="98">
        <f t="shared" si="248"/>
        <v>4756.8788681960368</v>
      </c>
      <c r="Q517" s="98">
        <f t="shared" si="247"/>
        <v>3407.9341225753892</v>
      </c>
      <c r="R517" s="98">
        <f t="shared" si="236"/>
        <v>3290.3648732444099</v>
      </c>
      <c r="S517" s="98">
        <f t="shared" si="237"/>
        <v>3116.2637527837237</v>
      </c>
      <c r="T517" s="98">
        <f t="shared" si="238"/>
        <v>2869.0109010370334</v>
      </c>
      <c r="U517" s="98">
        <f t="shared" si="239"/>
        <v>2730.022611593628</v>
      </c>
      <c r="V517" s="98">
        <f t="shared" si="240"/>
        <v>2694.9097805763472</v>
      </c>
      <c r="W517" s="98">
        <f t="shared" si="241"/>
        <v>2689.057642073466</v>
      </c>
      <c r="X517" s="98">
        <f t="shared" si="242"/>
        <v>2689.057642073466</v>
      </c>
      <c r="Y517" s="98">
        <f t="shared" si="243"/>
        <v>2689.057642073466</v>
      </c>
      <c r="Z517" s="98">
        <f t="shared" si="244"/>
        <v>2689.057642073466</v>
      </c>
      <c r="AA517" s="99">
        <v>270</v>
      </c>
      <c r="AB517" s="100">
        <f>AA517*GDPdeflator!$C$25/$AI$18*10^3</f>
        <v>25.96036460507926</v>
      </c>
      <c r="AC517" s="101" t="e">
        <f>INDEX(Efficiencies!$D$8:$M$89,MATCH(C517,Efficiencies!$C$8:$C$89),MATCH(D517,Efficiencies!$D$7:$M$7))</f>
        <v>#REF!</v>
      </c>
      <c r="AD517" s="101" t="e">
        <f t="shared" si="232"/>
        <v>#REF!</v>
      </c>
      <c r="AE517" s="101" t="e">
        <f>INDEX(Efficiencies!$P$8:$Y$89,MATCH(C517,Efficiencies!$C$8:$C$89),MATCH(D517,Efficiencies!$P$7:$Y$7))</f>
        <v>#REF!</v>
      </c>
      <c r="AF517" s="101" t="e">
        <f t="shared" si="234"/>
        <v>#REF!</v>
      </c>
      <c r="AG517" s="101">
        <v>0</v>
      </c>
    </row>
    <row r="518" spans="1:33" s="96" customFormat="1" x14ac:dyDescent="0.2">
      <c r="A518" s="94" t="s">
        <v>1853</v>
      </c>
      <c r="B518" s="95" t="s">
        <v>1854</v>
      </c>
      <c r="C518" s="96" t="s">
        <v>1842</v>
      </c>
      <c r="D518" s="96">
        <v>2030</v>
      </c>
      <c r="E518" s="97">
        <f>GDPdeflator!$C$32*INDEX(Costs!$E$7:$O$89,MATCH($C518,Costs!$C$7:$C$89,0),MATCH(E$7,Costs!$E$6:$O$6,0))</f>
        <v>56.969873098905353</v>
      </c>
      <c r="F518" s="97">
        <f>GDPdeflator!$C$36*INDEX(Costs!$E$7:$O$89,MATCH($C518,Costs!$C$7:$C$89,0),MATCH(F$7,Costs!$E$6:$O$6,0))</f>
        <v>40.81448779169294</v>
      </c>
      <c r="G518" s="97">
        <f>GDPdeflator!$C$38*INDEX(Costs!$E$7:$O$89,MATCH($C518,Costs!$C$7:$C$89,0),MATCH(G$7,Costs!$E$6:$O$6,0))</f>
        <v>39.406441591588731</v>
      </c>
      <c r="H518" s="97">
        <f>GDPdeflator!$C$38*INDEX(Costs!$E$7:$O$89,MATCH($C518,Costs!$C$7:$C$89,0),MATCH(H$7,Costs!$E$6:$O$6,0))</f>
        <v>37.32135197424811</v>
      </c>
      <c r="I518" s="97">
        <f>GDPdeflator!$C$38*INDEX(Costs!$E$7:$O$89,MATCH($C518,Costs!$C$7:$C$89,0),MATCH(I$7,Costs!$E$6:$O$6,0))</f>
        <v>34.360174282394617</v>
      </c>
      <c r="J518" s="97">
        <f>GDPdeflator!$C$38*INDEX(Costs!$E$7:$O$89,MATCH($C518,Costs!$C$7:$C$89,0),MATCH(J$7,Costs!$E$6:$O$6,0))</f>
        <v>32.695606940820177</v>
      </c>
      <c r="K518" s="97">
        <f>GDPdeflator!$C$38*INDEX(Costs!$E$7:$O$89,MATCH($C518,Costs!$C$7:$C$89,0),MATCH(K$7,Costs!$E$6:$O$6,0))</f>
        <v>32.275084665054003</v>
      </c>
      <c r="L518" s="97">
        <f>GDPdeflator!$C$38*INDEX(Costs!$E$7:$O$89,MATCH($C518,Costs!$C$7:$C$89,0),MATCH(L$7,Costs!$E$6:$O$6,0))</f>
        <v>32.204997619092964</v>
      </c>
      <c r="M518" s="97">
        <f>GDPdeflator!$C$38*INDEX(Costs!$E$7:$O$89,MATCH($C518,Costs!$C$7:$C$89,0),MATCH(M$7,Costs!$E$6:$O$6,0))</f>
        <v>32.204997619092964</v>
      </c>
      <c r="N518" s="97">
        <f>GDPdeflator!$C$38*INDEX(Costs!$E$7:$O$89,MATCH($C518,Costs!$C$7:$C$89,0),MATCH(N$7,Costs!$E$6:$O$6,0))</f>
        <v>32.204997619092964</v>
      </c>
      <c r="O518" s="97">
        <f>GDPdeflator!$C$38*INDEX(Costs!$E$7:$O$89,MATCH($C518,Costs!$C$7:$C$89,0),MATCH(O$7,Costs!$E$6:$O$6,0))</f>
        <v>32.204997619092964</v>
      </c>
      <c r="P518" s="98">
        <f t="shared" si="248"/>
        <v>4756.8788681960368</v>
      </c>
      <c r="Q518" s="98">
        <f t="shared" si="247"/>
        <v>3407.9341225753892</v>
      </c>
      <c r="R518" s="98">
        <f t="shared" si="236"/>
        <v>3290.3648732444099</v>
      </c>
      <c r="S518" s="98">
        <f t="shared" si="237"/>
        <v>3116.2637527837237</v>
      </c>
      <c r="T518" s="98">
        <f t="shared" si="238"/>
        <v>2869.0109010370334</v>
      </c>
      <c r="U518" s="98">
        <f t="shared" si="239"/>
        <v>2730.022611593628</v>
      </c>
      <c r="V518" s="98">
        <f t="shared" si="240"/>
        <v>2694.9097805763472</v>
      </c>
      <c r="W518" s="98">
        <f t="shared" si="241"/>
        <v>2689.057642073466</v>
      </c>
      <c r="X518" s="98">
        <f t="shared" si="242"/>
        <v>2689.057642073466</v>
      </c>
      <c r="Y518" s="98">
        <f t="shared" si="243"/>
        <v>2689.057642073466</v>
      </c>
      <c r="Z518" s="98">
        <f t="shared" si="244"/>
        <v>2689.057642073466</v>
      </c>
      <c r="AA518" s="99">
        <v>270</v>
      </c>
      <c r="AB518" s="100">
        <f>AA518*GDPdeflator!$C$25/$AI$18*10^3</f>
        <v>25.96036460507926</v>
      </c>
      <c r="AC518" s="101" t="e">
        <f>INDEX(Efficiencies!$D$8:$M$89,MATCH(C518,Efficiencies!$C$8:$C$89),MATCH(D518,Efficiencies!$D$7:$M$7))</f>
        <v>#REF!</v>
      </c>
      <c r="AD518" s="101" t="e">
        <f t="shared" si="232"/>
        <v>#REF!</v>
      </c>
      <c r="AE518" s="101" t="e">
        <f>INDEX(Efficiencies!$P$8:$Y$89,MATCH(C518,Efficiencies!$C$8:$C$89),MATCH(D518,Efficiencies!$P$7:$Y$7))</f>
        <v>#REF!</v>
      </c>
      <c r="AF518" s="101" t="e">
        <f t="shared" si="234"/>
        <v>#REF!</v>
      </c>
      <c r="AG518" s="101">
        <v>0</v>
      </c>
    </row>
    <row r="519" spans="1:33" s="96" customFormat="1" x14ac:dyDescent="0.2">
      <c r="A519" s="94" t="s">
        <v>1855</v>
      </c>
      <c r="B519" s="95" t="s">
        <v>1856</v>
      </c>
      <c r="C519" s="96" t="s">
        <v>1842</v>
      </c>
      <c r="D519" s="96">
        <v>2035</v>
      </c>
      <c r="E519" s="97">
        <f>GDPdeflator!$C$32*INDEX(Costs!$E$7:$O$89,MATCH($C519,Costs!$C$7:$C$89,0),MATCH(E$7,Costs!$E$6:$O$6,0))</f>
        <v>56.969873098905353</v>
      </c>
      <c r="F519" s="97">
        <f>GDPdeflator!$C$36*INDEX(Costs!$E$7:$O$89,MATCH($C519,Costs!$C$7:$C$89,0),MATCH(F$7,Costs!$E$6:$O$6,0))</f>
        <v>40.81448779169294</v>
      </c>
      <c r="G519" s="97">
        <f>GDPdeflator!$C$38*INDEX(Costs!$E$7:$O$89,MATCH($C519,Costs!$C$7:$C$89,0),MATCH(G$7,Costs!$E$6:$O$6,0))</f>
        <v>39.406441591588731</v>
      </c>
      <c r="H519" s="97">
        <f>GDPdeflator!$C$38*INDEX(Costs!$E$7:$O$89,MATCH($C519,Costs!$C$7:$C$89,0),MATCH(H$7,Costs!$E$6:$O$6,0))</f>
        <v>37.32135197424811</v>
      </c>
      <c r="I519" s="97">
        <f>GDPdeflator!$C$38*INDEX(Costs!$E$7:$O$89,MATCH($C519,Costs!$C$7:$C$89,0),MATCH(I$7,Costs!$E$6:$O$6,0))</f>
        <v>34.360174282394617</v>
      </c>
      <c r="J519" s="97">
        <f>GDPdeflator!$C$38*INDEX(Costs!$E$7:$O$89,MATCH($C519,Costs!$C$7:$C$89,0),MATCH(J$7,Costs!$E$6:$O$6,0))</f>
        <v>32.695606940820177</v>
      </c>
      <c r="K519" s="97">
        <f>GDPdeflator!$C$38*INDEX(Costs!$E$7:$O$89,MATCH($C519,Costs!$C$7:$C$89,0),MATCH(K$7,Costs!$E$6:$O$6,0))</f>
        <v>32.275084665054003</v>
      </c>
      <c r="L519" s="97">
        <f>GDPdeflator!$C$38*INDEX(Costs!$E$7:$O$89,MATCH($C519,Costs!$C$7:$C$89,0),MATCH(L$7,Costs!$E$6:$O$6,0))</f>
        <v>32.204997619092964</v>
      </c>
      <c r="M519" s="97">
        <f>GDPdeflator!$C$38*INDEX(Costs!$E$7:$O$89,MATCH($C519,Costs!$C$7:$C$89,0),MATCH(M$7,Costs!$E$6:$O$6,0))</f>
        <v>32.204997619092964</v>
      </c>
      <c r="N519" s="97">
        <f>GDPdeflator!$C$38*INDEX(Costs!$E$7:$O$89,MATCH($C519,Costs!$C$7:$C$89,0),MATCH(N$7,Costs!$E$6:$O$6,0))</f>
        <v>32.204997619092964</v>
      </c>
      <c r="O519" s="97">
        <f>GDPdeflator!$C$38*INDEX(Costs!$E$7:$O$89,MATCH($C519,Costs!$C$7:$C$89,0),MATCH(O$7,Costs!$E$6:$O$6,0))</f>
        <v>32.204997619092964</v>
      </c>
      <c r="P519" s="98">
        <f t="shared" si="248"/>
        <v>4756.8788681960368</v>
      </c>
      <c r="Q519" s="98">
        <f t="shared" si="247"/>
        <v>3407.9341225753892</v>
      </c>
      <c r="R519" s="98">
        <f t="shared" si="236"/>
        <v>3290.3648732444099</v>
      </c>
      <c r="S519" s="98">
        <f t="shared" si="237"/>
        <v>3116.2637527837237</v>
      </c>
      <c r="T519" s="98">
        <f t="shared" si="238"/>
        <v>2869.0109010370334</v>
      </c>
      <c r="U519" s="98">
        <f t="shared" si="239"/>
        <v>2730.022611593628</v>
      </c>
      <c r="V519" s="98">
        <f t="shared" si="240"/>
        <v>2694.9097805763472</v>
      </c>
      <c r="W519" s="98">
        <f t="shared" si="241"/>
        <v>2689.057642073466</v>
      </c>
      <c r="X519" s="98">
        <f t="shared" si="242"/>
        <v>2689.057642073466</v>
      </c>
      <c r="Y519" s="98">
        <f t="shared" si="243"/>
        <v>2689.057642073466</v>
      </c>
      <c r="Z519" s="98">
        <f t="shared" si="244"/>
        <v>2689.057642073466</v>
      </c>
      <c r="AA519" s="99">
        <v>270</v>
      </c>
      <c r="AB519" s="100">
        <f>AA519*GDPdeflator!$C$25/$AI$18*10^3</f>
        <v>25.96036460507926</v>
      </c>
      <c r="AC519" s="101" t="e">
        <f>INDEX(Efficiencies!$D$8:$M$89,MATCH(C519,Efficiencies!$C$8:$C$89),MATCH(D519,Efficiencies!$D$7:$M$7))</f>
        <v>#REF!</v>
      </c>
      <c r="AD519" s="101" t="e">
        <f t="shared" ref="AD519:AD578" si="249">AC519/($AI$11*$AI$15*10 ^ 9)</f>
        <v>#REF!</v>
      </c>
      <c r="AE519" s="101" t="e">
        <f>INDEX(Efficiencies!$P$8:$Y$89,MATCH(C519,Efficiencies!$C$8:$C$89),MATCH(D519,Efficiencies!$P$7:$Y$7))</f>
        <v>#REF!</v>
      </c>
      <c r="AF519" s="101" t="e">
        <f t="shared" si="234"/>
        <v>#REF!</v>
      </c>
      <c r="AG519" s="101">
        <v>0</v>
      </c>
    </row>
    <row r="520" spans="1:33" s="96" customFormat="1" x14ac:dyDescent="0.2">
      <c r="A520" s="94" t="s">
        <v>1857</v>
      </c>
      <c r="B520" s="95" t="s">
        <v>1858</v>
      </c>
      <c r="C520" s="96" t="s">
        <v>1842</v>
      </c>
      <c r="D520" s="96">
        <v>2040</v>
      </c>
      <c r="E520" s="97">
        <f>GDPdeflator!$C$32*INDEX(Costs!$E$7:$O$89,MATCH($C520,Costs!$C$7:$C$89,0),MATCH(E$7,Costs!$E$6:$O$6,0))</f>
        <v>56.969873098905353</v>
      </c>
      <c r="F520" s="97">
        <f>GDPdeflator!$C$36*INDEX(Costs!$E$7:$O$89,MATCH($C520,Costs!$C$7:$C$89,0),MATCH(F$7,Costs!$E$6:$O$6,0))</f>
        <v>40.81448779169294</v>
      </c>
      <c r="G520" s="97">
        <f>GDPdeflator!$C$38*INDEX(Costs!$E$7:$O$89,MATCH($C520,Costs!$C$7:$C$89,0),MATCH(G$7,Costs!$E$6:$O$6,0))</f>
        <v>39.406441591588731</v>
      </c>
      <c r="H520" s="97">
        <f>GDPdeflator!$C$38*INDEX(Costs!$E$7:$O$89,MATCH($C520,Costs!$C$7:$C$89,0),MATCH(H$7,Costs!$E$6:$O$6,0))</f>
        <v>37.32135197424811</v>
      </c>
      <c r="I520" s="97">
        <f>GDPdeflator!$C$38*INDEX(Costs!$E$7:$O$89,MATCH($C520,Costs!$C$7:$C$89,0),MATCH(I$7,Costs!$E$6:$O$6,0))</f>
        <v>34.360174282394617</v>
      </c>
      <c r="J520" s="97">
        <f>GDPdeflator!$C$38*INDEX(Costs!$E$7:$O$89,MATCH($C520,Costs!$C$7:$C$89,0),MATCH(J$7,Costs!$E$6:$O$6,0))</f>
        <v>32.695606940820177</v>
      </c>
      <c r="K520" s="97">
        <f>GDPdeflator!$C$38*INDEX(Costs!$E$7:$O$89,MATCH($C520,Costs!$C$7:$C$89,0),MATCH(K$7,Costs!$E$6:$O$6,0))</f>
        <v>32.275084665054003</v>
      </c>
      <c r="L520" s="97">
        <f>GDPdeflator!$C$38*INDEX(Costs!$E$7:$O$89,MATCH($C520,Costs!$C$7:$C$89,0),MATCH(L$7,Costs!$E$6:$O$6,0))</f>
        <v>32.204997619092964</v>
      </c>
      <c r="M520" s="97">
        <f>GDPdeflator!$C$38*INDEX(Costs!$E$7:$O$89,MATCH($C520,Costs!$C$7:$C$89,0),MATCH(M$7,Costs!$E$6:$O$6,0))</f>
        <v>32.204997619092964</v>
      </c>
      <c r="N520" s="97">
        <f>GDPdeflator!$C$38*INDEX(Costs!$E$7:$O$89,MATCH($C520,Costs!$C$7:$C$89,0),MATCH(N$7,Costs!$E$6:$O$6,0))</f>
        <v>32.204997619092964</v>
      </c>
      <c r="O520" s="97">
        <f>GDPdeflator!$C$38*INDEX(Costs!$E$7:$O$89,MATCH($C520,Costs!$C$7:$C$89,0),MATCH(O$7,Costs!$E$6:$O$6,0))</f>
        <v>32.204997619092964</v>
      </c>
      <c r="P520" s="98">
        <f t="shared" si="248"/>
        <v>4756.8788681960368</v>
      </c>
      <c r="Q520" s="98">
        <f t="shared" si="247"/>
        <v>3407.9341225753892</v>
      </c>
      <c r="R520" s="98">
        <f t="shared" si="236"/>
        <v>3290.3648732444099</v>
      </c>
      <c r="S520" s="98">
        <f t="shared" si="237"/>
        <v>3116.2637527837237</v>
      </c>
      <c r="T520" s="98">
        <f t="shared" si="238"/>
        <v>2869.0109010370334</v>
      </c>
      <c r="U520" s="98">
        <f t="shared" si="239"/>
        <v>2730.022611593628</v>
      </c>
      <c r="V520" s="98">
        <f t="shared" si="240"/>
        <v>2694.9097805763472</v>
      </c>
      <c r="W520" s="98">
        <f t="shared" si="241"/>
        <v>2689.057642073466</v>
      </c>
      <c r="X520" s="98">
        <f t="shared" si="242"/>
        <v>2689.057642073466</v>
      </c>
      <c r="Y520" s="98">
        <f t="shared" si="243"/>
        <v>2689.057642073466</v>
      </c>
      <c r="Z520" s="98">
        <f t="shared" si="244"/>
        <v>2689.057642073466</v>
      </c>
      <c r="AA520" s="99">
        <v>270</v>
      </c>
      <c r="AB520" s="100">
        <f>AA520*GDPdeflator!$C$25/$AI$18*10^3</f>
        <v>25.96036460507926</v>
      </c>
      <c r="AC520" s="101" t="e">
        <f>INDEX(Efficiencies!$D$8:$M$89,MATCH(C520,Efficiencies!$C$8:$C$89),MATCH(D520,Efficiencies!$D$7:$M$7))</f>
        <v>#REF!</v>
      </c>
      <c r="AD520" s="101" t="e">
        <f t="shared" si="249"/>
        <v>#REF!</v>
      </c>
      <c r="AE520" s="101" t="e">
        <f>INDEX(Efficiencies!$P$8:$Y$89,MATCH(C520,Efficiencies!$C$8:$C$89),MATCH(D520,Efficiencies!$P$7:$Y$7))</f>
        <v>#REF!</v>
      </c>
      <c r="AF520" s="101" t="e">
        <f t="shared" si="234"/>
        <v>#REF!</v>
      </c>
      <c r="AG520" s="101">
        <v>0</v>
      </c>
    </row>
    <row r="521" spans="1:33" s="96" customFormat="1" x14ac:dyDescent="0.2">
      <c r="A521" s="94" t="s">
        <v>1859</v>
      </c>
      <c r="B521" s="95" t="s">
        <v>1860</v>
      </c>
      <c r="C521" s="96" t="s">
        <v>1842</v>
      </c>
      <c r="D521" s="96">
        <v>2045</v>
      </c>
      <c r="E521" s="97">
        <f>GDPdeflator!$C$32*INDEX(Costs!$E$7:$O$89,MATCH($C521,Costs!$C$7:$C$89,0),MATCH(E$7,Costs!$E$6:$O$6,0))</f>
        <v>56.969873098905353</v>
      </c>
      <c r="F521" s="97">
        <f>GDPdeflator!$C$36*INDEX(Costs!$E$7:$O$89,MATCH($C521,Costs!$C$7:$C$89,0),MATCH(F$7,Costs!$E$6:$O$6,0))</f>
        <v>40.81448779169294</v>
      </c>
      <c r="G521" s="97">
        <f>GDPdeflator!$C$38*INDEX(Costs!$E$7:$O$89,MATCH($C521,Costs!$C$7:$C$89,0),MATCH(G$7,Costs!$E$6:$O$6,0))</f>
        <v>39.406441591588731</v>
      </c>
      <c r="H521" s="97">
        <f>GDPdeflator!$C$38*INDEX(Costs!$E$7:$O$89,MATCH($C521,Costs!$C$7:$C$89,0),MATCH(H$7,Costs!$E$6:$O$6,0))</f>
        <v>37.32135197424811</v>
      </c>
      <c r="I521" s="97">
        <f>GDPdeflator!$C$38*INDEX(Costs!$E$7:$O$89,MATCH($C521,Costs!$C$7:$C$89,0),MATCH(I$7,Costs!$E$6:$O$6,0))</f>
        <v>34.360174282394617</v>
      </c>
      <c r="J521" s="97">
        <f>GDPdeflator!$C$38*INDEX(Costs!$E$7:$O$89,MATCH($C521,Costs!$C$7:$C$89,0),MATCH(J$7,Costs!$E$6:$O$6,0))</f>
        <v>32.695606940820177</v>
      </c>
      <c r="K521" s="97">
        <f>GDPdeflator!$C$38*INDEX(Costs!$E$7:$O$89,MATCH($C521,Costs!$C$7:$C$89,0),MATCH(K$7,Costs!$E$6:$O$6,0))</f>
        <v>32.275084665054003</v>
      </c>
      <c r="L521" s="97">
        <f>GDPdeflator!$C$38*INDEX(Costs!$E$7:$O$89,MATCH($C521,Costs!$C$7:$C$89,0),MATCH(L$7,Costs!$E$6:$O$6,0))</f>
        <v>32.204997619092964</v>
      </c>
      <c r="M521" s="97">
        <f>GDPdeflator!$C$38*INDEX(Costs!$E$7:$O$89,MATCH($C521,Costs!$C$7:$C$89,0),MATCH(M$7,Costs!$E$6:$O$6,0))</f>
        <v>32.204997619092964</v>
      </c>
      <c r="N521" s="97">
        <f>GDPdeflator!$C$38*INDEX(Costs!$E$7:$O$89,MATCH($C521,Costs!$C$7:$C$89,0),MATCH(N$7,Costs!$E$6:$O$6,0))</f>
        <v>32.204997619092964</v>
      </c>
      <c r="O521" s="97">
        <f>GDPdeflator!$C$38*INDEX(Costs!$E$7:$O$89,MATCH($C521,Costs!$C$7:$C$89,0),MATCH(O$7,Costs!$E$6:$O$6,0))</f>
        <v>32.204997619092964</v>
      </c>
      <c r="P521" s="98">
        <f t="shared" si="248"/>
        <v>4756.8788681960368</v>
      </c>
      <c r="Q521" s="98">
        <f t="shared" si="247"/>
        <v>3407.9341225753892</v>
      </c>
      <c r="R521" s="98">
        <f t="shared" si="236"/>
        <v>3290.3648732444099</v>
      </c>
      <c r="S521" s="98">
        <f t="shared" si="237"/>
        <v>3116.2637527837237</v>
      </c>
      <c r="T521" s="98">
        <f t="shared" si="238"/>
        <v>2869.0109010370334</v>
      </c>
      <c r="U521" s="98">
        <f t="shared" si="239"/>
        <v>2730.022611593628</v>
      </c>
      <c r="V521" s="98">
        <f t="shared" si="240"/>
        <v>2694.9097805763472</v>
      </c>
      <c r="W521" s="98">
        <f t="shared" si="241"/>
        <v>2689.057642073466</v>
      </c>
      <c r="X521" s="98">
        <f t="shared" si="242"/>
        <v>2689.057642073466</v>
      </c>
      <c r="Y521" s="98">
        <f t="shared" si="243"/>
        <v>2689.057642073466</v>
      </c>
      <c r="Z521" s="98">
        <f t="shared" si="244"/>
        <v>2689.057642073466</v>
      </c>
      <c r="AA521" s="99">
        <v>270</v>
      </c>
      <c r="AB521" s="100">
        <f>AA521*GDPdeflator!$C$25/$AI$18*10^3</f>
        <v>25.96036460507926</v>
      </c>
      <c r="AC521" s="101" t="e">
        <f>INDEX(Efficiencies!$D$8:$M$89,MATCH(C521,Efficiencies!$C$8:$C$89),MATCH(D521,Efficiencies!$D$7:$M$7))</f>
        <v>#REF!</v>
      </c>
      <c r="AD521" s="101" t="e">
        <f t="shared" si="249"/>
        <v>#REF!</v>
      </c>
      <c r="AE521" s="101" t="e">
        <f>INDEX(Efficiencies!$P$8:$Y$89,MATCH(C521,Efficiencies!$C$8:$C$89),MATCH(D521,Efficiencies!$P$7:$Y$7))</f>
        <v>#REF!</v>
      </c>
      <c r="AF521" s="101" t="e">
        <f t="shared" si="234"/>
        <v>#REF!</v>
      </c>
      <c r="AG521" s="101">
        <v>0</v>
      </c>
    </row>
    <row r="522" spans="1:33" s="96" customFormat="1" x14ac:dyDescent="0.2">
      <c r="A522" s="94" t="s">
        <v>1861</v>
      </c>
      <c r="B522" s="95" t="s">
        <v>1862</v>
      </c>
      <c r="C522" s="96" t="s">
        <v>1842</v>
      </c>
      <c r="D522" s="96">
        <v>2050</v>
      </c>
      <c r="E522" s="97">
        <f>GDPdeflator!$C$32*INDEX(Costs!$E$7:$O$89,MATCH($C522,Costs!$C$7:$C$89,0),MATCH(E$7,Costs!$E$6:$O$6,0))</f>
        <v>56.969873098905353</v>
      </c>
      <c r="F522" s="97">
        <f>GDPdeflator!$C$36*INDEX(Costs!$E$7:$O$89,MATCH($C522,Costs!$C$7:$C$89,0),MATCH(F$7,Costs!$E$6:$O$6,0))</f>
        <v>40.81448779169294</v>
      </c>
      <c r="G522" s="97">
        <f>GDPdeflator!$C$38*INDEX(Costs!$E$7:$O$89,MATCH($C522,Costs!$C$7:$C$89,0),MATCH(G$7,Costs!$E$6:$O$6,0))</f>
        <v>39.406441591588731</v>
      </c>
      <c r="H522" s="97">
        <f>GDPdeflator!$C$38*INDEX(Costs!$E$7:$O$89,MATCH($C522,Costs!$C$7:$C$89,0),MATCH(H$7,Costs!$E$6:$O$6,0))</f>
        <v>37.32135197424811</v>
      </c>
      <c r="I522" s="97">
        <f>GDPdeflator!$C$38*INDEX(Costs!$E$7:$O$89,MATCH($C522,Costs!$C$7:$C$89,0),MATCH(I$7,Costs!$E$6:$O$6,0))</f>
        <v>34.360174282394617</v>
      </c>
      <c r="J522" s="97">
        <f>GDPdeflator!$C$38*INDEX(Costs!$E$7:$O$89,MATCH($C522,Costs!$C$7:$C$89,0),MATCH(J$7,Costs!$E$6:$O$6,0))</f>
        <v>32.695606940820177</v>
      </c>
      <c r="K522" s="97">
        <f>GDPdeflator!$C$38*INDEX(Costs!$E$7:$O$89,MATCH($C522,Costs!$C$7:$C$89,0),MATCH(K$7,Costs!$E$6:$O$6,0))</f>
        <v>32.275084665054003</v>
      </c>
      <c r="L522" s="97">
        <f>GDPdeflator!$C$38*INDEX(Costs!$E$7:$O$89,MATCH($C522,Costs!$C$7:$C$89,0),MATCH(L$7,Costs!$E$6:$O$6,0))</f>
        <v>32.204997619092964</v>
      </c>
      <c r="M522" s="97">
        <f>GDPdeflator!$C$38*INDEX(Costs!$E$7:$O$89,MATCH($C522,Costs!$C$7:$C$89,0),MATCH(M$7,Costs!$E$6:$O$6,0))</f>
        <v>32.204997619092964</v>
      </c>
      <c r="N522" s="97">
        <f>GDPdeflator!$C$38*INDEX(Costs!$E$7:$O$89,MATCH($C522,Costs!$C$7:$C$89,0),MATCH(N$7,Costs!$E$6:$O$6,0))</f>
        <v>32.204997619092964</v>
      </c>
      <c r="O522" s="97">
        <f>GDPdeflator!$C$38*INDEX(Costs!$E$7:$O$89,MATCH($C522,Costs!$C$7:$C$89,0),MATCH(O$7,Costs!$E$6:$O$6,0))</f>
        <v>32.204997619092964</v>
      </c>
      <c r="P522" s="98">
        <f t="shared" si="248"/>
        <v>4756.8788681960368</v>
      </c>
      <c r="Q522" s="98">
        <f t="shared" si="247"/>
        <v>3407.9341225753892</v>
      </c>
      <c r="R522" s="98">
        <f t="shared" si="236"/>
        <v>3290.3648732444099</v>
      </c>
      <c r="S522" s="98">
        <f t="shared" si="237"/>
        <v>3116.2637527837237</v>
      </c>
      <c r="T522" s="98">
        <f t="shared" si="238"/>
        <v>2869.0109010370334</v>
      </c>
      <c r="U522" s="98">
        <f t="shared" si="239"/>
        <v>2730.022611593628</v>
      </c>
      <c r="V522" s="98">
        <f t="shared" si="240"/>
        <v>2694.9097805763472</v>
      </c>
      <c r="W522" s="98">
        <f t="shared" si="241"/>
        <v>2689.057642073466</v>
      </c>
      <c r="X522" s="98">
        <f t="shared" si="242"/>
        <v>2689.057642073466</v>
      </c>
      <c r="Y522" s="98">
        <f t="shared" si="243"/>
        <v>2689.057642073466</v>
      </c>
      <c r="Z522" s="98">
        <f t="shared" si="244"/>
        <v>2689.057642073466</v>
      </c>
      <c r="AA522" s="99">
        <v>270</v>
      </c>
      <c r="AB522" s="100">
        <f>AA522*GDPdeflator!$C$25/$AI$18*10^3</f>
        <v>25.96036460507926</v>
      </c>
      <c r="AC522" s="101" t="e">
        <f>INDEX(Efficiencies!$D$8:$M$89,MATCH(C522,Efficiencies!$C$8:$C$89),MATCH(D522,Efficiencies!$D$7:$M$7))</f>
        <v>#REF!</v>
      </c>
      <c r="AD522" s="101" t="e">
        <f t="shared" si="249"/>
        <v>#REF!</v>
      </c>
      <c r="AE522" s="101" t="e">
        <f>INDEX(Efficiencies!$P$8:$Y$89,MATCH(C522,Efficiencies!$C$8:$C$89),MATCH(D522,Efficiencies!$P$7:$Y$7))</f>
        <v>#REF!</v>
      </c>
      <c r="AF522" s="101" t="e">
        <f t="shared" si="234"/>
        <v>#REF!</v>
      </c>
      <c r="AG522" s="101">
        <v>0</v>
      </c>
    </row>
    <row r="523" spans="1:33" x14ac:dyDescent="0.2">
      <c r="A523" s="92" t="s">
        <v>1863</v>
      </c>
      <c r="B523" s="248" t="s">
        <v>1864</v>
      </c>
      <c r="C523" s="40" t="s">
        <v>1865</v>
      </c>
      <c r="D523" s="40">
        <v>2010</v>
      </c>
      <c r="E523" s="86">
        <f>GDPdeflator!$C$32*INDEX(Costs!$E$7:$O$89,MATCH($C523,Costs!$C$7:$C$89,0),MATCH(E$7,Costs!$E$6:$O$6,0))</f>
        <v>0</v>
      </c>
      <c r="F523" s="86">
        <f>GDPdeflator!$C$36*INDEX(Costs!$E$7:$O$89,MATCH($C523,Costs!$C$7:$C$89,0),MATCH(F$7,Costs!$E$6:$O$6,0))</f>
        <v>21.443373276871792</v>
      </c>
      <c r="G523" s="86">
        <f>GDPdeflator!$C$38*INDEX(Costs!$E$7:$O$89,MATCH($C523,Costs!$C$7:$C$89,0),MATCH(G$7,Costs!$E$6:$O$6,0))</f>
        <v>23.049877240433513</v>
      </c>
      <c r="H523" s="86">
        <f>GDPdeflator!$C$38*INDEX(Costs!$E$7:$O$89,MATCH($C523,Costs!$C$7:$C$89,0),MATCH(H$7,Costs!$E$6:$O$6,0))</f>
        <v>23.829595626749967</v>
      </c>
      <c r="I523" s="86">
        <f>GDPdeflator!$C$38*INDEX(Costs!$E$7:$O$89,MATCH($C523,Costs!$C$7:$C$89,0),MATCH(I$7,Costs!$E$6:$O$6,0))</f>
        <v>24.740727224243347</v>
      </c>
      <c r="J523" s="86">
        <f>GDPdeflator!$C$38*INDEX(Costs!$E$7:$O$89,MATCH($C523,Costs!$C$7:$C$89,0),MATCH(J$7,Costs!$E$6:$O$6,0))</f>
        <v>24.802053389459246</v>
      </c>
      <c r="K523" s="86">
        <f>GDPdeflator!$C$38*INDEX(Costs!$E$7:$O$89,MATCH($C523,Costs!$C$7:$C$89,0),MATCH(K$7,Costs!$E$6:$O$6,0))</f>
        <v>24.828336031694633</v>
      </c>
      <c r="L523" s="86">
        <f>GDPdeflator!$C$38*INDEX(Costs!$E$7:$O$89,MATCH($C523,Costs!$C$7:$C$89,0),MATCH(L$7,Costs!$E$6:$O$6,0))</f>
        <v>24.85461867393002</v>
      </c>
      <c r="M523" s="86">
        <f>GDPdeflator!$C$38*INDEX(Costs!$E$7:$O$89,MATCH($C523,Costs!$C$7:$C$89,0),MATCH(M$7,Costs!$E$6:$O$6,0))</f>
        <v>24.85461867393002</v>
      </c>
      <c r="N523" s="86">
        <f>GDPdeflator!$C$38*INDEX(Costs!$E$7:$O$89,MATCH($C523,Costs!$C$7:$C$89,0),MATCH(N$7,Costs!$E$6:$O$6,0))</f>
        <v>24.85461867393002</v>
      </c>
      <c r="O523" s="86">
        <f>GDPdeflator!$C$38*INDEX(Costs!$E$7:$O$89,MATCH($C523,Costs!$C$7:$C$89,0),MATCH(O$7,Costs!$E$6:$O$6,0))</f>
        <v>24.85461867393002</v>
      </c>
      <c r="P523" s="87">
        <f>E523/$AI$18*10^6</f>
        <v>0</v>
      </c>
      <c r="Q523" s="87">
        <f t="shared" si="247"/>
        <v>1790.4819451941344</v>
      </c>
      <c r="R523" s="87">
        <f t="shared" si="236"/>
        <v>1924.6220501347359</v>
      </c>
      <c r="S523" s="87">
        <f t="shared" si="237"/>
        <v>1989.727090979279</v>
      </c>
      <c r="T523" s="87">
        <f t="shared" si="238"/>
        <v>2065.8048915167215</v>
      </c>
      <c r="U523" s="87">
        <f t="shared" si="239"/>
        <v>2070.9255127067418</v>
      </c>
      <c r="V523" s="87">
        <f t="shared" si="240"/>
        <v>2073.1200646453221</v>
      </c>
      <c r="W523" s="87">
        <f t="shared" si="241"/>
        <v>2075.3146165839021</v>
      </c>
      <c r="X523" s="87">
        <f t="shared" si="242"/>
        <v>2075.3146165839021</v>
      </c>
      <c r="Y523" s="87">
        <f t="shared" si="243"/>
        <v>2075.3146165839021</v>
      </c>
      <c r="Z523" s="87">
        <f t="shared" si="244"/>
        <v>2075.3146165839021</v>
      </c>
      <c r="AA523" s="88">
        <v>450</v>
      </c>
      <c r="AB523" s="89">
        <f>AA523*GDPdeflator!$C$25/$AI$18*10^3</f>
        <v>43.267274341798768</v>
      </c>
      <c r="AC523" s="90" t="e">
        <f>INDEX(Efficiencies!$D$8:$M$89,MATCH(C523,Efficiencies!$C$8:$C$89),MATCH(D523,Efficiencies!$D$7:$M$7))</f>
        <v>#REF!</v>
      </c>
      <c r="AD523" s="90" t="e">
        <f t="shared" si="249"/>
        <v>#REF!</v>
      </c>
      <c r="AE523" s="90" t="e">
        <f>INDEX(Efficiencies!$P$8:$Y$89,MATCH(C523,Efficiencies!$C$8:$C$89),MATCH(D523,Efficiencies!$P$7:$Y$7))</f>
        <v>#REF!</v>
      </c>
      <c r="AF523" s="90" t="e">
        <f t="shared" si="234"/>
        <v>#REF!</v>
      </c>
      <c r="AG523" s="90">
        <v>0</v>
      </c>
    </row>
    <row r="524" spans="1:33" x14ac:dyDescent="0.2">
      <c r="A524" s="92" t="s">
        <v>1866</v>
      </c>
      <c r="B524" s="248" t="s">
        <v>1867</v>
      </c>
      <c r="C524" s="40" t="s">
        <v>1865</v>
      </c>
      <c r="D524" s="40">
        <v>2015</v>
      </c>
      <c r="E524" s="86">
        <f>GDPdeflator!$C$32*INDEX(Costs!$E$7:$O$89,MATCH($C524,Costs!$C$7:$C$89,0),MATCH(E$7,Costs!$E$6:$O$6,0))</f>
        <v>0</v>
      </c>
      <c r="F524" s="86">
        <f>GDPdeflator!$C$36*INDEX(Costs!$E$7:$O$89,MATCH($C524,Costs!$C$7:$C$89,0),MATCH(F$7,Costs!$E$6:$O$6,0))</f>
        <v>21.443373276871792</v>
      </c>
      <c r="G524" s="86">
        <f>GDPdeflator!$C$38*INDEX(Costs!$E$7:$O$89,MATCH($C524,Costs!$C$7:$C$89,0),MATCH(G$7,Costs!$E$6:$O$6,0))</f>
        <v>23.049877240433513</v>
      </c>
      <c r="H524" s="86">
        <f>GDPdeflator!$C$38*INDEX(Costs!$E$7:$O$89,MATCH($C524,Costs!$C$7:$C$89,0),MATCH(H$7,Costs!$E$6:$O$6,0))</f>
        <v>23.829595626749967</v>
      </c>
      <c r="I524" s="86">
        <f>GDPdeflator!$C$38*INDEX(Costs!$E$7:$O$89,MATCH($C524,Costs!$C$7:$C$89,0),MATCH(I$7,Costs!$E$6:$O$6,0))</f>
        <v>24.740727224243347</v>
      </c>
      <c r="J524" s="86">
        <f>GDPdeflator!$C$38*INDEX(Costs!$E$7:$O$89,MATCH($C524,Costs!$C$7:$C$89,0),MATCH(J$7,Costs!$E$6:$O$6,0))</f>
        <v>24.802053389459246</v>
      </c>
      <c r="K524" s="86">
        <f>GDPdeflator!$C$38*INDEX(Costs!$E$7:$O$89,MATCH($C524,Costs!$C$7:$C$89,0),MATCH(K$7,Costs!$E$6:$O$6,0))</f>
        <v>24.828336031694633</v>
      </c>
      <c r="L524" s="86">
        <f>GDPdeflator!$C$38*INDEX(Costs!$E$7:$O$89,MATCH($C524,Costs!$C$7:$C$89,0),MATCH(L$7,Costs!$E$6:$O$6,0))</f>
        <v>24.85461867393002</v>
      </c>
      <c r="M524" s="86">
        <f>GDPdeflator!$C$38*INDEX(Costs!$E$7:$O$89,MATCH($C524,Costs!$C$7:$C$89,0),MATCH(M$7,Costs!$E$6:$O$6,0))</f>
        <v>24.85461867393002</v>
      </c>
      <c r="N524" s="86">
        <f>GDPdeflator!$C$38*INDEX(Costs!$E$7:$O$89,MATCH($C524,Costs!$C$7:$C$89,0),MATCH(N$7,Costs!$E$6:$O$6,0))</f>
        <v>24.85461867393002</v>
      </c>
      <c r="O524" s="86">
        <f>GDPdeflator!$C$38*INDEX(Costs!$E$7:$O$89,MATCH($C524,Costs!$C$7:$C$89,0),MATCH(O$7,Costs!$E$6:$O$6,0))</f>
        <v>24.85461867393002</v>
      </c>
      <c r="P524" s="87">
        <f t="shared" ref="P524:P531" si="250">E524/$AI$18*10^6</f>
        <v>0</v>
      </c>
      <c r="Q524" s="87">
        <f t="shared" si="247"/>
        <v>1790.4819451941344</v>
      </c>
      <c r="R524" s="87">
        <f t="shared" si="236"/>
        <v>1924.6220501347359</v>
      </c>
      <c r="S524" s="87">
        <f t="shared" si="237"/>
        <v>1989.727090979279</v>
      </c>
      <c r="T524" s="87">
        <f t="shared" si="238"/>
        <v>2065.8048915167215</v>
      </c>
      <c r="U524" s="87">
        <f t="shared" si="239"/>
        <v>2070.9255127067418</v>
      </c>
      <c r="V524" s="87">
        <f t="shared" si="240"/>
        <v>2073.1200646453221</v>
      </c>
      <c r="W524" s="87">
        <f t="shared" si="241"/>
        <v>2075.3146165839021</v>
      </c>
      <c r="X524" s="87">
        <f t="shared" si="242"/>
        <v>2075.3146165839021</v>
      </c>
      <c r="Y524" s="87">
        <f t="shared" si="243"/>
        <v>2075.3146165839021</v>
      </c>
      <c r="Z524" s="87">
        <f t="shared" si="244"/>
        <v>2075.3146165839021</v>
      </c>
      <c r="AA524" s="88">
        <v>450</v>
      </c>
      <c r="AB524" s="89">
        <f>AA524*GDPdeflator!$C$25/$AI$18*10^3</f>
        <v>43.267274341798768</v>
      </c>
      <c r="AC524" s="90" t="e">
        <f>INDEX(Efficiencies!$D$8:$M$89,MATCH(C524,Efficiencies!$C$8:$C$89),MATCH(D524,Efficiencies!$D$7:$M$7))</f>
        <v>#REF!</v>
      </c>
      <c r="AD524" s="90" t="e">
        <f t="shared" si="249"/>
        <v>#REF!</v>
      </c>
      <c r="AE524" s="90" t="e">
        <f>INDEX(Efficiencies!$P$8:$Y$89,MATCH(C524,Efficiencies!$C$8:$C$89),MATCH(D524,Efficiencies!$P$7:$Y$7))</f>
        <v>#REF!</v>
      </c>
      <c r="AF524" s="90" t="e">
        <f t="shared" si="234"/>
        <v>#REF!</v>
      </c>
      <c r="AG524" s="90">
        <v>0</v>
      </c>
    </row>
    <row r="525" spans="1:33" x14ac:dyDescent="0.2">
      <c r="A525" s="92" t="s">
        <v>1868</v>
      </c>
      <c r="B525" s="248" t="s">
        <v>1869</v>
      </c>
      <c r="C525" s="40" t="s">
        <v>1865</v>
      </c>
      <c r="D525" s="40">
        <v>2020</v>
      </c>
      <c r="E525" s="86">
        <f>GDPdeflator!$C$32*INDEX(Costs!$E$7:$O$89,MATCH($C525,Costs!$C$7:$C$89,0),MATCH(E$7,Costs!$E$6:$O$6,0))</f>
        <v>0</v>
      </c>
      <c r="F525" s="86">
        <f>GDPdeflator!$C$36*INDEX(Costs!$E$7:$O$89,MATCH($C525,Costs!$C$7:$C$89,0),MATCH(F$7,Costs!$E$6:$O$6,0))</f>
        <v>21.443373276871792</v>
      </c>
      <c r="G525" s="86">
        <f>GDPdeflator!$C$38*INDEX(Costs!$E$7:$O$89,MATCH($C525,Costs!$C$7:$C$89,0),MATCH(G$7,Costs!$E$6:$O$6,0))</f>
        <v>23.049877240433513</v>
      </c>
      <c r="H525" s="86">
        <f>GDPdeflator!$C$38*INDEX(Costs!$E$7:$O$89,MATCH($C525,Costs!$C$7:$C$89,0),MATCH(H$7,Costs!$E$6:$O$6,0))</f>
        <v>23.829595626749967</v>
      </c>
      <c r="I525" s="86">
        <f>GDPdeflator!$C$38*INDEX(Costs!$E$7:$O$89,MATCH($C525,Costs!$C$7:$C$89,0),MATCH(I$7,Costs!$E$6:$O$6,0))</f>
        <v>24.740727224243347</v>
      </c>
      <c r="J525" s="86">
        <f>GDPdeflator!$C$38*INDEX(Costs!$E$7:$O$89,MATCH($C525,Costs!$C$7:$C$89,0),MATCH(J$7,Costs!$E$6:$O$6,0))</f>
        <v>24.802053389459246</v>
      </c>
      <c r="K525" s="86">
        <f>GDPdeflator!$C$38*INDEX(Costs!$E$7:$O$89,MATCH($C525,Costs!$C$7:$C$89,0),MATCH(K$7,Costs!$E$6:$O$6,0))</f>
        <v>24.828336031694633</v>
      </c>
      <c r="L525" s="86">
        <f>GDPdeflator!$C$38*INDEX(Costs!$E$7:$O$89,MATCH($C525,Costs!$C$7:$C$89,0),MATCH(L$7,Costs!$E$6:$O$6,0))</f>
        <v>24.85461867393002</v>
      </c>
      <c r="M525" s="86">
        <f>GDPdeflator!$C$38*INDEX(Costs!$E$7:$O$89,MATCH($C525,Costs!$C$7:$C$89,0),MATCH(M$7,Costs!$E$6:$O$6,0))</f>
        <v>24.85461867393002</v>
      </c>
      <c r="N525" s="86">
        <f>GDPdeflator!$C$38*INDEX(Costs!$E$7:$O$89,MATCH($C525,Costs!$C$7:$C$89,0),MATCH(N$7,Costs!$E$6:$O$6,0))</f>
        <v>24.85461867393002</v>
      </c>
      <c r="O525" s="86">
        <f>GDPdeflator!$C$38*INDEX(Costs!$E$7:$O$89,MATCH($C525,Costs!$C$7:$C$89,0),MATCH(O$7,Costs!$E$6:$O$6,0))</f>
        <v>24.85461867393002</v>
      </c>
      <c r="P525" s="87">
        <f t="shared" si="250"/>
        <v>0</v>
      </c>
      <c r="Q525" s="87">
        <f t="shared" si="247"/>
        <v>1790.4819451941344</v>
      </c>
      <c r="R525" s="87">
        <f t="shared" si="236"/>
        <v>1924.6220501347359</v>
      </c>
      <c r="S525" s="87">
        <f t="shared" si="237"/>
        <v>1989.727090979279</v>
      </c>
      <c r="T525" s="87">
        <f t="shared" si="238"/>
        <v>2065.8048915167215</v>
      </c>
      <c r="U525" s="87">
        <f t="shared" si="239"/>
        <v>2070.9255127067418</v>
      </c>
      <c r="V525" s="87">
        <f t="shared" si="240"/>
        <v>2073.1200646453221</v>
      </c>
      <c r="W525" s="87">
        <f t="shared" si="241"/>
        <v>2075.3146165839021</v>
      </c>
      <c r="X525" s="87">
        <f t="shared" si="242"/>
        <v>2075.3146165839021</v>
      </c>
      <c r="Y525" s="87">
        <f t="shared" si="243"/>
        <v>2075.3146165839021</v>
      </c>
      <c r="Z525" s="87">
        <f t="shared" si="244"/>
        <v>2075.3146165839021</v>
      </c>
      <c r="AA525" s="88">
        <v>450</v>
      </c>
      <c r="AB525" s="89">
        <f>AA525*GDPdeflator!$C$25/$AI$18*10^3</f>
        <v>43.267274341798768</v>
      </c>
      <c r="AC525" s="90" t="e">
        <f>INDEX(Efficiencies!$D$8:$M$89,MATCH(C525,Efficiencies!$C$8:$C$89),MATCH(D525,Efficiencies!$D$7:$M$7))</f>
        <v>#REF!</v>
      </c>
      <c r="AD525" s="90" t="e">
        <f t="shared" si="249"/>
        <v>#REF!</v>
      </c>
      <c r="AE525" s="90" t="e">
        <f>INDEX(Efficiencies!$P$8:$Y$89,MATCH(C525,Efficiencies!$C$8:$C$89),MATCH(D525,Efficiencies!$P$7:$Y$7))</f>
        <v>#REF!</v>
      </c>
      <c r="AF525" s="90" t="e">
        <f t="shared" si="234"/>
        <v>#REF!</v>
      </c>
      <c r="AG525" s="90">
        <v>0</v>
      </c>
    </row>
    <row r="526" spans="1:33" x14ac:dyDescent="0.2">
      <c r="A526" s="92" t="s">
        <v>1870</v>
      </c>
      <c r="B526" s="248" t="s">
        <v>1871</v>
      </c>
      <c r="C526" s="40" t="s">
        <v>1865</v>
      </c>
      <c r="D526" s="40">
        <v>2025</v>
      </c>
      <c r="E526" s="86">
        <f>GDPdeflator!$C$32*INDEX(Costs!$E$7:$O$89,MATCH($C526,Costs!$C$7:$C$89,0),MATCH(E$7,Costs!$E$6:$O$6,0))</f>
        <v>0</v>
      </c>
      <c r="F526" s="86">
        <f>GDPdeflator!$C$36*INDEX(Costs!$E$7:$O$89,MATCH($C526,Costs!$C$7:$C$89,0),MATCH(F$7,Costs!$E$6:$O$6,0))</f>
        <v>21.443373276871792</v>
      </c>
      <c r="G526" s="86">
        <f>GDPdeflator!$C$38*INDEX(Costs!$E$7:$O$89,MATCH($C526,Costs!$C$7:$C$89,0),MATCH(G$7,Costs!$E$6:$O$6,0))</f>
        <v>23.049877240433513</v>
      </c>
      <c r="H526" s="86">
        <f>GDPdeflator!$C$38*INDEX(Costs!$E$7:$O$89,MATCH($C526,Costs!$C$7:$C$89,0),MATCH(H$7,Costs!$E$6:$O$6,0))</f>
        <v>23.829595626749967</v>
      </c>
      <c r="I526" s="86">
        <f>GDPdeflator!$C$38*INDEX(Costs!$E$7:$O$89,MATCH($C526,Costs!$C$7:$C$89,0),MATCH(I$7,Costs!$E$6:$O$6,0))</f>
        <v>24.740727224243347</v>
      </c>
      <c r="J526" s="86">
        <f>GDPdeflator!$C$38*INDEX(Costs!$E$7:$O$89,MATCH($C526,Costs!$C$7:$C$89,0),MATCH(J$7,Costs!$E$6:$O$6,0))</f>
        <v>24.802053389459246</v>
      </c>
      <c r="K526" s="86">
        <f>GDPdeflator!$C$38*INDEX(Costs!$E$7:$O$89,MATCH($C526,Costs!$C$7:$C$89,0),MATCH(K$7,Costs!$E$6:$O$6,0))</f>
        <v>24.828336031694633</v>
      </c>
      <c r="L526" s="86">
        <f>GDPdeflator!$C$38*INDEX(Costs!$E$7:$O$89,MATCH($C526,Costs!$C$7:$C$89,0),MATCH(L$7,Costs!$E$6:$O$6,0))</f>
        <v>24.85461867393002</v>
      </c>
      <c r="M526" s="86">
        <f>GDPdeflator!$C$38*INDEX(Costs!$E$7:$O$89,MATCH($C526,Costs!$C$7:$C$89,0),MATCH(M$7,Costs!$E$6:$O$6,0))</f>
        <v>24.85461867393002</v>
      </c>
      <c r="N526" s="86">
        <f>GDPdeflator!$C$38*INDEX(Costs!$E$7:$O$89,MATCH($C526,Costs!$C$7:$C$89,0),MATCH(N$7,Costs!$E$6:$O$6,0))</f>
        <v>24.85461867393002</v>
      </c>
      <c r="O526" s="86">
        <f>GDPdeflator!$C$38*INDEX(Costs!$E$7:$O$89,MATCH($C526,Costs!$C$7:$C$89,0),MATCH(O$7,Costs!$E$6:$O$6,0))</f>
        <v>24.85461867393002</v>
      </c>
      <c r="P526" s="87">
        <f t="shared" si="250"/>
        <v>0</v>
      </c>
      <c r="Q526" s="87">
        <f t="shared" si="247"/>
        <v>1790.4819451941344</v>
      </c>
      <c r="R526" s="87">
        <f t="shared" si="236"/>
        <v>1924.6220501347359</v>
      </c>
      <c r="S526" s="87">
        <f t="shared" si="237"/>
        <v>1989.727090979279</v>
      </c>
      <c r="T526" s="87">
        <f t="shared" si="238"/>
        <v>2065.8048915167215</v>
      </c>
      <c r="U526" s="87">
        <f t="shared" si="239"/>
        <v>2070.9255127067418</v>
      </c>
      <c r="V526" s="87">
        <f t="shared" si="240"/>
        <v>2073.1200646453221</v>
      </c>
      <c r="W526" s="87">
        <f t="shared" si="241"/>
        <v>2075.3146165839021</v>
      </c>
      <c r="X526" s="87">
        <f t="shared" si="242"/>
        <v>2075.3146165839021</v>
      </c>
      <c r="Y526" s="87">
        <f t="shared" si="243"/>
        <v>2075.3146165839021</v>
      </c>
      <c r="Z526" s="87">
        <f t="shared" si="244"/>
        <v>2075.3146165839021</v>
      </c>
      <c r="AA526" s="88">
        <v>450</v>
      </c>
      <c r="AB526" s="89">
        <f>AA526*GDPdeflator!$C$25/$AI$18*10^3</f>
        <v>43.267274341798768</v>
      </c>
      <c r="AC526" s="90" t="e">
        <f>INDEX(Efficiencies!$D$8:$M$89,MATCH(C526,Efficiencies!$C$8:$C$89),MATCH(D526,Efficiencies!$D$7:$M$7))</f>
        <v>#REF!</v>
      </c>
      <c r="AD526" s="90" t="e">
        <f t="shared" si="249"/>
        <v>#REF!</v>
      </c>
      <c r="AE526" s="90" t="e">
        <f>INDEX(Efficiencies!$P$8:$Y$89,MATCH(C526,Efficiencies!$C$8:$C$89),MATCH(D526,Efficiencies!$P$7:$Y$7))</f>
        <v>#REF!</v>
      </c>
      <c r="AF526" s="90" t="e">
        <f t="shared" si="234"/>
        <v>#REF!</v>
      </c>
      <c r="AG526" s="90">
        <v>0</v>
      </c>
    </row>
    <row r="527" spans="1:33" x14ac:dyDescent="0.2">
      <c r="A527" s="92" t="s">
        <v>1872</v>
      </c>
      <c r="B527" s="248" t="s">
        <v>1873</v>
      </c>
      <c r="C527" s="40" t="s">
        <v>1865</v>
      </c>
      <c r="D527" s="40">
        <v>2030</v>
      </c>
      <c r="E527" s="86">
        <f>GDPdeflator!$C$32*INDEX(Costs!$E$7:$O$89,MATCH($C527,Costs!$C$7:$C$89,0),MATCH(E$7,Costs!$E$6:$O$6,0))</f>
        <v>0</v>
      </c>
      <c r="F527" s="86">
        <f>GDPdeflator!$C$36*INDEX(Costs!$E$7:$O$89,MATCH($C527,Costs!$C$7:$C$89,0),MATCH(F$7,Costs!$E$6:$O$6,0))</f>
        <v>21.443373276871792</v>
      </c>
      <c r="G527" s="86">
        <f>GDPdeflator!$C$38*INDEX(Costs!$E$7:$O$89,MATCH($C527,Costs!$C$7:$C$89,0),MATCH(G$7,Costs!$E$6:$O$6,0))</f>
        <v>23.049877240433513</v>
      </c>
      <c r="H527" s="86">
        <f>GDPdeflator!$C$38*INDEX(Costs!$E$7:$O$89,MATCH($C527,Costs!$C$7:$C$89,0),MATCH(H$7,Costs!$E$6:$O$6,0))</f>
        <v>23.829595626749967</v>
      </c>
      <c r="I527" s="86">
        <f>GDPdeflator!$C$38*INDEX(Costs!$E$7:$O$89,MATCH($C527,Costs!$C$7:$C$89,0),MATCH(I$7,Costs!$E$6:$O$6,0))</f>
        <v>24.740727224243347</v>
      </c>
      <c r="J527" s="86">
        <f>GDPdeflator!$C$38*INDEX(Costs!$E$7:$O$89,MATCH($C527,Costs!$C$7:$C$89,0),MATCH(J$7,Costs!$E$6:$O$6,0))</f>
        <v>24.802053389459246</v>
      </c>
      <c r="K527" s="86">
        <f>GDPdeflator!$C$38*INDEX(Costs!$E$7:$O$89,MATCH($C527,Costs!$C$7:$C$89,0),MATCH(K$7,Costs!$E$6:$O$6,0))</f>
        <v>24.828336031694633</v>
      </c>
      <c r="L527" s="86">
        <f>GDPdeflator!$C$38*INDEX(Costs!$E$7:$O$89,MATCH($C527,Costs!$C$7:$C$89,0),MATCH(L$7,Costs!$E$6:$O$6,0))</f>
        <v>24.85461867393002</v>
      </c>
      <c r="M527" s="86">
        <f>GDPdeflator!$C$38*INDEX(Costs!$E$7:$O$89,MATCH($C527,Costs!$C$7:$C$89,0),MATCH(M$7,Costs!$E$6:$O$6,0))</f>
        <v>24.85461867393002</v>
      </c>
      <c r="N527" s="86">
        <f>GDPdeflator!$C$38*INDEX(Costs!$E$7:$O$89,MATCH($C527,Costs!$C$7:$C$89,0),MATCH(N$7,Costs!$E$6:$O$6,0))</f>
        <v>24.85461867393002</v>
      </c>
      <c r="O527" s="86">
        <f>GDPdeflator!$C$38*INDEX(Costs!$E$7:$O$89,MATCH($C527,Costs!$C$7:$C$89,0),MATCH(O$7,Costs!$E$6:$O$6,0))</f>
        <v>24.85461867393002</v>
      </c>
      <c r="P527" s="87">
        <f t="shared" si="250"/>
        <v>0</v>
      </c>
      <c r="Q527" s="87">
        <f t="shared" si="247"/>
        <v>1790.4819451941344</v>
      </c>
      <c r="R527" s="87">
        <f t="shared" si="236"/>
        <v>1924.6220501347359</v>
      </c>
      <c r="S527" s="87">
        <f t="shared" si="237"/>
        <v>1989.727090979279</v>
      </c>
      <c r="T527" s="87">
        <f t="shared" si="238"/>
        <v>2065.8048915167215</v>
      </c>
      <c r="U527" s="87">
        <f t="shared" si="239"/>
        <v>2070.9255127067418</v>
      </c>
      <c r="V527" s="87">
        <f t="shared" si="240"/>
        <v>2073.1200646453221</v>
      </c>
      <c r="W527" s="87">
        <f t="shared" si="241"/>
        <v>2075.3146165839021</v>
      </c>
      <c r="X527" s="87">
        <f t="shared" si="242"/>
        <v>2075.3146165839021</v>
      </c>
      <c r="Y527" s="87">
        <f t="shared" si="243"/>
        <v>2075.3146165839021</v>
      </c>
      <c r="Z527" s="87">
        <f t="shared" si="244"/>
        <v>2075.3146165839021</v>
      </c>
      <c r="AA527" s="88">
        <v>450</v>
      </c>
      <c r="AB527" s="89">
        <f>AA527*GDPdeflator!$C$25/$AI$18*10^3</f>
        <v>43.267274341798768</v>
      </c>
      <c r="AC527" s="90" t="e">
        <f>INDEX(Efficiencies!$D$8:$M$89,MATCH(C527,Efficiencies!$C$8:$C$89),MATCH(D527,Efficiencies!$D$7:$M$7))</f>
        <v>#REF!</v>
      </c>
      <c r="AD527" s="90" t="e">
        <f t="shared" si="249"/>
        <v>#REF!</v>
      </c>
      <c r="AE527" s="90" t="e">
        <f>INDEX(Efficiencies!$P$8:$Y$89,MATCH(C527,Efficiencies!$C$8:$C$89),MATCH(D527,Efficiencies!$P$7:$Y$7))</f>
        <v>#REF!</v>
      </c>
      <c r="AF527" s="90" t="e">
        <f t="shared" si="234"/>
        <v>#REF!</v>
      </c>
      <c r="AG527" s="90">
        <v>0</v>
      </c>
    </row>
    <row r="528" spans="1:33" x14ac:dyDescent="0.2">
      <c r="A528" s="92" t="s">
        <v>1874</v>
      </c>
      <c r="B528" s="248" t="s">
        <v>1875</v>
      </c>
      <c r="C528" s="40" t="s">
        <v>1865</v>
      </c>
      <c r="D528" s="40">
        <v>2035</v>
      </c>
      <c r="E528" s="86">
        <f>GDPdeflator!$C$32*INDEX(Costs!$E$7:$O$89,MATCH($C528,Costs!$C$7:$C$89,0),MATCH(E$7,Costs!$E$6:$O$6,0))</f>
        <v>0</v>
      </c>
      <c r="F528" s="86">
        <f>GDPdeflator!$C$36*INDEX(Costs!$E$7:$O$89,MATCH($C528,Costs!$C$7:$C$89,0),MATCH(F$7,Costs!$E$6:$O$6,0))</f>
        <v>21.443373276871792</v>
      </c>
      <c r="G528" s="86">
        <f>GDPdeflator!$C$38*INDEX(Costs!$E$7:$O$89,MATCH($C528,Costs!$C$7:$C$89,0),MATCH(G$7,Costs!$E$6:$O$6,0))</f>
        <v>23.049877240433513</v>
      </c>
      <c r="H528" s="86">
        <f>GDPdeflator!$C$38*INDEX(Costs!$E$7:$O$89,MATCH($C528,Costs!$C$7:$C$89,0),MATCH(H$7,Costs!$E$6:$O$6,0))</f>
        <v>23.829595626749967</v>
      </c>
      <c r="I528" s="86">
        <f>GDPdeflator!$C$38*INDEX(Costs!$E$7:$O$89,MATCH($C528,Costs!$C$7:$C$89,0),MATCH(I$7,Costs!$E$6:$O$6,0))</f>
        <v>24.740727224243347</v>
      </c>
      <c r="J528" s="86">
        <f>GDPdeflator!$C$38*INDEX(Costs!$E$7:$O$89,MATCH($C528,Costs!$C$7:$C$89,0),MATCH(J$7,Costs!$E$6:$O$6,0))</f>
        <v>24.802053389459246</v>
      </c>
      <c r="K528" s="86">
        <f>GDPdeflator!$C$38*INDEX(Costs!$E$7:$O$89,MATCH($C528,Costs!$C$7:$C$89,0),MATCH(K$7,Costs!$E$6:$O$6,0))</f>
        <v>24.828336031694633</v>
      </c>
      <c r="L528" s="86">
        <f>GDPdeflator!$C$38*INDEX(Costs!$E$7:$O$89,MATCH($C528,Costs!$C$7:$C$89,0),MATCH(L$7,Costs!$E$6:$O$6,0))</f>
        <v>24.85461867393002</v>
      </c>
      <c r="M528" s="86">
        <f>GDPdeflator!$C$38*INDEX(Costs!$E$7:$O$89,MATCH($C528,Costs!$C$7:$C$89,0),MATCH(M$7,Costs!$E$6:$O$6,0))</f>
        <v>24.85461867393002</v>
      </c>
      <c r="N528" s="86">
        <f>GDPdeflator!$C$38*INDEX(Costs!$E$7:$O$89,MATCH($C528,Costs!$C$7:$C$89,0),MATCH(N$7,Costs!$E$6:$O$6,0))</f>
        <v>24.85461867393002</v>
      </c>
      <c r="O528" s="86">
        <f>GDPdeflator!$C$38*INDEX(Costs!$E$7:$O$89,MATCH($C528,Costs!$C$7:$C$89,0),MATCH(O$7,Costs!$E$6:$O$6,0))</f>
        <v>24.85461867393002</v>
      </c>
      <c r="P528" s="87">
        <f t="shared" si="250"/>
        <v>0</v>
      </c>
      <c r="Q528" s="87">
        <f t="shared" si="247"/>
        <v>1790.4819451941344</v>
      </c>
      <c r="R528" s="87">
        <f t="shared" si="236"/>
        <v>1924.6220501347359</v>
      </c>
      <c r="S528" s="87">
        <f t="shared" si="237"/>
        <v>1989.727090979279</v>
      </c>
      <c r="T528" s="87">
        <f t="shared" si="238"/>
        <v>2065.8048915167215</v>
      </c>
      <c r="U528" s="87">
        <f t="shared" si="239"/>
        <v>2070.9255127067418</v>
      </c>
      <c r="V528" s="87">
        <f t="shared" si="240"/>
        <v>2073.1200646453221</v>
      </c>
      <c r="W528" s="87">
        <f t="shared" si="241"/>
        <v>2075.3146165839021</v>
      </c>
      <c r="X528" s="87">
        <f t="shared" si="242"/>
        <v>2075.3146165839021</v>
      </c>
      <c r="Y528" s="87">
        <f t="shared" si="243"/>
        <v>2075.3146165839021</v>
      </c>
      <c r="Z528" s="87">
        <f t="shared" si="244"/>
        <v>2075.3146165839021</v>
      </c>
      <c r="AA528" s="88">
        <v>450</v>
      </c>
      <c r="AB528" s="89">
        <f>AA528*GDPdeflator!$C$25/$AI$18*10^3</f>
        <v>43.267274341798768</v>
      </c>
      <c r="AC528" s="90" t="e">
        <f>INDEX(Efficiencies!$D$8:$M$89,MATCH(C528,Efficiencies!$C$8:$C$89),MATCH(D528,Efficiencies!$D$7:$M$7))</f>
        <v>#REF!</v>
      </c>
      <c r="AD528" s="90" t="e">
        <f t="shared" si="249"/>
        <v>#REF!</v>
      </c>
      <c r="AE528" s="90" t="e">
        <f>INDEX(Efficiencies!$P$8:$Y$89,MATCH(C528,Efficiencies!$C$8:$C$89),MATCH(D528,Efficiencies!$P$7:$Y$7))</f>
        <v>#REF!</v>
      </c>
      <c r="AF528" s="90" t="e">
        <f t="shared" si="234"/>
        <v>#REF!</v>
      </c>
      <c r="AG528" s="90">
        <v>0</v>
      </c>
    </row>
    <row r="529" spans="1:33" x14ac:dyDescent="0.2">
      <c r="A529" s="92" t="s">
        <v>1876</v>
      </c>
      <c r="B529" s="248" t="s">
        <v>1877</v>
      </c>
      <c r="C529" s="40" t="s">
        <v>1865</v>
      </c>
      <c r="D529" s="40">
        <v>2040</v>
      </c>
      <c r="E529" s="86">
        <f>GDPdeflator!$C$32*INDEX(Costs!$E$7:$O$89,MATCH($C529,Costs!$C$7:$C$89,0),MATCH(E$7,Costs!$E$6:$O$6,0))</f>
        <v>0</v>
      </c>
      <c r="F529" s="86">
        <f>GDPdeflator!$C$36*INDEX(Costs!$E$7:$O$89,MATCH($C529,Costs!$C$7:$C$89,0),MATCH(F$7,Costs!$E$6:$O$6,0))</f>
        <v>21.443373276871792</v>
      </c>
      <c r="G529" s="86">
        <f>GDPdeflator!$C$38*INDEX(Costs!$E$7:$O$89,MATCH($C529,Costs!$C$7:$C$89,0),MATCH(G$7,Costs!$E$6:$O$6,0))</f>
        <v>23.049877240433513</v>
      </c>
      <c r="H529" s="86">
        <f>GDPdeflator!$C$38*INDEX(Costs!$E$7:$O$89,MATCH($C529,Costs!$C$7:$C$89,0),MATCH(H$7,Costs!$E$6:$O$6,0))</f>
        <v>23.829595626749967</v>
      </c>
      <c r="I529" s="86">
        <f>GDPdeflator!$C$38*INDEX(Costs!$E$7:$O$89,MATCH($C529,Costs!$C$7:$C$89,0),MATCH(I$7,Costs!$E$6:$O$6,0))</f>
        <v>24.740727224243347</v>
      </c>
      <c r="J529" s="86">
        <f>GDPdeflator!$C$38*INDEX(Costs!$E$7:$O$89,MATCH($C529,Costs!$C$7:$C$89,0),MATCH(J$7,Costs!$E$6:$O$6,0))</f>
        <v>24.802053389459246</v>
      </c>
      <c r="K529" s="86">
        <f>GDPdeflator!$C$38*INDEX(Costs!$E$7:$O$89,MATCH($C529,Costs!$C$7:$C$89,0),MATCH(K$7,Costs!$E$6:$O$6,0))</f>
        <v>24.828336031694633</v>
      </c>
      <c r="L529" s="86">
        <f>GDPdeflator!$C$38*INDEX(Costs!$E$7:$O$89,MATCH($C529,Costs!$C$7:$C$89,0),MATCH(L$7,Costs!$E$6:$O$6,0))</f>
        <v>24.85461867393002</v>
      </c>
      <c r="M529" s="86">
        <f>GDPdeflator!$C$38*INDEX(Costs!$E$7:$O$89,MATCH($C529,Costs!$C$7:$C$89,0),MATCH(M$7,Costs!$E$6:$O$6,0))</f>
        <v>24.85461867393002</v>
      </c>
      <c r="N529" s="86">
        <f>GDPdeflator!$C$38*INDEX(Costs!$E$7:$O$89,MATCH($C529,Costs!$C$7:$C$89,0),MATCH(N$7,Costs!$E$6:$O$6,0))</f>
        <v>24.85461867393002</v>
      </c>
      <c r="O529" s="86">
        <f>GDPdeflator!$C$38*INDEX(Costs!$E$7:$O$89,MATCH($C529,Costs!$C$7:$C$89,0),MATCH(O$7,Costs!$E$6:$O$6,0))</f>
        <v>24.85461867393002</v>
      </c>
      <c r="P529" s="87">
        <f t="shared" si="250"/>
        <v>0</v>
      </c>
      <c r="Q529" s="87">
        <f t="shared" si="247"/>
        <v>1790.4819451941344</v>
      </c>
      <c r="R529" s="87">
        <f t="shared" si="236"/>
        <v>1924.6220501347359</v>
      </c>
      <c r="S529" s="87">
        <f t="shared" si="237"/>
        <v>1989.727090979279</v>
      </c>
      <c r="T529" s="87">
        <f t="shared" si="238"/>
        <v>2065.8048915167215</v>
      </c>
      <c r="U529" s="87">
        <f t="shared" si="239"/>
        <v>2070.9255127067418</v>
      </c>
      <c r="V529" s="87">
        <f t="shared" si="240"/>
        <v>2073.1200646453221</v>
      </c>
      <c r="W529" s="87">
        <f t="shared" si="241"/>
        <v>2075.3146165839021</v>
      </c>
      <c r="X529" s="87">
        <f t="shared" si="242"/>
        <v>2075.3146165839021</v>
      </c>
      <c r="Y529" s="87">
        <f t="shared" si="243"/>
        <v>2075.3146165839021</v>
      </c>
      <c r="Z529" s="87">
        <f t="shared" si="244"/>
        <v>2075.3146165839021</v>
      </c>
      <c r="AA529" s="88">
        <v>450</v>
      </c>
      <c r="AB529" s="89">
        <f>AA529*GDPdeflator!$C$25/$AI$18*10^3</f>
        <v>43.267274341798768</v>
      </c>
      <c r="AC529" s="90" t="e">
        <f>INDEX(Efficiencies!$D$8:$M$89,MATCH(C529,Efficiencies!$C$8:$C$89),MATCH(D529,Efficiencies!$D$7:$M$7))</f>
        <v>#REF!</v>
      </c>
      <c r="AD529" s="90" t="e">
        <f t="shared" si="249"/>
        <v>#REF!</v>
      </c>
      <c r="AE529" s="90" t="e">
        <f>INDEX(Efficiencies!$P$8:$Y$89,MATCH(C529,Efficiencies!$C$8:$C$89),MATCH(D529,Efficiencies!$P$7:$Y$7))</f>
        <v>#REF!</v>
      </c>
      <c r="AF529" s="90" t="e">
        <f t="shared" si="234"/>
        <v>#REF!</v>
      </c>
      <c r="AG529" s="90">
        <v>0</v>
      </c>
    </row>
    <row r="530" spans="1:33" x14ac:dyDescent="0.2">
      <c r="A530" s="92" t="s">
        <v>1878</v>
      </c>
      <c r="B530" s="248" t="s">
        <v>1879</v>
      </c>
      <c r="C530" s="40" t="s">
        <v>1865</v>
      </c>
      <c r="D530" s="40">
        <v>2045</v>
      </c>
      <c r="E530" s="86">
        <f>GDPdeflator!$C$32*INDEX(Costs!$E$7:$O$89,MATCH($C530,Costs!$C$7:$C$89,0),MATCH(E$7,Costs!$E$6:$O$6,0))</f>
        <v>0</v>
      </c>
      <c r="F530" s="86">
        <f>GDPdeflator!$C$36*INDEX(Costs!$E$7:$O$89,MATCH($C530,Costs!$C$7:$C$89,0),MATCH(F$7,Costs!$E$6:$O$6,0))</f>
        <v>21.443373276871792</v>
      </c>
      <c r="G530" s="86">
        <f>GDPdeflator!$C$38*INDEX(Costs!$E$7:$O$89,MATCH($C530,Costs!$C$7:$C$89,0),MATCH(G$7,Costs!$E$6:$O$6,0))</f>
        <v>23.049877240433513</v>
      </c>
      <c r="H530" s="86">
        <f>GDPdeflator!$C$38*INDEX(Costs!$E$7:$O$89,MATCH($C530,Costs!$C$7:$C$89,0),MATCH(H$7,Costs!$E$6:$O$6,0))</f>
        <v>23.829595626749967</v>
      </c>
      <c r="I530" s="86">
        <f>GDPdeflator!$C$38*INDEX(Costs!$E$7:$O$89,MATCH($C530,Costs!$C$7:$C$89,0),MATCH(I$7,Costs!$E$6:$O$6,0))</f>
        <v>24.740727224243347</v>
      </c>
      <c r="J530" s="86">
        <f>GDPdeflator!$C$38*INDEX(Costs!$E$7:$O$89,MATCH($C530,Costs!$C$7:$C$89,0),MATCH(J$7,Costs!$E$6:$O$6,0))</f>
        <v>24.802053389459246</v>
      </c>
      <c r="K530" s="86">
        <f>GDPdeflator!$C$38*INDEX(Costs!$E$7:$O$89,MATCH($C530,Costs!$C$7:$C$89,0),MATCH(K$7,Costs!$E$6:$O$6,0))</f>
        <v>24.828336031694633</v>
      </c>
      <c r="L530" s="86">
        <f>GDPdeflator!$C$38*INDEX(Costs!$E$7:$O$89,MATCH($C530,Costs!$C$7:$C$89,0),MATCH(L$7,Costs!$E$6:$O$6,0))</f>
        <v>24.85461867393002</v>
      </c>
      <c r="M530" s="86">
        <f>GDPdeflator!$C$38*INDEX(Costs!$E$7:$O$89,MATCH($C530,Costs!$C$7:$C$89,0),MATCH(M$7,Costs!$E$6:$O$6,0))</f>
        <v>24.85461867393002</v>
      </c>
      <c r="N530" s="86">
        <f>GDPdeflator!$C$38*INDEX(Costs!$E$7:$O$89,MATCH($C530,Costs!$C$7:$C$89,0),MATCH(N$7,Costs!$E$6:$O$6,0))</f>
        <v>24.85461867393002</v>
      </c>
      <c r="O530" s="86">
        <f>GDPdeflator!$C$38*INDEX(Costs!$E$7:$O$89,MATCH($C530,Costs!$C$7:$C$89,0),MATCH(O$7,Costs!$E$6:$O$6,0))</f>
        <v>24.85461867393002</v>
      </c>
      <c r="P530" s="87">
        <f t="shared" si="250"/>
        <v>0</v>
      </c>
      <c r="Q530" s="87">
        <f t="shared" si="247"/>
        <v>1790.4819451941344</v>
      </c>
      <c r="R530" s="87">
        <f t="shared" si="236"/>
        <v>1924.6220501347359</v>
      </c>
      <c r="S530" s="87">
        <f t="shared" si="237"/>
        <v>1989.727090979279</v>
      </c>
      <c r="T530" s="87">
        <f t="shared" si="238"/>
        <v>2065.8048915167215</v>
      </c>
      <c r="U530" s="87">
        <f t="shared" si="239"/>
        <v>2070.9255127067418</v>
      </c>
      <c r="V530" s="87">
        <f t="shared" si="240"/>
        <v>2073.1200646453221</v>
      </c>
      <c r="W530" s="87">
        <f t="shared" si="241"/>
        <v>2075.3146165839021</v>
      </c>
      <c r="X530" s="87">
        <f t="shared" si="242"/>
        <v>2075.3146165839021</v>
      </c>
      <c r="Y530" s="87">
        <f t="shared" si="243"/>
        <v>2075.3146165839021</v>
      </c>
      <c r="Z530" s="87">
        <f t="shared" si="244"/>
        <v>2075.3146165839021</v>
      </c>
      <c r="AA530" s="88">
        <v>450</v>
      </c>
      <c r="AB530" s="89">
        <f>AA530*GDPdeflator!$C$25/$AI$18*10^3</f>
        <v>43.267274341798768</v>
      </c>
      <c r="AC530" s="90" t="e">
        <f>INDEX(Efficiencies!$D$8:$M$89,MATCH(C530,Efficiencies!$C$8:$C$89),MATCH(D530,Efficiencies!$D$7:$M$7))</f>
        <v>#REF!</v>
      </c>
      <c r="AD530" s="90" t="e">
        <f t="shared" si="249"/>
        <v>#REF!</v>
      </c>
      <c r="AE530" s="90" t="e">
        <f>INDEX(Efficiencies!$P$8:$Y$89,MATCH(C530,Efficiencies!$C$8:$C$89),MATCH(D530,Efficiencies!$P$7:$Y$7))</f>
        <v>#REF!</v>
      </c>
      <c r="AF530" s="90" t="e">
        <f t="shared" si="234"/>
        <v>#REF!</v>
      </c>
      <c r="AG530" s="90">
        <v>0</v>
      </c>
    </row>
    <row r="531" spans="1:33" x14ac:dyDescent="0.2">
      <c r="A531" s="92" t="s">
        <v>1880</v>
      </c>
      <c r="B531" s="248" t="s">
        <v>1881</v>
      </c>
      <c r="C531" s="40" t="s">
        <v>1865</v>
      </c>
      <c r="D531" s="40">
        <v>2050</v>
      </c>
      <c r="E531" s="86">
        <f>GDPdeflator!$C$32*INDEX(Costs!$E$7:$O$89,MATCH($C531,Costs!$C$7:$C$89,0),MATCH(E$7,Costs!$E$6:$O$6,0))</f>
        <v>0</v>
      </c>
      <c r="F531" s="86">
        <f>GDPdeflator!$C$36*INDEX(Costs!$E$7:$O$89,MATCH($C531,Costs!$C$7:$C$89,0),MATCH(F$7,Costs!$E$6:$O$6,0))</f>
        <v>21.443373276871792</v>
      </c>
      <c r="G531" s="86">
        <f>GDPdeflator!$C$38*INDEX(Costs!$E$7:$O$89,MATCH($C531,Costs!$C$7:$C$89,0),MATCH(G$7,Costs!$E$6:$O$6,0))</f>
        <v>23.049877240433513</v>
      </c>
      <c r="H531" s="86">
        <f>GDPdeflator!$C$38*INDEX(Costs!$E$7:$O$89,MATCH($C531,Costs!$C$7:$C$89,0),MATCH(H$7,Costs!$E$6:$O$6,0))</f>
        <v>23.829595626749967</v>
      </c>
      <c r="I531" s="86">
        <f>GDPdeflator!$C$38*INDEX(Costs!$E$7:$O$89,MATCH($C531,Costs!$C$7:$C$89,0),MATCH(I$7,Costs!$E$6:$O$6,0))</f>
        <v>24.740727224243347</v>
      </c>
      <c r="J531" s="86">
        <f>GDPdeflator!$C$38*INDEX(Costs!$E$7:$O$89,MATCH($C531,Costs!$C$7:$C$89,0),MATCH(J$7,Costs!$E$6:$O$6,0))</f>
        <v>24.802053389459246</v>
      </c>
      <c r="K531" s="86">
        <f>GDPdeflator!$C$38*INDEX(Costs!$E$7:$O$89,MATCH($C531,Costs!$C$7:$C$89,0),MATCH(K$7,Costs!$E$6:$O$6,0))</f>
        <v>24.828336031694633</v>
      </c>
      <c r="L531" s="86">
        <f>GDPdeflator!$C$38*INDEX(Costs!$E$7:$O$89,MATCH($C531,Costs!$C$7:$C$89,0),MATCH(L$7,Costs!$E$6:$O$6,0))</f>
        <v>24.85461867393002</v>
      </c>
      <c r="M531" s="86">
        <f>GDPdeflator!$C$38*INDEX(Costs!$E$7:$O$89,MATCH($C531,Costs!$C$7:$C$89,0),MATCH(M$7,Costs!$E$6:$O$6,0))</f>
        <v>24.85461867393002</v>
      </c>
      <c r="N531" s="86">
        <f>GDPdeflator!$C$38*INDEX(Costs!$E$7:$O$89,MATCH($C531,Costs!$C$7:$C$89,0),MATCH(N$7,Costs!$E$6:$O$6,0))</f>
        <v>24.85461867393002</v>
      </c>
      <c r="O531" s="86">
        <f>GDPdeflator!$C$38*INDEX(Costs!$E$7:$O$89,MATCH($C531,Costs!$C$7:$C$89,0),MATCH(O$7,Costs!$E$6:$O$6,0))</f>
        <v>24.85461867393002</v>
      </c>
      <c r="P531" s="87">
        <f t="shared" si="250"/>
        <v>0</v>
      </c>
      <c r="Q531" s="87">
        <f t="shared" si="247"/>
        <v>1790.4819451941344</v>
      </c>
      <c r="R531" s="87">
        <f t="shared" si="236"/>
        <v>1924.6220501347359</v>
      </c>
      <c r="S531" s="87">
        <f t="shared" si="237"/>
        <v>1989.727090979279</v>
      </c>
      <c r="T531" s="87">
        <f t="shared" si="238"/>
        <v>2065.8048915167215</v>
      </c>
      <c r="U531" s="87">
        <f t="shared" si="239"/>
        <v>2070.9255127067418</v>
      </c>
      <c r="V531" s="87">
        <f t="shared" si="240"/>
        <v>2073.1200646453221</v>
      </c>
      <c r="W531" s="87">
        <f t="shared" si="241"/>
        <v>2075.3146165839021</v>
      </c>
      <c r="X531" s="87">
        <f t="shared" si="242"/>
        <v>2075.3146165839021</v>
      </c>
      <c r="Y531" s="87">
        <f t="shared" si="243"/>
        <v>2075.3146165839021</v>
      </c>
      <c r="Z531" s="87">
        <f t="shared" si="244"/>
        <v>2075.3146165839021</v>
      </c>
      <c r="AA531" s="88">
        <v>450</v>
      </c>
      <c r="AB531" s="89">
        <f>AA531*GDPdeflator!$C$25/$AI$18*10^3</f>
        <v>43.267274341798768</v>
      </c>
      <c r="AC531" s="90" t="e">
        <f>INDEX(Efficiencies!$D$8:$M$89,MATCH(C531,Efficiencies!$C$8:$C$89),MATCH(D531,Efficiencies!$D$7:$M$7))</f>
        <v>#REF!</v>
      </c>
      <c r="AD531" s="90" t="e">
        <f t="shared" si="249"/>
        <v>#REF!</v>
      </c>
      <c r="AE531" s="90" t="e">
        <f>INDEX(Efficiencies!$P$8:$Y$89,MATCH(C531,Efficiencies!$C$8:$C$89),MATCH(D531,Efficiencies!$P$7:$Y$7))</f>
        <v>#REF!</v>
      </c>
      <c r="AF531" s="90" t="e">
        <f t="shared" si="234"/>
        <v>#REF!</v>
      </c>
      <c r="AG531" s="90">
        <v>0</v>
      </c>
    </row>
    <row r="532" spans="1:33" x14ac:dyDescent="0.2">
      <c r="A532" s="92" t="s">
        <v>1882</v>
      </c>
      <c r="B532" s="248" t="s">
        <v>1883</v>
      </c>
      <c r="C532" s="40" t="s">
        <v>1884</v>
      </c>
      <c r="D532" s="40">
        <v>2015</v>
      </c>
      <c r="E532" s="86">
        <f>GDPdeflator!$C$32*INDEX(Costs!$E$7:$O$89,MATCH($C532,Costs!$C$7:$C$89,0),MATCH(E$7,Costs!$E$6:$O$6,0))</f>
        <v>0</v>
      </c>
      <c r="F532" s="86">
        <f>GDPdeflator!$C$36*INDEX(Costs!$E$7:$O$89,MATCH($C532,Costs!$C$7:$C$89,0),MATCH(F$7,Costs!$E$6:$O$6,0))</f>
        <v>0</v>
      </c>
      <c r="G532" s="86">
        <f>GDPdeflator!$C$38*INDEX(Costs!$E$7:$O$89,MATCH($C532,Costs!$C$7:$C$89,0),MATCH(G$7,Costs!$E$6:$O$6,0))</f>
        <v>0</v>
      </c>
      <c r="H532" s="86">
        <f>GDPdeflator!$C$38*INDEX(Costs!$E$7:$O$89,MATCH($C532,Costs!$C$7:$C$89,0),MATCH(H$7,Costs!$E$6:$O$6,0))</f>
        <v>0</v>
      </c>
      <c r="I532" s="86">
        <f>GDPdeflator!$C$38*INDEX(Costs!$E$7:$O$89,MATCH($C532,Costs!$C$7:$C$89,0),MATCH(I$7,Costs!$E$6:$O$6,0))</f>
        <v>0</v>
      </c>
      <c r="J532" s="86">
        <f>GDPdeflator!$C$38*INDEX(Costs!$E$7:$O$89,MATCH($C532,Costs!$C$7:$C$89,0),MATCH(J$7,Costs!$E$6:$O$6,0))</f>
        <v>0</v>
      </c>
      <c r="K532" s="86">
        <f>GDPdeflator!$C$38*INDEX(Costs!$E$7:$O$89,MATCH($C532,Costs!$C$7:$C$89,0),MATCH(K$7,Costs!$E$6:$O$6,0))</f>
        <v>0</v>
      </c>
      <c r="L532" s="86">
        <f>GDPdeflator!$C$38*INDEX(Costs!$E$7:$O$89,MATCH($C532,Costs!$C$7:$C$89,0),MATCH(L$7,Costs!$E$6:$O$6,0))</f>
        <v>0</v>
      </c>
      <c r="M532" s="86">
        <f>GDPdeflator!$C$38*INDEX(Costs!$E$7:$O$89,MATCH($C532,Costs!$C$7:$C$89,0),MATCH(M$7,Costs!$E$6:$O$6,0))</f>
        <v>0</v>
      </c>
      <c r="N532" s="86">
        <f>GDPdeflator!$C$38*INDEX(Costs!$E$7:$O$89,MATCH($C532,Costs!$C$7:$C$89,0),MATCH(N$7,Costs!$E$6:$O$6,0))</f>
        <v>0</v>
      </c>
      <c r="O532" s="86">
        <f>GDPdeflator!$C$38*INDEX(Costs!$E$7:$O$89,MATCH($C532,Costs!$C$7:$C$89,0),MATCH(O$7,Costs!$E$6:$O$6,0))</f>
        <v>0</v>
      </c>
      <c r="P532" s="87">
        <f>E532/$AI$18*10^6</f>
        <v>0</v>
      </c>
      <c r="Q532" s="87">
        <f t="shared" si="247"/>
        <v>0</v>
      </c>
      <c r="R532" s="87">
        <f t="shared" si="236"/>
        <v>0</v>
      </c>
      <c r="S532" s="87">
        <f t="shared" si="237"/>
        <v>0</v>
      </c>
      <c r="T532" s="87">
        <f t="shared" si="238"/>
        <v>0</v>
      </c>
      <c r="U532" s="87">
        <f t="shared" si="239"/>
        <v>0</v>
      </c>
      <c r="V532" s="87">
        <f t="shared" si="240"/>
        <v>0</v>
      </c>
      <c r="W532" s="87">
        <f t="shared" si="241"/>
        <v>0</v>
      </c>
      <c r="X532" s="87">
        <f t="shared" si="242"/>
        <v>0</v>
      </c>
      <c r="Y532" s="87">
        <f t="shared" si="243"/>
        <v>0</v>
      </c>
      <c r="Z532" s="87">
        <f t="shared" si="244"/>
        <v>0</v>
      </c>
      <c r="AA532" s="40">
        <v>473</v>
      </c>
      <c r="AB532" s="89">
        <f>AA532*GDPdeflator!$C$25/$AI$18*10^3</f>
        <v>45.478712808157368</v>
      </c>
      <c r="AC532" s="90" t="e">
        <f>INDEX(Efficiencies!$D$8:$M$89,MATCH(C532,Efficiencies!$C$8:$C$89),MATCH(D532,Efficiencies!$D$7:$M$7))</f>
        <v>#REF!</v>
      </c>
      <c r="AD532" s="90" t="e">
        <f t="shared" si="249"/>
        <v>#REF!</v>
      </c>
      <c r="AE532" s="90" t="e">
        <f>INDEX(Efficiencies!$P$8:$Y$89,MATCH(C532,Efficiencies!$C$8:$C$89),MATCH(D532,Efficiencies!$P$7:$Y$7))</f>
        <v>#REF!</v>
      </c>
      <c r="AF532" s="90" t="e">
        <f t="shared" si="234"/>
        <v>#REF!</v>
      </c>
      <c r="AG532" s="90">
        <v>0</v>
      </c>
    </row>
    <row r="533" spans="1:33" x14ac:dyDescent="0.2">
      <c r="A533" s="92" t="s">
        <v>1885</v>
      </c>
      <c r="B533" s="248" t="s">
        <v>1886</v>
      </c>
      <c r="C533" s="40" t="s">
        <v>1884</v>
      </c>
      <c r="D533" s="40">
        <v>2020</v>
      </c>
      <c r="E533" s="86">
        <f>GDPdeflator!$C$32*INDEX(Costs!$E$7:$O$89,MATCH($C533,Costs!$C$7:$C$89,0),MATCH(E$7,Costs!$E$6:$O$6,0))</f>
        <v>0</v>
      </c>
      <c r="F533" s="86">
        <f>GDPdeflator!$C$36*INDEX(Costs!$E$7:$O$89,MATCH($C533,Costs!$C$7:$C$89,0),MATCH(F$7,Costs!$E$6:$O$6,0))</f>
        <v>0</v>
      </c>
      <c r="G533" s="86">
        <f>GDPdeflator!$C$38*INDEX(Costs!$E$7:$O$89,MATCH($C533,Costs!$C$7:$C$89,0),MATCH(G$7,Costs!$E$6:$O$6,0))</f>
        <v>0</v>
      </c>
      <c r="H533" s="86">
        <f>GDPdeflator!$C$38*INDEX(Costs!$E$7:$O$89,MATCH($C533,Costs!$C$7:$C$89,0),MATCH(H$7,Costs!$E$6:$O$6,0))</f>
        <v>0</v>
      </c>
      <c r="I533" s="86">
        <f>GDPdeflator!$C$38*INDEX(Costs!$E$7:$O$89,MATCH($C533,Costs!$C$7:$C$89,0),MATCH(I$7,Costs!$E$6:$O$6,0))</f>
        <v>0</v>
      </c>
      <c r="J533" s="86">
        <f>GDPdeflator!$C$38*INDEX(Costs!$E$7:$O$89,MATCH($C533,Costs!$C$7:$C$89,0),MATCH(J$7,Costs!$E$6:$O$6,0))</f>
        <v>0</v>
      </c>
      <c r="K533" s="86">
        <f>GDPdeflator!$C$38*INDEX(Costs!$E$7:$O$89,MATCH($C533,Costs!$C$7:$C$89,0),MATCH(K$7,Costs!$E$6:$O$6,0))</f>
        <v>0</v>
      </c>
      <c r="L533" s="86">
        <f>GDPdeflator!$C$38*INDEX(Costs!$E$7:$O$89,MATCH($C533,Costs!$C$7:$C$89,0),MATCH(L$7,Costs!$E$6:$O$6,0))</f>
        <v>0</v>
      </c>
      <c r="M533" s="86">
        <f>GDPdeflator!$C$38*INDEX(Costs!$E$7:$O$89,MATCH($C533,Costs!$C$7:$C$89,0),MATCH(M$7,Costs!$E$6:$O$6,0))</f>
        <v>0</v>
      </c>
      <c r="N533" s="86">
        <f>GDPdeflator!$C$38*INDEX(Costs!$E$7:$O$89,MATCH($C533,Costs!$C$7:$C$89,0),MATCH(N$7,Costs!$E$6:$O$6,0))</f>
        <v>0</v>
      </c>
      <c r="O533" s="86">
        <f>GDPdeflator!$C$38*INDEX(Costs!$E$7:$O$89,MATCH($C533,Costs!$C$7:$C$89,0),MATCH(O$7,Costs!$E$6:$O$6,0))</f>
        <v>0</v>
      </c>
      <c r="P533" s="87">
        <f t="shared" ref="P533:P539" si="251">E533/$AI$18*10^6</f>
        <v>0</v>
      </c>
      <c r="Q533" s="87">
        <f t="shared" si="247"/>
        <v>0</v>
      </c>
      <c r="R533" s="87">
        <f t="shared" si="236"/>
        <v>0</v>
      </c>
      <c r="S533" s="87">
        <f t="shared" si="237"/>
        <v>0</v>
      </c>
      <c r="T533" s="87">
        <f t="shared" si="238"/>
        <v>0</v>
      </c>
      <c r="U533" s="87">
        <f t="shared" si="239"/>
        <v>0</v>
      </c>
      <c r="V533" s="87">
        <f t="shared" si="240"/>
        <v>0</v>
      </c>
      <c r="W533" s="87">
        <f t="shared" si="241"/>
        <v>0</v>
      </c>
      <c r="X533" s="87">
        <f t="shared" si="242"/>
        <v>0</v>
      </c>
      <c r="Y533" s="87">
        <f t="shared" si="243"/>
        <v>0</v>
      </c>
      <c r="Z533" s="87">
        <f t="shared" si="244"/>
        <v>0</v>
      </c>
      <c r="AA533" s="40">
        <v>473</v>
      </c>
      <c r="AB533" s="89">
        <f>AA533*GDPdeflator!$C$25/$AI$18*10^3</f>
        <v>45.478712808157368</v>
      </c>
      <c r="AC533" s="90" t="e">
        <f>INDEX(Efficiencies!$D$8:$M$89,MATCH(C533,Efficiencies!$C$8:$C$89),MATCH(D533,Efficiencies!$D$7:$M$7))</f>
        <v>#REF!</v>
      </c>
      <c r="AD533" s="90" t="e">
        <f t="shared" si="249"/>
        <v>#REF!</v>
      </c>
      <c r="AE533" s="90" t="e">
        <f>INDEX(Efficiencies!$P$8:$Y$89,MATCH(C533,Efficiencies!$C$8:$C$89),MATCH(D533,Efficiencies!$P$7:$Y$7))</f>
        <v>#REF!</v>
      </c>
      <c r="AF533" s="90" t="e">
        <f t="shared" ref="AF533:AF587" si="252">AE533/($AI$11*$AI$15*10 ^ 9)</f>
        <v>#REF!</v>
      </c>
      <c r="AG533" s="90">
        <v>0</v>
      </c>
    </row>
    <row r="534" spans="1:33" x14ac:dyDescent="0.2">
      <c r="A534" s="92" t="s">
        <v>1887</v>
      </c>
      <c r="B534" s="248" t="s">
        <v>1888</v>
      </c>
      <c r="C534" s="40" t="s">
        <v>1884</v>
      </c>
      <c r="D534" s="40">
        <v>2025</v>
      </c>
      <c r="E534" s="86">
        <f>GDPdeflator!$C$32*INDEX(Costs!$E$7:$O$89,MATCH($C534,Costs!$C$7:$C$89,0),MATCH(E$7,Costs!$E$6:$O$6,0))</f>
        <v>0</v>
      </c>
      <c r="F534" s="86">
        <f>GDPdeflator!$C$36*INDEX(Costs!$E$7:$O$89,MATCH($C534,Costs!$C$7:$C$89,0),MATCH(F$7,Costs!$E$6:$O$6,0))</f>
        <v>0</v>
      </c>
      <c r="G534" s="86">
        <f>GDPdeflator!$C$38*INDEX(Costs!$E$7:$O$89,MATCH($C534,Costs!$C$7:$C$89,0),MATCH(G$7,Costs!$E$6:$O$6,0))</f>
        <v>0</v>
      </c>
      <c r="H534" s="86">
        <f>GDPdeflator!$C$38*INDEX(Costs!$E$7:$O$89,MATCH($C534,Costs!$C$7:$C$89,0),MATCH(H$7,Costs!$E$6:$O$6,0))</f>
        <v>0</v>
      </c>
      <c r="I534" s="86">
        <f>GDPdeflator!$C$38*INDEX(Costs!$E$7:$O$89,MATCH($C534,Costs!$C$7:$C$89,0),MATCH(I$7,Costs!$E$6:$O$6,0))</f>
        <v>0</v>
      </c>
      <c r="J534" s="86">
        <f>GDPdeflator!$C$38*INDEX(Costs!$E$7:$O$89,MATCH($C534,Costs!$C$7:$C$89,0),MATCH(J$7,Costs!$E$6:$O$6,0))</f>
        <v>0</v>
      </c>
      <c r="K534" s="86">
        <f>GDPdeflator!$C$38*INDEX(Costs!$E$7:$O$89,MATCH($C534,Costs!$C$7:$C$89,0),MATCH(K$7,Costs!$E$6:$O$6,0))</f>
        <v>0</v>
      </c>
      <c r="L534" s="86">
        <f>GDPdeflator!$C$38*INDEX(Costs!$E$7:$O$89,MATCH($C534,Costs!$C$7:$C$89,0),MATCH(L$7,Costs!$E$6:$O$6,0))</f>
        <v>0</v>
      </c>
      <c r="M534" s="86">
        <f>GDPdeflator!$C$38*INDEX(Costs!$E$7:$O$89,MATCH($C534,Costs!$C$7:$C$89,0),MATCH(M$7,Costs!$E$6:$O$6,0))</f>
        <v>0</v>
      </c>
      <c r="N534" s="86">
        <f>GDPdeflator!$C$38*INDEX(Costs!$E$7:$O$89,MATCH($C534,Costs!$C$7:$C$89,0),MATCH(N$7,Costs!$E$6:$O$6,0))</f>
        <v>0</v>
      </c>
      <c r="O534" s="86">
        <f>GDPdeflator!$C$38*INDEX(Costs!$E$7:$O$89,MATCH($C534,Costs!$C$7:$C$89,0),MATCH(O$7,Costs!$E$6:$O$6,0))</f>
        <v>0</v>
      </c>
      <c r="P534" s="87">
        <f t="shared" si="251"/>
        <v>0</v>
      </c>
      <c r="Q534" s="87">
        <f t="shared" si="247"/>
        <v>0</v>
      </c>
      <c r="R534" s="87">
        <f t="shared" si="236"/>
        <v>0</v>
      </c>
      <c r="S534" s="87">
        <f t="shared" si="237"/>
        <v>0</v>
      </c>
      <c r="T534" s="87">
        <f t="shared" si="238"/>
        <v>0</v>
      </c>
      <c r="U534" s="87">
        <f t="shared" si="239"/>
        <v>0</v>
      </c>
      <c r="V534" s="87">
        <f t="shared" si="240"/>
        <v>0</v>
      </c>
      <c r="W534" s="87">
        <f t="shared" si="241"/>
        <v>0</v>
      </c>
      <c r="X534" s="87">
        <f t="shared" si="242"/>
        <v>0</v>
      </c>
      <c r="Y534" s="87">
        <f t="shared" si="243"/>
        <v>0</v>
      </c>
      <c r="Z534" s="87">
        <f t="shared" si="244"/>
        <v>0</v>
      </c>
      <c r="AA534" s="40">
        <v>473</v>
      </c>
      <c r="AB534" s="89">
        <f>AA534*GDPdeflator!$C$25/$AI$18*10^3</f>
        <v>45.478712808157368</v>
      </c>
      <c r="AC534" s="90" t="e">
        <f>INDEX(Efficiencies!$D$8:$M$89,MATCH(C534,Efficiencies!$C$8:$C$89),MATCH(D534,Efficiencies!$D$7:$M$7))</f>
        <v>#REF!</v>
      </c>
      <c r="AD534" s="90" t="e">
        <f t="shared" si="249"/>
        <v>#REF!</v>
      </c>
      <c r="AE534" s="90" t="e">
        <f>INDEX(Efficiencies!$P$8:$Y$89,MATCH(C534,Efficiencies!$C$8:$C$89),MATCH(D534,Efficiencies!$P$7:$Y$7))</f>
        <v>#REF!</v>
      </c>
      <c r="AF534" s="90" t="e">
        <f t="shared" si="252"/>
        <v>#REF!</v>
      </c>
      <c r="AG534" s="90">
        <v>0</v>
      </c>
    </row>
    <row r="535" spans="1:33" x14ac:dyDescent="0.2">
      <c r="A535" s="92" t="s">
        <v>1889</v>
      </c>
      <c r="B535" s="248" t="s">
        <v>1890</v>
      </c>
      <c r="C535" s="40" t="s">
        <v>1884</v>
      </c>
      <c r="D535" s="40">
        <v>2030</v>
      </c>
      <c r="E535" s="86">
        <f>GDPdeflator!$C$32*INDEX(Costs!$E$7:$O$89,MATCH($C535,Costs!$C$7:$C$89,0),MATCH(E$7,Costs!$E$6:$O$6,0))</f>
        <v>0</v>
      </c>
      <c r="F535" s="86">
        <f>GDPdeflator!$C$36*INDEX(Costs!$E$7:$O$89,MATCH($C535,Costs!$C$7:$C$89,0),MATCH(F$7,Costs!$E$6:$O$6,0))</f>
        <v>0</v>
      </c>
      <c r="G535" s="86">
        <f>GDPdeflator!$C$38*INDEX(Costs!$E$7:$O$89,MATCH($C535,Costs!$C$7:$C$89,0),MATCH(G$7,Costs!$E$6:$O$6,0))</f>
        <v>0</v>
      </c>
      <c r="H535" s="86">
        <f>GDPdeflator!$C$38*INDEX(Costs!$E$7:$O$89,MATCH($C535,Costs!$C$7:$C$89,0),MATCH(H$7,Costs!$E$6:$O$6,0))</f>
        <v>0</v>
      </c>
      <c r="I535" s="86">
        <f>GDPdeflator!$C$38*INDEX(Costs!$E$7:$O$89,MATCH($C535,Costs!$C$7:$C$89,0),MATCH(I$7,Costs!$E$6:$O$6,0))</f>
        <v>0</v>
      </c>
      <c r="J535" s="86">
        <f>GDPdeflator!$C$38*INDEX(Costs!$E$7:$O$89,MATCH($C535,Costs!$C$7:$C$89,0),MATCH(J$7,Costs!$E$6:$O$6,0))</f>
        <v>0</v>
      </c>
      <c r="K535" s="86">
        <f>GDPdeflator!$C$38*INDEX(Costs!$E$7:$O$89,MATCH($C535,Costs!$C$7:$C$89,0),MATCH(K$7,Costs!$E$6:$O$6,0))</f>
        <v>0</v>
      </c>
      <c r="L535" s="86">
        <f>GDPdeflator!$C$38*INDEX(Costs!$E$7:$O$89,MATCH($C535,Costs!$C$7:$C$89,0),MATCH(L$7,Costs!$E$6:$O$6,0))</f>
        <v>0</v>
      </c>
      <c r="M535" s="86">
        <f>GDPdeflator!$C$38*INDEX(Costs!$E$7:$O$89,MATCH($C535,Costs!$C$7:$C$89,0),MATCH(M$7,Costs!$E$6:$O$6,0))</f>
        <v>0</v>
      </c>
      <c r="N535" s="86">
        <f>GDPdeflator!$C$38*INDEX(Costs!$E$7:$O$89,MATCH($C535,Costs!$C$7:$C$89,0),MATCH(N$7,Costs!$E$6:$O$6,0))</f>
        <v>0</v>
      </c>
      <c r="O535" s="86">
        <f>GDPdeflator!$C$38*INDEX(Costs!$E$7:$O$89,MATCH($C535,Costs!$C$7:$C$89,0),MATCH(O$7,Costs!$E$6:$O$6,0))</f>
        <v>0</v>
      </c>
      <c r="P535" s="87">
        <f t="shared" si="251"/>
        <v>0</v>
      </c>
      <c r="Q535" s="87">
        <f t="shared" si="247"/>
        <v>0</v>
      </c>
      <c r="R535" s="87">
        <f t="shared" si="236"/>
        <v>0</v>
      </c>
      <c r="S535" s="87">
        <f t="shared" si="237"/>
        <v>0</v>
      </c>
      <c r="T535" s="87">
        <f t="shared" si="238"/>
        <v>0</v>
      </c>
      <c r="U535" s="87">
        <f t="shared" si="239"/>
        <v>0</v>
      </c>
      <c r="V535" s="87">
        <f t="shared" si="240"/>
        <v>0</v>
      </c>
      <c r="W535" s="87">
        <f t="shared" si="241"/>
        <v>0</v>
      </c>
      <c r="X535" s="87">
        <f t="shared" si="242"/>
        <v>0</v>
      </c>
      <c r="Y535" s="87">
        <f t="shared" si="243"/>
        <v>0</v>
      </c>
      <c r="Z535" s="87">
        <f t="shared" si="244"/>
        <v>0</v>
      </c>
      <c r="AA535" s="40">
        <v>473</v>
      </c>
      <c r="AB535" s="89">
        <f>AA535*GDPdeflator!$C$25/$AI$18*10^3</f>
        <v>45.478712808157368</v>
      </c>
      <c r="AC535" s="90" t="e">
        <f>INDEX(Efficiencies!$D$8:$M$89,MATCH(C535,Efficiencies!$C$8:$C$89),MATCH(D535,Efficiencies!$D$7:$M$7))</f>
        <v>#REF!</v>
      </c>
      <c r="AD535" s="90" t="e">
        <f t="shared" si="249"/>
        <v>#REF!</v>
      </c>
      <c r="AE535" s="90" t="e">
        <f>INDEX(Efficiencies!$P$8:$Y$89,MATCH(C535,Efficiencies!$C$8:$C$89),MATCH(D535,Efficiencies!$P$7:$Y$7))</f>
        <v>#REF!</v>
      </c>
      <c r="AF535" s="90" t="e">
        <f t="shared" si="252"/>
        <v>#REF!</v>
      </c>
      <c r="AG535" s="90">
        <v>0</v>
      </c>
    </row>
    <row r="536" spans="1:33" x14ac:dyDescent="0.2">
      <c r="A536" s="92" t="s">
        <v>1891</v>
      </c>
      <c r="B536" s="248" t="s">
        <v>1892</v>
      </c>
      <c r="C536" s="40" t="s">
        <v>1884</v>
      </c>
      <c r="D536" s="40">
        <v>2035</v>
      </c>
      <c r="E536" s="86">
        <f>GDPdeflator!$C$32*INDEX(Costs!$E$7:$O$89,MATCH($C536,Costs!$C$7:$C$89,0),MATCH(E$7,Costs!$E$6:$O$6,0))</f>
        <v>0</v>
      </c>
      <c r="F536" s="86">
        <f>GDPdeflator!$C$36*INDEX(Costs!$E$7:$O$89,MATCH($C536,Costs!$C$7:$C$89,0),MATCH(F$7,Costs!$E$6:$O$6,0))</f>
        <v>0</v>
      </c>
      <c r="G536" s="86">
        <f>GDPdeflator!$C$38*INDEX(Costs!$E$7:$O$89,MATCH($C536,Costs!$C$7:$C$89,0),MATCH(G$7,Costs!$E$6:$O$6,0))</f>
        <v>0</v>
      </c>
      <c r="H536" s="86">
        <f>GDPdeflator!$C$38*INDEX(Costs!$E$7:$O$89,MATCH($C536,Costs!$C$7:$C$89,0),MATCH(H$7,Costs!$E$6:$O$6,0))</f>
        <v>0</v>
      </c>
      <c r="I536" s="86">
        <f>GDPdeflator!$C$38*INDEX(Costs!$E$7:$O$89,MATCH($C536,Costs!$C$7:$C$89,0),MATCH(I$7,Costs!$E$6:$O$6,0))</f>
        <v>0</v>
      </c>
      <c r="J536" s="86">
        <f>GDPdeflator!$C$38*INDEX(Costs!$E$7:$O$89,MATCH($C536,Costs!$C$7:$C$89,0),MATCH(J$7,Costs!$E$6:$O$6,0))</f>
        <v>0</v>
      </c>
      <c r="K536" s="86">
        <f>GDPdeflator!$C$38*INDEX(Costs!$E$7:$O$89,MATCH($C536,Costs!$C$7:$C$89,0),MATCH(K$7,Costs!$E$6:$O$6,0))</f>
        <v>0</v>
      </c>
      <c r="L536" s="86">
        <f>GDPdeflator!$C$38*INDEX(Costs!$E$7:$O$89,MATCH($C536,Costs!$C$7:$C$89,0),MATCH(L$7,Costs!$E$6:$O$6,0))</f>
        <v>0</v>
      </c>
      <c r="M536" s="86">
        <f>GDPdeflator!$C$38*INDEX(Costs!$E$7:$O$89,MATCH($C536,Costs!$C$7:$C$89,0),MATCH(M$7,Costs!$E$6:$O$6,0))</f>
        <v>0</v>
      </c>
      <c r="N536" s="86">
        <f>GDPdeflator!$C$38*INDEX(Costs!$E$7:$O$89,MATCH($C536,Costs!$C$7:$C$89,0),MATCH(N$7,Costs!$E$6:$O$6,0))</f>
        <v>0</v>
      </c>
      <c r="O536" s="86">
        <f>GDPdeflator!$C$38*INDEX(Costs!$E$7:$O$89,MATCH($C536,Costs!$C$7:$C$89,0),MATCH(O$7,Costs!$E$6:$O$6,0))</f>
        <v>0</v>
      </c>
      <c r="P536" s="87">
        <f t="shared" si="251"/>
        <v>0</v>
      </c>
      <c r="Q536" s="87">
        <f t="shared" si="247"/>
        <v>0</v>
      </c>
      <c r="R536" s="87">
        <f t="shared" si="236"/>
        <v>0</v>
      </c>
      <c r="S536" s="87">
        <f t="shared" si="237"/>
        <v>0</v>
      </c>
      <c r="T536" s="87">
        <f t="shared" si="238"/>
        <v>0</v>
      </c>
      <c r="U536" s="87">
        <f t="shared" si="239"/>
        <v>0</v>
      </c>
      <c r="V536" s="87">
        <f t="shared" si="240"/>
        <v>0</v>
      </c>
      <c r="W536" s="87">
        <f t="shared" si="241"/>
        <v>0</v>
      </c>
      <c r="X536" s="87">
        <f t="shared" si="242"/>
        <v>0</v>
      </c>
      <c r="Y536" s="87">
        <f t="shared" si="243"/>
        <v>0</v>
      </c>
      <c r="Z536" s="87">
        <f t="shared" si="244"/>
        <v>0</v>
      </c>
      <c r="AA536" s="40">
        <v>473</v>
      </c>
      <c r="AB536" s="89">
        <f>AA536*GDPdeflator!$C$25/$AI$18*10^3</f>
        <v>45.478712808157368</v>
      </c>
      <c r="AC536" s="90" t="e">
        <f>INDEX(Efficiencies!$D$8:$M$89,MATCH(C536,Efficiencies!$C$8:$C$89),MATCH(D536,Efficiencies!$D$7:$M$7))</f>
        <v>#REF!</v>
      </c>
      <c r="AD536" s="90" t="e">
        <f t="shared" si="249"/>
        <v>#REF!</v>
      </c>
      <c r="AE536" s="90" t="e">
        <f>INDEX(Efficiencies!$P$8:$Y$89,MATCH(C536,Efficiencies!$C$8:$C$89),MATCH(D536,Efficiencies!$P$7:$Y$7))</f>
        <v>#REF!</v>
      </c>
      <c r="AF536" s="90" t="e">
        <f t="shared" si="252"/>
        <v>#REF!</v>
      </c>
      <c r="AG536" s="90">
        <v>0</v>
      </c>
    </row>
    <row r="537" spans="1:33" x14ac:dyDescent="0.2">
      <c r="A537" s="92" t="s">
        <v>1893</v>
      </c>
      <c r="B537" s="248" t="s">
        <v>1894</v>
      </c>
      <c r="C537" s="40" t="s">
        <v>1884</v>
      </c>
      <c r="D537" s="40">
        <v>2040</v>
      </c>
      <c r="E537" s="86">
        <f>GDPdeflator!$C$32*INDEX(Costs!$E$7:$O$89,MATCH($C537,Costs!$C$7:$C$89,0),MATCH(E$7,Costs!$E$6:$O$6,0))</f>
        <v>0</v>
      </c>
      <c r="F537" s="86">
        <f>GDPdeflator!$C$36*INDEX(Costs!$E$7:$O$89,MATCH($C537,Costs!$C$7:$C$89,0),MATCH(F$7,Costs!$E$6:$O$6,0))</f>
        <v>0</v>
      </c>
      <c r="G537" s="86">
        <f>GDPdeflator!$C$38*INDEX(Costs!$E$7:$O$89,MATCH($C537,Costs!$C$7:$C$89,0),MATCH(G$7,Costs!$E$6:$O$6,0))</f>
        <v>0</v>
      </c>
      <c r="H537" s="86">
        <f>GDPdeflator!$C$38*INDEX(Costs!$E$7:$O$89,MATCH($C537,Costs!$C$7:$C$89,0),MATCH(H$7,Costs!$E$6:$O$6,0))</f>
        <v>0</v>
      </c>
      <c r="I537" s="86">
        <f>GDPdeflator!$C$38*INDEX(Costs!$E$7:$O$89,MATCH($C537,Costs!$C$7:$C$89,0),MATCH(I$7,Costs!$E$6:$O$6,0))</f>
        <v>0</v>
      </c>
      <c r="J537" s="86">
        <f>GDPdeflator!$C$38*INDEX(Costs!$E$7:$O$89,MATCH($C537,Costs!$C$7:$C$89,0),MATCH(J$7,Costs!$E$6:$O$6,0))</f>
        <v>0</v>
      </c>
      <c r="K537" s="86">
        <f>GDPdeflator!$C$38*INDEX(Costs!$E$7:$O$89,MATCH($C537,Costs!$C$7:$C$89,0),MATCH(K$7,Costs!$E$6:$O$6,0))</f>
        <v>0</v>
      </c>
      <c r="L537" s="86">
        <f>GDPdeflator!$C$38*INDEX(Costs!$E$7:$O$89,MATCH($C537,Costs!$C$7:$C$89,0),MATCH(L$7,Costs!$E$6:$O$6,0))</f>
        <v>0</v>
      </c>
      <c r="M537" s="86">
        <f>GDPdeflator!$C$38*INDEX(Costs!$E$7:$O$89,MATCH($C537,Costs!$C$7:$C$89,0),MATCH(M$7,Costs!$E$6:$O$6,0))</f>
        <v>0</v>
      </c>
      <c r="N537" s="86">
        <f>GDPdeflator!$C$38*INDEX(Costs!$E$7:$O$89,MATCH($C537,Costs!$C$7:$C$89,0),MATCH(N$7,Costs!$E$6:$O$6,0))</f>
        <v>0</v>
      </c>
      <c r="O537" s="86">
        <f>GDPdeflator!$C$38*INDEX(Costs!$E$7:$O$89,MATCH($C537,Costs!$C$7:$C$89,0),MATCH(O$7,Costs!$E$6:$O$6,0))</f>
        <v>0</v>
      </c>
      <c r="P537" s="87">
        <f t="shared" si="251"/>
        <v>0</v>
      </c>
      <c r="Q537" s="87">
        <f t="shared" si="247"/>
        <v>0</v>
      </c>
      <c r="R537" s="87">
        <f t="shared" si="236"/>
        <v>0</v>
      </c>
      <c r="S537" s="87">
        <f t="shared" si="237"/>
        <v>0</v>
      </c>
      <c r="T537" s="87">
        <f t="shared" si="238"/>
        <v>0</v>
      </c>
      <c r="U537" s="87">
        <f t="shared" si="239"/>
        <v>0</v>
      </c>
      <c r="V537" s="87">
        <f t="shared" si="240"/>
        <v>0</v>
      </c>
      <c r="W537" s="87">
        <f t="shared" si="241"/>
        <v>0</v>
      </c>
      <c r="X537" s="87">
        <f t="shared" si="242"/>
        <v>0</v>
      </c>
      <c r="Y537" s="87">
        <f t="shared" si="243"/>
        <v>0</v>
      </c>
      <c r="Z537" s="87">
        <f t="shared" si="244"/>
        <v>0</v>
      </c>
      <c r="AA537" s="40">
        <v>473</v>
      </c>
      <c r="AB537" s="89">
        <f>AA537*GDPdeflator!$C$25/$AI$18*10^3</f>
        <v>45.478712808157368</v>
      </c>
      <c r="AC537" s="90" t="e">
        <f>INDEX(Efficiencies!$D$8:$M$89,MATCH(C537,Efficiencies!$C$8:$C$89),MATCH(D537,Efficiencies!$D$7:$M$7))</f>
        <v>#REF!</v>
      </c>
      <c r="AD537" s="90" t="e">
        <f t="shared" si="249"/>
        <v>#REF!</v>
      </c>
      <c r="AE537" s="90" t="e">
        <f>INDEX(Efficiencies!$P$8:$Y$89,MATCH(C537,Efficiencies!$C$8:$C$89),MATCH(D537,Efficiencies!$P$7:$Y$7))</f>
        <v>#REF!</v>
      </c>
      <c r="AF537" s="90" t="e">
        <f t="shared" si="252"/>
        <v>#REF!</v>
      </c>
      <c r="AG537" s="90">
        <v>0</v>
      </c>
    </row>
    <row r="538" spans="1:33" x14ac:dyDescent="0.2">
      <c r="A538" s="92" t="s">
        <v>1895</v>
      </c>
      <c r="B538" s="248" t="s">
        <v>1896</v>
      </c>
      <c r="C538" s="40" t="s">
        <v>1884</v>
      </c>
      <c r="D538" s="40">
        <v>2045</v>
      </c>
      <c r="E538" s="86">
        <f>GDPdeflator!$C$32*INDEX(Costs!$E$7:$O$89,MATCH($C538,Costs!$C$7:$C$89,0),MATCH(E$7,Costs!$E$6:$O$6,0))</f>
        <v>0</v>
      </c>
      <c r="F538" s="86">
        <f>GDPdeflator!$C$36*INDEX(Costs!$E$7:$O$89,MATCH($C538,Costs!$C$7:$C$89,0),MATCH(F$7,Costs!$E$6:$O$6,0))</f>
        <v>0</v>
      </c>
      <c r="G538" s="86">
        <f>GDPdeflator!$C$38*INDEX(Costs!$E$7:$O$89,MATCH($C538,Costs!$C$7:$C$89,0),MATCH(G$7,Costs!$E$6:$O$6,0))</f>
        <v>0</v>
      </c>
      <c r="H538" s="86">
        <f>GDPdeflator!$C$38*INDEX(Costs!$E$7:$O$89,MATCH($C538,Costs!$C$7:$C$89,0),MATCH(H$7,Costs!$E$6:$O$6,0))</f>
        <v>0</v>
      </c>
      <c r="I538" s="86">
        <f>GDPdeflator!$C$38*INDEX(Costs!$E$7:$O$89,MATCH($C538,Costs!$C$7:$C$89,0),MATCH(I$7,Costs!$E$6:$O$6,0))</f>
        <v>0</v>
      </c>
      <c r="J538" s="86">
        <f>GDPdeflator!$C$38*INDEX(Costs!$E$7:$O$89,MATCH($C538,Costs!$C$7:$C$89,0),MATCH(J$7,Costs!$E$6:$O$6,0))</f>
        <v>0</v>
      </c>
      <c r="K538" s="86">
        <f>GDPdeflator!$C$38*INDEX(Costs!$E$7:$O$89,MATCH($C538,Costs!$C$7:$C$89,0),MATCH(K$7,Costs!$E$6:$O$6,0))</f>
        <v>0</v>
      </c>
      <c r="L538" s="86">
        <f>GDPdeflator!$C$38*INDEX(Costs!$E$7:$O$89,MATCH($C538,Costs!$C$7:$C$89,0),MATCH(L$7,Costs!$E$6:$O$6,0))</f>
        <v>0</v>
      </c>
      <c r="M538" s="86">
        <f>GDPdeflator!$C$38*INDEX(Costs!$E$7:$O$89,MATCH($C538,Costs!$C$7:$C$89,0),MATCH(M$7,Costs!$E$6:$O$6,0))</f>
        <v>0</v>
      </c>
      <c r="N538" s="86">
        <f>GDPdeflator!$C$38*INDEX(Costs!$E$7:$O$89,MATCH($C538,Costs!$C$7:$C$89,0),MATCH(N$7,Costs!$E$6:$O$6,0))</f>
        <v>0</v>
      </c>
      <c r="O538" s="86">
        <f>GDPdeflator!$C$38*INDEX(Costs!$E$7:$O$89,MATCH($C538,Costs!$C$7:$C$89,0),MATCH(O$7,Costs!$E$6:$O$6,0))</f>
        <v>0</v>
      </c>
      <c r="P538" s="87">
        <f t="shared" si="251"/>
        <v>0</v>
      </c>
      <c r="Q538" s="87">
        <f t="shared" si="247"/>
        <v>0</v>
      </c>
      <c r="R538" s="87">
        <f t="shared" si="236"/>
        <v>0</v>
      </c>
      <c r="S538" s="87">
        <f t="shared" si="237"/>
        <v>0</v>
      </c>
      <c r="T538" s="87">
        <f t="shared" si="238"/>
        <v>0</v>
      </c>
      <c r="U538" s="87">
        <f t="shared" si="239"/>
        <v>0</v>
      </c>
      <c r="V538" s="87">
        <f t="shared" si="240"/>
        <v>0</v>
      </c>
      <c r="W538" s="87">
        <f t="shared" si="241"/>
        <v>0</v>
      </c>
      <c r="X538" s="87">
        <f t="shared" si="242"/>
        <v>0</v>
      </c>
      <c r="Y538" s="87">
        <f t="shared" si="243"/>
        <v>0</v>
      </c>
      <c r="Z538" s="87">
        <f t="shared" si="244"/>
        <v>0</v>
      </c>
      <c r="AA538" s="40">
        <v>473</v>
      </c>
      <c r="AB538" s="89">
        <f>AA538*GDPdeflator!$C$25/$AI$18*10^3</f>
        <v>45.478712808157368</v>
      </c>
      <c r="AC538" s="90" t="e">
        <f>INDEX(Efficiencies!$D$8:$M$89,MATCH(C538,Efficiencies!$C$8:$C$89),MATCH(D538,Efficiencies!$D$7:$M$7))</f>
        <v>#REF!</v>
      </c>
      <c r="AD538" s="90" t="e">
        <f t="shared" si="249"/>
        <v>#REF!</v>
      </c>
      <c r="AE538" s="90" t="e">
        <f>INDEX(Efficiencies!$P$8:$Y$89,MATCH(C538,Efficiencies!$C$8:$C$89),MATCH(D538,Efficiencies!$P$7:$Y$7))</f>
        <v>#REF!</v>
      </c>
      <c r="AF538" s="90" t="e">
        <f t="shared" si="252"/>
        <v>#REF!</v>
      </c>
      <c r="AG538" s="90">
        <v>0</v>
      </c>
    </row>
    <row r="539" spans="1:33" x14ac:dyDescent="0.2">
      <c r="A539" s="92" t="s">
        <v>1897</v>
      </c>
      <c r="B539" s="248" t="s">
        <v>1898</v>
      </c>
      <c r="C539" s="40" t="s">
        <v>1884</v>
      </c>
      <c r="D539" s="40">
        <v>2050</v>
      </c>
      <c r="E539" s="86">
        <f>GDPdeflator!$C$32*INDEX(Costs!$E$7:$O$89,MATCH($C539,Costs!$C$7:$C$89,0),MATCH(E$7,Costs!$E$6:$O$6,0))</f>
        <v>0</v>
      </c>
      <c r="F539" s="86">
        <f>GDPdeflator!$C$36*INDEX(Costs!$E$7:$O$89,MATCH($C539,Costs!$C$7:$C$89,0),MATCH(F$7,Costs!$E$6:$O$6,0))</f>
        <v>0</v>
      </c>
      <c r="G539" s="86">
        <f>GDPdeflator!$C$38*INDEX(Costs!$E$7:$O$89,MATCH($C539,Costs!$C$7:$C$89,0),MATCH(G$7,Costs!$E$6:$O$6,0))</f>
        <v>0</v>
      </c>
      <c r="H539" s="86">
        <f>GDPdeflator!$C$38*INDEX(Costs!$E$7:$O$89,MATCH($C539,Costs!$C$7:$C$89,0),MATCH(H$7,Costs!$E$6:$O$6,0))</f>
        <v>0</v>
      </c>
      <c r="I539" s="86">
        <f>GDPdeflator!$C$38*INDEX(Costs!$E$7:$O$89,MATCH($C539,Costs!$C$7:$C$89,0),MATCH(I$7,Costs!$E$6:$O$6,0))</f>
        <v>0</v>
      </c>
      <c r="J539" s="86">
        <f>GDPdeflator!$C$38*INDEX(Costs!$E$7:$O$89,MATCH($C539,Costs!$C$7:$C$89,0),MATCH(J$7,Costs!$E$6:$O$6,0))</f>
        <v>0</v>
      </c>
      <c r="K539" s="86">
        <f>GDPdeflator!$C$38*INDEX(Costs!$E$7:$O$89,MATCH($C539,Costs!$C$7:$C$89,0),MATCH(K$7,Costs!$E$6:$O$6,0))</f>
        <v>0</v>
      </c>
      <c r="L539" s="86">
        <f>GDPdeflator!$C$38*INDEX(Costs!$E$7:$O$89,MATCH($C539,Costs!$C$7:$C$89,0),MATCH(L$7,Costs!$E$6:$O$6,0))</f>
        <v>0</v>
      </c>
      <c r="M539" s="86">
        <f>GDPdeflator!$C$38*INDEX(Costs!$E$7:$O$89,MATCH($C539,Costs!$C$7:$C$89,0),MATCH(M$7,Costs!$E$6:$O$6,0))</f>
        <v>0</v>
      </c>
      <c r="N539" s="86">
        <f>GDPdeflator!$C$38*INDEX(Costs!$E$7:$O$89,MATCH($C539,Costs!$C$7:$C$89,0),MATCH(N$7,Costs!$E$6:$O$6,0))</f>
        <v>0</v>
      </c>
      <c r="O539" s="86">
        <f>GDPdeflator!$C$38*INDEX(Costs!$E$7:$O$89,MATCH($C539,Costs!$C$7:$C$89,0),MATCH(O$7,Costs!$E$6:$O$6,0))</f>
        <v>0</v>
      </c>
      <c r="P539" s="87">
        <f t="shared" si="251"/>
        <v>0</v>
      </c>
      <c r="Q539" s="87">
        <f t="shared" si="247"/>
        <v>0</v>
      </c>
      <c r="R539" s="87">
        <f t="shared" si="236"/>
        <v>0</v>
      </c>
      <c r="S539" s="87">
        <f t="shared" si="237"/>
        <v>0</v>
      </c>
      <c r="T539" s="87">
        <f t="shared" si="238"/>
        <v>0</v>
      </c>
      <c r="U539" s="87">
        <f t="shared" si="239"/>
        <v>0</v>
      </c>
      <c r="V539" s="87">
        <f t="shared" si="240"/>
        <v>0</v>
      </c>
      <c r="W539" s="87">
        <f t="shared" si="241"/>
        <v>0</v>
      </c>
      <c r="X539" s="87">
        <f t="shared" si="242"/>
        <v>0</v>
      </c>
      <c r="Y539" s="87">
        <f t="shared" si="243"/>
        <v>0</v>
      </c>
      <c r="Z539" s="87">
        <f t="shared" si="244"/>
        <v>0</v>
      </c>
      <c r="AA539" s="40">
        <v>473</v>
      </c>
      <c r="AB539" s="89">
        <f>AA539*GDPdeflator!$C$25/$AI$18*10^3</f>
        <v>45.478712808157368</v>
      </c>
      <c r="AC539" s="90" t="e">
        <f>INDEX(Efficiencies!$D$8:$M$89,MATCH(C539,Efficiencies!$C$8:$C$89),MATCH(D539,Efficiencies!$D$7:$M$7))</f>
        <v>#REF!</v>
      </c>
      <c r="AD539" s="90" t="e">
        <f t="shared" si="249"/>
        <v>#REF!</v>
      </c>
      <c r="AE539" s="90" t="e">
        <f>INDEX(Efficiencies!$P$8:$Y$89,MATCH(C539,Efficiencies!$C$8:$C$89),MATCH(D539,Efficiencies!$P$7:$Y$7))</f>
        <v>#REF!</v>
      </c>
      <c r="AF539" s="90" t="e">
        <f t="shared" si="252"/>
        <v>#REF!</v>
      </c>
      <c r="AG539" s="90">
        <v>0</v>
      </c>
    </row>
    <row r="540" spans="1:33" x14ac:dyDescent="0.2">
      <c r="A540" s="92" t="s">
        <v>1899</v>
      </c>
      <c r="B540" s="248" t="s">
        <v>1900</v>
      </c>
      <c r="C540" s="40" t="s">
        <v>1901</v>
      </c>
      <c r="D540" s="40">
        <v>2005</v>
      </c>
      <c r="E540" s="86">
        <f>GDPdeflator!$C$32*INDEX(Costs!$E$7:$O$89,MATCH($C540,Costs!$C$7:$C$89,0),MATCH(E$7,Costs!$E$6:$O$6,0))</f>
        <v>95.340501792114694</v>
      </c>
      <c r="F540" s="86">
        <f>GDPdeflator!$C$36*INDEX(Costs!$E$7:$O$89,MATCH($C540,Costs!$C$7:$C$89,0),MATCH(F$7,Costs!$E$6:$O$6,0))</f>
        <v>0</v>
      </c>
      <c r="G540" s="86">
        <f>GDPdeflator!$C$38*INDEX(Costs!$E$7:$O$89,MATCH($C540,Costs!$C$7:$C$89,0),MATCH(G$7,Costs!$E$6:$O$6,0))</f>
        <v>74.204659911239787</v>
      </c>
      <c r="H540" s="86">
        <f>GDPdeflator!$C$38*INDEX(Costs!$E$7:$O$89,MATCH($C540,Costs!$C$7:$C$89,0),MATCH(H$7,Costs!$E$6:$O$6,0))</f>
        <v>62.78923230033714</v>
      </c>
      <c r="I540" s="86">
        <f>GDPdeflator!$C$38*INDEX(Costs!$E$7:$O$89,MATCH($C540,Costs!$C$7:$C$89,0),MATCH(I$7,Costs!$E$6:$O$6,0))</f>
        <v>54.08091683967924</v>
      </c>
      <c r="J540" s="86">
        <f>GDPdeflator!$C$38*INDEX(Costs!$E$7:$O$89,MATCH($C540,Costs!$C$7:$C$89,0),MATCH(J$7,Costs!$E$6:$O$6,0))</f>
        <v>49.095975695701036</v>
      </c>
      <c r="K540" s="86">
        <f>GDPdeflator!$C$38*INDEX(Costs!$E$7:$O$89,MATCH($C540,Costs!$C$7:$C$89,0),MATCH(K$7,Costs!$E$6:$O$6,0))</f>
        <v>45.214905525609034</v>
      </c>
      <c r="L540" s="86">
        <f>GDPdeflator!$C$38*INDEX(Costs!$E$7:$O$89,MATCH($C540,Costs!$C$7:$C$89,0),MATCH(L$7,Costs!$E$6:$O$6,0))</f>
        <v>42.139836384068879</v>
      </c>
      <c r="M540" s="86">
        <f>GDPdeflator!$C$38*INDEX(Costs!$E$7:$O$89,MATCH($C540,Costs!$C$7:$C$89,0),MATCH(M$7,Costs!$E$6:$O$6,0))</f>
        <v>42.139836384068879</v>
      </c>
      <c r="N540" s="86">
        <f>GDPdeflator!$C$38*INDEX(Costs!$E$7:$O$89,MATCH($C540,Costs!$C$7:$C$89,0),MATCH(N$7,Costs!$E$6:$O$6,0))</f>
        <v>42.139836384068879</v>
      </c>
      <c r="O540" s="86">
        <f>GDPdeflator!$C$38*INDEX(Costs!$E$7:$O$89,MATCH($C540,Costs!$C$7:$C$89,0),MATCH(O$7,Costs!$E$6:$O$6,0))</f>
        <v>42.139836384068879</v>
      </c>
      <c r="P540" s="87">
        <f>E540/$AI$18*10^6</f>
        <v>7960.7552832486654</v>
      </c>
      <c r="Q540" s="87">
        <f t="shared" si="247"/>
        <v>0</v>
      </c>
      <c r="R540" s="87">
        <f t="shared" si="236"/>
        <v>6195.9516399244458</v>
      </c>
      <c r="S540" s="87">
        <f t="shared" si="237"/>
        <v>5242.7845812678279</v>
      </c>
      <c r="T540" s="87">
        <f t="shared" si="238"/>
        <v>4515.6563722849587</v>
      </c>
      <c r="U540" s="87">
        <f t="shared" si="239"/>
        <v>4099.423021267603</v>
      </c>
      <c r="V540" s="87">
        <f t="shared" si="240"/>
        <v>3775.360851670609</v>
      </c>
      <c r="W540" s="87">
        <f t="shared" si="241"/>
        <v>3518.5982748567399</v>
      </c>
      <c r="X540" s="87">
        <f t="shared" si="242"/>
        <v>3518.5982748567399</v>
      </c>
      <c r="Y540" s="87">
        <f t="shared" si="243"/>
        <v>3518.5982748567399</v>
      </c>
      <c r="Z540" s="87">
        <f t="shared" si="244"/>
        <v>3518.5982748567399</v>
      </c>
      <c r="AA540" s="40">
        <v>473</v>
      </c>
      <c r="AB540" s="89">
        <f>AA540*GDPdeflator!$C$25/$AI$18*10^3</f>
        <v>45.478712808157368</v>
      </c>
      <c r="AC540" s="90" t="e">
        <f>INDEX(Efficiencies!$D$8:$M$89,MATCH(C540,Efficiencies!$C$8:$C$89),MATCH(D540,Efficiencies!$D$7:$M$7))</f>
        <v>#REF!</v>
      </c>
      <c r="AD540" s="90" t="e">
        <f t="shared" si="249"/>
        <v>#REF!</v>
      </c>
      <c r="AE540" s="90" t="e">
        <f>INDEX(Efficiencies!$P$8:$Y$89,MATCH(C540,Efficiencies!$C$8:$C$89),MATCH(D540,Efficiencies!$P$7:$Y$7))</f>
        <v>#REF!</v>
      </c>
      <c r="AF540" s="90" t="e">
        <f t="shared" si="252"/>
        <v>#REF!</v>
      </c>
      <c r="AG540" s="90">
        <v>0</v>
      </c>
    </row>
    <row r="541" spans="1:33" x14ac:dyDescent="0.2">
      <c r="A541" s="92" t="s">
        <v>1902</v>
      </c>
      <c r="B541" s="248" t="s">
        <v>1903</v>
      </c>
      <c r="C541" s="40" t="s">
        <v>1901</v>
      </c>
      <c r="D541" s="40">
        <v>2010</v>
      </c>
      <c r="E541" s="86">
        <f>GDPdeflator!$C$32*INDEX(Costs!$E$7:$O$89,MATCH($C541,Costs!$C$7:$C$89,0),MATCH(E$7,Costs!$E$6:$O$6,0))</f>
        <v>95.340501792114694</v>
      </c>
      <c r="F541" s="86">
        <f>GDPdeflator!$C$36*INDEX(Costs!$E$7:$O$89,MATCH($C541,Costs!$C$7:$C$89,0),MATCH(F$7,Costs!$E$6:$O$6,0))</f>
        <v>0</v>
      </c>
      <c r="G541" s="86">
        <f>GDPdeflator!$C$38*INDEX(Costs!$E$7:$O$89,MATCH($C541,Costs!$C$7:$C$89,0),MATCH(G$7,Costs!$E$6:$O$6,0))</f>
        <v>74.204659911239787</v>
      </c>
      <c r="H541" s="86">
        <f>GDPdeflator!$C$38*INDEX(Costs!$E$7:$O$89,MATCH($C541,Costs!$C$7:$C$89,0),MATCH(H$7,Costs!$E$6:$O$6,0))</f>
        <v>62.78923230033714</v>
      </c>
      <c r="I541" s="86">
        <f>GDPdeflator!$C$38*INDEX(Costs!$E$7:$O$89,MATCH($C541,Costs!$C$7:$C$89,0),MATCH(I$7,Costs!$E$6:$O$6,0))</f>
        <v>54.08091683967924</v>
      </c>
      <c r="J541" s="86">
        <f>GDPdeflator!$C$38*INDEX(Costs!$E$7:$O$89,MATCH($C541,Costs!$C$7:$C$89,0),MATCH(J$7,Costs!$E$6:$O$6,0))</f>
        <v>49.095975695701036</v>
      </c>
      <c r="K541" s="86">
        <f>GDPdeflator!$C$38*INDEX(Costs!$E$7:$O$89,MATCH($C541,Costs!$C$7:$C$89,0),MATCH(K$7,Costs!$E$6:$O$6,0))</f>
        <v>45.214905525609034</v>
      </c>
      <c r="L541" s="86">
        <f>GDPdeflator!$C$38*INDEX(Costs!$E$7:$O$89,MATCH($C541,Costs!$C$7:$C$89,0),MATCH(L$7,Costs!$E$6:$O$6,0))</f>
        <v>42.139836384068879</v>
      </c>
      <c r="M541" s="86">
        <f>GDPdeflator!$C$38*INDEX(Costs!$E$7:$O$89,MATCH($C541,Costs!$C$7:$C$89,0),MATCH(M$7,Costs!$E$6:$O$6,0))</f>
        <v>42.139836384068879</v>
      </c>
      <c r="N541" s="86">
        <f>GDPdeflator!$C$38*INDEX(Costs!$E$7:$O$89,MATCH($C541,Costs!$C$7:$C$89,0),MATCH(N$7,Costs!$E$6:$O$6,0))</f>
        <v>42.139836384068879</v>
      </c>
      <c r="O541" s="86">
        <f>GDPdeflator!$C$38*INDEX(Costs!$E$7:$O$89,MATCH($C541,Costs!$C$7:$C$89,0),MATCH(O$7,Costs!$E$6:$O$6,0))</f>
        <v>42.139836384068879</v>
      </c>
      <c r="P541" s="87">
        <f t="shared" ref="P541:P549" si="253">E541/$AI$18*10^6</f>
        <v>7960.7552832486654</v>
      </c>
      <c r="Q541" s="87">
        <f t="shared" si="247"/>
        <v>0</v>
      </c>
      <c r="R541" s="87">
        <f t="shared" si="236"/>
        <v>6195.9516399244458</v>
      </c>
      <c r="S541" s="87">
        <f t="shared" si="237"/>
        <v>5242.7845812678279</v>
      </c>
      <c r="T541" s="87">
        <f t="shared" si="238"/>
        <v>4515.6563722849587</v>
      </c>
      <c r="U541" s="87">
        <f t="shared" si="239"/>
        <v>4099.423021267603</v>
      </c>
      <c r="V541" s="87">
        <f t="shared" si="240"/>
        <v>3775.360851670609</v>
      </c>
      <c r="W541" s="87">
        <f t="shared" si="241"/>
        <v>3518.5982748567399</v>
      </c>
      <c r="X541" s="87">
        <f t="shared" si="242"/>
        <v>3518.5982748567399</v>
      </c>
      <c r="Y541" s="87">
        <f t="shared" si="243"/>
        <v>3518.5982748567399</v>
      </c>
      <c r="Z541" s="87">
        <f t="shared" si="244"/>
        <v>3518.5982748567399</v>
      </c>
      <c r="AA541" s="40">
        <v>473</v>
      </c>
      <c r="AB541" s="89">
        <f>AA541*GDPdeflator!$C$25/$AI$18*10^3</f>
        <v>45.478712808157368</v>
      </c>
      <c r="AC541" s="90" t="e">
        <f>INDEX(Efficiencies!$D$8:$M$89,MATCH(C541,Efficiencies!$C$8:$C$89),MATCH(D541,Efficiencies!$D$7:$M$7))</f>
        <v>#REF!</v>
      </c>
      <c r="AD541" s="90" t="e">
        <f t="shared" si="249"/>
        <v>#REF!</v>
      </c>
      <c r="AE541" s="90" t="e">
        <f>INDEX(Efficiencies!$P$8:$Y$89,MATCH(C541,Efficiencies!$C$8:$C$89),MATCH(D541,Efficiencies!$P$7:$Y$7))</f>
        <v>#REF!</v>
      </c>
      <c r="AF541" s="90" t="e">
        <f t="shared" si="252"/>
        <v>#REF!</v>
      </c>
      <c r="AG541" s="90">
        <v>0</v>
      </c>
    </row>
    <row r="542" spans="1:33" x14ac:dyDescent="0.2">
      <c r="A542" s="92" t="s">
        <v>1904</v>
      </c>
      <c r="B542" s="248" t="s">
        <v>1905</v>
      </c>
      <c r="C542" s="40" t="s">
        <v>1901</v>
      </c>
      <c r="D542" s="40">
        <v>2015</v>
      </c>
      <c r="E542" s="86">
        <f>GDPdeflator!$C$32*INDEX(Costs!$E$7:$O$89,MATCH($C542,Costs!$C$7:$C$89,0),MATCH(E$7,Costs!$E$6:$O$6,0))</f>
        <v>95.340501792114694</v>
      </c>
      <c r="F542" s="86">
        <f>GDPdeflator!$C$36*INDEX(Costs!$E$7:$O$89,MATCH($C542,Costs!$C$7:$C$89,0),MATCH(F$7,Costs!$E$6:$O$6,0))</f>
        <v>0</v>
      </c>
      <c r="G542" s="86">
        <f>GDPdeflator!$C$38*INDEX(Costs!$E$7:$O$89,MATCH($C542,Costs!$C$7:$C$89,0),MATCH(G$7,Costs!$E$6:$O$6,0))</f>
        <v>74.204659911239787</v>
      </c>
      <c r="H542" s="86">
        <f>GDPdeflator!$C$38*INDEX(Costs!$E$7:$O$89,MATCH($C542,Costs!$C$7:$C$89,0),MATCH(H$7,Costs!$E$6:$O$6,0))</f>
        <v>62.78923230033714</v>
      </c>
      <c r="I542" s="86">
        <f>GDPdeflator!$C$38*INDEX(Costs!$E$7:$O$89,MATCH($C542,Costs!$C$7:$C$89,0),MATCH(I$7,Costs!$E$6:$O$6,0))</f>
        <v>54.08091683967924</v>
      </c>
      <c r="J542" s="86">
        <f>GDPdeflator!$C$38*INDEX(Costs!$E$7:$O$89,MATCH($C542,Costs!$C$7:$C$89,0),MATCH(J$7,Costs!$E$6:$O$6,0))</f>
        <v>49.095975695701036</v>
      </c>
      <c r="K542" s="86">
        <f>GDPdeflator!$C$38*INDEX(Costs!$E$7:$O$89,MATCH($C542,Costs!$C$7:$C$89,0),MATCH(K$7,Costs!$E$6:$O$6,0))</f>
        <v>45.214905525609034</v>
      </c>
      <c r="L542" s="86">
        <f>GDPdeflator!$C$38*INDEX(Costs!$E$7:$O$89,MATCH($C542,Costs!$C$7:$C$89,0),MATCH(L$7,Costs!$E$6:$O$6,0))</f>
        <v>42.139836384068879</v>
      </c>
      <c r="M542" s="86">
        <f>GDPdeflator!$C$38*INDEX(Costs!$E$7:$O$89,MATCH($C542,Costs!$C$7:$C$89,0),MATCH(M$7,Costs!$E$6:$O$6,0))</f>
        <v>42.139836384068879</v>
      </c>
      <c r="N542" s="86">
        <f>GDPdeflator!$C$38*INDEX(Costs!$E$7:$O$89,MATCH($C542,Costs!$C$7:$C$89,0),MATCH(N$7,Costs!$E$6:$O$6,0))</f>
        <v>42.139836384068879</v>
      </c>
      <c r="O542" s="86">
        <f>GDPdeflator!$C$38*INDEX(Costs!$E$7:$O$89,MATCH($C542,Costs!$C$7:$C$89,0),MATCH(O$7,Costs!$E$6:$O$6,0))</f>
        <v>42.139836384068879</v>
      </c>
      <c r="P542" s="87">
        <f t="shared" si="253"/>
        <v>7960.7552832486654</v>
      </c>
      <c r="Q542" s="87">
        <f t="shared" si="247"/>
        <v>0</v>
      </c>
      <c r="R542" s="87">
        <f t="shared" si="236"/>
        <v>6195.9516399244458</v>
      </c>
      <c r="S542" s="87">
        <f t="shared" si="237"/>
        <v>5242.7845812678279</v>
      </c>
      <c r="T542" s="87">
        <f t="shared" si="238"/>
        <v>4515.6563722849587</v>
      </c>
      <c r="U542" s="87">
        <f t="shared" si="239"/>
        <v>4099.423021267603</v>
      </c>
      <c r="V542" s="87">
        <f t="shared" si="240"/>
        <v>3775.360851670609</v>
      </c>
      <c r="W542" s="87">
        <f t="shared" si="241"/>
        <v>3518.5982748567399</v>
      </c>
      <c r="X542" s="87">
        <f t="shared" si="242"/>
        <v>3518.5982748567399</v>
      </c>
      <c r="Y542" s="87">
        <f t="shared" si="243"/>
        <v>3518.5982748567399</v>
      </c>
      <c r="Z542" s="87">
        <f t="shared" si="244"/>
        <v>3518.5982748567399</v>
      </c>
      <c r="AA542" s="40">
        <v>473</v>
      </c>
      <c r="AB542" s="89">
        <f>AA542*GDPdeflator!$C$25/$AI$18*10^3</f>
        <v>45.478712808157368</v>
      </c>
      <c r="AC542" s="90" t="e">
        <f>INDEX(Efficiencies!$D$8:$M$89,MATCH(C542,Efficiencies!$C$8:$C$89),MATCH(D542,Efficiencies!$D$7:$M$7))</f>
        <v>#REF!</v>
      </c>
      <c r="AD542" s="90" t="e">
        <f t="shared" si="249"/>
        <v>#REF!</v>
      </c>
      <c r="AE542" s="90" t="e">
        <f>INDEX(Efficiencies!$P$8:$Y$89,MATCH(C542,Efficiencies!$C$8:$C$89),MATCH(D542,Efficiencies!$P$7:$Y$7))</f>
        <v>#REF!</v>
      </c>
      <c r="AF542" s="90" t="e">
        <f t="shared" si="252"/>
        <v>#REF!</v>
      </c>
      <c r="AG542" s="90">
        <v>0</v>
      </c>
    </row>
    <row r="543" spans="1:33" x14ac:dyDescent="0.2">
      <c r="A543" s="92" t="s">
        <v>1906</v>
      </c>
      <c r="B543" s="248" t="s">
        <v>1907</v>
      </c>
      <c r="C543" s="40" t="s">
        <v>1901</v>
      </c>
      <c r="D543" s="40">
        <v>2020</v>
      </c>
      <c r="E543" s="86">
        <f>GDPdeflator!$C$32*INDEX(Costs!$E$7:$O$89,MATCH($C543,Costs!$C$7:$C$89,0),MATCH(E$7,Costs!$E$6:$O$6,0))</f>
        <v>95.340501792114694</v>
      </c>
      <c r="F543" s="86">
        <f>GDPdeflator!$C$36*INDEX(Costs!$E$7:$O$89,MATCH($C543,Costs!$C$7:$C$89,0),MATCH(F$7,Costs!$E$6:$O$6,0))</f>
        <v>0</v>
      </c>
      <c r="G543" s="86">
        <f>GDPdeflator!$C$38*INDEX(Costs!$E$7:$O$89,MATCH($C543,Costs!$C$7:$C$89,0),MATCH(G$7,Costs!$E$6:$O$6,0))</f>
        <v>74.204659911239787</v>
      </c>
      <c r="H543" s="86">
        <f>GDPdeflator!$C$38*INDEX(Costs!$E$7:$O$89,MATCH($C543,Costs!$C$7:$C$89,0),MATCH(H$7,Costs!$E$6:$O$6,0))</f>
        <v>62.78923230033714</v>
      </c>
      <c r="I543" s="86">
        <f>GDPdeflator!$C$38*INDEX(Costs!$E$7:$O$89,MATCH($C543,Costs!$C$7:$C$89,0),MATCH(I$7,Costs!$E$6:$O$6,0))</f>
        <v>54.08091683967924</v>
      </c>
      <c r="J543" s="86">
        <f>GDPdeflator!$C$38*INDEX(Costs!$E$7:$O$89,MATCH($C543,Costs!$C$7:$C$89,0),MATCH(J$7,Costs!$E$6:$O$6,0))</f>
        <v>49.095975695701036</v>
      </c>
      <c r="K543" s="86">
        <f>GDPdeflator!$C$38*INDEX(Costs!$E$7:$O$89,MATCH($C543,Costs!$C$7:$C$89,0),MATCH(K$7,Costs!$E$6:$O$6,0))</f>
        <v>45.214905525609034</v>
      </c>
      <c r="L543" s="86">
        <f>GDPdeflator!$C$38*INDEX(Costs!$E$7:$O$89,MATCH($C543,Costs!$C$7:$C$89,0),MATCH(L$7,Costs!$E$6:$O$6,0))</f>
        <v>42.139836384068879</v>
      </c>
      <c r="M543" s="86">
        <f>GDPdeflator!$C$38*INDEX(Costs!$E$7:$O$89,MATCH($C543,Costs!$C$7:$C$89,0),MATCH(M$7,Costs!$E$6:$O$6,0))</f>
        <v>42.139836384068879</v>
      </c>
      <c r="N543" s="86">
        <f>GDPdeflator!$C$38*INDEX(Costs!$E$7:$O$89,MATCH($C543,Costs!$C$7:$C$89,0),MATCH(N$7,Costs!$E$6:$O$6,0))</f>
        <v>42.139836384068879</v>
      </c>
      <c r="O543" s="86">
        <f>GDPdeflator!$C$38*INDEX(Costs!$E$7:$O$89,MATCH($C543,Costs!$C$7:$C$89,0),MATCH(O$7,Costs!$E$6:$O$6,0))</f>
        <v>42.139836384068879</v>
      </c>
      <c r="P543" s="87">
        <f t="shared" si="253"/>
        <v>7960.7552832486654</v>
      </c>
      <c r="Q543" s="87">
        <f t="shared" si="247"/>
        <v>0</v>
      </c>
      <c r="R543" s="87">
        <f t="shared" si="236"/>
        <v>6195.9516399244458</v>
      </c>
      <c r="S543" s="87">
        <f t="shared" si="237"/>
        <v>5242.7845812678279</v>
      </c>
      <c r="T543" s="87">
        <f t="shared" si="238"/>
        <v>4515.6563722849587</v>
      </c>
      <c r="U543" s="87">
        <f t="shared" si="239"/>
        <v>4099.423021267603</v>
      </c>
      <c r="V543" s="87">
        <f t="shared" si="240"/>
        <v>3775.360851670609</v>
      </c>
      <c r="W543" s="87">
        <f t="shared" si="241"/>
        <v>3518.5982748567399</v>
      </c>
      <c r="X543" s="87">
        <f t="shared" si="242"/>
        <v>3518.5982748567399</v>
      </c>
      <c r="Y543" s="87">
        <f t="shared" si="243"/>
        <v>3518.5982748567399</v>
      </c>
      <c r="Z543" s="87">
        <f t="shared" si="244"/>
        <v>3518.5982748567399</v>
      </c>
      <c r="AA543" s="40">
        <v>473</v>
      </c>
      <c r="AB543" s="89">
        <f>AA543*GDPdeflator!$C$25/$AI$18*10^3</f>
        <v>45.478712808157368</v>
      </c>
      <c r="AC543" s="90" t="e">
        <f>INDEX(Efficiencies!$D$8:$M$89,MATCH(C543,Efficiencies!$C$8:$C$89),MATCH(D543,Efficiencies!$D$7:$M$7))</f>
        <v>#REF!</v>
      </c>
      <c r="AD543" s="90" t="e">
        <f t="shared" si="249"/>
        <v>#REF!</v>
      </c>
      <c r="AE543" s="90" t="e">
        <f>INDEX(Efficiencies!$P$8:$Y$89,MATCH(C543,Efficiencies!$C$8:$C$89),MATCH(D543,Efficiencies!$P$7:$Y$7))</f>
        <v>#REF!</v>
      </c>
      <c r="AF543" s="90" t="e">
        <f t="shared" si="252"/>
        <v>#REF!</v>
      </c>
      <c r="AG543" s="90">
        <v>0</v>
      </c>
    </row>
    <row r="544" spans="1:33" x14ac:dyDescent="0.2">
      <c r="A544" s="92" t="s">
        <v>1908</v>
      </c>
      <c r="B544" s="248" t="s">
        <v>1909</v>
      </c>
      <c r="C544" s="40" t="s">
        <v>1901</v>
      </c>
      <c r="D544" s="40">
        <v>2025</v>
      </c>
      <c r="E544" s="86">
        <f>GDPdeflator!$C$32*INDEX(Costs!$E$7:$O$89,MATCH($C544,Costs!$C$7:$C$89,0),MATCH(E$7,Costs!$E$6:$O$6,0))</f>
        <v>95.340501792114694</v>
      </c>
      <c r="F544" s="86">
        <f>GDPdeflator!$C$36*INDEX(Costs!$E$7:$O$89,MATCH($C544,Costs!$C$7:$C$89,0),MATCH(F$7,Costs!$E$6:$O$6,0))</f>
        <v>0</v>
      </c>
      <c r="G544" s="86">
        <f>GDPdeflator!$C$38*INDEX(Costs!$E$7:$O$89,MATCH($C544,Costs!$C$7:$C$89,0),MATCH(G$7,Costs!$E$6:$O$6,0))</f>
        <v>74.204659911239787</v>
      </c>
      <c r="H544" s="86">
        <f>GDPdeflator!$C$38*INDEX(Costs!$E$7:$O$89,MATCH($C544,Costs!$C$7:$C$89,0),MATCH(H$7,Costs!$E$6:$O$6,0))</f>
        <v>62.78923230033714</v>
      </c>
      <c r="I544" s="86">
        <f>GDPdeflator!$C$38*INDEX(Costs!$E$7:$O$89,MATCH($C544,Costs!$C$7:$C$89,0),MATCH(I$7,Costs!$E$6:$O$6,0))</f>
        <v>54.08091683967924</v>
      </c>
      <c r="J544" s="86">
        <f>GDPdeflator!$C$38*INDEX(Costs!$E$7:$O$89,MATCH($C544,Costs!$C$7:$C$89,0),MATCH(J$7,Costs!$E$6:$O$6,0))</f>
        <v>49.095975695701036</v>
      </c>
      <c r="K544" s="86">
        <f>GDPdeflator!$C$38*INDEX(Costs!$E$7:$O$89,MATCH($C544,Costs!$C$7:$C$89,0),MATCH(K$7,Costs!$E$6:$O$6,0))</f>
        <v>45.214905525609034</v>
      </c>
      <c r="L544" s="86">
        <f>GDPdeflator!$C$38*INDEX(Costs!$E$7:$O$89,MATCH($C544,Costs!$C$7:$C$89,0),MATCH(L$7,Costs!$E$6:$O$6,0))</f>
        <v>42.139836384068879</v>
      </c>
      <c r="M544" s="86">
        <f>GDPdeflator!$C$38*INDEX(Costs!$E$7:$O$89,MATCH($C544,Costs!$C$7:$C$89,0),MATCH(M$7,Costs!$E$6:$O$6,0))</f>
        <v>42.139836384068879</v>
      </c>
      <c r="N544" s="86">
        <f>GDPdeflator!$C$38*INDEX(Costs!$E$7:$O$89,MATCH($C544,Costs!$C$7:$C$89,0),MATCH(N$7,Costs!$E$6:$O$6,0))</f>
        <v>42.139836384068879</v>
      </c>
      <c r="O544" s="86">
        <f>GDPdeflator!$C$38*INDEX(Costs!$E$7:$O$89,MATCH($C544,Costs!$C$7:$C$89,0),MATCH(O$7,Costs!$E$6:$O$6,0))</f>
        <v>42.139836384068879</v>
      </c>
      <c r="P544" s="87">
        <f t="shared" si="253"/>
        <v>7960.7552832486654</v>
      </c>
      <c r="Q544" s="87">
        <f t="shared" si="247"/>
        <v>0</v>
      </c>
      <c r="R544" s="87">
        <f t="shared" si="236"/>
        <v>6195.9516399244458</v>
      </c>
      <c r="S544" s="87">
        <f t="shared" si="237"/>
        <v>5242.7845812678279</v>
      </c>
      <c r="T544" s="87">
        <f t="shared" si="238"/>
        <v>4515.6563722849587</v>
      </c>
      <c r="U544" s="87">
        <f t="shared" si="239"/>
        <v>4099.423021267603</v>
      </c>
      <c r="V544" s="87">
        <f t="shared" si="240"/>
        <v>3775.360851670609</v>
      </c>
      <c r="W544" s="87">
        <f t="shared" si="241"/>
        <v>3518.5982748567399</v>
      </c>
      <c r="X544" s="87">
        <f t="shared" si="242"/>
        <v>3518.5982748567399</v>
      </c>
      <c r="Y544" s="87">
        <f t="shared" si="243"/>
        <v>3518.5982748567399</v>
      </c>
      <c r="Z544" s="87">
        <f t="shared" si="244"/>
        <v>3518.5982748567399</v>
      </c>
      <c r="AA544" s="40">
        <v>473</v>
      </c>
      <c r="AB544" s="89">
        <f>AA544*GDPdeflator!$C$25/$AI$18*10^3</f>
        <v>45.478712808157368</v>
      </c>
      <c r="AC544" s="90" t="e">
        <f>INDEX(Efficiencies!$D$8:$M$89,MATCH(C544,Efficiencies!$C$8:$C$89),MATCH(D544,Efficiencies!$D$7:$M$7))</f>
        <v>#REF!</v>
      </c>
      <c r="AD544" s="90" t="e">
        <f t="shared" si="249"/>
        <v>#REF!</v>
      </c>
      <c r="AE544" s="90" t="e">
        <f>INDEX(Efficiencies!$P$8:$Y$89,MATCH(C544,Efficiencies!$C$8:$C$89),MATCH(D544,Efficiencies!$P$7:$Y$7))</f>
        <v>#REF!</v>
      </c>
      <c r="AF544" s="90" t="e">
        <f t="shared" si="252"/>
        <v>#REF!</v>
      </c>
      <c r="AG544" s="90">
        <v>0</v>
      </c>
    </row>
    <row r="545" spans="1:33" x14ac:dyDescent="0.2">
      <c r="A545" s="92" t="s">
        <v>1910</v>
      </c>
      <c r="B545" s="248" t="s">
        <v>1911</v>
      </c>
      <c r="C545" s="40" t="s">
        <v>1901</v>
      </c>
      <c r="D545" s="40">
        <v>2030</v>
      </c>
      <c r="E545" s="86">
        <f>GDPdeflator!$C$32*INDEX(Costs!$E$7:$O$89,MATCH($C545,Costs!$C$7:$C$89,0),MATCH(E$7,Costs!$E$6:$O$6,0))</f>
        <v>95.340501792114694</v>
      </c>
      <c r="F545" s="86">
        <f>GDPdeflator!$C$36*INDEX(Costs!$E$7:$O$89,MATCH($C545,Costs!$C$7:$C$89,0),MATCH(F$7,Costs!$E$6:$O$6,0))</f>
        <v>0</v>
      </c>
      <c r="G545" s="86">
        <f>GDPdeflator!$C$38*INDEX(Costs!$E$7:$O$89,MATCH($C545,Costs!$C$7:$C$89,0),MATCH(G$7,Costs!$E$6:$O$6,0))</f>
        <v>74.204659911239787</v>
      </c>
      <c r="H545" s="86">
        <f>GDPdeflator!$C$38*INDEX(Costs!$E$7:$O$89,MATCH($C545,Costs!$C$7:$C$89,0),MATCH(H$7,Costs!$E$6:$O$6,0))</f>
        <v>62.78923230033714</v>
      </c>
      <c r="I545" s="86">
        <f>GDPdeflator!$C$38*INDEX(Costs!$E$7:$O$89,MATCH($C545,Costs!$C$7:$C$89,0),MATCH(I$7,Costs!$E$6:$O$6,0))</f>
        <v>54.08091683967924</v>
      </c>
      <c r="J545" s="86">
        <f>GDPdeflator!$C$38*INDEX(Costs!$E$7:$O$89,MATCH($C545,Costs!$C$7:$C$89,0),MATCH(J$7,Costs!$E$6:$O$6,0))</f>
        <v>49.095975695701036</v>
      </c>
      <c r="K545" s="86">
        <f>GDPdeflator!$C$38*INDEX(Costs!$E$7:$O$89,MATCH($C545,Costs!$C$7:$C$89,0),MATCH(K$7,Costs!$E$6:$O$6,0))</f>
        <v>45.214905525609034</v>
      </c>
      <c r="L545" s="86">
        <f>GDPdeflator!$C$38*INDEX(Costs!$E$7:$O$89,MATCH($C545,Costs!$C$7:$C$89,0),MATCH(L$7,Costs!$E$6:$O$6,0))</f>
        <v>42.139836384068879</v>
      </c>
      <c r="M545" s="86">
        <f>GDPdeflator!$C$38*INDEX(Costs!$E$7:$O$89,MATCH($C545,Costs!$C$7:$C$89,0),MATCH(M$7,Costs!$E$6:$O$6,0))</f>
        <v>42.139836384068879</v>
      </c>
      <c r="N545" s="86">
        <f>GDPdeflator!$C$38*INDEX(Costs!$E$7:$O$89,MATCH($C545,Costs!$C$7:$C$89,0),MATCH(N$7,Costs!$E$6:$O$6,0))</f>
        <v>42.139836384068879</v>
      </c>
      <c r="O545" s="86">
        <f>GDPdeflator!$C$38*INDEX(Costs!$E$7:$O$89,MATCH($C545,Costs!$C$7:$C$89,0),MATCH(O$7,Costs!$E$6:$O$6,0))</f>
        <v>42.139836384068879</v>
      </c>
      <c r="P545" s="87">
        <f t="shared" si="253"/>
        <v>7960.7552832486654</v>
      </c>
      <c r="Q545" s="87">
        <f t="shared" si="247"/>
        <v>0</v>
      </c>
      <c r="R545" s="87">
        <f t="shared" si="236"/>
        <v>6195.9516399244458</v>
      </c>
      <c r="S545" s="87">
        <f t="shared" si="237"/>
        <v>5242.7845812678279</v>
      </c>
      <c r="T545" s="87">
        <f t="shared" si="238"/>
        <v>4515.6563722849587</v>
      </c>
      <c r="U545" s="87">
        <f t="shared" si="239"/>
        <v>4099.423021267603</v>
      </c>
      <c r="V545" s="87">
        <f t="shared" si="240"/>
        <v>3775.360851670609</v>
      </c>
      <c r="W545" s="87">
        <f t="shared" si="241"/>
        <v>3518.5982748567399</v>
      </c>
      <c r="X545" s="87">
        <f t="shared" si="242"/>
        <v>3518.5982748567399</v>
      </c>
      <c r="Y545" s="87">
        <f t="shared" si="243"/>
        <v>3518.5982748567399</v>
      </c>
      <c r="Z545" s="87">
        <f t="shared" si="244"/>
        <v>3518.5982748567399</v>
      </c>
      <c r="AA545" s="40">
        <v>473</v>
      </c>
      <c r="AB545" s="89">
        <f>AA545*GDPdeflator!$C$25/$AI$18*10^3</f>
        <v>45.478712808157368</v>
      </c>
      <c r="AC545" s="90" t="e">
        <f>INDEX(Efficiencies!$D$8:$M$89,MATCH(C545,Efficiencies!$C$8:$C$89),MATCH(D545,Efficiencies!$D$7:$M$7))</f>
        <v>#REF!</v>
      </c>
      <c r="AD545" s="90" t="e">
        <f t="shared" si="249"/>
        <v>#REF!</v>
      </c>
      <c r="AE545" s="90" t="e">
        <f>INDEX(Efficiencies!$P$8:$Y$89,MATCH(C545,Efficiencies!$C$8:$C$89),MATCH(D545,Efficiencies!$P$7:$Y$7))</f>
        <v>#REF!</v>
      </c>
      <c r="AF545" s="90" t="e">
        <f t="shared" si="252"/>
        <v>#REF!</v>
      </c>
      <c r="AG545" s="90">
        <v>0</v>
      </c>
    </row>
    <row r="546" spans="1:33" x14ac:dyDescent="0.2">
      <c r="A546" s="92" t="s">
        <v>1912</v>
      </c>
      <c r="B546" s="248" t="s">
        <v>1913</v>
      </c>
      <c r="C546" s="40" t="s">
        <v>1901</v>
      </c>
      <c r="D546" s="40">
        <v>2035</v>
      </c>
      <c r="E546" s="86">
        <f>GDPdeflator!$C$32*INDEX(Costs!$E$7:$O$89,MATCH($C546,Costs!$C$7:$C$89,0),MATCH(E$7,Costs!$E$6:$O$6,0))</f>
        <v>95.340501792114694</v>
      </c>
      <c r="F546" s="86">
        <f>GDPdeflator!$C$36*INDEX(Costs!$E$7:$O$89,MATCH($C546,Costs!$C$7:$C$89,0),MATCH(F$7,Costs!$E$6:$O$6,0))</f>
        <v>0</v>
      </c>
      <c r="G546" s="86">
        <f>GDPdeflator!$C$38*INDEX(Costs!$E$7:$O$89,MATCH($C546,Costs!$C$7:$C$89,0),MATCH(G$7,Costs!$E$6:$O$6,0))</f>
        <v>74.204659911239787</v>
      </c>
      <c r="H546" s="86">
        <f>GDPdeflator!$C$38*INDEX(Costs!$E$7:$O$89,MATCH($C546,Costs!$C$7:$C$89,0),MATCH(H$7,Costs!$E$6:$O$6,0))</f>
        <v>62.78923230033714</v>
      </c>
      <c r="I546" s="86">
        <f>GDPdeflator!$C$38*INDEX(Costs!$E$7:$O$89,MATCH($C546,Costs!$C$7:$C$89,0),MATCH(I$7,Costs!$E$6:$O$6,0))</f>
        <v>54.08091683967924</v>
      </c>
      <c r="J546" s="86">
        <f>GDPdeflator!$C$38*INDEX(Costs!$E$7:$O$89,MATCH($C546,Costs!$C$7:$C$89,0),MATCH(J$7,Costs!$E$6:$O$6,0))</f>
        <v>49.095975695701036</v>
      </c>
      <c r="K546" s="86">
        <f>GDPdeflator!$C$38*INDEX(Costs!$E$7:$O$89,MATCH($C546,Costs!$C$7:$C$89,0),MATCH(K$7,Costs!$E$6:$O$6,0))</f>
        <v>45.214905525609034</v>
      </c>
      <c r="L546" s="86">
        <f>GDPdeflator!$C$38*INDEX(Costs!$E$7:$O$89,MATCH($C546,Costs!$C$7:$C$89,0),MATCH(L$7,Costs!$E$6:$O$6,0))</f>
        <v>42.139836384068879</v>
      </c>
      <c r="M546" s="86">
        <f>GDPdeflator!$C$38*INDEX(Costs!$E$7:$O$89,MATCH($C546,Costs!$C$7:$C$89,0),MATCH(M$7,Costs!$E$6:$O$6,0))</f>
        <v>42.139836384068879</v>
      </c>
      <c r="N546" s="86">
        <f>GDPdeflator!$C$38*INDEX(Costs!$E$7:$O$89,MATCH($C546,Costs!$C$7:$C$89,0),MATCH(N$7,Costs!$E$6:$O$6,0))</f>
        <v>42.139836384068879</v>
      </c>
      <c r="O546" s="86">
        <f>GDPdeflator!$C$38*INDEX(Costs!$E$7:$O$89,MATCH($C546,Costs!$C$7:$C$89,0),MATCH(O$7,Costs!$E$6:$O$6,0))</f>
        <v>42.139836384068879</v>
      </c>
      <c r="P546" s="87">
        <f t="shared" si="253"/>
        <v>7960.7552832486654</v>
      </c>
      <c r="Q546" s="87">
        <f t="shared" si="247"/>
        <v>0</v>
      </c>
      <c r="R546" s="87">
        <f t="shared" si="236"/>
        <v>6195.9516399244458</v>
      </c>
      <c r="S546" s="87">
        <f t="shared" si="237"/>
        <v>5242.7845812678279</v>
      </c>
      <c r="T546" s="87">
        <f t="shared" si="238"/>
        <v>4515.6563722849587</v>
      </c>
      <c r="U546" s="87">
        <f t="shared" si="239"/>
        <v>4099.423021267603</v>
      </c>
      <c r="V546" s="87">
        <f t="shared" si="240"/>
        <v>3775.360851670609</v>
      </c>
      <c r="W546" s="87">
        <f t="shared" si="241"/>
        <v>3518.5982748567399</v>
      </c>
      <c r="X546" s="87">
        <f t="shared" si="242"/>
        <v>3518.5982748567399</v>
      </c>
      <c r="Y546" s="87">
        <f t="shared" si="243"/>
        <v>3518.5982748567399</v>
      </c>
      <c r="Z546" s="87">
        <f t="shared" si="244"/>
        <v>3518.5982748567399</v>
      </c>
      <c r="AA546" s="40">
        <v>473</v>
      </c>
      <c r="AB546" s="89">
        <f>AA546*GDPdeflator!$C$25/$AI$18*10^3</f>
        <v>45.478712808157368</v>
      </c>
      <c r="AC546" s="90" t="e">
        <f>INDEX(Efficiencies!$D$8:$M$89,MATCH(C546,Efficiencies!$C$8:$C$89),MATCH(D546,Efficiencies!$D$7:$M$7))</f>
        <v>#REF!</v>
      </c>
      <c r="AD546" s="90" t="e">
        <f t="shared" si="249"/>
        <v>#REF!</v>
      </c>
      <c r="AE546" s="90" t="e">
        <f>INDEX(Efficiencies!$P$8:$Y$89,MATCH(C546,Efficiencies!$C$8:$C$89),MATCH(D546,Efficiencies!$P$7:$Y$7))</f>
        <v>#REF!</v>
      </c>
      <c r="AF546" s="90" t="e">
        <f t="shared" si="252"/>
        <v>#REF!</v>
      </c>
      <c r="AG546" s="90">
        <v>0</v>
      </c>
    </row>
    <row r="547" spans="1:33" x14ac:dyDescent="0.2">
      <c r="A547" s="92" t="s">
        <v>1914</v>
      </c>
      <c r="B547" s="248" t="s">
        <v>1915</v>
      </c>
      <c r="C547" s="40" t="s">
        <v>1901</v>
      </c>
      <c r="D547" s="40">
        <v>2040</v>
      </c>
      <c r="E547" s="86">
        <f>GDPdeflator!$C$32*INDEX(Costs!$E$7:$O$89,MATCH($C547,Costs!$C$7:$C$89,0),MATCH(E$7,Costs!$E$6:$O$6,0))</f>
        <v>95.340501792114694</v>
      </c>
      <c r="F547" s="86">
        <f>GDPdeflator!$C$36*INDEX(Costs!$E$7:$O$89,MATCH($C547,Costs!$C$7:$C$89,0),MATCH(F$7,Costs!$E$6:$O$6,0))</f>
        <v>0</v>
      </c>
      <c r="G547" s="86">
        <f>GDPdeflator!$C$38*INDEX(Costs!$E$7:$O$89,MATCH($C547,Costs!$C$7:$C$89,0),MATCH(G$7,Costs!$E$6:$O$6,0))</f>
        <v>74.204659911239787</v>
      </c>
      <c r="H547" s="86">
        <f>GDPdeflator!$C$38*INDEX(Costs!$E$7:$O$89,MATCH($C547,Costs!$C$7:$C$89,0),MATCH(H$7,Costs!$E$6:$O$6,0))</f>
        <v>62.78923230033714</v>
      </c>
      <c r="I547" s="86">
        <f>GDPdeflator!$C$38*INDEX(Costs!$E$7:$O$89,MATCH($C547,Costs!$C$7:$C$89,0),MATCH(I$7,Costs!$E$6:$O$6,0))</f>
        <v>54.08091683967924</v>
      </c>
      <c r="J547" s="86">
        <f>GDPdeflator!$C$38*INDEX(Costs!$E$7:$O$89,MATCH($C547,Costs!$C$7:$C$89,0),MATCH(J$7,Costs!$E$6:$O$6,0))</f>
        <v>49.095975695701036</v>
      </c>
      <c r="K547" s="86">
        <f>GDPdeflator!$C$38*INDEX(Costs!$E$7:$O$89,MATCH($C547,Costs!$C$7:$C$89,0),MATCH(K$7,Costs!$E$6:$O$6,0))</f>
        <v>45.214905525609034</v>
      </c>
      <c r="L547" s="86">
        <f>GDPdeflator!$C$38*INDEX(Costs!$E$7:$O$89,MATCH($C547,Costs!$C$7:$C$89,0),MATCH(L$7,Costs!$E$6:$O$6,0))</f>
        <v>42.139836384068879</v>
      </c>
      <c r="M547" s="86">
        <f>GDPdeflator!$C$38*INDEX(Costs!$E$7:$O$89,MATCH($C547,Costs!$C$7:$C$89,0),MATCH(M$7,Costs!$E$6:$O$6,0))</f>
        <v>42.139836384068879</v>
      </c>
      <c r="N547" s="86">
        <f>GDPdeflator!$C$38*INDEX(Costs!$E$7:$O$89,MATCH($C547,Costs!$C$7:$C$89,0),MATCH(N$7,Costs!$E$6:$O$6,0))</f>
        <v>42.139836384068879</v>
      </c>
      <c r="O547" s="86">
        <f>GDPdeflator!$C$38*INDEX(Costs!$E$7:$O$89,MATCH($C547,Costs!$C$7:$C$89,0),MATCH(O$7,Costs!$E$6:$O$6,0))</f>
        <v>42.139836384068879</v>
      </c>
      <c r="P547" s="87">
        <f t="shared" si="253"/>
        <v>7960.7552832486654</v>
      </c>
      <c r="Q547" s="87">
        <f t="shared" si="247"/>
        <v>0</v>
      </c>
      <c r="R547" s="87">
        <f t="shared" si="236"/>
        <v>6195.9516399244458</v>
      </c>
      <c r="S547" s="87">
        <f t="shared" si="237"/>
        <v>5242.7845812678279</v>
      </c>
      <c r="T547" s="87">
        <f t="shared" si="238"/>
        <v>4515.6563722849587</v>
      </c>
      <c r="U547" s="87">
        <f t="shared" si="239"/>
        <v>4099.423021267603</v>
      </c>
      <c r="V547" s="87">
        <f t="shared" si="240"/>
        <v>3775.360851670609</v>
      </c>
      <c r="W547" s="87">
        <f t="shared" si="241"/>
        <v>3518.5982748567399</v>
      </c>
      <c r="X547" s="87">
        <f t="shared" si="242"/>
        <v>3518.5982748567399</v>
      </c>
      <c r="Y547" s="87">
        <f t="shared" si="243"/>
        <v>3518.5982748567399</v>
      </c>
      <c r="Z547" s="87">
        <f t="shared" si="244"/>
        <v>3518.5982748567399</v>
      </c>
      <c r="AA547" s="40">
        <v>473</v>
      </c>
      <c r="AB547" s="89">
        <f>AA547*GDPdeflator!$C$25/$AI$18*10^3</f>
        <v>45.478712808157368</v>
      </c>
      <c r="AC547" s="90" t="e">
        <f>INDEX(Efficiencies!$D$8:$M$89,MATCH(C547,Efficiencies!$C$8:$C$89),MATCH(D547,Efficiencies!$D$7:$M$7))</f>
        <v>#REF!</v>
      </c>
      <c r="AD547" s="90" t="e">
        <f t="shared" si="249"/>
        <v>#REF!</v>
      </c>
      <c r="AE547" s="90" t="e">
        <f>INDEX(Efficiencies!$P$8:$Y$89,MATCH(C547,Efficiencies!$C$8:$C$89),MATCH(D547,Efficiencies!$P$7:$Y$7))</f>
        <v>#REF!</v>
      </c>
      <c r="AF547" s="90" t="e">
        <f t="shared" si="252"/>
        <v>#REF!</v>
      </c>
      <c r="AG547" s="90">
        <v>0</v>
      </c>
    </row>
    <row r="548" spans="1:33" x14ac:dyDescent="0.2">
      <c r="A548" s="92" t="s">
        <v>1916</v>
      </c>
      <c r="B548" s="248" t="s">
        <v>1917</v>
      </c>
      <c r="C548" s="40" t="s">
        <v>1901</v>
      </c>
      <c r="D548" s="40">
        <v>2045</v>
      </c>
      <c r="E548" s="86">
        <f>GDPdeflator!$C$32*INDEX(Costs!$E$7:$O$89,MATCH($C548,Costs!$C$7:$C$89,0),MATCH(E$7,Costs!$E$6:$O$6,0))</f>
        <v>95.340501792114694</v>
      </c>
      <c r="F548" s="86">
        <f>GDPdeflator!$C$36*INDEX(Costs!$E$7:$O$89,MATCH($C548,Costs!$C$7:$C$89,0),MATCH(F$7,Costs!$E$6:$O$6,0))</f>
        <v>0</v>
      </c>
      <c r="G548" s="86">
        <f>GDPdeflator!$C$38*INDEX(Costs!$E$7:$O$89,MATCH($C548,Costs!$C$7:$C$89,0),MATCH(G$7,Costs!$E$6:$O$6,0))</f>
        <v>74.204659911239787</v>
      </c>
      <c r="H548" s="86">
        <f>GDPdeflator!$C$38*INDEX(Costs!$E$7:$O$89,MATCH($C548,Costs!$C$7:$C$89,0),MATCH(H$7,Costs!$E$6:$O$6,0))</f>
        <v>62.78923230033714</v>
      </c>
      <c r="I548" s="86">
        <f>GDPdeflator!$C$38*INDEX(Costs!$E$7:$O$89,MATCH($C548,Costs!$C$7:$C$89,0),MATCH(I$7,Costs!$E$6:$O$6,0))</f>
        <v>54.08091683967924</v>
      </c>
      <c r="J548" s="86">
        <f>GDPdeflator!$C$38*INDEX(Costs!$E$7:$O$89,MATCH($C548,Costs!$C$7:$C$89,0),MATCH(J$7,Costs!$E$6:$O$6,0))</f>
        <v>49.095975695701036</v>
      </c>
      <c r="K548" s="86">
        <f>GDPdeflator!$C$38*INDEX(Costs!$E$7:$O$89,MATCH($C548,Costs!$C$7:$C$89,0),MATCH(K$7,Costs!$E$6:$O$6,0))</f>
        <v>45.214905525609034</v>
      </c>
      <c r="L548" s="86">
        <f>GDPdeflator!$C$38*INDEX(Costs!$E$7:$O$89,MATCH($C548,Costs!$C$7:$C$89,0),MATCH(L$7,Costs!$E$6:$O$6,0))</f>
        <v>42.139836384068879</v>
      </c>
      <c r="M548" s="86">
        <f>GDPdeflator!$C$38*INDEX(Costs!$E$7:$O$89,MATCH($C548,Costs!$C$7:$C$89,0),MATCH(M$7,Costs!$E$6:$O$6,0))</f>
        <v>42.139836384068879</v>
      </c>
      <c r="N548" s="86">
        <f>GDPdeflator!$C$38*INDEX(Costs!$E$7:$O$89,MATCH($C548,Costs!$C$7:$C$89,0),MATCH(N$7,Costs!$E$6:$O$6,0))</f>
        <v>42.139836384068879</v>
      </c>
      <c r="O548" s="86">
        <f>GDPdeflator!$C$38*INDEX(Costs!$E$7:$O$89,MATCH($C548,Costs!$C$7:$C$89,0),MATCH(O$7,Costs!$E$6:$O$6,0))</f>
        <v>42.139836384068879</v>
      </c>
      <c r="P548" s="87">
        <f t="shared" si="253"/>
        <v>7960.7552832486654</v>
      </c>
      <c r="Q548" s="87">
        <f t="shared" si="247"/>
        <v>0</v>
      </c>
      <c r="R548" s="87">
        <f t="shared" si="236"/>
        <v>6195.9516399244458</v>
      </c>
      <c r="S548" s="87">
        <f t="shared" si="237"/>
        <v>5242.7845812678279</v>
      </c>
      <c r="T548" s="87">
        <f t="shared" si="238"/>
        <v>4515.6563722849587</v>
      </c>
      <c r="U548" s="87">
        <f t="shared" si="239"/>
        <v>4099.423021267603</v>
      </c>
      <c r="V548" s="87">
        <f t="shared" si="240"/>
        <v>3775.360851670609</v>
      </c>
      <c r="W548" s="87">
        <f t="shared" si="241"/>
        <v>3518.5982748567399</v>
      </c>
      <c r="X548" s="87">
        <f t="shared" si="242"/>
        <v>3518.5982748567399</v>
      </c>
      <c r="Y548" s="87">
        <f t="shared" si="243"/>
        <v>3518.5982748567399</v>
      </c>
      <c r="Z548" s="87">
        <f t="shared" si="244"/>
        <v>3518.5982748567399</v>
      </c>
      <c r="AA548" s="40">
        <v>473</v>
      </c>
      <c r="AB548" s="89">
        <f>AA548*GDPdeflator!$C$25/$AI$18*10^3</f>
        <v>45.478712808157368</v>
      </c>
      <c r="AC548" s="90" t="e">
        <f>INDEX(Efficiencies!$D$8:$M$89,MATCH(C548,Efficiencies!$C$8:$C$89),MATCH(D548,Efficiencies!$D$7:$M$7))</f>
        <v>#REF!</v>
      </c>
      <c r="AD548" s="90" t="e">
        <f t="shared" si="249"/>
        <v>#REF!</v>
      </c>
      <c r="AE548" s="90" t="e">
        <f>INDEX(Efficiencies!$P$8:$Y$89,MATCH(C548,Efficiencies!$C$8:$C$89),MATCH(D548,Efficiencies!$P$7:$Y$7))</f>
        <v>#REF!</v>
      </c>
      <c r="AF548" s="90" t="e">
        <f t="shared" si="252"/>
        <v>#REF!</v>
      </c>
      <c r="AG548" s="90">
        <v>0</v>
      </c>
    </row>
    <row r="549" spans="1:33" x14ac:dyDescent="0.2">
      <c r="A549" s="92" t="s">
        <v>1918</v>
      </c>
      <c r="B549" s="248" t="s">
        <v>1919</v>
      </c>
      <c r="C549" s="40" t="s">
        <v>1901</v>
      </c>
      <c r="D549" s="40">
        <v>2050</v>
      </c>
      <c r="E549" s="86">
        <f>GDPdeflator!$C$32*INDEX(Costs!$E$7:$O$89,MATCH($C549,Costs!$C$7:$C$89,0),MATCH(E$7,Costs!$E$6:$O$6,0))</f>
        <v>95.340501792114694</v>
      </c>
      <c r="F549" s="86">
        <f>GDPdeflator!$C$36*INDEX(Costs!$E$7:$O$89,MATCH($C549,Costs!$C$7:$C$89,0),MATCH(F$7,Costs!$E$6:$O$6,0))</f>
        <v>0</v>
      </c>
      <c r="G549" s="86">
        <f>GDPdeflator!$C$38*INDEX(Costs!$E$7:$O$89,MATCH($C549,Costs!$C$7:$C$89,0),MATCH(G$7,Costs!$E$6:$O$6,0))</f>
        <v>74.204659911239787</v>
      </c>
      <c r="H549" s="86">
        <f>GDPdeflator!$C$38*INDEX(Costs!$E$7:$O$89,MATCH($C549,Costs!$C$7:$C$89,0),MATCH(H$7,Costs!$E$6:$O$6,0))</f>
        <v>62.78923230033714</v>
      </c>
      <c r="I549" s="86">
        <f>GDPdeflator!$C$38*INDEX(Costs!$E$7:$O$89,MATCH($C549,Costs!$C$7:$C$89,0),MATCH(I$7,Costs!$E$6:$O$6,0))</f>
        <v>54.08091683967924</v>
      </c>
      <c r="J549" s="86">
        <f>GDPdeflator!$C$38*INDEX(Costs!$E$7:$O$89,MATCH($C549,Costs!$C$7:$C$89,0),MATCH(J$7,Costs!$E$6:$O$6,0))</f>
        <v>49.095975695701036</v>
      </c>
      <c r="K549" s="86">
        <f>GDPdeflator!$C$38*INDEX(Costs!$E$7:$O$89,MATCH($C549,Costs!$C$7:$C$89,0),MATCH(K$7,Costs!$E$6:$O$6,0))</f>
        <v>45.214905525609034</v>
      </c>
      <c r="L549" s="86">
        <f>GDPdeflator!$C$38*INDEX(Costs!$E$7:$O$89,MATCH($C549,Costs!$C$7:$C$89,0),MATCH(L$7,Costs!$E$6:$O$6,0))</f>
        <v>42.139836384068879</v>
      </c>
      <c r="M549" s="86">
        <f>GDPdeflator!$C$38*INDEX(Costs!$E$7:$O$89,MATCH($C549,Costs!$C$7:$C$89,0),MATCH(M$7,Costs!$E$6:$O$6,0))</f>
        <v>42.139836384068879</v>
      </c>
      <c r="N549" s="86">
        <f>GDPdeflator!$C$38*INDEX(Costs!$E$7:$O$89,MATCH($C549,Costs!$C$7:$C$89,0),MATCH(N$7,Costs!$E$6:$O$6,0))</f>
        <v>42.139836384068879</v>
      </c>
      <c r="O549" s="86">
        <f>GDPdeflator!$C$38*INDEX(Costs!$E$7:$O$89,MATCH($C549,Costs!$C$7:$C$89,0),MATCH(O$7,Costs!$E$6:$O$6,0))</f>
        <v>42.139836384068879</v>
      </c>
      <c r="P549" s="87">
        <f t="shared" si="253"/>
        <v>7960.7552832486654</v>
      </c>
      <c r="Q549" s="87">
        <f t="shared" si="247"/>
        <v>0</v>
      </c>
      <c r="R549" s="87">
        <f t="shared" si="236"/>
        <v>6195.9516399244458</v>
      </c>
      <c r="S549" s="87">
        <f t="shared" si="237"/>
        <v>5242.7845812678279</v>
      </c>
      <c r="T549" s="87">
        <f t="shared" si="238"/>
        <v>4515.6563722849587</v>
      </c>
      <c r="U549" s="87">
        <f t="shared" si="239"/>
        <v>4099.423021267603</v>
      </c>
      <c r="V549" s="87">
        <f t="shared" si="240"/>
        <v>3775.360851670609</v>
      </c>
      <c r="W549" s="87">
        <f t="shared" si="241"/>
        <v>3518.5982748567399</v>
      </c>
      <c r="X549" s="87">
        <f t="shared" si="242"/>
        <v>3518.5982748567399</v>
      </c>
      <c r="Y549" s="87">
        <f t="shared" si="243"/>
        <v>3518.5982748567399</v>
      </c>
      <c r="Z549" s="87">
        <f t="shared" si="244"/>
        <v>3518.5982748567399</v>
      </c>
      <c r="AA549" s="40">
        <v>473</v>
      </c>
      <c r="AB549" s="89">
        <f>AA549*GDPdeflator!$C$25/$AI$18*10^3</f>
        <v>45.478712808157368</v>
      </c>
      <c r="AC549" s="90" t="e">
        <f>INDEX(Efficiencies!$D$8:$M$89,MATCH(C549,Efficiencies!$C$8:$C$89),MATCH(D549,Efficiencies!$D$7:$M$7))</f>
        <v>#REF!</v>
      </c>
      <c r="AD549" s="90" t="e">
        <f t="shared" si="249"/>
        <v>#REF!</v>
      </c>
      <c r="AE549" s="90" t="e">
        <f>INDEX(Efficiencies!$P$8:$Y$89,MATCH(C549,Efficiencies!$C$8:$C$89),MATCH(D549,Efficiencies!$P$7:$Y$7))</f>
        <v>#REF!</v>
      </c>
      <c r="AF549" s="90" t="e">
        <f t="shared" si="252"/>
        <v>#REF!</v>
      </c>
      <c r="AG549" s="90">
        <v>0</v>
      </c>
    </row>
    <row r="550" spans="1:33" x14ac:dyDescent="0.2">
      <c r="A550" s="92" t="s">
        <v>1920</v>
      </c>
      <c r="B550" s="248" t="s">
        <v>1921</v>
      </c>
      <c r="C550" s="40" t="s">
        <v>1922</v>
      </c>
      <c r="D550" s="40">
        <v>2010</v>
      </c>
      <c r="E550" s="86">
        <f>GDPdeflator!$C$32*INDEX(Costs!$E$7:$O$89,MATCH($C550,Costs!$C$7:$C$89,0),MATCH(E$7,Costs!$E$6:$O$6,0))</f>
        <v>0</v>
      </c>
      <c r="F550" s="86">
        <f>GDPdeflator!$C$36*INDEX(Costs!$E$7:$O$89,MATCH($C550,Costs!$C$7:$C$89,0),MATCH(F$7,Costs!$E$6:$O$6,0))</f>
        <v>28.110640598252093</v>
      </c>
      <c r="G550" s="86">
        <f>GDPdeflator!$C$38*INDEX(Costs!$E$7:$O$89,MATCH($C550,Costs!$C$7:$C$89,0),MATCH(G$7,Costs!$E$6:$O$6,0))</f>
        <v>27.745709319822481</v>
      </c>
      <c r="H550" s="86">
        <f>GDPdeflator!$C$38*INDEX(Costs!$E$7:$O$89,MATCH($C550,Costs!$C$7:$C$89,0),MATCH(H$7,Costs!$E$6:$O$6,0))</f>
        <v>27.885883411744537</v>
      </c>
      <c r="I550" s="86">
        <f>GDPdeflator!$C$38*INDEX(Costs!$E$7:$O$89,MATCH($C550,Costs!$C$7:$C$89,0),MATCH(I$7,Costs!$E$6:$O$6,0))</f>
        <v>28.069861907392237</v>
      </c>
      <c r="J550" s="86">
        <f>GDPdeflator!$C$38*INDEX(Costs!$E$7:$O$89,MATCH($C550,Costs!$C$7:$C$89,0),MATCH(J$7,Costs!$E$6:$O$6,0))</f>
        <v>27.62305698939068</v>
      </c>
      <c r="K550" s="86">
        <f>GDPdeflator!$C$38*INDEX(Costs!$E$7:$O$89,MATCH($C550,Costs!$C$7:$C$89,0),MATCH(K$7,Costs!$E$6:$O$6,0))</f>
        <v>27.509165539704004</v>
      </c>
      <c r="L550" s="86">
        <f>GDPdeflator!$C$38*INDEX(Costs!$E$7:$O$89,MATCH($C550,Costs!$C$7:$C$89,0),MATCH(L$7,Costs!$E$6:$O$6,0))</f>
        <v>27.491643778213746</v>
      </c>
      <c r="M550" s="86">
        <f>GDPdeflator!$C$38*INDEX(Costs!$E$7:$O$89,MATCH($C550,Costs!$C$7:$C$89,0),MATCH(M$7,Costs!$E$6:$O$6,0))</f>
        <v>27.491643778213746</v>
      </c>
      <c r="N550" s="86">
        <f>GDPdeflator!$C$38*INDEX(Costs!$E$7:$O$89,MATCH($C550,Costs!$C$7:$C$89,0),MATCH(N$7,Costs!$E$6:$O$6,0))</f>
        <v>27.491643778213746</v>
      </c>
      <c r="O550" s="86">
        <f>GDPdeflator!$C$38*INDEX(Costs!$E$7:$O$89,MATCH($C550,Costs!$C$7:$C$89,0),MATCH(O$7,Costs!$E$6:$O$6,0))</f>
        <v>27.491643778213746</v>
      </c>
      <c r="P550" s="87">
        <f>E550/$AI$18*10^6</f>
        <v>0</v>
      </c>
      <c r="Q550" s="87">
        <f t="shared" si="247"/>
        <v>2347.1864155486128</v>
      </c>
      <c r="R550" s="87">
        <f t="shared" si="236"/>
        <v>2316.7153298277121</v>
      </c>
      <c r="S550" s="87">
        <f t="shared" si="237"/>
        <v>2328.4196068334718</v>
      </c>
      <c r="T550" s="87">
        <f t="shared" si="238"/>
        <v>2343.7814704035327</v>
      </c>
      <c r="U550" s="87">
        <f t="shared" si="239"/>
        <v>2306.4740874476711</v>
      </c>
      <c r="V550" s="87">
        <f t="shared" si="240"/>
        <v>2296.9643623804909</v>
      </c>
      <c r="W550" s="87">
        <f t="shared" si="241"/>
        <v>2295.5013277547705</v>
      </c>
      <c r="X550" s="87">
        <f t="shared" si="242"/>
        <v>2295.5013277547705</v>
      </c>
      <c r="Y550" s="87">
        <f t="shared" si="243"/>
        <v>2295.5013277547705</v>
      </c>
      <c r="Z550" s="87">
        <f t="shared" si="244"/>
        <v>2295.5013277547705</v>
      </c>
      <c r="AA550" s="40">
        <v>473</v>
      </c>
      <c r="AB550" s="89">
        <f>AA550*GDPdeflator!$C$25/$AI$18*10^3</f>
        <v>45.478712808157368</v>
      </c>
      <c r="AC550" s="90" t="e">
        <f>INDEX(Efficiencies!$D$8:$M$89,MATCH(C550,Efficiencies!$C$8:$C$89),MATCH(D550,Efficiencies!$D$7:$M$7))</f>
        <v>#REF!</v>
      </c>
      <c r="AD550" s="90" t="e">
        <f t="shared" si="249"/>
        <v>#REF!</v>
      </c>
      <c r="AE550" s="90" t="e">
        <f>INDEX(Efficiencies!$P$8:$Y$89,MATCH(C550,Efficiencies!$C$8:$C$89),MATCH(D550,Efficiencies!$P$7:$Y$7))</f>
        <v>#REF!</v>
      </c>
      <c r="AF550" s="90" t="e">
        <f t="shared" si="252"/>
        <v>#REF!</v>
      </c>
      <c r="AG550" s="90">
        <v>0</v>
      </c>
    </row>
    <row r="551" spans="1:33" x14ac:dyDescent="0.2">
      <c r="A551" s="92" t="s">
        <v>1923</v>
      </c>
      <c r="B551" s="248" t="s">
        <v>1924</v>
      </c>
      <c r="C551" s="40" t="s">
        <v>1922</v>
      </c>
      <c r="D551" s="40">
        <v>2015</v>
      </c>
      <c r="E551" s="86">
        <f>GDPdeflator!$C$32*INDEX(Costs!$E$7:$O$89,MATCH($C551,Costs!$C$7:$C$89,0),MATCH(E$7,Costs!$E$6:$O$6,0))</f>
        <v>0</v>
      </c>
      <c r="F551" s="86">
        <f>GDPdeflator!$C$36*INDEX(Costs!$E$7:$O$89,MATCH($C551,Costs!$C$7:$C$89,0),MATCH(F$7,Costs!$E$6:$O$6,0))</f>
        <v>28.110640598252093</v>
      </c>
      <c r="G551" s="86">
        <f>GDPdeflator!$C$38*INDEX(Costs!$E$7:$O$89,MATCH($C551,Costs!$C$7:$C$89,0),MATCH(G$7,Costs!$E$6:$O$6,0))</f>
        <v>27.745709319822481</v>
      </c>
      <c r="H551" s="86">
        <f>GDPdeflator!$C$38*INDEX(Costs!$E$7:$O$89,MATCH($C551,Costs!$C$7:$C$89,0),MATCH(H$7,Costs!$E$6:$O$6,0))</f>
        <v>27.885883411744537</v>
      </c>
      <c r="I551" s="86">
        <f>GDPdeflator!$C$38*INDEX(Costs!$E$7:$O$89,MATCH($C551,Costs!$C$7:$C$89,0),MATCH(I$7,Costs!$E$6:$O$6,0))</f>
        <v>28.069861907392237</v>
      </c>
      <c r="J551" s="86">
        <f>GDPdeflator!$C$38*INDEX(Costs!$E$7:$O$89,MATCH($C551,Costs!$C$7:$C$89,0),MATCH(J$7,Costs!$E$6:$O$6,0))</f>
        <v>27.62305698939068</v>
      </c>
      <c r="K551" s="86">
        <f>GDPdeflator!$C$38*INDEX(Costs!$E$7:$O$89,MATCH($C551,Costs!$C$7:$C$89,0),MATCH(K$7,Costs!$E$6:$O$6,0))</f>
        <v>27.509165539704004</v>
      </c>
      <c r="L551" s="86">
        <f>GDPdeflator!$C$38*INDEX(Costs!$E$7:$O$89,MATCH($C551,Costs!$C$7:$C$89,0),MATCH(L$7,Costs!$E$6:$O$6,0))</f>
        <v>27.491643778213746</v>
      </c>
      <c r="M551" s="86">
        <f>GDPdeflator!$C$38*INDEX(Costs!$E$7:$O$89,MATCH($C551,Costs!$C$7:$C$89,0),MATCH(M$7,Costs!$E$6:$O$6,0))</f>
        <v>27.491643778213746</v>
      </c>
      <c r="N551" s="86">
        <f>GDPdeflator!$C$38*INDEX(Costs!$E$7:$O$89,MATCH($C551,Costs!$C$7:$C$89,0),MATCH(N$7,Costs!$E$6:$O$6,0))</f>
        <v>27.491643778213746</v>
      </c>
      <c r="O551" s="86">
        <f>GDPdeflator!$C$38*INDEX(Costs!$E$7:$O$89,MATCH($C551,Costs!$C$7:$C$89,0),MATCH(O$7,Costs!$E$6:$O$6,0))</f>
        <v>27.491643778213746</v>
      </c>
      <c r="P551" s="87">
        <f t="shared" ref="P551:P558" si="254">E551/$AI$18*10^6</f>
        <v>0</v>
      </c>
      <c r="Q551" s="87">
        <f t="shared" si="247"/>
        <v>2347.1864155486128</v>
      </c>
      <c r="R551" s="87">
        <f t="shared" ref="R551:R578" si="255">G551/$AI$18*10^6</f>
        <v>2316.7153298277121</v>
      </c>
      <c r="S551" s="87">
        <f t="shared" ref="S551:S614" si="256">H551/$AI$18*10^6</f>
        <v>2328.4196068334718</v>
      </c>
      <c r="T551" s="87">
        <f t="shared" ref="T551:T614" si="257">I551/$AI$18*10^6</f>
        <v>2343.7814704035327</v>
      </c>
      <c r="U551" s="87">
        <f t="shared" ref="U551:U614" si="258">J551/$AI$18*10^6</f>
        <v>2306.4740874476711</v>
      </c>
      <c r="V551" s="87">
        <f t="shared" ref="V551:V614" si="259">K551/$AI$18*10^6</f>
        <v>2296.9643623804909</v>
      </c>
      <c r="W551" s="87">
        <f t="shared" ref="W551:W614" si="260">L551/$AI$18*10^6</f>
        <v>2295.5013277547705</v>
      </c>
      <c r="X551" s="87">
        <f t="shared" ref="X551:X614" si="261">M551/$AI$18*10^6</f>
        <v>2295.5013277547705</v>
      </c>
      <c r="Y551" s="87">
        <f t="shared" ref="Y551:Y614" si="262">N551/$AI$18*10^6</f>
        <v>2295.5013277547705</v>
      </c>
      <c r="Z551" s="87">
        <f t="shared" ref="Z551:Z614" si="263">O551/$AI$18*10^6</f>
        <v>2295.5013277547705</v>
      </c>
      <c r="AA551" s="40">
        <v>473</v>
      </c>
      <c r="AB551" s="89">
        <f>AA551*GDPdeflator!$C$25/$AI$18*10^3</f>
        <v>45.478712808157368</v>
      </c>
      <c r="AC551" s="90" t="e">
        <f>INDEX(Efficiencies!$D$8:$M$89,MATCH(C551,Efficiencies!$C$8:$C$89),MATCH(D551,Efficiencies!$D$7:$M$7))</f>
        <v>#REF!</v>
      </c>
      <c r="AD551" s="90" t="e">
        <f t="shared" si="249"/>
        <v>#REF!</v>
      </c>
      <c r="AE551" s="90" t="e">
        <f>INDEX(Efficiencies!$P$8:$Y$89,MATCH(C551,Efficiencies!$C$8:$C$89),MATCH(D551,Efficiencies!$P$7:$Y$7))</f>
        <v>#REF!</v>
      </c>
      <c r="AF551" s="90" t="e">
        <f t="shared" si="252"/>
        <v>#REF!</v>
      </c>
      <c r="AG551" s="90">
        <v>0</v>
      </c>
    </row>
    <row r="552" spans="1:33" x14ac:dyDescent="0.2">
      <c r="A552" s="92" t="s">
        <v>1925</v>
      </c>
      <c r="B552" s="248" t="s">
        <v>1926</v>
      </c>
      <c r="C552" s="40" t="s">
        <v>1922</v>
      </c>
      <c r="D552" s="40">
        <v>2020</v>
      </c>
      <c r="E552" s="86">
        <f>GDPdeflator!$C$32*INDEX(Costs!$E$7:$O$89,MATCH($C552,Costs!$C$7:$C$89,0),MATCH(E$7,Costs!$E$6:$O$6,0))</f>
        <v>0</v>
      </c>
      <c r="F552" s="86">
        <f>GDPdeflator!$C$36*INDEX(Costs!$E$7:$O$89,MATCH($C552,Costs!$C$7:$C$89,0),MATCH(F$7,Costs!$E$6:$O$6,0))</f>
        <v>28.110640598252093</v>
      </c>
      <c r="G552" s="86">
        <f>GDPdeflator!$C$38*INDEX(Costs!$E$7:$O$89,MATCH($C552,Costs!$C$7:$C$89,0),MATCH(G$7,Costs!$E$6:$O$6,0))</f>
        <v>27.745709319822481</v>
      </c>
      <c r="H552" s="86">
        <f>GDPdeflator!$C$38*INDEX(Costs!$E$7:$O$89,MATCH($C552,Costs!$C$7:$C$89,0),MATCH(H$7,Costs!$E$6:$O$6,0))</f>
        <v>27.885883411744537</v>
      </c>
      <c r="I552" s="86">
        <f>GDPdeflator!$C$38*INDEX(Costs!$E$7:$O$89,MATCH($C552,Costs!$C$7:$C$89,0),MATCH(I$7,Costs!$E$6:$O$6,0))</f>
        <v>28.069861907392237</v>
      </c>
      <c r="J552" s="86">
        <f>GDPdeflator!$C$38*INDEX(Costs!$E$7:$O$89,MATCH($C552,Costs!$C$7:$C$89,0),MATCH(J$7,Costs!$E$6:$O$6,0))</f>
        <v>27.62305698939068</v>
      </c>
      <c r="K552" s="86">
        <f>GDPdeflator!$C$38*INDEX(Costs!$E$7:$O$89,MATCH($C552,Costs!$C$7:$C$89,0),MATCH(K$7,Costs!$E$6:$O$6,0))</f>
        <v>27.509165539704004</v>
      </c>
      <c r="L552" s="86">
        <f>GDPdeflator!$C$38*INDEX(Costs!$E$7:$O$89,MATCH($C552,Costs!$C$7:$C$89,0),MATCH(L$7,Costs!$E$6:$O$6,0))</f>
        <v>27.491643778213746</v>
      </c>
      <c r="M552" s="86">
        <f>GDPdeflator!$C$38*INDEX(Costs!$E$7:$O$89,MATCH($C552,Costs!$C$7:$C$89,0),MATCH(M$7,Costs!$E$6:$O$6,0))</f>
        <v>27.491643778213746</v>
      </c>
      <c r="N552" s="86">
        <f>GDPdeflator!$C$38*INDEX(Costs!$E$7:$O$89,MATCH($C552,Costs!$C$7:$C$89,0),MATCH(N$7,Costs!$E$6:$O$6,0))</f>
        <v>27.491643778213746</v>
      </c>
      <c r="O552" s="86">
        <f>GDPdeflator!$C$38*INDEX(Costs!$E$7:$O$89,MATCH($C552,Costs!$C$7:$C$89,0),MATCH(O$7,Costs!$E$6:$O$6,0))</f>
        <v>27.491643778213746</v>
      </c>
      <c r="P552" s="87">
        <f t="shared" si="254"/>
        <v>0</v>
      </c>
      <c r="Q552" s="87">
        <f t="shared" si="247"/>
        <v>2347.1864155486128</v>
      </c>
      <c r="R552" s="87">
        <f t="shared" si="255"/>
        <v>2316.7153298277121</v>
      </c>
      <c r="S552" s="87">
        <f t="shared" si="256"/>
        <v>2328.4196068334718</v>
      </c>
      <c r="T552" s="87">
        <f t="shared" si="257"/>
        <v>2343.7814704035327</v>
      </c>
      <c r="U552" s="87">
        <f t="shared" si="258"/>
        <v>2306.4740874476711</v>
      </c>
      <c r="V552" s="87">
        <f t="shared" si="259"/>
        <v>2296.9643623804909</v>
      </c>
      <c r="W552" s="87">
        <f t="shared" si="260"/>
        <v>2295.5013277547705</v>
      </c>
      <c r="X552" s="87">
        <f t="shared" si="261"/>
        <v>2295.5013277547705</v>
      </c>
      <c r="Y552" s="87">
        <f t="shared" si="262"/>
        <v>2295.5013277547705</v>
      </c>
      <c r="Z552" s="87">
        <f t="shared" si="263"/>
        <v>2295.5013277547705</v>
      </c>
      <c r="AA552" s="40">
        <v>473</v>
      </c>
      <c r="AB552" s="89">
        <f>AA552*GDPdeflator!$C$25/$AI$18*10^3</f>
        <v>45.478712808157368</v>
      </c>
      <c r="AC552" s="90" t="e">
        <f>INDEX(Efficiencies!$D$8:$M$89,MATCH(C552,Efficiencies!$C$8:$C$89),MATCH(D552,Efficiencies!$D$7:$M$7))</f>
        <v>#REF!</v>
      </c>
      <c r="AD552" s="90" t="e">
        <f t="shared" si="249"/>
        <v>#REF!</v>
      </c>
      <c r="AE552" s="90" t="e">
        <f>INDEX(Efficiencies!$P$8:$Y$89,MATCH(C552,Efficiencies!$C$8:$C$89),MATCH(D552,Efficiencies!$P$7:$Y$7))</f>
        <v>#REF!</v>
      </c>
      <c r="AF552" s="90" t="e">
        <f t="shared" si="252"/>
        <v>#REF!</v>
      </c>
      <c r="AG552" s="90">
        <v>0</v>
      </c>
    </row>
    <row r="553" spans="1:33" x14ac:dyDescent="0.2">
      <c r="A553" s="92" t="s">
        <v>1927</v>
      </c>
      <c r="B553" s="248" t="s">
        <v>1928</v>
      </c>
      <c r="C553" s="40" t="s">
        <v>1922</v>
      </c>
      <c r="D553" s="40">
        <v>2025</v>
      </c>
      <c r="E553" s="86">
        <f>GDPdeflator!$C$32*INDEX(Costs!$E$7:$O$89,MATCH($C553,Costs!$C$7:$C$89,0),MATCH(E$7,Costs!$E$6:$O$6,0))</f>
        <v>0</v>
      </c>
      <c r="F553" s="86">
        <f>GDPdeflator!$C$36*INDEX(Costs!$E$7:$O$89,MATCH($C553,Costs!$C$7:$C$89,0),MATCH(F$7,Costs!$E$6:$O$6,0))</f>
        <v>28.110640598252093</v>
      </c>
      <c r="G553" s="86">
        <f>GDPdeflator!$C$38*INDEX(Costs!$E$7:$O$89,MATCH($C553,Costs!$C$7:$C$89,0),MATCH(G$7,Costs!$E$6:$O$6,0))</f>
        <v>27.745709319822481</v>
      </c>
      <c r="H553" s="86">
        <f>GDPdeflator!$C$38*INDEX(Costs!$E$7:$O$89,MATCH($C553,Costs!$C$7:$C$89,0),MATCH(H$7,Costs!$E$6:$O$6,0))</f>
        <v>27.885883411744537</v>
      </c>
      <c r="I553" s="86">
        <f>GDPdeflator!$C$38*INDEX(Costs!$E$7:$O$89,MATCH($C553,Costs!$C$7:$C$89,0),MATCH(I$7,Costs!$E$6:$O$6,0))</f>
        <v>28.069861907392237</v>
      </c>
      <c r="J553" s="86">
        <f>GDPdeflator!$C$38*INDEX(Costs!$E$7:$O$89,MATCH($C553,Costs!$C$7:$C$89,0),MATCH(J$7,Costs!$E$6:$O$6,0))</f>
        <v>27.62305698939068</v>
      </c>
      <c r="K553" s="86">
        <f>GDPdeflator!$C$38*INDEX(Costs!$E$7:$O$89,MATCH($C553,Costs!$C$7:$C$89,0),MATCH(K$7,Costs!$E$6:$O$6,0))</f>
        <v>27.509165539704004</v>
      </c>
      <c r="L553" s="86">
        <f>GDPdeflator!$C$38*INDEX(Costs!$E$7:$O$89,MATCH($C553,Costs!$C$7:$C$89,0),MATCH(L$7,Costs!$E$6:$O$6,0))</f>
        <v>27.491643778213746</v>
      </c>
      <c r="M553" s="86">
        <f>GDPdeflator!$C$38*INDEX(Costs!$E$7:$O$89,MATCH($C553,Costs!$C$7:$C$89,0),MATCH(M$7,Costs!$E$6:$O$6,0))</f>
        <v>27.491643778213746</v>
      </c>
      <c r="N553" s="86">
        <f>GDPdeflator!$C$38*INDEX(Costs!$E$7:$O$89,MATCH($C553,Costs!$C$7:$C$89,0),MATCH(N$7,Costs!$E$6:$O$6,0))</f>
        <v>27.491643778213746</v>
      </c>
      <c r="O553" s="86">
        <f>GDPdeflator!$C$38*INDEX(Costs!$E$7:$O$89,MATCH($C553,Costs!$C$7:$C$89,0),MATCH(O$7,Costs!$E$6:$O$6,0))</f>
        <v>27.491643778213746</v>
      </c>
      <c r="P553" s="87">
        <f t="shared" si="254"/>
        <v>0</v>
      </c>
      <c r="Q553" s="87">
        <f t="shared" si="247"/>
        <v>2347.1864155486128</v>
      </c>
      <c r="R553" s="87">
        <f t="shared" si="255"/>
        <v>2316.7153298277121</v>
      </c>
      <c r="S553" s="87">
        <f t="shared" si="256"/>
        <v>2328.4196068334718</v>
      </c>
      <c r="T553" s="87">
        <f t="shared" si="257"/>
        <v>2343.7814704035327</v>
      </c>
      <c r="U553" s="87">
        <f t="shared" si="258"/>
        <v>2306.4740874476711</v>
      </c>
      <c r="V553" s="87">
        <f t="shared" si="259"/>
        <v>2296.9643623804909</v>
      </c>
      <c r="W553" s="87">
        <f t="shared" si="260"/>
        <v>2295.5013277547705</v>
      </c>
      <c r="X553" s="87">
        <f t="shared" si="261"/>
        <v>2295.5013277547705</v>
      </c>
      <c r="Y553" s="87">
        <f t="shared" si="262"/>
        <v>2295.5013277547705</v>
      </c>
      <c r="Z553" s="87">
        <f t="shared" si="263"/>
        <v>2295.5013277547705</v>
      </c>
      <c r="AA553" s="40">
        <v>473</v>
      </c>
      <c r="AB553" s="89">
        <f>AA553*GDPdeflator!$C$25/$AI$18*10^3</f>
        <v>45.478712808157368</v>
      </c>
      <c r="AC553" s="90" t="e">
        <f>INDEX(Efficiencies!$D$8:$M$89,MATCH(C553,Efficiencies!$C$8:$C$89),MATCH(D553,Efficiencies!$D$7:$M$7))</f>
        <v>#REF!</v>
      </c>
      <c r="AD553" s="90" t="e">
        <f t="shared" si="249"/>
        <v>#REF!</v>
      </c>
      <c r="AE553" s="90" t="e">
        <f>INDEX(Efficiencies!$P$8:$Y$89,MATCH(C553,Efficiencies!$C$8:$C$89),MATCH(D553,Efficiencies!$P$7:$Y$7))</f>
        <v>#REF!</v>
      </c>
      <c r="AF553" s="90" t="e">
        <f t="shared" si="252"/>
        <v>#REF!</v>
      </c>
      <c r="AG553" s="90">
        <v>0</v>
      </c>
    </row>
    <row r="554" spans="1:33" x14ac:dyDescent="0.2">
      <c r="A554" s="92" t="s">
        <v>1929</v>
      </c>
      <c r="B554" s="248" t="s">
        <v>1930</v>
      </c>
      <c r="C554" s="40" t="s">
        <v>1922</v>
      </c>
      <c r="D554" s="40">
        <v>2030</v>
      </c>
      <c r="E554" s="86">
        <f>GDPdeflator!$C$32*INDEX(Costs!$E$7:$O$89,MATCH($C554,Costs!$C$7:$C$89,0),MATCH(E$7,Costs!$E$6:$O$6,0))</f>
        <v>0</v>
      </c>
      <c r="F554" s="86">
        <f>GDPdeflator!$C$36*INDEX(Costs!$E$7:$O$89,MATCH($C554,Costs!$C$7:$C$89,0),MATCH(F$7,Costs!$E$6:$O$6,0))</f>
        <v>28.110640598252093</v>
      </c>
      <c r="G554" s="86">
        <f>GDPdeflator!$C$38*INDEX(Costs!$E$7:$O$89,MATCH($C554,Costs!$C$7:$C$89,0),MATCH(G$7,Costs!$E$6:$O$6,0))</f>
        <v>27.745709319822481</v>
      </c>
      <c r="H554" s="86">
        <f>GDPdeflator!$C$38*INDEX(Costs!$E$7:$O$89,MATCH($C554,Costs!$C$7:$C$89,0),MATCH(H$7,Costs!$E$6:$O$6,0))</f>
        <v>27.885883411744537</v>
      </c>
      <c r="I554" s="86">
        <f>GDPdeflator!$C$38*INDEX(Costs!$E$7:$O$89,MATCH($C554,Costs!$C$7:$C$89,0),MATCH(I$7,Costs!$E$6:$O$6,0))</f>
        <v>28.069861907392237</v>
      </c>
      <c r="J554" s="86">
        <f>GDPdeflator!$C$38*INDEX(Costs!$E$7:$O$89,MATCH($C554,Costs!$C$7:$C$89,0),MATCH(J$7,Costs!$E$6:$O$6,0))</f>
        <v>27.62305698939068</v>
      </c>
      <c r="K554" s="86">
        <f>GDPdeflator!$C$38*INDEX(Costs!$E$7:$O$89,MATCH($C554,Costs!$C$7:$C$89,0),MATCH(K$7,Costs!$E$6:$O$6,0))</f>
        <v>27.509165539704004</v>
      </c>
      <c r="L554" s="86">
        <f>GDPdeflator!$C$38*INDEX(Costs!$E$7:$O$89,MATCH($C554,Costs!$C$7:$C$89,0),MATCH(L$7,Costs!$E$6:$O$6,0))</f>
        <v>27.491643778213746</v>
      </c>
      <c r="M554" s="86">
        <f>GDPdeflator!$C$38*INDEX(Costs!$E$7:$O$89,MATCH($C554,Costs!$C$7:$C$89,0),MATCH(M$7,Costs!$E$6:$O$6,0))</f>
        <v>27.491643778213746</v>
      </c>
      <c r="N554" s="86">
        <f>GDPdeflator!$C$38*INDEX(Costs!$E$7:$O$89,MATCH($C554,Costs!$C$7:$C$89,0),MATCH(N$7,Costs!$E$6:$O$6,0))</f>
        <v>27.491643778213746</v>
      </c>
      <c r="O554" s="86">
        <f>GDPdeflator!$C$38*INDEX(Costs!$E$7:$O$89,MATCH($C554,Costs!$C$7:$C$89,0),MATCH(O$7,Costs!$E$6:$O$6,0))</f>
        <v>27.491643778213746</v>
      </c>
      <c r="P554" s="87">
        <f t="shared" si="254"/>
        <v>0</v>
      </c>
      <c r="Q554" s="87">
        <f t="shared" si="247"/>
        <v>2347.1864155486128</v>
      </c>
      <c r="R554" s="87">
        <f t="shared" si="255"/>
        <v>2316.7153298277121</v>
      </c>
      <c r="S554" s="87">
        <f t="shared" si="256"/>
        <v>2328.4196068334718</v>
      </c>
      <c r="T554" s="87">
        <f t="shared" si="257"/>
        <v>2343.7814704035327</v>
      </c>
      <c r="U554" s="87">
        <f t="shared" si="258"/>
        <v>2306.4740874476711</v>
      </c>
      <c r="V554" s="87">
        <f t="shared" si="259"/>
        <v>2296.9643623804909</v>
      </c>
      <c r="W554" s="87">
        <f t="shared" si="260"/>
        <v>2295.5013277547705</v>
      </c>
      <c r="X554" s="87">
        <f t="shared" si="261"/>
        <v>2295.5013277547705</v>
      </c>
      <c r="Y554" s="87">
        <f t="shared" si="262"/>
        <v>2295.5013277547705</v>
      </c>
      <c r="Z554" s="87">
        <f t="shared" si="263"/>
        <v>2295.5013277547705</v>
      </c>
      <c r="AA554" s="40">
        <v>473</v>
      </c>
      <c r="AB554" s="89">
        <f>AA554*GDPdeflator!$C$25/$AI$18*10^3</f>
        <v>45.478712808157368</v>
      </c>
      <c r="AC554" s="90" t="e">
        <f>INDEX(Efficiencies!$D$8:$M$89,MATCH(C554,Efficiencies!$C$8:$C$89),MATCH(D554,Efficiencies!$D$7:$M$7))</f>
        <v>#REF!</v>
      </c>
      <c r="AD554" s="90" t="e">
        <f t="shared" si="249"/>
        <v>#REF!</v>
      </c>
      <c r="AE554" s="90" t="e">
        <f>INDEX(Efficiencies!$P$8:$Y$89,MATCH(C554,Efficiencies!$C$8:$C$89),MATCH(D554,Efficiencies!$P$7:$Y$7))</f>
        <v>#REF!</v>
      </c>
      <c r="AF554" s="90" t="e">
        <f t="shared" si="252"/>
        <v>#REF!</v>
      </c>
      <c r="AG554" s="90">
        <v>0</v>
      </c>
    </row>
    <row r="555" spans="1:33" x14ac:dyDescent="0.2">
      <c r="A555" s="92" t="s">
        <v>1931</v>
      </c>
      <c r="B555" s="248" t="s">
        <v>1932</v>
      </c>
      <c r="C555" s="40" t="s">
        <v>1922</v>
      </c>
      <c r="D555" s="40">
        <v>2035</v>
      </c>
      <c r="E555" s="86">
        <f>GDPdeflator!$C$32*INDEX(Costs!$E$7:$O$89,MATCH($C555,Costs!$C$7:$C$89,0),MATCH(E$7,Costs!$E$6:$O$6,0))</f>
        <v>0</v>
      </c>
      <c r="F555" s="86">
        <f>GDPdeflator!$C$36*INDEX(Costs!$E$7:$O$89,MATCH($C555,Costs!$C$7:$C$89,0),MATCH(F$7,Costs!$E$6:$O$6,0))</f>
        <v>28.110640598252093</v>
      </c>
      <c r="G555" s="86">
        <f>GDPdeflator!$C$38*INDEX(Costs!$E$7:$O$89,MATCH($C555,Costs!$C$7:$C$89,0),MATCH(G$7,Costs!$E$6:$O$6,0))</f>
        <v>27.745709319822481</v>
      </c>
      <c r="H555" s="86">
        <f>GDPdeflator!$C$38*INDEX(Costs!$E$7:$O$89,MATCH($C555,Costs!$C$7:$C$89,0),MATCH(H$7,Costs!$E$6:$O$6,0))</f>
        <v>27.885883411744537</v>
      </c>
      <c r="I555" s="86">
        <f>GDPdeflator!$C$38*INDEX(Costs!$E$7:$O$89,MATCH($C555,Costs!$C$7:$C$89,0),MATCH(I$7,Costs!$E$6:$O$6,0))</f>
        <v>28.069861907392237</v>
      </c>
      <c r="J555" s="86">
        <f>GDPdeflator!$C$38*INDEX(Costs!$E$7:$O$89,MATCH($C555,Costs!$C$7:$C$89,0),MATCH(J$7,Costs!$E$6:$O$6,0))</f>
        <v>27.62305698939068</v>
      </c>
      <c r="K555" s="86">
        <f>GDPdeflator!$C$38*INDEX(Costs!$E$7:$O$89,MATCH($C555,Costs!$C$7:$C$89,0),MATCH(K$7,Costs!$E$6:$O$6,0))</f>
        <v>27.509165539704004</v>
      </c>
      <c r="L555" s="86">
        <f>GDPdeflator!$C$38*INDEX(Costs!$E$7:$O$89,MATCH($C555,Costs!$C$7:$C$89,0),MATCH(L$7,Costs!$E$6:$O$6,0))</f>
        <v>27.491643778213746</v>
      </c>
      <c r="M555" s="86">
        <f>GDPdeflator!$C$38*INDEX(Costs!$E$7:$O$89,MATCH($C555,Costs!$C$7:$C$89,0),MATCH(M$7,Costs!$E$6:$O$6,0))</f>
        <v>27.491643778213746</v>
      </c>
      <c r="N555" s="86">
        <f>GDPdeflator!$C$38*INDEX(Costs!$E$7:$O$89,MATCH($C555,Costs!$C$7:$C$89,0),MATCH(N$7,Costs!$E$6:$O$6,0))</f>
        <v>27.491643778213746</v>
      </c>
      <c r="O555" s="86">
        <f>GDPdeflator!$C$38*INDEX(Costs!$E$7:$O$89,MATCH($C555,Costs!$C$7:$C$89,0),MATCH(O$7,Costs!$E$6:$O$6,0))</f>
        <v>27.491643778213746</v>
      </c>
      <c r="P555" s="87">
        <f t="shared" si="254"/>
        <v>0</v>
      </c>
      <c r="Q555" s="87">
        <f t="shared" si="247"/>
        <v>2347.1864155486128</v>
      </c>
      <c r="R555" s="87">
        <f t="shared" si="255"/>
        <v>2316.7153298277121</v>
      </c>
      <c r="S555" s="87">
        <f t="shared" si="256"/>
        <v>2328.4196068334718</v>
      </c>
      <c r="T555" s="87">
        <f t="shared" si="257"/>
        <v>2343.7814704035327</v>
      </c>
      <c r="U555" s="87">
        <f t="shared" si="258"/>
        <v>2306.4740874476711</v>
      </c>
      <c r="V555" s="87">
        <f t="shared" si="259"/>
        <v>2296.9643623804909</v>
      </c>
      <c r="W555" s="87">
        <f t="shared" si="260"/>
        <v>2295.5013277547705</v>
      </c>
      <c r="X555" s="87">
        <f t="shared" si="261"/>
        <v>2295.5013277547705</v>
      </c>
      <c r="Y555" s="87">
        <f t="shared" si="262"/>
        <v>2295.5013277547705</v>
      </c>
      <c r="Z555" s="87">
        <f t="shared" si="263"/>
        <v>2295.5013277547705</v>
      </c>
      <c r="AA555" s="40">
        <v>473</v>
      </c>
      <c r="AB555" s="89">
        <f>AA555*GDPdeflator!$C$25/$AI$18*10^3</f>
        <v>45.478712808157368</v>
      </c>
      <c r="AC555" s="90" t="e">
        <f>INDEX(Efficiencies!$D$8:$M$89,MATCH(C555,Efficiencies!$C$8:$C$89),MATCH(D555,Efficiencies!$D$7:$M$7))</f>
        <v>#REF!</v>
      </c>
      <c r="AD555" s="90" t="e">
        <f t="shared" si="249"/>
        <v>#REF!</v>
      </c>
      <c r="AE555" s="90" t="e">
        <f>INDEX(Efficiencies!$P$8:$Y$89,MATCH(C555,Efficiencies!$C$8:$C$89),MATCH(D555,Efficiencies!$P$7:$Y$7))</f>
        <v>#REF!</v>
      </c>
      <c r="AF555" s="90" t="e">
        <f t="shared" si="252"/>
        <v>#REF!</v>
      </c>
      <c r="AG555" s="90">
        <v>0</v>
      </c>
    </row>
    <row r="556" spans="1:33" x14ac:dyDescent="0.2">
      <c r="A556" s="92" t="s">
        <v>1933</v>
      </c>
      <c r="B556" s="248" t="s">
        <v>1934</v>
      </c>
      <c r="C556" s="40" t="s">
        <v>1922</v>
      </c>
      <c r="D556" s="40">
        <v>2040</v>
      </c>
      <c r="E556" s="86">
        <f>GDPdeflator!$C$32*INDEX(Costs!$E$7:$O$89,MATCH($C556,Costs!$C$7:$C$89,0),MATCH(E$7,Costs!$E$6:$O$6,0))</f>
        <v>0</v>
      </c>
      <c r="F556" s="86">
        <f>GDPdeflator!$C$36*INDEX(Costs!$E$7:$O$89,MATCH($C556,Costs!$C$7:$C$89,0),MATCH(F$7,Costs!$E$6:$O$6,0))</f>
        <v>28.110640598252093</v>
      </c>
      <c r="G556" s="86">
        <f>GDPdeflator!$C$38*INDEX(Costs!$E$7:$O$89,MATCH($C556,Costs!$C$7:$C$89,0),MATCH(G$7,Costs!$E$6:$O$6,0))</f>
        <v>27.745709319822481</v>
      </c>
      <c r="H556" s="86">
        <f>GDPdeflator!$C$38*INDEX(Costs!$E$7:$O$89,MATCH($C556,Costs!$C$7:$C$89,0),MATCH(H$7,Costs!$E$6:$O$6,0))</f>
        <v>27.885883411744537</v>
      </c>
      <c r="I556" s="86">
        <f>GDPdeflator!$C$38*INDEX(Costs!$E$7:$O$89,MATCH($C556,Costs!$C$7:$C$89,0),MATCH(I$7,Costs!$E$6:$O$6,0))</f>
        <v>28.069861907392237</v>
      </c>
      <c r="J556" s="86">
        <f>GDPdeflator!$C$38*INDEX(Costs!$E$7:$O$89,MATCH($C556,Costs!$C$7:$C$89,0),MATCH(J$7,Costs!$E$6:$O$6,0))</f>
        <v>27.62305698939068</v>
      </c>
      <c r="K556" s="86">
        <f>GDPdeflator!$C$38*INDEX(Costs!$E$7:$O$89,MATCH($C556,Costs!$C$7:$C$89,0),MATCH(K$7,Costs!$E$6:$O$6,0))</f>
        <v>27.509165539704004</v>
      </c>
      <c r="L556" s="86">
        <f>GDPdeflator!$C$38*INDEX(Costs!$E$7:$O$89,MATCH($C556,Costs!$C$7:$C$89,0),MATCH(L$7,Costs!$E$6:$O$6,0))</f>
        <v>27.491643778213746</v>
      </c>
      <c r="M556" s="86">
        <f>GDPdeflator!$C$38*INDEX(Costs!$E$7:$O$89,MATCH($C556,Costs!$C$7:$C$89,0),MATCH(M$7,Costs!$E$6:$O$6,0))</f>
        <v>27.491643778213746</v>
      </c>
      <c r="N556" s="86">
        <f>GDPdeflator!$C$38*INDEX(Costs!$E$7:$O$89,MATCH($C556,Costs!$C$7:$C$89,0),MATCH(N$7,Costs!$E$6:$O$6,0))</f>
        <v>27.491643778213746</v>
      </c>
      <c r="O556" s="86">
        <f>GDPdeflator!$C$38*INDEX(Costs!$E$7:$O$89,MATCH($C556,Costs!$C$7:$C$89,0),MATCH(O$7,Costs!$E$6:$O$6,0))</f>
        <v>27.491643778213746</v>
      </c>
      <c r="P556" s="87">
        <f t="shared" si="254"/>
        <v>0</v>
      </c>
      <c r="Q556" s="87">
        <f t="shared" si="247"/>
        <v>2347.1864155486128</v>
      </c>
      <c r="R556" s="87">
        <f t="shared" si="255"/>
        <v>2316.7153298277121</v>
      </c>
      <c r="S556" s="87">
        <f t="shared" si="256"/>
        <v>2328.4196068334718</v>
      </c>
      <c r="T556" s="87">
        <f t="shared" si="257"/>
        <v>2343.7814704035327</v>
      </c>
      <c r="U556" s="87">
        <f t="shared" si="258"/>
        <v>2306.4740874476711</v>
      </c>
      <c r="V556" s="87">
        <f t="shared" si="259"/>
        <v>2296.9643623804909</v>
      </c>
      <c r="W556" s="87">
        <f t="shared" si="260"/>
        <v>2295.5013277547705</v>
      </c>
      <c r="X556" s="87">
        <f t="shared" si="261"/>
        <v>2295.5013277547705</v>
      </c>
      <c r="Y556" s="87">
        <f t="shared" si="262"/>
        <v>2295.5013277547705</v>
      </c>
      <c r="Z556" s="87">
        <f t="shared" si="263"/>
        <v>2295.5013277547705</v>
      </c>
      <c r="AA556" s="40">
        <v>473</v>
      </c>
      <c r="AB556" s="89">
        <f>AA556*GDPdeflator!$C$25/$AI$18*10^3</f>
        <v>45.478712808157368</v>
      </c>
      <c r="AC556" s="90" t="e">
        <f>INDEX(Efficiencies!$D$8:$M$89,MATCH(C556,Efficiencies!$C$8:$C$89),MATCH(D556,Efficiencies!$D$7:$M$7))</f>
        <v>#REF!</v>
      </c>
      <c r="AD556" s="90" t="e">
        <f t="shared" si="249"/>
        <v>#REF!</v>
      </c>
      <c r="AE556" s="90" t="e">
        <f>INDEX(Efficiencies!$P$8:$Y$89,MATCH(C556,Efficiencies!$C$8:$C$89),MATCH(D556,Efficiencies!$P$7:$Y$7))</f>
        <v>#REF!</v>
      </c>
      <c r="AF556" s="90" t="e">
        <f t="shared" si="252"/>
        <v>#REF!</v>
      </c>
      <c r="AG556" s="90">
        <v>0</v>
      </c>
    </row>
    <row r="557" spans="1:33" x14ac:dyDescent="0.2">
      <c r="A557" s="92" t="s">
        <v>1935</v>
      </c>
      <c r="B557" s="248" t="s">
        <v>1936</v>
      </c>
      <c r="C557" s="40" t="s">
        <v>1922</v>
      </c>
      <c r="D557" s="40">
        <v>2045</v>
      </c>
      <c r="E557" s="86">
        <f>GDPdeflator!$C$32*INDEX(Costs!$E$7:$O$89,MATCH($C557,Costs!$C$7:$C$89,0),MATCH(E$7,Costs!$E$6:$O$6,0))</f>
        <v>0</v>
      </c>
      <c r="F557" s="86">
        <f>GDPdeflator!$C$36*INDEX(Costs!$E$7:$O$89,MATCH($C557,Costs!$C$7:$C$89,0),MATCH(F$7,Costs!$E$6:$O$6,0))</f>
        <v>28.110640598252093</v>
      </c>
      <c r="G557" s="86">
        <f>GDPdeflator!$C$38*INDEX(Costs!$E$7:$O$89,MATCH($C557,Costs!$C$7:$C$89,0),MATCH(G$7,Costs!$E$6:$O$6,0))</f>
        <v>27.745709319822481</v>
      </c>
      <c r="H557" s="86">
        <f>GDPdeflator!$C$38*INDEX(Costs!$E$7:$O$89,MATCH($C557,Costs!$C$7:$C$89,0),MATCH(H$7,Costs!$E$6:$O$6,0))</f>
        <v>27.885883411744537</v>
      </c>
      <c r="I557" s="86">
        <f>GDPdeflator!$C$38*INDEX(Costs!$E$7:$O$89,MATCH($C557,Costs!$C$7:$C$89,0),MATCH(I$7,Costs!$E$6:$O$6,0))</f>
        <v>28.069861907392237</v>
      </c>
      <c r="J557" s="86">
        <f>GDPdeflator!$C$38*INDEX(Costs!$E$7:$O$89,MATCH($C557,Costs!$C$7:$C$89,0),MATCH(J$7,Costs!$E$6:$O$6,0))</f>
        <v>27.62305698939068</v>
      </c>
      <c r="K557" s="86">
        <f>GDPdeflator!$C$38*INDEX(Costs!$E$7:$O$89,MATCH($C557,Costs!$C$7:$C$89,0),MATCH(K$7,Costs!$E$6:$O$6,0))</f>
        <v>27.509165539704004</v>
      </c>
      <c r="L557" s="86">
        <f>GDPdeflator!$C$38*INDEX(Costs!$E$7:$O$89,MATCH($C557,Costs!$C$7:$C$89,0),MATCH(L$7,Costs!$E$6:$O$6,0))</f>
        <v>27.491643778213746</v>
      </c>
      <c r="M557" s="86">
        <f>GDPdeflator!$C$38*INDEX(Costs!$E$7:$O$89,MATCH($C557,Costs!$C$7:$C$89,0),MATCH(M$7,Costs!$E$6:$O$6,0))</f>
        <v>27.491643778213746</v>
      </c>
      <c r="N557" s="86">
        <f>GDPdeflator!$C$38*INDEX(Costs!$E$7:$O$89,MATCH($C557,Costs!$C$7:$C$89,0),MATCH(N$7,Costs!$E$6:$O$6,0))</f>
        <v>27.491643778213746</v>
      </c>
      <c r="O557" s="86">
        <f>GDPdeflator!$C$38*INDEX(Costs!$E$7:$O$89,MATCH($C557,Costs!$C$7:$C$89,0),MATCH(O$7,Costs!$E$6:$O$6,0))</f>
        <v>27.491643778213746</v>
      </c>
      <c r="P557" s="87">
        <f t="shared" si="254"/>
        <v>0</v>
      </c>
      <c r="Q557" s="87">
        <f t="shared" si="247"/>
        <v>2347.1864155486128</v>
      </c>
      <c r="R557" s="87">
        <f t="shared" si="255"/>
        <v>2316.7153298277121</v>
      </c>
      <c r="S557" s="87">
        <f t="shared" si="256"/>
        <v>2328.4196068334718</v>
      </c>
      <c r="T557" s="87">
        <f t="shared" si="257"/>
        <v>2343.7814704035327</v>
      </c>
      <c r="U557" s="87">
        <f t="shared" si="258"/>
        <v>2306.4740874476711</v>
      </c>
      <c r="V557" s="87">
        <f t="shared" si="259"/>
        <v>2296.9643623804909</v>
      </c>
      <c r="W557" s="87">
        <f t="shared" si="260"/>
        <v>2295.5013277547705</v>
      </c>
      <c r="X557" s="87">
        <f t="shared" si="261"/>
        <v>2295.5013277547705</v>
      </c>
      <c r="Y557" s="87">
        <f t="shared" si="262"/>
        <v>2295.5013277547705</v>
      </c>
      <c r="Z557" s="87">
        <f t="shared" si="263"/>
        <v>2295.5013277547705</v>
      </c>
      <c r="AA557" s="40">
        <v>473</v>
      </c>
      <c r="AB557" s="89">
        <f>AA557*GDPdeflator!$C$25/$AI$18*10^3</f>
        <v>45.478712808157368</v>
      </c>
      <c r="AC557" s="90" t="e">
        <f>INDEX(Efficiencies!$D$8:$M$89,MATCH(C557,Efficiencies!$C$8:$C$89),MATCH(D557,Efficiencies!$D$7:$M$7))</f>
        <v>#REF!</v>
      </c>
      <c r="AD557" s="90" t="e">
        <f t="shared" si="249"/>
        <v>#REF!</v>
      </c>
      <c r="AE557" s="90" t="e">
        <f>INDEX(Efficiencies!$P$8:$Y$89,MATCH(C557,Efficiencies!$C$8:$C$89),MATCH(D557,Efficiencies!$P$7:$Y$7))</f>
        <v>#REF!</v>
      </c>
      <c r="AF557" s="90" t="e">
        <f t="shared" si="252"/>
        <v>#REF!</v>
      </c>
      <c r="AG557" s="90">
        <v>0</v>
      </c>
    </row>
    <row r="558" spans="1:33" x14ac:dyDescent="0.2">
      <c r="A558" s="92" t="s">
        <v>1937</v>
      </c>
      <c r="B558" s="248" t="s">
        <v>1938</v>
      </c>
      <c r="C558" s="40" t="s">
        <v>1922</v>
      </c>
      <c r="D558" s="40">
        <v>2050</v>
      </c>
      <c r="E558" s="86">
        <f>GDPdeflator!$C$32*INDEX(Costs!$E$7:$O$89,MATCH($C558,Costs!$C$7:$C$89,0),MATCH(E$7,Costs!$E$6:$O$6,0))</f>
        <v>0</v>
      </c>
      <c r="F558" s="86">
        <f>GDPdeflator!$C$36*INDEX(Costs!$E$7:$O$89,MATCH($C558,Costs!$C$7:$C$89,0),MATCH(F$7,Costs!$E$6:$O$6,0))</f>
        <v>28.110640598252093</v>
      </c>
      <c r="G558" s="86">
        <f>GDPdeflator!$C$38*INDEX(Costs!$E$7:$O$89,MATCH($C558,Costs!$C$7:$C$89,0),MATCH(G$7,Costs!$E$6:$O$6,0))</f>
        <v>27.745709319822481</v>
      </c>
      <c r="H558" s="86">
        <f>GDPdeflator!$C$38*INDEX(Costs!$E$7:$O$89,MATCH($C558,Costs!$C$7:$C$89,0),MATCH(H$7,Costs!$E$6:$O$6,0))</f>
        <v>27.885883411744537</v>
      </c>
      <c r="I558" s="86">
        <f>GDPdeflator!$C$38*INDEX(Costs!$E$7:$O$89,MATCH($C558,Costs!$C$7:$C$89,0),MATCH(I$7,Costs!$E$6:$O$6,0))</f>
        <v>28.069861907392237</v>
      </c>
      <c r="J558" s="86">
        <f>GDPdeflator!$C$38*INDEX(Costs!$E$7:$O$89,MATCH($C558,Costs!$C$7:$C$89,0),MATCH(J$7,Costs!$E$6:$O$6,0))</f>
        <v>27.62305698939068</v>
      </c>
      <c r="K558" s="86">
        <f>GDPdeflator!$C$38*INDEX(Costs!$E$7:$O$89,MATCH($C558,Costs!$C$7:$C$89,0),MATCH(K$7,Costs!$E$6:$O$6,0))</f>
        <v>27.509165539704004</v>
      </c>
      <c r="L558" s="86">
        <f>GDPdeflator!$C$38*INDEX(Costs!$E$7:$O$89,MATCH($C558,Costs!$C$7:$C$89,0),MATCH(L$7,Costs!$E$6:$O$6,0))</f>
        <v>27.491643778213746</v>
      </c>
      <c r="M558" s="86">
        <f>GDPdeflator!$C$38*INDEX(Costs!$E$7:$O$89,MATCH($C558,Costs!$C$7:$C$89,0),MATCH(M$7,Costs!$E$6:$O$6,0))</f>
        <v>27.491643778213746</v>
      </c>
      <c r="N558" s="86">
        <f>GDPdeflator!$C$38*INDEX(Costs!$E$7:$O$89,MATCH($C558,Costs!$C$7:$C$89,0),MATCH(N$7,Costs!$E$6:$O$6,0))</f>
        <v>27.491643778213746</v>
      </c>
      <c r="O558" s="86">
        <f>GDPdeflator!$C$38*INDEX(Costs!$E$7:$O$89,MATCH($C558,Costs!$C$7:$C$89,0),MATCH(O$7,Costs!$E$6:$O$6,0))</f>
        <v>27.491643778213746</v>
      </c>
      <c r="P558" s="87">
        <f t="shared" si="254"/>
        <v>0</v>
      </c>
      <c r="Q558" s="87">
        <f t="shared" si="247"/>
        <v>2347.1864155486128</v>
      </c>
      <c r="R558" s="87">
        <f t="shared" si="255"/>
        <v>2316.7153298277121</v>
      </c>
      <c r="S558" s="87">
        <f t="shared" si="256"/>
        <v>2328.4196068334718</v>
      </c>
      <c r="T558" s="87">
        <f t="shared" si="257"/>
        <v>2343.7814704035327</v>
      </c>
      <c r="U558" s="87">
        <f t="shared" si="258"/>
        <v>2306.4740874476711</v>
      </c>
      <c r="V558" s="87">
        <f t="shared" si="259"/>
        <v>2296.9643623804909</v>
      </c>
      <c r="W558" s="87">
        <f t="shared" si="260"/>
        <v>2295.5013277547705</v>
      </c>
      <c r="X558" s="87">
        <f t="shared" si="261"/>
        <v>2295.5013277547705</v>
      </c>
      <c r="Y558" s="87">
        <f t="shared" si="262"/>
        <v>2295.5013277547705</v>
      </c>
      <c r="Z558" s="87">
        <f t="shared" si="263"/>
        <v>2295.5013277547705</v>
      </c>
      <c r="AA558" s="40">
        <v>473</v>
      </c>
      <c r="AB558" s="89">
        <f>AA558*GDPdeflator!$C$25/$AI$18*10^3</f>
        <v>45.478712808157368</v>
      </c>
      <c r="AC558" s="90" t="e">
        <f>INDEX(Efficiencies!$D$8:$M$89,MATCH(C558,Efficiencies!$C$8:$C$89),MATCH(D558,Efficiencies!$D$7:$M$7))</f>
        <v>#REF!</v>
      </c>
      <c r="AD558" s="90" t="e">
        <f t="shared" si="249"/>
        <v>#REF!</v>
      </c>
      <c r="AE558" s="90" t="e">
        <f>INDEX(Efficiencies!$P$8:$Y$89,MATCH(C558,Efficiencies!$C$8:$C$89),MATCH(D558,Efficiencies!$P$7:$Y$7))</f>
        <v>#REF!</v>
      </c>
      <c r="AF558" s="90" t="e">
        <f t="shared" si="252"/>
        <v>#REF!</v>
      </c>
      <c r="AG558" s="90">
        <v>0</v>
      </c>
    </row>
    <row r="559" spans="1:33" x14ac:dyDescent="0.2">
      <c r="A559" s="92" t="s">
        <v>1939</v>
      </c>
      <c r="B559" s="248" t="s">
        <v>1940</v>
      </c>
      <c r="C559" s="40" t="s">
        <v>1941</v>
      </c>
      <c r="D559" s="40">
        <v>2010</v>
      </c>
      <c r="E559" s="86">
        <f>GDPdeflator!$C$32*INDEX(Costs!$E$7:$O$89,MATCH($C559,Costs!$C$7:$C$89,0),MATCH(E$7,Costs!$E$6:$O$6,0))</f>
        <v>0</v>
      </c>
      <c r="F559" s="86">
        <f>GDPdeflator!$C$36*INDEX(Costs!$E$7:$O$89,MATCH($C559,Costs!$C$7:$C$89,0),MATCH(F$7,Costs!$E$6:$O$6,0))</f>
        <v>27.966483466979007</v>
      </c>
      <c r="G559" s="86">
        <f>GDPdeflator!$C$38*INDEX(Costs!$E$7:$O$89,MATCH($C559,Costs!$C$7:$C$89,0),MATCH(G$7,Costs!$E$6:$O$6,0))</f>
        <v>29.392754899906667</v>
      </c>
      <c r="H559" s="86">
        <f>GDPdeflator!$C$38*INDEX(Costs!$E$7:$O$89,MATCH($C559,Costs!$C$7:$C$89,0),MATCH(H$7,Costs!$E$6:$O$6,0))</f>
        <v>30.172473286223116</v>
      </c>
      <c r="I559" s="86">
        <f>GDPdeflator!$C$38*INDEX(Costs!$E$7:$O$89,MATCH($C559,Costs!$C$7:$C$89,0),MATCH(I$7,Costs!$E$6:$O$6,0))</f>
        <v>31.074844002971371</v>
      </c>
      <c r="J559" s="86">
        <f>GDPdeflator!$C$38*INDEX(Costs!$E$7:$O$89,MATCH($C559,Costs!$C$7:$C$89,0),MATCH(J$7,Costs!$E$6:$O$6,0))</f>
        <v>31.13617016818727</v>
      </c>
      <c r="K559" s="86">
        <f>GDPdeflator!$C$38*INDEX(Costs!$E$7:$O$89,MATCH($C559,Costs!$C$7:$C$89,0),MATCH(K$7,Costs!$E$6:$O$6,0))</f>
        <v>31.162452810422657</v>
      </c>
      <c r="L559" s="86">
        <f>GDPdeflator!$C$38*INDEX(Costs!$E$7:$O$89,MATCH($C559,Costs!$C$7:$C$89,0),MATCH(L$7,Costs!$E$6:$O$6,0))</f>
        <v>31.179974571912918</v>
      </c>
      <c r="M559" s="86">
        <f>GDPdeflator!$C$38*INDEX(Costs!$E$7:$O$89,MATCH($C559,Costs!$C$7:$C$89,0),MATCH(M$7,Costs!$E$6:$O$6,0))</f>
        <v>31.179974571912918</v>
      </c>
      <c r="N559" s="86">
        <f>GDPdeflator!$C$38*INDEX(Costs!$E$7:$O$89,MATCH($C559,Costs!$C$7:$C$89,0),MATCH(N$7,Costs!$E$6:$O$6,0))</f>
        <v>31.179974571912918</v>
      </c>
      <c r="O559" s="86">
        <f>GDPdeflator!$C$38*INDEX(Costs!$E$7:$O$89,MATCH($C559,Costs!$C$7:$C$89,0),MATCH(O$7,Costs!$E$6:$O$6,0))</f>
        <v>31.179974571912918</v>
      </c>
      <c r="P559" s="87">
        <v>0</v>
      </c>
      <c r="Q559" s="87">
        <f>F559/$AI$18*10^6</f>
        <v>2335.149562135543</v>
      </c>
      <c r="R559" s="87">
        <f t="shared" si="255"/>
        <v>2454.2405846453971</v>
      </c>
      <c r="S559" s="87">
        <f t="shared" si="256"/>
        <v>2519.3456254899393</v>
      </c>
      <c r="T559" s="87">
        <f t="shared" si="257"/>
        <v>2594.6919087145225</v>
      </c>
      <c r="U559" s="87">
        <f t="shared" si="258"/>
        <v>2599.8125299045423</v>
      </c>
      <c r="V559" s="87">
        <f t="shared" si="259"/>
        <v>2602.0070818431227</v>
      </c>
      <c r="W559" s="87">
        <f t="shared" si="260"/>
        <v>2603.4701164688431</v>
      </c>
      <c r="X559" s="87">
        <f t="shared" si="261"/>
        <v>2603.4701164688431</v>
      </c>
      <c r="Y559" s="87">
        <f t="shared" si="262"/>
        <v>2603.4701164688431</v>
      </c>
      <c r="Z559" s="87">
        <f t="shared" si="263"/>
        <v>2603.4701164688431</v>
      </c>
      <c r="AA559" s="40">
        <v>473</v>
      </c>
      <c r="AB559" s="89">
        <f>AA559*GDPdeflator!$C$25/$AI$18*10^3</f>
        <v>45.478712808157368</v>
      </c>
      <c r="AC559" s="90" t="e">
        <f>INDEX(Efficiencies!$D$8:$M$89,MATCH(C559,Efficiencies!$C$8:$C$89),MATCH(D559,Efficiencies!$D$7:$M$7))</f>
        <v>#REF!</v>
      </c>
      <c r="AD559" s="90" t="e">
        <f t="shared" si="249"/>
        <v>#REF!</v>
      </c>
      <c r="AE559" s="90" t="e">
        <f>INDEX(Efficiencies!$P$8:$Y$89,MATCH(C559,Efficiencies!$C$8:$C$89),MATCH(D559,Efficiencies!$P$7:$Y$7))</f>
        <v>#REF!</v>
      </c>
      <c r="AF559" s="90" t="e">
        <f t="shared" si="252"/>
        <v>#REF!</v>
      </c>
      <c r="AG559" s="90" t="e">
        <f>AdditionalVehs!$C$33</f>
        <v>#REF!</v>
      </c>
    </row>
    <row r="560" spans="1:33" x14ac:dyDescent="0.2">
      <c r="A560" s="92" t="s">
        <v>1942</v>
      </c>
      <c r="B560" s="248" t="s">
        <v>1943</v>
      </c>
      <c r="C560" s="40" t="s">
        <v>1941</v>
      </c>
      <c r="D560" s="40">
        <v>2015</v>
      </c>
      <c r="E560" s="86">
        <f>GDPdeflator!$C$32*INDEX(Costs!$E$7:$O$89,MATCH($C560,Costs!$C$7:$C$89,0),MATCH(E$7,Costs!$E$6:$O$6,0))</f>
        <v>0</v>
      </c>
      <c r="F560" s="86">
        <f>GDPdeflator!$C$36*INDEX(Costs!$E$7:$O$89,MATCH($C560,Costs!$C$7:$C$89,0),MATCH(F$7,Costs!$E$6:$O$6,0))</f>
        <v>27.966483466979007</v>
      </c>
      <c r="G560" s="86">
        <f>GDPdeflator!$C$38*INDEX(Costs!$E$7:$O$89,MATCH($C560,Costs!$C$7:$C$89,0),MATCH(G$7,Costs!$E$6:$O$6,0))</f>
        <v>29.392754899906667</v>
      </c>
      <c r="H560" s="86">
        <f>GDPdeflator!$C$38*INDEX(Costs!$E$7:$O$89,MATCH($C560,Costs!$C$7:$C$89,0),MATCH(H$7,Costs!$E$6:$O$6,0))</f>
        <v>30.172473286223116</v>
      </c>
      <c r="I560" s="86">
        <f>GDPdeflator!$C$38*INDEX(Costs!$E$7:$O$89,MATCH($C560,Costs!$C$7:$C$89,0),MATCH(I$7,Costs!$E$6:$O$6,0))</f>
        <v>31.074844002971371</v>
      </c>
      <c r="J560" s="86">
        <f>GDPdeflator!$C$38*INDEX(Costs!$E$7:$O$89,MATCH($C560,Costs!$C$7:$C$89,0),MATCH(J$7,Costs!$E$6:$O$6,0))</f>
        <v>31.13617016818727</v>
      </c>
      <c r="K560" s="86">
        <f>GDPdeflator!$C$38*INDEX(Costs!$E$7:$O$89,MATCH($C560,Costs!$C$7:$C$89,0),MATCH(K$7,Costs!$E$6:$O$6,0))</f>
        <v>31.162452810422657</v>
      </c>
      <c r="L560" s="86">
        <f>GDPdeflator!$C$38*INDEX(Costs!$E$7:$O$89,MATCH($C560,Costs!$C$7:$C$89,0),MATCH(L$7,Costs!$E$6:$O$6,0))</f>
        <v>31.179974571912918</v>
      </c>
      <c r="M560" s="86">
        <f>GDPdeflator!$C$38*INDEX(Costs!$E$7:$O$89,MATCH($C560,Costs!$C$7:$C$89,0),MATCH(M$7,Costs!$E$6:$O$6,0))</f>
        <v>31.179974571912918</v>
      </c>
      <c r="N560" s="86">
        <f>GDPdeflator!$C$38*INDEX(Costs!$E$7:$O$89,MATCH($C560,Costs!$C$7:$C$89,0),MATCH(N$7,Costs!$E$6:$O$6,0))</f>
        <v>31.179974571912918</v>
      </c>
      <c r="O560" s="86">
        <f>GDPdeflator!$C$38*INDEX(Costs!$E$7:$O$89,MATCH($C560,Costs!$C$7:$C$89,0),MATCH(O$7,Costs!$E$6:$O$6,0))</f>
        <v>31.179974571912918</v>
      </c>
      <c r="P560" s="87">
        <v>0</v>
      </c>
      <c r="Q560" s="87">
        <f t="shared" ref="Q560:Q567" si="264">F560/$AI$18*10^6</f>
        <v>2335.149562135543</v>
      </c>
      <c r="R560" s="87">
        <f t="shared" si="255"/>
        <v>2454.2405846453971</v>
      </c>
      <c r="S560" s="87">
        <f t="shared" si="256"/>
        <v>2519.3456254899393</v>
      </c>
      <c r="T560" s="87">
        <f t="shared" si="257"/>
        <v>2594.6919087145225</v>
      </c>
      <c r="U560" s="87">
        <f t="shared" si="258"/>
        <v>2599.8125299045423</v>
      </c>
      <c r="V560" s="87">
        <f t="shared" si="259"/>
        <v>2602.0070818431227</v>
      </c>
      <c r="W560" s="87">
        <f t="shared" si="260"/>
        <v>2603.4701164688431</v>
      </c>
      <c r="X560" s="87">
        <f t="shared" si="261"/>
        <v>2603.4701164688431</v>
      </c>
      <c r="Y560" s="87">
        <f t="shared" si="262"/>
        <v>2603.4701164688431</v>
      </c>
      <c r="Z560" s="87">
        <f t="shared" si="263"/>
        <v>2603.4701164688431</v>
      </c>
      <c r="AA560" s="40">
        <v>473</v>
      </c>
      <c r="AB560" s="89">
        <f>AA560*GDPdeflator!$C$25/$AI$18*10^3</f>
        <v>45.478712808157368</v>
      </c>
      <c r="AC560" s="90" t="e">
        <f>INDEX(Efficiencies!$D$8:$M$89,MATCH(C560,Efficiencies!$C$8:$C$89),MATCH(D560,Efficiencies!$D$7:$M$7))</f>
        <v>#REF!</v>
      </c>
      <c r="AD560" s="90" t="e">
        <f t="shared" si="249"/>
        <v>#REF!</v>
      </c>
      <c r="AE560" s="90" t="e">
        <f>INDEX(Efficiencies!$P$8:$Y$89,MATCH(C560,Efficiencies!$C$8:$C$89),MATCH(D560,Efficiencies!$P$7:$Y$7))</f>
        <v>#REF!</v>
      </c>
      <c r="AF560" s="90" t="e">
        <f t="shared" si="252"/>
        <v>#REF!</v>
      </c>
      <c r="AG560" s="90" t="e">
        <f>AdditionalVehs!$C$33</f>
        <v>#REF!</v>
      </c>
    </row>
    <row r="561" spans="1:33" x14ac:dyDescent="0.2">
      <c r="A561" s="92" t="s">
        <v>1944</v>
      </c>
      <c r="B561" s="248" t="s">
        <v>1945</v>
      </c>
      <c r="C561" s="40" t="s">
        <v>1941</v>
      </c>
      <c r="D561" s="40">
        <v>2020</v>
      </c>
      <c r="E561" s="86">
        <f>GDPdeflator!$C$32*INDEX(Costs!$E$7:$O$89,MATCH($C561,Costs!$C$7:$C$89,0),MATCH(E$7,Costs!$E$6:$O$6,0))</f>
        <v>0</v>
      </c>
      <c r="F561" s="86">
        <f>GDPdeflator!$C$36*INDEX(Costs!$E$7:$O$89,MATCH($C561,Costs!$C$7:$C$89,0),MATCH(F$7,Costs!$E$6:$O$6,0))</f>
        <v>27.966483466979007</v>
      </c>
      <c r="G561" s="86">
        <f>GDPdeflator!$C$38*INDEX(Costs!$E$7:$O$89,MATCH($C561,Costs!$C$7:$C$89,0),MATCH(G$7,Costs!$E$6:$O$6,0))</f>
        <v>29.392754899906667</v>
      </c>
      <c r="H561" s="86">
        <f>GDPdeflator!$C$38*INDEX(Costs!$E$7:$O$89,MATCH($C561,Costs!$C$7:$C$89,0),MATCH(H$7,Costs!$E$6:$O$6,0))</f>
        <v>30.172473286223116</v>
      </c>
      <c r="I561" s="86">
        <f>GDPdeflator!$C$38*INDEX(Costs!$E$7:$O$89,MATCH($C561,Costs!$C$7:$C$89,0),MATCH(I$7,Costs!$E$6:$O$6,0))</f>
        <v>31.074844002971371</v>
      </c>
      <c r="J561" s="86">
        <f>GDPdeflator!$C$38*INDEX(Costs!$E$7:$O$89,MATCH($C561,Costs!$C$7:$C$89,0),MATCH(J$7,Costs!$E$6:$O$6,0))</f>
        <v>31.13617016818727</v>
      </c>
      <c r="K561" s="86">
        <f>GDPdeflator!$C$38*INDEX(Costs!$E$7:$O$89,MATCH($C561,Costs!$C$7:$C$89,0),MATCH(K$7,Costs!$E$6:$O$6,0))</f>
        <v>31.162452810422657</v>
      </c>
      <c r="L561" s="86">
        <f>GDPdeflator!$C$38*INDEX(Costs!$E$7:$O$89,MATCH($C561,Costs!$C$7:$C$89,0),MATCH(L$7,Costs!$E$6:$O$6,0))</f>
        <v>31.179974571912918</v>
      </c>
      <c r="M561" s="86">
        <f>GDPdeflator!$C$38*INDEX(Costs!$E$7:$O$89,MATCH($C561,Costs!$C$7:$C$89,0),MATCH(M$7,Costs!$E$6:$O$6,0))</f>
        <v>31.179974571912918</v>
      </c>
      <c r="N561" s="86">
        <f>GDPdeflator!$C$38*INDEX(Costs!$E$7:$O$89,MATCH($C561,Costs!$C$7:$C$89,0),MATCH(N$7,Costs!$E$6:$O$6,0))</f>
        <v>31.179974571912918</v>
      </c>
      <c r="O561" s="86">
        <f>GDPdeflator!$C$38*INDEX(Costs!$E$7:$O$89,MATCH($C561,Costs!$C$7:$C$89,0),MATCH(O$7,Costs!$E$6:$O$6,0))</f>
        <v>31.179974571912918</v>
      </c>
      <c r="P561" s="87">
        <v>0</v>
      </c>
      <c r="Q561" s="87">
        <f t="shared" si="264"/>
        <v>2335.149562135543</v>
      </c>
      <c r="R561" s="87">
        <f t="shared" si="255"/>
        <v>2454.2405846453971</v>
      </c>
      <c r="S561" s="87">
        <f t="shared" si="256"/>
        <v>2519.3456254899393</v>
      </c>
      <c r="T561" s="87">
        <f t="shared" si="257"/>
        <v>2594.6919087145225</v>
      </c>
      <c r="U561" s="87">
        <f t="shared" si="258"/>
        <v>2599.8125299045423</v>
      </c>
      <c r="V561" s="87">
        <f t="shared" si="259"/>
        <v>2602.0070818431227</v>
      </c>
      <c r="W561" s="87">
        <f t="shared" si="260"/>
        <v>2603.4701164688431</v>
      </c>
      <c r="X561" s="87">
        <f t="shared" si="261"/>
        <v>2603.4701164688431</v>
      </c>
      <c r="Y561" s="87">
        <f t="shared" si="262"/>
        <v>2603.4701164688431</v>
      </c>
      <c r="Z561" s="87">
        <f t="shared" si="263"/>
        <v>2603.4701164688431</v>
      </c>
      <c r="AA561" s="40">
        <v>473</v>
      </c>
      <c r="AB561" s="89">
        <f>AA561*GDPdeflator!$C$25/$AI$18*10^3</f>
        <v>45.478712808157368</v>
      </c>
      <c r="AC561" s="90" t="e">
        <f>INDEX(Efficiencies!$D$8:$M$89,MATCH(C561,Efficiencies!$C$8:$C$89),MATCH(D561,Efficiencies!$D$7:$M$7))</f>
        <v>#REF!</v>
      </c>
      <c r="AD561" s="90" t="e">
        <f t="shared" si="249"/>
        <v>#REF!</v>
      </c>
      <c r="AE561" s="90" t="e">
        <f>INDEX(Efficiencies!$P$8:$Y$89,MATCH(C561,Efficiencies!$C$8:$C$89),MATCH(D561,Efficiencies!$P$7:$Y$7))</f>
        <v>#REF!</v>
      </c>
      <c r="AF561" s="90" t="e">
        <f t="shared" si="252"/>
        <v>#REF!</v>
      </c>
      <c r="AG561" s="90" t="e">
        <f>AdditionalVehs!$C$33</f>
        <v>#REF!</v>
      </c>
    </row>
    <row r="562" spans="1:33" x14ac:dyDescent="0.2">
      <c r="A562" s="92" t="s">
        <v>1946</v>
      </c>
      <c r="B562" s="248" t="s">
        <v>1947</v>
      </c>
      <c r="C562" s="40" t="s">
        <v>1941</v>
      </c>
      <c r="D562" s="40">
        <v>2025</v>
      </c>
      <c r="E562" s="86">
        <f>GDPdeflator!$C$32*INDEX(Costs!$E$7:$O$89,MATCH($C562,Costs!$C$7:$C$89,0),MATCH(E$7,Costs!$E$6:$O$6,0))</f>
        <v>0</v>
      </c>
      <c r="F562" s="86">
        <f>GDPdeflator!$C$36*INDEX(Costs!$E$7:$O$89,MATCH($C562,Costs!$C$7:$C$89,0),MATCH(F$7,Costs!$E$6:$O$6,0))</f>
        <v>27.966483466979007</v>
      </c>
      <c r="G562" s="86">
        <f>GDPdeflator!$C$38*INDEX(Costs!$E$7:$O$89,MATCH($C562,Costs!$C$7:$C$89,0),MATCH(G$7,Costs!$E$6:$O$6,0))</f>
        <v>29.392754899906667</v>
      </c>
      <c r="H562" s="86">
        <f>GDPdeflator!$C$38*INDEX(Costs!$E$7:$O$89,MATCH($C562,Costs!$C$7:$C$89,0),MATCH(H$7,Costs!$E$6:$O$6,0))</f>
        <v>30.172473286223116</v>
      </c>
      <c r="I562" s="86">
        <f>GDPdeflator!$C$38*INDEX(Costs!$E$7:$O$89,MATCH($C562,Costs!$C$7:$C$89,0),MATCH(I$7,Costs!$E$6:$O$6,0))</f>
        <v>31.074844002971371</v>
      </c>
      <c r="J562" s="86">
        <f>GDPdeflator!$C$38*INDEX(Costs!$E$7:$O$89,MATCH($C562,Costs!$C$7:$C$89,0),MATCH(J$7,Costs!$E$6:$O$6,0))</f>
        <v>31.13617016818727</v>
      </c>
      <c r="K562" s="86">
        <f>GDPdeflator!$C$38*INDEX(Costs!$E$7:$O$89,MATCH($C562,Costs!$C$7:$C$89,0),MATCH(K$7,Costs!$E$6:$O$6,0))</f>
        <v>31.162452810422657</v>
      </c>
      <c r="L562" s="86">
        <f>GDPdeflator!$C$38*INDEX(Costs!$E$7:$O$89,MATCH($C562,Costs!$C$7:$C$89,0),MATCH(L$7,Costs!$E$6:$O$6,0))</f>
        <v>31.179974571912918</v>
      </c>
      <c r="M562" s="86">
        <f>GDPdeflator!$C$38*INDEX(Costs!$E$7:$O$89,MATCH($C562,Costs!$C$7:$C$89,0),MATCH(M$7,Costs!$E$6:$O$6,0))</f>
        <v>31.179974571912918</v>
      </c>
      <c r="N562" s="86">
        <f>GDPdeflator!$C$38*INDEX(Costs!$E$7:$O$89,MATCH($C562,Costs!$C$7:$C$89,0),MATCH(N$7,Costs!$E$6:$O$6,0))</f>
        <v>31.179974571912918</v>
      </c>
      <c r="O562" s="86">
        <f>GDPdeflator!$C$38*INDEX(Costs!$E$7:$O$89,MATCH($C562,Costs!$C$7:$C$89,0),MATCH(O$7,Costs!$E$6:$O$6,0))</f>
        <v>31.179974571912918</v>
      </c>
      <c r="P562" s="87">
        <v>0</v>
      </c>
      <c r="Q562" s="87">
        <f t="shared" si="264"/>
        <v>2335.149562135543</v>
      </c>
      <c r="R562" s="87">
        <f t="shared" si="255"/>
        <v>2454.2405846453971</v>
      </c>
      <c r="S562" s="87">
        <f t="shared" si="256"/>
        <v>2519.3456254899393</v>
      </c>
      <c r="T562" s="87">
        <f t="shared" si="257"/>
        <v>2594.6919087145225</v>
      </c>
      <c r="U562" s="87">
        <f t="shared" si="258"/>
        <v>2599.8125299045423</v>
      </c>
      <c r="V562" s="87">
        <f t="shared" si="259"/>
        <v>2602.0070818431227</v>
      </c>
      <c r="W562" s="87">
        <f t="shared" si="260"/>
        <v>2603.4701164688431</v>
      </c>
      <c r="X562" s="87">
        <f t="shared" si="261"/>
        <v>2603.4701164688431</v>
      </c>
      <c r="Y562" s="87">
        <f t="shared" si="262"/>
        <v>2603.4701164688431</v>
      </c>
      <c r="Z562" s="87">
        <f t="shared" si="263"/>
        <v>2603.4701164688431</v>
      </c>
      <c r="AA562" s="40">
        <v>473</v>
      </c>
      <c r="AB562" s="89">
        <f>AA562*GDPdeflator!$C$25/$AI$18*10^3</f>
        <v>45.478712808157368</v>
      </c>
      <c r="AC562" s="90" t="e">
        <f>INDEX(Efficiencies!$D$8:$M$89,MATCH(C562,Efficiencies!$C$8:$C$89),MATCH(D562,Efficiencies!$D$7:$M$7))</f>
        <v>#REF!</v>
      </c>
      <c r="AD562" s="90" t="e">
        <f t="shared" si="249"/>
        <v>#REF!</v>
      </c>
      <c r="AE562" s="90" t="e">
        <f>INDEX(Efficiencies!$P$8:$Y$89,MATCH(C562,Efficiencies!$C$8:$C$89),MATCH(D562,Efficiencies!$P$7:$Y$7))</f>
        <v>#REF!</v>
      </c>
      <c r="AF562" s="90" t="e">
        <f t="shared" si="252"/>
        <v>#REF!</v>
      </c>
      <c r="AG562" s="90" t="e">
        <f>AdditionalVehs!$C$33</f>
        <v>#REF!</v>
      </c>
    </row>
    <row r="563" spans="1:33" x14ac:dyDescent="0.2">
      <c r="A563" s="92" t="s">
        <v>1948</v>
      </c>
      <c r="B563" s="248" t="s">
        <v>1949</v>
      </c>
      <c r="C563" s="40" t="s">
        <v>1941</v>
      </c>
      <c r="D563" s="40">
        <v>2030</v>
      </c>
      <c r="E563" s="86">
        <f>GDPdeflator!$C$32*INDEX(Costs!$E$7:$O$89,MATCH($C563,Costs!$C$7:$C$89,0),MATCH(E$7,Costs!$E$6:$O$6,0))</f>
        <v>0</v>
      </c>
      <c r="F563" s="86">
        <f>GDPdeflator!$C$36*INDEX(Costs!$E$7:$O$89,MATCH($C563,Costs!$C$7:$C$89,0),MATCH(F$7,Costs!$E$6:$O$6,0))</f>
        <v>27.966483466979007</v>
      </c>
      <c r="G563" s="86">
        <f>GDPdeflator!$C$38*INDEX(Costs!$E$7:$O$89,MATCH($C563,Costs!$C$7:$C$89,0),MATCH(G$7,Costs!$E$6:$O$6,0))</f>
        <v>29.392754899906667</v>
      </c>
      <c r="H563" s="86">
        <f>GDPdeflator!$C$38*INDEX(Costs!$E$7:$O$89,MATCH($C563,Costs!$C$7:$C$89,0),MATCH(H$7,Costs!$E$6:$O$6,0))</f>
        <v>30.172473286223116</v>
      </c>
      <c r="I563" s="86">
        <f>GDPdeflator!$C$38*INDEX(Costs!$E$7:$O$89,MATCH($C563,Costs!$C$7:$C$89,0),MATCH(I$7,Costs!$E$6:$O$6,0))</f>
        <v>31.074844002971371</v>
      </c>
      <c r="J563" s="86">
        <f>GDPdeflator!$C$38*INDEX(Costs!$E$7:$O$89,MATCH($C563,Costs!$C$7:$C$89,0),MATCH(J$7,Costs!$E$6:$O$6,0))</f>
        <v>31.13617016818727</v>
      </c>
      <c r="K563" s="86">
        <f>GDPdeflator!$C$38*INDEX(Costs!$E$7:$O$89,MATCH($C563,Costs!$C$7:$C$89,0),MATCH(K$7,Costs!$E$6:$O$6,0))</f>
        <v>31.162452810422657</v>
      </c>
      <c r="L563" s="86">
        <f>GDPdeflator!$C$38*INDEX(Costs!$E$7:$O$89,MATCH($C563,Costs!$C$7:$C$89,0),MATCH(L$7,Costs!$E$6:$O$6,0))</f>
        <v>31.179974571912918</v>
      </c>
      <c r="M563" s="86">
        <f>GDPdeflator!$C$38*INDEX(Costs!$E$7:$O$89,MATCH($C563,Costs!$C$7:$C$89,0),MATCH(M$7,Costs!$E$6:$O$6,0))</f>
        <v>31.179974571912918</v>
      </c>
      <c r="N563" s="86">
        <f>GDPdeflator!$C$38*INDEX(Costs!$E$7:$O$89,MATCH($C563,Costs!$C$7:$C$89,0),MATCH(N$7,Costs!$E$6:$O$6,0))</f>
        <v>31.179974571912918</v>
      </c>
      <c r="O563" s="86">
        <f>GDPdeflator!$C$38*INDEX(Costs!$E$7:$O$89,MATCH($C563,Costs!$C$7:$C$89,0),MATCH(O$7,Costs!$E$6:$O$6,0))</f>
        <v>31.179974571912918</v>
      </c>
      <c r="P563" s="87">
        <v>0</v>
      </c>
      <c r="Q563" s="87">
        <f t="shared" si="264"/>
        <v>2335.149562135543</v>
      </c>
      <c r="R563" s="87">
        <f t="shared" si="255"/>
        <v>2454.2405846453971</v>
      </c>
      <c r="S563" s="87">
        <f t="shared" si="256"/>
        <v>2519.3456254899393</v>
      </c>
      <c r="T563" s="87">
        <f t="shared" si="257"/>
        <v>2594.6919087145225</v>
      </c>
      <c r="U563" s="87">
        <f t="shared" si="258"/>
        <v>2599.8125299045423</v>
      </c>
      <c r="V563" s="87">
        <f t="shared" si="259"/>
        <v>2602.0070818431227</v>
      </c>
      <c r="W563" s="87">
        <f t="shared" si="260"/>
        <v>2603.4701164688431</v>
      </c>
      <c r="X563" s="87">
        <f t="shared" si="261"/>
        <v>2603.4701164688431</v>
      </c>
      <c r="Y563" s="87">
        <f t="shared" si="262"/>
        <v>2603.4701164688431</v>
      </c>
      <c r="Z563" s="87">
        <f t="shared" si="263"/>
        <v>2603.4701164688431</v>
      </c>
      <c r="AA563" s="40">
        <v>473</v>
      </c>
      <c r="AB563" s="89">
        <f>AA563*GDPdeflator!$C$25/$AI$18*10^3</f>
        <v>45.478712808157368</v>
      </c>
      <c r="AC563" s="90" t="e">
        <f>INDEX(Efficiencies!$D$8:$M$89,MATCH(C563,Efficiencies!$C$8:$C$89),MATCH(D563,Efficiencies!$D$7:$M$7))</f>
        <v>#REF!</v>
      </c>
      <c r="AD563" s="90" t="e">
        <f t="shared" si="249"/>
        <v>#REF!</v>
      </c>
      <c r="AE563" s="90" t="e">
        <f>INDEX(Efficiencies!$P$8:$Y$89,MATCH(C563,Efficiencies!$C$8:$C$89),MATCH(D563,Efficiencies!$P$7:$Y$7))</f>
        <v>#REF!</v>
      </c>
      <c r="AF563" s="90" t="e">
        <f t="shared" si="252"/>
        <v>#REF!</v>
      </c>
      <c r="AG563" s="90" t="e">
        <f>AdditionalVehs!$C$33</f>
        <v>#REF!</v>
      </c>
    </row>
    <row r="564" spans="1:33" x14ac:dyDescent="0.2">
      <c r="A564" s="92" t="s">
        <v>1950</v>
      </c>
      <c r="B564" s="248" t="s">
        <v>1951</v>
      </c>
      <c r="C564" s="40" t="s">
        <v>1941</v>
      </c>
      <c r="D564" s="40">
        <v>2035</v>
      </c>
      <c r="E564" s="86">
        <f>GDPdeflator!$C$32*INDEX(Costs!$E$7:$O$89,MATCH($C564,Costs!$C$7:$C$89,0),MATCH(E$7,Costs!$E$6:$O$6,0))</f>
        <v>0</v>
      </c>
      <c r="F564" s="86">
        <f>GDPdeflator!$C$36*INDEX(Costs!$E$7:$O$89,MATCH($C564,Costs!$C$7:$C$89,0),MATCH(F$7,Costs!$E$6:$O$6,0))</f>
        <v>27.966483466979007</v>
      </c>
      <c r="G564" s="86">
        <f>GDPdeflator!$C$38*INDEX(Costs!$E$7:$O$89,MATCH($C564,Costs!$C$7:$C$89,0),MATCH(G$7,Costs!$E$6:$O$6,0))</f>
        <v>29.392754899906667</v>
      </c>
      <c r="H564" s="86">
        <f>GDPdeflator!$C$38*INDEX(Costs!$E$7:$O$89,MATCH($C564,Costs!$C$7:$C$89,0),MATCH(H$7,Costs!$E$6:$O$6,0))</f>
        <v>30.172473286223116</v>
      </c>
      <c r="I564" s="86">
        <f>GDPdeflator!$C$38*INDEX(Costs!$E$7:$O$89,MATCH($C564,Costs!$C$7:$C$89,0),MATCH(I$7,Costs!$E$6:$O$6,0))</f>
        <v>31.074844002971371</v>
      </c>
      <c r="J564" s="86">
        <f>GDPdeflator!$C$38*INDEX(Costs!$E$7:$O$89,MATCH($C564,Costs!$C$7:$C$89,0),MATCH(J$7,Costs!$E$6:$O$6,0))</f>
        <v>31.13617016818727</v>
      </c>
      <c r="K564" s="86">
        <f>GDPdeflator!$C$38*INDEX(Costs!$E$7:$O$89,MATCH($C564,Costs!$C$7:$C$89,0),MATCH(K$7,Costs!$E$6:$O$6,0))</f>
        <v>31.162452810422657</v>
      </c>
      <c r="L564" s="86">
        <f>GDPdeflator!$C$38*INDEX(Costs!$E$7:$O$89,MATCH($C564,Costs!$C$7:$C$89,0),MATCH(L$7,Costs!$E$6:$O$6,0))</f>
        <v>31.179974571912918</v>
      </c>
      <c r="M564" s="86">
        <f>GDPdeflator!$C$38*INDEX(Costs!$E$7:$O$89,MATCH($C564,Costs!$C$7:$C$89,0),MATCH(M$7,Costs!$E$6:$O$6,0))</f>
        <v>31.179974571912918</v>
      </c>
      <c r="N564" s="86">
        <f>GDPdeflator!$C$38*INDEX(Costs!$E$7:$O$89,MATCH($C564,Costs!$C$7:$C$89,0),MATCH(N$7,Costs!$E$6:$O$6,0))</f>
        <v>31.179974571912918</v>
      </c>
      <c r="O564" s="86">
        <f>GDPdeflator!$C$38*INDEX(Costs!$E$7:$O$89,MATCH($C564,Costs!$C$7:$C$89,0),MATCH(O$7,Costs!$E$6:$O$6,0))</f>
        <v>31.179974571912918</v>
      </c>
      <c r="P564" s="87">
        <v>0</v>
      </c>
      <c r="Q564" s="87">
        <f t="shared" si="264"/>
        <v>2335.149562135543</v>
      </c>
      <c r="R564" s="87">
        <f t="shared" si="255"/>
        <v>2454.2405846453971</v>
      </c>
      <c r="S564" s="87">
        <f t="shared" si="256"/>
        <v>2519.3456254899393</v>
      </c>
      <c r="T564" s="87">
        <f t="shared" si="257"/>
        <v>2594.6919087145225</v>
      </c>
      <c r="U564" s="87">
        <f t="shared" si="258"/>
        <v>2599.8125299045423</v>
      </c>
      <c r="V564" s="87">
        <f t="shared" si="259"/>
        <v>2602.0070818431227</v>
      </c>
      <c r="W564" s="87">
        <f t="shared" si="260"/>
        <v>2603.4701164688431</v>
      </c>
      <c r="X564" s="87">
        <f t="shared" si="261"/>
        <v>2603.4701164688431</v>
      </c>
      <c r="Y564" s="87">
        <f t="shared" si="262"/>
        <v>2603.4701164688431</v>
      </c>
      <c r="Z564" s="87">
        <f t="shared" si="263"/>
        <v>2603.4701164688431</v>
      </c>
      <c r="AA564" s="40">
        <v>473</v>
      </c>
      <c r="AB564" s="89">
        <f>AA564*GDPdeflator!$C$25/$AI$18*10^3</f>
        <v>45.478712808157368</v>
      </c>
      <c r="AC564" s="90" t="e">
        <f>INDEX(Efficiencies!$D$8:$M$89,MATCH(C564,Efficiencies!$C$8:$C$89),MATCH(D564,Efficiencies!$D$7:$M$7))</f>
        <v>#REF!</v>
      </c>
      <c r="AD564" s="90" t="e">
        <f t="shared" si="249"/>
        <v>#REF!</v>
      </c>
      <c r="AE564" s="90" t="e">
        <f>INDEX(Efficiencies!$P$8:$Y$89,MATCH(C564,Efficiencies!$C$8:$C$89),MATCH(D564,Efficiencies!$P$7:$Y$7))</f>
        <v>#REF!</v>
      </c>
      <c r="AF564" s="90" t="e">
        <f t="shared" si="252"/>
        <v>#REF!</v>
      </c>
      <c r="AG564" s="90" t="e">
        <f>AdditionalVehs!$C$33</f>
        <v>#REF!</v>
      </c>
    </row>
    <row r="565" spans="1:33" x14ac:dyDescent="0.2">
      <c r="A565" s="92" t="s">
        <v>1952</v>
      </c>
      <c r="B565" s="248" t="s">
        <v>1953</v>
      </c>
      <c r="C565" s="40" t="s">
        <v>1941</v>
      </c>
      <c r="D565" s="40">
        <v>2040</v>
      </c>
      <c r="E565" s="86">
        <f>GDPdeflator!$C$32*INDEX(Costs!$E$7:$O$89,MATCH($C565,Costs!$C$7:$C$89,0),MATCH(E$7,Costs!$E$6:$O$6,0))</f>
        <v>0</v>
      </c>
      <c r="F565" s="86">
        <f>GDPdeflator!$C$36*INDEX(Costs!$E$7:$O$89,MATCH($C565,Costs!$C$7:$C$89,0),MATCH(F$7,Costs!$E$6:$O$6,0))</f>
        <v>27.966483466979007</v>
      </c>
      <c r="G565" s="86">
        <f>GDPdeflator!$C$38*INDEX(Costs!$E$7:$O$89,MATCH($C565,Costs!$C$7:$C$89,0),MATCH(G$7,Costs!$E$6:$O$6,0))</f>
        <v>29.392754899906667</v>
      </c>
      <c r="H565" s="86">
        <f>GDPdeflator!$C$38*INDEX(Costs!$E$7:$O$89,MATCH($C565,Costs!$C$7:$C$89,0),MATCH(H$7,Costs!$E$6:$O$6,0))</f>
        <v>30.172473286223116</v>
      </c>
      <c r="I565" s="86">
        <f>GDPdeflator!$C$38*INDEX(Costs!$E$7:$O$89,MATCH($C565,Costs!$C$7:$C$89,0),MATCH(I$7,Costs!$E$6:$O$6,0))</f>
        <v>31.074844002971371</v>
      </c>
      <c r="J565" s="86">
        <f>GDPdeflator!$C$38*INDEX(Costs!$E$7:$O$89,MATCH($C565,Costs!$C$7:$C$89,0),MATCH(J$7,Costs!$E$6:$O$6,0))</f>
        <v>31.13617016818727</v>
      </c>
      <c r="K565" s="86">
        <f>GDPdeflator!$C$38*INDEX(Costs!$E$7:$O$89,MATCH($C565,Costs!$C$7:$C$89,0),MATCH(K$7,Costs!$E$6:$O$6,0))</f>
        <v>31.162452810422657</v>
      </c>
      <c r="L565" s="86">
        <f>GDPdeflator!$C$38*INDEX(Costs!$E$7:$O$89,MATCH($C565,Costs!$C$7:$C$89,0),MATCH(L$7,Costs!$E$6:$O$6,0))</f>
        <v>31.179974571912918</v>
      </c>
      <c r="M565" s="86">
        <f>GDPdeflator!$C$38*INDEX(Costs!$E$7:$O$89,MATCH($C565,Costs!$C$7:$C$89,0),MATCH(M$7,Costs!$E$6:$O$6,0))</f>
        <v>31.179974571912918</v>
      </c>
      <c r="N565" s="86">
        <f>GDPdeflator!$C$38*INDEX(Costs!$E$7:$O$89,MATCH($C565,Costs!$C$7:$C$89,0),MATCH(N$7,Costs!$E$6:$O$6,0))</f>
        <v>31.179974571912918</v>
      </c>
      <c r="O565" s="86">
        <f>GDPdeflator!$C$38*INDEX(Costs!$E$7:$O$89,MATCH($C565,Costs!$C$7:$C$89,0),MATCH(O$7,Costs!$E$6:$O$6,0))</f>
        <v>31.179974571912918</v>
      </c>
      <c r="P565" s="87">
        <v>0</v>
      </c>
      <c r="Q565" s="87">
        <f t="shared" si="264"/>
        <v>2335.149562135543</v>
      </c>
      <c r="R565" s="87">
        <f t="shared" si="255"/>
        <v>2454.2405846453971</v>
      </c>
      <c r="S565" s="87">
        <f t="shared" si="256"/>
        <v>2519.3456254899393</v>
      </c>
      <c r="T565" s="87">
        <f t="shared" si="257"/>
        <v>2594.6919087145225</v>
      </c>
      <c r="U565" s="87">
        <f t="shared" si="258"/>
        <v>2599.8125299045423</v>
      </c>
      <c r="V565" s="87">
        <f t="shared" si="259"/>
        <v>2602.0070818431227</v>
      </c>
      <c r="W565" s="87">
        <f t="shared" si="260"/>
        <v>2603.4701164688431</v>
      </c>
      <c r="X565" s="87">
        <f t="shared" si="261"/>
        <v>2603.4701164688431</v>
      </c>
      <c r="Y565" s="87">
        <f t="shared" si="262"/>
        <v>2603.4701164688431</v>
      </c>
      <c r="Z565" s="87">
        <f t="shared" si="263"/>
        <v>2603.4701164688431</v>
      </c>
      <c r="AA565" s="40">
        <v>473</v>
      </c>
      <c r="AB565" s="89">
        <f>AA565*GDPdeflator!$C$25/$AI$18*10^3</f>
        <v>45.478712808157368</v>
      </c>
      <c r="AC565" s="90" t="e">
        <f>INDEX(Efficiencies!$D$8:$M$89,MATCH(C565,Efficiencies!$C$8:$C$89),MATCH(D565,Efficiencies!$D$7:$M$7))</f>
        <v>#REF!</v>
      </c>
      <c r="AD565" s="90" t="e">
        <f t="shared" si="249"/>
        <v>#REF!</v>
      </c>
      <c r="AE565" s="90" t="e">
        <f>INDEX(Efficiencies!$P$8:$Y$89,MATCH(C565,Efficiencies!$C$8:$C$89),MATCH(D565,Efficiencies!$P$7:$Y$7))</f>
        <v>#REF!</v>
      </c>
      <c r="AF565" s="90" t="e">
        <f t="shared" si="252"/>
        <v>#REF!</v>
      </c>
      <c r="AG565" s="90" t="e">
        <f>AdditionalVehs!$C$33</f>
        <v>#REF!</v>
      </c>
    </row>
    <row r="566" spans="1:33" x14ac:dyDescent="0.2">
      <c r="A566" s="92" t="s">
        <v>1954</v>
      </c>
      <c r="B566" s="248" t="s">
        <v>1955</v>
      </c>
      <c r="C566" s="40" t="s">
        <v>1941</v>
      </c>
      <c r="D566" s="40">
        <v>2045</v>
      </c>
      <c r="E566" s="86">
        <f>GDPdeflator!$C$32*INDEX(Costs!$E$7:$O$89,MATCH($C566,Costs!$C$7:$C$89,0),MATCH(E$7,Costs!$E$6:$O$6,0))</f>
        <v>0</v>
      </c>
      <c r="F566" s="86">
        <f>GDPdeflator!$C$36*INDEX(Costs!$E$7:$O$89,MATCH($C566,Costs!$C$7:$C$89,0),MATCH(F$7,Costs!$E$6:$O$6,0))</f>
        <v>27.966483466979007</v>
      </c>
      <c r="G566" s="86">
        <f>GDPdeflator!$C$38*INDEX(Costs!$E$7:$O$89,MATCH($C566,Costs!$C$7:$C$89,0),MATCH(G$7,Costs!$E$6:$O$6,0))</f>
        <v>29.392754899906667</v>
      </c>
      <c r="H566" s="86">
        <f>GDPdeflator!$C$38*INDEX(Costs!$E$7:$O$89,MATCH($C566,Costs!$C$7:$C$89,0),MATCH(H$7,Costs!$E$6:$O$6,0))</f>
        <v>30.172473286223116</v>
      </c>
      <c r="I566" s="86">
        <f>GDPdeflator!$C$38*INDEX(Costs!$E$7:$O$89,MATCH($C566,Costs!$C$7:$C$89,0),MATCH(I$7,Costs!$E$6:$O$6,0))</f>
        <v>31.074844002971371</v>
      </c>
      <c r="J566" s="86">
        <f>GDPdeflator!$C$38*INDEX(Costs!$E$7:$O$89,MATCH($C566,Costs!$C$7:$C$89,0),MATCH(J$7,Costs!$E$6:$O$6,0))</f>
        <v>31.13617016818727</v>
      </c>
      <c r="K566" s="86">
        <f>GDPdeflator!$C$38*INDEX(Costs!$E$7:$O$89,MATCH($C566,Costs!$C$7:$C$89,0),MATCH(K$7,Costs!$E$6:$O$6,0))</f>
        <v>31.162452810422657</v>
      </c>
      <c r="L566" s="86">
        <f>GDPdeflator!$C$38*INDEX(Costs!$E$7:$O$89,MATCH($C566,Costs!$C$7:$C$89,0),MATCH(L$7,Costs!$E$6:$O$6,0))</f>
        <v>31.179974571912918</v>
      </c>
      <c r="M566" s="86">
        <f>GDPdeflator!$C$38*INDEX(Costs!$E$7:$O$89,MATCH($C566,Costs!$C$7:$C$89,0),MATCH(M$7,Costs!$E$6:$O$6,0))</f>
        <v>31.179974571912918</v>
      </c>
      <c r="N566" s="86">
        <f>GDPdeflator!$C$38*INDEX(Costs!$E$7:$O$89,MATCH($C566,Costs!$C$7:$C$89,0),MATCH(N$7,Costs!$E$6:$O$6,0))</f>
        <v>31.179974571912918</v>
      </c>
      <c r="O566" s="86">
        <f>GDPdeflator!$C$38*INDEX(Costs!$E$7:$O$89,MATCH($C566,Costs!$C$7:$C$89,0),MATCH(O$7,Costs!$E$6:$O$6,0))</f>
        <v>31.179974571912918</v>
      </c>
      <c r="P566" s="87">
        <v>0</v>
      </c>
      <c r="Q566" s="87">
        <f t="shared" si="264"/>
        <v>2335.149562135543</v>
      </c>
      <c r="R566" s="87">
        <f t="shared" si="255"/>
        <v>2454.2405846453971</v>
      </c>
      <c r="S566" s="87">
        <f t="shared" si="256"/>
        <v>2519.3456254899393</v>
      </c>
      <c r="T566" s="87">
        <f t="shared" si="257"/>
        <v>2594.6919087145225</v>
      </c>
      <c r="U566" s="87">
        <f t="shared" si="258"/>
        <v>2599.8125299045423</v>
      </c>
      <c r="V566" s="87">
        <f t="shared" si="259"/>
        <v>2602.0070818431227</v>
      </c>
      <c r="W566" s="87">
        <f t="shared" si="260"/>
        <v>2603.4701164688431</v>
      </c>
      <c r="X566" s="87">
        <f t="shared" si="261"/>
        <v>2603.4701164688431</v>
      </c>
      <c r="Y566" s="87">
        <f t="shared" si="262"/>
        <v>2603.4701164688431</v>
      </c>
      <c r="Z566" s="87">
        <f t="shared" si="263"/>
        <v>2603.4701164688431</v>
      </c>
      <c r="AA566" s="40">
        <v>473</v>
      </c>
      <c r="AB566" s="89">
        <f>AA566*GDPdeflator!$C$25/$AI$18*10^3</f>
        <v>45.478712808157368</v>
      </c>
      <c r="AC566" s="90" t="e">
        <f>INDEX(Efficiencies!$D$8:$M$89,MATCH(C566,Efficiencies!$C$8:$C$89),MATCH(D566,Efficiencies!$D$7:$M$7))</f>
        <v>#REF!</v>
      </c>
      <c r="AD566" s="90" t="e">
        <f t="shared" si="249"/>
        <v>#REF!</v>
      </c>
      <c r="AE566" s="90" t="e">
        <f>INDEX(Efficiencies!$P$8:$Y$89,MATCH(C566,Efficiencies!$C$8:$C$89),MATCH(D566,Efficiencies!$P$7:$Y$7))</f>
        <v>#REF!</v>
      </c>
      <c r="AF566" s="90" t="e">
        <f t="shared" si="252"/>
        <v>#REF!</v>
      </c>
      <c r="AG566" s="90" t="e">
        <f>AdditionalVehs!$C$33</f>
        <v>#REF!</v>
      </c>
    </row>
    <row r="567" spans="1:33" x14ac:dyDescent="0.2">
      <c r="A567" s="92" t="s">
        <v>1956</v>
      </c>
      <c r="B567" s="248" t="s">
        <v>1957</v>
      </c>
      <c r="C567" s="40" t="s">
        <v>1941</v>
      </c>
      <c r="D567" s="40">
        <v>2050</v>
      </c>
      <c r="E567" s="86">
        <f>GDPdeflator!$C$32*INDEX(Costs!$E$7:$O$89,MATCH($C567,Costs!$C$7:$C$89,0),MATCH(E$7,Costs!$E$6:$O$6,0))</f>
        <v>0</v>
      </c>
      <c r="F567" s="86">
        <f>GDPdeflator!$C$36*INDEX(Costs!$E$7:$O$89,MATCH($C567,Costs!$C$7:$C$89,0),MATCH(F$7,Costs!$E$6:$O$6,0))</f>
        <v>27.966483466979007</v>
      </c>
      <c r="G567" s="86">
        <f>GDPdeflator!$C$38*INDEX(Costs!$E$7:$O$89,MATCH($C567,Costs!$C$7:$C$89,0),MATCH(G$7,Costs!$E$6:$O$6,0))</f>
        <v>29.392754899906667</v>
      </c>
      <c r="H567" s="86">
        <f>GDPdeflator!$C$38*INDEX(Costs!$E$7:$O$89,MATCH($C567,Costs!$C$7:$C$89,0),MATCH(H$7,Costs!$E$6:$O$6,0))</f>
        <v>30.172473286223116</v>
      </c>
      <c r="I567" s="86">
        <f>GDPdeflator!$C$38*INDEX(Costs!$E$7:$O$89,MATCH($C567,Costs!$C$7:$C$89,0),MATCH(I$7,Costs!$E$6:$O$6,0))</f>
        <v>31.074844002971371</v>
      </c>
      <c r="J567" s="86">
        <f>GDPdeflator!$C$38*INDEX(Costs!$E$7:$O$89,MATCH($C567,Costs!$C$7:$C$89,0),MATCH(J$7,Costs!$E$6:$O$6,0))</f>
        <v>31.13617016818727</v>
      </c>
      <c r="K567" s="86">
        <f>GDPdeflator!$C$38*INDEX(Costs!$E$7:$O$89,MATCH($C567,Costs!$C$7:$C$89,0),MATCH(K$7,Costs!$E$6:$O$6,0))</f>
        <v>31.162452810422657</v>
      </c>
      <c r="L567" s="86">
        <f>GDPdeflator!$C$38*INDEX(Costs!$E$7:$O$89,MATCH($C567,Costs!$C$7:$C$89,0),MATCH(L$7,Costs!$E$6:$O$6,0))</f>
        <v>31.179974571912918</v>
      </c>
      <c r="M567" s="86">
        <f>GDPdeflator!$C$38*INDEX(Costs!$E$7:$O$89,MATCH($C567,Costs!$C$7:$C$89,0),MATCH(M$7,Costs!$E$6:$O$6,0))</f>
        <v>31.179974571912918</v>
      </c>
      <c r="N567" s="86">
        <f>GDPdeflator!$C$38*INDEX(Costs!$E$7:$O$89,MATCH($C567,Costs!$C$7:$C$89,0),MATCH(N$7,Costs!$E$6:$O$6,0))</f>
        <v>31.179974571912918</v>
      </c>
      <c r="O567" s="86">
        <f>GDPdeflator!$C$38*INDEX(Costs!$E$7:$O$89,MATCH($C567,Costs!$C$7:$C$89,0),MATCH(O$7,Costs!$E$6:$O$6,0))</f>
        <v>31.179974571912918</v>
      </c>
      <c r="P567" s="87">
        <v>0</v>
      </c>
      <c r="Q567" s="87">
        <f t="shared" si="264"/>
        <v>2335.149562135543</v>
      </c>
      <c r="R567" s="87">
        <f t="shared" si="255"/>
        <v>2454.2405846453971</v>
      </c>
      <c r="S567" s="87">
        <f t="shared" si="256"/>
        <v>2519.3456254899393</v>
      </c>
      <c r="T567" s="87">
        <f t="shared" si="257"/>
        <v>2594.6919087145225</v>
      </c>
      <c r="U567" s="87">
        <f t="shared" si="258"/>
        <v>2599.8125299045423</v>
      </c>
      <c r="V567" s="87">
        <f t="shared" si="259"/>
        <v>2602.0070818431227</v>
      </c>
      <c r="W567" s="87">
        <f t="shared" si="260"/>
        <v>2603.4701164688431</v>
      </c>
      <c r="X567" s="87">
        <f t="shared" si="261"/>
        <v>2603.4701164688431</v>
      </c>
      <c r="Y567" s="87">
        <f t="shared" si="262"/>
        <v>2603.4701164688431</v>
      </c>
      <c r="Z567" s="87">
        <f t="shared" si="263"/>
        <v>2603.4701164688431</v>
      </c>
      <c r="AA567" s="40">
        <v>473</v>
      </c>
      <c r="AB567" s="89">
        <f>AA567*GDPdeflator!$C$25/$AI$18*10^3</f>
        <v>45.478712808157368</v>
      </c>
      <c r="AC567" s="90" t="e">
        <f>INDEX(Efficiencies!$D$8:$M$89,MATCH(C567,Efficiencies!$C$8:$C$89),MATCH(D567,Efficiencies!$D$7:$M$7))</f>
        <v>#REF!</v>
      </c>
      <c r="AD567" s="90" t="e">
        <f t="shared" si="249"/>
        <v>#REF!</v>
      </c>
      <c r="AE567" s="90" t="e">
        <f>INDEX(Efficiencies!$P$8:$Y$89,MATCH(C567,Efficiencies!$C$8:$C$89),MATCH(D567,Efficiencies!$P$7:$Y$7))</f>
        <v>#REF!</v>
      </c>
      <c r="AF567" s="90" t="e">
        <f t="shared" si="252"/>
        <v>#REF!</v>
      </c>
      <c r="AG567" s="90" t="e">
        <f>AdditionalVehs!$C$33</f>
        <v>#REF!</v>
      </c>
    </row>
    <row r="568" spans="1:33" x14ac:dyDescent="0.2">
      <c r="A568" s="92" t="s">
        <v>1958</v>
      </c>
      <c r="B568" s="248" t="s">
        <v>1959</v>
      </c>
      <c r="C568" s="40" t="s">
        <v>1960</v>
      </c>
      <c r="D568" s="40">
        <v>2060</v>
      </c>
      <c r="E568" s="86">
        <f>GDPdeflator!$C$32*INDEX(Costs!$E$7:$O$89,MATCH($C568,Costs!$C$7:$C$89,0),MATCH(E$7,Costs!$E$6:$O$6,0))</f>
        <v>33.623946527172329</v>
      </c>
      <c r="F568" s="86">
        <f>GDPdeflator!$C$36*INDEX(Costs!$E$7:$O$89,MATCH($C568,Costs!$C$7:$C$89,0),MATCH(F$7,Costs!$E$6:$O$6,0))</f>
        <v>32.255158122353365</v>
      </c>
      <c r="G568" s="86">
        <f>GDPdeflator!$C$38*INDEX(Costs!$E$7:$O$89,MATCH($C568,Costs!$C$7:$C$89,0),MATCH(G$7,Costs!$E$6:$O$6,0))</f>
        <v>32.905868078703264</v>
      </c>
      <c r="H568" s="86">
        <f>GDPdeflator!$C$38*INDEX(Costs!$E$7:$O$89,MATCH($C568,Costs!$C$7:$C$89,0),MATCH(H$7,Costs!$E$6:$O$6,0))</f>
        <v>33.887086722157676</v>
      </c>
      <c r="I568" s="86">
        <f>GDPdeflator!$C$38*INDEX(Costs!$E$7:$O$89,MATCH($C568,Costs!$C$7:$C$89,0),MATCH(I$7,Costs!$E$6:$O$6,0))</f>
        <v>34.938392411573112</v>
      </c>
      <c r="J568" s="86">
        <f>GDPdeflator!$C$38*INDEX(Costs!$E$7:$O$89,MATCH($C568,Costs!$C$7:$C$89,0),MATCH(J$7,Costs!$E$6:$O$6,0))</f>
        <v>35.026001219024394</v>
      </c>
      <c r="K568" s="86">
        <f>GDPdeflator!$C$38*INDEX(Costs!$E$7:$O$89,MATCH($C568,Costs!$C$7:$C$89,0),MATCH(K$7,Costs!$E$6:$O$6,0))</f>
        <v>35.043522980514659</v>
      </c>
      <c r="L568" s="86">
        <f>GDPdeflator!$C$38*INDEX(Costs!$E$7:$O$89,MATCH($C568,Costs!$C$7:$C$89,0),MATCH(L$7,Costs!$E$6:$O$6,0))</f>
        <v>35.061044742004917</v>
      </c>
      <c r="M568" s="86">
        <f>GDPdeflator!$C$38*INDEX(Costs!$E$7:$O$89,MATCH($C568,Costs!$C$7:$C$89,0),MATCH(M$7,Costs!$E$6:$O$6,0))</f>
        <v>35.061044742004917</v>
      </c>
      <c r="N568" s="86">
        <f>GDPdeflator!$C$38*INDEX(Costs!$E$7:$O$89,MATCH($C568,Costs!$C$7:$C$89,0),MATCH(N$7,Costs!$E$6:$O$6,0))</f>
        <v>35.061044742004917</v>
      </c>
      <c r="O568" s="86">
        <f>GDPdeflator!$C$38*INDEX(Costs!$E$7:$O$89,MATCH($C568,Costs!$C$7:$C$89,0),MATCH(O$7,Costs!$E$6:$O$6,0))</f>
        <v>35.061044742004917</v>
      </c>
      <c r="P568" s="87">
        <f>E568/$AI$18*10^6</f>
        <v>2807.5372473233201</v>
      </c>
      <c r="Q568" s="87">
        <f>F568/$AI$18*10^6</f>
        <v>2693.2459511743696</v>
      </c>
      <c r="R568" s="87">
        <f t="shared" si="255"/>
        <v>2747.5790271022688</v>
      </c>
      <c r="S568" s="87">
        <f t="shared" si="256"/>
        <v>2829.5089661425923</v>
      </c>
      <c r="T568" s="87">
        <f t="shared" si="257"/>
        <v>2917.2910436857951</v>
      </c>
      <c r="U568" s="87">
        <f t="shared" si="258"/>
        <v>2924.6062168143953</v>
      </c>
      <c r="V568" s="87">
        <f t="shared" si="259"/>
        <v>2926.0692514401162</v>
      </c>
      <c r="W568" s="87">
        <f t="shared" si="260"/>
        <v>2927.5322860658362</v>
      </c>
      <c r="X568" s="87">
        <f t="shared" si="261"/>
        <v>2927.5322860658362</v>
      </c>
      <c r="Y568" s="87">
        <f t="shared" si="262"/>
        <v>2927.5322860658362</v>
      </c>
      <c r="Z568" s="87">
        <f t="shared" si="263"/>
        <v>2927.5322860658362</v>
      </c>
      <c r="AA568" s="40">
        <v>450</v>
      </c>
      <c r="AB568" s="89">
        <f>AA568*GDPdeflator!$C$25/$AI$18*10^3</f>
        <v>43.267274341798768</v>
      </c>
      <c r="AC568" s="90" t="e">
        <f>INDEX(Efficiencies!$D$8:$M$89,MATCH(C568,Efficiencies!$C$8:$C$89),MATCH(D568,Efficiencies!$D$7:$M$7))</f>
        <v>#REF!</v>
      </c>
      <c r="AD568" s="90" t="e">
        <f t="shared" si="249"/>
        <v>#REF!</v>
      </c>
      <c r="AE568" s="90" t="e">
        <f>INDEX(Efficiencies!$P$8:$Y$89,MATCH(C568,Efficiencies!$C$8:$C$89),MATCH(D568,Efficiencies!$P$7:$Y$7))</f>
        <v>#REF!</v>
      </c>
      <c r="AF568" s="90" t="e">
        <f t="shared" si="252"/>
        <v>#REF!</v>
      </c>
      <c r="AG568" s="90">
        <v>0</v>
      </c>
    </row>
    <row r="569" spans="1:33" x14ac:dyDescent="0.2">
      <c r="A569" s="92" t="s">
        <v>1961</v>
      </c>
      <c r="B569" s="248" t="s">
        <v>1962</v>
      </c>
      <c r="C569" s="40" t="s">
        <v>1960</v>
      </c>
      <c r="D569" s="40">
        <v>2005</v>
      </c>
      <c r="E569" s="86">
        <f>GDPdeflator!$C$32*INDEX(Costs!$E$7:$O$89,MATCH($C569,Costs!$C$7:$C$89,0),MATCH(E$7,Costs!$E$6:$O$6,0))</f>
        <v>33.623946527172329</v>
      </c>
      <c r="F569" s="86">
        <f>GDPdeflator!$C$36*INDEX(Costs!$E$7:$O$89,MATCH($C569,Costs!$C$7:$C$89,0),MATCH(F$7,Costs!$E$6:$O$6,0))</f>
        <v>32.255158122353365</v>
      </c>
      <c r="G569" s="86">
        <f>GDPdeflator!$C$38*INDEX(Costs!$E$7:$O$89,MATCH($C569,Costs!$C$7:$C$89,0),MATCH(G$7,Costs!$E$6:$O$6,0))</f>
        <v>32.905868078703264</v>
      </c>
      <c r="H569" s="86">
        <f>GDPdeflator!$C$38*INDEX(Costs!$E$7:$O$89,MATCH($C569,Costs!$C$7:$C$89,0),MATCH(H$7,Costs!$E$6:$O$6,0))</f>
        <v>33.887086722157676</v>
      </c>
      <c r="I569" s="86">
        <f>GDPdeflator!$C$38*INDEX(Costs!$E$7:$O$89,MATCH($C569,Costs!$C$7:$C$89,0),MATCH(I$7,Costs!$E$6:$O$6,0))</f>
        <v>34.938392411573112</v>
      </c>
      <c r="J569" s="86">
        <f>GDPdeflator!$C$38*INDEX(Costs!$E$7:$O$89,MATCH($C569,Costs!$C$7:$C$89,0),MATCH(J$7,Costs!$E$6:$O$6,0))</f>
        <v>35.026001219024394</v>
      </c>
      <c r="K569" s="86">
        <f>GDPdeflator!$C$38*INDEX(Costs!$E$7:$O$89,MATCH($C569,Costs!$C$7:$C$89,0),MATCH(K$7,Costs!$E$6:$O$6,0))</f>
        <v>35.043522980514659</v>
      </c>
      <c r="L569" s="86">
        <f>GDPdeflator!$C$38*INDEX(Costs!$E$7:$O$89,MATCH($C569,Costs!$C$7:$C$89,0),MATCH(L$7,Costs!$E$6:$O$6,0))</f>
        <v>35.061044742004917</v>
      </c>
      <c r="M569" s="86">
        <f>GDPdeflator!$C$38*INDEX(Costs!$E$7:$O$89,MATCH($C569,Costs!$C$7:$C$89,0),MATCH(M$7,Costs!$E$6:$O$6,0))</f>
        <v>35.061044742004917</v>
      </c>
      <c r="N569" s="86">
        <f>GDPdeflator!$C$38*INDEX(Costs!$E$7:$O$89,MATCH($C569,Costs!$C$7:$C$89,0),MATCH(N$7,Costs!$E$6:$O$6,0))</f>
        <v>35.061044742004917</v>
      </c>
      <c r="O569" s="86">
        <f>GDPdeflator!$C$38*INDEX(Costs!$E$7:$O$89,MATCH($C569,Costs!$C$7:$C$89,0),MATCH(O$7,Costs!$E$6:$O$6,0))</f>
        <v>35.061044742004917</v>
      </c>
      <c r="P569" s="87">
        <f t="shared" ref="P569:P578" si="265">E569/$AI$18*10^6</f>
        <v>2807.5372473233201</v>
      </c>
      <c r="Q569" s="87">
        <f t="shared" ref="Q569:Q578" si="266">F569/$AI$18*10^6</f>
        <v>2693.2459511743696</v>
      </c>
      <c r="R569" s="87">
        <f t="shared" si="255"/>
        <v>2747.5790271022688</v>
      </c>
      <c r="S569" s="87">
        <f t="shared" si="256"/>
        <v>2829.5089661425923</v>
      </c>
      <c r="T569" s="87">
        <f t="shared" si="257"/>
        <v>2917.2910436857951</v>
      </c>
      <c r="U569" s="87">
        <f t="shared" si="258"/>
        <v>2924.6062168143953</v>
      </c>
      <c r="V569" s="87">
        <f t="shared" si="259"/>
        <v>2926.0692514401162</v>
      </c>
      <c r="W569" s="87">
        <f t="shared" si="260"/>
        <v>2927.5322860658362</v>
      </c>
      <c r="X569" s="87">
        <f t="shared" si="261"/>
        <v>2927.5322860658362</v>
      </c>
      <c r="Y569" s="87">
        <f t="shared" si="262"/>
        <v>2927.5322860658362</v>
      </c>
      <c r="Z569" s="87">
        <f t="shared" si="263"/>
        <v>2927.5322860658362</v>
      </c>
      <c r="AA569" s="40">
        <v>450</v>
      </c>
      <c r="AB569" s="89">
        <f>AA569*GDPdeflator!$C$25/$AI$18*10^3</f>
        <v>43.267274341798768</v>
      </c>
      <c r="AC569" s="90" t="e">
        <f>INDEX(Efficiencies!$D$8:$M$89,MATCH(C569,Efficiencies!$C$8:$C$89),MATCH(D569,Efficiencies!$D$7:$M$7))</f>
        <v>#REF!</v>
      </c>
      <c r="AD569" s="90" t="e">
        <f t="shared" si="249"/>
        <v>#REF!</v>
      </c>
      <c r="AE569" s="90" t="e">
        <f>INDEX(Efficiencies!$P$8:$Y$89,MATCH(C569,Efficiencies!$C$8:$C$89),MATCH(D569,Efficiencies!$P$7:$Y$7))</f>
        <v>#REF!</v>
      </c>
      <c r="AF569" s="90" t="e">
        <f t="shared" si="252"/>
        <v>#REF!</v>
      </c>
      <c r="AG569" s="90">
        <v>0</v>
      </c>
    </row>
    <row r="570" spans="1:33" x14ac:dyDescent="0.2">
      <c r="A570" s="92" t="s">
        <v>1963</v>
      </c>
      <c r="B570" s="248" t="s">
        <v>1964</v>
      </c>
      <c r="C570" s="40" t="s">
        <v>1960</v>
      </c>
      <c r="D570" s="40">
        <v>2010</v>
      </c>
      <c r="E570" s="86">
        <f>GDPdeflator!$C$32*INDEX(Costs!$E$7:$O$89,MATCH($C570,Costs!$C$7:$C$89,0),MATCH(E$7,Costs!$E$6:$O$6,0))</f>
        <v>33.623946527172329</v>
      </c>
      <c r="F570" s="86">
        <f>GDPdeflator!$C$36*INDEX(Costs!$E$7:$O$89,MATCH($C570,Costs!$C$7:$C$89,0),MATCH(F$7,Costs!$E$6:$O$6,0))</f>
        <v>32.255158122353365</v>
      </c>
      <c r="G570" s="86">
        <f>GDPdeflator!$C$38*INDEX(Costs!$E$7:$O$89,MATCH($C570,Costs!$C$7:$C$89,0),MATCH(G$7,Costs!$E$6:$O$6,0))</f>
        <v>32.905868078703264</v>
      </c>
      <c r="H570" s="86">
        <f>GDPdeflator!$C$38*INDEX(Costs!$E$7:$O$89,MATCH($C570,Costs!$C$7:$C$89,0),MATCH(H$7,Costs!$E$6:$O$6,0))</f>
        <v>33.887086722157676</v>
      </c>
      <c r="I570" s="86">
        <f>GDPdeflator!$C$38*INDEX(Costs!$E$7:$O$89,MATCH($C570,Costs!$C$7:$C$89,0),MATCH(I$7,Costs!$E$6:$O$6,0))</f>
        <v>34.938392411573112</v>
      </c>
      <c r="J570" s="86">
        <f>GDPdeflator!$C$38*INDEX(Costs!$E$7:$O$89,MATCH($C570,Costs!$C$7:$C$89,0),MATCH(J$7,Costs!$E$6:$O$6,0))</f>
        <v>35.026001219024394</v>
      </c>
      <c r="K570" s="86">
        <f>GDPdeflator!$C$38*INDEX(Costs!$E$7:$O$89,MATCH($C570,Costs!$C$7:$C$89,0),MATCH(K$7,Costs!$E$6:$O$6,0))</f>
        <v>35.043522980514659</v>
      </c>
      <c r="L570" s="86">
        <f>GDPdeflator!$C$38*INDEX(Costs!$E$7:$O$89,MATCH($C570,Costs!$C$7:$C$89,0),MATCH(L$7,Costs!$E$6:$O$6,0))</f>
        <v>35.061044742004917</v>
      </c>
      <c r="M570" s="86">
        <f>GDPdeflator!$C$38*INDEX(Costs!$E$7:$O$89,MATCH($C570,Costs!$C$7:$C$89,0),MATCH(M$7,Costs!$E$6:$O$6,0))</f>
        <v>35.061044742004917</v>
      </c>
      <c r="N570" s="86">
        <f>GDPdeflator!$C$38*INDEX(Costs!$E$7:$O$89,MATCH($C570,Costs!$C$7:$C$89,0),MATCH(N$7,Costs!$E$6:$O$6,0))</f>
        <v>35.061044742004917</v>
      </c>
      <c r="O570" s="86">
        <f>GDPdeflator!$C$38*INDEX(Costs!$E$7:$O$89,MATCH($C570,Costs!$C$7:$C$89,0),MATCH(O$7,Costs!$E$6:$O$6,0))</f>
        <v>35.061044742004917</v>
      </c>
      <c r="P570" s="87">
        <f t="shared" si="265"/>
        <v>2807.5372473233201</v>
      </c>
      <c r="Q570" s="87">
        <f t="shared" si="266"/>
        <v>2693.2459511743696</v>
      </c>
      <c r="R570" s="87">
        <f t="shared" si="255"/>
        <v>2747.5790271022688</v>
      </c>
      <c r="S570" s="87">
        <f t="shared" si="256"/>
        <v>2829.5089661425923</v>
      </c>
      <c r="T570" s="87">
        <f t="shared" si="257"/>
        <v>2917.2910436857951</v>
      </c>
      <c r="U570" s="87">
        <f t="shared" si="258"/>
        <v>2924.6062168143953</v>
      </c>
      <c r="V570" s="87">
        <f t="shared" si="259"/>
        <v>2926.0692514401162</v>
      </c>
      <c r="W570" s="87">
        <f t="shared" si="260"/>
        <v>2927.5322860658362</v>
      </c>
      <c r="X570" s="87">
        <f t="shared" si="261"/>
        <v>2927.5322860658362</v>
      </c>
      <c r="Y570" s="87">
        <f t="shared" si="262"/>
        <v>2927.5322860658362</v>
      </c>
      <c r="Z570" s="87">
        <f t="shared" si="263"/>
        <v>2927.5322860658362</v>
      </c>
      <c r="AA570" s="40">
        <v>450</v>
      </c>
      <c r="AB570" s="89">
        <f>AA570*GDPdeflator!$C$25/$AI$18*10^3</f>
        <v>43.267274341798768</v>
      </c>
      <c r="AC570" s="90" t="e">
        <f>INDEX(Efficiencies!$D$8:$M$89,MATCH(C570,Efficiencies!$C$8:$C$89),MATCH(D570,Efficiencies!$D$7:$M$7))</f>
        <v>#REF!</v>
      </c>
      <c r="AD570" s="90" t="e">
        <f t="shared" si="249"/>
        <v>#REF!</v>
      </c>
      <c r="AE570" s="90" t="e">
        <f>INDEX(Efficiencies!$P$8:$Y$89,MATCH(C570,Efficiencies!$C$8:$C$89),MATCH(D570,Efficiencies!$P$7:$Y$7))</f>
        <v>#REF!</v>
      </c>
      <c r="AF570" s="90" t="e">
        <f t="shared" si="252"/>
        <v>#REF!</v>
      </c>
      <c r="AG570" s="90">
        <v>0</v>
      </c>
    </row>
    <row r="571" spans="1:33" x14ac:dyDescent="0.2">
      <c r="A571" s="92" t="s">
        <v>1965</v>
      </c>
      <c r="B571" s="248" t="s">
        <v>1966</v>
      </c>
      <c r="C571" s="40" t="s">
        <v>1960</v>
      </c>
      <c r="D571" s="40">
        <v>2015</v>
      </c>
      <c r="E571" s="86">
        <f>GDPdeflator!$C$32*INDEX(Costs!$E$7:$O$89,MATCH($C571,Costs!$C$7:$C$89,0),MATCH(E$7,Costs!$E$6:$O$6,0))</f>
        <v>33.623946527172329</v>
      </c>
      <c r="F571" s="86">
        <f>GDPdeflator!$C$36*INDEX(Costs!$E$7:$O$89,MATCH($C571,Costs!$C$7:$C$89,0),MATCH(F$7,Costs!$E$6:$O$6,0))</f>
        <v>32.255158122353365</v>
      </c>
      <c r="G571" s="86">
        <f>GDPdeflator!$C$38*INDEX(Costs!$E$7:$O$89,MATCH($C571,Costs!$C$7:$C$89,0),MATCH(G$7,Costs!$E$6:$O$6,0))</f>
        <v>32.905868078703264</v>
      </c>
      <c r="H571" s="86">
        <f>GDPdeflator!$C$38*INDEX(Costs!$E$7:$O$89,MATCH($C571,Costs!$C$7:$C$89,0),MATCH(H$7,Costs!$E$6:$O$6,0))</f>
        <v>33.887086722157676</v>
      </c>
      <c r="I571" s="86">
        <f>GDPdeflator!$C$38*INDEX(Costs!$E$7:$O$89,MATCH($C571,Costs!$C$7:$C$89,0),MATCH(I$7,Costs!$E$6:$O$6,0))</f>
        <v>34.938392411573112</v>
      </c>
      <c r="J571" s="86">
        <f>GDPdeflator!$C$38*INDEX(Costs!$E$7:$O$89,MATCH($C571,Costs!$C$7:$C$89,0),MATCH(J$7,Costs!$E$6:$O$6,0))</f>
        <v>35.026001219024394</v>
      </c>
      <c r="K571" s="86">
        <f>GDPdeflator!$C$38*INDEX(Costs!$E$7:$O$89,MATCH($C571,Costs!$C$7:$C$89,0),MATCH(K$7,Costs!$E$6:$O$6,0))</f>
        <v>35.043522980514659</v>
      </c>
      <c r="L571" s="86">
        <f>GDPdeflator!$C$38*INDEX(Costs!$E$7:$O$89,MATCH($C571,Costs!$C$7:$C$89,0),MATCH(L$7,Costs!$E$6:$O$6,0))</f>
        <v>35.061044742004917</v>
      </c>
      <c r="M571" s="86">
        <f>GDPdeflator!$C$38*INDEX(Costs!$E$7:$O$89,MATCH($C571,Costs!$C$7:$C$89,0),MATCH(M$7,Costs!$E$6:$O$6,0))</f>
        <v>35.061044742004917</v>
      </c>
      <c r="N571" s="86">
        <f>GDPdeflator!$C$38*INDEX(Costs!$E$7:$O$89,MATCH($C571,Costs!$C$7:$C$89,0),MATCH(N$7,Costs!$E$6:$O$6,0))</f>
        <v>35.061044742004917</v>
      </c>
      <c r="O571" s="86">
        <f>GDPdeflator!$C$38*INDEX(Costs!$E$7:$O$89,MATCH($C571,Costs!$C$7:$C$89,0),MATCH(O$7,Costs!$E$6:$O$6,0))</f>
        <v>35.061044742004917</v>
      </c>
      <c r="P571" s="87">
        <f t="shared" si="265"/>
        <v>2807.5372473233201</v>
      </c>
      <c r="Q571" s="87">
        <f t="shared" si="266"/>
        <v>2693.2459511743696</v>
      </c>
      <c r="R571" s="87">
        <f t="shared" si="255"/>
        <v>2747.5790271022688</v>
      </c>
      <c r="S571" s="87">
        <f t="shared" si="256"/>
        <v>2829.5089661425923</v>
      </c>
      <c r="T571" s="87">
        <f t="shared" si="257"/>
        <v>2917.2910436857951</v>
      </c>
      <c r="U571" s="87">
        <f t="shared" si="258"/>
        <v>2924.6062168143953</v>
      </c>
      <c r="V571" s="87">
        <f t="shared" si="259"/>
        <v>2926.0692514401162</v>
      </c>
      <c r="W571" s="87">
        <f t="shared" si="260"/>
        <v>2927.5322860658362</v>
      </c>
      <c r="X571" s="87">
        <f t="shared" si="261"/>
        <v>2927.5322860658362</v>
      </c>
      <c r="Y571" s="87">
        <f t="shared" si="262"/>
        <v>2927.5322860658362</v>
      </c>
      <c r="Z571" s="87">
        <f t="shared" si="263"/>
        <v>2927.5322860658362</v>
      </c>
      <c r="AA571" s="40">
        <v>450</v>
      </c>
      <c r="AB571" s="89">
        <f>AA571*GDPdeflator!$C$25/$AI$18*10^3</f>
        <v>43.267274341798768</v>
      </c>
      <c r="AC571" s="90" t="e">
        <f>INDEX(Efficiencies!$D$8:$M$89,MATCH(C571,Efficiencies!$C$8:$C$89),MATCH(D571,Efficiencies!$D$7:$M$7))</f>
        <v>#REF!</v>
      </c>
      <c r="AD571" s="90" t="e">
        <f t="shared" si="249"/>
        <v>#REF!</v>
      </c>
      <c r="AE571" s="90" t="e">
        <f>INDEX(Efficiencies!$P$8:$Y$89,MATCH(C571,Efficiencies!$C$8:$C$89),MATCH(D571,Efficiencies!$P$7:$Y$7))</f>
        <v>#REF!</v>
      </c>
      <c r="AF571" s="90" t="e">
        <f t="shared" si="252"/>
        <v>#REF!</v>
      </c>
      <c r="AG571" s="90">
        <v>0</v>
      </c>
    </row>
    <row r="572" spans="1:33" x14ac:dyDescent="0.2">
      <c r="A572" s="92" t="s">
        <v>1967</v>
      </c>
      <c r="B572" s="248" t="s">
        <v>1968</v>
      </c>
      <c r="C572" s="40" t="s">
        <v>1960</v>
      </c>
      <c r="D572" s="40">
        <v>2020</v>
      </c>
      <c r="E572" s="86">
        <f>GDPdeflator!$C$32*INDEX(Costs!$E$7:$O$89,MATCH($C572,Costs!$C$7:$C$89,0),MATCH(E$7,Costs!$E$6:$O$6,0))</f>
        <v>33.623946527172329</v>
      </c>
      <c r="F572" s="86">
        <f>GDPdeflator!$C$36*INDEX(Costs!$E$7:$O$89,MATCH($C572,Costs!$C$7:$C$89,0),MATCH(F$7,Costs!$E$6:$O$6,0))</f>
        <v>32.255158122353365</v>
      </c>
      <c r="G572" s="86">
        <f>GDPdeflator!$C$38*INDEX(Costs!$E$7:$O$89,MATCH($C572,Costs!$C$7:$C$89,0),MATCH(G$7,Costs!$E$6:$O$6,0))</f>
        <v>32.905868078703264</v>
      </c>
      <c r="H572" s="86">
        <f>GDPdeflator!$C$38*INDEX(Costs!$E$7:$O$89,MATCH($C572,Costs!$C$7:$C$89,0),MATCH(H$7,Costs!$E$6:$O$6,0))</f>
        <v>33.887086722157676</v>
      </c>
      <c r="I572" s="86">
        <f>GDPdeflator!$C$38*INDEX(Costs!$E$7:$O$89,MATCH($C572,Costs!$C$7:$C$89,0),MATCH(I$7,Costs!$E$6:$O$6,0))</f>
        <v>34.938392411573112</v>
      </c>
      <c r="J572" s="86">
        <f>GDPdeflator!$C$38*INDEX(Costs!$E$7:$O$89,MATCH($C572,Costs!$C$7:$C$89,0),MATCH(J$7,Costs!$E$6:$O$6,0))</f>
        <v>35.026001219024394</v>
      </c>
      <c r="K572" s="86">
        <f>GDPdeflator!$C$38*INDEX(Costs!$E$7:$O$89,MATCH($C572,Costs!$C$7:$C$89,0),MATCH(K$7,Costs!$E$6:$O$6,0))</f>
        <v>35.043522980514659</v>
      </c>
      <c r="L572" s="86">
        <f>GDPdeflator!$C$38*INDEX(Costs!$E$7:$O$89,MATCH($C572,Costs!$C$7:$C$89,0),MATCH(L$7,Costs!$E$6:$O$6,0))</f>
        <v>35.061044742004917</v>
      </c>
      <c r="M572" s="86">
        <f>GDPdeflator!$C$38*INDEX(Costs!$E$7:$O$89,MATCH($C572,Costs!$C$7:$C$89,0),MATCH(M$7,Costs!$E$6:$O$6,0))</f>
        <v>35.061044742004917</v>
      </c>
      <c r="N572" s="86">
        <f>GDPdeflator!$C$38*INDEX(Costs!$E$7:$O$89,MATCH($C572,Costs!$C$7:$C$89,0),MATCH(N$7,Costs!$E$6:$O$6,0))</f>
        <v>35.061044742004917</v>
      </c>
      <c r="O572" s="86">
        <f>GDPdeflator!$C$38*INDEX(Costs!$E$7:$O$89,MATCH($C572,Costs!$C$7:$C$89,0),MATCH(O$7,Costs!$E$6:$O$6,0))</f>
        <v>35.061044742004917</v>
      </c>
      <c r="P572" s="87">
        <f t="shared" si="265"/>
        <v>2807.5372473233201</v>
      </c>
      <c r="Q572" s="87">
        <f t="shared" si="266"/>
        <v>2693.2459511743696</v>
      </c>
      <c r="R572" s="87">
        <f t="shared" si="255"/>
        <v>2747.5790271022688</v>
      </c>
      <c r="S572" s="87">
        <f t="shared" si="256"/>
        <v>2829.5089661425923</v>
      </c>
      <c r="T572" s="87">
        <f t="shared" si="257"/>
        <v>2917.2910436857951</v>
      </c>
      <c r="U572" s="87">
        <f t="shared" si="258"/>
        <v>2924.6062168143953</v>
      </c>
      <c r="V572" s="87">
        <f t="shared" si="259"/>
        <v>2926.0692514401162</v>
      </c>
      <c r="W572" s="87">
        <f t="shared" si="260"/>
        <v>2927.5322860658362</v>
      </c>
      <c r="X572" s="87">
        <f t="shared" si="261"/>
        <v>2927.5322860658362</v>
      </c>
      <c r="Y572" s="87">
        <f t="shared" si="262"/>
        <v>2927.5322860658362</v>
      </c>
      <c r="Z572" s="87">
        <f t="shared" si="263"/>
        <v>2927.5322860658362</v>
      </c>
      <c r="AA572" s="40">
        <v>450</v>
      </c>
      <c r="AB572" s="89">
        <f>AA572*GDPdeflator!$C$25/$AI$18*10^3</f>
        <v>43.267274341798768</v>
      </c>
      <c r="AC572" s="90" t="e">
        <f>INDEX(Efficiencies!$D$8:$M$89,MATCH(C572,Efficiencies!$C$8:$C$89),MATCH(D572,Efficiencies!$D$7:$M$7))</f>
        <v>#REF!</v>
      </c>
      <c r="AD572" s="90" t="e">
        <f t="shared" si="249"/>
        <v>#REF!</v>
      </c>
      <c r="AE572" s="90" t="e">
        <f>INDEX(Efficiencies!$P$8:$Y$89,MATCH(C572,Efficiencies!$C$8:$C$89),MATCH(D572,Efficiencies!$P$7:$Y$7))</f>
        <v>#REF!</v>
      </c>
      <c r="AF572" s="90" t="e">
        <f t="shared" si="252"/>
        <v>#REF!</v>
      </c>
      <c r="AG572" s="90">
        <v>0</v>
      </c>
    </row>
    <row r="573" spans="1:33" x14ac:dyDescent="0.2">
      <c r="A573" s="92" t="s">
        <v>1969</v>
      </c>
      <c r="B573" s="248" t="s">
        <v>1970</v>
      </c>
      <c r="C573" s="40" t="s">
        <v>1960</v>
      </c>
      <c r="D573" s="40">
        <v>2025</v>
      </c>
      <c r="E573" s="86">
        <f>GDPdeflator!$C$32*INDEX(Costs!$E$7:$O$89,MATCH($C573,Costs!$C$7:$C$89,0),MATCH(E$7,Costs!$E$6:$O$6,0))</f>
        <v>33.623946527172329</v>
      </c>
      <c r="F573" s="86">
        <f>GDPdeflator!$C$36*INDEX(Costs!$E$7:$O$89,MATCH($C573,Costs!$C$7:$C$89,0),MATCH(F$7,Costs!$E$6:$O$6,0))</f>
        <v>32.255158122353365</v>
      </c>
      <c r="G573" s="86">
        <f>GDPdeflator!$C$38*INDEX(Costs!$E$7:$O$89,MATCH($C573,Costs!$C$7:$C$89,0),MATCH(G$7,Costs!$E$6:$O$6,0))</f>
        <v>32.905868078703264</v>
      </c>
      <c r="H573" s="86">
        <f>GDPdeflator!$C$38*INDEX(Costs!$E$7:$O$89,MATCH($C573,Costs!$C$7:$C$89,0),MATCH(H$7,Costs!$E$6:$O$6,0))</f>
        <v>33.887086722157676</v>
      </c>
      <c r="I573" s="86">
        <f>GDPdeflator!$C$38*INDEX(Costs!$E$7:$O$89,MATCH($C573,Costs!$C$7:$C$89,0),MATCH(I$7,Costs!$E$6:$O$6,0))</f>
        <v>34.938392411573112</v>
      </c>
      <c r="J573" s="86">
        <f>GDPdeflator!$C$38*INDEX(Costs!$E$7:$O$89,MATCH($C573,Costs!$C$7:$C$89,0),MATCH(J$7,Costs!$E$6:$O$6,0))</f>
        <v>35.026001219024394</v>
      </c>
      <c r="K573" s="86">
        <f>GDPdeflator!$C$38*INDEX(Costs!$E$7:$O$89,MATCH($C573,Costs!$C$7:$C$89,0),MATCH(K$7,Costs!$E$6:$O$6,0))</f>
        <v>35.043522980514659</v>
      </c>
      <c r="L573" s="86">
        <f>GDPdeflator!$C$38*INDEX(Costs!$E$7:$O$89,MATCH($C573,Costs!$C$7:$C$89,0),MATCH(L$7,Costs!$E$6:$O$6,0))</f>
        <v>35.061044742004917</v>
      </c>
      <c r="M573" s="86">
        <f>GDPdeflator!$C$38*INDEX(Costs!$E$7:$O$89,MATCH($C573,Costs!$C$7:$C$89,0),MATCH(M$7,Costs!$E$6:$O$6,0))</f>
        <v>35.061044742004917</v>
      </c>
      <c r="N573" s="86">
        <f>GDPdeflator!$C$38*INDEX(Costs!$E$7:$O$89,MATCH($C573,Costs!$C$7:$C$89,0),MATCH(N$7,Costs!$E$6:$O$6,0))</f>
        <v>35.061044742004917</v>
      </c>
      <c r="O573" s="86">
        <f>GDPdeflator!$C$38*INDEX(Costs!$E$7:$O$89,MATCH($C573,Costs!$C$7:$C$89,0),MATCH(O$7,Costs!$E$6:$O$6,0))</f>
        <v>35.061044742004917</v>
      </c>
      <c r="P573" s="87">
        <f t="shared" si="265"/>
        <v>2807.5372473233201</v>
      </c>
      <c r="Q573" s="87">
        <f t="shared" si="266"/>
        <v>2693.2459511743696</v>
      </c>
      <c r="R573" s="87">
        <f t="shared" si="255"/>
        <v>2747.5790271022688</v>
      </c>
      <c r="S573" s="87">
        <f t="shared" si="256"/>
        <v>2829.5089661425923</v>
      </c>
      <c r="T573" s="87">
        <f t="shared" si="257"/>
        <v>2917.2910436857951</v>
      </c>
      <c r="U573" s="87">
        <f t="shared" si="258"/>
        <v>2924.6062168143953</v>
      </c>
      <c r="V573" s="87">
        <f t="shared" si="259"/>
        <v>2926.0692514401162</v>
      </c>
      <c r="W573" s="87">
        <f t="shared" si="260"/>
        <v>2927.5322860658362</v>
      </c>
      <c r="X573" s="87">
        <f t="shared" si="261"/>
        <v>2927.5322860658362</v>
      </c>
      <c r="Y573" s="87">
        <f t="shared" si="262"/>
        <v>2927.5322860658362</v>
      </c>
      <c r="Z573" s="87">
        <f t="shared" si="263"/>
        <v>2927.5322860658362</v>
      </c>
      <c r="AA573" s="40">
        <v>450</v>
      </c>
      <c r="AB573" s="89">
        <f>AA573*GDPdeflator!$C$25/$AI$18*10^3</f>
        <v>43.267274341798768</v>
      </c>
      <c r="AC573" s="90" t="e">
        <f>INDEX(Efficiencies!$D$8:$M$89,MATCH(C573,Efficiencies!$C$8:$C$89),MATCH(D573,Efficiencies!$D$7:$M$7))</f>
        <v>#REF!</v>
      </c>
      <c r="AD573" s="90" t="e">
        <f t="shared" si="249"/>
        <v>#REF!</v>
      </c>
      <c r="AE573" s="90" t="e">
        <f>INDEX(Efficiencies!$P$8:$Y$89,MATCH(C573,Efficiencies!$C$8:$C$89),MATCH(D573,Efficiencies!$P$7:$Y$7))</f>
        <v>#REF!</v>
      </c>
      <c r="AF573" s="90" t="e">
        <f t="shared" si="252"/>
        <v>#REF!</v>
      </c>
      <c r="AG573" s="90">
        <v>0</v>
      </c>
    </row>
    <row r="574" spans="1:33" x14ac:dyDescent="0.2">
      <c r="A574" s="92" t="s">
        <v>1971</v>
      </c>
      <c r="B574" s="248" t="s">
        <v>1972</v>
      </c>
      <c r="C574" s="40" t="s">
        <v>1960</v>
      </c>
      <c r="D574" s="40">
        <v>2030</v>
      </c>
      <c r="E574" s="86">
        <f>GDPdeflator!$C$32*INDEX(Costs!$E$7:$O$89,MATCH($C574,Costs!$C$7:$C$89,0),MATCH(E$7,Costs!$E$6:$O$6,0))</f>
        <v>33.623946527172329</v>
      </c>
      <c r="F574" s="86">
        <f>GDPdeflator!$C$36*INDEX(Costs!$E$7:$O$89,MATCH($C574,Costs!$C$7:$C$89,0),MATCH(F$7,Costs!$E$6:$O$6,0))</f>
        <v>32.255158122353365</v>
      </c>
      <c r="G574" s="86">
        <f>GDPdeflator!$C$38*INDEX(Costs!$E$7:$O$89,MATCH($C574,Costs!$C$7:$C$89,0),MATCH(G$7,Costs!$E$6:$O$6,0))</f>
        <v>32.905868078703264</v>
      </c>
      <c r="H574" s="86">
        <f>GDPdeflator!$C$38*INDEX(Costs!$E$7:$O$89,MATCH($C574,Costs!$C$7:$C$89,0),MATCH(H$7,Costs!$E$6:$O$6,0))</f>
        <v>33.887086722157676</v>
      </c>
      <c r="I574" s="86">
        <f>GDPdeflator!$C$38*INDEX(Costs!$E$7:$O$89,MATCH($C574,Costs!$C$7:$C$89,0),MATCH(I$7,Costs!$E$6:$O$6,0))</f>
        <v>34.938392411573112</v>
      </c>
      <c r="J574" s="86">
        <f>GDPdeflator!$C$38*INDEX(Costs!$E$7:$O$89,MATCH($C574,Costs!$C$7:$C$89,0),MATCH(J$7,Costs!$E$6:$O$6,0))</f>
        <v>35.026001219024394</v>
      </c>
      <c r="K574" s="86">
        <f>GDPdeflator!$C$38*INDEX(Costs!$E$7:$O$89,MATCH($C574,Costs!$C$7:$C$89,0),MATCH(K$7,Costs!$E$6:$O$6,0))</f>
        <v>35.043522980514659</v>
      </c>
      <c r="L574" s="86">
        <f>GDPdeflator!$C$38*INDEX(Costs!$E$7:$O$89,MATCH($C574,Costs!$C$7:$C$89,0),MATCH(L$7,Costs!$E$6:$O$6,0))</f>
        <v>35.061044742004917</v>
      </c>
      <c r="M574" s="86">
        <f>GDPdeflator!$C$38*INDEX(Costs!$E$7:$O$89,MATCH($C574,Costs!$C$7:$C$89,0),MATCH(M$7,Costs!$E$6:$O$6,0))</f>
        <v>35.061044742004917</v>
      </c>
      <c r="N574" s="86">
        <f>GDPdeflator!$C$38*INDEX(Costs!$E$7:$O$89,MATCH($C574,Costs!$C$7:$C$89,0),MATCH(N$7,Costs!$E$6:$O$6,0))</f>
        <v>35.061044742004917</v>
      </c>
      <c r="O574" s="86">
        <f>GDPdeflator!$C$38*INDEX(Costs!$E$7:$O$89,MATCH($C574,Costs!$C$7:$C$89,0),MATCH(O$7,Costs!$E$6:$O$6,0))</f>
        <v>35.061044742004917</v>
      </c>
      <c r="P574" s="87">
        <f t="shared" si="265"/>
        <v>2807.5372473233201</v>
      </c>
      <c r="Q574" s="87">
        <f t="shared" si="266"/>
        <v>2693.2459511743696</v>
      </c>
      <c r="R574" s="87">
        <f t="shared" si="255"/>
        <v>2747.5790271022688</v>
      </c>
      <c r="S574" s="87">
        <f t="shared" si="256"/>
        <v>2829.5089661425923</v>
      </c>
      <c r="T574" s="87">
        <f t="shared" si="257"/>
        <v>2917.2910436857951</v>
      </c>
      <c r="U574" s="87">
        <f t="shared" si="258"/>
        <v>2924.6062168143953</v>
      </c>
      <c r="V574" s="87">
        <f t="shared" si="259"/>
        <v>2926.0692514401162</v>
      </c>
      <c r="W574" s="87">
        <f t="shared" si="260"/>
        <v>2927.5322860658362</v>
      </c>
      <c r="X574" s="87">
        <f t="shared" si="261"/>
        <v>2927.5322860658362</v>
      </c>
      <c r="Y574" s="87">
        <f t="shared" si="262"/>
        <v>2927.5322860658362</v>
      </c>
      <c r="Z574" s="87">
        <f t="shared" si="263"/>
        <v>2927.5322860658362</v>
      </c>
      <c r="AA574" s="40">
        <v>450</v>
      </c>
      <c r="AB574" s="89">
        <f>AA574*GDPdeflator!$C$25/$AI$18*10^3</f>
        <v>43.267274341798768</v>
      </c>
      <c r="AC574" s="90" t="e">
        <f>INDEX(Efficiencies!$D$8:$M$89,MATCH(C574,Efficiencies!$C$8:$C$89),MATCH(D574,Efficiencies!$D$7:$M$7))</f>
        <v>#REF!</v>
      </c>
      <c r="AD574" s="90" t="e">
        <f t="shared" si="249"/>
        <v>#REF!</v>
      </c>
      <c r="AE574" s="90" t="e">
        <f>INDEX(Efficiencies!$P$8:$Y$89,MATCH(C574,Efficiencies!$C$8:$C$89),MATCH(D574,Efficiencies!$P$7:$Y$7))</f>
        <v>#REF!</v>
      </c>
      <c r="AF574" s="90" t="e">
        <f t="shared" si="252"/>
        <v>#REF!</v>
      </c>
      <c r="AG574" s="90">
        <v>0</v>
      </c>
    </row>
    <row r="575" spans="1:33" x14ac:dyDescent="0.2">
      <c r="A575" s="92" t="s">
        <v>1973</v>
      </c>
      <c r="B575" s="248" t="s">
        <v>1974</v>
      </c>
      <c r="C575" s="40" t="s">
        <v>1960</v>
      </c>
      <c r="D575" s="40">
        <v>2035</v>
      </c>
      <c r="E575" s="86">
        <f>GDPdeflator!$C$32*INDEX(Costs!$E$7:$O$89,MATCH($C575,Costs!$C$7:$C$89,0),MATCH(E$7,Costs!$E$6:$O$6,0))</f>
        <v>33.623946527172329</v>
      </c>
      <c r="F575" s="86">
        <f>GDPdeflator!$C$36*INDEX(Costs!$E$7:$O$89,MATCH($C575,Costs!$C$7:$C$89,0),MATCH(F$7,Costs!$E$6:$O$6,0))</f>
        <v>32.255158122353365</v>
      </c>
      <c r="G575" s="86">
        <f>GDPdeflator!$C$38*INDEX(Costs!$E$7:$O$89,MATCH($C575,Costs!$C$7:$C$89,0),MATCH(G$7,Costs!$E$6:$O$6,0))</f>
        <v>32.905868078703264</v>
      </c>
      <c r="H575" s="86">
        <f>GDPdeflator!$C$38*INDEX(Costs!$E$7:$O$89,MATCH($C575,Costs!$C$7:$C$89,0),MATCH(H$7,Costs!$E$6:$O$6,0))</f>
        <v>33.887086722157676</v>
      </c>
      <c r="I575" s="86">
        <f>GDPdeflator!$C$38*INDEX(Costs!$E$7:$O$89,MATCH($C575,Costs!$C$7:$C$89,0),MATCH(I$7,Costs!$E$6:$O$6,0))</f>
        <v>34.938392411573112</v>
      </c>
      <c r="J575" s="86">
        <f>GDPdeflator!$C$38*INDEX(Costs!$E$7:$O$89,MATCH($C575,Costs!$C$7:$C$89,0),MATCH(J$7,Costs!$E$6:$O$6,0))</f>
        <v>35.026001219024394</v>
      </c>
      <c r="K575" s="86">
        <f>GDPdeflator!$C$38*INDEX(Costs!$E$7:$O$89,MATCH($C575,Costs!$C$7:$C$89,0),MATCH(K$7,Costs!$E$6:$O$6,0))</f>
        <v>35.043522980514659</v>
      </c>
      <c r="L575" s="86">
        <f>GDPdeflator!$C$38*INDEX(Costs!$E$7:$O$89,MATCH($C575,Costs!$C$7:$C$89,0),MATCH(L$7,Costs!$E$6:$O$6,0))</f>
        <v>35.061044742004917</v>
      </c>
      <c r="M575" s="86">
        <f>GDPdeflator!$C$38*INDEX(Costs!$E$7:$O$89,MATCH($C575,Costs!$C$7:$C$89,0),MATCH(M$7,Costs!$E$6:$O$6,0))</f>
        <v>35.061044742004917</v>
      </c>
      <c r="N575" s="86">
        <f>GDPdeflator!$C$38*INDEX(Costs!$E$7:$O$89,MATCH($C575,Costs!$C$7:$C$89,0),MATCH(N$7,Costs!$E$6:$O$6,0))</f>
        <v>35.061044742004917</v>
      </c>
      <c r="O575" s="86">
        <f>GDPdeflator!$C$38*INDEX(Costs!$E$7:$O$89,MATCH($C575,Costs!$C$7:$C$89,0),MATCH(O$7,Costs!$E$6:$O$6,0))</f>
        <v>35.061044742004917</v>
      </c>
      <c r="P575" s="87">
        <f t="shared" si="265"/>
        <v>2807.5372473233201</v>
      </c>
      <c r="Q575" s="87">
        <f t="shared" si="266"/>
        <v>2693.2459511743696</v>
      </c>
      <c r="R575" s="87">
        <f t="shared" si="255"/>
        <v>2747.5790271022688</v>
      </c>
      <c r="S575" s="87">
        <f t="shared" si="256"/>
        <v>2829.5089661425923</v>
      </c>
      <c r="T575" s="87">
        <f t="shared" si="257"/>
        <v>2917.2910436857951</v>
      </c>
      <c r="U575" s="87">
        <f t="shared" si="258"/>
        <v>2924.6062168143953</v>
      </c>
      <c r="V575" s="87">
        <f t="shared" si="259"/>
        <v>2926.0692514401162</v>
      </c>
      <c r="W575" s="87">
        <f t="shared" si="260"/>
        <v>2927.5322860658362</v>
      </c>
      <c r="X575" s="87">
        <f t="shared" si="261"/>
        <v>2927.5322860658362</v>
      </c>
      <c r="Y575" s="87">
        <f t="shared" si="262"/>
        <v>2927.5322860658362</v>
      </c>
      <c r="Z575" s="87">
        <f t="shared" si="263"/>
        <v>2927.5322860658362</v>
      </c>
      <c r="AA575" s="40">
        <v>450</v>
      </c>
      <c r="AB575" s="89">
        <f>AA575*GDPdeflator!$C$25/$AI$18*10^3</f>
        <v>43.267274341798768</v>
      </c>
      <c r="AC575" s="90" t="e">
        <f>INDEX(Efficiencies!$D$8:$M$89,MATCH(C575,Efficiencies!$C$8:$C$89),MATCH(D575,Efficiencies!$D$7:$M$7))</f>
        <v>#REF!</v>
      </c>
      <c r="AD575" s="90" t="e">
        <f t="shared" si="249"/>
        <v>#REF!</v>
      </c>
      <c r="AE575" s="90" t="e">
        <f>INDEX(Efficiencies!$P$8:$Y$89,MATCH(C575,Efficiencies!$C$8:$C$89),MATCH(D575,Efficiencies!$P$7:$Y$7))</f>
        <v>#REF!</v>
      </c>
      <c r="AF575" s="90" t="e">
        <f t="shared" si="252"/>
        <v>#REF!</v>
      </c>
      <c r="AG575" s="90">
        <v>0</v>
      </c>
    </row>
    <row r="576" spans="1:33" x14ac:dyDescent="0.2">
      <c r="A576" s="92" t="s">
        <v>1975</v>
      </c>
      <c r="B576" s="248" t="s">
        <v>1976</v>
      </c>
      <c r="C576" s="40" t="s">
        <v>1960</v>
      </c>
      <c r="D576" s="40">
        <v>2040</v>
      </c>
      <c r="E576" s="86">
        <f>GDPdeflator!$C$32*INDEX(Costs!$E$7:$O$89,MATCH($C576,Costs!$C$7:$C$89,0),MATCH(E$7,Costs!$E$6:$O$6,0))</f>
        <v>33.623946527172329</v>
      </c>
      <c r="F576" s="86">
        <f>GDPdeflator!$C$36*INDEX(Costs!$E$7:$O$89,MATCH($C576,Costs!$C$7:$C$89,0),MATCH(F$7,Costs!$E$6:$O$6,0))</f>
        <v>32.255158122353365</v>
      </c>
      <c r="G576" s="86">
        <f>GDPdeflator!$C$38*INDEX(Costs!$E$7:$O$89,MATCH($C576,Costs!$C$7:$C$89,0),MATCH(G$7,Costs!$E$6:$O$6,0))</f>
        <v>32.905868078703264</v>
      </c>
      <c r="H576" s="86">
        <f>GDPdeflator!$C$38*INDEX(Costs!$E$7:$O$89,MATCH($C576,Costs!$C$7:$C$89,0),MATCH(H$7,Costs!$E$6:$O$6,0))</f>
        <v>33.887086722157676</v>
      </c>
      <c r="I576" s="86">
        <f>GDPdeflator!$C$38*INDEX(Costs!$E$7:$O$89,MATCH($C576,Costs!$C$7:$C$89,0),MATCH(I$7,Costs!$E$6:$O$6,0))</f>
        <v>34.938392411573112</v>
      </c>
      <c r="J576" s="86">
        <f>GDPdeflator!$C$38*INDEX(Costs!$E$7:$O$89,MATCH($C576,Costs!$C$7:$C$89,0),MATCH(J$7,Costs!$E$6:$O$6,0))</f>
        <v>35.026001219024394</v>
      </c>
      <c r="K576" s="86">
        <f>GDPdeflator!$C$38*INDEX(Costs!$E$7:$O$89,MATCH($C576,Costs!$C$7:$C$89,0),MATCH(K$7,Costs!$E$6:$O$6,0))</f>
        <v>35.043522980514659</v>
      </c>
      <c r="L576" s="86">
        <f>GDPdeflator!$C$38*INDEX(Costs!$E$7:$O$89,MATCH($C576,Costs!$C$7:$C$89,0),MATCH(L$7,Costs!$E$6:$O$6,0))</f>
        <v>35.061044742004917</v>
      </c>
      <c r="M576" s="86">
        <f>GDPdeflator!$C$38*INDEX(Costs!$E$7:$O$89,MATCH($C576,Costs!$C$7:$C$89,0),MATCH(M$7,Costs!$E$6:$O$6,0))</f>
        <v>35.061044742004917</v>
      </c>
      <c r="N576" s="86">
        <f>GDPdeflator!$C$38*INDEX(Costs!$E$7:$O$89,MATCH($C576,Costs!$C$7:$C$89,0),MATCH(N$7,Costs!$E$6:$O$6,0))</f>
        <v>35.061044742004917</v>
      </c>
      <c r="O576" s="86">
        <f>GDPdeflator!$C$38*INDEX(Costs!$E$7:$O$89,MATCH($C576,Costs!$C$7:$C$89,0),MATCH(O$7,Costs!$E$6:$O$6,0))</f>
        <v>35.061044742004917</v>
      </c>
      <c r="P576" s="87">
        <f t="shared" si="265"/>
        <v>2807.5372473233201</v>
      </c>
      <c r="Q576" s="87">
        <f t="shared" si="266"/>
        <v>2693.2459511743696</v>
      </c>
      <c r="R576" s="87">
        <f t="shared" si="255"/>
        <v>2747.5790271022688</v>
      </c>
      <c r="S576" s="87">
        <f t="shared" si="256"/>
        <v>2829.5089661425923</v>
      </c>
      <c r="T576" s="87">
        <f t="shared" si="257"/>
        <v>2917.2910436857951</v>
      </c>
      <c r="U576" s="87">
        <f t="shared" si="258"/>
        <v>2924.6062168143953</v>
      </c>
      <c r="V576" s="87">
        <f t="shared" si="259"/>
        <v>2926.0692514401162</v>
      </c>
      <c r="W576" s="87">
        <f t="shared" si="260"/>
        <v>2927.5322860658362</v>
      </c>
      <c r="X576" s="87">
        <f t="shared" si="261"/>
        <v>2927.5322860658362</v>
      </c>
      <c r="Y576" s="87">
        <f t="shared" si="262"/>
        <v>2927.5322860658362</v>
      </c>
      <c r="Z576" s="87">
        <f t="shared" si="263"/>
        <v>2927.5322860658362</v>
      </c>
      <c r="AA576" s="40">
        <v>450</v>
      </c>
      <c r="AB576" s="89">
        <f>AA576*GDPdeflator!$C$25/$AI$18*10^3</f>
        <v>43.267274341798768</v>
      </c>
      <c r="AC576" s="90" t="e">
        <f>INDEX(Efficiencies!$D$8:$M$89,MATCH(C576,Efficiencies!$C$8:$C$89),MATCH(D576,Efficiencies!$D$7:$M$7))</f>
        <v>#REF!</v>
      </c>
      <c r="AD576" s="90" t="e">
        <f t="shared" si="249"/>
        <v>#REF!</v>
      </c>
      <c r="AE576" s="90" t="e">
        <f>INDEX(Efficiencies!$P$8:$Y$89,MATCH(C576,Efficiencies!$C$8:$C$89),MATCH(D576,Efficiencies!$P$7:$Y$7))</f>
        <v>#REF!</v>
      </c>
      <c r="AF576" s="90" t="e">
        <f t="shared" si="252"/>
        <v>#REF!</v>
      </c>
      <c r="AG576" s="90">
        <v>0</v>
      </c>
    </row>
    <row r="577" spans="1:33" x14ac:dyDescent="0.2">
      <c r="A577" s="92" t="s">
        <v>1977</v>
      </c>
      <c r="B577" s="248" t="s">
        <v>1978</v>
      </c>
      <c r="C577" s="40" t="s">
        <v>1960</v>
      </c>
      <c r="D577" s="40">
        <v>2045</v>
      </c>
      <c r="E577" s="86">
        <f>GDPdeflator!$C$32*INDEX(Costs!$E$7:$O$89,MATCH($C577,Costs!$C$7:$C$89,0),MATCH(E$7,Costs!$E$6:$O$6,0))</f>
        <v>33.623946527172329</v>
      </c>
      <c r="F577" s="86">
        <f>GDPdeflator!$C$36*INDEX(Costs!$E$7:$O$89,MATCH($C577,Costs!$C$7:$C$89,0),MATCH(F$7,Costs!$E$6:$O$6,0))</f>
        <v>32.255158122353365</v>
      </c>
      <c r="G577" s="86">
        <f>GDPdeflator!$C$38*INDEX(Costs!$E$7:$O$89,MATCH($C577,Costs!$C$7:$C$89,0),MATCH(G$7,Costs!$E$6:$O$6,0))</f>
        <v>32.905868078703264</v>
      </c>
      <c r="H577" s="86">
        <f>GDPdeflator!$C$38*INDEX(Costs!$E$7:$O$89,MATCH($C577,Costs!$C$7:$C$89,0),MATCH(H$7,Costs!$E$6:$O$6,0))</f>
        <v>33.887086722157676</v>
      </c>
      <c r="I577" s="86">
        <f>GDPdeflator!$C$38*INDEX(Costs!$E$7:$O$89,MATCH($C577,Costs!$C$7:$C$89,0),MATCH(I$7,Costs!$E$6:$O$6,0))</f>
        <v>34.938392411573112</v>
      </c>
      <c r="J577" s="86">
        <f>GDPdeflator!$C$38*INDEX(Costs!$E$7:$O$89,MATCH($C577,Costs!$C$7:$C$89,0),MATCH(J$7,Costs!$E$6:$O$6,0))</f>
        <v>35.026001219024394</v>
      </c>
      <c r="K577" s="86">
        <f>GDPdeflator!$C$38*INDEX(Costs!$E$7:$O$89,MATCH($C577,Costs!$C$7:$C$89,0),MATCH(K$7,Costs!$E$6:$O$6,0))</f>
        <v>35.043522980514659</v>
      </c>
      <c r="L577" s="86">
        <f>GDPdeflator!$C$38*INDEX(Costs!$E$7:$O$89,MATCH($C577,Costs!$C$7:$C$89,0),MATCH(L$7,Costs!$E$6:$O$6,0))</f>
        <v>35.061044742004917</v>
      </c>
      <c r="M577" s="86">
        <f>GDPdeflator!$C$38*INDEX(Costs!$E$7:$O$89,MATCH($C577,Costs!$C$7:$C$89,0),MATCH(M$7,Costs!$E$6:$O$6,0))</f>
        <v>35.061044742004917</v>
      </c>
      <c r="N577" s="86">
        <f>GDPdeflator!$C$38*INDEX(Costs!$E$7:$O$89,MATCH($C577,Costs!$C$7:$C$89,0),MATCH(N$7,Costs!$E$6:$O$6,0))</f>
        <v>35.061044742004917</v>
      </c>
      <c r="O577" s="86">
        <f>GDPdeflator!$C$38*INDEX(Costs!$E$7:$O$89,MATCH($C577,Costs!$C$7:$C$89,0),MATCH(O$7,Costs!$E$6:$O$6,0))</f>
        <v>35.061044742004917</v>
      </c>
      <c r="P577" s="87">
        <f t="shared" si="265"/>
        <v>2807.5372473233201</v>
      </c>
      <c r="Q577" s="87">
        <f t="shared" si="266"/>
        <v>2693.2459511743696</v>
      </c>
      <c r="R577" s="87">
        <f t="shared" si="255"/>
        <v>2747.5790271022688</v>
      </c>
      <c r="S577" s="87">
        <f t="shared" si="256"/>
        <v>2829.5089661425923</v>
      </c>
      <c r="T577" s="87">
        <f t="shared" si="257"/>
        <v>2917.2910436857951</v>
      </c>
      <c r="U577" s="87">
        <f t="shared" si="258"/>
        <v>2924.6062168143953</v>
      </c>
      <c r="V577" s="87">
        <f t="shared" si="259"/>
        <v>2926.0692514401162</v>
      </c>
      <c r="W577" s="87">
        <f t="shared" si="260"/>
        <v>2927.5322860658362</v>
      </c>
      <c r="X577" s="87">
        <f t="shared" si="261"/>
        <v>2927.5322860658362</v>
      </c>
      <c r="Y577" s="87">
        <f t="shared" si="262"/>
        <v>2927.5322860658362</v>
      </c>
      <c r="Z577" s="87">
        <f t="shared" si="263"/>
        <v>2927.5322860658362</v>
      </c>
      <c r="AA577" s="40">
        <v>450</v>
      </c>
      <c r="AB577" s="89">
        <f>AA577*GDPdeflator!$C$25/$AI$18*10^3</f>
        <v>43.267274341798768</v>
      </c>
      <c r="AC577" s="90" t="e">
        <f>INDEX(Efficiencies!$D$8:$M$89,MATCH(C577,Efficiencies!$C$8:$C$89),MATCH(D577,Efficiencies!$D$7:$M$7))</f>
        <v>#REF!</v>
      </c>
      <c r="AD577" s="90" t="e">
        <f t="shared" si="249"/>
        <v>#REF!</v>
      </c>
      <c r="AE577" s="90" t="e">
        <f>INDEX(Efficiencies!$P$8:$Y$89,MATCH(C577,Efficiencies!$C$8:$C$89),MATCH(D577,Efficiencies!$P$7:$Y$7))</f>
        <v>#REF!</v>
      </c>
      <c r="AF577" s="90" t="e">
        <f t="shared" si="252"/>
        <v>#REF!</v>
      </c>
      <c r="AG577" s="90">
        <v>0</v>
      </c>
    </row>
    <row r="578" spans="1:33" x14ac:dyDescent="0.2">
      <c r="A578" s="92" t="s">
        <v>1979</v>
      </c>
      <c r="B578" s="248" t="s">
        <v>1980</v>
      </c>
      <c r="C578" s="40" t="s">
        <v>1960</v>
      </c>
      <c r="D578" s="40">
        <v>2050</v>
      </c>
      <c r="E578" s="86">
        <f>GDPdeflator!$C$32*INDEX(Costs!$E$7:$O$89,MATCH($C578,Costs!$C$7:$C$89,0),MATCH(E$7,Costs!$E$6:$O$6,0))</f>
        <v>33.623946527172329</v>
      </c>
      <c r="F578" s="86">
        <f>GDPdeflator!$C$36*INDEX(Costs!$E$7:$O$89,MATCH($C578,Costs!$C$7:$C$89,0),MATCH(F$7,Costs!$E$6:$O$6,0))</f>
        <v>32.255158122353365</v>
      </c>
      <c r="G578" s="86">
        <f>GDPdeflator!$C$38*INDEX(Costs!$E$7:$O$89,MATCH($C578,Costs!$C$7:$C$89,0),MATCH(G$7,Costs!$E$6:$O$6,0))</f>
        <v>32.905868078703264</v>
      </c>
      <c r="H578" s="86">
        <f>GDPdeflator!$C$38*INDEX(Costs!$E$7:$O$89,MATCH($C578,Costs!$C$7:$C$89,0),MATCH(H$7,Costs!$E$6:$O$6,0))</f>
        <v>33.887086722157676</v>
      </c>
      <c r="I578" s="86">
        <f>GDPdeflator!$C$38*INDEX(Costs!$E$7:$O$89,MATCH($C578,Costs!$C$7:$C$89,0),MATCH(I$7,Costs!$E$6:$O$6,0))</f>
        <v>34.938392411573112</v>
      </c>
      <c r="J578" s="86">
        <f>GDPdeflator!$C$38*INDEX(Costs!$E$7:$O$89,MATCH($C578,Costs!$C$7:$C$89,0),MATCH(J$7,Costs!$E$6:$O$6,0))</f>
        <v>35.026001219024394</v>
      </c>
      <c r="K578" s="86">
        <f>GDPdeflator!$C$38*INDEX(Costs!$E$7:$O$89,MATCH($C578,Costs!$C$7:$C$89,0),MATCH(K$7,Costs!$E$6:$O$6,0))</f>
        <v>35.043522980514659</v>
      </c>
      <c r="L578" s="86">
        <f>GDPdeflator!$C$38*INDEX(Costs!$E$7:$O$89,MATCH($C578,Costs!$C$7:$C$89,0),MATCH(L$7,Costs!$E$6:$O$6,0))</f>
        <v>35.061044742004917</v>
      </c>
      <c r="M578" s="86">
        <f>GDPdeflator!$C$38*INDEX(Costs!$E$7:$O$89,MATCH($C578,Costs!$C$7:$C$89,0),MATCH(M$7,Costs!$E$6:$O$6,0))</f>
        <v>35.061044742004917</v>
      </c>
      <c r="N578" s="86">
        <f>GDPdeflator!$C$38*INDEX(Costs!$E$7:$O$89,MATCH($C578,Costs!$C$7:$C$89,0),MATCH(N$7,Costs!$E$6:$O$6,0))</f>
        <v>35.061044742004917</v>
      </c>
      <c r="O578" s="86">
        <f>GDPdeflator!$C$38*INDEX(Costs!$E$7:$O$89,MATCH($C578,Costs!$C$7:$C$89,0),MATCH(O$7,Costs!$E$6:$O$6,0))</f>
        <v>35.061044742004917</v>
      </c>
      <c r="P578" s="87">
        <f t="shared" si="265"/>
        <v>2807.5372473233201</v>
      </c>
      <c r="Q578" s="87">
        <f t="shared" si="266"/>
        <v>2693.2459511743696</v>
      </c>
      <c r="R578" s="87">
        <f t="shared" si="255"/>
        <v>2747.5790271022688</v>
      </c>
      <c r="S578" s="87">
        <f t="shared" si="256"/>
        <v>2829.5089661425923</v>
      </c>
      <c r="T578" s="87">
        <f t="shared" si="257"/>
        <v>2917.2910436857951</v>
      </c>
      <c r="U578" s="87">
        <f t="shared" si="258"/>
        <v>2924.6062168143953</v>
      </c>
      <c r="V578" s="87">
        <f t="shared" si="259"/>
        <v>2926.0692514401162</v>
      </c>
      <c r="W578" s="87">
        <f t="shared" si="260"/>
        <v>2927.5322860658362</v>
      </c>
      <c r="X578" s="87">
        <f t="shared" si="261"/>
        <v>2927.5322860658362</v>
      </c>
      <c r="Y578" s="87">
        <f t="shared" si="262"/>
        <v>2927.5322860658362</v>
      </c>
      <c r="Z578" s="87">
        <f t="shared" si="263"/>
        <v>2927.5322860658362</v>
      </c>
      <c r="AA578" s="40">
        <v>450</v>
      </c>
      <c r="AB578" s="89">
        <f>AA578*GDPdeflator!$C$25/$AI$18*10^3</f>
        <v>43.267274341798768</v>
      </c>
      <c r="AC578" s="90" t="e">
        <f>INDEX(Efficiencies!$D$8:$M$89,MATCH(C578,Efficiencies!$C$8:$C$89),MATCH(D578,Efficiencies!$D$7:$M$7))</f>
        <v>#REF!</v>
      </c>
      <c r="AD578" s="90" t="e">
        <f t="shared" si="249"/>
        <v>#REF!</v>
      </c>
      <c r="AE578" s="90" t="e">
        <f>INDEX(Efficiencies!$P$8:$Y$89,MATCH(C578,Efficiencies!$C$8:$C$89),MATCH(D578,Efficiencies!$P$7:$Y$7))</f>
        <v>#REF!</v>
      </c>
      <c r="AF578" s="90" t="e">
        <f t="shared" si="252"/>
        <v>#REF!</v>
      </c>
      <c r="AG578" s="90">
        <v>0</v>
      </c>
    </row>
    <row r="579" spans="1:33" x14ac:dyDescent="0.2">
      <c r="A579" s="92" t="s">
        <v>1981</v>
      </c>
      <c r="B579" s="248" t="s">
        <v>1982</v>
      </c>
      <c r="C579" s="40" t="s">
        <v>1983</v>
      </c>
      <c r="D579" s="40">
        <v>2020</v>
      </c>
      <c r="E579" s="86">
        <f>GDPdeflator!$C$32*INDEX(Costs!$E$7:$O$89,MATCH($C579,Costs!$C$7:$C$89,0),MATCH(E$7,Costs!$E$6:$O$6,0))</f>
        <v>0</v>
      </c>
      <c r="F579" s="86">
        <f>GDPdeflator!$C$36*INDEX(Costs!$E$7:$O$89,MATCH($C579,Costs!$C$7:$C$89,0),MATCH(F$7,Costs!$E$6:$O$6,0))</f>
        <v>0</v>
      </c>
      <c r="G579" s="86">
        <f>GDPdeflator!$C$38*INDEX(Costs!$E$7:$O$89,MATCH($C579,Costs!$C$7:$C$89,0),MATCH(G$7,Costs!$E$6:$O$6,0))</f>
        <v>0</v>
      </c>
      <c r="H579" s="86">
        <f>GDPdeflator!$C$38*INDEX(Costs!$E$7:$O$89,MATCH($C579,Costs!$C$7:$C$89,0),MATCH(H$7,Costs!$E$6:$O$6,0))</f>
        <v>43.620425229995618</v>
      </c>
      <c r="I579" s="86">
        <f>GDPdeflator!$C$38*INDEX(Costs!$E$7:$O$89,MATCH($C579,Costs!$C$7:$C$89,0),MATCH(I$7,Costs!$E$6:$O$6,0))</f>
        <v>43.287511761680726</v>
      </c>
      <c r="J579" s="86">
        <f>GDPdeflator!$C$38*INDEX(Costs!$E$7:$O$89,MATCH($C579,Costs!$C$7:$C$89,0),MATCH(J$7,Costs!$E$6:$O$6,0))</f>
        <v>42.744337155482754</v>
      </c>
      <c r="K579" s="86">
        <f>GDPdeflator!$C$38*INDEX(Costs!$E$7:$O$89,MATCH($C579,Costs!$C$7:$C$89,0),MATCH(K$7,Costs!$E$6:$O$6,0))</f>
        <v>42.595402182815562</v>
      </c>
      <c r="L579" s="86">
        <f>GDPdeflator!$C$38*INDEX(Costs!$E$7:$O$89,MATCH($C579,Costs!$C$7:$C$89,0),MATCH(L$7,Costs!$E$6:$O$6,0))</f>
        <v>42.560358659835046</v>
      </c>
      <c r="M579" s="86">
        <f>GDPdeflator!$C$38*INDEX(Costs!$E$7:$O$89,MATCH($C579,Costs!$C$7:$C$89,0),MATCH(M$7,Costs!$E$6:$O$6,0))</f>
        <v>42.560358659835046</v>
      </c>
      <c r="N579" s="86">
        <f>GDPdeflator!$C$38*INDEX(Costs!$E$7:$O$89,MATCH($C579,Costs!$C$7:$C$89,0),MATCH(N$7,Costs!$E$6:$O$6,0))</f>
        <v>42.560358659835046</v>
      </c>
      <c r="O579" s="86">
        <f>GDPdeflator!$C$38*INDEX(Costs!$E$7:$O$89,MATCH($C579,Costs!$C$7:$C$89,0),MATCH(O$7,Costs!$E$6:$O$6,0))</f>
        <v>42.560358659835046</v>
      </c>
      <c r="P579" s="87">
        <v>0</v>
      </c>
      <c r="Q579" s="87">
        <v>0</v>
      </c>
      <c r="R579" s="87">
        <f>G579/$AI$18*10^6</f>
        <v>0</v>
      </c>
      <c r="S579" s="87">
        <f t="shared" si="256"/>
        <v>3642.2247007300839</v>
      </c>
      <c r="T579" s="87">
        <f t="shared" si="257"/>
        <v>3614.4270428414025</v>
      </c>
      <c r="U579" s="87">
        <f t="shared" si="258"/>
        <v>3569.0729694440815</v>
      </c>
      <c r="V579" s="87">
        <f t="shared" si="259"/>
        <v>3556.6371751254605</v>
      </c>
      <c r="W579" s="87">
        <f t="shared" si="260"/>
        <v>3553.7111058740202</v>
      </c>
      <c r="X579" s="87">
        <f t="shared" si="261"/>
        <v>3553.7111058740202</v>
      </c>
      <c r="Y579" s="87">
        <f t="shared" si="262"/>
        <v>3553.7111058740202</v>
      </c>
      <c r="Z579" s="87">
        <f t="shared" si="263"/>
        <v>3553.7111058740202</v>
      </c>
      <c r="AA579" s="40">
        <v>473</v>
      </c>
      <c r="AB579" s="89">
        <f>AA579*GDPdeflator!$C$25/$AI$18*10^3</f>
        <v>45.478712808157368</v>
      </c>
      <c r="AC579" s="90" t="e">
        <f>INDEX(Efficiencies!$D$8:$M$89,MATCH(C579,Efficiencies!$C$8:$C$89),MATCH(D579,Efficiencies!$D$7:$M$7))</f>
        <v>#REF!</v>
      </c>
      <c r="AD579" s="90" t="e">
        <f t="shared" ref="AD579:AD633" si="267">AC579/($AI$11*$AI$15*10 ^ 9)</f>
        <v>#REF!</v>
      </c>
      <c r="AE579" s="90" t="e">
        <f>INDEX(Efficiencies!$P$8:$Y$89,MATCH(C579,Efficiencies!$C$8:$C$89),MATCH(D579,Efficiencies!$P$7:$Y$7))</f>
        <v>#REF!</v>
      </c>
      <c r="AF579" s="90" t="e">
        <f t="shared" si="252"/>
        <v>#REF!</v>
      </c>
      <c r="AG579" s="90">
        <v>0</v>
      </c>
    </row>
    <row r="580" spans="1:33" x14ac:dyDescent="0.2">
      <c r="A580" s="92" t="s">
        <v>1984</v>
      </c>
      <c r="B580" s="248" t="s">
        <v>1985</v>
      </c>
      <c r="C580" s="40" t="s">
        <v>1983</v>
      </c>
      <c r="D580" s="40">
        <v>2025</v>
      </c>
      <c r="E580" s="86">
        <f>GDPdeflator!$C$32*INDEX(Costs!$E$7:$O$89,MATCH($C580,Costs!$C$7:$C$89,0),MATCH(E$7,Costs!$E$6:$O$6,0))</f>
        <v>0</v>
      </c>
      <c r="F580" s="86">
        <f>GDPdeflator!$C$36*INDEX(Costs!$E$7:$O$89,MATCH($C580,Costs!$C$7:$C$89,0),MATCH(F$7,Costs!$E$6:$O$6,0))</f>
        <v>0</v>
      </c>
      <c r="G580" s="86">
        <f>GDPdeflator!$C$38*INDEX(Costs!$E$7:$O$89,MATCH($C580,Costs!$C$7:$C$89,0),MATCH(G$7,Costs!$E$6:$O$6,0))</f>
        <v>0</v>
      </c>
      <c r="H580" s="86">
        <f>GDPdeflator!$C$38*INDEX(Costs!$E$7:$O$89,MATCH($C580,Costs!$C$7:$C$89,0),MATCH(H$7,Costs!$E$6:$O$6,0))</f>
        <v>43.620425229995618</v>
      </c>
      <c r="I580" s="86">
        <f>GDPdeflator!$C$38*INDEX(Costs!$E$7:$O$89,MATCH($C580,Costs!$C$7:$C$89,0),MATCH(I$7,Costs!$E$6:$O$6,0))</f>
        <v>43.287511761680726</v>
      </c>
      <c r="J580" s="86">
        <f>GDPdeflator!$C$38*INDEX(Costs!$E$7:$O$89,MATCH($C580,Costs!$C$7:$C$89,0),MATCH(J$7,Costs!$E$6:$O$6,0))</f>
        <v>42.744337155482754</v>
      </c>
      <c r="K580" s="86">
        <f>GDPdeflator!$C$38*INDEX(Costs!$E$7:$O$89,MATCH($C580,Costs!$C$7:$C$89,0),MATCH(K$7,Costs!$E$6:$O$6,0))</f>
        <v>42.595402182815562</v>
      </c>
      <c r="L580" s="86">
        <f>GDPdeflator!$C$38*INDEX(Costs!$E$7:$O$89,MATCH($C580,Costs!$C$7:$C$89,0),MATCH(L$7,Costs!$E$6:$O$6,0))</f>
        <v>42.560358659835046</v>
      </c>
      <c r="M580" s="86">
        <f>GDPdeflator!$C$38*INDEX(Costs!$E$7:$O$89,MATCH($C580,Costs!$C$7:$C$89,0),MATCH(M$7,Costs!$E$6:$O$6,0))</f>
        <v>42.560358659835046</v>
      </c>
      <c r="N580" s="86">
        <f>GDPdeflator!$C$38*INDEX(Costs!$E$7:$O$89,MATCH($C580,Costs!$C$7:$C$89,0),MATCH(N$7,Costs!$E$6:$O$6,0))</f>
        <v>42.560358659835046</v>
      </c>
      <c r="O580" s="86">
        <f>GDPdeflator!$C$38*INDEX(Costs!$E$7:$O$89,MATCH($C580,Costs!$C$7:$C$89,0),MATCH(O$7,Costs!$E$6:$O$6,0))</f>
        <v>42.560358659835046</v>
      </c>
      <c r="P580" s="87">
        <v>0</v>
      </c>
      <c r="Q580" s="87">
        <v>0</v>
      </c>
      <c r="R580" s="87">
        <f t="shared" ref="R580:R643" si="268">G580/$AI$18*10^6</f>
        <v>0</v>
      </c>
      <c r="S580" s="87">
        <f t="shared" si="256"/>
        <v>3642.2247007300839</v>
      </c>
      <c r="T580" s="87">
        <f t="shared" si="257"/>
        <v>3614.4270428414025</v>
      </c>
      <c r="U580" s="87">
        <f t="shared" si="258"/>
        <v>3569.0729694440815</v>
      </c>
      <c r="V580" s="87">
        <f t="shared" si="259"/>
        <v>3556.6371751254605</v>
      </c>
      <c r="W580" s="87">
        <f t="shared" si="260"/>
        <v>3553.7111058740202</v>
      </c>
      <c r="X580" s="87">
        <f t="shared" si="261"/>
        <v>3553.7111058740202</v>
      </c>
      <c r="Y580" s="87">
        <f t="shared" si="262"/>
        <v>3553.7111058740202</v>
      </c>
      <c r="Z580" s="87">
        <f t="shared" si="263"/>
        <v>3553.7111058740202</v>
      </c>
      <c r="AA580" s="40">
        <v>473</v>
      </c>
      <c r="AB580" s="89">
        <f>AA580*GDPdeflator!$C$25/$AI$18*10^3</f>
        <v>45.478712808157368</v>
      </c>
      <c r="AC580" s="90" t="e">
        <f>INDEX(Efficiencies!$D$8:$M$89,MATCH(C580,Efficiencies!$C$8:$C$89),MATCH(D580,Efficiencies!$D$7:$M$7))</f>
        <v>#REF!</v>
      </c>
      <c r="AD580" s="90" t="e">
        <f t="shared" si="267"/>
        <v>#REF!</v>
      </c>
      <c r="AE580" s="90" t="e">
        <f>INDEX(Efficiencies!$P$8:$Y$89,MATCH(C580,Efficiencies!$C$8:$C$89),MATCH(D580,Efficiencies!$P$7:$Y$7))</f>
        <v>#REF!</v>
      </c>
      <c r="AF580" s="90" t="e">
        <f t="shared" si="252"/>
        <v>#REF!</v>
      </c>
      <c r="AG580" s="90">
        <v>0</v>
      </c>
    </row>
    <row r="581" spans="1:33" x14ac:dyDescent="0.2">
      <c r="A581" s="92" t="s">
        <v>1986</v>
      </c>
      <c r="B581" s="248" t="s">
        <v>1987</v>
      </c>
      <c r="C581" s="40" t="s">
        <v>1983</v>
      </c>
      <c r="D581" s="40">
        <v>2030</v>
      </c>
      <c r="E581" s="86">
        <f>GDPdeflator!$C$32*INDEX(Costs!$E$7:$O$89,MATCH($C581,Costs!$C$7:$C$89,0),MATCH(E$7,Costs!$E$6:$O$6,0))</f>
        <v>0</v>
      </c>
      <c r="F581" s="86">
        <f>GDPdeflator!$C$36*INDEX(Costs!$E$7:$O$89,MATCH($C581,Costs!$C$7:$C$89,0),MATCH(F$7,Costs!$E$6:$O$6,0))</f>
        <v>0</v>
      </c>
      <c r="G581" s="86">
        <f>GDPdeflator!$C$38*INDEX(Costs!$E$7:$O$89,MATCH($C581,Costs!$C$7:$C$89,0),MATCH(G$7,Costs!$E$6:$O$6,0))</f>
        <v>0</v>
      </c>
      <c r="H581" s="86">
        <f>GDPdeflator!$C$38*INDEX(Costs!$E$7:$O$89,MATCH($C581,Costs!$C$7:$C$89,0),MATCH(H$7,Costs!$E$6:$O$6,0))</f>
        <v>43.620425229995618</v>
      </c>
      <c r="I581" s="86">
        <f>GDPdeflator!$C$38*INDEX(Costs!$E$7:$O$89,MATCH($C581,Costs!$C$7:$C$89,0),MATCH(I$7,Costs!$E$6:$O$6,0))</f>
        <v>43.287511761680726</v>
      </c>
      <c r="J581" s="86">
        <f>GDPdeflator!$C$38*INDEX(Costs!$E$7:$O$89,MATCH($C581,Costs!$C$7:$C$89,0),MATCH(J$7,Costs!$E$6:$O$6,0))</f>
        <v>42.744337155482754</v>
      </c>
      <c r="K581" s="86">
        <f>GDPdeflator!$C$38*INDEX(Costs!$E$7:$O$89,MATCH($C581,Costs!$C$7:$C$89,0),MATCH(K$7,Costs!$E$6:$O$6,0))</f>
        <v>42.595402182815562</v>
      </c>
      <c r="L581" s="86">
        <f>GDPdeflator!$C$38*INDEX(Costs!$E$7:$O$89,MATCH($C581,Costs!$C$7:$C$89,0),MATCH(L$7,Costs!$E$6:$O$6,0))</f>
        <v>42.560358659835046</v>
      </c>
      <c r="M581" s="86">
        <f>GDPdeflator!$C$38*INDEX(Costs!$E$7:$O$89,MATCH($C581,Costs!$C$7:$C$89,0),MATCH(M$7,Costs!$E$6:$O$6,0))</f>
        <v>42.560358659835046</v>
      </c>
      <c r="N581" s="86">
        <f>GDPdeflator!$C$38*INDEX(Costs!$E$7:$O$89,MATCH($C581,Costs!$C$7:$C$89,0),MATCH(N$7,Costs!$E$6:$O$6,0))</f>
        <v>42.560358659835046</v>
      </c>
      <c r="O581" s="86">
        <f>GDPdeflator!$C$38*INDEX(Costs!$E$7:$O$89,MATCH($C581,Costs!$C$7:$C$89,0),MATCH(O$7,Costs!$E$6:$O$6,0))</f>
        <v>42.560358659835046</v>
      </c>
      <c r="P581" s="87">
        <v>0</v>
      </c>
      <c r="Q581" s="87">
        <v>0</v>
      </c>
      <c r="R581" s="87">
        <f t="shared" si="268"/>
        <v>0</v>
      </c>
      <c r="S581" s="87">
        <f t="shared" si="256"/>
        <v>3642.2247007300839</v>
      </c>
      <c r="T581" s="87">
        <f t="shared" si="257"/>
        <v>3614.4270428414025</v>
      </c>
      <c r="U581" s="87">
        <f t="shared" si="258"/>
        <v>3569.0729694440815</v>
      </c>
      <c r="V581" s="87">
        <f t="shared" si="259"/>
        <v>3556.6371751254605</v>
      </c>
      <c r="W581" s="87">
        <f t="shared" si="260"/>
        <v>3553.7111058740202</v>
      </c>
      <c r="X581" s="87">
        <f t="shared" si="261"/>
        <v>3553.7111058740202</v>
      </c>
      <c r="Y581" s="87">
        <f t="shared" si="262"/>
        <v>3553.7111058740202</v>
      </c>
      <c r="Z581" s="87">
        <f t="shared" si="263"/>
        <v>3553.7111058740202</v>
      </c>
      <c r="AA581" s="40">
        <v>473</v>
      </c>
      <c r="AB581" s="89">
        <f>AA581*GDPdeflator!$C$25/$AI$18*10^3</f>
        <v>45.478712808157368</v>
      </c>
      <c r="AC581" s="90" t="e">
        <f>INDEX(Efficiencies!$D$8:$M$89,MATCH(C581,Efficiencies!$C$8:$C$89),MATCH(D581,Efficiencies!$D$7:$M$7))</f>
        <v>#REF!</v>
      </c>
      <c r="AD581" s="90" t="e">
        <f t="shared" si="267"/>
        <v>#REF!</v>
      </c>
      <c r="AE581" s="90" t="e">
        <f>INDEX(Efficiencies!$P$8:$Y$89,MATCH(C581,Efficiencies!$C$8:$C$89),MATCH(D581,Efficiencies!$P$7:$Y$7))</f>
        <v>#REF!</v>
      </c>
      <c r="AF581" s="90" t="e">
        <f t="shared" si="252"/>
        <v>#REF!</v>
      </c>
      <c r="AG581" s="90">
        <v>0</v>
      </c>
    </row>
    <row r="582" spans="1:33" x14ac:dyDescent="0.2">
      <c r="A582" s="92" t="s">
        <v>1988</v>
      </c>
      <c r="B582" s="248" t="s">
        <v>1989</v>
      </c>
      <c r="C582" s="40" t="s">
        <v>1983</v>
      </c>
      <c r="D582" s="40">
        <v>2035</v>
      </c>
      <c r="E582" s="86">
        <f>GDPdeflator!$C$32*INDEX(Costs!$E$7:$O$89,MATCH($C582,Costs!$C$7:$C$89,0),MATCH(E$7,Costs!$E$6:$O$6,0))</f>
        <v>0</v>
      </c>
      <c r="F582" s="86">
        <f>GDPdeflator!$C$36*INDEX(Costs!$E$7:$O$89,MATCH($C582,Costs!$C$7:$C$89,0),MATCH(F$7,Costs!$E$6:$O$6,0))</f>
        <v>0</v>
      </c>
      <c r="G582" s="86">
        <f>GDPdeflator!$C$38*INDEX(Costs!$E$7:$O$89,MATCH($C582,Costs!$C$7:$C$89,0),MATCH(G$7,Costs!$E$6:$O$6,0))</f>
        <v>0</v>
      </c>
      <c r="H582" s="86">
        <f>GDPdeflator!$C$38*INDEX(Costs!$E$7:$O$89,MATCH($C582,Costs!$C$7:$C$89,0),MATCH(H$7,Costs!$E$6:$O$6,0))</f>
        <v>43.620425229995618</v>
      </c>
      <c r="I582" s="86">
        <f>GDPdeflator!$C$38*INDEX(Costs!$E$7:$O$89,MATCH($C582,Costs!$C$7:$C$89,0),MATCH(I$7,Costs!$E$6:$O$6,0))</f>
        <v>43.287511761680726</v>
      </c>
      <c r="J582" s="86">
        <f>GDPdeflator!$C$38*INDEX(Costs!$E$7:$O$89,MATCH($C582,Costs!$C$7:$C$89,0),MATCH(J$7,Costs!$E$6:$O$6,0))</f>
        <v>42.744337155482754</v>
      </c>
      <c r="K582" s="86">
        <f>GDPdeflator!$C$38*INDEX(Costs!$E$7:$O$89,MATCH($C582,Costs!$C$7:$C$89,0),MATCH(K$7,Costs!$E$6:$O$6,0))</f>
        <v>42.595402182815562</v>
      </c>
      <c r="L582" s="86">
        <f>GDPdeflator!$C$38*INDEX(Costs!$E$7:$O$89,MATCH($C582,Costs!$C$7:$C$89,0),MATCH(L$7,Costs!$E$6:$O$6,0))</f>
        <v>42.560358659835046</v>
      </c>
      <c r="M582" s="86">
        <f>GDPdeflator!$C$38*INDEX(Costs!$E$7:$O$89,MATCH($C582,Costs!$C$7:$C$89,0),MATCH(M$7,Costs!$E$6:$O$6,0))</f>
        <v>42.560358659835046</v>
      </c>
      <c r="N582" s="86">
        <f>GDPdeflator!$C$38*INDEX(Costs!$E$7:$O$89,MATCH($C582,Costs!$C$7:$C$89,0),MATCH(N$7,Costs!$E$6:$O$6,0))</f>
        <v>42.560358659835046</v>
      </c>
      <c r="O582" s="86">
        <f>GDPdeflator!$C$38*INDEX(Costs!$E$7:$O$89,MATCH($C582,Costs!$C$7:$C$89,0),MATCH(O$7,Costs!$E$6:$O$6,0))</f>
        <v>42.560358659835046</v>
      </c>
      <c r="P582" s="87">
        <v>0</v>
      </c>
      <c r="Q582" s="87">
        <v>0</v>
      </c>
      <c r="R582" s="87">
        <f t="shared" si="268"/>
        <v>0</v>
      </c>
      <c r="S582" s="87">
        <f t="shared" si="256"/>
        <v>3642.2247007300839</v>
      </c>
      <c r="T582" s="87">
        <f t="shared" si="257"/>
        <v>3614.4270428414025</v>
      </c>
      <c r="U582" s="87">
        <f t="shared" si="258"/>
        <v>3569.0729694440815</v>
      </c>
      <c r="V582" s="87">
        <f t="shared" si="259"/>
        <v>3556.6371751254605</v>
      </c>
      <c r="W582" s="87">
        <f t="shared" si="260"/>
        <v>3553.7111058740202</v>
      </c>
      <c r="X582" s="87">
        <f t="shared" si="261"/>
        <v>3553.7111058740202</v>
      </c>
      <c r="Y582" s="87">
        <f t="shared" si="262"/>
        <v>3553.7111058740202</v>
      </c>
      <c r="Z582" s="87">
        <f t="shared" si="263"/>
        <v>3553.7111058740202</v>
      </c>
      <c r="AA582" s="40">
        <v>473</v>
      </c>
      <c r="AB582" s="89">
        <f>AA582*GDPdeflator!$C$25/$AI$18*10^3</f>
        <v>45.478712808157368</v>
      </c>
      <c r="AC582" s="90" t="e">
        <f>INDEX(Efficiencies!$D$8:$M$89,MATCH(C582,Efficiencies!$C$8:$C$89),MATCH(D582,Efficiencies!$D$7:$M$7))</f>
        <v>#REF!</v>
      </c>
      <c r="AD582" s="90" t="e">
        <f t="shared" si="267"/>
        <v>#REF!</v>
      </c>
      <c r="AE582" s="90" t="e">
        <f>INDEX(Efficiencies!$P$8:$Y$89,MATCH(C582,Efficiencies!$C$8:$C$89),MATCH(D582,Efficiencies!$P$7:$Y$7))</f>
        <v>#REF!</v>
      </c>
      <c r="AF582" s="90" t="e">
        <f t="shared" si="252"/>
        <v>#REF!</v>
      </c>
      <c r="AG582" s="90">
        <v>0</v>
      </c>
    </row>
    <row r="583" spans="1:33" x14ac:dyDescent="0.2">
      <c r="A583" s="92" t="s">
        <v>1990</v>
      </c>
      <c r="B583" s="248" t="s">
        <v>1991</v>
      </c>
      <c r="C583" s="40" t="s">
        <v>1983</v>
      </c>
      <c r="D583" s="40">
        <v>2040</v>
      </c>
      <c r="E583" s="86">
        <f>GDPdeflator!$C$32*INDEX(Costs!$E$7:$O$89,MATCH($C583,Costs!$C$7:$C$89,0),MATCH(E$7,Costs!$E$6:$O$6,0))</f>
        <v>0</v>
      </c>
      <c r="F583" s="86">
        <f>GDPdeflator!$C$36*INDEX(Costs!$E$7:$O$89,MATCH($C583,Costs!$C$7:$C$89,0),MATCH(F$7,Costs!$E$6:$O$6,0))</f>
        <v>0</v>
      </c>
      <c r="G583" s="86">
        <f>GDPdeflator!$C$38*INDEX(Costs!$E$7:$O$89,MATCH($C583,Costs!$C$7:$C$89,0),MATCH(G$7,Costs!$E$6:$O$6,0))</f>
        <v>0</v>
      </c>
      <c r="H583" s="86">
        <f>GDPdeflator!$C$38*INDEX(Costs!$E$7:$O$89,MATCH($C583,Costs!$C$7:$C$89,0),MATCH(H$7,Costs!$E$6:$O$6,0))</f>
        <v>43.620425229995618</v>
      </c>
      <c r="I583" s="86">
        <f>GDPdeflator!$C$38*INDEX(Costs!$E$7:$O$89,MATCH($C583,Costs!$C$7:$C$89,0),MATCH(I$7,Costs!$E$6:$O$6,0))</f>
        <v>43.287511761680726</v>
      </c>
      <c r="J583" s="86">
        <f>GDPdeflator!$C$38*INDEX(Costs!$E$7:$O$89,MATCH($C583,Costs!$C$7:$C$89,0),MATCH(J$7,Costs!$E$6:$O$6,0))</f>
        <v>42.744337155482754</v>
      </c>
      <c r="K583" s="86">
        <f>GDPdeflator!$C$38*INDEX(Costs!$E$7:$O$89,MATCH($C583,Costs!$C$7:$C$89,0),MATCH(K$7,Costs!$E$6:$O$6,0))</f>
        <v>42.595402182815562</v>
      </c>
      <c r="L583" s="86">
        <f>GDPdeflator!$C$38*INDEX(Costs!$E$7:$O$89,MATCH($C583,Costs!$C$7:$C$89,0),MATCH(L$7,Costs!$E$6:$O$6,0))</f>
        <v>42.560358659835046</v>
      </c>
      <c r="M583" s="86">
        <f>GDPdeflator!$C$38*INDEX(Costs!$E$7:$O$89,MATCH($C583,Costs!$C$7:$C$89,0),MATCH(M$7,Costs!$E$6:$O$6,0))</f>
        <v>42.560358659835046</v>
      </c>
      <c r="N583" s="86">
        <f>GDPdeflator!$C$38*INDEX(Costs!$E$7:$O$89,MATCH($C583,Costs!$C$7:$C$89,0),MATCH(N$7,Costs!$E$6:$O$6,0))</f>
        <v>42.560358659835046</v>
      </c>
      <c r="O583" s="86">
        <f>GDPdeflator!$C$38*INDEX(Costs!$E$7:$O$89,MATCH($C583,Costs!$C$7:$C$89,0),MATCH(O$7,Costs!$E$6:$O$6,0))</f>
        <v>42.560358659835046</v>
      </c>
      <c r="P583" s="87">
        <v>0</v>
      </c>
      <c r="Q583" s="87">
        <v>0</v>
      </c>
      <c r="R583" s="87">
        <f t="shared" si="268"/>
        <v>0</v>
      </c>
      <c r="S583" s="87">
        <f t="shared" si="256"/>
        <v>3642.2247007300839</v>
      </c>
      <c r="T583" s="87">
        <f t="shared" si="257"/>
        <v>3614.4270428414025</v>
      </c>
      <c r="U583" s="87">
        <f t="shared" si="258"/>
        <v>3569.0729694440815</v>
      </c>
      <c r="V583" s="87">
        <f t="shared" si="259"/>
        <v>3556.6371751254605</v>
      </c>
      <c r="W583" s="87">
        <f t="shared" si="260"/>
        <v>3553.7111058740202</v>
      </c>
      <c r="X583" s="87">
        <f t="shared" si="261"/>
        <v>3553.7111058740202</v>
      </c>
      <c r="Y583" s="87">
        <f t="shared" si="262"/>
        <v>3553.7111058740202</v>
      </c>
      <c r="Z583" s="87">
        <f t="shared" si="263"/>
        <v>3553.7111058740202</v>
      </c>
      <c r="AA583" s="40">
        <v>473</v>
      </c>
      <c r="AB583" s="89">
        <f>AA583*GDPdeflator!$C$25/$AI$18*10^3</f>
        <v>45.478712808157368</v>
      </c>
      <c r="AC583" s="90" t="e">
        <f>INDEX(Efficiencies!$D$8:$M$89,MATCH(C583,Efficiencies!$C$8:$C$89),MATCH(D583,Efficiencies!$D$7:$M$7))</f>
        <v>#REF!</v>
      </c>
      <c r="AD583" s="90" t="e">
        <f t="shared" si="267"/>
        <v>#REF!</v>
      </c>
      <c r="AE583" s="90" t="e">
        <f>INDEX(Efficiencies!$P$8:$Y$89,MATCH(C583,Efficiencies!$C$8:$C$89),MATCH(D583,Efficiencies!$P$7:$Y$7))</f>
        <v>#REF!</v>
      </c>
      <c r="AF583" s="90" t="e">
        <f t="shared" si="252"/>
        <v>#REF!</v>
      </c>
      <c r="AG583" s="90">
        <v>0</v>
      </c>
    </row>
    <row r="584" spans="1:33" x14ac:dyDescent="0.2">
      <c r="A584" s="92" t="s">
        <v>1992</v>
      </c>
      <c r="B584" s="248" t="s">
        <v>1993</v>
      </c>
      <c r="C584" s="40" t="s">
        <v>1983</v>
      </c>
      <c r="D584" s="40">
        <v>2045</v>
      </c>
      <c r="E584" s="86">
        <f>GDPdeflator!$C$32*INDEX(Costs!$E$7:$O$89,MATCH($C584,Costs!$C$7:$C$89,0),MATCH(E$7,Costs!$E$6:$O$6,0))</f>
        <v>0</v>
      </c>
      <c r="F584" s="86">
        <f>GDPdeflator!$C$36*INDEX(Costs!$E$7:$O$89,MATCH($C584,Costs!$C$7:$C$89,0),MATCH(F$7,Costs!$E$6:$O$6,0))</f>
        <v>0</v>
      </c>
      <c r="G584" s="86">
        <f>GDPdeflator!$C$38*INDEX(Costs!$E$7:$O$89,MATCH($C584,Costs!$C$7:$C$89,0),MATCH(G$7,Costs!$E$6:$O$6,0))</f>
        <v>0</v>
      </c>
      <c r="H584" s="86">
        <f>GDPdeflator!$C$38*INDEX(Costs!$E$7:$O$89,MATCH($C584,Costs!$C$7:$C$89,0),MATCH(H$7,Costs!$E$6:$O$6,0))</f>
        <v>43.620425229995618</v>
      </c>
      <c r="I584" s="86">
        <f>GDPdeflator!$C$38*INDEX(Costs!$E$7:$O$89,MATCH($C584,Costs!$C$7:$C$89,0),MATCH(I$7,Costs!$E$6:$O$6,0))</f>
        <v>43.287511761680726</v>
      </c>
      <c r="J584" s="86">
        <f>GDPdeflator!$C$38*INDEX(Costs!$E$7:$O$89,MATCH($C584,Costs!$C$7:$C$89,0),MATCH(J$7,Costs!$E$6:$O$6,0))</f>
        <v>42.744337155482754</v>
      </c>
      <c r="K584" s="86">
        <f>GDPdeflator!$C$38*INDEX(Costs!$E$7:$O$89,MATCH($C584,Costs!$C$7:$C$89,0),MATCH(K$7,Costs!$E$6:$O$6,0))</f>
        <v>42.595402182815562</v>
      </c>
      <c r="L584" s="86">
        <f>GDPdeflator!$C$38*INDEX(Costs!$E$7:$O$89,MATCH($C584,Costs!$C$7:$C$89,0),MATCH(L$7,Costs!$E$6:$O$6,0))</f>
        <v>42.560358659835046</v>
      </c>
      <c r="M584" s="86">
        <f>GDPdeflator!$C$38*INDEX(Costs!$E$7:$O$89,MATCH($C584,Costs!$C$7:$C$89,0),MATCH(M$7,Costs!$E$6:$O$6,0))</f>
        <v>42.560358659835046</v>
      </c>
      <c r="N584" s="86">
        <f>GDPdeflator!$C$38*INDEX(Costs!$E$7:$O$89,MATCH($C584,Costs!$C$7:$C$89,0),MATCH(N$7,Costs!$E$6:$O$6,0))</f>
        <v>42.560358659835046</v>
      </c>
      <c r="O584" s="86">
        <f>GDPdeflator!$C$38*INDEX(Costs!$E$7:$O$89,MATCH($C584,Costs!$C$7:$C$89,0),MATCH(O$7,Costs!$E$6:$O$6,0))</f>
        <v>42.560358659835046</v>
      </c>
      <c r="P584" s="87">
        <v>0</v>
      </c>
      <c r="Q584" s="87">
        <v>0</v>
      </c>
      <c r="R584" s="87">
        <f t="shared" si="268"/>
        <v>0</v>
      </c>
      <c r="S584" s="87">
        <f t="shared" si="256"/>
        <v>3642.2247007300839</v>
      </c>
      <c r="T584" s="87">
        <f t="shared" si="257"/>
        <v>3614.4270428414025</v>
      </c>
      <c r="U584" s="87">
        <f t="shared" si="258"/>
        <v>3569.0729694440815</v>
      </c>
      <c r="V584" s="87">
        <f t="shared" si="259"/>
        <v>3556.6371751254605</v>
      </c>
      <c r="W584" s="87">
        <f t="shared" si="260"/>
        <v>3553.7111058740202</v>
      </c>
      <c r="X584" s="87">
        <f t="shared" si="261"/>
        <v>3553.7111058740202</v>
      </c>
      <c r="Y584" s="87">
        <f t="shared" si="262"/>
        <v>3553.7111058740202</v>
      </c>
      <c r="Z584" s="87">
        <f t="shared" si="263"/>
        <v>3553.7111058740202</v>
      </c>
      <c r="AA584" s="40">
        <v>473</v>
      </c>
      <c r="AB584" s="89">
        <f>AA584*GDPdeflator!$C$25/$AI$18*10^3</f>
        <v>45.478712808157368</v>
      </c>
      <c r="AC584" s="90" t="e">
        <f>INDEX(Efficiencies!$D$8:$M$89,MATCH(C584,Efficiencies!$C$8:$C$89),MATCH(D584,Efficiencies!$D$7:$M$7))</f>
        <v>#REF!</v>
      </c>
      <c r="AD584" s="90" t="e">
        <f t="shared" si="267"/>
        <v>#REF!</v>
      </c>
      <c r="AE584" s="90" t="e">
        <f>INDEX(Efficiencies!$P$8:$Y$89,MATCH(C584,Efficiencies!$C$8:$C$89),MATCH(D584,Efficiencies!$P$7:$Y$7))</f>
        <v>#REF!</v>
      </c>
      <c r="AF584" s="90" t="e">
        <f t="shared" si="252"/>
        <v>#REF!</v>
      </c>
      <c r="AG584" s="90">
        <v>0</v>
      </c>
    </row>
    <row r="585" spans="1:33" x14ac:dyDescent="0.2">
      <c r="A585" s="92" t="s">
        <v>1994</v>
      </c>
      <c r="B585" s="248" t="s">
        <v>1995</v>
      </c>
      <c r="C585" s="40" t="s">
        <v>1983</v>
      </c>
      <c r="D585" s="40">
        <v>2050</v>
      </c>
      <c r="E585" s="86">
        <f>GDPdeflator!$C$32*INDEX(Costs!$E$7:$O$89,MATCH($C585,Costs!$C$7:$C$89,0),MATCH(E$7,Costs!$E$6:$O$6,0))</f>
        <v>0</v>
      </c>
      <c r="F585" s="86">
        <f>GDPdeflator!$C$36*INDEX(Costs!$E$7:$O$89,MATCH($C585,Costs!$C$7:$C$89,0),MATCH(F$7,Costs!$E$6:$O$6,0))</f>
        <v>0</v>
      </c>
      <c r="G585" s="86">
        <f>GDPdeflator!$C$38*INDEX(Costs!$E$7:$O$89,MATCH($C585,Costs!$C$7:$C$89,0),MATCH(G$7,Costs!$E$6:$O$6,0))</f>
        <v>0</v>
      </c>
      <c r="H585" s="86">
        <f>GDPdeflator!$C$38*INDEX(Costs!$E$7:$O$89,MATCH($C585,Costs!$C$7:$C$89,0),MATCH(H$7,Costs!$E$6:$O$6,0))</f>
        <v>43.620425229995618</v>
      </c>
      <c r="I585" s="86">
        <f>GDPdeflator!$C$38*INDEX(Costs!$E$7:$O$89,MATCH($C585,Costs!$C$7:$C$89,0),MATCH(I$7,Costs!$E$6:$O$6,0))</f>
        <v>43.287511761680726</v>
      </c>
      <c r="J585" s="86">
        <f>GDPdeflator!$C$38*INDEX(Costs!$E$7:$O$89,MATCH($C585,Costs!$C$7:$C$89,0),MATCH(J$7,Costs!$E$6:$O$6,0))</f>
        <v>42.744337155482754</v>
      </c>
      <c r="K585" s="86">
        <f>GDPdeflator!$C$38*INDEX(Costs!$E$7:$O$89,MATCH($C585,Costs!$C$7:$C$89,0),MATCH(K$7,Costs!$E$6:$O$6,0))</f>
        <v>42.595402182815562</v>
      </c>
      <c r="L585" s="86">
        <f>GDPdeflator!$C$38*INDEX(Costs!$E$7:$O$89,MATCH($C585,Costs!$C$7:$C$89,0),MATCH(L$7,Costs!$E$6:$O$6,0))</f>
        <v>42.560358659835046</v>
      </c>
      <c r="M585" s="86">
        <f>GDPdeflator!$C$38*INDEX(Costs!$E$7:$O$89,MATCH($C585,Costs!$C$7:$C$89,0),MATCH(M$7,Costs!$E$6:$O$6,0))</f>
        <v>42.560358659835046</v>
      </c>
      <c r="N585" s="86">
        <f>GDPdeflator!$C$38*INDEX(Costs!$E$7:$O$89,MATCH($C585,Costs!$C$7:$C$89,0),MATCH(N$7,Costs!$E$6:$O$6,0))</f>
        <v>42.560358659835046</v>
      </c>
      <c r="O585" s="86">
        <f>GDPdeflator!$C$38*INDEX(Costs!$E$7:$O$89,MATCH($C585,Costs!$C$7:$C$89,0),MATCH(O$7,Costs!$E$6:$O$6,0))</f>
        <v>42.560358659835046</v>
      </c>
      <c r="P585" s="87">
        <v>0</v>
      </c>
      <c r="Q585" s="87">
        <v>0</v>
      </c>
      <c r="R585" s="87">
        <f t="shared" si="268"/>
        <v>0</v>
      </c>
      <c r="S585" s="87">
        <f t="shared" si="256"/>
        <v>3642.2247007300839</v>
      </c>
      <c r="T585" s="87">
        <f t="shared" si="257"/>
        <v>3614.4270428414025</v>
      </c>
      <c r="U585" s="87">
        <f t="shared" si="258"/>
        <v>3569.0729694440815</v>
      </c>
      <c r="V585" s="87">
        <f t="shared" si="259"/>
        <v>3556.6371751254605</v>
      </c>
      <c r="W585" s="87">
        <f t="shared" si="260"/>
        <v>3553.7111058740202</v>
      </c>
      <c r="X585" s="87">
        <f t="shared" si="261"/>
        <v>3553.7111058740202</v>
      </c>
      <c r="Y585" s="87">
        <f t="shared" si="262"/>
        <v>3553.7111058740202</v>
      </c>
      <c r="Z585" s="87">
        <f t="shared" si="263"/>
        <v>3553.7111058740202</v>
      </c>
      <c r="AA585" s="40">
        <v>473</v>
      </c>
      <c r="AB585" s="89">
        <f>AA585*GDPdeflator!$C$25/$AI$18*10^3</f>
        <v>45.478712808157368</v>
      </c>
      <c r="AC585" s="90" t="e">
        <f>INDEX(Efficiencies!$D$8:$M$89,MATCH(C585,Efficiencies!$C$8:$C$89),MATCH(D585,Efficiencies!$D$7:$M$7))</f>
        <v>#REF!</v>
      </c>
      <c r="AD585" s="90" t="e">
        <f t="shared" si="267"/>
        <v>#REF!</v>
      </c>
      <c r="AE585" s="90" t="e">
        <f>INDEX(Efficiencies!$P$8:$Y$89,MATCH(C585,Efficiencies!$C$8:$C$89),MATCH(D585,Efficiencies!$P$7:$Y$7))</f>
        <v>#REF!</v>
      </c>
      <c r="AF585" s="90" t="e">
        <f t="shared" si="252"/>
        <v>#REF!</v>
      </c>
      <c r="AG585" s="90">
        <v>0</v>
      </c>
    </row>
    <row r="586" spans="1:33" x14ac:dyDescent="0.2">
      <c r="A586" s="92" t="s">
        <v>1996</v>
      </c>
      <c r="B586" s="248" t="s">
        <v>1997</v>
      </c>
      <c r="C586" s="40" t="s">
        <v>1998</v>
      </c>
      <c r="D586" s="40">
        <v>2060</v>
      </c>
      <c r="E586" s="86">
        <f>GDPdeflator!$C$32*INDEX(Costs!$E$7:$O$89,MATCH($C586,Costs!$C$7:$C$89,0),MATCH(E$7,Costs!$E$6:$O$6,0))</f>
        <v>35.280441732054634</v>
      </c>
      <c r="F586" s="86">
        <f>GDPdeflator!$C$36*INDEX(Costs!$E$7:$O$89,MATCH($C586,Costs!$C$7:$C$89,0),MATCH(F$7,Costs!$E$6:$O$6,0))</f>
        <v>36.66997026759168</v>
      </c>
      <c r="G586" s="86">
        <f>GDPdeflator!$C$38*INDEX(Costs!$E$7:$O$89,MATCH($C586,Costs!$C$7:$C$89,0),MATCH(G$7,Costs!$E$6:$O$6,0))</f>
        <v>36.927112340717315</v>
      </c>
      <c r="H586" s="86">
        <f>GDPdeflator!$C$38*INDEX(Costs!$E$7:$O$89,MATCH($C586,Costs!$C$7:$C$89,0),MATCH(H$7,Costs!$E$6:$O$6,0))</f>
        <v>36.769416487305001</v>
      </c>
      <c r="I586" s="86">
        <f>GDPdeflator!$C$38*INDEX(Costs!$E$7:$O$89,MATCH($C586,Costs!$C$7:$C$89,0),MATCH(I$7,Costs!$E$6:$O$6,0))</f>
        <v>37.50533046989581</v>
      </c>
      <c r="J586" s="86">
        <f>GDPdeflator!$C$38*INDEX(Costs!$E$7:$O$89,MATCH($C586,Costs!$C$7:$C$89,0),MATCH(J$7,Costs!$E$6:$O$6,0))</f>
        <v>37.58417839660197</v>
      </c>
      <c r="K586" s="86">
        <f>GDPdeflator!$C$38*INDEX(Costs!$E$7:$O$89,MATCH($C586,Costs!$C$7:$C$89,0),MATCH(K$7,Costs!$E$6:$O$6,0))</f>
        <v>37.610461038837357</v>
      </c>
      <c r="L586" s="86">
        <f>GDPdeflator!$C$38*INDEX(Costs!$E$7:$O$89,MATCH($C586,Costs!$C$7:$C$89,0),MATCH(L$7,Costs!$E$6:$O$6,0))</f>
        <v>37.575417515856842</v>
      </c>
      <c r="M586" s="86">
        <f>GDPdeflator!$C$38*INDEX(Costs!$E$7:$O$89,MATCH($C586,Costs!$C$7:$C$89,0),MATCH(M$7,Costs!$E$6:$O$6,0))</f>
        <v>37.575417515856842</v>
      </c>
      <c r="N586" s="86">
        <f>GDPdeflator!$C$38*INDEX(Costs!$E$7:$O$89,MATCH($C586,Costs!$C$7:$C$89,0),MATCH(N$7,Costs!$E$6:$O$6,0))</f>
        <v>37.575417515856842</v>
      </c>
      <c r="O586" s="86">
        <f>GDPdeflator!$C$38*INDEX(Costs!$E$7:$O$89,MATCH($C586,Costs!$C$7:$C$89,0),MATCH(O$7,Costs!$E$6:$O$6,0))</f>
        <v>37.575417515856842</v>
      </c>
      <c r="P586" s="87">
        <f>E586/$AI$18*10^6</f>
        <v>2945.8515283064048</v>
      </c>
      <c r="Q586" s="87">
        <f t="shared" ref="Q586:Q649" si="269">F586/$AI$18*10^6</f>
        <v>3061.8745869496329</v>
      </c>
      <c r="R586" s="87">
        <f t="shared" si="268"/>
        <v>3083.345473705022</v>
      </c>
      <c r="S586" s="87">
        <f t="shared" si="256"/>
        <v>3070.1781620735414</v>
      </c>
      <c r="T586" s="87">
        <f t="shared" si="257"/>
        <v>3131.6256163537837</v>
      </c>
      <c r="U586" s="87">
        <f t="shared" si="258"/>
        <v>3138.2092721695244</v>
      </c>
      <c r="V586" s="87">
        <f t="shared" si="259"/>
        <v>3140.4038241081048</v>
      </c>
      <c r="W586" s="87">
        <f t="shared" si="260"/>
        <v>3137.4777548566644</v>
      </c>
      <c r="X586" s="87">
        <f t="shared" si="261"/>
        <v>3137.4777548566644</v>
      </c>
      <c r="Y586" s="87">
        <f t="shared" si="262"/>
        <v>3137.4777548566644</v>
      </c>
      <c r="Z586" s="87">
        <f t="shared" si="263"/>
        <v>3137.4777548566644</v>
      </c>
      <c r="AA586" s="40">
        <v>450</v>
      </c>
      <c r="AB586" s="89">
        <f>AA586*GDPdeflator!$C$25/$AI$18*10^3</f>
        <v>43.267274341798768</v>
      </c>
      <c r="AC586" s="90" t="e">
        <f>INDEX(Efficiencies!$D$8:$M$89,MATCH(C586,Efficiencies!$C$8:$C$89),MATCH(D586,Efficiencies!$D$7:$M$7))</f>
        <v>#REF!</v>
      </c>
      <c r="AD586" s="90" t="e">
        <f t="shared" si="267"/>
        <v>#REF!</v>
      </c>
      <c r="AE586" s="90" t="e">
        <f>INDEX(Efficiencies!$P$8:$Y$89,MATCH(C586,Efficiencies!$C$8:$C$89),MATCH(D586,Efficiencies!$P$7:$Y$7))</f>
        <v>#REF!</v>
      </c>
      <c r="AF586" s="90" t="e">
        <f t="shared" si="252"/>
        <v>#REF!</v>
      </c>
      <c r="AG586" s="90">
        <v>0</v>
      </c>
    </row>
    <row r="587" spans="1:33" x14ac:dyDescent="0.2">
      <c r="A587" s="92" t="s">
        <v>1999</v>
      </c>
      <c r="B587" s="248" t="s">
        <v>2000</v>
      </c>
      <c r="C587" s="40" t="s">
        <v>1998</v>
      </c>
      <c r="D587" s="40">
        <v>2005</v>
      </c>
      <c r="E587" s="86">
        <f>GDPdeflator!$C$32*INDEX(Costs!$E$7:$O$89,MATCH($C587,Costs!$C$7:$C$89,0),MATCH(E$7,Costs!$E$6:$O$6,0))</f>
        <v>35.280441732054634</v>
      </c>
      <c r="F587" s="86">
        <f>GDPdeflator!$C$36*INDEX(Costs!$E$7:$O$89,MATCH($C587,Costs!$C$7:$C$89,0),MATCH(F$7,Costs!$E$6:$O$6,0))</f>
        <v>36.66997026759168</v>
      </c>
      <c r="G587" s="86">
        <f>GDPdeflator!$C$38*INDEX(Costs!$E$7:$O$89,MATCH($C587,Costs!$C$7:$C$89,0),MATCH(G$7,Costs!$E$6:$O$6,0))</f>
        <v>36.927112340717315</v>
      </c>
      <c r="H587" s="86">
        <f>GDPdeflator!$C$38*INDEX(Costs!$E$7:$O$89,MATCH($C587,Costs!$C$7:$C$89,0),MATCH(H$7,Costs!$E$6:$O$6,0))</f>
        <v>36.769416487305001</v>
      </c>
      <c r="I587" s="86">
        <f>GDPdeflator!$C$38*INDEX(Costs!$E$7:$O$89,MATCH($C587,Costs!$C$7:$C$89,0),MATCH(I$7,Costs!$E$6:$O$6,0))</f>
        <v>37.50533046989581</v>
      </c>
      <c r="J587" s="86">
        <f>GDPdeflator!$C$38*INDEX(Costs!$E$7:$O$89,MATCH($C587,Costs!$C$7:$C$89,0),MATCH(J$7,Costs!$E$6:$O$6,0))</f>
        <v>37.58417839660197</v>
      </c>
      <c r="K587" s="86">
        <f>GDPdeflator!$C$38*INDEX(Costs!$E$7:$O$89,MATCH($C587,Costs!$C$7:$C$89,0),MATCH(K$7,Costs!$E$6:$O$6,0))</f>
        <v>37.610461038837357</v>
      </c>
      <c r="L587" s="86">
        <f>GDPdeflator!$C$38*INDEX(Costs!$E$7:$O$89,MATCH($C587,Costs!$C$7:$C$89,0),MATCH(L$7,Costs!$E$6:$O$6,0))</f>
        <v>37.575417515856842</v>
      </c>
      <c r="M587" s="86">
        <f>GDPdeflator!$C$38*INDEX(Costs!$E$7:$O$89,MATCH($C587,Costs!$C$7:$C$89,0),MATCH(M$7,Costs!$E$6:$O$6,0))</f>
        <v>37.575417515856842</v>
      </c>
      <c r="N587" s="86">
        <f>GDPdeflator!$C$38*INDEX(Costs!$E$7:$O$89,MATCH($C587,Costs!$C$7:$C$89,0),MATCH(N$7,Costs!$E$6:$O$6,0))</f>
        <v>37.575417515856842</v>
      </c>
      <c r="O587" s="86">
        <f>GDPdeflator!$C$38*INDEX(Costs!$E$7:$O$89,MATCH($C587,Costs!$C$7:$C$89,0),MATCH(O$7,Costs!$E$6:$O$6,0))</f>
        <v>37.575417515856842</v>
      </c>
      <c r="P587" s="87">
        <f t="shared" ref="P587:P596" si="270">E587/$AI$18*10^6</f>
        <v>2945.8515283064048</v>
      </c>
      <c r="Q587" s="87">
        <f t="shared" si="269"/>
        <v>3061.8745869496329</v>
      </c>
      <c r="R587" s="87">
        <f t="shared" si="268"/>
        <v>3083.345473705022</v>
      </c>
      <c r="S587" s="87">
        <f t="shared" si="256"/>
        <v>3070.1781620735414</v>
      </c>
      <c r="T587" s="87">
        <f t="shared" si="257"/>
        <v>3131.6256163537837</v>
      </c>
      <c r="U587" s="87">
        <f t="shared" si="258"/>
        <v>3138.2092721695244</v>
      </c>
      <c r="V587" s="87">
        <f t="shared" si="259"/>
        <v>3140.4038241081048</v>
      </c>
      <c r="W587" s="87">
        <f t="shared" si="260"/>
        <v>3137.4777548566644</v>
      </c>
      <c r="X587" s="87">
        <f t="shared" si="261"/>
        <v>3137.4777548566644</v>
      </c>
      <c r="Y587" s="87">
        <f t="shared" si="262"/>
        <v>3137.4777548566644</v>
      </c>
      <c r="Z587" s="87">
        <f t="shared" si="263"/>
        <v>3137.4777548566644</v>
      </c>
      <c r="AA587" s="40">
        <v>450</v>
      </c>
      <c r="AB587" s="89">
        <f>AA587*GDPdeflator!$C$25/$AI$18*10^3</f>
        <v>43.267274341798768</v>
      </c>
      <c r="AC587" s="90" t="e">
        <f>INDEX(Efficiencies!$D$8:$M$89,MATCH(C587,Efficiencies!$C$8:$C$89),MATCH(D587,Efficiencies!$D$7:$M$7))</f>
        <v>#REF!</v>
      </c>
      <c r="AD587" s="90" t="e">
        <f t="shared" si="267"/>
        <v>#REF!</v>
      </c>
      <c r="AE587" s="90" t="e">
        <f>INDEX(Efficiencies!$P$8:$Y$89,MATCH(C587,Efficiencies!$C$8:$C$89),MATCH(D587,Efficiencies!$P$7:$Y$7))</f>
        <v>#REF!</v>
      </c>
      <c r="AF587" s="90" t="e">
        <f t="shared" si="252"/>
        <v>#REF!</v>
      </c>
      <c r="AG587" s="90">
        <v>0</v>
      </c>
    </row>
    <row r="588" spans="1:33" x14ac:dyDescent="0.2">
      <c r="A588" s="92" t="s">
        <v>2001</v>
      </c>
      <c r="B588" s="248" t="s">
        <v>2002</v>
      </c>
      <c r="C588" s="40" t="s">
        <v>1998</v>
      </c>
      <c r="D588" s="40">
        <v>2010</v>
      </c>
      <c r="E588" s="86">
        <f>GDPdeflator!$C$32*INDEX(Costs!$E$7:$O$89,MATCH($C588,Costs!$C$7:$C$89,0),MATCH(E$7,Costs!$E$6:$O$6,0))</f>
        <v>35.280441732054634</v>
      </c>
      <c r="F588" s="86">
        <f>GDPdeflator!$C$36*INDEX(Costs!$E$7:$O$89,MATCH($C588,Costs!$C$7:$C$89,0),MATCH(F$7,Costs!$E$6:$O$6,0))</f>
        <v>36.66997026759168</v>
      </c>
      <c r="G588" s="86">
        <f>GDPdeflator!$C$38*INDEX(Costs!$E$7:$O$89,MATCH($C588,Costs!$C$7:$C$89,0),MATCH(G$7,Costs!$E$6:$O$6,0))</f>
        <v>36.927112340717315</v>
      </c>
      <c r="H588" s="86">
        <f>GDPdeflator!$C$38*INDEX(Costs!$E$7:$O$89,MATCH($C588,Costs!$C$7:$C$89,0),MATCH(H$7,Costs!$E$6:$O$6,0))</f>
        <v>36.769416487305001</v>
      </c>
      <c r="I588" s="86">
        <f>GDPdeflator!$C$38*INDEX(Costs!$E$7:$O$89,MATCH($C588,Costs!$C$7:$C$89,0),MATCH(I$7,Costs!$E$6:$O$6,0))</f>
        <v>37.50533046989581</v>
      </c>
      <c r="J588" s="86">
        <f>GDPdeflator!$C$38*INDEX(Costs!$E$7:$O$89,MATCH($C588,Costs!$C$7:$C$89,0),MATCH(J$7,Costs!$E$6:$O$6,0))</f>
        <v>37.58417839660197</v>
      </c>
      <c r="K588" s="86">
        <f>GDPdeflator!$C$38*INDEX(Costs!$E$7:$O$89,MATCH($C588,Costs!$C$7:$C$89,0),MATCH(K$7,Costs!$E$6:$O$6,0))</f>
        <v>37.610461038837357</v>
      </c>
      <c r="L588" s="86">
        <f>GDPdeflator!$C$38*INDEX(Costs!$E$7:$O$89,MATCH($C588,Costs!$C$7:$C$89,0),MATCH(L$7,Costs!$E$6:$O$6,0))</f>
        <v>37.575417515856842</v>
      </c>
      <c r="M588" s="86">
        <f>GDPdeflator!$C$38*INDEX(Costs!$E$7:$O$89,MATCH($C588,Costs!$C$7:$C$89,0),MATCH(M$7,Costs!$E$6:$O$6,0))</f>
        <v>37.575417515856842</v>
      </c>
      <c r="N588" s="86">
        <f>GDPdeflator!$C$38*INDEX(Costs!$E$7:$O$89,MATCH($C588,Costs!$C$7:$C$89,0),MATCH(N$7,Costs!$E$6:$O$6,0))</f>
        <v>37.575417515856842</v>
      </c>
      <c r="O588" s="86">
        <f>GDPdeflator!$C$38*INDEX(Costs!$E$7:$O$89,MATCH($C588,Costs!$C$7:$C$89,0),MATCH(O$7,Costs!$E$6:$O$6,0))</f>
        <v>37.575417515856842</v>
      </c>
      <c r="P588" s="87">
        <f t="shared" si="270"/>
        <v>2945.8515283064048</v>
      </c>
      <c r="Q588" s="87">
        <f t="shared" si="269"/>
        <v>3061.8745869496329</v>
      </c>
      <c r="R588" s="87">
        <f t="shared" si="268"/>
        <v>3083.345473705022</v>
      </c>
      <c r="S588" s="87">
        <f t="shared" si="256"/>
        <v>3070.1781620735414</v>
      </c>
      <c r="T588" s="87">
        <f t="shared" si="257"/>
        <v>3131.6256163537837</v>
      </c>
      <c r="U588" s="87">
        <f t="shared" si="258"/>
        <v>3138.2092721695244</v>
      </c>
      <c r="V588" s="87">
        <f t="shared" si="259"/>
        <v>3140.4038241081048</v>
      </c>
      <c r="W588" s="87">
        <f t="shared" si="260"/>
        <v>3137.4777548566644</v>
      </c>
      <c r="X588" s="87">
        <f t="shared" si="261"/>
        <v>3137.4777548566644</v>
      </c>
      <c r="Y588" s="87">
        <f t="shared" si="262"/>
        <v>3137.4777548566644</v>
      </c>
      <c r="Z588" s="87">
        <f t="shared" si="263"/>
        <v>3137.4777548566644</v>
      </c>
      <c r="AA588" s="40">
        <v>450</v>
      </c>
      <c r="AB588" s="89">
        <f>AA588*GDPdeflator!$C$25/$AI$18*10^3</f>
        <v>43.267274341798768</v>
      </c>
      <c r="AC588" s="90" t="e">
        <f>INDEX(Efficiencies!$D$8:$M$89,MATCH(C588,Efficiencies!$C$8:$C$89),MATCH(D588,Efficiencies!$D$7:$M$7))</f>
        <v>#REF!</v>
      </c>
      <c r="AD588" s="90" t="e">
        <f t="shared" si="267"/>
        <v>#REF!</v>
      </c>
      <c r="AE588" s="90" t="e">
        <f>INDEX(Efficiencies!$P$8:$Y$89,MATCH(C588,Efficiencies!$C$8:$C$89),MATCH(D588,Efficiencies!$P$7:$Y$7))</f>
        <v>#REF!</v>
      </c>
      <c r="AF588" s="90" t="e">
        <f t="shared" ref="AF588:AF633" si="271">AE588/($AI$11*$AI$15*10 ^ 9)</f>
        <v>#REF!</v>
      </c>
      <c r="AG588" s="90">
        <v>0</v>
      </c>
    </row>
    <row r="589" spans="1:33" x14ac:dyDescent="0.2">
      <c r="A589" s="92" t="s">
        <v>2003</v>
      </c>
      <c r="B589" s="248" t="s">
        <v>2004</v>
      </c>
      <c r="C589" s="40" t="s">
        <v>1998</v>
      </c>
      <c r="D589" s="40">
        <v>2015</v>
      </c>
      <c r="E589" s="86">
        <f>GDPdeflator!$C$32*INDEX(Costs!$E$7:$O$89,MATCH($C589,Costs!$C$7:$C$89,0),MATCH(E$7,Costs!$E$6:$O$6,0))</f>
        <v>35.280441732054634</v>
      </c>
      <c r="F589" s="86">
        <f>GDPdeflator!$C$36*INDEX(Costs!$E$7:$O$89,MATCH($C589,Costs!$C$7:$C$89,0),MATCH(F$7,Costs!$E$6:$O$6,0))</f>
        <v>36.66997026759168</v>
      </c>
      <c r="G589" s="86">
        <f>GDPdeflator!$C$38*INDEX(Costs!$E$7:$O$89,MATCH($C589,Costs!$C$7:$C$89,0),MATCH(G$7,Costs!$E$6:$O$6,0))</f>
        <v>36.927112340717315</v>
      </c>
      <c r="H589" s="86">
        <f>GDPdeflator!$C$38*INDEX(Costs!$E$7:$O$89,MATCH($C589,Costs!$C$7:$C$89,0),MATCH(H$7,Costs!$E$6:$O$6,0))</f>
        <v>36.769416487305001</v>
      </c>
      <c r="I589" s="86">
        <f>GDPdeflator!$C$38*INDEX(Costs!$E$7:$O$89,MATCH($C589,Costs!$C$7:$C$89,0),MATCH(I$7,Costs!$E$6:$O$6,0))</f>
        <v>37.50533046989581</v>
      </c>
      <c r="J589" s="86">
        <f>GDPdeflator!$C$38*INDEX(Costs!$E$7:$O$89,MATCH($C589,Costs!$C$7:$C$89,0),MATCH(J$7,Costs!$E$6:$O$6,0))</f>
        <v>37.58417839660197</v>
      </c>
      <c r="K589" s="86">
        <f>GDPdeflator!$C$38*INDEX(Costs!$E$7:$O$89,MATCH($C589,Costs!$C$7:$C$89,0),MATCH(K$7,Costs!$E$6:$O$6,0))</f>
        <v>37.610461038837357</v>
      </c>
      <c r="L589" s="86">
        <f>GDPdeflator!$C$38*INDEX(Costs!$E$7:$O$89,MATCH($C589,Costs!$C$7:$C$89,0),MATCH(L$7,Costs!$E$6:$O$6,0))</f>
        <v>37.575417515856842</v>
      </c>
      <c r="M589" s="86">
        <f>GDPdeflator!$C$38*INDEX(Costs!$E$7:$O$89,MATCH($C589,Costs!$C$7:$C$89,0),MATCH(M$7,Costs!$E$6:$O$6,0))</f>
        <v>37.575417515856842</v>
      </c>
      <c r="N589" s="86">
        <f>GDPdeflator!$C$38*INDEX(Costs!$E$7:$O$89,MATCH($C589,Costs!$C$7:$C$89,0),MATCH(N$7,Costs!$E$6:$O$6,0))</f>
        <v>37.575417515856842</v>
      </c>
      <c r="O589" s="86">
        <f>GDPdeflator!$C$38*INDEX(Costs!$E$7:$O$89,MATCH($C589,Costs!$C$7:$C$89,0),MATCH(O$7,Costs!$E$6:$O$6,0))</f>
        <v>37.575417515856842</v>
      </c>
      <c r="P589" s="87">
        <f t="shared" si="270"/>
        <v>2945.8515283064048</v>
      </c>
      <c r="Q589" s="87">
        <f t="shared" si="269"/>
        <v>3061.8745869496329</v>
      </c>
      <c r="R589" s="87">
        <f t="shared" si="268"/>
        <v>3083.345473705022</v>
      </c>
      <c r="S589" s="87">
        <f t="shared" si="256"/>
        <v>3070.1781620735414</v>
      </c>
      <c r="T589" s="87">
        <f t="shared" si="257"/>
        <v>3131.6256163537837</v>
      </c>
      <c r="U589" s="87">
        <f t="shared" si="258"/>
        <v>3138.2092721695244</v>
      </c>
      <c r="V589" s="87">
        <f t="shared" si="259"/>
        <v>3140.4038241081048</v>
      </c>
      <c r="W589" s="87">
        <f t="shared" si="260"/>
        <v>3137.4777548566644</v>
      </c>
      <c r="X589" s="87">
        <f t="shared" si="261"/>
        <v>3137.4777548566644</v>
      </c>
      <c r="Y589" s="87">
        <f t="shared" si="262"/>
        <v>3137.4777548566644</v>
      </c>
      <c r="Z589" s="87">
        <f t="shared" si="263"/>
        <v>3137.4777548566644</v>
      </c>
      <c r="AA589" s="40">
        <v>450</v>
      </c>
      <c r="AB589" s="89">
        <f>AA589*GDPdeflator!$C$25/$AI$18*10^3</f>
        <v>43.267274341798768</v>
      </c>
      <c r="AC589" s="90" t="e">
        <f>INDEX(Efficiencies!$D$8:$M$89,MATCH(C589,Efficiencies!$C$8:$C$89),MATCH(D589,Efficiencies!$D$7:$M$7))</f>
        <v>#REF!</v>
      </c>
      <c r="AD589" s="90" t="e">
        <f t="shared" si="267"/>
        <v>#REF!</v>
      </c>
      <c r="AE589" s="90" t="e">
        <f>INDEX(Efficiencies!$P$8:$Y$89,MATCH(C589,Efficiencies!$C$8:$C$89),MATCH(D589,Efficiencies!$P$7:$Y$7))</f>
        <v>#REF!</v>
      </c>
      <c r="AF589" s="90" t="e">
        <f t="shared" si="271"/>
        <v>#REF!</v>
      </c>
      <c r="AG589" s="90">
        <v>0</v>
      </c>
    </row>
    <row r="590" spans="1:33" x14ac:dyDescent="0.2">
      <c r="A590" s="92" t="s">
        <v>2005</v>
      </c>
      <c r="B590" s="248" t="s">
        <v>2006</v>
      </c>
      <c r="C590" s="40" t="s">
        <v>1998</v>
      </c>
      <c r="D590" s="40">
        <v>2020</v>
      </c>
      <c r="E590" s="86">
        <f>GDPdeflator!$C$32*INDEX(Costs!$E$7:$O$89,MATCH($C590,Costs!$C$7:$C$89,0),MATCH(E$7,Costs!$E$6:$O$6,0))</f>
        <v>35.280441732054634</v>
      </c>
      <c r="F590" s="86">
        <f>GDPdeflator!$C$36*INDEX(Costs!$E$7:$O$89,MATCH($C590,Costs!$C$7:$C$89,0),MATCH(F$7,Costs!$E$6:$O$6,0))</f>
        <v>36.66997026759168</v>
      </c>
      <c r="G590" s="86">
        <f>GDPdeflator!$C$38*INDEX(Costs!$E$7:$O$89,MATCH($C590,Costs!$C$7:$C$89,0),MATCH(G$7,Costs!$E$6:$O$6,0))</f>
        <v>36.927112340717315</v>
      </c>
      <c r="H590" s="86">
        <f>GDPdeflator!$C$38*INDEX(Costs!$E$7:$O$89,MATCH($C590,Costs!$C$7:$C$89,0),MATCH(H$7,Costs!$E$6:$O$6,0))</f>
        <v>36.769416487305001</v>
      </c>
      <c r="I590" s="86">
        <f>GDPdeflator!$C$38*INDEX(Costs!$E$7:$O$89,MATCH($C590,Costs!$C$7:$C$89,0),MATCH(I$7,Costs!$E$6:$O$6,0))</f>
        <v>37.50533046989581</v>
      </c>
      <c r="J590" s="86">
        <f>GDPdeflator!$C$38*INDEX(Costs!$E$7:$O$89,MATCH($C590,Costs!$C$7:$C$89,0),MATCH(J$7,Costs!$E$6:$O$6,0))</f>
        <v>37.58417839660197</v>
      </c>
      <c r="K590" s="86">
        <f>GDPdeflator!$C$38*INDEX(Costs!$E$7:$O$89,MATCH($C590,Costs!$C$7:$C$89,0),MATCH(K$7,Costs!$E$6:$O$6,0))</f>
        <v>37.610461038837357</v>
      </c>
      <c r="L590" s="86">
        <f>GDPdeflator!$C$38*INDEX(Costs!$E$7:$O$89,MATCH($C590,Costs!$C$7:$C$89,0),MATCH(L$7,Costs!$E$6:$O$6,0))</f>
        <v>37.575417515856842</v>
      </c>
      <c r="M590" s="86">
        <f>GDPdeflator!$C$38*INDEX(Costs!$E$7:$O$89,MATCH($C590,Costs!$C$7:$C$89,0),MATCH(M$7,Costs!$E$6:$O$6,0))</f>
        <v>37.575417515856842</v>
      </c>
      <c r="N590" s="86">
        <f>GDPdeflator!$C$38*INDEX(Costs!$E$7:$O$89,MATCH($C590,Costs!$C$7:$C$89,0),MATCH(N$7,Costs!$E$6:$O$6,0))</f>
        <v>37.575417515856842</v>
      </c>
      <c r="O590" s="86">
        <f>GDPdeflator!$C$38*INDEX(Costs!$E$7:$O$89,MATCH($C590,Costs!$C$7:$C$89,0),MATCH(O$7,Costs!$E$6:$O$6,0))</f>
        <v>37.575417515856842</v>
      </c>
      <c r="P590" s="87">
        <f t="shared" si="270"/>
        <v>2945.8515283064048</v>
      </c>
      <c r="Q590" s="87">
        <f t="shared" si="269"/>
        <v>3061.8745869496329</v>
      </c>
      <c r="R590" s="87">
        <f t="shared" si="268"/>
        <v>3083.345473705022</v>
      </c>
      <c r="S590" s="87">
        <f t="shared" si="256"/>
        <v>3070.1781620735414</v>
      </c>
      <c r="T590" s="87">
        <f t="shared" si="257"/>
        <v>3131.6256163537837</v>
      </c>
      <c r="U590" s="87">
        <f t="shared" si="258"/>
        <v>3138.2092721695244</v>
      </c>
      <c r="V590" s="87">
        <f t="shared" si="259"/>
        <v>3140.4038241081048</v>
      </c>
      <c r="W590" s="87">
        <f t="shared" si="260"/>
        <v>3137.4777548566644</v>
      </c>
      <c r="X590" s="87">
        <f t="shared" si="261"/>
        <v>3137.4777548566644</v>
      </c>
      <c r="Y590" s="87">
        <f t="shared" si="262"/>
        <v>3137.4777548566644</v>
      </c>
      <c r="Z590" s="87">
        <f t="shared" si="263"/>
        <v>3137.4777548566644</v>
      </c>
      <c r="AA590" s="40">
        <v>450</v>
      </c>
      <c r="AB590" s="89">
        <f>AA590*GDPdeflator!$C$25/$AI$18*10^3</f>
        <v>43.267274341798768</v>
      </c>
      <c r="AC590" s="90" t="e">
        <f>INDEX(Efficiencies!$D$8:$M$89,MATCH(C590,Efficiencies!$C$8:$C$89),MATCH(D590,Efficiencies!$D$7:$M$7))</f>
        <v>#REF!</v>
      </c>
      <c r="AD590" s="90" t="e">
        <f t="shared" si="267"/>
        <v>#REF!</v>
      </c>
      <c r="AE590" s="90" t="e">
        <f>INDEX(Efficiencies!$P$8:$Y$89,MATCH(C590,Efficiencies!$C$8:$C$89),MATCH(D590,Efficiencies!$P$7:$Y$7))</f>
        <v>#REF!</v>
      </c>
      <c r="AF590" s="90" t="e">
        <f t="shared" si="271"/>
        <v>#REF!</v>
      </c>
      <c r="AG590" s="90">
        <v>0</v>
      </c>
    </row>
    <row r="591" spans="1:33" x14ac:dyDescent="0.2">
      <c r="A591" s="92" t="s">
        <v>2007</v>
      </c>
      <c r="B591" s="248" t="s">
        <v>2008</v>
      </c>
      <c r="C591" s="40" t="s">
        <v>1998</v>
      </c>
      <c r="D591" s="40">
        <v>2025</v>
      </c>
      <c r="E591" s="86">
        <f>GDPdeflator!$C$32*INDEX(Costs!$E$7:$O$89,MATCH($C591,Costs!$C$7:$C$89,0),MATCH(E$7,Costs!$E$6:$O$6,0))</f>
        <v>35.280441732054634</v>
      </c>
      <c r="F591" s="86">
        <f>GDPdeflator!$C$36*INDEX(Costs!$E$7:$O$89,MATCH($C591,Costs!$C$7:$C$89,0),MATCH(F$7,Costs!$E$6:$O$6,0))</f>
        <v>36.66997026759168</v>
      </c>
      <c r="G591" s="86">
        <f>GDPdeflator!$C$38*INDEX(Costs!$E$7:$O$89,MATCH($C591,Costs!$C$7:$C$89,0),MATCH(G$7,Costs!$E$6:$O$6,0))</f>
        <v>36.927112340717315</v>
      </c>
      <c r="H591" s="86">
        <f>GDPdeflator!$C$38*INDEX(Costs!$E$7:$O$89,MATCH($C591,Costs!$C$7:$C$89,0),MATCH(H$7,Costs!$E$6:$O$6,0))</f>
        <v>36.769416487305001</v>
      </c>
      <c r="I591" s="86">
        <f>GDPdeflator!$C$38*INDEX(Costs!$E$7:$O$89,MATCH($C591,Costs!$C$7:$C$89,0),MATCH(I$7,Costs!$E$6:$O$6,0))</f>
        <v>37.50533046989581</v>
      </c>
      <c r="J591" s="86">
        <f>GDPdeflator!$C$38*INDEX(Costs!$E$7:$O$89,MATCH($C591,Costs!$C$7:$C$89,0),MATCH(J$7,Costs!$E$6:$O$6,0))</f>
        <v>37.58417839660197</v>
      </c>
      <c r="K591" s="86">
        <f>GDPdeflator!$C$38*INDEX(Costs!$E$7:$O$89,MATCH($C591,Costs!$C$7:$C$89,0),MATCH(K$7,Costs!$E$6:$O$6,0))</f>
        <v>37.610461038837357</v>
      </c>
      <c r="L591" s="86">
        <f>GDPdeflator!$C$38*INDEX(Costs!$E$7:$O$89,MATCH($C591,Costs!$C$7:$C$89,0),MATCH(L$7,Costs!$E$6:$O$6,0))</f>
        <v>37.575417515856842</v>
      </c>
      <c r="M591" s="86">
        <f>GDPdeflator!$C$38*INDEX(Costs!$E$7:$O$89,MATCH($C591,Costs!$C$7:$C$89,0),MATCH(M$7,Costs!$E$6:$O$6,0))</f>
        <v>37.575417515856842</v>
      </c>
      <c r="N591" s="86">
        <f>GDPdeflator!$C$38*INDEX(Costs!$E$7:$O$89,MATCH($C591,Costs!$C$7:$C$89,0),MATCH(N$7,Costs!$E$6:$O$6,0))</f>
        <v>37.575417515856842</v>
      </c>
      <c r="O591" s="86">
        <f>GDPdeflator!$C$38*INDEX(Costs!$E$7:$O$89,MATCH($C591,Costs!$C$7:$C$89,0),MATCH(O$7,Costs!$E$6:$O$6,0))</f>
        <v>37.575417515856842</v>
      </c>
      <c r="P591" s="87">
        <f t="shared" si="270"/>
        <v>2945.8515283064048</v>
      </c>
      <c r="Q591" s="87">
        <f t="shared" si="269"/>
        <v>3061.8745869496329</v>
      </c>
      <c r="R591" s="87">
        <f t="shared" si="268"/>
        <v>3083.345473705022</v>
      </c>
      <c r="S591" s="87">
        <f t="shared" si="256"/>
        <v>3070.1781620735414</v>
      </c>
      <c r="T591" s="87">
        <f t="shared" si="257"/>
        <v>3131.6256163537837</v>
      </c>
      <c r="U591" s="87">
        <f t="shared" si="258"/>
        <v>3138.2092721695244</v>
      </c>
      <c r="V591" s="87">
        <f t="shared" si="259"/>
        <v>3140.4038241081048</v>
      </c>
      <c r="W591" s="87">
        <f t="shared" si="260"/>
        <v>3137.4777548566644</v>
      </c>
      <c r="X591" s="87">
        <f t="shared" si="261"/>
        <v>3137.4777548566644</v>
      </c>
      <c r="Y591" s="87">
        <f t="shared" si="262"/>
        <v>3137.4777548566644</v>
      </c>
      <c r="Z591" s="87">
        <f t="shared" si="263"/>
        <v>3137.4777548566644</v>
      </c>
      <c r="AA591" s="40">
        <v>450</v>
      </c>
      <c r="AB591" s="89">
        <f>AA591*GDPdeflator!$C$25/$AI$18*10^3</f>
        <v>43.267274341798768</v>
      </c>
      <c r="AC591" s="90" t="e">
        <f>INDEX(Efficiencies!$D$8:$M$89,MATCH(C591,Efficiencies!$C$8:$C$89),MATCH(D591,Efficiencies!$D$7:$M$7))</f>
        <v>#REF!</v>
      </c>
      <c r="AD591" s="90" t="e">
        <f t="shared" si="267"/>
        <v>#REF!</v>
      </c>
      <c r="AE591" s="90" t="e">
        <f>INDEX(Efficiencies!$P$8:$Y$89,MATCH(C591,Efficiencies!$C$8:$C$89),MATCH(D591,Efficiencies!$P$7:$Y$7))</f>
        <v>#REF!</v>
      </c>
      <c r="AF591" s="90" t="e">
        <f t="shared" si="271"/>
        <v>#REF!</v>
      </c>
      <c r="AG591" s="90">
        <v>0</v>
      </c>
    </row>
    <row r="592" spans="1:33" x14ac:dyDescent="0.2">
      <c r="A592" s="92" t="s">
        <v>2009</v>
      </c>
      <c r="B592" s="248" t="s">
        <v>2010</v>
      </c>
      <c r="C592" s="40" t="s">
        <v>1998</v>
      </c>
      <c r="D592" s="40">
        <v>2030</v>
      </c>
      <c r="E592" s="86">
        <f>GDPdeflator!$C$32*INDEX(Costs!$E$7:$O$89,MATCH($C592,Costs!$C$7:$C$89,0),MATCH(E$7,Costs!$E$6:$O$6,0))</f>
        <v>35.280441732054634</v>
      </c>
      <c r="F592" s="86">
        <f>GDPdeflator!$C$36*INDEX(Costs!$E$7:$O$89,MATCH($C592,Costs!$C$7:$C$89,0),MATCH(F$7,Costs!$E$6:$O$6,0))</f>
        <v>36.66997026759168</v>
      </c>
      <c r="G592" s="86">
        <f>GDPdeflator!$C$38*INDEX(Costs!$E$7:$O$89,MATCH($C592,Costs!$C$7:$C$89,0),MATCH(G$7,Costs!$E$6:$O$6,0))</f>
        <v>36.927112340717315</v>
      </c>
      <c r="H592" s="86">
        <f>GDPdeflator!$C$38*INDEX(Costs!$E$7:$O$89,MATCH($C592,Costs!$C$7:$C$89,0),MATCH(H$7,Costs!$E$6:$O$6,0))</f>
        <v>36.769416487305001</v>
      </c>
      <c r="I592" s="86">
        <f>GDPdeflator!$C$38*INDEX(Costs!$E$7:$O$89,MATCH($C592,Costs!$C$7:$C$89,0),MATCH(I$7,Costs!$E$6:$O$6,0))</f>
        <v>37.50533046989581</v>
      </c>
      <c r="J592" s="86">
        <f>GDPdeflator!$C$38*INDEX(Costs!$E$7:$O$89,MATCH($C592,Costs!$C$7:$C$89,0),MATCH(J$7,Costs!$E$6:$O$6,0))</f>
        <v>37.58417839660197</v>
      </c>
      <c r="K592" s="86">
        <f>GDPdeflator!$C$38*INDEX(Costs!$E$7:$O$89,MATCH($C592,Costs!$C$7:$C$89,0),MATCH(K$7,Costs!$E$6:$O$6,0))</f>
        <v>37.610461038837357</v>
      </c>
      <c r="L592" s="86">
        <f>GDPdeflator!$C$38*INDEX(Costs!$E$7:$O$89,MATCH($C592,Costs!$C$7:$C$89,0),MATCH(L$7,Costs!$E$6:$O$6,0))</f>
        <v>37.575417515856842</v>
      </c>
      <c r="M592" s="86">
        <f>GDPdeflator!$C$38*INDEX(Costs!$E$7:$O$89,MATCH($C592,Costs!$C$7:$C$89,0),MATCH(M$7,Costs!$E$6:$O$6,0))</f>
        <v>37.575417515856842</v>
      </c>
      <c r="N592" s="86">
        <f>GDPdeflator!$C$38*INDEX(Costs!$E$7:$O$89,MATCH($C592,Costs!$C$7:$C$89,0),MATCH(N$7,Costs!$E$6:$O$6,0))</f>
        <v>37.575417515856842</v>
      </c>
      <c r="O592" s="86">
        <f>GDPdeflator!$C$38*INDEX(Costs!$E$7:$O$89,MATCH($C592,Costs!$C$7:$C$89,0),MATCH(O$7,Costs!$E$6:$O$6,0))</f>
        <v>37.575417515856842</v>
      </c>
      <c r="P592" s="87">
        <f t="shared" si="270"/>
        <v>2945.8515283064048</v>
      </c>
      <c r="Q592" s="87">
        <f t="shared" si="269"/>
        <v>3061.8745869496329</v>
      </c>
      <c r="R592" s="87">
        <f t="shared" si="268"/>
        <v>3083.345473705022</v>
      </c>
      <c r="S592" s="87">
        <f t="shared" si="256"/>
        <v>3070.1781620735414</v>
      </c>
      <c r="T592" s="87">
        <f t="shared" si="257"/>
        <v>3131.6256163537837</v>
      </c>
      <c r="U592" s="87">
        <f t="shared" si="258"/>
        <v>3138.2092721695244</v>
      </c>
      <c r="V592" s="87">
        <f t="shared" si="259"/>
        <v>3140.4038241081048</v>
      </c>
      <c r="W592" s="87">
        <f t="shared" si="260"/>
        <v>3137.4777548566644</v>
      </c>
      <c r="X592" s="87">
        <f t="shared" si="261"/>
        <v>3137.4777548566644</v>
      </c>
      <c r="Y592" s="87">
        <f t="shared" si="262"/>
        <v>3137.4777548566644</v>
      </c>
      <c r="Z592" s="87">
        <f t="shared" si="263"/>
        <v>3137.4777548566644</v>
      </c>
      <c r="AA592" s="40">
        <v>450</v>
      </c>
      <c r="AB592" s="89">
        <f>AA592*GDPdeflator!$C$25/$AI$18*10^3</f>
        <v>43.267274341798768</v>
      </c>
      <c r="AC592" s="90" t="e">
        <f>INDEX(Efficiencies!$D$8:$M$89,MATCH(C592,Efficiencies!$C$8:$C$89),MATCH(D592,Efficiencies!$D$7:$M$7))</f>
        <v>#REF!</v>
      </c>
      <c r="AD592" s="90" t="e">
        <f t="shared" si="267"/>
        <v>#REF!</v>
      </c>
      <c r="AE592" s="90" t="e">
        <f>INDEX(Efficiencies!$P$8:$Y$89,MATCH(C592,Efficiencies!$C$8:$C$89),MATCH(D592,Efficiencies!$P$7:$Y$7))</f>
        <v>#REF!</v>
      </c>
      <c r="AF592" s="90" t="e">
        <f t="shared" si="271"/>
        <v>#REF!</v>
      </c>
      <c r="AG592" s="90">
        <v>0</v>
      </c>
    </row>
    <row r="593" spans="1:33" x14ac:dyDescent="0.2">
      <c r="A593" s="92" t="s">
        <v>2011</v>
      </c>
      <c r="B593" s="248" t="s">
        <v>2012</v>
      </c>
      <c r="C593" s="40" t="s">
        <v>1998</v>
      </c>
      <c r="D593" s="40">
        <v>2035</v>
      </c>
      <c r="E593" s="86">
        <f>GDPdeflator!$C$32*INDEX(Costs!$E$7:$O$89,MATCH($C593,Costs!$C$7:$C$89,0),MATCH(E$7,Costs!$E$6:$O$6,0))</f>
        <v>35.280441732054634</v>
      </c>
      <c r="F593" s="86">
        <f>GDPdeflator!$C$36*INDEX(Costs!$E$7:$O$89,MATCH($C593,Costs!$C$7:$C$89,0),MATCH(F$7,Costs!$E$6:$O$6,0))</f>
        <v>36.66997026759168</v>
      </c>
      <c r="G593" s="86">
        <f>GDPdeflator!$C$38*INDEX(Costs!$E$7:$O$89,MATCH($C593,Costs!$C$7:$C$89,0),MATCH(G$7,Costs!$E$6:$O$6,0))</f>
        <v>36.927112340717315</v>
      </c>
      <c r="H593" s="86">
        <f>GDPdeflator!$C$38*INDEX(Costs!$E$7:$O$89,MATCH($C593,Costs!$C$7:$C$89,0),MATCH(H$7,Costs!$E$6:$O$6,0))</f>
        <v>36.769416487305001</v>
      </c>
      <c r="I593" s="86">
        <f>GDPdeflator!$C$38*INDEX(Costs!$E$7:$O$89,MATCH($C593,Costs!$C$7:$C$89,0),MATCH(I$7,Costs!$E$6:$O$6,0))</f>
        <v>37.50533046989581</v>
      </c>
      <c r="J593" s="86">
        <f>GDPdeflator!$C$38*INDEX(Costs!$E$7:$O$89,MATCH($C593,Costs!$C$7:$C$89,0),MATCH(J$7,Costs!$E$6:$O$6,0))</f>
        <v>37.58417839660197</v>
      </c>
      <c r="K593" s="86">
        <f>GDPdeflator!$C$38*INDEX(Costs!$E$7:$O$89,MATCH($C593,Costs!$C$7:$C$89,0),MATCH(K$7,Costs!$E$6:$O$6,0))</f>
        <v>37.610461038837357</v>
      </c>
      <c r="L593" s="86">
        <f>GDPdeflator!$C$38*INDEX(Costs!$E$7:$O$89,MATCH($C593,Costs!$C$7:$C$89,0),MATCH(L$7,Costs!$E$6:$O$6,0))</f>
        <v>37.575417515856842</v>
      </c>
      <c r="M593" s="86">
        <f>GDPdeflator!$C$38*INDEX(Costs!$E$7:$O$89,MATCH($C593,Costs!$C$7:$C$89,0),MATCH(M$7,Costs!$E$6:$O$6,0))</f>
        <v>37.575417515856842</v>
      </c>
      <c r="N593" s="86">
        <f>GDPdeflator!$C$38*INDEX(Costs!$E$7:$O$89,MATCH($C593,Costs!$C$7:$C$89,0),MATCH(N$7,Costs!$E$6:$O$6,0))</f>
        <v>37.575417515856842</v>
      </c>
      <c r="O593" s="86">
        <f>GDPdeflator!$C$38*INDEX(Costs!$E$7:$O$89,MATCH($C593,Costs!$C$7:$C$89,0),MATCH(O$7,Costs!$E$6:$O$6,0))</f>
        <v>37.575417515856842</v>
      </c>
      <c r="P593" s="87">
        <f t="shared" si="270"/>
        <v>2945.8515283064048</v>
      </c>
      <c r="Q593" s="87">
        <f t="shared" si="269"/>
        <v>3061.8745869496329</v>
      </c>
      <c r="R593" s="87">
        <f t="shared" si="268"/>
        <v>3083.345473705022</v>
      </c>
      <c r="S593" s="87">
        <f t="shared" si="256"/>
        <v>3070.1781620735414</v>
      </c>
      <c r="T593" s="87">
        <f t="shared" si="257"/>
        <v>3131.6256163537837</v>
      </c>
      <c r="U593" s="87">
        <f t="shared" si="258"/>
        <v>3138.2092721695244</v>
      </c>
      <c r="V593" s="87">
        <f t="shared" si="259"/>
        <v>3140.4038241081048</v>
      </c>
      <c r="W593" s="87">
        <f t="shared" si="260"/>
        <v>3137.4777548566644</v>
      </c>
      <c r="X593" s="87">
        <f t="shared" si="261"/>
        <v>3137.4777548566644</v>
      </c>
      <c r="Y593" s="87">
        <f t="shared" si="262"/>
        <v>3137.4777548566644</v>
      </c>
      <c r="Z593" s="87">
        <f t="shared" si="263"/>
        <v>3137.4777548566644</v>
      </c>
      <c r="AA593" s="40">
        <v>450</v>
      </c>
      <c r="AB593" s="89">
        <f>AA593*GDPdeflator!$C$25/$AI$18*10^3</f>
        <v>43.267274341798768</v>
      </c>
      <c r="AC593" s="90" t="e">
        <f>INDEX(Efficiencies!$D$8:$M$89,MATCH(C593,Efficiencies!$C$8:$C$89),MATCH(D593,Efficiencies!$D$7:$M$7))</f>
        <v>#REF!</v>
      </c>
      <c r="AD593" s="90" t="e">
        <f t="shared" si="267"/>
        <v>#REF!</v>
      </c>
      <c r="AE593" s="90" t="e">
        <f>INDEX(Efficiencies!$P$8:$Y$89,MATCH(C593,Efficiencies!$C$8:$C$89),MATCH(D593,Efficiencies!$P$7:$Y$7))</f>
        <v>#REF!</v>
      </c>
      <c r="AF593" s="90" t="e">
        <f t="shared" si="271"/>
        <v>#REF!</v>
      </c>
      <c r="AG593" s="90">
        <v>0</v>
      </c>
    </row>
    <row r="594" spans="1:33" x14ac:dyDescent="0.2">
      <c r="A594" s="92" t="s">
        <v>2013</v>
      </c>
      <c r="B594" s="248" t="s">
        <v>2014</v>
      </c>
      <c r="C594" s="40" t="s">
        <v>1998</v>
      </c>
      <c r="D594" s="40">
        <v>2040</v>
      </c>
      <c r="E594" s="86">
        <f>GDPdeflator!$C$32*INDEX(Costs!$E$7:$O$89,MATCH($C594,Costs!$C$7:$C$89,0),MATCH(E$7,Costs!$E$6:$O$6,0))</f>
        <v>35.280441732054634</v>
      </c>
      <c r="F594" s="86">
        <f>GDPdeflator!$C$36*INDEX(Costs!$E$7:$O$89,MATCH($C594,Costs!$C$7:$C$89,0),MATCH(F$7,Costs!$E$6:$O$6,0))</f>
        <v>36.66997026759168</v>
      </c>
      <c r="G594" s="86">
        <f>GDPdeflator!$C$38*INDEX(Costs!$E$7:$O$89,MATCH($C594,Costs!$C$7:$C$89,0),MATCH(G$7,Costs!$E$6:$O$6,0))</f>
        <v>36.927112340717315</v>
      </c>
      <c r="H594" s="86">
        <f>GDPdeflator!$C$38*INDEX(Costs!$E$7:$O$89,MATCH($C594,Costs!$C$7:$C$89,0),MATCH(H$7,Costs!$E$6:$O$6,0))</f>
        <v>36.769416487305001</v>
      </c>
      <c r="I594" s="86">
        <f>GDPdeflator!$C$38*INDEX(Costs!$E$7:$O$89,MATCH($C594,Costs!$C$7:$C$89,0),MATCH(I$7,Costs!$E$6:$O$6,0))</f>
        <v>37.50533046989581</v>
      </c>
      <c r="J594" s="86">
        <f>GDPdeflator!$C$38*INDEX(Costs!$E$7:$O$89,MATCH($C594,Costs!$C$7:$C$89,0),MATCH(J$7,Costs!$E$6:$O$6,0))</f>
        <v>37.58417839660197</v>
      </c>
      <c r="K594" s="86">
        <f>GDPdeflator!$C$38*INDEX(Costs!$E$7:$O$89,MATCH($C594,Costs!$C$7:$C$89,0),MATCH(K$7,Costs!$E$6:$O$6,0))</f>
        <v>37.610461038837357</v>
      </c>
      <c r="L594" s="86">
        <f>GDPdeflator!$C$38*INDEX(Costs!$E$7:$O$89,MATCH($C594,Costs!$C$7:$C$89,0),MATCH(L$7,Costs!$E$6:$O$6,0))</f>
        <v>37.575417515856842</v>
      </c>
      <c r="M594" s="86">
        <f>GDPdeflator!$C$38*INDEX(Costs!$E$7:$O$89,MATCH($C594,Costs!$C$7:$C$89,0),MATCH(M$7,Costs!$E$6:$O$6,0))</f>
        <v>37.575417515856842</v>
      </c>
      <c r="N594" s="86">
        <f>GDPdeflator!$C$38*INDEX(Costs!$E$7:$O$89,MATCH($C594,Costs!$C$7:$C$89,0),MATCH(N$7,Costs!$E$6:$O$6,0))</f>
        <v>37.575417515856842</v>
      </c>
      <c r="O594" s="86">
        <f>GDPdeflator!$C$38*INDEX(Costs!$E$7:$O$89,MATCH($C594,Costs!$C$7:$C$89,0),MATCH(O$7,Costs!$E$6:$O$6,0))</f>
        <v>37.575417515856842</v>
      </c>
      <c r="P594" s="87">
        <f t="shared" si="270"/>
        <v>2945.8515283064048</v>
      </c>
      <c r="Q594" s="87">
        <f t="shared" si="269"/>
        <v>3061.8745869496329</v>
      </c>
      <c r="R594" s="87">
        <f t="shared" si="268"/>
        <v>3083.345473705022</v>
      </c>
      <c r="S594" s="87">
        <f t="shared" si="256"/>
        <v>3070.1781620735414</v>
      </c>
      <c r="T594" s="87">
        <f t="shared" si="257"/>
        <v>3131.6256163537837</v>
      </c>
      <c r="U594" s="87">
        <f t="shared" si="258"/>
        <v>3138.2092721695244</v>
      </c>
      <c r="V594" s="87">
        <f t="shared" si="259"/>
        <v>3140.4038241081048</v>
      </c>
      <c r="W594" s="87">
        <f t="shared" si="260"/>
        <v>3137.4777548566644</v>
      </c>
      <c r="X594" s="87">
        <f t="shared" si="261"/>
        <v>3137.4777548566644</v>
      </c>
      <c r="Y594" s="87">
        <f t="shared" si="262"/>
        <v>3137.4777548566644</v>
      </c>
      <c r="Z594" s="87">
        <f t="shared" si="263"/>
        <v>3137.4777548566644</v>
      </c>
      <c r="AA594" s="40">
        <v>450</v>
      </c>
      <c r="AB594" s="89">
        <f>AA594*GDPdeflator!$C$25/$AI$18*10^3</f>
        <v>43.267274341798768</v>
      </c>
      <c r="AC594" s="90" t="e">
        <f>INDEX(Efficiencies!$D$8:$M$89,MATCH(C594,Efficiencies!$C$8:$C$89),MATCH(D594,Efficiencies!$D$7:$M$7))</f>
        <v>#REF!</v>
      </c>
      <c r="AD594" s="90" t="e">
        <f t="shared" si="267"/>
        <v>#REF!</v>
      </c>
      <c r="AE594" s="90" t="e">
        <f>INDEX(Efficiencies!$P$8:$Y$89,MATCH(C594,Efficiencies!$C$8:$C$89),MATCH(D594,Efficiencies!$P$7:$Y$7))</f>
        <v>#REF!</v>
      </c>
      <c r="AF594" s="90" t="e">
        <f t="shared" si="271"/>
        <v>#REF!</v>
      </c>
      <c r="AG594" s="90">
        <v>0</v>
      </c>
    </row>
    <row r="595" spans="1:33" x14ac:dyDescent="0.2">
      <c r="A595" s="92" t="s">
        <v>2015</v>
      </c>
      <c r="B595" s="248" t="s">
        <v>2016</v>
      </c>
      <c r="C595" s="40" t="s">
        <v>1998</v>
      </c>
      <c r="D595" s="40">
        <v>2045</v>
      </c>
      <c r="E595" s="86">
        <f>GDPdeflator!$C$32*INDEX(Costs!$E$7:$O$89,MATCH($C595,Costs!$C$7:$C$89,0),MATCH(E$7,Costs!$E$6:$O$6,0))</f>
        <v>35.280441732054634</v>
      </c>
      <c r="F595" s="86">
        <f>GDPdeflator!$C$36*INDEX(Costs!$E$7:$O$89,MATCH($C595,Costs!$C$7:$C$89,0),MATCH(F$7,Costs!$E$6:$O$6,0))</f>
        <v>36.66997026759168</v>
      </c>
      <c r="G595" s="86">
        <f>GDPdeflator!$C$38*INDEX(Costs!$E$7:$O$89,MATCH($C595,Costs!$C$7:$C$89,0),MATCH(G$7,Costs!$E$6:$O$6,0))</f>
        <v>36.927112340717315</v>
      </c>
      <c r="H595" s="86">
        <f>GDPdeflator!$C$38*INDEX(Costs!$E$7:$O$89,MATCH($C595,Costs!$C$7:$C$89,0),MATCH(H$7,Costs!$E$6:$O$6,0))</f>
        <v>36.769416487305001</v>
      </c>
      <c r="I595" s="86">
        <f>GDPdeflator!$C$38*INDEX(Costs!$E$7:$O$89,MATCH($C595,Costs!$C$7:$C$89,0),MATCH(I$7,Costs!$E$6:$O$6,0))</f>
        <v>37.50533046989581</v>
      </c>
      <c r="J595" s="86">
        <f>GDPdeflator!$C$38*INDEX(Costs!$E$7:$O$89,MATCH($C595,Costs!$C$7:$C$89,0),MATCH(J$7,Costs!$E$6:$O$6,0))</f>
        <v>37.58417839660197</v>
      </c>
      <c r="K595" s="86">
        <f>GDPdeflator!$C$38*INDEX(Costs!$E$7:$O$89,MATCH($C595,Costs!$C$7:$C$89,0),MATCH(K$7,Costs!$E$6:$O$6,0))</f>
        <v>37.610461038837357</v>
      </c>
      <c r="L595" s="86">
        <f>GDPdeflator!$C$38*INDEX(Costs!$E$7:$O$89,MATCH($C595,Costs!$C$7:$C$89,0),MATCH(L$7,Costs!$E$6:$O$6,0))</f>
        <v>37.575417515856842</v>
      </c>
      <c r="M595" s="86">
        <f>GDPdeflator!$C$38*INDEX(Costs!$E$7:$O$89,MATCH($C595,Costs!$C$7:$C$89,0),MATCH(M$7,Costs!$E$6:$O$6,0))</f>
        <v>37.575417515856842</v>
      </c>
      <c r="N595" s="86">
        <f>GDPdeflator!$C$38*INDEX(Costs!$E$7:$O$89,MATCH($C595,Costs!$C$7:$C$89,0),MATCH(N$7,Costs!$E$6:$O$6,0))</f>
        <v>37.575417515856842</v>
      </c>
      <c r="O595" s="86">
        <f>GDPdeflator!$C$38*INDEX(Costs!$E$7:$O$89,MATCH($C595,Costs!$C$7:$C$89,0),MATCH(O$7,Costs!$E$6:$O$6,0))</f>
        <v>37.575417515856842</v>
      </c>
      <c r="P595" s="87">
        <f t="shared" si="270"/>
        <v>2945.8515283064048</v>
      </c>
      <c r="Q595" s="87">
        <f t="shared" si="269"/>
        <v>3061.8745869496329</v>
      </c>
      <c r="R595" s="87">
        <f t="shared" si="268"/>
        <v>3083.345473705022</v>
      </c>
      <c r="S595" s="87">
        <f t="shared" si="256"/>
        <v>3070.1781620735414</v>
      </c>
      <c r="T595" s="87">
        <f t="shared" si="257"/>
        <v>3131.6256163537837</v>
      </c>
      <c r="U595" s="87">
        <f t="shared" si="258"/>
        <v>3138.2092721695244</v>
      </c>
      <c r="V595" s="87">
        <f t="shared" si="259"/>
        <v>3140.4038241081048</v>
      </c>
      <c r="W595" s="87">
        <f t="shared" si="260"/>
        <v>3137.4777548566644</v>
      </c>
      <c r="X595" s="87">
        <f t="shared" si="261"/>
        <v>3137.4777548566644</v>
      </c>
      <c r="Y595" s="87">
        <f t="shared" si="262"/>
        <v>3137.4777548566644</v>
      </c>
      <c r="Z595" s="87">
        <f t="shared" si="263"/>
        <v>3137.4777548566644</v>
      </c>
      <c r="AA595" s="40">
        <v>450</v>
      </c>
      <c r="AB595" s="89">
        <f>AA595*GDPdeflator!$C$25/$AI$18*10^3</f>
        <v>43.267274341798768</v>
      </c>
      <c r="AC595" s="90" t="e">
        <f>INDEX(Efficiencies!$D$8:$M$89,MATCH(C595,Efficiencies!$C$8:$C$89),MATCH(D595,Efficiencies!$D$7:$M$7))</f>
        <v>#REF!</v>
      </c>
      <c r="AD595" s="90" t="e">
        <f t="shared" si="267"/>
        <v>#REF!</v>
      </c>
      <c r="AE595" s="90" t="e">
        <f>INDEX(Efficiencies!$P$8:$Y$89,MATCH(C595,Efficiencies!$C$8:$C$89),MATCH(D595,Efficiencies!$P$7:$Y$7))</f>
        <v>#REF!</v>
      </c>
      <c r="AF595" s="90" t="e">
        <f t="shared" si="271"/>
        <v>#REF!</v>
      </c>
      <c r="AG595" s="90">
        <v>0</v>
      </c>
    </row>
    <row r="596" spans="1:33" x14ac:dyDescent="0.2">
      <c r="A596" s="92" t="s">
        <v>2017</v>
      </c>
      <c r="B596" s="248" t="s">
        <v>2018</v>
      </c>
      <c r="C596" s="40" t="s">
        <v>1998</v>
      </c>
      <c r="D596" s="40">
        <v>2050</v>
      </c>
      <c r="E596" s="86">
        <f>GDPdeflator!$C$32*INDEX(Costs!$E$7:$O$89,MATCH($C596,Costs!$C$7:$C$89,0),MATCH(E$7,Costs!$E$6:$O$6,0))</f>
        <v>35.280441732054634</v>
      </c>
      <c r="F596" s="86">
        <f>GDPdeflator!$C$36*INDEX(Costs!$E$7:$O$89,MATCH($C596,Costs!$C$7:$C$89,0),MATCH(F$7,Costs!$E$6:$O$6,0))</f>
        <v>36.66997026759168</v>
      </c>
      <c r="G596" s="86">
        <f>GDPdeflator!$C$38*INDEX(Costs!$E$7:$O$89,MATCH($C596,Costs!$C$7:$C$89,0),MATCH(G$7,Costs!$E$6:$O$6,0))</f>
        <v>36.927112340717315</v>
      </c>
      <c r="H596" s="86">
        <f>GDPdeflator!$C$38*INDEX(Costs!$E$7:$O$89,MATCH($C596,Costs!$C$7:$C$89,0),MATCH(H$7,Costs!$E$6:$O$6,0))</f>
        <v>36.769416487305001</v>
      </c>
      <c r="I596" s="86">
        <f>GDPdeflator!$C$38*INDEX(Costs!$E$7:$O$89,MATCH($C596,Costs!$C$7:$C$89,0),MATCH(I$7,Costs!$E$6:$O$6,0))</f>
        <v>37.50533046989581</v>
      </c>
      <c r="J596" s="86">
        <f>GDPdeflator!$C$38*INDEX(Costs!$E$7:$O$89,MATCH($C596,Costs!$C$7:$C$89,0),MATCH(J$7,Costs!$E$6:$O$6,0))</f>
        <v>37.58417839660197</v>
      </c>
      <c r="K596" s="86">
        <f>GDPdeflator!$C$38*INDEX(Costs!$E$7:$O$89,MATCH($C596,Costs!$C$7:$C$89,0),MATCH(K$7,Costs!$E$6:$O$6,0))</f>
        <v>37.610461038837357</v>
      </c>
      <c r="L596" s="86">
        <f>GDPdeflator!$C$38*INDEX(Costs!$E$7:$O$89,MATCH($C596,Costs!$C$7:$C$89,0),MATCH(L$7,Costs!$E$6:$O$6,0))</f>
        <v>37.575417515856842</v>
      </c>
      <c r="M596" s="86">
        <f>GDPdeflator!$C$38*INDEX(Costs!$E$7:$O$89,MATCH($C596,Costs!$C$7:$C$89,0),MATCH(M$7,Costs!$E$6:$O$6,0))</f>
        <v>37.575417515856842</v>
      </c>
      <c r="N596" s="86">
        <f>GDPdeflator!$C$38*INDEX(Costs!$E$7:$O$89,MATCH($C596,Costs!$C$7:$C$89,0),MATCH(N$7,Costs!$E$6:$O$6,0))</f>
        <v>37.575417515856842</v>
      </c>
      <c r="O596" s="86">
        <f>GDPdeflator!$C$38*INDEX(Costs!$E$7:$O$89,MATCH($C596,Costs!$C$7:$C$89,0),MATCH(O$7,Costs!$E$6:$O$6,0))</f>
        <v>37.575417515856842</v>
      </c>
      <c r="P596" s="87">
        <f t="shared" si="270"/>
        <v>2945.8515283064048</v>
      </c>
      <c r="Q596" s="87">
        <f t="shared" si="269"/>
        <v>3061.8745869496329</v>
      </c>
      <c r="R596" s="87">
        <f t="shared" si="268"/>
        <v>3083.345473705022</v>
      </c>
      <c r="S596" s="87">
        <f t="shared" si="256"/>
        <v>3070.1781620735414</v>
      </c>
      <c r="T596" s="87">
        <f t="shared" si="257"/>
        <v>3131.6256163537837</v>
      </c>
      <c r="U596" s="87">
        <f t="shared" si="258"/>
        <v>3138.2092721695244</v>
      </c>
      <c r="V596" s="87">
        <f t="shared" si="259"/>
        <v>3140.4038241081048</v>
      </c>
      <c r="W596" s="87">
        <f t="shared" si="260"/>
        <v>3137.4777548566644</v>
      </c>
      <c r="X596" s="87">
        <f t="shared" si="261"/>
        <v>3137.4777548566644</v>
      </c>
      <c r="Y596" s="87">
        <f t="shared" si="262"/>
        <v>3137.4777548566644</v>
      </c>
      <c r="Z596" s="87">
        <f t="shared" si="263"/>
        <v>3137.4777548566644</v>
      </c>
      <c r="AA596" s="40">
        <v>450</v>
      </c>
      <c r="AB596" s="89">
        <f>AA596*GDPdeflator!$C$25/$AI$18*10^3</f>
        <v>43.267274341798768</v>
      </c>
      <c r="AC596" s="90" t="e">
        <f>INDEX(Efficiencies!$D$8:$M$89,MATCH(C596,Efficiencies!$C$8:$C$89),MATCH(D596,Efficiencies!$D$7:$M$7))</f>
        <v>#REF!</v>
      </c>
      <c r="AD596" s="90" t="e">
        <f t="shared" si="267"/>
        <v>#REF!</v>
      </c>
      <c r="AE596" s="90" t="e">
        <f>INDEX(Efficiencies!$P$8:$Y$89,MATCH(C596,Efficiencies!$C$8:$C$89),MATCH(D596,Efficiencies!$P$7:$Y$7))</f>
        <v>#REF!</v>
      </c>
      <c r="AF596" s="90" t="e">
        <f t="shared" si="271"/>
        <v>#REF!</v>
      </c>
      <c r="AG596" s="90">
        <v>0</v>
      </c>
    </row>
    <row r="597" spans="1:33" x14ac:dyDescent="0.2">
      <c r="A597" s="92" t="s">
        <v>2019</v>
      </c>
      <c r="B597" s="248" t="s">
        <v>2020</v>
      </c>
      <c r="C597" s="40" t="s">
        <v>2021</v>
      </c>
      <c r="D597" s="40">
        <v>2060</v>
      </c>
      <c r="E597" s="86">
        <f>GDPdeflator!$C$32*INDEX(Costs!$E$7:$O$89,MATCH($C597,Costs!$C$7:$C$89,0),MATCH(E$7,Costs!$E$6:$O$6,0))</f>
        <v>34.001743679163035</v>
      </c>
      <c r="F597" s="86">
        <f>GDPdeflator!$C$36*INDEX(Costs!$E$7:$O$89,MATCH($C597,Costs!$C$7:$C$89,0),MATCH(F$7,Costs!$E$6:$O$6,0))</f>
        <v>32.345256329399042</v>
      </c>
      <c r="G597" s="86">
        <f>GDPdeflator!$C$38*INDEX(Costs!$E$7:$O$89,MATCH($C597,Costs!$C$7:$C$89,0),MATCH(G$7,Costs!$E$6:$O$6,0))</f>
        <v>32.993476886154546</v>
      </c>
      <c r="H597" s="86">
        <f>GDPdeflator!$C$38*INDEX(Costs!$E$7:$O$89,MATCH($C597,Costs!$C$7:$C$89,0),MATCH(H$7,Costs!$E$6:$O$6,0))</f>
        <v>33.965934648863836</v>
      </c>
      <c r="I597" s="86">
        <f>GDPdeflator!$C$38*INDEX(Costs!$E$7:$O$89,MATCH($C597,Costs!$C$7:$C$89,0),MATCH(I$7,Costs!$E$6:$O$6,0))</f>
        <v>35.026001219024394</v>
      </c>
      <c r="J597" s="86">
        <f>GDPdeflator!$C$38*INDEX(Costs!$E$7:$O$89,MATCH($C597,Costs!$C$7:$C$89,0),MATCH(J$7,Costs!$E$6:$O$6,0))</f>
        <v>35.113610026475683</v>
      </c>
      <c r="K597" s="86">
        <f>GDPdeflator!$C$38*INDEX(Costs!$E$7:$O$89,MATCH($C597,Costs!$C$7:$C$89,0),MATCH(K$7,Costs!$E$6:$O$6,0))</f>
        <v>35.131131787965941</v>
      </c>
      <c r="L597" s="86">
        <f>GDPdeflator!$C$38*INDEX(Costs!$E$7:$O$89,MATCH($C597,Costs!$C$7:$C$89,0),MATCH(L$7,Costs!$E$6:$O$6,0))</f>
        <v>35.148653549456199</v>
      </c>
      <c r="M597" s="86">
        <f>GDPdeflator!$C$38*INDEX(Costs!$E$7:$O$89,MATCH($C597,Costs!$C$7:$C$89,0),MATCH(M$7,Costs!$E$6:$O$6,0))</f>
        <v>35.148653549456199</v>
      </c>
      <c r="N597" s="86">
        <f>GDPdeflator!$C$38*INDEX(Costs!$E$7:$O$89,MATCH($C597,Costs!$C$7:$C$89,0),MATCH(N$7,Costs!$E$6:$O$6,0))</f>
        <v>35.148653549456199</v>
      </c>
      <c r="O597" s="86">
        <f>GDPdeflator!$C$38*INDEX(Costs!$E$7:$O$89,MATCH($C597,Costs!$C$7:$C$89,0),MATCH(O$7,Costs!$E$6:$O$6,0))</f>
        <v>35.148653549456199</v>
      </c>
      <c r="P597" s="87">
        <f>E597/$AI$18*10^6</f>
        <v>2839.0826096527958</v>
      </c>
      <c r="Q597" s="87">
        <f t="shared" si="269"/>
        <v>2700.7689845575378</v>
      </c>
      <c r="R597" s="87">
        <f t="shared" si="268"/>
        <v>2754.8942002308686</v>
      </c>
      <c r="S597" s="87">
        <f t="shared" si="256"/>
        <v>2836.0926219583325</v>
      </c>
      <c r="T597" s="87">
        <f t="shared" si="257"/>
        <v>2924.6062168143953</v>
      </c>
      <c r="U597" s="87">
        <f t="shared" si="258"/>
        <v>2931.921389942996</v>
      </c>
      <c r="V597" s="87">
        <f t="shared" si="259"/>
        <v>2933.384424568716</v>
      </c>
      <c r="W597" s="87">
        <f t="shared" si="260"/>
        <v>2934.8474591944359</v>
      </c>
      <c r="X597" s="87">
        <f t="shared" si="261"/>
        <v>2934.8474591944359</v>
      </c>
      <c r="Y597" s="87">
        <f t="shared" si="262"/>
        <v>2934.8474591944359</v>
      </c>
      <c r="Z597" s="87">
        <f t="shared" si="263"/>
        <v>2934.8474591944359</v>
      </c>
      <c r="AA597" s="40">
        <v>450</v>
      </c>
      <c r="AB597" s="89">
        <f>AA597*GDPdeflator!$C$25/$AI$18*10^3</f>
        <v>43.267274341798768</v>
      </c>
      <c r="AC597" s="90" t="e">
        <f>INDEX(Efficiencies!$D$8:$M$89,MATCH(C597,Efficiencies!$C$8:$C$89),MATCH(D597,Efficiencies!$D$7:$M$7))</f>
        <v>#REF!</v>
      </c>
      <c r="AD597" s="90" t="e">
        <f t="shared" si="267"/>
        <v>#REF!</v>
      </c>
      <c r="AE597" s="90" t="e">
        <f>INDEX(Efficiencies!$P$8:$Y$89,MATCH(C597,Efficiencies!$C$8:$C$89),MATCH(D597,Efficiencies!$P$7:$Y$7))</f>
        <v>#REF!</v>
      </c>
      <c r="AF597" s="90" t="e">
        <f t="shared" si="271"/>
        <v>#REF!</v>
      </c>
      <c r="AG597" s="90">
        <v>0</v>
      </c>
    </row>
    <row r="598" spans="1:33" x14ac:dyDescent="0.2">
      <c r="A598" s="92" t="s">
        <v>2022</v>
      </c>
      <c r="B598" s="248" t="s">
        <v>2023</v>
      </c>
      <c r="C598" s="40" t="s">
        <v>2021</v>
      </c>
      <c r="D598" s="40">
        <v>2005</v>
      </c>
      <c r="E598" s="86">
        <f>GDPdeflator!$C$32*INDEX(Costs!$E$7:$O$89,MATCH($C598,Costs!$C$7:$C$89,0),MATCH(E$7,Costs!$E$6:$O$6,0))</f>
        <v>34.001743679163035</v>
      </c>
      <c r="F598" s="86">
        <f>GDPdeflator!$C$36*INDEX(Costs!$E$7:$O$89,MATCH($C598,Costs!$C$7:$C$89,0),MATCH(F$7,Costs!$E$6:$O$6,0))</f>
        <v>32.345256329399042</v>
      </c>
      <c r="G598" s="86">
        <f>GDPdeflator!$C$38*INDEX(Costs!$E$7:$O$89,MATCH($C598,Costs!$C$7:$C$89,0),MATCH(G$7,Costs!$E$6:$O$6,0))</f>
        <v>32.993476886154546</v>
      </c>
      <c r="H598" s="86">
        <f>GDPdeflator!$C$38*INDEX(Costs!$E$7:$O$89,MATCH($C598,Costs!$C$7:$C$89,0),MATCH(H$7,Costs!$E$6:$O$6,0))</f>
        <v>33.965934648863836</v>
      </c>
      <c r="I598" s="86">
        <f>GDPdeflator!$C$38*INDEX(Costs!$E$7:$O$89,MATCH($C598,Costs!$C$7:$C$89,0),MATCH(I$7,Costs!$E$6:$O$6,0))</f>
        <v>35.026001219024394</v>
      </c>
      <c r="J598" s="86">
        <f>GDPdeflator!$C$38*INDEX(Costs!$E$7:$O$89,MATCH($C598,Costs!$C$7:$C$89,0),MATCH(J$7,Costs!$E$6:$O$6,0))</f>
        <v>35.113610026475683</v>
      </c>
      <c r="K598" s="86">
        <f>GDPdeflator!$C$38*INDEX(Costs!$E$7:$O$89,MATCH($C598,Costs!$C$7:$C$89,0),MATCH(K$7,Costs!$E$6:$O$6,0))</f>
        <v>35.131131787965941</v>
      </c>
      <c r="L598" s="86">
        <f>GDPdeflator!$C$38*INDEX(Costs!$E$7:$O$89,MATCH($C598,Costs!$C$7:$C$89,0),MATCH(L$7,Costs!$E$6:$O$6,0))</f>
        <v>35.148653549456199</v>
      </c>
      <c r="M598" s="86">
        <f>GDPdeflator!$C$38*INDEX(Costs!$E$7:$O$89,MATCH($C598,Costs!$C$7:$C$89,0),MATCH(M$7,Costs!$E$6:$O$6,0))</f>
        <v>35.148653549456199</v>
      </c>
      <c r="N598" s="86">
        <f>GDPdeflator!$C$38*INDEX(Costs!$E$7:$O$89,MATCH($C598,Costs!$C$7:$C$89,0),MATCH(N$7,Costs!$E$6:$O$6,0))</f>
        <v>35.148653549456199</v>
      </c>
      <c r="O598" s="86">
        <f>GDPdeflator!$C$38*INDEX(Costs!$E$7:$O$89,MATCH($C598,Costs!$C$7:$C$89,0),MATCH(O$7,Costs!$E$6:$O$6,0))</f>
        <v>35.148653549456199</v>
      </c>
      <c r="P598" s="87">
        <f t="shared" ref="P598:P607" si="272">E598/$AI$18*10^6</f>
        <v>2839.0826096527958</v>
      </c>
      <c r="Q598" s="87">
        <f t="shared" si="269"/>
        <v>2700.7689845575378</v>
      </c>
      <c r="R598" s="87">
        <f t="shared" si="268"/>
        <v>2754.8942002308686</v>
      </c>
      <c r="S598" s="87">
        <f t="shared" si="256"/>
        <v>2836.0926219583325</v>
      </c>
      <c r="T598" s="87">
        <f t="shared" si="257"/>
        <v>2924.6062168143953</v>
      </c>
      <c r="U598" s="87">
        <f t="shared" si="258"/>
        <v>2931.921389942996</v>
      </c>
      <c r="V598" s="87">
        <f t="shared" si="259"/>
        <v>2933.384424568716</v>
      </c>
      <c r="W598" s="87">
        <f t="shared" si="260"/>
        <v>2934.8474591944359</v>
      </c>
      <c r="X598" s="87">
        <f t="shared" si="261"/>
        <v>2934.8474591944359</v>
      </c>
      <c r="Y598" s="87">
        <f t="shared" si="262"/>
        <v>2934.8474591944359</v>
      </c>
      <c r="Z598" s="87">
        <f t="shared" si="263"/>
        <v>2934.8474591944359</v>
      </c>
      <c r="AA598" s="40">
        <v>450</v>
      </c>
      <c r="AB598" s="89">
        <f>AA598*GDPdeflator!$C$25/$AI$18*10^3</f>
        <v>43.267274341798768</v>
      </c>
      <c r="AC598" s="90" t="e">
        <f>INDEX(Efficiencies!$D$8:$M$89,MATCH(C598,Efficiencies!$C$8:$C$89),MATCH(D598,Efficiencies!$D$7:$M$7))</f>
        <v>#REF!</v>
      </c>
      <c r="AD598" s="90" t="e">
        <f t="shared" si="267"/>
        <v>#REF!</v>
      </c>
      <c r="AE598" s="90" t="e">
        <f>INDEX(Efficiencies!$P$8:$Y$89,MATCH(C598,Efficiencies!$C$8:$C$89),MATCH(D598,Efficiencies!$P$7:$Y$7))</f>
        <v>#REF!</v>
      </c>
      <c r="AF598" s="90" t="e">
        <f t="shared" si="271"/>
        <v>#REF!</v>
      </c>
      <c r="AG598" s="90">
        <v>0</v>
      </c>
    </row>
    <row r="599" spans="1:33" x14ac:dyDescent="0.2">
      <c r="A599" s="92" t="s">
        <v>2024</v>
      </c>
      <c r="B599" s="248" t="s">
        <v>2025</v>
      </c>
      <c r="C599" s="40" t="s">
        <v>2021</v>
      </c>
      <c r="D599" s="40">
        <v>2010</v>
      </c>
      <c r="E599" s="86">
        <f>GDPdeflator!$C$32*INDEX(Costs!$E$7:$O$89,MATCH($C599,Costs!$C$7:$C$89,0),MATCH(E$7,Costs!$E$6:$O$6,0))</f>
        <v>34.001743679163035</v>
      </c>
      <c r="F599" s="86">
        <f>GDPdeflator!$C$36*INDEX(Costs!$E$7:$O$89,MATCH($C599,Costs!$C$7:$C$89,0),MATCH(F$7,Costs!$E$6:$O$6,0))</f>
        <v>32.345256329399042</v>
      </c>
      <c r="G599" s="86">
        <f>GDPdeflator!$C$38*INDEX(Costs!$E$7:$O$89,MATCH($C599,Costs!$C$7:$C$89,0),MATCH(G$7,Costs!$E$6:$O$6,0))</f>
        <v>32.993476886154546</v>
      </c>
      <c r="H599" s="86">
        <f>GDPdeflator!$C$38*INDEX(Costs!$E$7:$O$89,MATCH($C599,Costs!$C$7:$C$89,0),MATCH(H$7,Costs!$E$6:$O$6,0))</f>
        <v>33.965934648863836</v>
      </c>
      <c r="I599" s="86">
        <f>GDPdeflator!$C$38*INDEX(Costs!$E$7:$O$89,MATCH($C599,Costs!$C$7:$C$89,0),MATCH(I$7,Costs!$E$6:$O$6,0))</f>
        <v>35.026001219024394</v>
      </c>
      <c r="J599" s="86">
        <f>GDPdeflator!$C$38*INDEX(Costs!$E$7:$O$89,MATCH($C599,Costs!$C$7:$C$89,0),MATCH(J$7,Costs!$E$6:$O$6,0))</f>
        <v>35.113610026475683</v>
      </c>
      <c r="K599" s="86">
        <f>GDPdeflator!$C$38*INDEX(Costs!$E$7:$O$89,MATCH($C599,Costs!$C$7:$C$89,0),MATCH(K$7,Costs!$E$6:$O$6,0))</f>
        <v>35.131131787965941</v>
      </c>
      <c r="L599" s="86">
        <f>GDPdeflator!$C$38*INDEX(Costs!$E$7:$O$89,MATCH($C599,Costs!$C$7:$C$89,0),MATCH(L$7,Costs!$E$6:$O$6,0))</f>
        <v>35.148653549456199</v>
      </c>
      <c r="M599" s="86">
        <f>GDPdeflator!$C$38*INDEX(Costs!$E$7:$O$89,MATCH($C599,Costs!$C$7:$C$89,0),MATCH(M$7,Costs!$E$6:$O$6,0))</f>
        <v>35.148653549456199</v>
      </c>
      <c r="N599" s="86">
        <f>GDPdeflator!$C$38*INDEX(Costs!$E$7:$O$89,MATCH($C599,Costs!$C$7:$C$89,0),MATCH(N$7,Costs!$E$6:$O$6,0))</f>
        <v>35.148653549456199</v>
      </c>
      <c r="O599" s="86">
        <f>GDPdeflator!$C$38*INDEX(Costs!$E$7:$O$89,MATCH($C599,Costs!$C$7:$C$89,0),MATCH(O$7,Costs!$E$6:$O$6,0))</f>
        <v>35.148653549456199</v>
      </c>
      <c r="P599" s="87">
        <f t="shared" si="272"/>
        <v>2839.0826096527958</v>
      </c>
      <c r="Q599" s="87">
        <f t="shared" si="269"/>
        <v>2700.7689845575378</v>
      </c>
      <c r="R599" s="87">
        <f t="shared" si="268"/>
        <v>2754.8942002308686</v>
      </c>
      <c r="S599" s="87">
        <f t="shared" si="256"/>
        <v>2836.0926219583325</v>
      </c>
      <c r="T599" s="87">
        <f t="shared" si="257"/>
        <v>2924.6062168143953</v>
      </c>
      <c r="U599" s="87">
        <f t="shared" si="258"/>
        <v>2931.921389942996</v>
      </c>
      <c r="V599" s="87">
        <f t="shared" si="259"/>
        <v>2933.384424568716</v>
      </c>
      <c r="W599" s="87">
        <f t="shared" si="260"/>
        <v>2934.8474591944359</v>
      </c>
      <c r="X599" s="87">
        <f t="shared" si="261"/>
        <v>2934.8474591944359</v>
      </c>
      <c r="Y599" s="87">
        <f t="shared" si="262"/>
        <v>2934.8474591944359</v>
      </c>
      <c r="Z599" s="87">
        <f t="shared" si="263"/>
        <v>2934.8474591944359</v>
      </c>
      <c r="AA599" s="40">
        <v>450</v>
      </c>
      <c r="AB599" s="89">
        <f>AA599*GDPdeflator!$C$25/$AI$18*10^3</f>
        <v>43.267274341798768</v>
      </c>
      <c r="AC599" s="90" t="e">
        <f>INDEX(Efficiencies!$D$8:$M$89,MATCH(C599,Efficiencies!$C$8:$C$89),MATCH(D599,Efficiencies!$D$7:$M$7))</f>
        <v>#REF!</v>
      </c>
      <c r="AD599" s="90" t="e">
        <f t="shared" si="267"/>
        <v>#REF!</v>
      </c>
      <c r="AE599" s="90" t="e">
        <f>INDEX(Efficiencies!$P$8:$Y$89,MATCH(C599,Efficiencies!$C$8:$C$89),MATCH(D599,Efficiencies!$P$7:$Y$7))</f>
        <v>#REF!</v>
      </c>
      <c r="AF599" s="90" t="e">
        <f t="shared" si="271"/>
        <v>#REF!</v>
      </c>
      <c r="AG599" s="90">
        <v>0</v>
      </c>
    </row>
    <row r="600" spans="1:33" x14ac:dyDescent="0.2">
      <c r="A600" s="92" t="s">
        <v>2026</v>
      </c>
      <c r="B600" s="248" t="s">
        <v>2027</v>
      </c>
      <c r="C600" s="40" t="s">
        <v>2021</v>
      </c>
      <c r="D600" s="40">
        <v>2015</v>
      </c>
      <c r="E600" s="86">
        <f>GDPdeflator!$C$32*INDEX(Costs!$E$7:$O$89,MATCH($C600,Costs!$C$7:$C$89,0),MATCH(E$7,Costs!$E$6:$O$6,0))</f>
        <v>34.001743679163035</v>
      </c>
      <c r="F600" s="86">
        <f>GDPdeflator!$C$36*INDEX(Costs!$E$7:$O$89,MATCH($C600,Costs!$C$7:$C$89,0),MATCH(F$7,Costs!$E$6:$O$6,0))</f>
        <v>32.345256329399042</v>
      </c>
      <c r="G600" s="86">
        <f>GDPdeflator!$C$38*INDEX(Costs!$E$7:$O$89,MATCH($C600,Costs!$C$7:$C$89,0),MATCH(G$7,Costs!$E$6:$O$6,0))</f>
        <v>32.993476886154546</v>
      </c>
      <c r="H600" s="86">
        <f>GDPdeflator!$C$38*INDEX(Costs!$E$7:$O$89,MATCH($C600,Costs!$C$7:$C$89,0),MATCH(H$7,Costs!$E$6:$O$6,0))</f>
        <v>33.965934648863836</v>
      </c>
      <c r="I600" s="86">
        <f>GDPdeflator!$C$38*INDEX(Costs!$E$7:$O$89,MATCH($C600,Costs!$C$7:$C$89,0),MATCH(I$7,Costs!$E$6:$O$6,0))</f>
        <v>35.026001219024394</v>
      </c>
      <c r="J600" s="86">
        <f>GDPdeflator!$C$38*INDEX(Costs!$E$7:$O$89,MATCH($C600,Costs!$C$7:$C$89,0),MATCH(J$7,Costs!$E$6:$O$6,0))</f>
        <v>35.113610026475683</v>
      </c>
      <c r="K600" s="86">
        <f>GDPdeflator!$C$38*INDEX(Costs!$E$7:$O$89,MATCH($C600,Costs!$C$7:$C$89,0),MATCH(K$7,Costs!$E$6:$O$6,0))</f>
        <v>35.131131787965941</v>
      </c>
      <c r="L600" s="86">
        <f>GDPdeflator!$C$38*INDEX(Costs!$E$7:$O$89,MATCH($C600,Costs!$C$7:$C$89,0),MATCH(L$7,Costs!$E$6:$O$6,0))</f>
        <v>35.148653549456199</v>
      </c>
      <c r="M600" s="86">
        <f>GDPdeflator!$C$38*INDEX(Costs!$E$7:$O$89,MATCH($C600,Costs!$C$7:$C$89,0),MATCH(M$7,Costs!$E$6:$O$6,0))</f>
        <v>35.148653549456199</v>
      </c>
      <c r="N600" s="86">
        <f>GDPdeflator!$C$38*INDEX(Costs!$E$7:$O$89,MATCH($C600,Costs!$C$7:$C$89,0),MATCH(N$7,Costs!$E$6:$O$6,0))</f>
        <v>35.148653549456199</v>
      </c>
      <c r="O600" s="86">
        <f>GDPdeflator!$C$38*INDEX(Costs!$E$7:$O$89,MATCH($C600,Costs!$C$7:$C$89,0),MATCH(O$7,Costs!$E$6:$O$6,0))</f>
        <v>35.148653549456199</v>
      </c>
      <c r="P600" s="87">
        <f t="shared" si="272"/>
        <v>2839.0826096527958</v>
      </c>
      <c r="Q600" s="87">
        <f t="shared" si="269"/>
        <v>2700.7689845575378</v>
      </c>
      <c r="R600" s="87">
        <f t="shared" si="268"/>
        <v>2754.8942002308686</v>
      </c>
      <c r="S600" s="87">
        <f t="shared" si="256"/>
        <v>2836.0926219583325</v>
      </c>
      <c r="T600" s="87">
        <f t="shared" si="257"/>
        <v>2924.6062168143953</v>
      </c>
      <c r="U600" s="87">
        <f t="shared" si="258"/>
        <v>2931.921389942996</v>
      </c>
      <c r="V600" s="87">
        <f t="shared" si="259"/>
        <v>2933.384424568716</v>
      </c>
      <c r="W600" s="87">
        <f t="shared" si="260"/>
        <v>2934.8474591944359</v>
      </c>
      <c r="X600" s="87">
        <f t="shared" si="261"/>
        <v>2934.8474591944359</v>
      </c>
      <c r="Y600" s="87">
        <f t="shared" si="262"/>
        <v>2934.8474591944359</v>
      </c>
      <c r="Z600" s="87">
        <f t="shared" si="263"/>
        <v>2934.8474591944359</v>
      </c>
      <c r="AA600" s="40">
        <v>450</v>
      </c>
      <c r="AB600" s="89">
        <f>AA600*GDPdeflator!$C$25/$AI$18*10^3</f>
        <v>43.267274341798768</v>
      </c>
      <c r="AC600" s="90" t="e">
        <f>INDEX(Efficiencies!$D$8:$M$89,MATCH(C600,Efficiencies!$C$8:$C$89),MATCH(D600,Efficiencies!$D$7:$M$7))</f>
        <v>#REF!</v>
      </c>
      <c r="AD600" s="90" t="e">
        <f t="shared" si="267"/>
        <v>#REF!</v>
      </c>
      <c r="AE600" s="90" t="e">
        <f>INDEX(Efficiencies!$P$8:$Y$89,MATCH(C600,Efficiencies!$C$8:$C$89),MATCH(D600,Efficiencies!$P$7:$Y$7))</f>
        <v>#REF!</v>
      </c>
      <c r="AF600" s="90" t="e">
        <f t="shared" si="271"/>
        <v>#REF!</v>
      </c>
      <c r="AG600" s="90">
        <v>0</v>
      </c>
    </row>
    <row r="601" spans="1:33" x14ac:dyDescent="0.2">
      <c r="A601" s="92" t="s">
        <v>2028</v>
      </c>
      <c r="B601" s="248" t="s">
        <v>2029</v>
      </c>
      <c r="C601" s="40" t="s">
        <v>2021</v>
      </c>
      <c r="D601" s="40">
        <v>2020</v>
      </c>
      <c r="E601" s="86">
        <f>GDPdeflator!$C$32*INDEX(Costs!$E$7:$O$89,MATCH($C601,Costs!$C$7:$C$89,0),MATCH(E$7,Costs!$E$6:$O$6,0))</f>
        <v>34.001743679163035</v>
      </c>
      <c r="F601" s="86">
        <f>GDPdeflator!$C$36*INDEX(Costs!$E$7:$O$89,MATCH($C601,Costs!$C$7:$C$89,0),MATCH(F$7,Costs!$E$6:$O$6,0))</f>
        <v>32.345256329399042</v>
      </c>
      <c r="G601" s="86">
        <f>GDPdeflator!$C$38*INDEX(Costs!$E$7:$O$89,MATCH($C601,Costs!$C$7:$C$89,0),MATCH(G$7,Costs!$E$6:$O$6,0))</f>
        <v>32.993476886154546</v>
      </c>
      <c r="H601" s="86">
        <f>GDPdeflator!$C$38*INDEX(Costs!$E$7:$O$89,MATCH($C601,Costs!$C$7:$C$89,0),MATCH(H$7,Costs!$E$6:$O$6,0))</f>
        <v>33.965934648863836</v>
      </c>
      <c r="I601" s="86">
        <f>GDPdeflator!$C$38*INDEX(Costs!$E$7:$O$89,MATCH($C601,Costs!$C$7:$C$89,0),MATCH(I$7,Costs!$E$6:$O$6,0))</f>
        <v>35.026001219024394</v>
      </c>
      <c r="J601" s="86">
        <f>GDPdeflator!$C$38*INDEX(Costs!$E$7:$O$89,MATCH($C601,Costs!$C$7:$C$89,0),MATCH(J$7,Costs!$E$6:$O$6,0))</f>
        <v>35.113610026475683</v>
      </c>
      <c r="K601" s="86">
        <f>GDPdeflator!$C$38*INDEX(Costs!$E$7:$O$89,MATCH($C601,Costs!$C$7:$C$89,0),MATCH(K$7,Costs!$E$6:$O$6,0))</f>
        <v>35.131131787965941</v>
      </c>
      <c r="L601" s="86">
        <f>GDPdeflator!$C$38*INDEX(Costs!$E$7:$O$89,MATCH($C601,Costs!$C$7:$C$89,0),MATCH(L$7,Costs!$E$6:$O$6,0))</f>
        <v>35.148653549456199</v>
      </c>
      <c r="M601" s="86">
        <f>GDPdeflator!$C$38*INDEX(Costs!$E$7:$O$89,MATCH($C601,Costs!$C$7:$C$89,0),MATCH(M$7,Costs!$E$6:$O$6,0))</f>
        <v>35.148653549456199</v>
      </c>
      <c r="N601" s="86">
        <f>GDPdeflator!$C$38*INDEX(Costs!$E$7:$O$89,MATCH($C601,Costs!$C$7:$C$89,0),MATCH(N$7,Costs!$E$6:$O$6,0))</f>
        <v>35.148653549456199</v>
      </c>
      <c r="O601" s="86">
        <f>GDPdeflator!$C$38*INDEX(Costs!$E$7:$O$89,MATCH($C601,Costs!$C$7:$C$89,0),MATCH(O$7,Costs!$E$6:$O$6,0))</f>
        <v>35.148653549456199</v>
      </c>
      <c r="P601" s="87">
        <f t="shared" si="272"/>
        <v>2839.0826096527958</v>
      </c>
      <c r="Q601" s="87">
        <f t="shared" si="269"/>
        <v>2700.7689845575378</v>
      </c>
      <c r="R601" s="87">
        <f t="shared" si="268"/>
        <v>2754.8942002308686</v>
      </c>
      <c r="S601" s="87">
        <f t="shared" si="256"/>
        <v>2836.0926219583325</v>
      </c>
      <c r="T601" s="87">
        <f t="shared" si="257"/>
        <v>2924.6062168143953</v>
      </c>
      <c r="U601" s="87">
        <f t="shared" si="258"/>
        <v>2931.921389942996</v>
      </c>
      <c r="V601" s="87">
        <f t="shared" si="259"/>
        <v>2933.384424568716</v>
      </c>
      <c r="W601" s="87">
        <f t="shared" si="260"/>
        <v>2934.8474591944359</v>
      </c>
      <c r="X601" s="87">
        <f t="shared" si="261"/>
        <v>2934.8474591944359</v>
      </c>
      <c r="Y601" s="87">
        <f t="shared" si="262"/>
        <v>2934.8474591944359</v>
      </c>
      <c r="Z601" s="87">
        <f t="shared" si="263"/>
        <v>2934.8474591944359</v>
      </c>
      <c r="AA601" s="40">
        <v>450</v>
      </c>
      <c r="AB601" s="89">
        <f>AA601*GDPdeflator!$C$25/$AI$18*10^3</f>
        <v>43.267274341798768</v>
      </c>
      <c r="AC601" s="90" t="e">
        <f>INDEX(Efficiencies!$D$8:$M$89,MATCH(C601,Efficiencies!$C$8:$C$89),MATCH(D601,Efficiencies!$D$7:$M$7))</f>
        <v>#REF!</v>
      </c>
      <c r="AD601" s="90" t="e">
        <f t="shared" si="267"/>
        <v>#REF!</v>
      </c>
      <c r="AE601" s="90" t="e">
        <f>INDEX(Efficiencies!$P$8:$Y$89,MATCH(C601,Efficiencies!$C$8:$C$89),MATCH(D601,Efficiencies!$P$7:$Y$7))</f>
        <v>#REF!</v>
      </c>
      <c r="AF601" s="90" t="e">
        <f t="shared" si="271"/>
        <v>#REF!</v>
      </c>
      <c r="AG601" s="90">
        <v>0</v>
      </c>
    </row>
    <row r="602" spans="1:33" x14ac:dyDescent="0.2">
      <c r="A602" s="92" t="s">
        <v>2030</v>
      </c>
      <c r="B602" s="248" t="s">
        <v>2031</v>
      </c>
      <c r="C602" s="40" t="s">
        <v>2021</v>
      </c>
      <c r="D602" s="40">
        <v>2025</v>
      </c>
      <c r="E602" s="86">
        <f>GDPdeflator!$C$32*INDEX(Costs!$E$7:$O$89,MATCH($C602,Costs!$C$7:$C$89,0),MATCH(E$7,Costs!$E$6:$O$6,0))</f>
        <v>34.001743679163035</v>
      </c>
      <c r="F602" s="86">
        <f>GDPdeflator!$C$36*INDEX(Costs!$E$7:$O$89,MATCH($C602,Costs!$C$7:$C$89,0),MATCH(F$7,Costs!$E$6:$O$6,0))</f>
        <v>32.345256329399042</v>
      </c>
      <c r="G602" s="86">
        <f>GDPdeflator!$C$38*INDEX(Costs!$E$7:$O$89,MATCH($C602,Costs!$C$7:$C$89,0),MATCH(G$7,Costs!$E$6:$O$6,0))</f>
        <v>32.993476886154546</v>
      </c>
      <c r="H602" s="86">
        <f>GDPdeflator!$C$38*INDEX(Costs!$E$7:$O$89,MATCH($C602,Costs!$C$7:$C$89,0),MATCH(H$7,Costs!$E$6:$O$6,0))</f>
        <v>33.965934648863836</v>
      </c>
      <c r="I602" s="86">
        <f>GDPdeflator!$C$38*INDEX(Costs!$E$7:$O$89,MATCH($C602,Costs!$C$7:$C$89,0),MATCH(I$7,Costs!$E$6:$O$6,0))</f>
        <v>35.026001219024394</v>
      </c>
      <c r="J602" s="86">
        <f>GDPdeflator!$C$38*INDEX(Costs!$E$7:$O$89,MATCH($C602,Costs!$C$7:$C$89,0),MATCH(J$7,Costs!$E$6:$O$6,0))</f>
        <v>35.113610026475683</v>
      </c>
      <c r="K602" s="86">
        <f>GDPdeflator!$C$38*INDEX(Costs!$E$7:$O$89,MATCH($C602,Costs!$C$7:$C$89,0),MATCH(K$7,Costs!$E$6:$O$6,0))</f>
        <v>35.131131787965941</v>
      </c>
      <c r="L602" s="86">
        <f>GDPdeflator!$C$38*INDEX(Costs!$E$7:$O$89,MATCH($C602,Costs!$C$7:$C$89,0),MATCH(L$7,Costs!$E$6:$O$6,0))</f>
        <v>35.148653549456199</v>
      </c>
      <c r="M602" s="86">
        <f>GDPdeflator!$C$38*INDEX(Costs!$E$7:$O$89,MATCH($C602,Costs!$C$7:$C$89,0),MATCH(M$7,Costs!$E$6:$O$6,0))</f>
        <v>35.148653549456199</v>
      </c>
      <c r="N602" s="86">
        <f>GDPdeflator!$C$38*INDEX(Costs!$E$7:$O$89,MATCH($C602,Costs!$C$7:$C$89,0),MATCH(N$7,Costs!$E$6:$O$6,0))</f>
        <v>35.148653549456199</v>
      </c>
      <c r="O602" s="86">
        <f>GDPdeflator!$C$38*INDEX(Costs!$E$7:$O$89,MATCH($C602,Costs!$C$7:$C$89,0),MATCH(O$7,Costs!$E$6:$O$6,0))</f>
        <v>35.148653549456199</v>
      </c>
      <c r="P602" s="87">
        <f t="shared" si="272"/>
        <v>2839.0826096527958</v>
      </c>
      <c r="Q602" s="87">
        <f t="shared" si="269"/>
        <v>2700.7689845575378</v>
      </c>
      <c r="R602" s="87">
        <f t="shared" si="268"/>
        <v>2754.8942002308686</v>
      </c>
      <c r="S602" s="87">
        <f t="shared" si="256"/>
        <v>2836.0926219583325</v>
      </c>
      <c r="T602" s="87">
        <f t="shared" si="257"/>
        <v>2924.6062168143953</v>
      </c>
      <c r="U602" s="87">
        <f t="shared" si="258"/>
        <v>2931.921389942996</v>
      </c>
      <c r="V602" s="87">
        <f t="shared" si="259"/>
        <v>2933.384424568716</v>
      </c>
      <c r="W602" s="87">
        <f t="shared" si="260"/>
        <v>2934.8474591944359</v>
      </c>
      <c r="X602" s="87">
        <f t="shared" si="261"/>
        <v>2934.8474591944359</v>
      </c>
      <c r="Y602" s="87">
        <f t="shared" si="262"/>
        <v>2934.8474591944359</v>
      </c>
      <c r="Z602" s="87">
        <f t="shared" si="263"/>
        <v>2934.8474591944359</v>
      </c>
      <c r="AA602" s="40">
        <v>450</v>
      </c>
      <c r="AB602" s="89">
        <f>AA602*GDPdeflator!$C$25/$AI$18*10^3</f>
        <v>43.267274341798768</v>
      </c>
      <c r="AC602" s="90" t="e">
        <f>INDEX(Efficiencies!$D$8:$M$89,MATCH(C602,Efficiencies!$C$8:$C$89),MATCH(D602,Efficiencies!$D$7:$M$7))</f>
        <v>#REF!</v>
      </c>
      <c r="AD602" s="90" t="e">
        <f t="shared" si="267"/>
        <v>#REF!</v>
      </c>
      <c r="AE602" s="90" t="e">
        <f>INDEX(Efficiencies!$P$8:$Y$89,MATCH(C602,Efficiencies!$C$8:$C$89),MATCH(D602,Efficiencies!$P$7:$Y$7))</f>
        <v>#REF!</v>
      </c>
      <c r="AF602" s="90" t="e">
        <f t="shared" si="271"/>
        <v>#REF!</v>
      </c>
      <c r="AG602" s="90">
        <v>0</v>
      </c>
    </row>
    <row r="603" spans="1:33" x14ac:dyDescent="0.2">
      <c r="A603" s="92" t="s">
        <v>2032</v>
      </c>
      <c r="B603" s="248" t="s">
        <v>2033</v>
      </c>
      <c r="C603" s="40" t="s">
        <v>2021</v>
      </c>
      <c r="D603" s="40">
        <v>2030</v>
      </c>
      <c r="E603" s="86">
        <f>GDPdeflator!$C$32*INDEX(Costs!$E$7:$O$89,MATCH($C603,Costs!$C$7:$C$89,0),MATCH(E$7,Costs!$E$6:$O$6,0))</f>
        <v>34.001743679163035</v>
      </c>
      <c r="F603" s="86">
        <f>GDPdeflator!$C$36*INDEX(Costs!$E$7:$O$89,MATCH($C603,Costs!$C$7:$C$89,0),MATCH(F$7,Costs!$E$6:$O$6,0))</f>
        <v>32.345256329399042</v>
      </c>
      <c r="G603" s="86">
        <f>GDPdeflator!$C$38*INDEX(Costs!$E$7:$O$89,MATCH($C603,Costs!$C$7:$C$89,0),MATCH(G$7,Costs!$E$6:$O$6,0))</f>
        <v>32.993476886154546</v>
      </c>
      <c r="H603" s="86">
        <f>GDPdeflator!$C$38*INDEX(Costs!$E$7:$O$89,MATCH($C603,Costs!$C$7:$C$89,0),MATCH(H$7,Costs!$E$6:$O$6,0))</f>
        <v>33.965934648863836</v>
      </c>
      <c r="I603" s="86">
        <f>GDPdeflator!$C$38*INDEX(Costs!$E$7:$O$89,MATCH($C603,Costs!$C$7:$C$89,0),MATCH(I$7,Costs!$E$6:$O$6,0))</f>
        <v>35.026001219024394</v>
      </c>
      <c r="J603" s="86">
        <f>GDPdeflator!$C$38*INDEX(Costs!$E$7:$O$89,MATCH($C603,Costs!$C$7:$C$89,0),MATCH(J$7,Costs!$E$6:$O$6,0))</f>
        <v>35.113610026475683</v>
      </c>
      <c r="K603" s="86">
        <f>GDPdeflator!$C$38*INDEX(Costs!$E$7:$O$89,MATCH($C603,Costs!$C$7:$C$89,0),MATCH(K$7,Costs!$E$6:$O$6,0))</f>
        <v>35.131131787965941</v>
      </c>
      <c r="L603" s="86">
        <f>GDPdeflator!$C$38*INDEX(Costs!$E$7:$O$89,MATCH($C603,Costs!$C$7:$C$89,0),MATCH(L$7,Costs!$E$6:$O$6,0))</f>
        <v>35.148653549456199</v>
      </c>
      <c r="M603" s="86">
        <f>GDPdeflator!$C$38*INDEX(Costs!$E$7:$O$89,MATCH($C603,Costs!$C$7:$C$89,0),MATCH(M$7,Costs!$E$6:$O$6,0))</f>
        <v>35.148653549456199</v>
      </c>
      <c r="N603" s="86">
        <f>GDPdeflator!$C$38*INDEX(Costs!$E$7:$O$89,MATCH($C603,Costs!$C$7:$C$89,0),MATCH(N$7,Costs!$E$6:$O$6,0))</f>
        <v>35.148653549456199</v>
      </c>
      <c r="O603" s="86">
        <f>GDPdeflator!$C$38*INDEX(Costs!$E$7:$O$89,MATCH($C603,Costs!$C$7:$C$89,0),MATCH(O$7,Costs!$E$6:$O$6,0))</f>
        <v>35.148653549456199</v>
      </c>
      <c r="P603" s="87">
        <f t="shared" si="272"/>
        <v>2839.0826096527958</v>
      </c>
      <c r="Q603" s="87">
        <f t="shared" si="269"/>
        <v>2700.7689845575378</v>
      </c>
      <c r="R603" s="87">
        <f t="shared" si="268"/>
        <v>2754.8942002308686</v>
      </c>
      <c r="S603" s="87">
        <f t="shared" si="256"/>
        <v>2836.0926219583325</v>
      </c>
      <c r="T603" s="87">
        <f t="shared" si="257"/>
        <v>2924.6062168143953</v>
      </c>
      <c r="U603" s="87">
        <f t="shared" si="258"/>
        <v>2931.921389942996</v>
      </c>
      <c r="V603" s="87">
        <f t="shared" si="259"/>
        <v>2933.384424568716</v>
      </c>
      <c r="W603" s="87">
        <f t="shared" si="260"/>
        <v>2934.8474591944359</v>
      </c>
      <c r="X603" s="87">
        <f t="shared" si="261"/>
        <v>2934.8474591944359</v>
      </c>
      <c r="Y603" s="87">
        <f t="shared" si="262"/>
        <v>2934.8474591944359</v>
      </c>
      <c r="Z603" s="87">
        <f t="shared" si="263"/>
        <v>2934.8474591944359</v>
      </c>
      <c r="AA603" s="40">
        <v>450</v>
      </c>
      <c r="AB603" s="89">
        <f>AA603*GDPdeflator!$C$25/$AI$18*10^3</f>
        <v>43.267274341798768</v>
      </c>
      <c r="AC603" s="90" t="e">
        <f>INDEX(Efficiencies!$D$8:$M$89,MATCH(C603,Efficiencies!$C$8:$C$89),MATCH(D603,Efficiencies!$D$7:$M$7))</f>
        <v>#REF!</v>
      </c>
      <c r="AD603" s="90" t="e">
        <f t="shared" si="267"/>
        <v>#REF!</v>
      </c>
      <c r="AE603" s="90" t="e">
        <f>INDEX(Efficiencies!$P$8:$Y$89,MATCH(C603,Efficiencies!$C$8:$C$89),MATCH(D603,Efficiencies!$P$7:$Y$7))</f>
        <v>#REF!</v>
      </c>
      <c r="AF603" s="90" t="e">
        <f t="shared" si="271"/>
        <v>#REF!</v>
      </c>
      <c r="AG603" s="90">
        <v>0</v>
      </c>
    </row>
    <row r="604" spans="1:33" x14ac:dyDescent="0.2">
      <c r="A604" s="92" t="s">
        <v>2034</v>
      </c>
      <c r="B604" s="248" t="s">
        <v>2035</v>
      </c>
      <c r="C604" s="40" t="s">
        <v>2021</v>
      </c>
      <c r="D604" s="40">
        <v>2035</v>
      </c>
      <c r="E604" s="86">
        <f>GDPdeflator!$C$32*INDEX(Costs!$E$7:$O$89,MATCH($C604,Costs!$C$7:$C$89,0),MATCH(E$7,Costs!$E$6:$O$6,0))</f>
        <v>34.001743679163035</v>
      </c>
      <c r="F604" s="86">
        <f>GDPdeflator!$C$36*INDEX(Costs!$E$7:$O$89,MATCH($C604,Costs!$C$7:$C$89,0),MATCH(F$7,Costs!$E$6:$O$6,0))</f>
        <v>32.345256329399042</v>
      </c>
      <c r="G604" s="86">
        <f>GDPdeflator!$C$38*INDEX(Costs!$E$7:$O$89,MATCH($C604,Costs!$C$7:$C$89,0),MATCH(G$7,Costs!$E$6:$O$6,0))</f>
        <v>32.993476886154546</v>
      </c>
      <c r="H604" s="86">
        <f>GDPdeflator!$C$38*INDEX(Costs!$E$7:$O$89,MATCH($C604,Costs!$C$7:$C$89,0),MATCH(H$7,Costs!$E$6:$O$6,0))</f>
        <v>33.965934648863836</v>
      </c>
      <c r="I604" s="86">
        <f>GDPdeflator!$C$38*INDEX(Costs!$E$7:$O$89,MATCH($C604,Costs!$C$7:$C$89,0),MATCH(I$7,Costs!$E$6:$O$6,0))</f>
        <v>35.026001219024394</v>
      </c>
      <c r="J604" s="86">
        <f>GDPdeflator!$C$38*INDEX(Costs!$E$7:$O$89,MATCH($C604,Costs!$C$7:$C$89,0),MATCH(J$7,Costs!$E$6:$O$6,0))</f>
        <v>35.113610026475683</v>
      </c>
      <c r="K604" s="86">
        <f>GDPdeflator!$C$38*INDEX(Costs!$E$7:$O$89,MATCH($C604,Costs!$C$7:$C$89,0),MATCH(K$7,Costs!$E$6:$O$6,0))</f>
        <v>35.131131787965941</v>
      </c>
      <c r="L604" s="86">
        <f>GDPdeflator!$C$38*INDEX(Costs!$E$7:$O$89,MATCH($C604,Costs!$C$7:$C$89,0),MATCH(L$7,Costs!$E$6:$O$6,0))</f>
        <v>35.148653549456199</v>
      </c>
      <c r="M604" s="86">
        <f>GDPdeflator!$C$38*INDEX(Costs!$E$7:$O$89,MATCH($C604,Costs!$C$7:$C$89,0),MATCH(M$7,Costs!$E$6:$O$6,0))</f>
        <v>35.148653549456199</v>
      </c>
      <c r="N604" s="86">
        <f>GDPdeflator!$C$38*INDEX(Costs!$E$7:$O$89,MATCH($C604,Costs!$C$7:$C$89,0),MATCH(N$7,Costs!$E$6:$O$6,0))</f>
        <v>35.148653549456199</v>
      </c>
      <c r="O604" s="86">
        <f>GDPdeflator!$C$38*INDEX(Costs!$E$7:$O$89,MATCH($C604,Costs!$C$7:$C$89,0),MATCH(O$7,Costs!$E$6:$O$6,0))</f>
        <v>35.148653549456199</v>
      </c>
      <c r="P604" s="87">
        <f t="shared" si="272"/>
        <v>2839.0826096527958</v>
      </c>
      <c r="Q604" s="87">
        <f t="shared" si="269"/>
        <v>2700.7689845575378</v>
      </c>
      <c r="R604" s="87">
        <f t="shared" si="268"/>
        <v>2754.8942002308686</v>
      </c>
      <c r="S604" s="87">
        <f t="shared" si="256"/>
        <v>2836.0926219583325</v>
      </c>
      <c r="T604" s="87">
        <f t="shared" si="257"/>
        <v>2924.6062168143953</v>
      </c>
      <c r="U604" s="87">
        <f t="shared" si="258"/>
        <v>2931.921389942996</v>
      </c>
      <c r="V604" s="87">
        <f t="shared" si="259"/>
        <v>2933.384424568716</v>
      </c>
      <c r="W604" s="87">
        <f t="shared" si="260"/>
        <v>2934.8474591944359</v>
      </c>
      <c r="X604" s="87">
        <f t="shared" si="261"/>
        <v>2934.8474591944359</v>
      </c>
      <c r="Y604" s="87">
        <f t="shared" si="262"/>
        <v>2934.8474591944359</v>
      </c>
      <c r="Z604" s="87">
        <f t="shared" si="263"/>
        <v>2934.8474591944359</v>
      </c>
      <c r="AA604" s="40">
        <v>450</v>
      </c>
      <c r="AB604" s="89">
        <f>AA604*GDPdeflator!$C$25/$AI$18*10^3</f>
        <v>43.267274341798768</v>
      </c>
      <c r="AC604" s="90" t="e">
        <f>INDEX(Efficiencies!$D$8:$M$89,MATCH(C604,Efficiencies!$C$8:$C$89),MATCH(D604,Efficiencies!$D$7:$M$7))</f>
        <v>#REF!</v>
      </c>
      <c r="AD604" s="90" t="e">
        <f t="shared" si="267"/>
        <v>#REF!</v>
      </c>
      <c r="AE604" s="90" t="e">
        <f>INDEX(Efficiencies!$P$8:$Y$89,MATCH(C604,Efficiencies!$C$8:$C$89),MATCH(D604,Efficiencies!$P$7:$Y$7))</f>
        <v>#REF!</v>
      </c>
      <c r="AF604" s="90" t="e">
        <f t="shared" si="271"/>
        <v>#REF!</v>
      </c>
      <c r="AG604" s="90">
        <v>0</v>
      </c>
    </row>
    <row r="605" spans="1:33" x14ac:dyDescent="0.2">
      <c r="A605" s="92" t="s">
        <v>2036</v>
      </c>
      <c r="B605" s="248" t="s">
        <v>2037</v>
      </c>
      <c r="C605" s="40" t="s">
        <v>2021</v>
      </c>
      <c r="D605" s="40">
        <v>2040</v>
      </c>
      <c r="E605" s="86">
        <f>GDPdeflator!$C$32*INDEX(Costs!$E$7:$O$89,MATCH($C605,Costs!$C$7:$C$89,0),MATCH(E$7,Costs!$E$6:$O$6,0))</f>
        <v>34.001743679163035</v>
      </c>
      <c r="F605" s="86">
        <f>GDPdeflator!$C$36*INDEX(Costs!$E$7:$O$89,MATCH($C605,Costs!$C$7:$C$89,0),MATCH(F$7,Costs!$E$6:$O$6,0))</f>
        <v>32.345256329399042</v>
      </c>
      <c r="G605" s="86">
        <f>GDPdeflator!$C$38*INDEX(Costs!$E$7:$O$89,MATCH($C605,Costs!$C$7:$C$89,0),MATCH(G$7,Costs!$E$6:$O$6,0))</f>
        <v>32.993476886154546</v>
      </c>
      <c r="H605" s="86">
        <f>GDPdeflator!$C$38*INDEX(Costs!$E$7:$O$89,MATCH($C605,Costs!$C$7:$C$89,0),MATCH(H$7,Costs!$E$6:$O$6,0))</f>
        <v>33.965934648863836</v>
      </c>
      <c r="I605" s="86">
        <f>GDPdeflator!$C$38*INDEX(Costs!$E$7:$O$89,MATCH($C605,Costs!$C$7:$C$89,0),MATCH(I$7,Costs!$E$6:$O$6,0))</f>
        <v>35.026001219024394</v>
      </c>
      <c r="J605" s="86">
        <f>GDPdeflator!$C$38*INDEX(Costs!$E$7:$O$89,MATCH($C605,Costs!$C$7:$C$89,0),MATCH(J$7,Costs!$E$6:$O$6,0))</f>
        <v>35.113610026475683</v>
      </c>
      <c r="K605" s="86">
        <f>GDPdeflator!$C$38*INDEX(Costs!$E$7:$O$89,MATCH($C605,Costs!$C$7:$C$89,0),MATCH(K$7,Costs!$E$6:$O$6,0))</f>
        <v>35.131131787965941</v>
      </c>
      <c r="L605" s="86">
        <f>GDPdeflator!$C$38*INDEX(Costs!$E$7:$O$89,MATCH($C605,Costs!$C$7:$C$89,0),MATCH(L$7,Costs!$E$6:$O$6,0))</f>
        <v>35.148653549456199</v>
      </c>
      <c r="M605" s="86">
        <f>GDPdeflator!$C$38*INDEX(Costs!$E$7:$O$89,MATCH($C605,Costs!$C$7:$C$89,0),MATCH(M$7,Costs!$E$6:$O$6,0))</f>
        <v>35.148653549456199</v>
      </c>
      <c r="N605" s="86">
        <f>GDPdeflator!$C$38*INDEX(Costs!$E$7:$O$89,MATCH($C605,Costs!$C$7:$C$89,0),MATCH(N$7,Costs!$E$6:$O$6,0))</f>
        <v>35.148653549456199</v>
      </c>
      <c r="O605" s="86">
        <f>GDPdeflator!$C$38*INDEX(Costs!$E$7:$O$89,MATCH($C605,Costs!$C$7:$C$89,0),MATCH(O$7,Costs!$E$6:$O$6,0))</f>
        <v>35.148653549456199</v>
      </c>
      <c r="P605" s="87">
        <f t="shared" si="272"/>
        <v>2839.0826096527958</v>
      </c>
      <c r="Q605" s="87">
        <f t="shared" si="269"/>
        <v>2700.7689845575378</v>
      </c>
      <c r="R605" s="87">
        <f t="shared" si="268"/>
        <v>2754.8942002308686</v>
      </c>
      <c r="S605" s="87">
        <f t="shared" si="256"/>
        <v>2836.0926219583325</v>
      </c>
      <c r="T605" s="87">
        <f t="shared" si="257"/>
        <v>2924.6062168143953</v>
      </c>
      <c r="U605" s="87">
        <f t="shared" si="258"/>
        <v>2931.921389942996</v>
      </c>
      <c r="V605" s="87">
        <f t="shared" si="259"/>
        <v>2933.384424568716</v>
      </c>
      <c r="W605" s="87">
        <f t="shared" si="260"/>
        <v>2934.8474591944359</v>
      </c>
      <c r="X605" s="87">
        <f t="shared" si="261"/>
        <v>2934.8474591944359</v>
      </c>
      <c r="Y605" s="87">
        <f t="shared" si="262"/>
        <v>2934.8474591944359</v>
      </c>
      <c r="Z605" s="87">
        <f t="shared" si="263"/>
        <v>2934.8474591944359</v>
      </c>
      <c r="AA605" s="40">
        <v>450</v>
      </c>
      <c r="AB605" s="89">
        <f>AA605*GDPdeflator!$C$25/$AI$18*10^3</f>
        <v>43.267274341798768</v>
      </c>
      <c r="AC605" s="90" t="e">
        <f>INDEX(Efficiencies!$D$8:$M$89,MATCH(C605,Efficiencies!$C$8:$C$89),MATCH(D605,Efficiencies!$D$7:$M$7))</f>
        <v>#REF!</v>
      </c>
      <c r="AD605" s="90" t="e">
        <f t="shared" si="267"/>
        <v>#REF!</v>
      </c>
      <c r="AE605" s="90" t="e">
        <f>INDEX(Efficiencies!$P$8:$Y$89,MATCH(C605,Efficiencies!$C$8:$C$89),MATCH(D605,Efficiencies!$P$7:$Y$7))</f>
        <v>#REF!</v>
      </c>
      <c r="AF605" s="90" t="e">
        <f t="shared" si="271"/>
        <v>#REF!</v>
      </c>
      <c r="AG605" s="90">
        <v>0</v>
      </c>
    </row>
    <row r="606" spans="1:33" x14ac:dyDescent="0.2">
      <c r="A606" s="92" t="s">
        <v>2038</v>
      </c>
      <c r="B606" s="248" t="s">
        <v>2039</v>
      </c>
      <c r="C606" s="40" t="s">
        <v>2021</v>
      </c>
      <c r="D606" s="40">
        <v>2045</v>
      </c>
      <c r="E606" s="86">
        <f>GDPdeflator!$C$32*INDEX(Costs!$E$7:$O$89,MATCH($C606,Costs!$C$7:$C$89,0),MATCH(E$7,Costs!$E$6:$O$6,0))</f>
        <v>34.001743679163035</v>
      </c>
      <c r="F606" s="86">
        <f>GDPdeflator!$C$36*INDEX(Costs!$E$7:$O$89,MATCH($C606,Costs!$C$7:$C$89,0),MATCH(F$7,Costs!$E$6:$O$6,0))</f>
        <v>32.345256329399042</v>
      </c>
      <c r="G606" s="86">
        <f>GDPdeflator!$C$38*INDEX(Costs!$E$7:$O$89,MATCH($C606,Costs!$C$7:$C$89,0),MATCH(G$7,Costs!$E$6:$O$6,0))</f>
        <v>32.993476886154546</v>
      </c>
      <c r="H606" s="86">
        <f>GDPdeflator!$C$38*INDEX(Costs!$E$7:$O$89,MATCH($C606,Costs!$C$7:$C$89,0),MATCH(H$7,Costs!$E$6:$O$6,0))</f>
        <v>33.965934648863836</v>
      </c>
      <c r="I606" s="86">
        <f>GDPdeflator!$C$38*INDEX(Costs!$E$7:$O$89,MATCH($C606,Costs!$C$7:$C$89,0),MATCH(I$7,Costs!$E$6:$O$6,0))</f>
        <v>35.026001219024394</v>
      </c>
      <c r="J606" s="86">
        <f>GDPdeflator!$C$38*INDEX(Costs!$E$7:$O$89,MATCH($C606,Costs!$C$7:$C$89,0),MATCH(J$7,Costs!$E$6:$O$6,0))</f>
        <v>35.113610026475683</v>
      </c>
      <c r="K606" s="86">
        <f>GDPdeflator!$C$38*INDEX(Costs!$E$7:$O$89,MATCH($C606,Costs!$C$7:$C$89,0),MATCH(K$7,Costs!$E$6:$O$6,0))</f>
        <v>35.131131787965941</v>
      </c>
      <c r="L606" s="86">
        <f>GDPdeflator!$C$38*INDEX(Costs!$E$7:$O$89,MATCH($C606,Costs!$C$7:$C$89,0),MATCH(L$7,Costs!$E$6:$O$6,0))</f>
        <v>35.148653549456199</v>
      </c>
      <c r="M606" s="86">
        <f>GDPdeflator!$C$38*INDEX(Costs!$E$7:$O$89,MATCH($C606,Costs!$C$7:$C$89,0),MATCH(M$7,Costs!$E$6:$O$6,0))</f>
        <v>35.148653549456199</v>
      </c>
      <c r="N606" s="86">
        <f>GDPdeflator!$C$38*INDEX(Costs!$E$7:$O$89,MATCH($C606,Costs!$C$7:$C$89,0),MATCH(N$7,Costs!$E$6:$O$6,0))</f>
        <v>35.148653549456199</v>
      </c>
      <c r="O606" s="86">
        <f>GDPdeflator!$C$38*INDEX(Costs!$E$7:$O$89,MATCH($C606,Costs!$C$7:$C$89,0),MATCH(O$7,Costs!$E$6:$O$6,0))</f>
        <v>35.148653549456199</v>
      </c>
      <c r="P606" s="87">
        <f t="shared" si="272"/>
        <v>2839.0826096527958</v>
      </c>
      <c r="Q606" s="87">
        <f t="shared" si="269"/>
        <v>2700.7689845575378</v>
      </c>
      <c r="R606" s="87">
        <f t="shared" si="268"/>
        <v>2754.8942002308686</v>
      </c>
      <c r="S606" s="87">
        <f t="shared" si="256"/>
        <v>2836.0926219583325</v>
      </c>
      <c r="T606" s="87">
        <f t="shared" si="257"/>
        <v>2924.6062168143953</v>
      </c>
      <c r="U606" s="87">
        <f t="shared" si="258"/>
        <v>2931.921389942996</v>
      </c>
      <c r="V606" s="87">
        <f t="shared" si="259"/>
        <v>2933.384424568716</v>
      </c>
      <c r="W606" s="87">
        <f t="shared" si="260"/>
        <v>2934.8474591944359</v>
      </c>
      <c r="X606" s="87">
        <f t="shared" si="261"/>
        <v>2934.8474591944359</v>
      </c>
      <c r="Y606" s="87">
        <f t="shared" si="262"/>
        <v>2934.8474591944359</v>
      </c>
      <c r="Z606" s="87">
        <f t="shared" si="263"/>
        <v>2934.8474591944359</v>
      </c>
      <c r="AA606" s="40">
        <v>450</v>
      </c>
      <c r="AB606" s="89">
        <f>AA606*GDPdeflator!$C$25/$AI$18*10^3</f>
        <v>43.267274341798768</v>
      </c>
      <c r="AC606" s="90" t="e">
        <f>INDEX(Efficiencies!$D$8:$M$89,MATCH(C606,Efficiencies!$C$8:$C$89),MATCH(D606,Efficiencies!$D$7:$M$7))</f>
        <v>#REF!</v>
      </c>
      <c r="AD606" s="90" t="e">
        <f t="shared" si="267"/>
        <v>#REF!</v>
      </c>
      <c r="AE606" s="90" t="e">
        <f>INDEX(Efficiencies!$P$8:$Y$89,MATCH(C606,Efficiencies!$C$8:$C$89),MATCH(D606,Efficiencies!$P$7:$Y$7))</f>
        <v>#REF!</v>
      </c>
      <c r="AF606" s="90" t="e">
        <f t="shared" si="271"/>
        <v>#REF!</v>
      </c>
      <c r="AG606" s="90">
        <v>0</v>
      </c>
    </row>
    <row r="607" spans="1:33" x14ac:dyDescent="0.2">
      <c r="A607" s="92" t="s">
        <v>2040</v>
      </c>
      <c r="B607" s="248" t="s">
        <v>2041</v>
      </c>
      <c r="C607" s="40" t="s">
        <v>2021</v>
      </c>
      <c r="D607" s="40">
        <v>2050</v>
      </c>
      <c r="E607" s="86">
        <f>GDPdeflator!$C$32*INDEX(Costs!$E$7:$O$89,MATCH($C607,Costs!$C$7:$C$89,0),MATCH(E$7,Costs!$E$6:$O$6,0))</f>
        <v>34.001743679163035</v>
      </c>
      <c r="F607" s="86">
        <f>GDPdeflator!$C$36*INDEX(Costs!$E$7:$O$89,MATCH($C607,Costs!$C$7:$C$89,0),MATCH(F$7,Costs!$E$6:$O$6,0))</f>
        <v>32.345256329399042</v>
      </c>
      <c r="G607" s="86">
        <f>GDPdeflator!$C$38*INDEX(Costs!$E$7:$O$89,MATCH($C607,Costs!$C$7:$C$89,0),MATCH(G$7,Costs!$E$6:$O$6,0))</f>
        <v>32.993476886154546</v>
      </c>
      <c r="H607" s="86">
        <f>GDPdeflator!$C$38*INDEX(Costs!$E$7:$O$89,MATCH($C607,Costs!$C$7:$C$89,0),MATCH(H$7,Costs!$E$6:$O$6,0))</f>
        <v>33.965934648863836</v>
      </c>
      <c r="I607" s="86">
        <f>GDPdeflator!$C$38*INDEX(Costs!$E$7:$O$89,MATCH($C607,Costs!$C$7:$C$89,0),MATCH(I$7,Costs!$E$6:$O$6,0))</f>
        <v>35.026001219024394</v>
      </c>
      <c r="J607" s="86">
        <f>GDPdeflator!$C$38*INDEX(Costs!$E$7:$O$89,MATCH($C607,Costs!$C$7:$C$89,0),MATCH(J$7,Costs!$E$6:$O$6,0))</f>
        <v>35.113610026475683</v>
      </c>
      <c r="K607" s="86">
        <f>GDPdeflator!$C$38*INDEX(Costs!$E$7:$O$89,MATCH($C607,Costs!$C$7:$C$89,0),MATCH(K$7,Costs!$E$6:$O$6,0))</f>
        <v>35.131131787965941</v>
      </c>
      <c r="L607" s="86">
        <f>GDPdeflator!$C$38*INDEX(Costs!$E$7:$O$89,MATCH($C607,Costs!$C$7:$C$89,0),MATCH(L$7,Costs!$E$6:$O$6,0))</f>
        <v>35.148653549456199</v>
      </c>
      <c r="M607" s="86">
        <f>GDPdeflator!$C$38*INDEX(Costs!$E$7:$O$89,MATCH($C607,Costs!$C$7:$C$89,0),MATCH(M$7,Costs!$E$6:$O$6,0))</f>
        <v>35.148653549456199</v>
      </c>
      <c r="N607" s="86">
        <f>GDPdeflator!$C$38*INDEX(Costs!$E$7:$O$89,MATCH($C607,Costs!$C$7:$C$89,0),MATCH(N$7,Costs!$E$6:$O$6,0))</f>
        <v>35.148653549456199</v>
      </c>
      <c r="O607" s="86">
        <f>GDPdeflator!$C$38*INDEX(Costs!$E$7:$O$89,MATCH($C607,Costs!$C$7:$C$89,0),MATCH(O$7,Costs!$E$6:$O$6,0))</f>
        <v>35.148653549456199</v>
      </c>
      <c r="P607" s="87">
        <f t="shared" si="272"/>
        <v>2839.0826096527958</v>
      </c>
      <c r="Q607" s="87">
        <f t="shared" si="269"/>
        <v>2700.7689845575378</v>
      </c>
      <c r="R607" s="87">
        <f t="shared" si="268"/>
        <v>2754.8942002308686</v>
      </c>
      <c r="S607" s="87">
        <f t="shared" si="256"/>
        <v>2836.0926219583325</v>
      </c>
      <c r="T607" s="87">
        <f t="shared" si="257"/>
        <v>2924.6062168143953</v>
      </c>
      <c r="U607" s="87">
        <f t="shared" si="258"/>
        <v>2931.921389942996</v>
      </c>
      <c r="V607" s="87">
        <f t="shared" si="259"/>
        <v>2933.384424568716</v>
      </c>
      <c r="W607" s="87">
        <f t="shared" si="260"/>
        <v>2934.8474591944359</v>
      </c>
      <c r="X607" s="87">
        <f t="shared" si="261"/>
        <v>2934.8474591944359</v>
      </c>
      <c r="Y607" s="87">
        <f t="shared" si="262"/>
        <v>2934.8474591944359</v>
      </c>
      <c r="Z607" s="87">
        <f t="shared" si="263"/>
        <v>2934.8474591944359</v>
      </c>
      <c r="AA607" s="40">
        <v>450</v>
      </c>
      <c r="AB607" s="89">
        <f>AA607*GDPdeflator!$C$25/$AI$18*10^3</f>
        <v>43.267274341798768</v>
      </c>
      <c r="AC607" s="90" t="e">
        <f>INDEX(Efficiencies!$D$8:$M$89,MATCH(C607,Efficiencies!$C$8:$C$89),MATCH(D607,Efficiencies!$D$7:$M$7))</f>
        <v>#REF!</v>
      </c>
      <c r="AD607" s="90" t="e">
        <f t="shared" si="267"/>
        <v>#REF!</v>
      </c>
      <c r="AE607" s="90" t="e">
        <f>INDEX(Efficiencies!$P$8:$Y$89,MATCH(C607,Efficiencies!$C$8:$C$89),MATCH(D607,Efficiencies!$P$7:$Y$7))</f>
        <v>#REF!</v>
      </c>
      <c r="AF607" s="90" t="e">
        <f t="shared" si="271"/>
        <v>#REF!</v>
      </c>
      <c r="AG607" s="90">
        <v>0</v>
      </c>
    </row>
    <row r="608" spans="1:33" x14ac:dyDescent="0.2">
      <c r="A608" s="92" t="s">
        <v>2042</v>
      </c>
      <c r="B608" s="248" t="s">
        <v>2043</v>
      </c>
      <c r="C608" s="40" t="s">
        <v>2044</v>
      </c>
      <c r="D608" s="40">
        <v>2025</v>
      </c>
      <c r="E608" s="86">
        <f>GDPdeflator!$C$32*INDEX(Costs!$E$7:$O$89,MATCH($C608,Costs!$C$7:$C$89,0),MATCH(E$7,Costs!$E$6:$O$6,0))</f>
        <v>0</v>
      </c>
      <c r="F608" s="86">
        <f>GDPdeflator!$C$36*INDEX(Costs!$E$7:$O$89,MATCH($C608,Costs!$C$7:$C$89,0),MATCH(F$7,Costs!$E$6:$O$6,0))</f>
        <v>0</v>
      </c>
      <c r="G608" s="86">
        <f>GDPdeflator!$C$38*INDEX(Costs!$E$7:$O$89,MATCH($C608,Costs!$C$7:$C$89,0),MATCH(G$7,Costs!$E$6:$O$6,0))</f>
        <v>0</v>
      </c>
      <c r="H608" s="86">
        <f>GDPdeflator!$C$38*INDEX(Costs!$E$7:$O$89,MATCH($C608,Costs!$C$7:$C$89,0),MATCH(H$7,Costs!$E$6:$O$6,0))</f>
        <v>0</v>
      </c>
      <c r="I608" s="86">
        <f>GDPdeflator!$C$38*INDEX(Costs!$E$7:$O$89,MATCH($C608,Costs!$C$7:$C$89,0),MATCH(I$7,Costs!$E$6:$O$6,0))</f>
        <v>73.827942039199243</v>
      </c>
      <c r="J608" s="86">
        <f>GDPdeflator!$C$38*INDEX(Costs!$E$7:$O$89,MATCH($C608,Costs!$C$7:$C$89,0),MATCH(J$7,Costs!$E$6:$O$6,0))</f>
        <v>67.125868269175825</v>
      </c>
      <c r="K608" s="86">
        <f>GDPdeflator!$C$38*INDEX(Costs!$E$7:$O$89,MATCH($C608,Costs!$C$7:$C$89,0),MATCH(K$7,Costs!$E$6:$O$6,0))</f>
        <v>61.974470391040164</v>
      </c>
      <c r="L608" s="86">
        <f>GDPdeflator!$C$38*INDEX(Costs!$E$7:$O$89,MATCH($C608,Costs!$C$7:$C$89,0),MATCH(L$7,Costs!$E$6:$O$6,0))</f>
        <v>57.918182606045598</v>
      </c>
      <c r="M608" s="86">
        <f>GDPdeflator!$C$38*INDEX(Costs!$E$7:$O$89,MATCH($C608,Costs!$C$7:$C$89,0),MATCH(M$7,Costs!$E$6:$O$6,0))</f>
        <v>57.918182606045598</v>
      </c>
      <c r="N608" s="86">
        <f>GDPdeflator!$C$38*INDEX(Costs!$E$7:$O$89,MATCH($C608,Costs!$C$7:$C$89,0),MATCH(N$7,Costs!$E$6:$O$6,0))</f>
        <v>57.918182606045598</v>
      </c>
      <c r="O608" s="86">
        <f>GDPdeflator!$C$38*INDEX(Costs!$E$7:$O$89,MATCH($C608,Costs!$C$7:$C$89,0),MATCH(O$7,Costs!$E$6:$O$6,0))</f>
        <v>57.918182606045598</v>
      </c>
      <c r="P608" s="87">
        <f>E608/$AI$18*10^6</f>
        <v>0</v>
      </c>
      <c r="Q608" s="87">
        <f t="shared" si="269"/>
        <v>0</v>
      </c>
      <c r="R608" s="87">
        <f t="shared" si="268"/>
        <v>0</v>
      </c>
      <c r="S608" s="87">
        <f t="shared" si="256"/>
        <v>0</v>
      </c>
      <c r="T608" s="87">
        <f t="shared" si="257"/>
        <v>6164.4963954714631</v>
      </c>
      <c r="U608" s="87">
        <f t="shared" si="258"/>
        <v>5604.8856511335416</v>
      </c>
      <c r="V608" s="87">
        <f t="shared" si="259"/>
        <v>5174.7534711718445</v>
      </c>
      <c r="W608" s="87">
        <f t="shared" si="260"/>
        <v>4836.060955317651</v>
      </c>
      <c r="X608" s="87">
        <f t="shared" si="261"/>
        <v>4836.060955317651</v>
      </c>
      <c r="Y608" s="87">
        <f t="shared" si="262"/>
        <v>4836.060955317651</v>
      </c>
      <c r="Z608" s="87">
        <f t="shared" si="263"/>
        <v>4836.060955317651</v>
      </c>
      <c r="AA608" s="40">
        <v>473</v>
      </c>
      <c r="AB608" s="89">
        <f>AA608*GDPdeflator!$C$25/$AI$18*10^3</f>
        <v>45.478712808157368</v>
      </c>
      <c r="AC608" s="90" t="e">
        <f>INDEX(Efficiencies!$D$8:$M$89,MATCH(C608,Efficiencies!$C$8:$C$89),MATCH(D608,Efficiencies!$D$7:$M$7))</f>
        <v>#REF!</v>
      </c>
      <c r="AD608" s="90" t="e">
        <f t="shared" si="267"/>
        <v>#REF!</v>
      </c>
      <c r="AE608" s="90" t="e">
        <f>INDEX(Efficiencies!$P$8:$Y$89,MATCH(C608,Efficiencies!$C$8:$C$89),MATCH(D608,Efficiencies!$P$7:$Y$7))</f>
        <v>#REF!</v>
      </c>
      <c r="AF608" s="90" t="e">
        <f t="shared" si="271"/>
        <v>#REF!</v>
      </c>
      <c r="AG608" s="90">
        <v>0</v>
      </c>
    </row>
    <row r="609" spans="1:33" x14ac:dyDescent="0.2">
      <c r="A609" s="92" t="s">
        <v>2045</v>
      </c>
      <c r="B609" s="248" t="s">
        <v>2046</v>
      </c>
      <c r="C609" s="40" t="s">
        <v>2044</v>
      </c>
      <c r="D609" s="40">
        <v>2030</v>
      </c>
      <c r="E609" s="86">
        <f>GDPdeflator!$C$32*INDEX(Costs!$E$7:$O$89,MATCH($C609,Costs!$C$7:$C$89,0),MATCH(E$7,Costs!$E$6:$O$6,0))</f>
        <v>0</v>
      </c>
      <c r="F609" s="86">
        <f>GDPdeflator!$C$36*INDEX(Costs!$E$7:$O$89,MATCH($C609,Costs!$C$7:$C$89,0),MATCH(F$7,Costs!$E$6:$O$6,0))</f>
        <v>0</v>
      </c>
      <c r="G609" s="86">
        <f>GDPdeflator!$C$38*INDEX(Costs!$E$7:$O$89,MATCH($C609,Costs!$C$7:$C$89,0),MATCH(G$7,Costs!$E$6:$O$6,0))</f>
        <v>0</v>
      </c>
      <c r="H609" s="86">
        <f>GDPdeflator!$C$38*INDEX(Costs!$E$7:$O$89,MATCH($C609,Costs!$C$7:$C$89,0),MATCH(H$7,Costs!$E$6:$O$6,0))</f>
        <v>0</v>
      </c>
      <c r="I609" s="86">
        <f>GDPdeflator!$C$38*INDEX(Costs!$E$7:$O$89,MATCH($C609,Costs!$C$7:$C$89,0),MATCH(I$7,Costs!$E$6:$O$6,0))</f>
        <v>73.827942039199243</v>
      </c>
      <c r="J609" s="86">
        <f>GDPdeflator!$C$38*INDEX(Costs!$E$7:$O$89,MATCH($C609,Costs!$C$7:$C$89,0),MATCH(J$7,Costs!$E$6:$O$6,0))</f>
        <v>67.125868269175825</v>
      </c>
      <c r="K609" s="86">
        <f>GDPdeflator!$C$38*INDEX(Costs!$E$7:$O$89,MATCH($C609,Costs!$C$7:$C$89,0),MATCH(K$7,Costs!$E$6:$O$6,0))</f>
        <v>61.974470391040164</v>
      </c>
      <c r="L609" s="86">
        <f>GDPdeflator!$C$38*INDEX(Costs!$E$7:$O$89,MATCH($C609,Costs!$C$7:$C$89,0),MATCH(L$7,Costs!$E$6:$O$6,0))</f>
        <v>57.918182606045598</v>
      </c>
      <c r="M609" s="86">
        <f>GDPdeflator!$C$38*INDEX(Costs!$E$7:$O$89,MATCH($C609,Costs!$C$7:$C$89,0),MATCH(M$7,Costs!$E$6:$O$6,0))</f>
        <v>57.918182606045598</v>
      </c>
      <c r="N609" s="86">
        <f>GDPdeflator!$C$38*INDEX(Costs!$E$7:$O$89,MATCH($C609,Costs!$C$7:$C$89,0),MATCH(N$7,Costs!$E$6:$O$6,0))</f>
        <v>57.918182606045598</v>
      </c>
      <c r="O609" s="86">
        <f>GDPdeflator!$C$38*INDEX(Costs!$E$7:$O$89,MATCH($C609,Costs!$C$7:$C$89,0),MATCH(O$7,Costs!$E$6:$O$6,0))</f>
        <v>57.918182606045598</v>
      </c>
      <c r="P609" s="87">
        <f t="shared" ref="P609:P613" si="273">E609/$AI$18*10^6</f>
        <v>0</v>
      </c>
      <c r="Q609" s="87">
        <f t="shared" si="269"/>
        <v>0</v>
      </c>
      <c r="R609" s="87">
        <f t="shared" si="268"/>
        <v>0</v>
      </c>
      <c r="S609" s="87">
        <f t="shared" si="256"/>
        <v>0</v>
      </c>
      <c r="T609" s="87">
        <f t="shared" si="257"/>
        <v>6164.4963954714631</v>
      </c>
      <c r="U609" s="87">
        <f t="shared" si="258"/>
        <v>5604.8856511335416</v>
      </c>
      <c r="V609" s="87">
        <f t="shared" si="259"/>
        <v>5174.7534711718445</v>
      </c>
      <c r="W609" s="87">
        <f t="shared" si="260"/>
        <v>4836.060955317651</v>
      </c>
      <c r="X609" s="87">
        <f t="shared" si="261"/>
        <v>4836.060955317651</v>
      </c>
      <c r="Y609" s="87">
        <f t="shared" si="262"/>
        <v>4836.060955317651</v>
      </c>
      <c r="Z609" s="87">
        <f t="shared" si="263"/>
        <v>4836.060955317651</v>
      </c>
      <c r="AA609" s="40">
        <v>473</v>
      </c>
      <c r="AB609" s="89">
        <f>AA609*GDPdeflator!$C$25/$AI$18*10^3</f>
        <v>45.478712808157368</v>
      </c>
      <c r="AC609" s="90" t="e">
        <f>INDEX(Efficiencies!$D$8:$M$89,MATCH(C609,Efficiencies!$C$8:$C$89),MATCH(D609,Efficiencies!$D$7:$M$7))</f>
        <v>#REF!</v>
      </c>
      <c r="AD609" s="90" t="e">
        <f t="shared" si="267"/>
        <v>#REF!</v>
      </c>
      <c r="AE609" s="90" t="e">
        <f>INDEX(Efficiencies!$P$8:$Y$89,MATCH(C609,Efficiencies!$C$8:$C$89),MATCH(D609,Efficiencies!$P$7:$Y$7))</f>
        <v>#REF!</v>
      </c>
      <c r="AF609" s="90" t="e">
        <f t="shared" si="271"/>
        <v>#REF!</v>
      </c>
      <c r="AG609" s="90">
        <v>0</v>
      </c>
    </row>
    <row r="610" spans="1:33" x14ac:dyDescent="0.2">
      <c r="A610" s="92" t="s">
        <v>2047</v>
      </c>
      <c r="B610" s="248" t="s">
        <v>2048</v>
      </c>
      <c r="C610" s="40" t="s">
        <v>2044</v>
      </c>
      <c r="D610" s="40">
        <v>2035</v>
      </c>
      <c r="E610" s="86">
        <f>GDPdeflator!$C$32*INDEX(Costs!$E$7:$O$89,MATCH($C610,Costs!$C$7:$C$89,0),MATCH(E$7,Costs!$E$6:$O$6,0))</f>
        <v>0</v>
      </c>
      <c r="F610" s="86">
        <f>GDPdeflator!$C$36*INDEX(Costs!$E$7:$O$89,MATCH($C610,Costs!$C$7:$C$89,0),MATCH(F$7,Costs!$E$6:$O$6,0))</f>
        <v>0</v>
      </c>
      <c r="G610" s="86">
        <f>GDPdeflator!$C$38*INDEX(Costs!$E$7:$O$89,MATCH($C610,Costs!$C$7:$C$89,0),MATCH(G$7,Costs!$E$6:$O$6,0))</f>
        <v>0</v>
      </c>
      <c r="H610" s="86">
        <f>GDPdeflator!$C$38*INDEX(Costs!$E$7:$O$89,MATCH($C610,Costs!$C$7:$C$89,0),MATCH(H$7,Costs!$E$6:$O$6,0))</f>
        <v>0</v>
      </c>
      <c r="I610" s="86">
        <f>GDPdeflator!$C$38*INDEX(Costs!$E$7:$O$89,MATCH($C610,Costs!$C$7:$C$89,0),MATCH(I$7,Costs!$E$6:$O$6,0))</f>
        <v>73.827942039199243</v>
      </c>
      <c r="J610" s="86">
        <f>GDPdeflator!$C$38*INDEX(Costs!$E$7:$O$89,MATCH($C610,Costs!$C$7:$C$89,0),MATCH(J$7,Costs!$E$6:$O$6,0))</f>
        <v>67.125868269175825</v>
      </c>
      <c r="K610" s="86">
        <f>GDPdeflator!$C$38*INDEX(Costs!$E$7:$O$89,MATCH($C610,Costs!$C$7:$C$89,0),MATCH(K$7,Costs!$E$6:$O$6,0))</f>
        <v>61.974470391040164</v>
      </c>
      <c r="L610" s="86">
        <f>GDPdeflator!$C$38*INDEX(Costs!$E$7:$O$89,MATCH($C610,Costs!$C$7:$C$89,0),MATCH(L$7,Costs!$E$6:$O$6,0))</f>
        <v>57.918182606045598</v>
      </c>
      <c r="M610" s="86">
        <f>GDPdeflator!$C$38*INDEX(Costs!$E$7:$O$89,MATCH($C610,Costs!$C$7:$C$89,0),MATCH(M$7,Costs!$E$6:$O$6,0))</f>
        <v>57.918182606045598</v>
      </c>
      <c r="N610" s="86">
        <f>GDPdeflator!$C$38*INDEX(Costs!$E$7:$O$89,MATCH($C610,Costs!$C$7:$C$89,0),MATCH(N$7,Costs!$E$6:$O$6,0))</f>
        <v>57.918182606045598</v>
      </c>
      <c r="O610" s="86">
        <f>GDPdeflator!$C$38*INDEX(Costs!$E$7:$O$89,MATCH($C610,Costs!$C$7:$C$89,0),MATCH(O$7,Costs!$E$6:$O$6,0))</f>
        <v>57.918182606045598</v>
      </c>
      <c r="P610" s="87">
        <f t="shared" si="273"/>
        <v>0</v>
      </c>
      <c r="Q610" s="87">
        <f t="shared" si="269"/>
        <v>0</v>
      </c>
      <c r="R610" s="87">
        <f t="shared" si="268"/>
        <v>0</v>
      </c>
      <c r="S610" s="87">
        <f t="shared" si="256"/>
        <v>0</v>
      </c>
      <c r="T610" s="87">
        <f t="shared" si="257"/>
        <v>6164.4963954714631</v>
      </c>
      <c r="U610" s="87">
        <f t="shared" si="258"/>
        <v>5604.8856511335416</v>
      </c>
      <c r="V610" s="87">
        <f t="shared" si="259"/>
        <v>5174.7534711718445</v>
      </c>
      <c r="W610" s="87">
        <f t="shared" si="260"/>
        <v>4836.060955317651</v>
      </c>
      <c r="X610" s="87">
        <f t="shared" si="261"/>
        <v>4836.060955317651</v>
      </c>
      <c r="Y610" s="87">
        <f t="shared" si="262"/>
        <v>4836.060955317651</v>
      </c>
      <c r="Z610" s="87">
        <f t="shared" si="263"/>
        <v>4836.060955317651</v>
      </c>
      <c r="AA610" s="40">
        <v>473</v>
      </c>
      <c r="AB610" s="89">
        <f>AA610*GDPdeflator!$C$25/$AI$18*10^3</f>
        <v>45.478712808157368</v>
      </c>
      <c r="AC610" s="90" t="e">
        <f>INDEX(Efficiencies!$D$8:$M$89,MATCH(C610,Efficiencies!$C$8:$C$89),MATCH(D610,Efficiencies!$D$7:$M$7))</f>
        <v>#REF!</v>
      </c>
      <c r="AD610" s="90" t="e">
        <f t="shared" si="267"/>
        <v>#REF!</v>
      </c>
      <c r="AE610" s="90" t="e">
        <f>INDEX(Efficiencies!$P$8:$Y$89,MATCH(C610,Efficiencies!$C$8:$C$89),MATCH(D610,Efficiencies!$P$7:$Y$7))</f>
        <v>#REF!</v>
      </c>
      <c r="AF610" s="90" t="e">
        <f t="shared" si="271"/>
        <v>#REF!</v>
      </c>
      <c r="AG610" s="90">
        <v>0</v>
      </c>
    </row>
    <row r="611" spans="1:33" x14ac:dyDescent="0.2">
      <c r="A611" s="92" t="s">
        <v>2049</v>
      </c>
      <c r="B611" s="248" t="s">
        <v>2050</v>
      </c>
      <c r="C611" s="40" t="s">
        <v>2044</v>
      </c>
      <c r="D611" s="40">
        <v>2040</v>
      </c>
      <c r="E611" s="86">
        <f>GDPdeflator!$C$32*INDEX(Costs!$E$7:$O$89,MATCH($C611,Costs!$C$7:$C$89,0),MATCH(E$7,Costs!$E$6:$O$6,0))</f>
        <v>0</v>
      </c>
      <c r="F611" s="86">
        <f>GDPdeflator!$C$36*INDEX(Costs!$E$7:$O$89,MATCH($C611,Costs!$C$7:$C$89,0),MATCH(F$7,Costs!$E$6:$O$6,0))</f>
        <v>0</v>
      </c>
      <c r="G611" s="86">
        <f>GDPdeflator!$C$38*INDEX(Costs!$E$7:$O$89,MATCH($C611,Costs!$C$7:$C$89,0),MATCH(G$7,Costs!$E$6:$O$6,0))</f>
        <v>0</v>
      </c>
      <c r="H611" s="86">
        <f>GDPdeflator!$C$38*INDEX(Costs!$E$7:$O$89,MATCH($C611,Costs!$C$7:$C$89,0),MATCH(H$7,Costs!$E$6:$O$6,0))</f>
        <v>0</v>
      </c>
      <c r="I611" s="86">
        <f>GDPdeflator!$C$38*INDEX(Costs!$E$7:$O$89,MATCH($C611,Costs!$C$7:$C$89,0),MATCH(I$7,Costs!$E$6:$O$6,0))</f>
        <v>73.827942039199243</v>
      </c>
      <c r="J611" s="86">
        <f>GDPdeflator!$C$38*INDEX(Costs!$E$7:$O$89,MATCH($C611,Costs!$C$7:$C$89,0),MATCH(J$7,Costs!$E$6:$O$6,0))</f>
        <v>67.125868269175825</v>
      </c>
      <c r="K611" s="86">
        <f>GDPdeflator!$C$38*INDEX(Costs!$E$7:$O$89,MATCH($C611,Costs!$C$7:$C$89,0),MATCH(K$7,Costs!$E$6:$O$6,0))</f>
        <v>61.974470391040164</v>
      </c>
      <c r="L611" s="86">
        <f>GDPdeflator!$C$38*INDEX(Costs!$E$7:$O$89,MATCH($C611,Costs!$C$7:$C$89,0),MATCH(L$7,Costs!$E$6:$O$6,0))</f>
        <v>57.918182606045598</v>
      </c>
      <c r="M611" s="86">
        <f>GDPdeflator!$C$38*INDEX(Costs!$E$7:$O$89,MATCH($C611,Costs!$C$7:$C$89,0),MATCH(M$7,Costs!$E$6:$O$6,0))</f>
        <v>57.918182606045598</v>
      </c>
      <c r="N611" s="86">
        <f>GDPdeflator!$C$38*INDEX(Costs!$E$7:$O$89,MATCH($C611,Costs!$C$7:$C$89,0),MATCH(N$7,Costs!$E$6:$O$6,0))</f>
        <v>57.918182606045598</v>
      </c>
      <c r="O611" s="86">
        <f>GDPdeflator!$C$38*INDEX(Costs!$E$7:$O$89,MATCH($C611,Costs!$C$7:$C$89,0),MATCH(O$7,Costs!$E$6:$O$6,0))</f>
        <v>57.918182606045598</v>
      </c>
      <c r="P611" s="87">
        <f t="shared" si="273"/>
        <v>0</v>
      </c>
      <c r="Q611" s="87">
        <f t="shared" si="269"/>
        <v>0</v>
      </c>
      <c r="R611" s="87">
        <f t="shared" si="268"/>
        <v>0</v>
      </c>
      <c r="S611" s="87">
        <f t="shared" si="256"/>
        <v>0</v>
      </c>
      <c r="T611" s="87">
        <f t="shared" si="257"/>
        <v>6164.4963954714631</v>
      </c>
      <c r="U611" s="87">
        <f t="shared" si="258"/>
        <v>5604.8856511335416</v>
      </c>
      <c r="V611" s="87">
        <f t="shared" si="259"/>
        <v>5174.7534711718445</v>
      </c>
      <c r="W611" s="87">
        <f t="shared" si="260"/>
        <v>4836.060955317651</v>
      </c>
      <c r="X611" s="87">
        <f t="shared" si="261"/>
        <v>4836.060955317651</v>
      </c>
      <c r="Y611" s="87">
        <f t="shared" si="262"/>
        <v>4836.060955317651</v>
      </c>
      <c r="Z611" s="87">
        <f t="shared" si="263"/>
        <v>4836.060955317651</v>
      </c>
      <c r="AA611" s="40">
        <v>473</v>
      </c>
      <c r="AB611" s="89">
        <f>AA611*GDPdeflator!$C$25/$AI$18*10^3</f>
        <v>45.478712808157368</v>
      </c>
      <c r="AC611" s="90" t="e">
        <f>INDEX(Efficiencies!$D$8:$M$89,MATCH(C611,Efficiencies!$C$8:$C$89),MATCH(D611,Efficiencies!$D$7:$M$7))</f>
        <v>#REF!</v>
      </c>
      <c r="AD611" s="90" t="e">
        <f t="shared" si="267"/>
        <v>#REF!</v>
      </c>
      <c r="AE611" s="90" t="e">
        <f>INDEX(Efficiencies!$P$8:$Y$89,MATCH(C611,Efficiencies!$C$8:$C$89),MATCH(D611,Efficiencies!$P$7:$Y$7))</f>
        <v>#REF!</v>
      </c>
      <c r="AF611" s="90" t="e">
        <f t="shared" si="271"/>
        <v>#REF!</v>
      </c>
      <c r="AG611" s="90">
        <v>0</v>
      </c>
    </row>
    <row r="612" spans="1:33" x14ac:dyDescent="0.2">
      <c r="A612" s="92" t="s">
        <v>2051</v>
      </c>
      <c r="B612" s="248" t="s">
        <v>2052</v>
      </c>
      <c r="C612" s="40" t="s">
        <v>2044</v>
      </c>
      <c r="D612" s="40">
        <v>2045</v>
      </c>
      <c r="E612" s="86">
        <f>GDPdeflator!$C$32*INDEX(Costs!$E$7:$O$89,MATCH($C612,Costs!$C$7:$C$89,0),MATCH(E$7,Costs!$E$6:$O$6,0))</f>
        <v>0</v>
      </c>
      <c r="F612" s="86">
        <f>GDPdeflator!$C$36*INDEX(Costs!$E$7:$O$89,MATCH($C612,Costs!$C$7:$C$89,0),MATCH(F$7,Costs!$E$6:$O$6,0))</f>
        <v>0</v>
      </c>
      <c r="G612" s="86">
        <f>GDPdeflator!$C$38*INDEX(Costs!$E$7:$O$89,MATCH($C612,Costs!$C$7:$C$89,0),MATCH(G$7,Costs!$E$6:$O$6,0))</f>
        <v>0</v>
      </c>
      <c r="H612" s="86">
        <f>GDPdeflator!$C$38*INDEX(Costs!$E$7:$O$89,MATCH($C612,Costs!$C$7:$C$89,0),MATCH(H$7,Costs!$E$6:$O$6,0))</f>
        <v>0</v>
      </c>
      <c r="I612" s="86">
        <f>GDPdeflator!$C$38*INDEX(Costs!$E$7:$O$89,MATCH($C612,Costs!$C$7:$C$89,0),MATCH(I$7,Costs!$E$6:$O$6,0))</f>
        <v>73.827942039199243</v>
      </c>
      <c r="J612" s="86">
        <f>GDPdeflator!$C$38*INDEX(Costs!$E$7:$O$89,MATCH($C612,Costs!$C$7:$C$89,0),MATCH(J$7,Costs!$E$6:$O$6,0))</f>
        <v>67.125868269175825</v>
      </c>
      <c r="K612" s="86">
        <f>GDPdeflator!$C$38*INDEX(Costs!$E$7:$O$89,MATCH($C612,Costs!$C$7:$C$89,0),MATCH(K$7,Costs!$E$6:$O$6,0))</f>
        <v>61.974470391040164</v>
      </c>
      <c r="L612" s="86">
        <f>GDPdeflator!$C$38*INDEX(Costs!$E$7:$O$89,MATCH($C612,Costs!$C$7:$C$89,0),MATCH(L$7,Costs!$E$6:$O$6,0))</f>
        <v>57.918182606045598</v>
      </c>
      <c r="M612" s="86">
        <f>GDPdeflator!$C$38*INDEX(Costs!$E$7:$O$89,MATCH($C612,Costs!$C$7:$C$89,0),MATCH(M$7,Costs!$E$6:$O$6,0))</f>
        <v>57.918182606045598</v>
      </c>
      <c r="N612" s="86">
        <f>GDPdeflator!$C$38*INDEX(Costs!$E$7:$O$89,MATCH($C612,Costs!$C$7:$C$89,0),MATCH(N$7,Costs!$E$6:$O$6,0))</f>
        <v>57.918182606045598</v>
      </c>
      <c r="O612" s="86">
        <f>GDPdeflator!$C$38*INDEX(Costs!$E$7:$O$89,MATCH($C612,Costs!$C$7:$C$89,0),MATCH(O$7,Costs!$E$6:$O$6,0))</f>
        <v>57.918182606045598</v>
      </c>
      <c r="P612" s="87">
        <f t="shared" si="273"/>
        <v>0</v>
      </c>
      <c r="Q612" s="87">
        <f t="shared" si="269"/>
        <v>0</v>
      </c>
      <c r="R612" s="87">
        <f t="shared" si="268"/>
        <v>0</v>
      </c>
      <c r="S612" s="87">
        <f t="shared" si="256"/>
        <v>0</v>
      </c>
      <c r="T612" s="87">
        <f t="shared" si="257"/>
        <v>6164.4963954714631</v>
      </c>
      <c r="U612" s="87">
        <f t="shared" si="258"/>
        <v>5604.8856511335416</v>
      </c>
      <c r="V612" s="87">
        <f t="shared" si="259"/>
        <v>5174.7534711718445</v>
      </c>
      <c r="W612" s="87">
        <f t="shared" si="260"/>
        <v>4836.060955317651</v>
      </c>
      <c r="X612" s="87">
        <f t="shared" si="261"/>
        <v>4836.060955317651</v>
      </c>
      <c r="Y612" s="87">
        <f t="shared" si="262"/>
        <v>4836.060955317651</v>
      </c>
      <c r="Z612" s="87">
        <f t="shared" si="263"/>
        <v>4836.060955317651</v>
      </c>
      <c r="AA612" s="40">
        <v>473</v>
      </c>
      <c r="AB612" s="89">
        <f>AA612*GDPdeflator!$C$25/$AI$18*10^3</f>
        <v>45.478712808157368</v>
      </c>
      <c r="AC612" s="90" t="e">
        <f>INDEX(Efficiencies!$D$8:$M$89,MATCH(C612,Efficiencies!$C$8:$C$89),MATCH(D612,Efficiencies!$D$7:$M$7))</f>
        <v>#REF!</v>
      </c>
      <c r="AD612" s="90" t="e">
        <f t="shared" si="267"/>
        <v>#REF!</v>
      </c>
      <c r="AE612" s="90" t="e">
        <f>INDEX(Efficiencies!$P$8:$Y$89,MATCH(C612,Efficiencies!$C$8:$C$89),MATCH(D612,Efficiencies!$P$7:$Y$7))</f>
        <v>#REF!</v>
      </c>
      <c r="AF612" s="90" t="e">
        <f t="shared" si="271"/>
        <v>#REF!</v>
      </c>
      <c r="AG612" s="90">
        <v>0</v>
      </c>
    </row>
    <row r="613" spans="1:33" x14ac:dyDescent="0.2">
      <c r="A613" s="92" t="s">
        <v>2053</v>
      </c>
      <c r="B613" s="248" t="s">
        <v>2054</v>
      </c>
      <c r="C613" s="40" t="s">
        <v>2044</v>
      </c>
      <c r="D613" s="40">
        <v>2050</v>
      </c>
      <c r="E613" s="86">
        <f>GDPdeflator!$C$32*INDEX(Costs!$E$7:$O$89,MATCH($C613,Costs!$C$7:$C$89,0),MATCH(E$7,Costs!$E$6:$O$6,0))</f>
        <v>0</v>
      </c>
      <c r="F613" s="86">
        <f>GDPdeflator!$C$36*INDEX(Costs!$E$7:$O$89,MATCH($C613,Costs!$C$7:$C$89,0),MATCH(F$7,Costs!$E$6:$O$6,0))</f>
        <v>0</v>
      </c>
      <c r="G613" s="86">
        <f>GDPdeflator!$C$38*INDEX(Costs!$E$7:$O$89,MATCH($C613,Costs!$C$7:$C$89,0),MATCH(G$7,Costs!$E$6:$O$6,0))</f>
        <v>0</v>
      </c>
      <c r="H613" s="86">
        <f>GDPdeflator!$C$38*INDEX(Costs!$E$7:$O$89,MATCH($C613,Costs!$C$7:$C$89,0),MATCH(H$7,Costs!$E$6:$O$6,0))</f>
        <v>0</v>
      </c>
      <c r="I613" s="86">
        <f>GDPdeflator!$C$38*INDEX(Costs!$E$7:$O$89,MATCH($C613,Costs!$C$7:$C$89,0),MATCH(I$7,Costs!$E$6:$O$6,0))</f>
        <v>73.827942039199243</v>
      </c>
      <c r="J613" s="86">
        <f>GDPdeflator!$C$38*INDEX(Costs!$E$7:$O$89,MATCH($C613,Costs!$C$7:$C$89,0),MATCH(J$7,Costs!$E$6:$O$6,0))</f>
        <v>67.125868269175825</v>
      </c>
      <c r="K613" s="86">
        <f>GDPdeflator!$C$38*INDEX(Costs!$E$7:$O$89,MATCH($C613,Costs!$C$7:$C$89,0),MATCH(K$7,Costs!$E$6:$O$6,0))</f>
        <v>61.974470391040164</v>
      </c>
      <c r="L613" s="86">
        <f>GDPdeflator!$C$38*INDEX(Costs!$E$7:$O$89,MATCH($C613,Costs!$C$7:$C$89,0),MATCH(L$7,Costs!$E$6:$O$6,0))</f>
        <v>57.918182606045598</v>
      </c>
      <c r="M613" s="86">
        <f>GDPdeflator!$C$38*INDEX(Costs!$E$7:$O$89,MATCH($C613,Costs!$C$7:$C$89,0),MATCH(M$7,Costs!$E$6:$O$6,0))</f>
        <v>57.918182606045598</v>
      </c>
      <c r="N613" s="86">
        <f>GDPdeflator!$C$38*INDEX(Costs!$E$7:$O$89,MATCH($C613,Costs!$C$7:$C$89,0),MATCH(N$7,Costs!$E$6:$O$6,0))</f>
        <v>57.918182606045598</v>
      </c>
      <c r="O613" s="86">
        <f>GDPdeflator!$C$38*INDEX(Costs!$E$7:$O$89,MATCH($C613,Costs!$C$7:$C$89,0),MATCH(O$7,Costs!$E$6:$O$6,0))</f>
        <v>57.918182606045598</v>
      </c>
      <c r="P613" s="87">
        <f t="shared" si="273"/>
        <v>0</v>
      </c>
      <c r="Q613" s="87">
        <f t="shared" si="269"/>
        <v>0</v>
      </c>
      <c r="R613" s="87">
        <f t="shared" si="268"/>
        <v>0</v>
      </c>
      <c r="S613" s="87">
        <f t="shared" si="256"/>
        <v>0</v>
      </c>
      <c r="T613" s="87">
        <f t="shared" si="257"/>
        <v>6164.4963954714631</v>
      </c>
      <c r="U613" s="87">
        <f t="shared" si="258"/>
        <v>5604.8856511335416</v>
      </c>
      <c r="V613" s="87">
        <f t="shared" si="259"/>
        <v>5174.7534711718445</v>
      </c>
      <c r="W613" s="87">
        <f t="shared" si="260"/>
        <v>4836.060955317651</v>
      </c>
      <c r="X613" s="87">
        <f t="shared" si="261"/>
        <v>4836.060955317651</v>
      </c>
      <c r="Y613" s="87">
        <f t="shared" si="262"/>
        <v>4836.060955317651</v>
      </c>
      <c r="Z613" s="87">
        <f t="shared" si="263"/>
        <v>4836.060955317651</v>
      </c>
      <c r="AA613" s="40">
        <v>473</v>
      </c>
      <c r="AB613" s="89">
        <f>AA613*GDPdeflator!$C$25/$AI$18*10^3</f>
        <v>45.478712808157368</v>
      </c>
      <c r="AC613" s="90" t="e">
        <f>INDEX(Efficiencies!$D$8:$M$89,MATCH(C613,Efficiencies!$C$8:$C$89),MATCH(D613,Efficiencies!$D$7:$M$7))</f>
        <v>#REF!</v>
      </c>
      <c r="AD613" s="90" t="e">
        <f t="shared" si="267"/>
        <v>#REF!</v>
      </c>
      <c r="AE613" s="90" t="e">
        <f>INDEX(Efficiencies!$P$8:$Y$89,MATCH(C613,Efficiencies!$C$8:$C$89),MATCH(D613,Efficiencies!$P$7:$Y$7))</f>
        <v>#REF!</v>
      </c>
      <c r="AF613" s="90" t="e">
        <f t="shared" si="271"/>
        <v>#REF!</v>
      </c>
      <c r="AG613" s="90">
        <v>0</v>
      </c>
    </row>
    <row r="614" spans="1:33" x14ac:dyDescent="0.2">
      <c r="A614" s="92" t="s">
        <v>2055</v>
      </c>
      <c r="B614" s="248" t="s">
        <v>2056</v>
      </c>
      <c r="C614" s="40" t="s">
        <v>2057</v>
      </c>
      <c r="D614" s="40">
        <v>2060</v>
      </c>
      <c r="E614" s="86">
        <f>GDPdeflator!$C$32*INDEX(Costs!$E$7:$O$89,MATCH($C614,Costs!$C$7:$C$89,0),MATCH(E$7,Costs!$E$6:$O$6,0))</f>
        <v>38.748425845200039</v>
      </c>
      <c r="F614" s="86">
        <f>GDPdeflator!$C$36*INDEX(Costs!$E$7:$O$89,MATCH($C614,Costs!$C$7:$C$89,0),MATCH(F$7,Costs!$E$6:$O$6,0))</f>
        <v>39.553112893053424</v>
      </c>
      <c r="G614" s="86">
        <f>GDPdeflator!$C$38*INDEX(Costs!$E$7:$O$89,MATCH($C614,Costs!$C$7:$C$89,0),MATCH(G$7,Costs!$E$6:$O$6,0))</f>
        <v>38.723092893468696</v>
      </c>
      <c r="H614" s="86">
        <f>GDPdeflator!$C$38*INDEX(Costs!$E$7:$O$89,MATCH($C614,Costs!$C$7:$C$89,0),MATCH(H$7,Costs!$E$6:$O$6,0))</f>
        <v>39.03848460029333</v>
      </c>
      <c r="I614" s="86">
        <f>GDPdeflator!$C$38*INDEX(Costs!$E$7:$O$89,MATCH($C614,Costs!$C$7:$C$89,0),MATCH(I$7,Costs!$E$6:$O$6,0))</f>
        <v>39.24874573817641</v>
      </c>
      <c r="J614" s="86">
        <f>GDPdeflator!$C$38*INDEX(Costs!$E$7:$O$89,MATCH($C614,Costs!$C$7:$C$89,0),MATCH(J$7,Costs!$E$6:$O$6,0))</f>
        <v>38.714332012723567</v>
      </c>
      <c r="K614" s="86">
        <f>GDPdeflator!$C$38*INDEX(Costs!$E$7:$O$89,MATCH($C614,Costs!$C$7:$C$89,0),MATCH(K$7,Costs!$E$6:$O$6,0))</f>
        <v>38.565397040056382</v>
      </c>
      <c r="L614" s="86">
        <f>GDPdeflator!$C$38*INDEX(Costs!$E$7:$O$89,MATCH($C614,Costs!$C$7:$C$89,0),MATCH(L$7,Costs!$E$6:$O$6,0))</f>
        <v>38.530353517075859</v>
      </c>
      <c r="M614" s="86">
        <f>GDPdeflator!$C$38*INDEX(Costs!$E$7:$O$89,MATCH($C614,Costs!$C$7:$C$89,0),MATCH(M$7,Costs!$E$6:$O$6,0))</f>
        <v>38.530353517075859</v>
      </c>
      <c r="N614" s="86">
        <f>GDPdeflator!$C$38*INDEX(Costs!$E$7:$O$89,MATCH($C614,Costs!$C$7:$C$89,0),MATCH(N$7,Costs!$E$6:$O$6,0))</f>
        <v>38.530353517075859</v>
      </c>
      <c r="O614" s="86">
        <f>GDPdeflator!$C$38*INDEX(Costs!$E$7:$O$89,MATCH($C614,Costs!$C$7:$C$89,0),MATCH(O$7,Costs!$E$6:$O$6,0))</f>
        <v>38.530353517075859</v>
      </c>
      <c r="P614" s="87">
        <f>E614/$AI$18*10^6</f>
        <v>3235.4217773821033</v>
      </c>
      <c r="Q614" s="87">
        <f t="shared" si="269"/>
        <v>3302.6116552110288</v>
      </c>
      <c r="R614" s="87">
        <f t="shared" si="268"/>
        <v>3233.3065228413279</v>
      </c>
      <c r="S614" s="87">
        <f t="shared" si="256"/>
        <v>3259.6411461042894</v>
      </c>
      <c r="T614" s="87">
        <f t="shared" si="257"/>
        <v>3277.1975616129293</v>
      </c>
      <c r="U614" s="87">
        <f t="shared" si="258"/>
        <v>3232.575005528468</v>
      </c>
      <c r="V614" s="87">
        <f t="shared" si="259"/>
        <v>3220.1392112098479</v>
      </c>
      <c r="W614" s="87">
        <f t="shared" si="260"/>
        <v>3217.213141958407</v>
      </c>
      <c r="X614" s="87">
        <f t="shared" si="261"/>
        <v>3217.213141958407</v>
      </c>
      <c r="Y614" s="87">
        <f t="shared" si="262"/>
        <v>3217.213141958407</v>
      </c>
      <c r="Z614" s="87">
        <f t="shared" si="263"/>
        <v>3217.213141958407</v>
      </c>
      <c r="AA614" s="40">
        <v>473</v>
      </c>
      <c r="AB614" s="89">
        <f>AA614*GDPdeflator!$C$25/$AI$18*10^3</f>
        <v>45.478712808157368</v>
      </c>
      <c r="AC614" s="90" t="e">
        <f>INDEX(Efficiencies!$D$8:$M$89,MATCH(C614,Efficiencies!$C$8:$C$89),MATCH(D614,Efficiencies!$D$7:$M$7))</f>
        <v>#REF!</v>
      </c>
      <c r="AD614" s="90" t="e">
        <f t="shared" si="267"/>
        <v>#REF!</v>
      </c>
      <c r="AE614" s="90" t="e">
        <f>INDEX(Efficiencies!$P$8:$Y$89,MATCH(C614,Efficiencies!$C$8:$C$89),MATCH(D614,Efficiencies!$P$7:$Y$7))</f>
        <v>#REF!</v>
      </c>
      <c r="AF614" s="90" t="e">
        <f t="shared" si="271"/>
        <v>#REF!</v>
      </c>
      <c r="AG614" s="90">
        <v>0</v>
      </c>
    </row>
    <row r="615" spans="1:33" x14ac:dyDescent="0.2">
      <c r="A615" s="92" t="s">
        <v>2058</v>
      </c>
      <c r="B615" s="248" t="s">
        <v>2059</v>
      </c>
      <c r="C615" s="40" t="s">
        <v>2057</v>
      </c>
      <c r="D615" s="40">
        <v>2005</v>
      </c>
      <c r="E615" s="86">
        <f>GDPdeflator!$C$32*INDEX(Costs!$E$7:$O$89,MATCH($C615,Costs!$C$7:$C$89,0),MATCH(E$7,Costs!$E$6:$O$6,0))</f>
        <v>38.748425845200039</v>
      </c>
      <c r="F615" s="86">
        <f>GDPdeflator!$C$36*INDEX(Costs!$E$7:$O$89,MATCH($C615,Costs!$C$7:$C$89,0),MATCH(F$7,Costs!$E$6:$O$6,0))</f>
        <v>39.553112893053424</v>
      </c>
      <c r="G615" s="86">
        <f>GDPdeflator!$C$38*INDEX(Costs!$E$7:$O$89,MATCH($C615,Costs!$C$7:$C$89,0),MATCH(G$7,Costs!$E$6:$O$6,0))</f>
        <v>38.723092893468696</v>
      </c>
      <c r="H615" s="86">
        <f>GDPdeflator!$C$38*INDEX(Costs!$E$7:$O$89,MATCH($C615,Costs!$C$7:$C$89,0),MATCH(H$7,Costs!$E$6:$O$6,0))</f>
        <v>39.03848460029333</v>
      </c>
      <c r="I615" s="86">
        <f>GDPdeflator!$C$38*INDEX(Costs!$E$7:$O$89,MATCH($C615,Costs!$C$7:$C$89,0),MATCH(I$7,Costs!$E$6:$O$6,0))</f>
        <v>39.24874573817641</v>
      </c>
      <c r="J615" s="86">
        <f>GDPdeflator!$C$38*INDEX(Costs!$E$7:$O$89,MATCH($C615,Costs!$C$7:$C$89,0),MATCH(J$7,Costs!$E$6:$O$6,0))</f>
        <v>38.714332012723567</v>
      </c>
      <c r="K615" s="86">
        <f>GDPdeflator!$C$38*INDEX(Costs!$E$7:$O$89,MATCH($C615,Costs!$C$7:$C$89,0),MATCH(K$7,Costs!$E$6:$O$6,0))</f>
        <v>38.565397040056382</v>
      </c>
      <c r="L615" s="86">
        <f>GDPdeflator!$C$38*INDEX(Costs!$E$7:$O$89,MATCH($C615,Costs!$C$7:$C$89,0),MATCH(L$7,Costs!$E$6:$O$6,0))</f>
        <v>38.530353517075859</v>
      </c>
      <c r="M615" s="86">
        <f>GDPdeflator!$C$38*INDEX(Costs!$E$7:$O$89,MATCH($C615,Costs!$C$7:$C$89,0),MATCH(M$7,Costs!$E$6:$O$6,0))</f>
        <v>38.530353517075859</v>
      </c>
      <c r="N615" s="86">
        <f>GDPdeflator!$C$38*INDEX(Costs!$E$7:$O$89,MATCH($C615,Costs!$C$7:$C$89,0),MATCH(N$7,Costs!$E$6:$O$6,0))</f>
        <v>38.530353517075859</v>
      </c>
      <c r="O615" s="86">
        <f>GDPdeflator!$C$38*INDEX(Costs!$E$7:$O$89,MATCH($C615,Costs!$C$7:$C$89,0),MATCH(O$7,Costs!$E$6:$O$6,0))</f>
        <v>38.530353517075859</v>
      </c>
      <c r="P615" s="87">
        <f t="shared" ref="P615:P624" si="274">E615/$AI$18*10^6</f>
        <v>3235.4217773821033</v>
      </c>
      <c r="Q615" s="87">
        <f t="shared" si="269"/>
        <v>3302.6116552110288</v>
      </c>
      <c r="R615" s="87">
        <f t="shared" si="268"/>
        <v>3233.3065228413279</v>
      </c>
      <c r="S615" s="87">
        <f t="shared" ref="S615:S678" si="275">H615/$AI$18*10^6</f>
        <v>3259.6411461042894</v>
      </c>
      <c r="T615" s="87">
        <f t="shared" ref="T615:T678" si="276">I615/$AI$18*10^6</f>
        <v>3277.1975616129293</v>
      </c>
      <c r="U615" s="87">
        <f t="shared" ref="U615:U678" si="277">J615/$AI$18*10^6</f>
        <v>3232.575005528468</v>
      </c>
      <c r="V615" s="87">
        <f t="shared" ref="V615:V678" si="278">K615/$AI$18*10^6</f>
        <v>3220.1392112098479</v>
      </c>
      <c r="W615" s="87">
        <f t="shared" ref="W615:W678" si="279">L615/$AI$18*10^6</f>
        <v>3217.213141958407</v>
      </c>
      <c r="X615" s="87">
        <f t="shared" ref="X615:X678" si="280">M615/$AI$18*10^6</f>
        <v>3217.213141958407</v>
      </c>
      <c r="Y615" s="87">
        <f t="shared" ref="Y615:Y678" si="281">N615/$AI$18*10^6</f>
        <v>3217.213141958407</v>
      </c>
      <c r="Z615" s="87">
        <f t="shared" ref="Z615:Z678" si="282">O615/$AI$18*10^6</f>
        <v>3217.213141958407</v>
      </c>
      <c r="AA615" s="40">
        <v>473</v>
      </c>
      <c r="AB615" s="89">
        <f>AA615*GDPdeflator!$C$25/$AI$18*10^3</f>
        <v>45.478712808157368</v>
      </c>
      <c r="AC615" s="90" t="e">
        <f>INDEX(Efficiencies!$D$8:$M$89,MATCH(C615,Efficiencies!$C$8:$C$89),MATCH(D615,Efficiencies!$D$7:$M$7))</f>
        <v>#REF!</v>
      </c>
      <c r="AD615" s="90" t="e">
        <f t="shared" si="267"/>
        <v>#REF!</v>
      </c>
      <c r="AE615" s="90" t="e">
        <f>INDEX(Efficiencies!$P$8:$Y$89,MATCH(C615,Efficiencies!$C$8:$C$89),MATCH(D615,Efficiencies!$P$7:$Y$7))</f>
        <v>#REF!</v>
      </c>
      <c r="AF615" s="90" t="e">
        <f t="shared" si="271"/>
        <v>#REF!</v>
      </c>
      <c r="AG615" s="90">
        <v>0</v>
      </c>
    </row>
    <row r="616" spans="1:33" x14ac:dyDescent="0.2">
      <c r="A616" s="92" t="s">
        <v>2060</v>
      </c>
      <c r="B616" s="248" t="s">
        <v>2061</v>
      </c>
      <c r="C616" s="40" t="s">
        <v>2057</v>
      </c>
      <c r="D616" s="40">
        <v>2010</v>
      </c>
      <c r="E616" s="86">
        <f>GDPdeflator!$C$32*INDEX(Costs!$E$7:$O$89,MATCH($C616,Costs!$C$7:$C$89,0),MATCH(E$7,Costs!$E$6:$O$6,0))</f>
        <v>38.748425845200039</v>
      </c>
      <c r="F616" s="86">
        <f>GDPdeflator!$C$36*INDEX(Costs!$E$7:$O$89,MATCH($C616,Costs!$C$7:$C$89,0),MATCH(F$7,Costs!$E$6:$O$6,0))</f>
        <v>39.553112893053424</v>
      </c>
      <c r="G616" s="86">
        <f>GDPdeflator!$C$38*INDEX(Costs!$E$7:$O$89,MATCH($C616,Costs!$C$7:$C$89,0),MATCH(G$7,Costs!$E$6:$O$6,0))</f>
        <v>38.723092893468696</v>
      </c>
      <c r="H616" s="86">
        <f>GDPdeflator!$C$38*INDEX(Costs!$E$7:$O$89,MATCH($C616,Costs!$C$7:$C$89,0),MATCH(H$7,Costs!$E$6:$O$6,0))</f>
        <v>39.03848460029333</v>
      </c>
      <c r="I616" s="86">
        <f>GDPdeflator!$C$38*INDEX(Costs!$E$7:$O$89,MATCH($C616,Costs!$C$7:$C$89,0),MATCH(I$7,Costs!$E$6:$O$6,0))</f>
        <v>39.24874573817641</v>
      </c>
      <c r="J616" s="86">
        <f>GDPdeflator!$C$38*INDEX(Costs!$E$7:$O$89,MATCH($C616,Costs!$C$7:$C$89,0),MATCH(J$7,Costs!$E$6:$O$6,0))</f>
        <v>38.714332012723567</v>
      </c>
      <c r="K616" s="86">
        <f>GDPdeflator!$C$38*INDEX(Costs!$E$7:$O$89,MATCH($C616,Costs!$C$7:$C$89,0),MATCH(K$7,Costs!$E$6:$O$6,0))</f>
        <v>38.565397040056382</v>
      </c>
      <c r="L616" s="86">
        <f>GDPdeflator!$C$38*INDEX(Costs!$E$7:$O$89,MATCH($C616,Costs!$C$7:$C$89,0),MATCH(L$7,Costs!$E$6:$O$6,0))</f>
        <v>38.530353517075859</v>
      </c>
      <c r="M616" s="86">
        <f>GDPdeflator!$C$38*INDEX(Costs!$E$7:$O$89,MATCH($C616,Costs!$C$7:$C$89,0),MATCH(M$7,Costs!$E$6:$O$6,0))</f>
        <v>38.530353517075859</v>
      </c>
      <c r="N616" s="86">
        <f>GDPdeflator!$C$38*INDEX(Costs!$E$7:$O$89,MATCH($C616,Costs!$C$7:$C$89,0),MATCH(N$7,Costs!$E$6:$O$6,0))</f>
        <v>38.530353517075859</v>
      </c>
      <c r="O616" s="86">
        <f>GDPdeflator!$C$38*INDEX(Costs!$E$7:$O$89,MATCH($C616,Costs!$C$7:$C$89,0),MATCH(O$7,Costs!$E$6:$O$6,0))</f>
        <v>38.530353517075859</v>
      </c>
      <c r="P616" s="87">
        <f t="shared" si="274"/>
        <v>3235.4217773821033</v>
      </c>
      <c r="Q616" s="87">
        <f t="shared" si="269"/>
        <v>3302.6116552110288</v>
      </c>
      <c r="R616" s="87">
        <f t="shared" si="268"/>
        <v>3233.3065228413279</v>
      </c>
      <c r="S616" s="87">
        <f t="shared" si="275"/>
        <v>3259.6411461042894</v>
      </c>
      <c r="T616" s="87">
        <f t="shared" si="276"/>
        <v>3277.1975616129293</v>
      </c>
      <c r="U616" s="87">
        <f t="shared" si="277"/>
        <v>3232.575005528468</v>
      </c>
      <c r="V616" s="87">
        <f t="shared" si="278"/>
        <v>3220.1392112098479</v>
      </c>
      <c r="W616" s="87">
        <f t="shared" si="279"/>
        <v>3217.213141958407</v>
      </c>
      <c r="X616" s="87">
        <f t="shared" si="280"/>
        <v>3217.213141958407</v>
      </c>
      <c r="Y616" s="87">
        <f t="shared" si="281"/>
        <v>3217.213141958407</v>
      </c>
      <c r="Z616" s="87">
        <f t="shared" si="282"/>
        <v>3217.213141958407</v>
      </c>
      <c r="AA616" s="40">
        <v>473</v>
      </c>
      <c r="AB616" s="89">
        <f>AA616*GDPdeflator!$C$25/$AI$18*10^3</f>
        <v>45.478712808157368</v>
      </c>
      <c r="AC616" s="90" t="e">
        <f>INDEX(Efficiencies!$D$8:$M$89,MATCH(C616,Efficiencies!$C$8:$C$89),MATCH(D616,Efficiencies!$D$7:$M$7))</f>
        <v>#REF!</v>
      </c>
      <c r="AD616" s="90" t="e">
        <f t="shared" si="267"/>
        <v>#REF!</v>
      </c>
      <c r="AE616" s="90" t="e">
        <f>INDEX(Efficiencies!$P$8:$Y$89,MATCH(C616,Efficiencies!$C$8:$C$89),MATCH(D616,Efficiencies!$P$7:$Y$7))</f>
        <v>#REF!</v>
      </c>
      <c r="AF616" s="90" t="e">
        <f t="shared" si="271"/>
        <v>#REF!</v>
      </c>
      <c r="AG616" s="90">
        <v>0</v>
      </c>
    </row>
    <row r="617" spans="1:33" x14ac:dyDescent="0.2">
      <c r="A617" s="92" t="s">
        <v>2062</v>
      </c>
      <c r="B617" s="248" t="s">
        <v>2063</v>
      </c>
      <c r="C617" s="40" t="s">
        <v>2057</v>
      </c>
      <c r="D617" s="40">
        <v>2015</v>
      </c>
      <c r="E617" s="86">
        <f>GDPdeflator!$C$32*INDEX(Costs!$E$7:$O$89,MATCH($C617,Costs!$C$7:$C$89,0),MATCH(E$7,Costs!$E$6:$O$6,0))</f>
        <v>38.748425845200039</v>
      </c>
      <c r="F617" s="86">
        <f>GDPdeflator!$C$36*INDEX(Costs!$E$7:$O$89,MATCH($C617,Costs!$C$7:$C$89,0),MATCH(F$7,Costs!$E$6:$O$6,0))</f>
        <v>39.553112893053424</v>
      </c>
      <c r="G617" s="86">
        <f>GDPdeflator!$C$38*INDEX(Costs!$E$7:$O$89,MATCH($C617,Costs!$C$7:$C$89,0),MATCH(G$7,Costs!$E$6:$O$6,0))</f>
        <v>38.723092893468696</v>
      </c>
      <c r="H617" s="86">
        <f>GDPdeflator!$C$38*INDEX(Costs!$E$7:$O$89,MATCH($C617,Costs!$C$7:$C$89,0),MATCH(H$7,Costs!$E$6:$O$6,0))</f>
        <v>39.03848460029333</v>
      </c>
      <c r="I617" s="86">
        <f>GDPdeflator!$C$38*INDEX(Costs!$E$7:$O$89,MATCH($C617,Costs!$C$7:$C$89,0),MATCH(I$7,Costs!$E$6:$O$6,0))</f>
        <v>39.24874573817641</v>
      </c>
      <c r="J617" s="86">
        <f>GDPdeflator!$C$38*INDEX(Costs!$E$7:$O$89,MATCH($C617,Costs!$C$7:$C$89,0),MATCH(J$7,Costs!$E$6:$O$6,0))</f>
        <v>38.714332012723567</v>
      </c>
      <c r="K617" s="86">
        <f>GDPdeflator!$C$38*INDEX(Costs!$E$7:$O$89,MATCH($C617,Costs!$C$7:$C$89,0),MATCH(K$7,Costs!$E$6:$O$6,0))</f>
        <v>38.565397040056382</v>
      </c>
      <c r="L617" s="86">
        <f>GDPdeflator!$C$38*INDEX(Costs!$E$7:$O$89,MATCH($C617,Costs!$C$7:$C$89,0),MATCH(L$7,Costs!$E$6:$O$6,0))</f>
        <v>38.530353517075859</v>
      </c>
      <c r="M617" s="86">
        <f>GDPdeflator!$C$38*INDEX(Costs!$E$7:$O$89,MATCH($C617,Costs!$C$7:$C$89,0),MATCH(M$7,Costs!$E$6:$O$6,0))</f>
        <v>38.530353517075859</v>
      </c>
      <c r="N617" s="86">
        <f>GDPdeflator!$C$38*INDEX(Costs!$E$7:$O$89,MATCH($C617,Costs!$C$7:$C$89,0),MATCH(N$7,Costs!$E$6:$O$6,0))</f>
        <v>38.530353517075859</v>
      </c>
      <c r="O617" s="86">
        <f>GDPdeflator!$C$38*INDEX(Costs!$E$7:$O$89,MATCH($C617,Costs!$C$7:$C$89,0),MATCH(O$7,Costs!$E$6:$O$6,0))</f>
        <v>38.530353517075859</v>
      </c>
      <c r="P617" s="87">
        <f t="shared" si="274"/>
        <v>3235.4217773821033</v>
      </c>
      <c r="Q617" s="87">
        <f t="shared" si="269"/>
        <v>3302.6116552110288</v>
      </c>
      <c r="R617" s="87">
        <f t="shared" si="268"/>
        <v>3233.3065228413279</v>
      </c>
      <c r="S617" s="87">
        <f t="shared" si="275"/>
        <v>3259.6411461042894</v>
      </c>
      <c r="T617" s="87">
        <f t="shared" si="276"/>
        <v>3277.1975616129293</v>
      </c>
      <c r="U617" s="87">
        <f t="shared" si="277"/>
        <v>3232.575005528468</v>
      </c>
      <c r="V617" s="87">
        <f t="shared" si="278"/>
        <v>3220.1392112098479</v>
      </c>
      <c r="W617" s="87">
        <f t="shared" si="279"/>
        <v>3217.213141958407</v>
      </c>
      <c r="X617" s="87">
        <f t="shared" si="280"/>
        <v>3217.213141958407</v>
      </c>
      <c r="Y617" s="87">
        <f t="shared" si="281"/>
        <v>3217.213141958407</v>
      </c>
      <c r="Z617" s="87">
        <f t="shared" si="282"/>
        <v>3217.213141958407</v>
      </c>
      <c r="AA617" s="40">
        <v>473</v>
      </c>
      <c r="AB617" s="89">
        <f>AA617*GDPdeflator!$C$25/$AI$18*10^3</f>
        <v>45.478712808157368</v>
      </c>
      <c r="AC617" s="90" t="e">
        <f>INDEX(Efficiencies!$D$8:$M$89,MATCH(C617,Efficiencies!$C$8:$C$89),MATCH(D617,Efficiencies!$D$7:$M$7))</f>
        <v>#REF!</v>
      </c>
      <c r="AD617" s="90" t="e">
        <f t="shared" si="267"/>
        <v>#REF!</v>
      </c>
      <c r="AE617" s="90" t="e">
        <f>INDEX(Efficiencies!$P$8:$Y$89,MATCH(C617,Efficiencies!$C$8:$C$89),MATCH(D617,Efficiencies!$P$7:$Y$7))</f>
        <v>#REF!</v>
      </c>
      <c r="AF617" s="90" t="e">
        <f t="shared" si="271"/>
        <v>#REF!</v>
      </c>
      <c r="AG617" s="90">
        <v>0</v>
      </c>
    </row>
    <row r="618" spans="1:33" x14ac:dyDescent="0.2">
      <c r="A618" s="92" t="s">
        <v>2064</v>
      </c>
      <c r="B618" s="248" t="s">
        <v>2065</v>
      </c>
      <c r="C618" s="40" t="s">
        <v>2057</v>
      </c>
      <c r="D618" s="40">
        <v>2020</v>
      </c>
      <c r="E618" s="86">
        <f>GDPdeflator!$C$32*INDEX(Costs!$E$7:$O$89,MATCH($C618,Costs!$C$7:$C$89,0),MATCH(E$7,Costs!$E$6:$O$6,0))</f>
        <v>38.748425845200039</v>
      </c>
      <c r="F618" s="86">
        <f>GDPdeflator!$C$36*INDEX(Costs!$E$7:$O$89,MATCH($C618,Costs!$C$7:$C$89,0),MATCH(F$7,Costs!$E$6:$O$6,0))</f>
        <v>39.553112893053424</v>
      </c>
      <c r="G618" s="86">
        <f>GDPdeflator!$C$38*INDEX(Costs!$E$7:$O$89,MATCH($C618,Costs!$C$7:$C$89,0),MATCH(G$7,Costs!$E$6:$O$6,0))</f>
        <v>38.723092893468696</v>
      </c>
      <c r="H618" s="86">
        <f>GDPdeflator!$C$38*INDEX(Costs!$E$7:$O$89,MATCH($C618,Costs!$C$7:$C$89,0),MATCH(H$7,Costs!$E$6:$O$6,0))</f>
        <v>39.03848460029333</v>
      </c>
      <c r="I618" s="86">
        <f>GDPdeflator!$C$38*INDEX(Costs!$E$7:$O$89,MATCH($C618,Costs!$C$7:$C$89,0),MATCH(I$7,Costs!$E$6:$O$6,0))</f>
        <v>39.24874573817641</v>
      </c>
      <c r="J618" s="86">
        <f>GDPdeflator!$C$38*INDEX(Costs!$E$7:$O$89,MATCH($C618,Costs!$C$7:$C$89,0),MATCH(J$7,Costs!$E$6:$O$6,0))</f>
        <v>38.714332012723567</v>
      </c>
      <c r="K618" s="86">
        <f>GDPdeflator!$C$38*INDEX(Costs!$E$7:$O$89,MATCH($C618,Costs!$C$7:$C$89,0),MATCH(K$7,Costs!$E$6:$O$6,0))</f>
        <v>38.565397040056382</v>
      </c>
      <c r="L618" s="86">
        <f>GDPdeflator!$C$38*INDEX(Costs!$E$7:$O$89,MATCH($C618,Costs!$C$7:$C$89,0),MATCH(L$7,Costs!$E$6:$O$6,0))</f>
        <v>38.530353517075859</v>
      </c>
      <c r="M618" s="86">
        <f>GDPdeflator!$C$38*INDEX(Costs!$E$7:$O$89,MATCH($C618,Costs!$C$7:$C$89,0),MATCH(M$7,Costs!$E$6:$O$6,0))</f>
        <v>38.530353517075859</v>
      </c>
      <c r="N618" s="86">
        <f>GDPdeflator!$C$38*INDEX(Costs!$E$7:$O$89,MATCH($C618,Costs!$C$7:$C$89,0),MATCH(N$7,Costs!$E$6:$O$6,0))</f>
        <v>38.530353517075859</v>
      </c>
      <c r="O618" s="86">
        <f>GDPdeflator!$C$38*INDEX(Costs!$E$7:$O$89,MATCH($C618,Costs!$C$7:$C$89,0),MATCH(O$7,Costs!$E$6:$O$6,0))</f>
        <v>38.530353517075859</v>
      </c>
      <c r="P618" s="87">
        <f t="shared" si="274"/>
        <v>3235.4217773821033</v>
      </c>
      <c r="Q618" s="87">
        <f t="shared" si="269"/>
        <v>3302.6116552110288</v>
      </c>
      <c r="R618" s="87">
        <f t="shared" si="268"/>
        <v>3233.3065228413279</v>
      </c>
      <c r="S618" s="87">
        <f t="shared" si="275"/>
        <v>3259.6411461042894</v>
      </c>
      <c r="T618" s="87">
        <f t="shared" si="276"/>
        <v>3277.1975616129293</v>
      </c>
      <c r="U618" s="87">
        <f t="shared" si="277"/>
        <v>3232.575005528468</v>
      </c>
      <c r="V618" s="87">
        <f t="shared" si="278"/>
        <v>3220.1392112098479</v>
      </c>
      <c r="W618" s="87">
        <f t="shared" si="279"/>
        <v>3217.213141958407</v>
      </c>
      <c r="X618" s="87">
        <f t="shared" si="280"/>
        <v>3217.213141958407</v>
      </c>
      <c r="Y618" s="87">
        <f t="shared" si="281"/>
        <v>3217.213141958407</v>
      </c>
      <c r="Z618" s="87">
        <f t="shared" si="282"/>
        <v>3217.213141958407</v>
      </c>
      <c r="AA618" s="40">
        <v>473</v>
      </c>
      <c r="AB618" s="89">
        <f>AA618*GDPdeflator!$C$25/$AI$18*10^3</f>
        <v>45.478712808157368</v>
      </c>
      <c r="AC618" s="90" t="e">
        <f>INDEX(Efficiencies!$D$8:$M$89,MATCH(C618,Efficiencies!$C$8:$C$89),MATCH(D618,Efficiencies!$D$7:$M$7))</f>
        <v>#REF!</v>
      </c>
      <c r="AD618" s="90" t="e">
        <f t="shared" si="267"/>
        <v>#REF!</v>
      </c>
      <c r="AE618" s="90" t="e">
        <f>INDEX(Efficiencies!$P$8:$Y$89,MATCH(C618,Efficiencies!$C$8:$C$89),MATCH(D618,Efficiencies!$P$7:$Y$7))</f>
        <v>#REF!</v>
      </c>
      <c r="AF618" s="90" t="e">
        <f t="shared" si="271"/>
        <v>#REF!</v>
      </c>
      <c r="AG618" s="90">
        <v>0</v>
      </c>
    </row>
    <row r="619" spans="1:33" x14ac:dyDescent="0.2">
      <c r="A619" s="92" t="s">
        <v>2066</v>
      </c>
      <c r="B619" s="248" t="s">
        <v>2067</v>
      </c>
      <c r="C619" s="40" t="s">
        <v>2057</v>
      </c>
      <c r="D619" s="40">
        <v>2025</v>
      </c>
      <c r="E619" s="86">
        <f>GDPdeflator!$C$32*INDEX(Costs!$E$7:$O$89,MATCH($C619,Costs!$C$7:$C$89,0),MATCH(E$7,Costs!$E$6:$O$6,0))</f>
        <v>38.748425845200039</v>
      </c>
      <c r="F619" s="86">
        <f>GDPdeflator!$C$36*INDEX(Costs!$E$7:$O$89,MATCH($C619,Costs!$C$7:$C$89,0),MATCH(F$7,Costs!$E$6:$O$6,0))</f>
        <v>39.553112893053424</v>
      </c>
      <c r="G619" s="86">
        <f>GDPdeflator!$C$38*INDEX(Costs!$E$7:$O$89,MATCH($C619,Costs!$C$7:$C$89,0),MATCH(G$7,Costs!$E$6:$O$6,0))</f>
        <v>38.723092893468696</v>
      </c>
      <c r="H619" s="86">
        <f>GDPdeflator!$C$38*INDEX(Costs!$E$7:$O$89,MATCH($C619,Costs!$C$7:$C$89,0),MATCH(H$7,Costs!$E$6:$O$6,0))</f>
        <v>39.03848460029333</v>
      </c>
      <c r="I619" s="86">
        <f>GDPdeflator!$C$38*INDEX(Costs!$E$7:$O$89,MATCH($C619,Costs!$C$7:$C$89,0),MATCH(I$7,Costs!$E$6:$O$6,0))</f>
        <v>39.24874573817641</v>
      </c>
      <c r="J619" s="86">
        <f>GDPdeflator!$C$38*INDEX(Costs!$E$7:$O$89,MATCH($C619,Costs!$C$7:$C$89,0),MATCH(J$7,Costs!$E$6:$O$6,0))</f>
        <v>38.714332012723567</v>
      </c>
      <c r="K619" s="86">
        <f>GDPdeflator!$C$38*INDEX(Costs!$E$7:$O$89,MATCH($C619,Costs!$C$7:$C$89,0),MATCH(K$7,Costs!$E$6:$O$6,0))</f>
        <v>38.565397040056382</v>
      </c>
      <c r="L619" s="86">
        <f>GDPdeflator!$C$38*INDEX(Costs!$E$7:$O$89,MATCH($C619,Costs!$C$7:$C$89,0),MATCH(L$7,Costs!$E$6:$O$6,0))</f>
        <v>38.530353517075859</v>
      </c>
      <c r="M619" s="86">
        <f>GDPdeflator!$C$38*INDEX(Costs!$E$7:$O$89,MATCH($C619,Costs!$C$7:$C$89,0),MATCH(M$7,Costs!$E$6:$O$6,0))</f>
        <v>38.530353517075859</v>
      </c>
      <c r="N619" s="86">
        <f>GDPdeflator!$C$38*INDEX(Costs!$E$7:$O$89,MATCH($C619,Costs!$C$7:$C$89,0),MATCH(N$7,Costs!$E$6:$O$6,0))</f>
        <v>38.530353517075859</v>
      </c>
      <c r="O619" s="86">
        <f>GDPdeflator!$C$38*INDEX(Costs!$E$7:$O$89,MATCH($C619,Costs!$C$7:$C$89,0),MATCH(O$7,Costs!$E$6:$O$6,0))</f>
        <v>38.530353517075859</v>
      </c>
      <c r="P619" s="87">
        <f t="shared" si="274"/>
        <v>3235.4217773821033</v>
      </c>
      <c r="Q619" s="87">
        <f t="shared" si="269"/>
        <v>3302.6116552110288</v>
      </c>
      <c r="R619" s="87">
        <f t="shared" si="268"/>
        <v>3233.3065228413279</v>
      </c>
      <c r="S619" s="87">
        <f t="shared" si="275"/>
        <v>3259.6411461042894</v>
      </c>
      <c r="T619" s="87">
        <f t="shared" si="276"/>
        <v>3277.1975616129293</v>
      </c>
      <c r="U619" s="87">
        <f t="shared" si="277"/>
        <v>3232.575005528468</v>
      </c>
      <c r="V619" s="87">
        <f t="shared" si="278"/>
        <v>3220.1392112098479</v>
      </c>
      <c r="W619" s="87">
        <f t="shared" si="279"/>
        <v>3217.213141958407</v>
      </c>
      <c r="X619" s="87">
        <f t="shared" si="280"/>
        <v>3217.213141958407</v>
      </c>
      <c r="Y619" s="87">
        <f t="shared" si="281"/>
        <v>3217.213141958407</v>
      </c>
      <c r="Z619" s="87">
        <f t="shared" si="282"/>
        <v>3217.213141958407</v>
      </c>
      <c r="AA619" s="40">
        <v>473</v>
      </c>
      <c r="AB619" s="89">
        <f>AA619*GDPdeflator!$C$25/$AI$18*10^3</f>
        <v>45.478712808157368</v>
      </c>
      <c r="AC619" s="90" t="e">
        <f>INDEX(Efficiencies!$D$8:$M$89,MATCH(C619,Efficiencies!$C$8:$C$89),MATCH(D619,Efficiencies!$D$7:$M$7))</f>
        <v>#REF!</v>
      </c>
      <c r="AD619" s="90" t="e">
        <f t="shared" si="267"/>
        <v>#REF!</v>
      </c>
      <c r="AE619" s="90" t="e">
        <f>INDEX(Efficiencies!$P$8:$Y$89,MATCH(C619,Efficiencies!$C$8:$C$89),MATCH(D619,Efficiencies!$P$7:$Y$7))</f>
        <v>#REF!</v>
      </c>
      <c r="AF619" s="90" t="e">
        <f t="shared" si="271"/>
        <v>#REF!</v>
      </c>
      <c r="AG619" s="90">
        <v>0</v>
      </c>
    </row>
    <row r="620" spans="1:33" x14ac:dyDescent="0.2">
      <c r="A620" s="92" t="s">
        <v>2068</v>
      </c>
      <c r="B620" s="248" t="s">
        <v>2069</v>
      </c>
      <c r="C620" s="40" t="s">
        <v>2057</v>
      </c>
      <c r="D620" s="40">
        <v>2030</v>
      </c>
      <c r="E620" s="86">
        <f>GDPdeflator!$C$32*INDEX(Costs!$E$7:$O$89,MATCH($C620,Costs!$C$7:$C$89,0),MATCH(E$7,Costs!$E$6:$O$6,0))</f>
        <v>38.748425845200039</v>
      </c>
      <c r="F620" s="86">
        <f>GDPdeflator!$C$36*INDEX(Costs!$E$7:$O$89,MATCH($C620,Costs!$C$7:$C$89,0),MATCH(F$7,Costs!$E$6:$O$6,0))</f>
        <v>39.553112893053424</v>
      </c>
      <c r="G620" s="86">
        <f>GDPdeflator!$C$38*INDEX(Costs!$E$7:$O$89,MATCH($C620,Costs!$C$7:$C$89,0),MATCH(G$7,Costs!$E$6:$O$6,0))</f>
        <v>38.723092893468696</v>
      </c>
      <c r="H620" s="86">
        <f>GDPdeflator!$C$38*INDEX(Costs!$E$7:$O$89,MATCH($C620,Costs!$C$7:$C$89,0),MATCH(H$7,Costs!$E$6:$O$6,0))</f>
        <v>39.03848460029333</v>
      </c>
      <c r="I620" s="86">
        <f>GDPdeflator!$C$38*INDEX(Costs!$E$7:$O$89,MATCH($C620,Costs!$C$7:$C$89,0),MATCH(I$7,Costs!$E$6:$O$6,0))</f>
        <v>39.24874573817641</v>
      </c>
      <c r="J620" s="86">
        <f>GDPdeflator!$C$38*INDEX(Costs!$E$7:$O$89,MATCH($C620,Costs!$C$7:$C$89,0),MATCH(J$7,Costs!$E$6:$O$6,0))</f>
        <v>38.714332012723567</v>
      </c>
      <c r="K620" s="86">
        <f>GDPdeflator!$C$38*INDEX(Costs!$E$7:$O$89,MATCH($C620,Costs!$C$7:$C$89,0),MATCH(K$7,Costs!$E$6:$O$6,0))</f>
        <v>38.565397040056382</v>
      </c>
      <c r="L620" s="86">
        <f>GDPdeflator!$C$38*INDEX(Costs!$E$7:$O$89,MATCH($C620,Costs!$C$7:$C$89,0),MATCH(L$7,Costs!$E$6:$O$6,0))</f>
        <v>38.530353517075859</v>
      </c>
      <c r="M620" s="86">
        <f>GDPdeflator!$C$38*INDEX(Costs!$E$7:$O$89,MATCH($C620,Costs!$C$7:$C$89,0),MATCH(M$7,Costs!$E$6:$O$6,0))</f>
        <v>38.530353517075859</v>
      </c>
      <c r="N620" s="86">
        <f>GDPdeflator!$C$38*INDEX(Costs!$E$7:$O$89,MATCH($C620,Costs!$C$7:$C$89,0),MATCH(N$7,Costs!$E$6:$O$6,0))</f>
        <v>38.530353517075859</v>
      </c>
      <c r="O620" s="86">
        <f>GDPdeflator!$C$38*INDEX(Costs!$E$7:$O$89,MATCH($C620,Costs!$C$7:$C$89,0),MATCH(O$7,Costs!$E$6:$O$6,0))</f>
        <v>38.530353517075859</v>
      </c>
      <c r="P620" s="87">
        <f t="shared" si="274"/>
        <v>3235.4217773821033</v>
      </c>
      <c r="Q620" s="87">
        <f t="shared" si="269"/>
        <v>3302.6116552110288</v>
      </c>
      <c r="R620" s="87">
        <f t="shared" si="268"/>
        <v>3233.3065228413279</v>
      </c>
      <c r="S620" s="87">
        <f t="shared" si="275"/>
        <v>3259.6411461042894</v>
      </c>
      <c r="T620" s="87">
        <f t="shared" si="276"/>
        <v>3277.1975616129293</v>
      </c>
      <c r="U620" s="87">
        <f t="shared" si="277"/>
        <v>3232.575005528468</v>
      </c>
      <c r="V620" s="87">
        <f t="shared" si="278"/>
        <v>3220.1392112098479</v>
      </c>
      <c r="W620" s="87">
        <f t="shared" si="279"/>
        <v>3217.213141958407</v>
      </c>
      <c r="X620" s="87">
        <f t="shared" si="280"/>
        <v>3217.213141958407</v>
      </c>
      <c r="Y620" s="87">
        <f t="shared" si="281"/>
        <v>3217.213141958407</v>
      </c>
      <c r="Z620" s="87">
        <f t="shared" si="282"/>
        <v>3217.213141958407</v>
      </c>
      <c r="AA620" s="40">
        <v>473</v>
      </c>
      <c r="AB620" s="89">
        <f>AA620*GDPdeflator!$C$25/$AI$18*10^3</f>
        <v>45.478712808157368</v>
      </c>
      <c r="AC620" s="90" t="e">
        <f>INDEX(Efficiencies!$D$8:$M$89,MATCH(C620,Efficiencies!$C$8:$C$89),MATCH(D620,Efficiencies!$D$7:$M$7))</f>
        <v>#REF!</v>
      </c>
      <c r="AD620" s="90" t="e">
        <f t="shared" si="267"/>
        <v>#REF!</v>
      </c>
      <c r="AE620" s="90" t="e">
        <f>INDEX(Efficiencies!$P$8:$Y$89,MATCH(C620,Efficiencies!$C$8:$C$89),MATCH(D620,Efficiencies!$P$7:$Y$7))</f>
        <v>#REF!</v>
      </c>
      <c r="AF620" s="90" t="e">
        <f t="shared" si="271"/>
        <v>#REF!</v>
      </c>
      <c r="AG620" s="90">
        <v>0</v>
      </c>
    </row>
    <row r="621" spans="1:33" x14ac:dyDescent="0.2">
      <c r="A621" s="92" t="s">
        <v>2070</v>
      </c>
      <c r="B621" s="248" t="s">
        <v>2071</v>
      </c>
      <c r="C621" s="40" t="s">
        <v>2057</v>
      </c>
      <c r="D621" s="40">
        <v>2035</v>
      </c>
      <c r="E621" s="86">
        <f>GDPdeflator!$C$32*INDEX(Costs!$E$7:$O$89,MATCH($C621,Costs!$C$7:$C$89,0),MATCH(E$7,Costs!$E$6:$O$6,0))</f>
        <v>38.748425845200039</v>
      </c>
      <c r="F621" s="86">
        <f>GDPdeflator!$C$36*INDEX(Costs!$E$7:$O$89,MATCH($C621,Costs!$C$7:$C$89,0),MATCH(F$7,Costs!$E$6:$O$6,0))</f>
        <v>39.553112893053424</v>
      </c>
      <c r="G621" s="86">
        <f>GDPdeflator!$C$38*INDEX(Costs!$E$7:$O$89,MATCH($C621,Costs!$C$7:$C$89,0),MATCH(G$7,Costs!$E$6:$O$6,0))</f>
        <v>38.723092893468696</v>
      </c>
      <c r="H621" s="86">
        <f>GDPdeflator!$C$38*INDEX(Costs!$E$7:$O$89,MATCH($C621,Costs!$C$7:$C$89,0),MATCH(H$7,Costs!$E$6:$O$6,0))</f>
        <v>39.03848460029333</v>
      </c>
      <c r="I621" s="86">
        <f>GDPdeflator!$C$38*INDEX(Costs!$E$7:$O$89,MATCH($C621,Costs!$C$7:$C$89,0),MATCH(I$7,Costs!$E$6:$O$6,0))</f>
        <v>39.24874573817641</v>
      </c>
      <c r="J621" s="86">
        <f>GDPdeflator!$C$38*INDEX(Costs!$E$7:$O$89,MATCH($C621,Costs!$C$7:$C$89,0),MATCH(J$7,Costs!$E$6:$O$6,0))</f>
        <v>38.714332012723567</v>
      </c>
      <c r="K621" s="86">
        <f>GDPdeflator!$C$38*INDEX(Costs!$E$7:$O$89,MATCH($C621,Costs!$C$7:$C$89,0),MATCH(K$7,Costs!$E$6:$O$6,0))</f>
        <v>38.565397040056382</v>
      </c>
      <c r="L621" s="86">
        <f>GDPdeflator!$C$38*INDEX(Costs!$E$7:$O$89,MATCH($C621,Costs!$C$7:$C$89,0),MATCH(L$7,Costs!$E$6:$O$6,0))</f>
        <v>38.530353517075859</v>
      </c>
      <c r="M621" s="86">
        <f>GDPdeflator!$C$38*INDEX(Costs!$E$7:$O$89,MATCH($C621,Costs!$C$7:$C$89,0),MATCH(M$7,Costs!$E$6:$O$6,0))</f>
        <v>38.530353517075859</v>
      </c>
      <c r="N621" s="86">
        <f>GDPdeflator!$C$38*INDEX(Costs!$E$7:$O$89,MATCH($C621,Costs!$C$7:$C$89,0),MATCH(N$7,Costs!$E$6:$O$6,0))</f>
        <v>38.530353517075859</v>
      </c>
      <c r="O621" s="86">
        <f>GDPdeflator!$C$38*INDEX(Costs!$E$7:$O$89,MATCH($C621,Costs!$C$7:$C$89,0),MATCH(O$7,Costs!$E$6:$O$6,0))</f>
        <v>38.530353517075859</v>
      </c>
      <c r="P621" s="87">
        <f t="shared" si="274"/>
        <v>3235.4217773821033</v>
      </c>
      <c r="Q621" s="87">
        <f t="shared" si="269"/>
        <v>3302.6116552110288</v>
      </c>
      <c r="R621" s="87">
        <f t="shared" si="268"/>
        <v>3233.3065228413279</v>
      </c>
      <c r="S621" s="87">
        <f t="shared" si="275"/>
        <v>3259.6411461042894</v>
      </c>
      <c r="T621" s="87">
        <f t="shared" si="276"/>
        <v>3277.1975616129293</v>
      </c>
      <c r="U621" s="87">
        <f t="shared" si="277"/>
        <v>3232.575005528468</v>
      </c>
      <c r="V621" s="87">
        <f t="shared" si="278"/>
        <v>3220.1392112098479</v>
      </c>
      <c r="W621" s="87">
        <f t="shared" si="279"/>
        <v>3217.213141958407</v>
      </c>
      <c r="X621" s="87">
        <f t="shared" si="280"/>
        <v>3217.213141958407</v>
      </c>
      <c r="Y621" s="87">
        <f t="shared" si="281"/>
        <v>3217.213141958407</v>
      </c>
      <c r="Z621" s="87">
        <f t="shared" si="282"/>
        <v>3217.213141958407</v>
      </c>
      <c r="AA621" s="40">
        <v>473</v>
      </c>
      <c r="AB621" s="89">
        <f>AA621*GDPdeflator!$C$25/$AI$18*10^3</f>
        <v>45.478712808157368</v>
      </c>
      <c r="AC621" s="90" t="e">
        <f>INDEX(Efficiencies!$D$8:$M$89,MATCH(C621,Efficiencies!$C$8:$C$89),MATCH(D621,Efficiencies!$D$7:$M$7))</f>
        <v>#REF!</v>
      </c>
      <c r="AD621" s="90" t="e">
        <f t="shared" si="267"/>
        <v>#REF!</v>
      </c>
      <c r="AE621" s="90" t="e">
        <f>INDEX(Efficiencies!$P$8:$Y$89,MATCH(C621,Efficiencies!$C$8:$C$89),MATCH(D621,Efficiencies!$P$7:$Y$7))</f>
        <v>#REF!</v>
      </c>
      <c r="AF621" s="90" t="e">
        <f t="shared" si="271"/>
        <v>#REF!</v>
      </c>
      <c r="AG621" s="90">
        <v>0</v>
      </c>
    </row>
    <row r="622" spans="1:33" x14ac:dyDescent="0.2">
      <c r="A622" s="92" t="s">
        <v>2072</v>
      </c>
      <c r="B622" s="248" t="s">
        <v>2073</v>
      </c>
      <c r="C622" s="40" t="s">
        <v>2057</v>
      </c>
      <c r="D622" s="40">
        <v>2040</v>
      </c>
      <c r="E622" s="86">
        <f>GDPdeflator!$C$32*INDEX(Costs!$E$7:$O$89,MATCH($C622,Costs!$C$7:$C$89,0),MATCH(E$7,Costs!$E$6:$O$6,0))</f>
        <v>38.748425845200039</v>
      </c>
      <c r="F622" s="86">
        <f>GDPdeflator!$C$36*INDEX(Costs!$E$7:$O$89,MATCH($C622,Costs!$C$7:$C$89,0),MATCH(F$7,Costs!$E$6:$O$6,0))</f>
        <v>39.553112893053424</v>
      </c>
      <c r="G622" s="86">
        <f>GDPdeflator!$C$38*INDEX(Costs!$E$7:$O$89,MATCH($C622,Costs!$C$7:$C$89,0),MATCH(G$7,Costs!$E$6:$O$6,0))</f>
        <v>38.723092893468696</v>
      </c>
      <c r="H622" s="86">
        <f>GDPdeflator!$C$38*INDEX(Costs!$E$7:$O$89,MATCH($C622,Costs!$C$7:$C$89,0),MATCH(H$7,Costs!$E$6:$O$6,0))</f>
        <v>39.03848460029333</v>
      </c>
      <c r="I622" s="86">
        <f>GDPdeflator!$C$38*INDEX(Costs!$E$7:$O$89,MATCH($C622,Costs!$C$7:$C$89,0),MATCH(I$7,Costs!$E$6:$O$6,0))</f>
        <v>39.24874573817641</v>
      </c>
      <c r="J622" s="86">
        <f>GDPdeflator!$C$38*INDEX(Costs!$E$7:$O$89,MATCH($C622,Costs!$C$7:$C$89,0),MATCH(J$7,Costs!$E$6:$O$6,0))</f>
        <v>38.714332012723567</v>
      </c>
      <c r="K622" s="86">
        <f>GDPdeflator!$C$38*INDEX(Costs!$E$7:$O$89,MATCH($C622,Costs!$C$7:$C$89,0),MATCH(K$7,Costs!$E$6:$O$6,0))</f>
        <v>38.565397040056382</v>
      </c>
      <c r="L622" s="86">
        <f>GDPdeflator!$C$38*INDEX(Costs!$E$7:$O$89,MATCH($C622,Costs!$C$7:$C$89,0),MATCH(L$7,Costs!$E$6:$O$6,0))</f>
        <v>38.530353517075859</v>
      </c>
      <c r="M622" s="86">
        <f>GDPdeflator!$C$38*INDEX(Costs!$E$7:$O$89,MATCH($C622,Costs!$C$7:$C$89,0),MATCH(M$7,Costs!$E$6:$O$6,0))</f>
        <v>38.530353517075859</v>
      </c>
      <c r="N622" s="86">
        <f>GDPdeflator!$C$38*INDEX(Costs!$E$7:$O$89,MATCH($C622,Costs!$C$7:$C$89,0),MATCH(N$7,Costs!$E$6:$O$6,0))</f>
        <v>38.530353517075859</v>
      </c>
      <c r="O622" s="86">
        <f>GDPdeflator!$C$38*INDEX(Costs!$E$7:$O$89,MATCH($C622,Costs!$C$7:$C$89,0),MATCH(O$7,Costs!$E$6:$O$6,0))</f>
        <v>38.530353517075859</v>
      </c>
      <c r="P622" s="87">
        <f t="shared" si="274"/>
        <v>3235.4217773821033</v>
      </c>
      <c r="Q622" s="87">
        <f t="shared" si="269"/>
        <v>3302.6116552110288</v>
      </c>
      <c r="R622" s="87">
        <f t="shared" si="268"/>
        <v>3233.3065228413279</v>
      </c>
      <c r="S622" s="87">
        <f t="shared" si="275"/>
        <v>3259.6411461042894</v>
      </c>
      <c r="T622" s="87">
        <f t="shared" si="276"/>
        <v>3277.1975616129293</v>
      </c>
      <c r="U622" s="87">
        <f t="shared" si="277"/>
        <v>3232.575005528468</v>
      </c>
      <c r="V622" s="87">
        <f t="shared" si="278"/>
        <v>3220.1392112098479</v>
      </c>
      <c r="W622" s="87">
        <f t="shared" si="279"/>
        <v>3217.213141958407</v>
      </c>
      <c r="X622" s="87">
        <f t="shared" si="280"/>
        <v>3217.213141958407</v>
      </c>
      <c r="Y622" s="87">
        <f t="shared" si="281"/>
        <v>3217.213141958407</v>
      </c>
      <c r="Z622" s="87">
        <f t="shared" si="282"/>
        <v>3217.213141958407</v>
      </c>
      <c r="AA622" s="40">
        <v>473</v>
      </c>
      <c r="AB622" s="89">
        <f>AA622*GDPdeflator!$C$25/$AI$18*10^3</f>
        <v>45.478712808157368</v>
      </c>
      <c r="AC622" s="90" t="e">
        <f>INDEX(Efficiencies!$D$8:$M$89,MATCH(C622,Efficiencies!$C$8:$C$89),MATCH(D622,Efficiencies!$D$7:$M$7))</f>
        <v>#REF!</v>
      </c>
      <c r="AD622" s="90" t="e">
        <f t="shared" si="267"/>
        <v>#REF!</v>
      </c>
      <c r="AE622" s="90" t="e">
        <f>INDEX(Efficiencies!$P$8:$Y$89,MATCH(C622,Efficiencies!$C$8:$C$89),MATCH(D622,Efficiencies!$P$7:$Y$7))</f>
        <v>#REF!</v>
      </c>
      <c r="AF622" s="90" t="e">
        <f t="shared" si="271"/>
        <v>#REF!</v>
      </c>
      <c r="AG622" s="90">
        <v>0</v>
      </c>
    </row>
    <row r="623" spans="1:33" x14ac:dyDescent="0.2">
      <c r="A623" s="92" t="s">
        <v>2074</v>
      </c>
      <c r="B623" s="248" t="s">
        <v>2075</v>
      </c>
      <c r="C623" s="40" t="s">
        <v>2057</v>
      </c>
      <c r="D623" s="40">
        <v>2045</v>
      </c>
      <c r="E623" s="86">
        <f>GDPdeflator!$C$32*INDEX(Costs!$E$7:$O$89,MATCH($C623,Costs!$C$7:$C$89,0),MATCH(E$7,Costs!$E$6:$O$6,0))</f>
        <v>38.748425845200039</v>
      </c>
      <c r="F623" s="86">
        <f>GDPdeflator!$C$36*INDEX(Costs!$E$7:$O$89,MATCH($C623,Costs!$C$7:$C$89,0),MATCH(F$7,Costs!$E$6:$O$6,0))</f>
        <v>39.553112893053424</v>
      </c>
      <c r="G623" s="86">
        <f>GDPdeflator!$C$38*INDEX(Costs!$E$7:$O$89,MATCH($C623,Costs!$C$7:$C$89,0),MATCH(G$7,Costs!$E$6:$O$6,0))</f>
        <v>38.723092893468696</v>
      </c>
      <c r="H623" s="86">
        <f>GDPdeflator!$C$38*INDEX(Costs!$E$7:$O$89,MATCH($C623,Costs!$C$7:$C$89,0),MATCH(H$7,Costs!$E$6:$O$6,0))</f>
        <v>39.03848460029333</v>
      </c>
      <c r="I623" s="86">
        <f>GDPdeflator!$C$38*INDEX(Costs!$E$7:$O$89,MATCH($C623,Costs!$C$7:$C$89,0),MATCH(I$7,Costs!$E$6:$O$6,0))</f>
        <v>39.24874573817641</v>
      </c>
      <c r="J623" s="86">
        <f>GDPdeflator!$C$38*INDEX(Costs!$E$7:$O$89,MATCH($C623,Costs!$C$7:$C$89,0),MATCH(J$7,Costs!$E$6:$O$6,0))</f>
        <v>38.714332012723567</v>
      </c>
      <c r="K623" s="86">
        <f>GDPdeflator!$C$38*INDEX(Costs!$E$7:$O$89,MATCH($C623,Costs!$C$7:$C$89,0),MATCH(K$7,Costs!$E$6:$O$6,0))</f>
        <v>38.565397040056382</v>
      </c>
      <c r="L623" s="86">
        <f>GDPdeflator!$C$38*INDEX(Costs!$E$7:$O$89,MATCH($C623,Costs!$C$7:$C$89,0),MATCH(L$7,Costs!$E$6:$O$6,0))</f>
        <v>38.530353517075859</v>
      </c>
      <c r="M623" s="86">
        <f>GDPdeflator!$C$38*INDEX(Costs!$E$7:$O$89,MATCH($C623,Costs!$C$7:$C$89,0),MATCH(M$7,Costs!$E$6:$O$6,0))</f>
        <v>38.530353517075859</v>
      </c>
      <c r="N623" s="86">
        <f>GDPdeflator!$C$38*INDEX(Costs!$E$7:$O$89,MATCH($C623,Costs!$C$7:$C$89,0),MATCH(N$7,Costs!$E$6:$O$6,0))</f>
        <v>38.530353517075859</v>
      </c>
      <c r="O623" s="86">
        <f>GDPdeflator!$C$38*INDEX(Costs!$E$7:$O$89,MATCH($C623,Costs!$C$7:$C$89,0),MATCH(O$7,Costs!$E$6:$O$6,0))</f>
        <v>38.530353517075859</v>
      </c>
      <c r="P623" s="87">
        <f t="shared" si="274"/>
        <v>3235.4217773821033</v>
      </c>
      <c r="Q623" s="87">
        <f t="shared" si="269"/>
        <v>3302.6116552110288</v>
      </c>
      <c r="R623" s="87">
        <f t="shared" si="268"/>
        <v>3233.3065228413279</v>
      </c>
      <c r="S623" s="87">
        <f t="shared" si="275"/>
        <v>3259.6411461042894</v>
      </c>
      <c r="T623" s="87">
        <f t="shared" si="276"/>
        <v>3277.1975616129293</v>
      </c>
      <c r="U623" s="87">
        <f t="shared" si="277"/>
        <v>3232.575005528468</v>
      </c>
      <c r="V623" s="87">
        <f t="shared" si="278"/>
        <v>3220.1392112098479</v>
      </c>
      <c r="W623" s="87">
        <f t="shared" si="279"/>
        <v>3217.213141958407</v>
      </c>
      <c r="X623" s="87">
        <f t="shared" si="280"/>
        <v>3217.213141958407</v>
      </c>
      <c r="Y623" s="87">
        <f t="shared" si="281"/>
        <v>3217.213141958407</v>
      </c>
      <c r="Z623" s="87">
        <f t="shared" si="282"/>
        <v>3217.213141958407</v>
      </c>
      <c r="AA623" s="40">
        <v>473</v>
      </c>
      <c r="AB623" s="89">
        <f>AA623*GDPdeflator!$C$25/$AI$18*10^3</f>
        <v>45.478712808157368</v>
      </c>
      <c r="AC623" s="90" t="e">
        <f>INDEX(Efficiencies!$D$8:$M$89,MATCH(C623,Efficiencies!$C$8:$C$89),MATCH(D623,Efficiencies!$D$7:$M$7))</f>
        <v>#REF!</v>
      </c>
      <c r="AD623" s="90" t="e">
        <f t="shared" si="267"/>
        <v>#REF!</v>
      </c>
      <c r="AE623" s="90" t="e">
        <f>INDEX(Efficiencies!$P$8:$Y$89,MATCH(C623,Efficiencies!$C$8:$C$89),MATCH(D623,Efficiencies!$P$7:$Y$7))</f>
        <v>#REF!</v>
      </c>
      <c r="AF623" s="90" t="e">
        <f t="shared" si="271"/>
        <v>#REF!</v>
      </c>
      <c r="AG623" s="90">
        <v>0</v>
      </c>
    </row>
    <row r="624" spans="1:33" x14ac:dyDescent="0.2">
      <c r="A624" s="92" t="s">
        <v>2076</v>
      </c>
      <c r="B624" s="248" t="s">
        <v>2077</v>
      </c>
      <c r="C624" s="40" t="s">
        <v>2057</v>
      </c>
      <c r="D624" s="40">
        <v>2050</v>
      </c>
      <c r="E624" s="86">
        <f>GDPdeflator!$C$32*INDEX(Costs!$E$7:$O$89,MATCH($C624,Costs!$C$7:$C$89,0),MATCH(E$7,Costs!$E$6:$O$6,0))</f>
        <v>38.748425845200039</v>
      </c>
      <c r="F624" s="86">
        <f>GDPdeflator!$C$36*INDEX(Costs!$E$7:$O$89,MATCH($C624,Costs!$C$7:$C$89,0),MATCH(F$7,Costs!$E$6:$O$6,0))</f>
        <v>39.553112893053424</v>
      </c>
      <c r="G624" s="86">
        <f>GDPdeflator!$C$38*INDEX(Costs!$E$7:$O$89,MATCH($C624,Costs!$C$7:$C$89,0),MATCH(G$7,Costs!$E$6:$O$6,0))</f>
        <v>38.723092893468696</v>
      </c>
      <c r="H624" s="86">
        <f>GDPdeflator!$C$38*INDEX(Costs!$E$7:$O$89,MATCH($C624,Costs!$C$7:$C$89,0),MATCH(H$7,Costs!$E$6:$O$6,0))</f>
        <v>39.03848460029333</v>
      </c>
      <c r="I624" s="86">
        <f>GDPdeflator!$C$38*INDEX(Costs!$E$7:$O$89,MATCH($C624,Costs!$C$7:$C$89,0),MATCH(I$7,Costs!$E$6:$O$6,0))</f>
        <v>39.24874573817641</v>
      </c>
      <c r="J624" s="86">
        <f>GDPdeflator!$C$38*INDEX(Costs!$E$7:$O$89,MATCH($C624,Costs!$C$7:$C$89,0),MATCH(J$7,Costs!$E$6:$O$6,0))</f>
        <v>38.714332012723567</v>
      </c>
      <c r="K624" s="86">
        <f>GDPdeflator!$C$38*INDEX(Costs!$E$7:$O$89,MATCH($C624,Costs!$C$7:$C$89,0),MATCH(K$7,Costs!$E$6:$O$6,0))</f>
        <v>38.565397040056382</v>
      </c>
      <c r="L624" s="86">
        <f>GDPdeflator!$C$38*INDEX(Costs!$E$7:$O$89,MATCH($C624,Costs!$C$7:$C$89,0),MATCH(L$7,Costs!$E$6:$O$6,0))</f>
        <v>38.530353517075859</v>
      </c>
      <c r="M624" s="86">
        <f>GDPdeflator!$C$38*INDEX(Costs!$E$7:$O$89,MATCH($C624,Costs!$C$7:$C$89,0),MATCH(M$7,Costs!$E$6:$O$6,0))</f>
        <v>38.530353517075859</v>
      </c>
      <c r="N624" s="86">
        <f>GDPdeflator!$C$38*INDEX(Costs!$E$7:$O$89,MATCH($C624,Costs!$C$7:$C$89,0),MATCH(N$7,Costs!$E$6:$O$6,0))</f>
        <v>38.530353517075859</v>
      </c>
      <c r="O624" s="86">
        <f>GDPdeflator!$C$38*INDEX(Costs!$E$7:$O$89,MATCH($C624,Costs!$C$7:$C$89,0),MATCH(O$7,Costs!$E$6:$O$6,0))</f>
        <v>38.530353517075859</v>
      </c>
      <c r="P624" s="87">
        <f t="shared" si="274"/>
        <v>3235.4217773821033</v>
      </c>
      <c r="Q624" s="87">
        <f t="shared" si="269"/>
        <v>3302.6116552110288</v>
      </c>
      <c r="R624" s="87">
        <f t="shared" si="268"/>
        <v>3233.3065228413279</v>
      </c>
      <c r="S624" s="87">
        <f t="shared" si="275"/>
        <v>3259.6411461042894</v>
      </c>
      <c r="T624" s="87">
        <f t="shared" si="276"/>
        <v>3277.1975616129293</v>
      </c>
      <c r="U624" s="87">
        <f t="shared" si="277"/>
        <v>3232.575005528468</v>
      </c>
      <c r="V624" s="87">
        <f t="shared" si="278"/>
        <v>3220.1392112098479</v>
      </c>
      <c r="W624" s="87">
        <f t="shared" si="279"/>
        <v>3217.213141958407</v>
      </c>
      <c r="X624" s="87">
        <f t="shared" si="280"/>
        <v>3217.213141958407</v>
      </c>
      <c r="Y624" s="87">
        <f t="shared" si="281"/>
        <v>3217.213141958407</v>
      </c>
      <c r="Z624" s="87">
        <f t="shared" si="282"/>
        <v>3217.213141958407</v>
      </c>
      <c r="AA624" s="40">
        <v>473</v>
      </c>
      <c r="AB624" s="89">
        <f>AA624*GDPdeflator!$C$25/$AI$18*10^3</f>
        <v>45.478712808157368</v>
      </c>
      <c r="AC624" s="90" t="e">
        <f>INDEX(Efficiencies!$D$8:$M$89,MATCH(C624,Efficiencies!$C$8:$C$89),MATCH(D624,Efficiencies!$D$7:$M$7))</f>
        <v>#REF!</v>
      </c>
      <c r="AD624" s="90" t="e">
        <f t="shared" si="267"/>
        <v>#REF!</v>
      </c>
      <c r="AE624" s="90" t="e">
        <f>INDEX(Efficiencies!$P$8:$Y$89,MATCH(C624,Efficiencies!$C$8:$C$89),MATCH(D624,Efficiencies!$P$7:$Y$7))</f>
        <v>#REF!</v>
      </c>
      <c r="AF624" s="90" t="e">
        <f t="shared" si="271"/>
        <v>#REF!</v>
      </c>
      <c r="AG624" s="90">
        <v>0</v>
      </c>
    </row>
    <row r="625" spans="1:33" x14ac:dyDescent="0.2">
      <c r="A625" s="92" t="s">
        <v>2078</v>
      </c>
      <c r="B625" s="248" t="s">
        <v>2079</v>
      </c>
      <c r="C625" s="40" t="s">
        <v>2080</v>
      </c>
      <c r="D625" s="40">
        <v>2010</v>
      </c>
      <c r="E625" s="86">
        <f>GDPdeflator!$C$32*INDEX(Costs!$E$7:$O$89,MATCH($C625,Costs!$C$7:$C$89,0),MATCH(E$7,Costs!$E$6:$O$6,0))</f>
        <v>0</v>
      </c>
      <c r="F625" s="86">
        <f>GDPdeflator!$C$36*INDEX(Costs!$E$7:$O$89,MATCH($C625,Costs!$C$7:$C$89,0),MATCH(F$7,Costs!$E$6:$O$6,0))</f>
        <v>38.86836651950626</v>
      </c>
      <c r="G625" s="86">
        <f>GDPdeflator!$C$38*INDEX(Costs!$E$7:$O$89,MATCH($C625,Costs!$C$7:$C$89,0),MATCH(G$7,Costs!$E$6:$O$6,0))</f>
        <v>39.3363545456277</v>
      </c>
      <c r="H625" s="86">
        <f>GDPdeflator!$C$38*INDEX(Costs!$E$7:$O$89,MATCH($C625,Costs!$C$7:$C$89,0),MATCH(H$7,Costs!$E$6:$O$6,0))</f>
        <v>40.317573189082118</v>
      </c>
      <c r="I625" s="86">
        <f>GDPdeflator!$C$38*INDEX(Costs!$E$7:$O$89,MATCH($C625,Costs!$C$7:$C$89,0),MATCH(I$7,Costs!$E$6:$O$6,0))</f>
        <v>41.368878878497554</v>
      </c>
      <c r="J625" s="86">
        <f>GDPdeflator!$C$38*INDEX(Costs!$E$7:$O$89,MATCH($C625,Costs!$C$7:$C$89,0),MATCH(J$7,Costs!$E$6:$O$6,0))</f>
        <v>41.456487685948836</v>
      </c>
      <c r="K625" s="86">
        <f>GDPdeflator!$C$38*INDEX(Costs!$E$7:$O$89,MATCH($C625,Costs!$C$7:$C$89,0),MATCH(K$7,Costs!$E$6:$O$6,0))</f>
        <v>41.474009447439101</v>
      </c>
      <c r="L625" s="86">
        <f>GDPdeflator!$C$38*INDEX(Costs!$E$7:$O$89,MATCH($C625,Costs!$C$7:$C$89,0),MATCH(L$7,Costs!$E$6:$O$6,0))</f>
        <v>41.491531208929352</v>
      </c>
      <c r="M625" s="86">
        <f>GDPdeflator!$C$38*INDEX(Costs!$E$7:$O$89,MATCH($C625,Costs!$C$7:$C$89,0),MATCH(M$7,Costs!$E$6:$O$6,0))</f>
        <v>41.491531208929352</v>
      </c>
      <c r="N625" s="86">
        <f>GDPdeflator!$C$38*INDEX(Costs!$E$7:$O$89,MATCH($C625,Costs!$C$7:$C$89,0),MATCH(N$7,Costs!$E$6:$O$6,0))</f>
        <v>41.491531208929352</v>
      </c>
      <c r="O625" s="86">
        <f>GDPdeflator!$C$38*INDEX(Costs!$E$7:$O$89,MATCH($C625,Costs!$C$7:$C$89,0),MATCH(O$7,Costs!$E$6:$O$6,0))</f>
        <v>41.491531208929352</v>
      </c>
      <c r="P625" s="87">
        <f>E625/$AI$18*10^6</f>
        <v>0</v>
      </c>
      <c r="Q625" s="87">
        <f t="shared" si="269"/>
        <v>3245.4366014989469</v>
      </c>
      <c r="R625" s="87">
        <f t="shared" si="268"/>
        <v>3284.5127347415296</v>
      </c>
      <c r="S625" s="87">
        <f t="shared" si="275"/>
        <v>3366.4426737818535</v>
      </c>
      <c r="T625" s="87">
        <f t="shared" si="276"/>
        <v>3454.2247513250568</v>
      </c>
      <c r="U625" s="87">
        <f t="shared" si="277"/>
        <v>3461.539924453657</v>
      </c>
      <c r="V625" s="87">
        <f t="shared" si="278"/>
        <v>3463.0029590793779</v>
      </c>
      <c r="W625" s="87">
        <f t="shared" si="279"/>
        <v>3464.4659937050969</v>
      </c>
      <c r="X625" s="87">
        <f t="shared" si="280"/>
        <v>3464.4659937050969</v>
      </c>
      <c r="Y625" s="87">
        <f t="shared" si="281"/>
        <v>3464.4659937050969</v>
      </c>
      <c r="Z625" s="87">
        <f t="shared" si="282"/>
        <v>3464.4659937050969</v>
      </c>
      <c r="AA625" s="40">
        <v>473</v>
      </c>
      <c r="AB625" s="89">
        <f>AA625*GDPdeflator!$C$25/$AI$18*10^3</f>
        <v>45.478712808157368</v>
      </c>
      <c r="AC625" s="90" t="e">
        <f>INDEX(Efficiencies!$D$8:$M$89,MATCH(C625,Efficiencies!$C$8:$C$89),MATCH(D625,Efficiencies!$D$7:$M$7))</f>
        <v>#REF!</v>
      </c>
      <c r="AD625" s="90" t="e">
        <f t="shared" si="267"/>
        <v>#REF!</v>
      </c>
      <c r="AE625" s="90" t="e">
        <f>INDEX(Efficiencies!$P$8:$Y$89,MATCH(C625,Efficiencies!$C$8:$C$89),MATCH(D625,Efficiencies!$P$7:$Y$7))</f>
        <v>#REF!</v>
      </c>
      <c r="AF625" s="90" t="e">
        <f t="shared" si="271"/>
        <v>#REF!</v>
      </c>
      <c r="AG625" s="90" t="e">
        <f>AdditionalVehs!$C$33</f>
        <v>#REF!</v>
      </c>
    </row>
    <row r="626" spans="1:33" x14ac:dyDescent="0.2">
      <c r="A626" s="92" t="s">
        <v>2081</v>
      </c>
      <c r="B626" s="248" t="s">
        <v>2082</v>
      </c>
      <c r="C626" s="40" t="s">
        <v>2080</v>
      </c>
      <c r="D626" s="40">
        <v>2015</v>
      </c>
      <c r="E626" s="86">
        <f>GDPdeflator!$C$32*INDEX(Costs!$E$7:$O$89,MATCH($C626,Costs!$C$7:$C$89,0),MATCH(E$7,Costs!$E$6:$O$6,0))</f>
        <v>0</v>
      </c>
      <c r="F626" s="86">
        <f>GDPdeflator!$C$36*INDEX(Costs!$E$7:$O$89,MATCH($C626,Costs!$C$7:$C$89,0),MATCH(F$7,Costs!$E$6:$O$6,0))</f>
        <v>38.86836651950626</v>
      </c>
      <c r="G626" s="86">
        <f>GDPdeflator!$C$38*INDEX(Costs!$E$7:$O$89,MATCH($C626,Costs!$C$7:$C$89,0),MATCH(G$7,Costs!$E$6:$O$6,0))</f>
        <v>39.3363545456277</v>
      </c>
      <c r="H626" s="86">
        <f>GDPdeflator!$C$38*INDEX(Costs!$E$7:$O$89,MATCH($C626,Costs!$C$7:$C$89,0),MATCH(H$7,Costs!$E$6:$O$6,0))</f>
        <v>40.317573189082118</v>
      </c>
      <c r="I626" s="86">
        <f>GDPdeflator!$C$38*INDEX(Costs!$E$7:$O$89,MATCH($C626,Costs!$C$7:$C$89,0),MATCH(I$7,Costs!$E$6:$O$6,0))</f>
        <v>41.368878878497554</v>
      </c>
      <c r="J626" s="86">
        <f>GDPdeflator!$C$38*INDEX(Costs!$E$7:$O$89,MATCH($C626,Costs!$C$7:$C$89,0),MATCH(J$7,Costs!$E$6:$O$6,0))</f>
        <v>41.456487685948836</v>
      </c>
      <c r="K626" s="86">
        <f>GDPdeflator!$C$38*INDEX(Costs!$E$7:$O$89,MATCH($C626,Costs!$C$7:$C$89,0),MATCH(K$7,Costs!$E$6:$O$6,0))</f>
        <v>41.474009447439101</v>
      </c>
      <c r="L626" s="86">
        <f>GDPdeflator!$C$38*INDEX(Costs!$E$7:$O$89,MATCH($C626,Costs!$C$7:$C$89,0),MATCH(L$7,Costs!$E$6:$O$6,0))</f>
        <v>41.491531208929352</v>
      </c>
      <c r="M626" s="86">
        <f>GDPdeflator!$C$38*INDEX(Costs!$E$7:$O$89,MATCH($C626,Costs!$C$7:$C$89,0),MATCH(M$7,Costs!$E$6:$O$6,0))</f>
        <v>41.491531208929352</v>
      </c>
      <c r="N626" s="86">
        <f>GDPdeflator!$C$38*INDEX(Costs!$E$7:$O$89,MATCH($C626,Costs!$C$7:$C$89,0),MATCH(N$7,Costs!$E$6:$O$6,0))</f>
        <v>41.491531208929352</v>
      </c>
      <c r="O626" s="86">
        <f>GDPdeflator!$C$38*INDEX(Costs!$E$7:$O$89,MATCH($C626,Costs!$C$7:$C$89,0),MATCH(O$7,Costs!$E$6:$O$6,0))</f>
        <v>41.491531208929352</v>
      </c>
      <c r="P626" s="87">
        <f t="shared" ref="P626:P633" si="283">E626/$AI$18*10^6</f>
        <v>0</v>
      </c>
      <c r="Q626" s="87">
        <f t="shared" si="269"/>
        <v>3245.4366014989469</v>
      </c>
      <c r="R626" s="87">
        <f t="shared" si="268"/>
        <v>3284.5127347415296</v>
      </c>
      <c r="S626" s="87">
        <f t="shared" si="275"/>
        <v>3366.4426737818535</v>
      </c>
      <c r="T626" s="87">
        <f t="shared" si="276"/>
        <v>3454.2247513250568</v>
      </c>
      <c r="U626" s="87">
        <f t="shared" si="277"/>
        <v>3461.539924453657</v>
      </c>
      <c r="V626" s="87">
        <f t="shared" si="278"/>
        <v>3463.0029590793779</v>
      </c>
      <c r="W626" s="87">
        <f t="shared" si="279"/>
        <v>3464.4659937050969</v>
      </c>
      <c r="X626" s="87">
        <f t="shared" si="280"/>
        <v>3464.4659937050969</v>
      </c>
      <c r="Y626" s="87">
        <f t="shared" si="281"/>
        <v>3464.4659937050969</v>
      </c>
      <c r="Z626" s="87">
        <f t="shared" si="282"/>
        <v>3464.4659937050969</v>
      </c>
      <c r="AA626" s="40">
        <v>473</v>
      </c>
      <c r="AB626" s="89">
        <f>AA626*GDPdeflator!$C$25/$AI$18*10^3</f>
        <v>45.478712808157368</v>
      </c>
      <c r="AC626" s="90" t="e">
        <f>INDEX(Efficiencies!$D$8:$M$89,MATCH(C626,Efficiencies!$C$8:$C$89),MATCH(D626,Efficiencies!$D$7:$M$7))</f>
        <v>#REF!</v>
      </c>
      <c r="AD626" s="90" t="e">
        <f t="shared" si="267"/>
        <v>#REF!</v>
      </c>
      <c r="AE626" s="90" t="e">
        <f>INDEX(Efficiencies!$P$8:$Y$89,MATCH(C626,Efficiencies!$C$8:$C$89),MATCH(D626,Efficiencies!$P$7:$Y$7))</f>
        <v>#REF!</v>
      </c>
      <c r="AF626" s="90" t="e">
        <f t="shared" si="271"/>
        <v>#REF!</v>
      </c>
      <c r="AG626" s="90" t="e">
        <f>AdditionalVehs!$C$33</f>
        <v>#REF!</v>
      </c>
    </row>
    <row r="627" spans="1:33" x14ac:dyDescent="0.2">
      <c r="A627" s="92" t="s">
        <v>2083</v>
      </c>
      <c r="B627" s="248" t="s">
        <v>2084</v>
      </c>
      <c r="C627" s="40" t="s">
        <v>2080</v>
      </c>
      <c r="D627" s="40">
        <v>2020</v>
      </c>
      <c r="E627" s="86">
        <f>GDPdeflator!$C$32*INDEX(Costs!$E$7:$O$89,MATCH($C627,Costs!$C$7:$C$89,0),MATCH(E$7,Costs!$E$6:$O$6,0))</f>
        <v>0</v>
      </c>
      <c r="F627" s="86">
        <f>GDPdeflator!$C$36*INDEX(Costs!$E$7:$O$89,MATCH($C627,Costs!$C$7:$C$89,0),MATCH(F$7,Costs!$E$6:$O$6,0))</f>
        <v>38.86836651950626</v>
      </c>
      <c r="G627" s="86">
        <f>GDPdeflator!$C$38*INDEX(Costs!$E$7:$O$89,MATCH($C627,Costs!$C$7:$C$89,0),MATCH(G$7,Costs!$E$6:$O$6,0))</f>
        <v>39.3363545456277</v>
      </c>
      <c r="H627" s="86">
        <f>GDPdeflator!$C$38*INDEX(Costs!$E$7:$O$89,MATCH($C627,Costs!$C$7:$C$89,0),MATCH(H$7,Costs!$E$6:$O$6,0))</f>
        <v>40.317573189082118</v>
      </c>
      <c r="I627" s="86">
        <f>GDPdeflator!$C$38*INDEX(Costs!$E$7:$O$89,MATCH($C627,Costs!$C$7:$C$89,0),MATCH(I$7,Costs!$E$6:$O$6,0))</f>
        <v>41.368878878497554</v>
      </c>
      <c r="J627" s="86">
        <f>GDPdeflator!$C$38*INDEX(Costs!$E$7:$O$89,MATCH($C627,Costs!$C$7:$C$89,0),MATCH(J$7,Costs!$E$6:$O$6,0))</f>
        <v>41.456487685948836</v>
      </c>
      <c r="K627" s="86">
        <f>GDPdeflator!$C$38*INDEX(Costs!$E$7:$O$89,MATCH($C627,Costs!$C$7:$C$89,0),MATCH(K$7,Costs!$E$6:$O$6,0))</f>
        <v>41.474009447439101</v>
      </c>
      <c r="L627" s="86">
        <f>GDPdeflator!$C$38*INDEX(Costs!$E$7:$O$89,MATCH($C627,Costs!$C$7:$C$89,0),MATCH(L$7,Costs!$E$6:$O$6,0))</f>
        <v>41.491531208929352</v>
      </c>
      <c r="M627" s="86">
        <f>GDPdeflator!$C$38*INDEX(Costs!$E$7:$O$89,MATCH($C627,Costs!$C$7:$C$89,0),MATCH(M$7,Costs!$E$6:$O$6,0))</f>
        <v>41.491531208929352</v>
      </c>
      <c r="N627" s="86">
        <f>GDPdeflator!$C$38*INDEX(Costs!$E$7:$O$89,MATCH($C627,Costs!$C$7:$C$89,0),MATCH(N$7,Costs!$E$6:$O$6,0))</f>
        <v>41.491531208929352</v>
      </c>
      <c r="O627" s="86">
        <f>GDPdeflator!$C$38*INDEX(Costs!$E$7:$O$89,MATCH($C627,Costs!$C$7:$C$89,0),MATCH(O$7,Costs!$E$6:$O$6,0))</f>
        <v>41.491531208929352</v>
      </c>
      <c r="P627" s="87">
        <f t="shared" si="283"/>
        <v>0</v>
      </c>
      <c r="Q627" s="87">
        <f t="shared" si="269"/>
        <v>3245.4366014989469</v>
      </c>
      <c r="R627" s="87">
        <f t="shared" si="268"/>
        <v>3284.5127347415296</v>
      </c>
      <c r="S627" s="87">
        <f t="shared" si="275"/>
        <v>3366.4426737818535</v>
      </c>
      <c r="T627" s="87">
        <f t="shared" si="276"/>
        <v>3454.2247513250568</v>
      </c>
      <c r="U627" s="87">
        <f t="shared" si="277"/>
        <v>3461.539924453657</v>
      </c>
      <c r="V627" s="87">
        <f t="shared" si="278"/>
        <v>3463.0029590793779</v>
      </c>
      <c r="W627" s="87">
        <f t="shared" si="279"/>
        <v>3464.4659937050969</v>
      </c>
      <c r="X627" s="87">
        <f t="shared" si="280"/>
        <v>3464.4659937050969</v>
      </c>
      <c r="Y627" s="87">
        <f t="shared" si="281"/>
        <v>3464.4659937050969</v>
      </c>
      <c r="Z627" s="87">
        <f t="shared" si="282"/>
        <v>3464.4659937050969</v>
      </c>
      <c r="AA627" s="40">
        <v>473</v>
      </c>
      <c r="AB627" s="89">
        <f>AA627*GDPdeflator!$C$25/$AI$18*10^3</f>
        <v>45.478712808157368</v>
      </c>
      <c r="AC627" s="90" t="e">
        <f>INDEX(Efficiencies!$D$8:$M$89,MATCH(C627,Efficiencies!$C$8:$C$89),MATCH(D627,Efficiencies!$D$7:$M$7))</f>
        <v>#REF!</v>
      </c>
      <c r="AD627" s="90" t="e">
        <f t="shared" si="267"/>
        <v>#REF!</v>
      </c>
      <c r="AE627" s="90" t="e">
        <f>INDEX(Efficiencies!$P$8:$Y$89,MATCH(C627,Efficiencies!$C$8:$C$89),MATCH(D627,Efficiencies!$P$7:$Y$7))</f>
        <v>#REF!</v>
      </c>
      <c r="AF627" s="90" t="e">
        <f t="shared" si="271"/>
        <v>#REF!</v>
      </c>
      <c r="AG627" s="90" t="e">
        <f>AdditionalVehs!$C$33</f>
        <v>#REF!</v>
      </c>
    </row>
    <row r="628" spans="1:33" x14ac:dyDescent="0.2">
      <c r="A628" s="92" t="s">
        <v>2085</v>
      </c>
      <c r="B628" s="248" t="s">
        <v>2086</v>
      </c>
      <c r="C628" s="40" t="s">
        <v>2080</v>
      </c>
      <c r="D628" s="40">
        <v>2025</v>
      </c>
      <c r="E628" s="86">
        <f>GDPdeflator!$C$32*INDEX(Costs!$E$7:$O$89,MATCH($C628,Costs!$C$7:$C$89,0),MATCH(E$7,Costs!$E$6:$O$6,0))</f>
        <v>0</v>
      </c>
      <c r="F628" s="86">
        <f>GDPdeflator!$C$36*INDEX(Costs!$E$7:$O$89,MATCH($C628,Costs!$C$7:$C$89,0),MATCH(F$7,Costs!$E$6:$O$6,0))</f>
        <v>38.86836651950626</v>
      </c>
      <c r="G628" s="86">
        <f>GDPdeflator!$C$38*INDEX(Costs!$E$7:$O$89,MATCH($C628,Costs!$C$7:$C$89,0),MATCH(G$7,Costs!$E$6:$O$6,0))</f>
        <v>39.3363545456277</v>
      </c>
      <c r="H628" s="86">
        <f>GDPdeflator!$C$38*INDEX(Costs!$E$7:$O$89,MATCH($C628,Costs!$C$7:$C$89,0),MATCH(H$7,Costs!$E$6:$O$6,0))</f>
        <v>40.317573189082118</v>
      </c>
      <c r="I628" s="86">
        <f>GDPdeflator!$C$38*INDEX(Costs!$E$7:$O$89,MATCH($C628,Costs!$C$7:$C$89,0),MATCH(I$7,Costs!$E$6:$O$6,0))</f>
        <v>41.368878878497554</v>
      </c>
      <c r="J628" s="86">
        <f>GDPdeflator!$C$38*INDEX(Costs!$E$7:$O$89,MATCH($C628,Costs!$C$7:$C$89,0),MATCH(J$7,Costs!$E$6:$O$6,0))</f>
        <v>41.456487685948836</v>
      </c>
      <c r="K628" s="86">
        <f>GDPdeflator!$C$38*INDEX(Costs!$E$7:$O$89,MATCH($C628,Costs!$C$7:$C$89,0),MATCH(K$7,Costs!$E$6:$O$6,0))</f>
        <v>41.474009447439101</v>
      </c>
      <c r="L628" s="86">
        <f>GDPdeflator!$C$38*INDEX(Costs!$E$7:$O$89,MATCH($C628,Costs!$C$7:$C$89,0),MATCH(L$7,Costs!$E$6:$O$6,0))</f>
        <v>41.491531208929352</v>
      </c>
      <c r="M628" s="86">
        <f>GDPdeflator!$C$38*INDEX(Costs!$E$7:$O$89,MATCH($C628,Costs!$C$7:$C$89,0),MATCH(M$7,Costs!$E$6:$O$6,0))</f>
        <v>41.491531208929352</v>
      </c>
      <c r="N628" s="86">
        <f>GDPdeflator!$C$38*INDEX(Costs!$E$7:$O$89,MATCH($C628,Costs!$C$7:$C$89,0),MATCH(N$7,Costs!$E$6:$O$6,0))</f>
        <v>41.491531208929352</v>
      </c>
      <c r="O628" s="86">
        <f>GDPdeflator!$C$38*INDEX(Costs!$E$7:$O$89,MATCH($C628,Costs!$C$7:$C$89,0),MATCH(O$7,Costs!$E$6:$O$6,0))</f>
        <v>41.491531208929352</v>
      </c>
      <c r="P628" s="87">
        <f t="shared" si="283"/>
        <v>0</v>
      </c>
      <c r="Q628" s="87">
        <f t="shared" si="269"/>
        <v>3245.4366014989469</v>
      </c>
      <c r="R628" s="87">
        <f t="shared" si="268"/>
        <v>3284.5127347415296</v>
      </c>
      <c r="S628" s="87">
        <f t="shared" si="275"/>
        <v>3366.4426737818535</v>
      </c>
      <c r="T628" s="87">
        <f t="shared" si="276"/>
        <v>3454.2247513250568</v>
      </c>
      <c r="U628" s="87">
        <f t="shared" si="277"/>
        <v>3461.539924453657</v>
      </c>
      <c r="V628" s="87">
        <f t="shared" si="278"/>
        <v>3463.0029590793779</v>
      </c>
      <c r="W628" s="87">
        <f t="shared" si="279"/>
        <v>3464.4659937050969</v>
      </c>
      <c r="X628" s="87">
        <f t="shared" si="280"/>
        <v>3464.4659937050969</v>
      </c>
      <c r="Y628" s="87">
        <f t="shared" si="281"/>
        <v>3464.4659937050969</v>
      </c>
      <c r="Z628" s="87">
        <f t="shared" si="282"/>
        <v>3464.4659937050969</v>
      </c>
      <c r="AA628" s="40">
        <v>473</v>
      </c>
      <c r="AB628" s="89">
        <f>AA628*GDPdeflator!$C$25/$AI$18*10^3</f>
        <v>45.478712808157368</v>
      </c>
      <c r="AC628" s="90" t="e">
        <f>INDEX(Efficiencies!$D$8:$M$89,MATCH(C628,Efficiencies!$C$8:$C$89),MATCH(D628,Efficiencies!$D$7:$M$7))</f>
        <v>#REF!</v>
      </c>
      <c r="AD628" s="90" t="e">
        <f t="shared" si="267"/>
        <v>#REF!</v>
      </c>
      <c r="AE628" s="90" t="e">
        <f>INDEX(Efficiencies!$P$8:$Y$89,MATCH(C628,Efficiencies!$C$8:$C$89),MATCH(D628,Efficiencies!$P$7:$Y$7))</f>
        <v>#REF!</v>
      </c>
      <c r="AF628" s="90" t="e">
        <f t="shared" si="271"/>
        <v>#REF!</v>
      </c>
      <c r="AG628" s="90" t="e">
        <f>AdditionalVehs!$C$33</f>
        <v>#REF!</v>
      </c>
    </row>
    <row r="629" spans="1:33" x14ac:dyDescent="0.2">
      <c r="A629" s="92" t="s">
        <v>2087</v>
      </c>
      <c r="B629" s="248" t="s">
        <v>2088</v>
      </c>
      <c r="C629" s="40" t="s">
        <v>2080</v>
      </c>
      <c r="D629" s="40">
        <v>2030</v>
      </c>
      <c r="E629" s="86">
        <f>GDPdeflator!$C$32*INDEX(Costs!$E$7:$O$89,MATCH($C629,Costs!$C$7:$C$89,0),MATCH(E$7,Costs!$E$6:$O$6,0))</f>
        <v>0</v>
      </c>
      <c r="F629" s="86">
        <f>GDPdeflator!$C$36*INDEX(Costs!$E$7:$O$89,MATCH($C629,Costs!$C$7:$C$89,0),MATCH(F$7,Costs!$E$6:$O$6,0))</f>
        <v>38.86836651950626</v>
      </c>
      <c r="G629" s="86">
        <f>GDPdeflator!$C$38*INDEX(Costs!$E$7:$O$89,MATCH($C629,Costs!$C$7:$C$89,0),MATCH(G$7,Costs!$E$6:$O$6,0))</f>
        <v>39.3363545456277</v>
      </c>
      <c r="H629" s="86">
        <f>GDPdeflator!$C$38*INDEX(Costs!$E$7:$O$89,MATCH($C629,Costs!$C$7:$C$89,0),MATCH(H$7,Costs!$E$6:$O$6,0))</f>
        <v>40.317573189082118</v>
      </c>
      <c r="I629" s="86">
        <f>GDPdeflator!$C$38*INDEX(Costs!$E$7:$O$89,MATCH($C629,Costs!$C$7:$C$89,0),MATCH(I$7,Costs!$E$6:$O$6,0))</f>
        <v>41.368878878497554</v>
      </c>
      <c r="J629" s="86">
        <f>GDPdeflator!$C$38*INDEX(Costs!$E$7:$O$89,MATCH($C629,Costs!$C$7:$C$89,0),MATCH(J$7,Costs!$E$6:$O$6,0))</f>
        <v>41.456487685948836</v>
      </c>
      <c r="K629" s="86">
        <f>GDPdeflator!$C$38*INDEX(Costs!$E$7:$O$89,MATCH($C629,Costs!$C$7:$C$89,0),MATCH(K$7,Costs!$E$6:$O$6,0))</f>
        <v>41.474009447439101</v>
      </c>
      <c r="L629" s="86">
        <f>GDPdeflator!$C$38*INDEX(Costs!$E$7:$O$89,MATCH($C629,Costs!$C$7:$C$89,0),MATCH(L$7,Costs!$E$6:$O$6,0))</f>
        <v>41.491531208929352</v>
      </c>
      <c r="M629" s="86">
        <f>GDPdeflator!$C$38*INDEX(Costs!$E$7:$O$89,MATCH($C629,Costs!$C$7:$C$89,0),MATCH(M$7,Costs!$E$6:$O$6,0))</f>
        <v>41.491531208929352</v>
      </c>
      <c r="N629" s="86">
        <f>GDPdeflator!$C$38*INDEX(Costs!$E$7:$O$89,MATCH($C629,Costs!$C$7:$C$89,0),MATCH(N$7,Costs!$E$6:$O$6,0))</f>
        <v>41.491531208929352</v>
      </c>
      <c r="O629" s="86">
        <f>GDPdeflator!$C$38*INDEX(Costs!$E$7:$O$89,MATCH($C629,Costs!$C$7:$C$89,0),MATCH(O$7,Costs!$E$6:$O$6,0))</f>
        <v>41.491531208929352</v>
      </c>
      <c r="P629" s="87">
        <f t="shared" si="283"/>
        <v>0</v>
      </c>
      <c r="Q629" s="87">
        <f t="shared" si="269"/>
        <v>3245.4366014989469</v>
      </c>
      <c r="R629" s="87">
        <f t="shared" si="268"/>
        <v>3284.5127347415296</v>
      </c>
      <c r="S629" s="87">
        <f t="shared" si="275"/>
        <v>3366.4426737818535</v>
      </c>
      <c r="T629" s="87">
        <f t="shared" si="276"/>
        <v>3454.2247513250568</v>
      </c>
      <c r="U629" s="87">
        <f t="shared" si="277"/>
        <v>3461.539924453657</v>
      </c>
      <c r="V629" s="87">
        <f t="shared" si="278"/>
        <v>3463.0029590793779</v>
      </c>
      <c r="W629" s="87">
        <f t="shared" si="279"/>
        <v>3464.4659937050969</v>
      </c>
      <c r="X629" s="87">
        <f t="shared" si="280"/>
        <v>3464.4659937050969</v>
      </c>
      <c r="Y629" s="87">
        <f t="shared" si="281"/>
        <v>3464.4659937050969</v>
      </c>
      <c r="Z629" s="87">
        <f t="shared" si="282"/>
        <v>3464.4659937050969</v>
      </c>
      <c r="AA629" s="40">
        <v>473</v>
      </c>
      <c r="AB629" s="89">
        <f>AA629*GDPdeflator!$C$25/$AI$18*10^3</f>
        <v>45.478712808157368</v>
      </c>
      <c r="AC629" s="90" t="e">
        <f>INDEX(Efficiencies!$D$8:$M$89,MATCH(C629,Efficiencies!$C$8:$C$89),MATCH(D629,Efficiencies!$D$7:$M$7))</f>
        <v>#REF!</v>
      </c>
      <c r="AD629" s="90" t="e">
        <f t="shared" si="267"/>
        <v>#REF!</v>
      </c>
      <c r="AE629" s="90" t="e">
        <f>INDEX(Efficiencies!$P$8:$Y$89,MATCH(C629,Efficiencies!$C$8:$C$89),MATCH(D629,Efficiencies!$P$7:$Y$7))</f>
        <v>#REF!</v>
      </c>
      <c r="AF629" s="90" t="e">
        <f t="shared" si="271"/>
        <v>#REF!</v>
      </c>
      <c r="AG629" s="90" t="e">
        <f>AdditionalVehs!$C$33</f>
        <v>#REF!</v>
      </c>
    </row>
    <row r="630" spans="1:33" x14ac:dyDescent="0.2">
      <c r="A630" s="92" t="s">
        <v>2089</v>
      </c>
      <c r="B630" s="248" t="s">
        <v>2090</v>
      </c>
      <c r="C630" s="40" t="s">
        <v>2080</v>
      </c>
      <c r="D630" s="40">
        <v>2035</v>
      </c>
      <c r="E630" s="86">
        <f>GDPdeflator!$C$32*INDEX(Costs!$E$7:$O$89,MATCH($C630,Costs!$C$7:$C$89,0),MATCH(E$7,Costs!$E$6:$O$6,0))</f>
        <v>0</v>
      </c>
      <c r="F630" s="86">
        <f>GDPdeflator!$C$36*INDEX(Costs!$E$7:$O$89,MATCH($C630,Costs!$C$7:$C$89,0),MATCH(F$7,Costs!$E$6:$O$6,0))</f>
        <v>38.86836651950626</v>
      </c>
      <c r="G630" s="86">
        <f>GDPdeflator!$C$38*INDEX(Costs!$E$7:$O$89,MATCH($C630,Costs!$C$7:$C$89,0),MATCH(G$7,Costs!$E$6:$O$6,0))</f>
        <v>39.3363545456277</v>
      </c>
      <c r="H630" s="86">
        <f>GDPdeflator!$C$38*INDEX(Costs!$E$7:$O$89,MATCH($C630,Costs!$C$7:$C$89,0),MATCH(H$7,Costs!$E$6:$O$6,0))</f>
        <v>40.317573189082118</v>
      </c>
      <c r="I630" s="86">
        <f>GDPdeflator!$C$38*INDEX(Costs!$E$7:$O$89,MATCH($C630,Costs!$C$7:$C$89,0),MATCH(I$7,Costs!$E$6:$O$6,0))</f>
        <v>41.368878878497554</v>
      </c>
      <c r="J630" s="86">
        <f>GDPdeflator!$C$38*INDEX(Costs!$E$7:$O$89,MATCH($C630,Costs!$C$7:$C$89,0),MATCH(J$7,Costs!$E$6:$O$6,0))</f>
        <v>41.456487685948836</v>
      </c>
      <c r="K630" s="86">
        <f>GDPdeflator!$C$38*INDEX(Costs!$E$7:$O$89,MATCH($C630,Costs!$C$7:$C$89,0),MATCH(K$7,Costs!$E$6:$O$6,0))</f>
        <v>41.474009447439101</v>
      </c>
      <c r="L630" s="86">
        <f>GDPdeflator!$C$38*INDEX(Costs!$E$7:$O$89,MATCH($C630,Costs!$C$7:$C$89,0),MATCH(L$7,Costs!$E$6:$O$6,0))</f>
        <v>41.491531208929352</v>
      </c>
      <c r="M630" s="86">
        <f>GDPdeflator!$C$38*INDEX(Costs!$E$7:$O$89,MATCH($C630,Costs!$C$7:$C$89,0),MATCH(M$7,Costs!$E$6:$O$6,0))</f>
        <v>41.491531208929352</v>
      </c>
      <c r="N630" s="86">
        <f>GDPdeflator!$C$38*INDEX(Costs!$E$7:$O$89,MATCH($C630,Costs!$C$7:$C$89,0),MATCH(N$7,Costs!$E$6:$O$6,0))</f>
        <v>41.491531208929352</v>
      </c>
      <c r="O630" s="86">
        <f>GDPdeflator!$C$38*INDEX(Costs!$E$7:$O$89,MATCH($C630,Costs!$C$7:$C$89,0),MATCH(O$7,Costs!$E$6:$O$6,0))</f>
        <v>41.491531208929352</v>
      </c>
      <c r="P630" s="87">
        <f t="shared" si="283"/>
        <v>0</v>
      </c>
      <c r="Q630" s="87">
        <f t="shared" si="269"/>
        <v>3245.4366014989469</v>
      </c>
      <c r="R630" s="87">
        <f t="shared" si="268"/>
        <v>3284.5127347415296</v>
      </c>
      <c r="S630" s="87">
        <f t="shared" si="275"/>
        <v>3366.4426737818535</v>
      </c>
      <c r="T630" s="87">
        <f t="shared" si="276"/>
        <v>3454.2247513250568</v>
      </c>
      <c r="U630" s="87">
        <f t="shared" si="277"/>
        <v>3461.539924453657</v>
      </c>
      <c r="V630" s="87">
        <f t="shared" si="278"/>
        <v>3463.0029590793779</v>
      </c>
      <c r="W630" s="87">
        <f t="shared" si="279"/>
        <v>3464.4659937050969</v>
      </c>
      <c r="X630" s="87">
        <f t="shared" si="280"/>
        <v>3464.4659937050969</v>
      </c>
      <c r="Y630" s="87">
        <f t="shared" si="281"/>
        <v>3464.4659937050969</v>
      </c>
      <c r="Z630" s="87">
        <f t="shared" si="282"/>
        <v>3464.4659937050969</v>
      </c>
      <c r="AA630" s="40">
        <v>473</v>
      </c>
      <c r="AB630" s="89">
        <f>AA630*GDPdeflator!$C$25/$AI$18*10^3</f>
        <v>45.478712808157368</v>
      </c>
      <c r="AC630" s="90" t="e">
        <f>INDEX(Efficiencies!$D$8:$M$89,MATCH(C630,Efficiencies!$C$8:$C$89),MATCH(D630,Efficiencies!$D$7:$M$7))</f>
        <v>#REF!</v>
      </c>
      <c r="AD630" s="90" t="e">
        <f t="shared" si="267"/>
        <v>#REF!</v>
      </c>
      <c r="AE630" s="90" t="e">
        <f>INDEX(Efficiencies!$P$8:$Y$89,MATCH(C630,Efficiencies!$C$8:$C$89),MATCH(D630,Efficiencies!$P$7:$Y$7))</f>
        <v>#REF!</v>
      </c>
      <c r="AF630" s="90" t="e">
        <f t="shared" si="271"/>
        <v>#REF!</v>
      </c>
      <c r="AG630" s="90" t="e">
        <f>AdditionalVehs!$C$33</f>
        <v>#REF!</v>
      </c>
    </row>
    <row r="631" spans="1:33" x14ac:dyDescent="0.2">
      <c r="A631" s="92" t="s">
        <v>2091</v>
      </c>
      <c r="B631" s="248" t="s">
        <v>2092</v>
      </c>
      <c r="C631" s="40" t="s">
        <v>2080</v>
      </c>
      <c r="D631" s="40">
        <v>2040</v>
      </c>
      <c r="E631" s="86">
        <f>GDPdeflator!$C$32*INDEX(Costs!$E$7:$O$89,MATCH($C631,Costs!$C$7:$C$89,0),MATCH(E$7,Costs!$E$6:$O$6,0))</f>
        <v>0</v>
      </c>
      <c r="F631" s="86">
        <f>GDPdeflator!$C$36*INDEX(Costs!$E$7:$O$89,MATCH($C631,Costs!$C$7:$C$89,0),MATCH(F$7,Costs!$E$6:$O$6,0))</f>
        <v>38.86836651950626</v>
      </c>
      <c r="G631" s="86">
        <f>GDPdeflator!$C$38*INDEX(Costs!$E$7:$O$89,MATCH($C631,Costs!$C$7:$C$89,0),MATCH(G$7,Costs!$E$6:$O$6,0))</f>
        <v>39.3363545456277</v>
      </c>
      <c r="H631" s="86">
        <f>GDPdeflator!$C$38*INDEX(Costs!$E$7:$O$89,MATCH($C631,Costs!$C$7:$C$89,0),MATCH(H$7,Costs!$E$6:$O$6,0))</f>
        <v>40.317573189082118</v>
      </c>
      <c r="I631" s="86">
        <f>GDPdeflator!$C$38*INDEX(Costs!$E$7:$O$89,MATCH($C631,Costs!$C$7:$C$89,0),MATCH(I$7,Costs!$E$6:$O$6,0))</f>
        <v>41.368878878497554</v>
      </c>
      <c r="J631" s="86">
        <f>GDPdeflator!$C$38*INDEX(Costs!$E$7:$O$89,MATCH($C631,Costs!$C$7:$C$89,0),MATCH(J$7,Costs!$E$6:$O$6,0))</f>
        <v>41.456487685948836</v>
      </c>
      <c r="K631" s="86">
        <f>GDPdeflator!$C$38*INDEX(Costs!$E$7:$O$89,MATCH($C631,Costs!$C$7:$C$89,0),MATCH(K$7,Costs!$E$6:$O$6,0))</f>
        <v>41.474009447439101</v>
      </c>
      <c r="L631" s="86">
        <f>GDPdeflator!$C$38*INDEX(Costs!$E$7:$O$89,MATCH($C631,Costs!$C$7:$C$89,0),MATCH(L$7,Costs!$E$6:$O$6,0))</f>
        <v>41.491531208929352</v>
      </c>
      <c r="M631" s="86">
        <f>GDPdeflator!$C$38*INDEX(Costs!$E$7:$O$89,MATCH($C631,Costs!$C$7:$C$89,0),MATCH(M$7,Costs!$E$6:$O$6,0))</f>
        <v>41.491531208929352</v>
      </c>
      <c r="N631" s="86">
        <f>GDPdeflator!$C$38*INDEX(Costs!$E$7:$O$89,MATCH($C631,Costs!$C$7:$C$89,0),MATCH(N$7,Costs!$E$6:$O$6,0))</f>
        <v>41.491531208929352</v>
      </c>
      <c r="O631" s="86">
        <f>GDPdeflator!$C$38*INDEX(Costs!$E$7:$O$89,MATCH($C631,Costs!$C$7:$C$89,0),MATCH(O$7,Costs!$E$6:$O$6,0))</f>
        <v>41.491531208929352</v>
      </c>
      <c r="P631" s="87">
        <f t="shared" si="283"/>
        <v>0</v>
      </c>
      <c r="Q631" s="87">
        <f t="shared" si="269"/>
        <v>3245.4366014989469</v>
      </c>
      <c r="R631" s="87">
        <f t="shared" si="268"/>
        <v>3284.5127347415296</v>
      </c>
      <c r="S631" s="87">
        <f t="shared" si="275"/>
        <v>3366.4426737818535</v>
      </c>
      <c r="T631" s="87">
        <f t="shared" si="276"/>
        <v>3454.2247513250568</v>
      </c>
      <c r="U631" s="87">
        <f t="shared" si="277"/>
        <v>3461.539924453657</v>
      </c>
      <c r="V631" s="87">
        <f t="shared" si="278"/>
        <v>3463.0029590793779</v>
      </c>
      <c r="W631" s="87">
        <f t="shared" si="279"/>
        <v>3464.4659937050969</v>
      </c>
      <c r="X631" s="87">
        <f t="shared" si="280"/>
        <v>3464.4659937050969</v>
      </c>
      <c r="Y631" s="87">
        <f t="shared" si="281"/>
        <v>3464.4659937050969</v>
      </c>
      <c r="Z631" s="87">
        <f t="shared" si="282"/>
        <v>3464.4659937050969</v>
      </c>
      <c r="AA631" s="40">
        <v>473</v>
      </c>
      <c r="AB631" s="89">
        <f>AA631*GDPdeflator!$C$25/$AI$18*10^3</f>
        <v>45.478712808157368</v>
      </c>
      <c r="AC631" s="90" t="e">
        <f>INDEX(Efficiencies!$D$8:$M$89,MATCH(C631,Efficiencies!$C$8:$C$89),MATCH(D631,Efficiencies!$D$7:$M$7))</f>
        <v>#REF!</v>
      </c>
      <c r="AD631" s="90" t="e">
        <f t="shared" si="267"/>
        <v>#REF!</v>
      </c>
      <c r="AE631" s="90" t="e">
        <f>INDEX(Efficiencies!$P$8:$Y$89,MATCH(C631,Efficiencies!$C$8:$C$89),MATCH(D631,Efficiencies!$P$7:$Y$7))</f>
        <v>#REF!</v>
      </c>
      <c r="AF631" s="90" t="e">
        <f t="shared" si="271"/>
        <v>#REF!</v>
      </c>
      <c r="AG631" s="90" t="e">
        <f>AdditionalVehs!$C$33</f>
        <v>#REF!</v>
      </c>
    </row>
    <row r="632" spans="1:33" x14ac:dyDescent="0.2">
      <c r="A632" s="92" t="s">
        <v>2093</v>
      </c>
      <c r="B632" s="248" t="s">
        <v>2094</v>
      </c>
      <c r="C632" s="40" t="s">
        <v>2080</v>
      </c>
      <c r="D632" s="40">
        <v>2045</v>
      </c>
      <c r="E632" s="86">
        <f>GDPdeflator!$C$32*INDEX(Costs!$E$7:$O$89,MATCH($C632,Costs!$C$7:$C$89,0),MATCH(E$7,Costs!$E$6:$O$6,0))</f>
        <v>0</v>
      </c>
      <c r="F632" s="86">
        <f>GDPdeflator!$C$36*INDEX(Costs!$E$7:$O$89,MATCH($C632,Costs!$C$7:$C$89,0),MATCH(F$7,Costs!$E$6:$O$6,0))</f>
        <v>38.86836651950626</v>
      </c>
      <c r="G632" s="86">
        <f>GDPdeflator!$C$38*INDEX(Costs!$E$7:$O$89,MATCH($C632,Costs!$C$7:$C$89,0),MATCH(G$7,Costs!$E$6:$O$6,0))</f>
        <v>39.3363545456277</v>
      </c>
      <c r="H632" s="86">
        <f>GDPdeflator!$C$38*INDEX(Costs!$E$7:$O$89,MATCH($C632,Costs!$C$7:$C$89,0),MATCH(H$7,Costs!$E$6:$O$6,0))</f>
        <v>40.317573189082118</v>
      </c>
      <c r="I632" s="86">
        <f>GDPdeflator!$C$38*INDEX(Costs!$E$7:$O$89,MATCH($C632,Costs!$C$7:$C$89,0),MATCH(I$7,Costs!$E$6:$O$6,0))</f>
        <v>41.368878878497554</v>
      </c>
      <c r="J632" s="86">
        <f>GDPdeflator!$C$38*INDEX(Costs!$E$7:$O$89,MATCH($C632,Costs!$C$7:$C$89,0),MATCH(J$7,Costs!$E$6:$O$6,0))</f>
        <v>41.456487685948836</v>
      </c>
      <c r="K632" s="86">
        <f>GDPdeflator!$C$38*INDEX(Costs!$E$7:$O$89,MATCH($C632,Costs!$C$7:$C$89,0),MATCH(K$7,Costs!$E$6:$O$6,0))</f>
        <v>41.474009447439101</v>
      </c>
      <c r="L632" s="86">
        <f>GDPdeflator!$C$38*INDEX(Costs!$E$7:$O$89,MATCH($C632,Costs!$C$7:$C$89,0),MATCH(L$7,Costs!$E$6:$O$6,0))</f>
        <v>41.491531208929352</v>
      </c>
      <c r="M632" s="86">
        <f>GDPdeflator!$C$38*INDEX(Costs!$E$7:$O$89,MATCH($C632,Costs!$C$7:$C$89,0),MATCH(M$7,Costs!$E$6:$O$6,0))</f>
        <v>41.491531208929352</v>
      </c>
      <c r="N632" s="86">
        <f>GDPdeflator!$C$38*INDEX(Costs!$E$7:$O$89,MATCH($C632,Costs!$C$7:$C$89,0),MATCH(N$7,Costs!$E$6:$O$6,0))</f>
        <v>41.491531208929352</v>
      </c>
      <c r="O632" s="86">
        <f>GDPdeflator!$C$38*INDEX(Costs!$E$7:$O$89,MATCH($C632,Costs!$C$7:$C$89,0),MATCH(O$7,Costs!$E$6:$O$6,0))</f>
        <v>41.491531208929352</v>
      </c>
      <c r="P632" s="87">
        <f t="shared" si="283"/>
        <v>0</v>
      </c>
      <c r="Q632" s="87">
        <f t="shared" si="269"/>
        <v>3245.4366014989469</v>
      </c>
      <c r="R632" s="87">
        <f t="shared" si="268"/>
        <v>3284.5127347415296</v>
      </c>
      <c r="S632" s="87">
        <f t="shared" si="275"/>
        <v>3366.4426737818535</v>
      </c>
      <c r="T632" s="87">
        <f t="shared" si="276"/>
        <v>3454.2247513250568</v>
      </c>
      <c r="U632" s="87">
        <f t="shared" si="277"/>
        <v>3461.539924453657</v>
      </c>
      <c r="V632" s="87">
        <f t="shared" si="278"/>
        <v>3463.0029590793779</v>
      </c>
      <c r="W632" s="87">
        <f t="shared" si="279"/>
        <v>3464.4659937050969</v>
      </c>
      <c r="X632" s="87">
        <f t="shared" si="280"/>
        <v>3464.4659937050969</v>
      </c>
      <c r="Y632" s="87">
        <f t="shared" si="281"/>
        <v>3464.4659937050969</v>
      </c>
      <c r="Z632" s="87">
        <f t="shared" si="282"/>
        <v>3464.4659937050969</v>
      </c>
      <c r="AA632" s="40">
        <v>473</v>
      </c>
      <c r="AB632" s="89">
        <f>AA632*GDPdeflator!$C$25/$AI$18*10^3</f>
        <v>45.478712808157368</v>
      </c>
      <c r="AC632" s="90" t="e">
        <f>INDEX(Efficiencies!$D$8:$M$89,MATCH(C632,Efficiencies!$C$8:$C$89),MATCH(D632,Efficiencies!$D$7:$M$7))</f>
        <v>#REF!</v>
      </c>
      <c r="AD632" s="90" t="e">
        <f t="shared" si="267"/>
        <v>#REF!</v>
      </c>
      <c r="AE632" s="90" t="e">
        <f>INDEX(Efficiencies!$P$8:$Y$89,MATCH(C632,Efficiencies!$C$8:$C$89),MATCH(D632,Efficiencies!$P$7:$Y$7))</f>
        <v>#REF!</v>
      </c>
      <c r="AF632" s="90" t="e">
        <f t="shared" si="271"/>
        <v>#REF!</v>
      </c>
      <c r="AG632" s="90" t="e">
        <f>AdditionalVehs!$C$33</f>
        <v>#REF!</v>
      </c>
    </row>
    <row r="633" spans="1:33" x14ac:dyDescent="0.2">
      <c r="A633" s="92" t="s">
        <v>2095</v>
      </c>
      <c r="B633" s="248" t="s">
        <v>2096</v>
      </c>
      <c r="C633" s="40" t="s">
        <v>2080</v>
      </c>
      <c r="D633" s="40">
        <v>2050</v>
      </c>
      <c r="E633" s="86">
        <f>GDPdeflator!$C$32*INDEX(Costs!$E$7:$O$89,MATCH($C633,Costs!$C$7:$C$89,0),MATCH(E$7,Costs!$E$6:$O$6,0))</f>
        <v>0</v>
      </c>
      <c r="F633" s="86">
        <f>GDPdeflator!$C$36*INDEX(Costs!$E$7:$O$89,MATCH($C633,Costs!$C$7:$C$89,0),MATCH(F$7,Costs!$E$6:$O$6,0))</f>
        <v>38.86836651950626</v>
      </c>
      <c r="G633" s="86">
        <f>GDPdeflator!$C$38*INDEX(Costs!$E$7:$O$89,MATCH($C633,Costs!$C$7:$C$89,0),MATCH(G$7,Costs!$E$6:$O$6,0))</f>
        <v>39.3363545456277</v>
      </c>
      <c r="H633" s="86">
        <f>GDPdeflator!$C$38*INDEX(Costs!$E$7:$O$89,MATCH($C633,Costs!$C$7:$C$89,0),MATCH(H$7,Costs!$E$6:$O$6,0))</f>
        <v>40.317573189082118</v>
      </c>
      <c r="I633" s="86">
        <f>GDPdeflator!$C$38*INDEX(Costs!$E$7:$O$89,MATCH($C633,Costs!$C$7:$C$89,0),MATCH(I$7,Costs!$E$6:$O$6,0))</f>
        <v>41.368878878497554</v>
      </c>
      <c r="J633" s="86">
        <f>GDPdeflator!$C$38*INDEX(Costs!$E$7:$O$89,MATCH($C633,Costs!$C$7:$C$89,0),MATCH(J$7,Costs!$E$6:$O$6,0))</f>
        <v>41.456487685948836</v>
      </c>
      <c r="K633" s="86">
        <f>GDPdeflator!$C$38*INDEX(Costs!$E$7:$O$89,MATCH($C633,Costs!$C$7:$C$89,0),MATCH(K$7,Costs!$E$6:$O$6,0))</f>
        <v>41.474009447439101</v>
      </c>
      <c r="L633" s="86">
        <f>GDPdeflator!$C$38*INDEX(Costs!$E$7:$O$89,MATCH($C633,Costs!$C$7:$C$89,0),MATCH(L$7,Costs!$E$6:$O$6,0))</f>
        <v>41.491531208929352</v>
      </c>
      <c r="M633" s="86">
        <f>GDPdeflator!$C$38*INDEX(Costs!$E$7:$O$89,MATCH($C633,Costs!$C$7:$C$89,0),MATCH(M$7,Costs!$E$6:$O$6,0))</f>
        <v>41.491531208929352</v>
      </c>
      <c r="N633" s="86">
        <f>GDPdeflator!$C$38*INDEX(Costs!$E$7:$O$89,MATCH($C633,Costs!$C$7:$C$89,0),MATCH(N$7,Costs!$E$6:$O$6,0))</f>
        <v>41.491531208929352</v>
      </c>
      <c r="O633" s="86">
        <f>GDPdeflator!$C$38*INDEX(Costs!$E$7:$O$89,MATCH($C633,Costs!$C$7:$C$89,0),MATCH(O$7,Costs!$E$6:$O$6,0))</f>
        <v>41.491531208929352</v>
      </c>
      <c r="P633" s="87">
        <f t="shared" si="283"/>
        <v>0</v>
      </c>
      <c r="Q633" s="87">
        <f t="shared" si="269"/>
        <v>3245.4366014989469</v>
      </c>
      <c r="R633" s="87">
        <f t="shared" si="268"/>
        <v>3284.5127347415296</v>
      </c>
      <c r="S633" s="87">
        <f t="shared" si="275"/>
        <v>3366.4426737818535</v>
      </c>
      <c r="T633" s="87">
        <f t="shared" si="276"/>
        <v>3454.2247513250568</v>
      </c>
      <c r="U633" s="87">
        <f t="shared" si="277"/>
        <v>3461.539924453657</v>
      </c>
      <c r="V633" s="87">
        <f t="shared" si="278"/>
        <v>3463.0029590793779</v>
      </c>
      <c r="W633" s="87">
        <f t="shared" si="279"/>
        <v>3464.4659937050969</v>
      </c>
      <c r="X633" s="87">
        <f t="shared" si="280"/>
        <v>3464.4659937050969</v>
      </c>
      <c r="Y633" s="87">
        <f t="shared" si="281"/>
        <v>3464.4659937050969</v>
      </c>
      <c r="Z633" s="87">
        <f t="shared" si="282"/>
        <v>3464.4659937050969</v>
      </c>
      <c r="AA633" s="40">
        <v>473</v>
      </c>
      <c r="AB633" s="89">
        <f>AA633*GDPdeflator!$C$25/$AI$18*10^3</f>
        <v>45.478712808157368</v>
      </c>
      <c r="AC633" s="90" t="e">
        <f>INDEX(Efficiencies!$D$8:$M$89,MATCH(C633,Efficiencies!$C$8:$C$89),MATCH(D633,Efficiencies!$D$7:$M$7))</f>
        <v>#REF!</v>
      </c>
      <c r="AD633" s="90" t="e">
        <f t="shared" si="267"/>
        <v>#REF!</v>
      </c>
      <c r="AE633" s="90" t="e">
        <f>INDEX(Efficiencies!$P$8:$Y$89,MATCH(C633,Efficiencies!$C$8:$C$89),MATCH(D633,Efficiencies!$P$7:$Y$7))</f>
        <v>#REF!</v>
      </c>
      <c r="AF633" s="90" t="e">
        <f t="shared" si="271"/>
        <v>#REF!</v>
      </c>
      <c r="AG633" s="90" t="e">
        <f>AdditionalVehs!$C$33</f>
        <v>#REF!</v>
      </c>
    </row>
    <row r="634" spans="1:33" x14ac:dyDescent="0.2">
      <c r="A634" s="92" t="s">
        <v>2097</v>
      </c>
      <c r="B634" s="248" t="s">
        <v>2098</v>
      </c>
      <c r="C634" s="40" t="s">
        <v>2099</v>
      </c>
      <c r="D634" s="40">
        <v>2010</v>
      </c>
      <c r="E634" s="86">
        <f>GDPdeflator!$C$32*INDEX(AdditionalVehs!$AA$46:$AK$91,MATCH($C634,AdditionalVehs!$C$46:$C$91,0),MATCH(E$7,AdditionalVehs!$AA$45:$AK$45,0))</f>
        <v>0</v>
      </c>
      <c r="F634" s="86" t="e">
        <f>GDPdeflator!$C$36*INDEX(AdditionalVehs!$AA$46:$AK$91,MATCH($C634,AdditionalVehs!$C$46:$C$91,0),MATCH(F$7,AdditionalVehs!$AA$45:$AK$45,0))</f>
        <v>#REF!</v>
      </c>
      <c r="G634" s="86" t="e">
        <f>GDPdeflator!$C$38*INDEX(AdditionalVehs!$AA$46:$AK$91,MATCH($C634,AdditionalVehs!$C$46:$C$91,0),MATCH(G$7,AdditionalVehs!$AA$45:$AK$45,0))</f>
        <v>#REF!</v>
      </c>
      <c r="H634" s="86" t="e">
        <f>GDPdeflator!$C$38*INDEX(AdditionalVehs!$AA$46:$AK$91,MATCH($C634,AdditionalVehs!$C$46:$C$91,0),MATCH(H$7,AdditionalVehs!$AA$45:$AK$45,0))</f>
        <v>#REF!</v>
      </c>
      <c r="I634" s="86" t="e">
        <f>GDPdeflator!$C$38*INDEX(AdditionalVehs!$AA$46:$AK$91,MATCH($C634,AdditionalVehs!$C$46:$C$91,0),MATCH(I$7,AdditionalVehs!$AA$45:$AK$45,0))</f>
        <v>#REF!</v>
      </c>
      <c r="J634" s="86" t="e">
        <f>GDPdeflator!$C$38*INDEX(AdditionalVehs!$AA$46:$AK$91,MATCH($C634,AdditionalVehs!$C$46:$C$91,0),MATCH(J$7,AdditionalVehs!$AA$45:$AK$45,0))</f>
        <v>#REF!</v>
      </c>
      <c r="K634" s="86" t="e">
        <f>GDPdeflator!$C$38*INDEX(AdditionalVehs!$AA$46:$AK$91,MATCH($C634,AdditionalVehs!$C$46:$C$91,0),MATCH(K$7,AdditionalVehs!$AA$45:$AK$45,0))</f>
        <v>#REF!</v>
      </c>
      <c r="L634" s="86" t="e">
        <f>GDPdeflator!$C$38*INDEX(AdditionalVehs!$AA$46:$AK$91,MATCH($C634,AdditionalVehs!$C$46:$C$91,0),MATCH(L$7,AdditionalVehs!$AA$45:$AK$45,0))</f>
        <v>#REF!</v>
      </c>
      <c r="M634" s="86" t="e">
        <f>GDPdeflator!$C$38*INDEX(AdditionalVehs!$AA$46:$AK$91,MATCH($C634,AdditionalVehs!$C$46:$C$91,0),MATCH(M$7,AdditionalVehs!$AA$45:$AK$45,0))</f>
        <v>#REF!</v>
      </c>
      <c r="N634" s="86" t="e">
        <f>GDPdeflator!$C$38*INDEX(AdditionalVehs!$AA$46:$AK$91,MATCH($C634,AdditionalVehs!$C$46:$C$91,0),MATCH(N$7,AdditionalVehs!$AA$45:$AK$45,0))</f>
        <v>#REF!</v>
      </c>
      <c r="O634" s="86" t="e">
        <f>GDPdeflator!$C$38*INDEX(AdditionalVehs!$AA$46:$AK$91,MATCH($C634,AdditionalVehs!$C$46:$C$91,0),MATCH(O$7,AdditionalVehs!$AA$45:$AK$45,0))</f>
        <v>#REF!</v>
      </c>
      <c r="P634" s="87">
        <f>E634/$AI$18*10^6</f>
        <v>0</v>
      </c>
      <c r="Q634" s="87" t="e">
        <f t="shared" si="269"/>
        <v>#REF!</v>
      </c>
      <c r="R634" s="87" t="e">
        <f t="shared" si="268"/>
        <v>#REF!</v>
      </c>
      <c r="S634" s="87" t="e">
        <f t="shared" si="275"/>
        <v>#REF!</v>
      </c>
      <c r="T634" s="87" t="e">
        <f t="shared" si="276"/>
        <v>#REF!</v>
      </c>
      <c r="U634" s="87" t="e">
        <f t="shared" si="277"/>
        <v>#REF!</v>
      </c>
      <c r="V634" s="87" t="e">
        <f t="shared" si="278"/>
        <v>#REF!</v>
      </c>
      <c r="W634" s="87" t="e">
        <f t="shared" si="279"/>
        <v>#REF!</v>
      </c>
      <c r="X634" s="87" t="e">
        <f t="shared" si="280"/>
        <v>#REF!</v>
      </c>
      <c r="Y634" s="87" t="e">
        <f t="shared" si="281"/>
        <v>#REF!</v>
      </c>
      <c r="Z634" s="87" t="e">
        <f t="shared" si="282"/>
        <v>#REF!</v>
      </c>
      <c r="AA634" s="40">
        <v>420</v>
      </c>
      <c r="AB634" s="89">
        <f>AA634*GDPdeflator!$C$25/$AI$18*10^3</f>
        <v>40.382789385678855</v>
      </c>
      <c r="AC634" s="90" t="e">
        <f>INDEX(AdditionalVehs!$E$46:$N$91,MATCH(C634,AdditionalVehs!$C$46:$C$91),MATCH(D634,AdditionalVehs!$E$45:$N$45))</f>
        <v>#REF!</v>
      </c>
      <c r="AD634" s="90" t="e">
        <f t="shared" ref="AD634:AD641" si="284">AC634/($AI$11*$AI$15*10 ^ 9)</f>
        <v>#REF!</v>
      </c>
      <c r="AE634" s="90" t="e">
        <f>INDEX(AdditionalVehs!$P$46:$Y$91,MATCH(C634,AdditionalVehs!$C$46:$C$91),MATCH(D634,AdditionalVehs!$AA$45:$AJ$45))</f>
        <v>#REF!</v>
      </c>
      <c r="AF634" s="90" t="e">
        <f t="shared" ref="AF634:AF655" si="285">AE634/($AI$11*$AI$15*10 ^ 9)</f>
        <v>#REF!</v>
      </c>
      <c r="AG634" s="90">
        <v>0</v>
      </c>
    </row>
    <row r="635" spans="1:33" x14ac:dyDescent="0.2">
      <c r="A635" s="92" t="s">
        <v>2100</v>
      </c>
      <c r="B635" s="248" t="s">
        <v>2101</v>
      </c>
      <c r="C635" s="40" t="s">
        <v>2099</v>
      </c>
      <c r="D635" s="40">
        <v>2015</v>
      </c>
      <c r="E635" s="86">
        <f>GDPdeflator!$C$32*INDEX(AdditionalVehs!$AA$46:$AK$91,MATCH($C635,AdditionalVehs!$C$46:$C$91,0),MATCH(E$7,AdditionalVehs!$AA$45:$AK$45,0))</f>
        <v>0</v>
      </c>
      <c r="F635" s="86" t="e">
        <f>GDPdeflator!$C$36*INDEX(AdditionalVehs!$AA$46:$AK$91,MATCH($C635,AdditionalVehs!$C$46:$C$91,0),MATCH(F$7,AdditionalVehs!$AA$45:$AK$45,0))</f>
        <v>#REF!</v>
      </c>
      <c r="G635" s="86" t="e">
        <f>GDPdeflator!$C$38*INDEX(AdditionalVehs!$AA$46:$AK$91,MATCH($C635,AdditionalVehs!$C$46:$C$91,0),MATCH(G$7,AdditionalVehs!$AA$45:$AK$45,0))</f>
        <v>#REF!</v>
      </c>
      <c r="H635" s="86" t="e">
        <f>GDPdeflator!$C$38*INDEX(AdditionalVehs!$AA$46:$AK$91,MATCH($C635,AdditionalVehs!$C$46:$C$91,0),MATCH(H$7,AdditionalVehs!$AA$45:$AK$45,0))</f>
        <v>#REF!</v>
      </c>
      <c r="I635" s="86" t="e">
        <f>GDPdeflator!$C$38*INDEX(AdditionalVehs!$AA$46:$AK$91,MATCH($C635,AdditionalVehs!$C$46:$C$91,0),MATCH(I$7,AdditionalVehs!$AA$45:$AK$45,0))</f>
        <v>#REF!</v>
      </c>
      <c r="J635" s="86" t="e">
        <f>GDPdeflator!$C$38*INDEX(AdditionalVehs!$AA$46:$AK$91,MATCH($C635,AdditionalVehs!$C$46:$C$91,0),MATCH(J$7,AdditionalVehs!$AA$45:$AK$45,0))</f>
        <v>#REF!</v>
      </c>
      <c r="K635" s="86" t="e">
        <f>GDPdeflator!$C$38*INDEX(AdditionalVehs!$AA$46:$AK$91,MATCH($C635,AdditionalVehs!$C$46:$C$91,0),MATCH(K$7,AdditionalVehs!$AA$45:$AK$45,0))</f>
        <v>#REF!</v>
      </c>
      <c r="L635" s="86" t="e">
        <f>GDPdeflator!$C$38*INDEX(AdditionalVehs!$AA$46:$AK$91,MATCH($C635,AdditionalVehs!$C$46:$C$91,0),MATCH(L$7,AdditionalVehs!$AA$45:$AK$45,0))</f>
        <v>#REF!</v>
      </c>
      <c r="M635" s="86" t="e">
        <f>GDPdeflator!$C$38*INDEX(AdditionalVehs!$AA$46:$AK$91,MATCH($C635,AdditionalVehs!$C$46:$C$91,0),MATCH(M$7,AdditionalVehs!$AA$45:$AK$45,0))</f>
        <v>#REF!</v>
      </c>
      <c r="N635" s="86" t="e">
        <f>GDPdeflator!$C$38*INDEX(AdditionalVehs!$AA$46:$AK$91,MATCH($C635,AdditionalVehs!$C$46:$C$91,0),MATCH(N$7,AdditionalVehs!$AA$45:$AK$45,0))</f>
        <v>#REF!</v>
      </c>
      <c r="O635" s="86" t="e">
        <f>GDPdeflator!$C$38*INDEX(AdditionalVehs!$AA$46:$AK$91,MATCH($C635,AdditionalVehs!$C$46:$C$91,0),MATCH(O$7,AdditionalVehs!$AA$45:$AK$45,0))</f>
        <v>#REF!</v>
      </c>
      <c r="P635" s="87">
        <f t="shared" ref="P635:P642" si="286">E635/$AI$18*10^6</f>
        <v>0</v>
      </c>
      <c r="Q635" s="87" t="e">
        <f t="shared" si="269"/>
        <v>#REF!</v>
      </c>
      <c r="R635" s="87" t="e">
        <f t="shared" si="268"/>
        <v>#REF!</v>
      </c>
      <c r="S635" s="87" t="e">
        <f t="shared" si="275"/>
        <v>#REF!</v>
      </c>
      <c r="T635" s="87" t="e">
        <f t="shared" si="276"/>
        <v>#REF!</v>
      </c>
      <c r="U635" s="87" t="e">
        <f t="shared" si="277"/>
        <v>#REF!</v>
      </c>
      <c r="V635" s="87" t="e">
        <f t="shared" si="278"/>
        <v>#REF!</v>
      </c>
      <c r="W635" s="87" t="e">
        <f t="shared" si="279"/>
        <v>#REF!</v>
      </c>
      <c r="X635" s="87" t="e">
        <f t="shared" si="280"/>
        <v>#REF!</v>
      </c>
      <c r="Y635" s="87" t="e">
        <f t="shared" si="281"/>
        <v>#REF!</v>
      </c>
      <c r="Z635" s="87" t="e">
        <f t="shared" si="282"/>
        <v>#REF!</v>
      </c>
      <c r="AA635" s="40">
        <v>420</v>
      </c>
      <c r="AB635" s="89">
        <f>AA635*GDPdeflator!$C$25/$AI$18*10^3</f>
        <v>40.382789385678855</v>
      </c>
      <c r="AC635" s="90" t="e">
        <f>INDEX(AdditionalVehs!$E$46:$N$91,MATCH(C635,AdditionalVehs!$C$46:$C$91),MATCH(D635,AdditionalVehs!$E$45:$N$45))</f>
        <v>#REF!</v>
      </c>
      <c r="AD635" s="90" t="e">
        <f t="shared" si="284"/>
        <v>#REF!</v>
      </c>
      <c r="AE635" s="90" t="e">
        <f>INDEX(AdditionalVehs!$P$46:$Y$91,MATCH(C635,AdditionalVehs!$C$46:$C$91),MATCH(D635,AdditionalVehs!$AA$45:$AJ$45))</f>
        <v>#REF!</v>
      </c>
      <c r="AF635" s="90" t="e">
        <f t="shared" si="285"/>
        <v>#REF!</v>
      </c>
      <c r="AG635" s="90">
        <v>0</v>
      </c>
    </row>
    <row r="636" spans="1:33" x14ac:dyDescent="0.2">
      <c r="A636" s="92" t="s">
        <v>2102</v>
      </c>
      <c r="B636" s="248" t="s">
        <v>2103</v>
      </c>
      <c r="C636" s="40" t="s">
        <v>2099</v>
      </c>
      <c r="D636" s="40">
        <v>2020</v>
      </c>
      <c r="E636" s="86">
        <f>GDPdeflator!$C$32*INDEX(AdditionalVehs!$AA$46:$AK$91,MATCH($C636,AdditionalVehs!$C$46:$C$91,0),MATCH(E$7,AdditionalVehs!$AA$45:$AK$45,0))</f>
        <v>0</v>
      </c>
      <c r="F636" s="86" t="e">
        <f>GDPdeflator!$C$36*INDEX(AdditionalVehs!$AA$46:$AK$91,MATCH($C636,AdditionalVehs!$C$46:$C$91,0),MATCH(F$7,AdditionalVehs!$AA$45:$AK$45,0))</f>
        <v>#REF!</v>
      </c>
      <c r="G636" s="86" t="e">
        <f>GDPdeflator!$C$38*INDEX(AdditionalVehs!$AA$46:$AK$91,MATCH($C636,AdditionalVehs!$C$46:$C$91,0),MATCH(G$7,AdditionalVehs!$AA$45:$AK$45,0))</f>
        <v>#REF!</v>
      </c>
      <c r="H636" s="86" t="e">
        <f>GDPdeflator!$C$38*INDEX(AdditionalVehs!$AA$46:$AK$91,MATCH($C636,AdditionalVehs!$C$46:$C$91,0),MATCH(H$7,AdditionalVehs!$AA$45:$AK$45,0))</f>
        <v>#REF!</v>
      </c>
      <c r="I636" s="86" t="e">
        <f>GDPdeflator!$C$38*INDEX(AdditionalVehs!$AA$46:$AK$91,MATCH($C636,AdditionalVehs!$C$46:$C$91,0),MATCH(I$7,AdditionalVehs!$AA$45:$AK$45,0))</f>
        <v>#REF!</v>
      </c>
      <c r="J636" s="86" t="e">
        <f>GDPdeflator!$C$38*INDEX(AdditionalVehs!$AA$46:$AK$91,MATCH($C636,AdditionalVehs!$C$46:$C$91,0),MATCH(J$7,AdditionalVehs!$AA$45:$AK$45,0))</f>
        <v>#REF!</v>
      </c>
      <c r="K636" s="86" t="e">
        <f>GDPdeflator!$C$38*INDEX(AdditionalVehs!$AA$46:$AK$91,MATCH($C636,AdditionalVehs!$C$46:$C$91,0),MATCH(K$7,AdditionalVehs!$AA$45:$AK$45,0))</f>
        <v>#REF!</v>
      </c>
      <c r="L636" s="86" t="e">
        <f>GDPdeflator!$C$38*INDEX(AdditionalVehs!$AA$46:$AK$91,MATCH($C636,AdditionalVehs!$C$46:$C$91,0),MATCH(L$7,AdditionalVehs!$AA$45:$AK$45,0))</f>
        <v>#REF!</v>
      </c>
      <c r="M636" s="86" t="e">
        <f>GDPdeflator!$C$38*INDEX(AdditionalVehs!$AA$46:$AK$91,MATCH($C636,AdditionalVehs!$C$46:$C$91,0),MATCH(M$7,AdditionalVehs!$AA$45:$AK$45,0))</f>
        <v>#REF!</v>
      </c>
      <c r="N636" s="86" t="e">
        <f>GDPdeflator!$C$38*INDEX(AdditionalVehs!$AA$46:$AK$91,MATCH($C636,AdditionalVehs!$C$46:$C$91,0),MATCH(N$7,AdditionalVehs!$AA$45:$AK$45,0))</f>
        <v>#REF!</v>
      </c>
      <c r="O636" s="86" t="e">
        <f>GDPdeflator!$C$38*INDEX(AdditionalVehs!$AA$46:$AK$91,MATCH($C636,AdditionalVehs!$C$46:$C$91,0),MATCH(O$7,AdditionalVehs!$AA$45:$AK$45,0))</f>
        <v>#REF!</v>
      </c>
      <c r="P636" s="87">
        <f t="shared" si="286"/>
        <v>0</v>
      </c>
      <c r="Q636" s="87" t="e">
        <f t="shared" si="269"/>
        <v>#REF!</v>
      </c>
      <c r="R636" s="87" t="e">
        <f t="shared" si="268"/>
        <v>#REF!</v>
      </c>
      <c r="S636" s="87" t="e">
        <f t="shared" si="275"/>
        <v>#REF!</v>
      </c>
      <c r="T636" s="87" t="e">
        <f t="shared" si="276"/>
        <v>#REF!</v>
      </c>
      <c r="U636" s="87" t="e">
        <f t="shared" si="277"/>
        <v>#REF!</v>
      </c>
      <c r="V636" s="87" t="e">
        <f t="shared" si="278"/>
        <v>#REF!</v>
      </c>
      <c r="W636" s="87" t="e">
        <f t="shared" si="279"/>
        <v>#REF!</v>
      </c>
      <c r="X636" s="87" t="e">
        <f t="shared" si="280"/>
        <v>#REF!</v>
      </c>
      <c r="Y636" s="87" t="e">
        <f t="shared" si="281"/>
        <v>#REF!</v>
      </c>
      <c r="Z636" s="87" t="e">
        <f t="shared" si="282"/>
        <v>#REF!</v>
      </c>
      <c r="AA636" s="40">
        <v>420</v>
      </c>
      <c r="AB636" s="89">
        <f>AA636*GDPdeflator!$C$25/$AI$18*10^3</f>
        <v>40.382789385678855</v>
      </c>
      <c r="AC636" s="90" t="e">
        <f>INDEX(AdditionalVehs!$E$46:$N$91,MATCH(C636,AdditionalVehs!$C$46:$C$91),MATCH(D636,AdditionalVehs!$E$45:$N$45))</f>
        <v>#REF!</v>
      </c>
      <c r="AD636" s="90" t="e">
        <f t="shared" si="284"/>
        <v>#REF!</v>
      </c>
      <c r="AE636" s="90" t="e">
        <f>INDEX(AdditionalVehs!$P$46:$Y$91,MATCH(C636,AdditionalVehs!$C$46:$C$91),MATCH(D636,AdditionalVehs!$AA$45:$AJ$45))</f>
        <v>#REF!</v>
      </c>
      <c r="AF636" s="90" t="e">
        <f t="shared" si="285"/>
        <v>#REF!</v>
      </c>
      <c r="AG636" s="90">
        <v>0</v>
      </c>
    </row>
    <row r="637" spans="1:33" x14ac:dyDescent="0.2">
      <c r="A637" s="92" t="s">
        <v>2104</v>
      </c>
      <c r="B637" s="248" t="s">
        <v>2105</v>
      </c>
      <c r="C637" s="40" t="s">
        <v>2099</v>
      </c>
      <c r="D637" s="40">
        <v>2025</v>
      </c>
      <c r="E637" s="86">
        <f>GDPdeflator!$C$32*INDEX(AdditionalVehs!$AA$46:$AK$91,MATCH($C637,AdditionalVehs!$C$46:$C$91,0),MATCH(E$7,AdditionalVehs!$AA$45:$AK$45,0))</f>
        <v>0</v>
      </c>
      <c r="F637" s="86" t="e">
        <f>GDPdeflator!$C$36*INDEX(AdditionalVehs!$AA$46:$AK$91,MATCH($C637,AdditionalVehs!$C$46:$C$91,0),MATCH(F$7,AdditionalVehs!$AA$45:$AK$45,0))</f>
        <v>#REF!</v>
      </c>
      <c r="G637" s="86" t="e">
        <f>GDPdeflator!$C$38*INDEX(AdditionalVehs!$AA$46:$AK$91,MATCH($C637,AdditionalVehs!$C$46:$C$91,0),MATCH(G$7,AdditionalVehs!$AA$45:$AK$45,0))</f>
        <v>#REF!</v>
      </c>
      <c r="H637" s="86" t="e">
        <f>GDPdeflator!$C$38*INDEX(AdditionalVehs!$AA$46:$AK$91,MATCH($C637,AdditionalVehs!$C$46:$C$91,0),MATCH(H$7,AdditionalVehs!$AA$45:$AK$45,0))</f>
        <v>#REF!</v>
      </c>
      <c r="I637" s="86" t="e">
        <f>GDPdeflator!$C$38*INDEX(AdditionalVehs!$AA$46:$AK$91,MATCH($C637,AdditionalVehs!$C$46:$C$91,0),MATCH(I$7,AdditionalVehs!$AA$45:$AK$45,0))</f>
        <v>#REF!</v>
      </c>
      <c r="J637" s="86" t="e">
        <f>GDPdeflator!$C$38*INDEX(AdditionalVehs!$AA$46:$AK$91,MATCH($C637,AdditionalVehs!$C$46:$C$91,0),MATCH(J$7,AdditionalVehs!$AA$45:$AK$45,0))</f>
        <v>#REF!</v>
      </c>
      <c r="K637" s="86" t="e">
        <f>GDPdeflator!$C$38*INDEX(AdditionalVehs!$AA$46:$AK$91,MATCH($C637,AdditionalVehs!$C$46:$C$91,0),MATCH(K$7,AdditionalVehs!$AA$45:$AK$45,0))</f>
        <v>#REF!</v>
      </c>
      <c r="L637" s="86" t="e">
        <f>GDPdeflator!$C$38*INDEX(AdditionalVehs!$AA$46:$AK$91,MATCH($C637,AdditionalVehs!$C$46:$C$91,0),MATCH(L$7,AdditionalVehs!$AA$45:$AK$45,0))</f>
        <v>#REF!</v>
      </c>
      <c r="M637" s="86" t="e">
        <f>GDPdeflator!$C$38*INDEX(AdditionalVehs!$AA$46:$AK$91,MATCH($C637,AdditionalVehs!$C$46:$C$91,0),MATCH(M$7,AdditionalVehs!$AA$45:$AK$45,0))</f>
        <v>#REF!</v>
      </c>
      <c r="N637" s="86" t="e">
        <f>GDPdeflator!$C$38*INDEX(AdditionalVehs!$AA$46:$AK$91,MATCH($C637,AdditionalVehs!$C$46:$C$91,0),MATCH(N$7,AdditionalVehs!$AA$45:$AK$45,0))</f>
        <v>#REF!</v>
      </c>
      <c r="O637" s="86" t="e">
        <f>GDPdeflator!$C$38*INDEX(AdditionalVehs!$AA$46:$AK$91,MATCH($C637,AdditionalVehs!$C$46:$C$91,0),MATCH(O$7,AdditionalVehs!$AA$45:$AK$45,0))</f>
        <v>#REF!</v>
      </c>
      <c r="P637" s="87">
        <f t="shared" si="286"/>
        <v>0</v>
      </c>
      <c r="Q637" s="87" t="e">
        <f t="shared" si="269"/>
        <v>#REF!</v>
      </c>
      <c r="R637" s="87" t="e">
        <f t="shared" si="268"/>
        <v>#REF!</v>
      </c>
      <c r="S637" s="87" t="e">
        <f t="shared" si="275"/>
        <v>#REF!</v>
      </c>
      <c r="T637" s="87" t="e">
        <f t="shared" si="276"/>
        <v>#REF!</v>
      </c>
      <c r="U637" s="87" t="e">
        <f t="shared" si="277"/>
        <v>#REF!</v>
      </c>
      <c r="V637" s="87" t="e">
        <f t="shared" si="278"/>
        <v>#REF!</v>
      </c>
      <c r="W637" s="87" t="e">
        <f t="shared" si="279"/>
        <v>#REF!</v>
      </c>
      <c r="X637" s="87" t="e">
        <f t="shared" si="280"/>
        <v>#REF!</v>
      </c>
      <c r="Y637" s="87" t="e">
        <f t="shared" si="281"/>
        <v>#REF!</v>
      </c>
      <c r="Z637" s="87" t="e">
        <f t="shared" si="282"/>
        <v>#REF!</v>
      </c>
      <c r="AA637" s="40">
        <v>420</v>
      </c>
      <c r="AB637" s="89">
        <f>AA637*GDPdeflator!$C$25/$AI$18*10^3</f>
        <v>40.382789385678855</v>
      </c>
      <c r="AC637" s="90" t="e">
        <f>INDEX(AdditionalVehs!$E$46:$N$91,MATCH(C637,AdditionalVehs!$C$46:$C$91),MATCH(D637,AdditionalVehs!$E$45:$N$45))</f>
        <v>#REF!</v>
      </c>
      <c r="AD637" s="90" t="e">
        <f t="shared" si="284"/>
        <v>#REF!</v>
      </c>
      <c r="AE637" s="90" t="e">
        <f>INDEX(AdditionalVehs!$P$46:$Y$91,MATCH(C637,AdditionalVehs!$C$46:$C$91),MATCH(D637,AdditionalVehs!$AA$45:$AJ$45))</f>
        <v>#REF!</v>
      </c>
      <c r="AF637" s="90" t="e">
        <f t="shared" si="285"/>
        <v>#REF!</v>
      </c>
      <c r="AG637" s="90">
        <v>0</v>
      </c>
    </row>
    <row r="638" spans="1:33" x14ac:dyDescent="0.2">
      <c r="A638" s="92" t="s">
        <v>2106</v>
      </c>
      <c r="B638" s="248" t="s">
        <v>2107</v>
      </c>
      <c r="C638" s="40" t="s">
        <v>2099</v>
      </c>
      <c r="D638" s="40">
        <v>2030</v>
      </c>
      <c r="E638" s="86">
        <f>GDPdeflator!$C$32*INDEX(AdditionalVehs!$AA$46:$AK$91,MATCH($C638,AdditionalVehs!$C$46:$C$91,0),MATCH(E$7,AdditionalVehs!$AA$45:$AK$45,0))</f>
        <v>0</v>
      </c>
      <c r="F638" s="86" t="e">
        <f>GDPdeflator!$C$36*INDEX(AdditionalVehs!$AA$46:$AK$91,MATCH($C638,AdditionalVehs!$C$46:$C$91,0),MATCH(F$7,AdditionalVehs!$AA$45:$AK$45,0))</f>
        <v>#REF!</v>
      </c>
      <c r="G638" s="86" t="e">
        <f>GDPdeflator!$C$38*INDEX(AdditionalVehs!$AA$46:$AK$91,MATCH($C638,AdditionalVehs!$C$46:$C$91,0),MATCH(G$7,AdditionalVehs!$AA$45:$AK$45,0))</f>
        <v>#REF!</v>
      </c>
      <c r="H638" s="86" t="e">
        <f>GDPdeflator!$C$38*INDEX(AdditionalVehs!$AA$46:$AK$91,MATCH($C638,AdditionalVehs!$C$46:$C$91,0),MATCH(H$7,AdditionalVehs!$AA$45:$AK$45,0))</f>
        <v>#REF!</v>
      </c>
      <c r="I638" s="86" t="e">
        <f>GDPdeflator!$C$38*INDEX(AdditionalVehs!$AA$46:$AK$91,MATCH($C638,AdditionalVehs!$C$46:$C$91,0),MATCH(I$7,AdditionalVehs!$AA$45:$AK$45,0))</f>
        <v>#REF!</v>
      </c>
      <c r="J638" s="86" t="e">
        <f>GDPdeflator!$C$38*INDEX(AdditionalVehs!$AA$46:$AK$91,MATCH($C638,AdditionalVehs!$C$46:$C$91,0),MATCH(J$7,AdditionalVehs!$AA$45:$AK$45,0))</f>
        <v>#REF!</v>
      </c>
      <c r="K638" s="86" t="e">
        <f>GDPdeflator!$C$38*INDEX(AdditionalVehs!$AA$46:$AK$91,MATCH($C638,AdditionalVehs!$C$46:$C$91,0),MATCH(K$7,AdditionalVehs!$AA$45:$AK$45,0))</f>
        <v>#REF!</v>
      </c>
      <c r="L638" s="86" t="e">
        <f>GDPdeflator!$C$38*INDEX(AdditionalVehs!$AA$46:$AK$91,MATCH($C638,AdditionalVehs!$C$46:$C$91,0),MATCH(L$7,AdditionalVehs!$AA$45:$AK$45,0))</f>
        <v>#REF!</v>
      </c>
      <c r="M638" s="86" t="e">
        <f>GDPdeflator!$C$38*INDEX(AdditionalVehs!$AA$46:$AK$91,MATCH($C638,AdditionalVehs!$C$46:$C$91,0),MATCH(M$7,AdditionalVehs!$AA$45:$AK$45,0))</f>
        <v>#REF!</v>
      </c>
      <c r="N638" s="86" t="e">
        <f>GDPdeflator!$C$38*INDEX(AdditionalVehs!$AA$46:$AK$91,MATCH($C638,AdditionalVehs!$C$46:$C$91,0),MATCH(N$7,AdditionalVehs!$AA$45:$AK$45,0))</f>
        <v>#REF!</v>
      </c>
      <c r="O638" s="86" t="e">
        <f>GDPdeflator!$C$38*INDEX(AdditionalVehs!$AA$46:$AK$91,MATCH($C638,AdditionalVehs!$C$46:$C$91,0),MATCH(O$7,AdditionalVehs!$AA$45:$AK$45,0))</f>
        <v>#REF!</v>
      </c>
      <c r="P638" s="87">
        <f t="shared" si="286"/>
        <v>0</v>
      </c>
      <c r="Q638" s="87" t="e">
        <f t="shared" si="269"/>
        <v>#REF!</v>
      </c>
      <c r="R638" s="87" t="e">
        <f t="shared" si="268"/>
        <v>#REF!</v>
      </c>
      <c r="S638" s="87" t="e">
        <f t="shared" si="275"/>
        <v>#REF!</v>
      </c>
      <c r="T638" s="87" t="e">
        <f t="shared" si="276"/>
        <v>#REF!</v>
      </c>
      <c r="U638" s="87" t="e">
        <f t="shared" si="277"/>
        <v>#REF!</v>
      </c>
      <c r="V638" s="87" t="e">
        <f t="shared" si="278"/>
        <v>#REF!</v>
      </c>
      <c r="W638" s="87" t="e">
        <f t="shared" si="279"/>
        <v>#REF!</v>
      </c>
      <c r="X638" s="87" t="e">
        <f t="shared" si="280"/>
        <v>#REF!</v>
      </c>
      <c r="Y638" s="87" t="e">
        <f t="shared" si="281"/>
        <v>#REF!</v>
      </c>
      <c r="Z638" s="87" t="e">
        <f t="shared" si="282"/>
        <v>#REF!</v>
      </c>
      <c r="AA638" s="40">
        <v>420</v>
      </c>
      <c r="AB638" s="89">
        <f>AA638*GDPdeflator!$C$25/$AI$18*10^3</f>
        <v>40.382789385678855</v>
      </c>
      <c r="AC638" s="90" t="e">
        <f>INDEX(AdditionalVehs!$E$46:$N$91,MATCH(C638,AdditionalVehs!$C$46:$C$91),MATCH(D638,AdditionalVehs!$E$45:$N$45))</f>
        <v>#REF!</v>
      </c>
      <c r="AD638" s="90" t="e">
        <f t="shared" si="284"/>
        <v>#REF!</v>
      </c>
      <c r="AE638" s="90" t="e">
        <f>INDEX(AdditionalVehs!$P$46:$Y$91,MATCH(C638,AdditionalVehs!$C$46:$C$91),MATCH(D638,AdditionalVehs!$AA$45:$AJ$45))</f>
        <v>#REF!</v>
      </c>
      <c r="AF638" s="90" t="e">
        <f t="shared" si="285"/>
        <v>#REF!</v>
      </c>
      <c r="AG638" s="90">
        <v>0</v>
      </c>
    </row>
    <row r="639" spans="1:33" x14ac:dyDescent="0.2">
      <c r="A639" s="92" t="s">
        <v>2108</v>
      </c>
      <c r="B639" s="248" t="s">
        <v>2109</v>
      </c>
      <c r="C639" s="40" t="s">
        <v>2099</v>
      </c>
      <c r="D639" s="40">
        <v>2035</v>
      </c>
      <c r="E639" s="86">
        <f>GDPdeflator!$C$32*INDEX(AdditionalVehs!$AA$46:$AK$91,MATCH($C639,AdditionalVehs!$C$46:$C$91,0),MATCH(E$7,AdditionalVehs!$AA$45:$AK$45,0))</f>
        <v>0</v>
      </c>
      <c r="F639" s="86" t="e">
        <f>GDPdeflator!$C$36*INDEX(AdditionalVehs!$AA$46:$AK$91,MATCH($C639,AdditionalVehs!$C$46:$C$91,0),MATCH(F$7,AdditionalVehs!$AA$45:$AK$45,0))</f>
        <v>#REF!</v>
      </c>
      <c r="G639" s="86" t="e">
        <f>GDPdeflator!$C$38*INDEX(AdditionalVehs!$AA$46:$AK$91,MATCH($C639,AdditionalVehs!$C$46:$C$91,0),MATCH(G$7,AdditionalVehs!$AA$45:$AK$45,0))</f>
        <v>#REF!</v>
      </c>
      <c r="H639" s="86" t="e">
        <f>GDPdeflator!$C$38*INDEX(AdditionalVehs!$AA$46:$AK$91,MATCH($C639,AdditionalVehs!$C$46:$C$91,0),MATCH(H$7,AdditionalVehs!$AA$45:$AK$45,0))</f>
        <v>#REF!</v>
      </c>
      <c r="I639" s="86" t="e">
        <f>GDPdeflator!$C$38*INDEX(AdditionalVehs!$AA$46:$AK$91,MATCH($C639,AdditionalVehs!$C$46:$C$91,0),MATCH(I$7,AdditionalVehs!$AA$45:$AK$45,0))</f>
        <v>#REF!</v>
      </c>
      <c r="J639" s="86" t="e">
        <f>GDPdeflator!$C$38*INDEX(AdditionalVehs!$AA$46:$AK$91,MATCH($C639,AdditionalVehs!$C$46:$C$91,0),MATCH(J$7,AdditionalVehs!$AA$45:$AK$45,0))</f>
        <v>#REF!</v>
      </c>
      <c r="K639" s="86" t="e">
        <f>GDPdeflator!$C$38*INDEX(AdditionalVehs!$AA$46:$AK$91,MATCH($C639,AdditionalVehs!$C$46:$C$91,0),MATCH(K$7,AdditionalVehs!$AA$45:$AK$45,0))</f>
        <v>#REF!</v>
      </c>
      <c r="L639" s="86" t="e">
        <f>GDPdeflator!$C$38*INDEX(AdditionalVehs!$AA$46:$AK$91,MATCH($C639,AdditionalVehs!$C$46:$C$91,0),MATCH(L$7,AdditionalVehs!$AA$45:$AK$45,0))</f>
        <v>#REF!</v>
      </c>
      <c r="M639" s="86" t="e">
        <f>GDPdeflator!$C$38*INDEX(AdditionalVehs!$AA$46:$AK$91,MATCH($C639,AdditionalVehs!$C$46:$C$91,0),MATCH(M$7,AdditionalVehs!$AA$45:$AK$45,0))</f>
        <v>#REF!</v>
      </c>
      <c r="N639" s="86" t="e">
        <f>GDPdeflator!$C$38*INDEX(AdditionalVehs!$AA$46:$AK$91,MATCH($C639,AdditionalVehs!$C$46:$C$91,0),MATCH(N$7,AdditionalVehs!$AA$45:$AK$45,0))</f>
        <v>#REF!</v>
      </c>
      <c r="O639" s="86" t="e">
        <f>GDPdeflator!$C$38*INDEX(AdditionalVehs!$AA$46:$AK$91,MATCH($C639,AdditionalVehs!$C$46:$C$91,0),MATCH(O$7,AdditionalVehs!$AA$45:$AK$45,0))</f>
        <v>#REF!</v>
      </c>
      <c r="P639" s="87">
        <f t="shared" si="286"/>
        <v>0</v>
      </c>
      <c r="Q639" s="87" t="e">
        <f t="shared" si="269"/>
        <v>#REF!</v>
      </c>
      <c r="R639" s="87" t="e">
        <f t="shared" si="268"/>
        <v>#REF!</v>
      </c>
      <c r="S639" s="87" t="e">
        <f t="shared" si="275"/>
        <v>#REF!</v>
      </c>
      <c r="T639" s="87" t="e">
        <f t="shared" si="276"/>
        <v>#REF!</v>
      </c>
      <c r="U639" s="87" t="e">
        <f t="shared" si="277"/>
        <v>#REF!</v>
      </c>
      <c r="V639" s="87" t="e">
        <f t="shared" si="278"/>
        <v>#REF!</v>
      </c>
      <c r="W639" s="87" t="e">
        <f t="shared" si="279"/>
        <v>#REF!</v>
      </c>
      <c r="X639" s="87" t="e">
        <f t="shared" si="280"/>
        <v>#REF!</v>
      </c>
      <c r="Y639" s="87" t="e">
        <f t="shared" si="281"/>
        <v>#REF!</v>
      </c>
      <c r="Z639" s="87" t="e">
        <f t="shared" si="282"/>
        <v>#REF!</v>
      </c>
      <c r="AA639" s="40">
        <v>420</v>
      </c>
      <c r="AB639" s="89">
        <f>AA639*GDPdeflator!$C$25/$AI$18*10^3</f>
        <v>40.382789385678855</v>
      </c>
      <c r="AC639" s="90" t="e">
        <f>INDEX(AdditionalVehs!$E$46:$N$91,MATCH(C639,AdditionalVehs!$C$46:$C$91),MATCH(D639,AdditionalVehs!$E$45:$N$45))</f>
        <v>#REF!</v>
      </c>
      <c r="AD639" s="90" t="e">
        <f t="shared" si="284"/>
        <v>#REF!</v>
      </c>
      <c r="AE639" s="90" t="e">
        <f>INDEX(AdditionalVehs!$P$46:$Y$91,MATCH(C639,AdditionalVehs!$C$46:$C$91),MATCH(D639,AdditionalVehs!$AA$45:$AJ$45))</f>
        <v>#REF!</v>
      </c>
      <c r="AF639" s="90" t="e">
        <f t="shared" si="285"/>
        <v>#REF!</v>
      </c>
      <c r="AG639" s="90">
        <v>0</v>
      </c>
    </row>
    <row r="640" spans="1:33" x14ac:dyDescent="0.2">
      <c r="A640" s="92" t="s">
        <v>2110</v>
      </c>
      <c r="B640" s="248" t="s">
        <v>2111</v>
      </c>
      <c r="C640" s="40" t="s">
        <v>2099</v>
      </c>
      <c r="D640" s="40">
        <v>2040</v>
      </c>
      <c r="E640" s="86">
        <f>GDPdeflator!$C$32*INDEX(AdditionalVehs!$AA$46:$AK$91,MATCH($C640,AdditionalVehs!$C$46:$C$91,0),MATCH(E$7,AdditionalVehs!$AA$45:$AK$45,0))</f>
        <v>0</v>
      </c>
      <c r="F640" s="86" t="e">
        <f>GDPdeflator!$C$36*INDEX(AdditionalVehs!$AA$46:$AK$91,MATCH($C640,AdditionalVehs!$C$46:$C$91,0),MATCH(F$7,AdditionalVehs!$AA$45:$AK$45,0))</f>
        <v>#REF!</v>
      </c>
      <c r="G640" s="86" t="e">
        <f>GDPdeflator!$C$38*INDEX(AdditionalVehs!$AA$46:$AK$91,MATCH($C640,AdditionalVehs!$C$46:$C$91,0),MATCH(G$7,AdditionalVehs!$AA$45:$AK$45,0))</f>
        <v>#REF!</v>
      </c>
      <c r="H640" s="86" t="e">
        <f>GDPdeflator!$C$38*INDEX(AdditionalVehs!$AA$46:$AK$91,MATCH($C640,AdditionalVehs!$C$46:$C$91,0),MATCH(H$7,AdditionalVehs!$AA$45:$AK$45,0))</f>
        <v>#REF!</v>
      </c>
      <c r="I640" s="86" t="e">
        <f>GDPdeflator!$C$38*INDEX(AdditionalVehs!$AA$46:$AK$91,MATCH($C640,AdditionalVehs!$C$46:$C$91,0),MATCH(I$7,AdditionalVehs!$AA$45:$AK$45,0))</f>
        <v>#REF!</v>
      </c>
      <c r="J640" s="86" t="e">
        <f>GDPdeflator!$C$38*INDEX(AdditionalVehs!$AA$46:$AK$91,MATCH($C640,AdditionalVehs!$C$46:$C$91,0),MATCH(J$7,AdditionalVehs!$AA$45:$AK$45,0))</f>
        <v>#REF!</v>
      </c>
      <c r="K640" s="86" t="e">
        <f>GDPdeflator!$C$38*INDEX(AdditionalVehs!$AA$46:$AK$91,MATCH($C640,AdditionalVehs!$C$46:$C$91,0),MATCH(K$7,AdditionalVehs!$AA$45:$AK$45,0))</f>
        <v>#REF!</v>
      </c>
      <c r="L640" s="86" t="e">
        <f>GDPdeflator!$C$38*INDEX(AdditionalVehs!$AA$46:$AK$91,MATCH($C640,AdditionalVehs!$C$46:$C$91,0),MATCH(L$7,AdditionalVehs!$AA$45:$AK$45,0))</f>
        <v>#REF!</v>
      </c>
      <c r="M640" s="86" t="e">
        <f>GDPdeflator!$C$38*INDEX(AdditionalVehs!$AA$46:$AK$91,MATCH($C640,AdditionalVehs!$C$46:$C$91,0),MATCH(M$7,AdditionalVehs!$AA$45:$AK$45,0))</f>
        <v>#REF!</v>
      </c>
      <c r="N640" s="86" t="e">
        <f>GDPdeflator!$C$38*INDEX(AdditionalVehs!$AA$46:$AK$91,MATCH($C640,AdditionalVehs!$C$46:$C$91,0),MATCH(N$7,AdditionalVehs!$AA$45:$AK$45,0))</f>
        <v>#REF!</v>
      </c>
      <c r="O640" s="86" t="e">
        <f>GDPdeflator!$C$38*INDEX(AdditionalVehs!$AA$46:$AK$91,MATCH($C640,AdditionalVehs!$C$46:$C$91,0),MATCH(O$7,AdditionalVehs!$AA$45:$AK$45,0))</f>
        <v>#REF!</v>
      </c>
      <c r="P640" s="87">
        <f t="shared" si="286"/>
        <v>0</v>
      </c>
      <c r="Q640" s="87" t="e">
        <f t="shared" si="269"/>
        <v>#REF!</v>
      </c>
      <c r="R640" s="87" t="e">
        <f t="shared" si="268"/>
        <v>#REF!</v>
      </c>
      <c r="S640" s="87" t="e">
        <f t="shared" si="275"/>
        <v>#REF!</v>
      </c>
      <c r="T640" s="87" t="e">
        <f t="shared" si="276"/>
        <v>#REF!</v>
      </c>
      <c r="U640" s="87" t="e">
        <f t="shared" si="277"/>
        <v>#REF!</v>
      </c>
      <c r="V640" s="87" t="e">
        <f t="shared" si="278"/>
        <v>#REF!</v>
      </c>
      <c r="W640" s="87" t="e">
        <f t="shared" si="279"/>
        <v>#REF!</v>
      </c>
      <c r="X640" s="87" t="e">
        <f t="shared" si="280"/>
        <v>#REF!</v>
      </c>
      <c r="Y640" s="87" t="e">
        <f t="shared" si="281"/>
        <v>#REF!</v>
      </c>
      <c r="Z640" s="87" t="e">
        <f t="shared" si="282"/>
        <v>#REF!</v>
      </c>
      <c r="AA640" s="40">
        <v>420</v>
      </c>
      <c r="AB640" s="89">
        <f>AA640*GDPdeflator!$C$25/$AI$18*10^3</f>
        <v>40.382789385678855</v>
      </c>
      <c r="AC640" s="90" t="e">
        <f>INDEX(AdditionalVehs!$E$46:$N$91,MATCH(C640,AdditionalVehs!$C$46:$C$91),MATCH(D640,AdditionalVehs!$E$45:$N$45))</f>
        <v>#REF!</v>
      </c>
      <c r="AD640" s="90" t="e">
        <f t="shared" si="284"/>
        <v>#REF!</v>
      </c>
      <c r="AE640" s="90" t="e">
        <f>INDEX(AdditionalVehs!$P$46:$Y$91,MATCH(C640,AdditionalVehs!$C$46:$C$91),MATCH(D640,AdditionalVehs!$AA$45:$AJ$45))</f>
        <v>#REF!</v>
      </c>
      <c r="AF640" s="90" t="e">
        <f t="shared" si="285"/>
        <v>#REF!</v>
      </c>
      <c r="AG640" s="90">
        <v>0</v>
      </c>
    </row>
    <row r="641" spans="1:33" x14ac:dyDescent="0.2">
      <c r="A641" s="92" t="s">
        <v>2112</v>
      </c>
      <c r="B641" s="248" t="s">
        <v>2113</v>
      </c>
      <c r="C641" s="40" t="s">
        <v>2099</v>
      </c>
      <c r="D641" s="40">
        <v>2045</v>
      </c>
      <c r="E641" s="86">
        <f>GDPdeflator!$C$32*INDEX(AdditionalVehs!$AA$46:$AK$91,MATCH($C641,AdditionalVehs!$C$46:$C$91,0),MATCH(E$7,AdditionalVehs!$AA$45:$AK$45,0))</f>
        <v>0</v>
      </c>
      <c r="F641" s="86" t="e">
        <f>GDPdeflator!$C$36*INDEX(AdditionalVehs!$AA$46:$AK$91,MATCH($C641,AdditionalVehs!$C$46:$C$91,0),MATCH(F$7,AdditionalVehs!$AA$45:$AK$45,0))</f>
        <v>#REF!</v>
      </c>
      <c r="G641" s="86" t="e">
        <f>GDPdeflator!$C$38*INDEX(AdditionalVehs!$AA$46:$AK$91,MATCH($C641,AdditionalVehs!$C$46:$C$91,0),MATCH(G$7,AdditionalVehs!$AA$45:$AK$45,0))</f>
        <v>#REF!</v>
      </c>
      <c r="H641" s="86" t="e">
        <f>GDPdeflator!$C$38*INDEX(AdditionalVehs!$AA$46:$AK$91,MATCH($C641,AdditionalVehs!$C$46:$C$91,0),MATCH(H$7,AdditionalVehs!$AA$45:$AK$45,0))</f>
        <v>#REF!</v>
      </c>
      <c r="I641" s="86" t="e">
        <f>GDPdeflator!$C$38*INDEX(AdditionalVehs!$AA$46:$AK$91,MATCH($C641,AdditionalVehs!$C$46:$C$91,0),MATCH(I$7,AdditionalVehs!$AA$45:$AK$45,0))</f>
        <v>#REF!</v>
      </c>
      <c r="J641" s="86" t="e">
        <f>GDPdeflator!$C$38*INDEX(AdditionalVehs!$AA$46:$AK$91,MATCH($C641,AdditionalVehs!$C$46:$C$91,0),MATCH(J$7,AdditionalVehs!$AA$45:$AK$45,0))</f>
        <v>#REF!</v>
      </c>
      <c r="K641" s="86" t="e">
        <f>GDPdeflator!$C$38*INDEX(AdditionalVehs!$AA$46:$AK$91,MATCH($C641,AdditionalVehs!$C$46:$C$91,0),MATCH(K$7,AdditionalVehs!$AA$45:$AK$45,0))</f>
        <v>#REF!</v>
      </c>
      <c r="L641" s="86" t="e">
        <f>GDPdeflator!$C$38*INDEX(AdditionalVehs!$AA$46:$AK$91,MATCH($C641,AdditionalVehs!$C$46:$C$91,0),MATCH(L$7,AdditionalVehs!$AA$45:$AK$45,0))</f>
        <v>#REF!</v>
      </c>
      <c r="M641" s="86" t="e">
        <f>GDPdeflator!$C$38*INDEX(AdditionalVehs!$AA$46:$AK$91,MATCH($C641,AdditionalVehs!$C$46:$C$91,0),MATCH(M$7,AdditionalVehs!$AA$45:$AK$45,0))</f>
        <v>#REF!</v>
      </c>
      <c r="N641" s="86" t="e">
        <f>GDPdeflator!$C$38*INDEX(AdditionalVehs!$AA$46:$AK$91,MATCH($C641,AdditionalVehs!$C$46:$C$91,0),MATCH(N$7,AdditionalVehs!$AA$45:$AK$45,0))</f>
        <v>#REF!</v>
      </c>
      <c r="O641" s="86" t="e">
        <f>GDPdeflator!$C$38*INDEX(AdditionalVehs!$AA$46:$AK$91,MATCH($C641,AdditionalVehs!$C$46:$C$91,0),MATCH(O$7,AdditionalVehs!$AA$45:$AK$45,0))</f>
        <v>#REF!</v>
      </c>
      <c r="P641" s="87">
        <f t="shared" si="286"/>
        <v>0</v>
      </c>
      <c r="Q641" s="87" t="e">
        <f t="shared" si="269"/>
        <v>#REF!</v>
      </c>
      <c r="R641" s="87" t="e">
        <f t="shared" si="268"/>
        <v>#REF!</v>
      </c>
      <c r="S641" s="87" t="e">
        <f t="shared" si="275"/>
        <v>#REF!</v>
      </c>
      <c r="T641" s="87" t="e">
        <f t="shared" si="276"/>
        <v>#REF!</v>
      </c>
      <c r="U641" s="87" t="e">
        <f t="shared" si="277"/>
        <v>#REF!</v>
      </c>
      <c r="V641" s="87" t="e">
        <f t="shared" si="278"/>
        <v>#REF!</v>
      </c>
      <c r="W641" s="87" t="e">
        <f t="shared" si="279"/>
        <v>#REF!</v>
      </c>
      <c r="X641" s="87" t="e">
        <f t="shared" si="280"/>
        <v>#REF!</v>
      </c>
      <c r="Y641" s="87" t="e">
        <f t="shared" si="281"/>
        <v>#REF!</v>
      </c>
      <c r="Z641" s="87" t="e">
        <f t="shared" si="282"/>
        <v>#REF!</v>
      </c>
      <c r="AA641" s="40">
        <v>420</v>
      </c>
      <c r="AB641" s="89">
        <f>AA641*GDPdeflator!$C$25/$AI$18*10^3</f>
        <v>40.382789385678855</v>
      </c>
      <c r="AC641" s="90" t="e">
        <f>INDEX(AdditionalVehs!$E$46:$N$91,MATCH(C641,AdditionalVehs!$C$46:$C$91),MATCH(D641,AdditionalVehs!$E$45:$N$45))</f>
        <v>#REF!</v>
      </c>
      <c r="AD641" s="90" t="e">
        <f t="shared" si="284"/>
        <v>#REF!</v>
      </c>
      <c r="AE641" s="90" t="e">
        <f>INDEX(AdditionalVehs!$P$46:$Y$91,MATCH(C641,AdditionalVehs!$C$46:$C$91),MATCH(D641,AdditionalVehs!$AA$45:$AJ$45))</f>
        <v>#REF!</v>
      </c>
      <c r="AF641" s="90" t="e">
        <f t="shared" si="285"/>
        <v>#REF!</v>
      </c>
      <c r="AG641" s="90">
        <v>0</v>
      </c>
    </row>
    <row r="642" spans="1:33" x14ac:dyDescent="0.2">
      <c r="A642" s="92" t="s">
        <v>2114</v>
      </c>
      <c r="B642" s="248" t="s">
        <v>2115</v>
      </c>
      <c r="C642" s="40" t="s">
        <v>2099</v>
      </c>
      <c r="D642" s="40">
        <v>2050</v>
      </c>
      <c r="E642" s="86">
        <f>GDPdeflator!$C$32*INDEX(AdditionalVehs!$AA$46:$AK$91,MATCH($C642,AdditionalVehs!$C$46:$C$91,0),MATCH(E$7,AdditionalVehs!$AA$45:$AK$45,0))</f>
        <v>0</v>
      </c>
      <c r="F642" s="86" t="e">
        <f>GDPdeflator!$C$36*INDEX(AdditionalVehs!$AA$46:$AK$91,MATCH($C642,AdditionalVehs!$C$46:$C$91,0),MATCH(F$7,AdditionalVehs!$AA$45:$AK$45,0))</f>
        <v>#REF!</v>
      </c>
      <c r="G642" s="86" t="e">
        <f>GDPdeflator!$C$38*INDEX(AdditionalVehs!$AA$46:$AK$91,MATCH($C642,AdditionalVehs!$C$46:$C$91,0),MATCH(G$7,AdditionalVehs!$AA$45:$AK$45,0))</f>
        <v>#REF!</v>
      </c>
      <c r="H642" s="86" t="e">
        <f>GDPdeflator!$C$38*INDEX(AdditionalVehs!$AA$46:$AK$91,MATCH($C642,AdditionalVehs!$C$46:$C$91,0),MATCH(H$7,AdditionalVehs!$AA$45:$AK$45,0))</f>
        <v>#REF!</v>
      </c>
      <c r="I642" s="86" t="e">
        <f>GDPdeflator!$C$38*INDEX(AdditionalVehs!$AA$46:$AK$91,MATCH($C642,AdditionalVehs!$C$46:$C$91,0),MATCH(I$7,AdditionalVehs!$AA$45:$AK$45,0))</f>
        <v>#REF!</v>
      </c>
      <c r="J642" s="86" t="e">
        <f>GDPdeflator!$C$38*INDEX(AdditionalVehs!$AA$46:$AK$91,MATCH($C642,AdditionalVehs!$C$46:$C$91,0),MATCH(J$7,AdditionalVehs!$AA$45:$AK$45,0))</f>
        <v>#REF!</v>
      </c>
      <c r="K642" s="86" t="e">
        <f>GDPdeflator!$C$38*INDEX(AdditionalVehs!$AA$46:$AK$91,MATCH($C642,AdditionalVehs!$C$46:$C$91,0),MATCH(K$7,AdditionalVehs!$AA$45:$AK$45,0))</f>
        <v>#REF!</v>
      </c>
      <c r="L642" s="86" t="e">
        <f>GDPdeflator!$C$38*INDEX(AdditionalVehs!$AA$46:$AK$91,MATCH($C642,AdditionalVehs!$C$46:$C$91,0),MATCH(L$7,AdditionalVehs!$AA$45:$AK$45,0))</f>
        <v>#REF!</v>
      </c>
      <c r="M642" s="86" t="e">
        <f>GDPdeflator!$C$38*INDEX(AdditionalVehs!$AA$46:$AK$91,MATCH($C642,AdditionalVehs!$C$46:$C$91,0),MATCH(M$7,AdditionalVehs!$AA$45:$AK$45,0))</f>
        <v>#REF!</v>
      </c>
      <c r="N642" s="86" t="e">
        <f>GDPdeflator!$C$38*INDEX(AdditionalVehs!$AA$46:$AK$91,MATCH($C642,AdditionalVehs!$C$46:$C$91,0),MATCH(N$7,AdditionalVehs!$AA$45:$AK$45,0))</f>
        <v>#REF!</v>
      </c>
      <c r="O642" s="86" t="e">
        <f>GDPdeflator!$C$38*INDEX(AdditionalVehs!$AA$46:$AK$91,MATCH($C642,AdditionalVehs!$C$46:$C$91,0),MATCH(O$7,AdditionalVehs!$AA$45:$AK$45,0))</f>
        <v>#REF!</v>
      </c>
      <c r="P642" s="87">
        <f t="shared" si="286"/>
        <v>0</v>
      </c>
      <c r="Q642" s="87" t="e">
        <f t="shared" si="269"/>
        <v>#REF!</v>
      </c>
      <c r="R642" s="87" t="e">
        <f t="shared" si="268"/>
        <v>#REF!</v>
      </c>
      <c r="S642" s="87" t="e">
        <f t="shared" si="275"/>
        <v>#REF!</v>
      </c>
      <c r="T642" s="87" t="e">
        <f t="shared" si="276"/>
        <v>#REF!</v>
      </c>
      <c r="U642" s="87" t="e">
        <f t="shared" si="277"/>
        <v>#REF!</v>
      </c>
      <c r="V642" s="87" t="e">
        <f t="shared" si="278"/>
        <v>#REF!</v>
      </c>
      <c r="W642" s="87" t="e">
        <f t="shared" si="279"/>
        <v>#REF!</v>
      </c>
      <c r="X642" s="87" t="e">
        <f t="shared" si="280"/>
        <v>#REF!</v>
      </c>
      <c r="Y642" s="87" t="e">
        <f t="shared" si="281"/>
        <v>#REF!</v>
      </c>
      <c r="Z642" s="87" t="e">
        <f t="shared" si="282"/>
        <v>#REF!</v>
      </c>
      <c r="AA642" s="40">
        <v>420</v>
      </c>
      <c r="AB642" s="89">
        <f>AA642*GDPdeflator!$C$25/$AI$18*10^3</f>
        <v>40.382789385678855</v>
      </c>
      <c r="AC642" s="90" t="e">
        <f>INDEX(AdditionalVehs!$E$46:$N$91,MATCH(C642,AdditionalVehs!$C$46:$C$91),MATCH(D642,AdditionalVehs!$E$45:$N$45))</f>
        <v>#REF!</v>
      </c>
      <c r="AD642" s="90" t="e">
        <f t="shared" ref="AD642:AD705" si="287">AC642/($AI$11*$AI$15*10 ^ 9)</f>
        <v>#REF!</v>
      </c>
      <c r="AE642" s="90" t="e">
        <f>INDEX(AdditionalVehs!$P$46:$Y$91,MATCH(C642,AdditionalVehs!$C$46:$C$91),MATCH(D642,AdditionalVehs!$AA$45:$AJ$45))</f>
        <v>#REF!</v>
      </c>
      <c r="AF642" s="90" t="e">
        <f t="shared" si="285"/>
        <v>#REF!</v>
      </c>
      <c r="AG642" s="90">
        <v>0</v>
      </c>
    </row>
    <row r="643" spans="1:33" x14ac:dyDescent="0.2">
      <c r="A643" s="92" t="s">
        <v>2116</v>
      </c>
      <c r="B643" s="248" t="s">
        <v>2117</v>
      </c>
      <c r="C643" s="40" t="s">
        <v>2118</v>
      </c>
      <c r="D643" s="40">
        <v>2010</v>
      </c>
      <c r="E643" s="86" t="e">
        <f>GDPdeflator!$C$32*INDEX(AdditionalVehs!$AA$46:$AK$91,MATCH($C643,AdditionalVehs!$C$46:$C$91,0),MATCH(E$7,AdditionalVehs!$AA$45:$AK$45,0))</f>
        <v>#REF!</v>
      </c>
      <c r="F643" s="86" t="e">
        <f>GDPdeflator!$C$36*INDEX(AdditionalVehs!$AA$46:$AK$91,MATCH($C643,AdditionalVehs!$C$46:$C$91,0),MATCH(F$7,AdditionalVehs!$AA$45:$AK$45,0))</f>
        <v>#REF!</v>
      </c>
      <c r="G643" s="86" t="e">
        <f>GDPdeflator!$C$38*INDEX(AdditionalVehs!$AA$46:$AK$91,MATCH($C643,AdditionalVehs!$C$46:$C$91,0),MATCH(G$7,AdditionalVehs!$AA$45:$AK$45,0))</f>
        <v>#REF!</v>
      </c>
      <c r="H643" s="86" t="e">
        <f>GDPdeflator!$C$38*INDEX(AdditionalVehs!$AA$46:$AK$91,MATCH($C643,AdditionalVehs!$C$46:$C$91,0),MATCH(H$7,AdditionalVehs!$AA$45:$AK$45,0))</f>
        <v>#REF!</v>
      </c>
      <c r="I643" s="86" t="e">
        <f>GDPdeflator!$C$38*INDEX(AdditionalVehs!$AA$46:$AK$91,MATCH($C643,AdditionalVehs!$C$46:$C$91,0),MATCH(I$7,AdditionalVehs!$AA$45:$AK$45,0))</f>
        <v>#REF!</v>
      </c>
      <c r="J643" s="86" t="e">
        <f>GDPdeflator!$C$38*INDEX(AdditionalVehs!$AA$46:$AK$91,MATCH($C643,AdditionalVehs!$C$46:$C$91,0),MATCH(J$7,AdditionalVehs!$AA$45:$AK$45,0))</f>
        <v>#REF!</v>
      </c>
      <c r="K643" s="86" t="e">
        <f>GDPdeflator!$C$38*INDEX(AdditionalVehs!$AA$46:$AK$91,MATCH($C643,AdditionalVehs!$C$46:$C$91,0),MATCH(K$7,AdditionalVehs!$AA$45:$AK$45,0))</f>
        <v>#REF!</v>
      </c>
      <c r="L643" s="86" t="e">
        <f>GDPdeflator!$C$38*INDEX(AdditionalVehs!$AA$46:$AK$91,MATCH($C643,AdditionalVehs!$C$46:$C$91,0),MATCH(L$7,AdditionalVehs!$AA$45:$AK$45,0))</f>
        <v>#REF!</v>
      </c>
      <c r="M643" s="86" t="e">
        <f>GDPdeflator!$C$38*INDEX(AdditionalVehs!$AA$46:$AK$91,MATCH($C643,AdditionalVehs!$C$46:$C$91,0),MATCH(M$7,AdditionalVehs!$AA$45:$AK$45,0))</f>
        <v>#REF!</v>
      </c>
      <c r="N643" s="86" t="e">
        <f>GDPdeflator!$C$38*INDEX(AdditionalVehs!$AA$46:$AK$91,MATCH($C643,AdditionalVehs!$C$46:$C$91,0),MATCH(N$7,AdditionalVehs!$AA$45:$AK$45,0))</f>
        <v>#REF!</v>
      </c>
      <c r="O643" s="86" t="e">
        <f>GDPdeflator!$C$38*INDEX(AdditionalVehs!$AA$46:$AK$91,MATCH($C643,AdditionalVehs!$C$46:$C$91,0),MATCH(O$7,AdditionalVehs!$AA$45:$AK$45,0))</f>
        <v>#REF!</v>
      </c>
      <c r="P643" s="87" t="e">
        <f>E643/$AI$18*10^6</f>
        <v>#REF!</v>
      </c>
      <c r="Q643" s="87" t="e">
        <f t="shared" si="269"/>
        <v>#REF!</v>
      </c>
      <c r="R643" s="87" t="e">
        <f t="shared" si="268"/>
        <v>#REF!</v>
      </c>
      <c r="S643" s="87" t="e">
        <f t="shared" si="275"/>
        <v>#REF!</v>
      </c>
      <c r="T643" s="87" t="e">
        <f t="shared" si="276"/>
        <v>#REF!</v>
      </c>
      <c r="U643" s="87" t="e">
        <f t="shared" si="277"/>
        <v>#REF!</v>
      </c>
      <c r="V643" s="87" t="e">
        <f t="shared" si="278"/>
        <v>#REF!</v>
      </c>
      <c r="W643" s="87" t="e">
        <f t="shared" si="279"/>
        <v>#REF!</v>
      </c>
      <c r="X643" s="87" t="e">
        <f t="shared" si="280"/>
        <v>#REF!</v>
      </c>
      <c r="Y643" s="87" t="e">
        <f t="shared" si="281"/>
        <v>#REF!</v>
      </c>
      <c r="Z643" s="87" t="e">
        <f t="shared" si="282"/>
        <v>#REF!</v>
      </c>
      <c r="AA643" s="40">
        <v>420</v>
      </c>
      <c r="AB643" s="89">
        <f>AA643*GDPdeflator!$C$25/$AI$18*10^3</f>
        <v>40.382789385678855</v>
      </c>
      <c r="AC643" s="90" t="e">
        <f>INDEX(AdditionalVehs!$E$46:$N$91,MATCH(C643,AdditionalVehs!$C$46:$C$91),MATCH(D643,AdditionalVehs!$E$45:$N$45))</f>
        <v>#REF!</v>
      </c>
      <c r="AD643" s="90" t="e">
        <f t="shared" si="287"/>
        <v>#REF!</v>
      </c>
      <c r="AE643" s="90" t="e">
        <f>INDEX(AdditionalVehs!$P$46:$Y$91,MATCH(C643,AdditionalVehs!$C$46:$C$91),MATCH(D643,AdditionalVehs!$AA$45:$AJ$45))</f>
        <v>#REF!</v>
      </c>
      <c r="AF643" s="90" t="e">
        <f t="shared" si="285"/>
        <v>#REF!</v>
      </c>
      <c r="AG643" s="90">
        <v>0</v>
      </c>
    </row>
    <row r="644" spans="1:33" x14ac:dyDescent="0.2">
      <c r="A644" s="92" t="s">
        <v>2119</v>
      </c>
      <c r="B644" s="248" t="s">
        <v>2120</v>
      </c>
      <c r="C644" s="40" t="s">
        <v>2118</v>
      </c>
      <c r="D644" s="40">
        <v>2015</v>
      </c>
      <c r="E644" s="86" t="e">
        <f>GDPdeflator!$C$32*INDEX(AdditionalVehs!$AA$46:$AK$91,MATCH($C644,AdditionalVehs!$C$46:$C$91,0),MATCH(E$7,AdditionalVehs!$AA$45:$AK$45,0))</f>
        <v>#REF!</v>
      </c>
      <c r="F644" s="86" t="e">
        <f>GDPdeflator!$C$36*INDEX(AdditionalVehs!$AA$46:$AK$91,MATCH($C644,AdditionalVehs!$C$46:$C$91,0),MATCH(F$7,AdditionalVehs!$AA$45:$AK$45,0))</f>
        <v>#REF!</v>
      </c>
      <c r="G644" s="86" t="e">
        <f>GDPdeflator!$C$38*INDEX(AdditionalVehs!$AA$46:$AK$91,MATCH($C644,AdditionalVehs!$C$46:$C$91,0),MATCH(G$7,AdditionalVehs!$AA$45:$AK$45,0))</f>
        <v>#REF!</v>
      </c>
      <c r="H644" s="86" t="e">
        <f>GDPdeflator!$C$38*INDEX(AdditionalVehs!$AA$46:$AK$91,MATCH($C644,AdditionalVehs!$C$46:$C$91,0),MATCH(H$7,AdditionalVehs!$AA$45:$AK$45,0))</f>
        <v>#REF!</v>
      </c>
      <c r="I644" s="86" t="e">
        <f>GDPdeflator!$C$38*INDEX(AdditionalVehs!$AA$46:$AK$91,MATCH($C644,AdditionalVehs!$C$46:$C$91,0),MATCH(I$7,AdditionalVehs!$AA$45:$AK$45,0))</f>
        <v>#REF!</v>
      </c>
      <c r="J644" s="86" t="e">
        <f>GDPdeflator!$C$38*INDEX(AdditionalVehs!$AA$46:$AK$91,MATCH($C644,AdditionalVehs!$C$46:$C$91,0),MATCH(J$7,AdditionalVehs!$AA$45:$AK$45,0))</f>
        <v>#REF!</v>
      </c>
      <c r="K644" s="86" t="e">
        <f>GDPdeflator!$C$38*INDEX(AdditionalVehs!$AA$46:$AK$91,MATCH($C644,AdditionalVehs!$C$46:$C$91,0),MATCH(K$7,AdditionalVehs!$AA$45:$AK$45,0))</f>
        <v>#REF!</v>
      </c>
      <c r="L644" s="86" t="e">
        <f>GDPdeflator!$C$38*INDEX(AdditionalVehs!$AA$46:$AK$91,MATCH($C644,AdditionalVehs!$C$46:$C$91,0),MATCH(L$7,AdditionalVehs!$AA$45:$AK$45,0))</f>
        <v>#REF!</v>
      </c>
      <c r="M644" s="86" t="e">
        <f>GDPdeflator!$C$38*INDEX(AdditionalVehs!$AA$46:$AK$91,MATCH($C644,AdditionalVehs!$C$46:$C$91,0),MATCH(M$7,AdditionalVehs!$AA$45:$AK$45,0))</f>
        <v>#REF!</v>
      </c>
      <c r="N644" s="86" t="e">
        <f>GDPdeflator!$C$38*INDEX(AdditionalVehs!$AA$46:$AK$91,MATCH($C644,AdditionalVehs!$C$46:$C$91,0),MATCH(N$7,AdditionalVehs!$AA$45:$AK$45,0))</f>
        <v>#REF!</v>
      </c>
      <c r="O644" s="86" t="e">
        <f>GDPdeflator!$C$38*INDEX(AdditionalVehs!$AA$46:$AK$91,MATCH($C644,AdditionalVehs!$C$46:$C$91,0),MATCH(O$7,AdditionalVehs!$AA$45:$AK$45,0))</f>
        <v>#REF!</v>
      </c>
      <c r="P644" s="87" t="e">
        <f t="shared" ref="P644:P651" si="288">E644/$AI$18*10^6</f>
        <v>#REF!</v>
      </c>
      <c r="Q644" s="87" t="e">
        <f t="shared" si="269"/>
        <v>#REF!</v>
      </c>
      <c r="R644" s="87" t="e">
        <f t="shared" ref="R644:R707" si="289">G644/$AI$18*10^6</f>
        <v>#REF!</v>
      </c>
      <c r="S644" s="87" t="e">
        <f t="shared" si="275"/>
        <v>#REF!</v>
      </c>
      <c r="T644" s="87" t="e">
        <f t="shared" si="276"/>
        <v>#REF!</v>
      </c>
      <c r="U644" s="87" t="e">
        <f t="shared" si="277"/>
        <v>#REF!</v>
      </c>
      <c r="V644" s="87" t="e">
        <f t="shared" si="278"/>
        <v>#REF!</v>
      </c>
      <c r="W644" s="87" t="e">
        <f t="shared" si="279"/>
        <v>#REF!</v>
      </c>
      <c r="X644" s="87" t="e">
        <f t="shared" si="280"/>
        <v>#REF!</v>
      </c>
      <c r="Y644" s="87" t="e">
        <f t="shared" si="281"/>
        <v>#REF!</v>
      </c>
      <c r="Z644" s="87" t="e">
        <f t="shared" si="282"/>
        <v>#REF!</v>
      </c>
      <c r="AA644" s="40">
        <v>420</v>
      </c>
      <c r="AB644" s="89">
        <f>AA644*GDPdeflator!$C$25/$AI$18*10^3</f>
        <v>40.382789385678855</v>
      </c>
      <c r="AC644" s="90" t="e">
        <f>INDEX(AdditionalVehs!$E$46:$N$91,MATCH(C644,AdditionalVehs!$C$46:$C$91),MATCH(D644,AdditionalVehs!$E$45:$N$45))</f>
        <v>#REF!</v>
      </c>
      <c r="AD644" s="90" t="e">
        <f t="shared" si="287"/>
        <v>#REF!</v>
      </c>
      <c r="AE644" s="90" t="e">
        <f>INDEX(AdditionalVehs!$P$46:$Y$91,MATCH(C644,AdditionalVehs!$C$46:$C$91),MATCH(D644,AdditionalVehs!$AA$45:$AJ$45))</f>
        <v>#REF!</v>
      </c>
      <c r="AF644" s="90" t="e">
        <f t="shared" si="285"/>
        <v>#REF!</v>
      </c>
      <c r="AG644" s="90">
        <v>0</v>
      </c>
    </row>
    <row r="645" spans="1:33" x14ac:dyDescent="0.2">
      <c r="A645" s="92" t="s">
        <v>2121</v>
      </c>
      <c r="B645" s="248" t="s">
        <v>2122</v>
      </c>
      <c r="C645" s="40" t="s">
        <v>2118</v>
      </c>
      <c r="D645" s="40">
        <v>2020</v>
      </c>
      <c r="E645" s="86" t="e">
        <f>GDPdeflator!$C$32*INDEX(AdditionalVehs!$AA$46:$AK$91,MATCH($C645,AdditionalVehs!$C$46:$C$91,0),MATCH(E$7,AdditionalVehs!$AA$45:$AK$45,0))</f>
        <v>#REF!</v>
      </c>
      <c r="F645" s="86" t="e">
        <f>GDPdeflator!$C$36*INDEX(AdditionalVehs!$AA$46:$AK$91,MATCH($C645,AdditionalVehs!$C$46:$C$91,0),MATCH(F$7,AdditionalVehs!$AA$45:$AK$45,0))</f>
        <v>#REF!</v>
      </c>
      <c r="G645" s="86" t="e">
        <f>GDPdeflator!$C$38*INDEX(AdditionalVehs!$AA$46:$AK$91,MATCH($C645,AdditionalVehs!$C$46:$C$91,0),MATCH(G$7,AdditionalVehs!$AA$45:$AK$45,0))</f>
        <v>#REF!</v>
      </c>
      <c r="H645" s="86" t="e">
        <f>GDPdeflator!$C$38*INDEX(AdditionalVehs!$AA$46:$AK$91,MATCH($C645,AdditionalVehs!$C$46:$C$91,0),MATCH(H$7,AdditionalVehs!$AA$45:$AK$45,0))</f>
        <v>#REF!</v>
      </c>
      <c r="I645" s="86" t="e">
        <f>GDPdeflator!$C$38*INDEX(AdditionalVehs!$AA$46:$AK$91,MATCH($C645,AdditionalVehs!$C$46:$C$91,0),MATCH(I$7,AdditionalVehs!$AA$45:$AK$45,0))</f>
        <v>#REF!</v>
      </c>
      <c r="J645" s="86" t="e">
        <f>GDPdeflator!$C$38*INDEX(AdditionalVehs!$AA$46:$AK$91,MATCH($C645,AdditionalVehs!$C$46:$C$91,0),MATCH(J$7,AdditionalVehs!$AA$45:$AK$45,0))</f>
        <v>#REF!</v>
      </c>
      <c r="K645" s="86" t="e">
        <f>GDPdeflator!$C$38*INDEX(AdditionalVehs!$AA$46:$AK$91,MATCH($C645,AdditionalVehs!$C$46:$C$91,0),MATCH(K$7,AdditionalVehs!$AA$45:$AK$45,0))</f>
        <v>#REF!</v>
      </c>
      <c r="L645" s="86" t="e">
        <f>GDPdeflator!$C$38*INDEX(AdditionalVehs!$AA$46:$AK$91,MATCH($C645,AdditionalVehs!$C$46:$C$91,0),MATCH(L$7,AdditionalVehs!$AA$45:$AK$45,0))</f>
        <v>#REF!</v>
      </c>
      <c r="M645" s="86" t="e">
        <f>GDPdeflator!$C$38*INDEX(AdditionalVehs!$AA$46:$AK$91,MATCH($C645,AdditionalVehs!$C$46:$C$91,0),MATCH(M$7,AdditionalVehs!$AA$45:$AK$45,0))</f>
        <v>#REF!</v>
      </c>
      <c r="N645" s="86" t="e">
        <f>GDPdeflator!$C$38*INDEX(AdditionalVehs!$AA$46:$AK$91,MATCH($C645,AdditionalVehs!$C$46:$C$91,0),MATCH(N$7,AdditionalVehs!$AA$45:$AK$45,0))</f>
        <v>#REF!</v>
      </c>
      <c r="O645" s="86" t="e">
        <f>GDPdeflator!$C$38*INDEX(AdditionalVehs!$AA$46:$AK$91,MATCH($C645,AdditionalVehs!$C$46:$C$91,0),MATCH(O$7,AdditionalVehs!$AA$45:$AK$45,0))</f>
        <v>#REF!</v>
      </c>
      <c r="P645" s="87" t="e">
        <f t="shared" si="288"/>
        <v>#REF!</v>
      </c>
      <c r="Q645" s="87" t="e">
        <f t="shared" si="269"/>
        <v>#REF!</v>
      </c>
      <c r="R645" s="87" t="e">
        <f t="shared" si="289"/>
        <v>#REF!</v>
      </c>
      <c r="S645" s="87" t="e">
        <f t="shared" si="275"/>
        <v>#REF!</v>
      </c>
      <c r="T645" s="87" t="e">
        <f t="shared" si="276"/>
        <v>#REF!</v>
      </c>
      <c r="U645" s="87" t="e">
        <f t="shared" si="277"/>
        <v>#REF!</v>
      </c>
      <c r="V645" s="87" t="e">
        <f t="shared" si="278"/>
        <v>#REF!</v>
      </c>
      <c r="W645" s="87" t="e">
        <f t="shared" si="279"/>
        <v>#REF!</v>
      </c>
      <c r="X645" s="87" t="e">
        <f t="shared" si="280"/>
        <v>#REF!</v>
      </c>
      <c r="Y645" s="87" t="e">
        <f t="shared" si="281"/>
        <v>#REF!</v>
      </c>
      <c r="Z645" s="87" t="e">
        <f t="shared" si="282"/>
        <v>#REF!</v>
      </c>
      <c r="AA645" s="40">
        <v>420</v>
      </c>
      <c r="AB645" s="89">
        <f>AA645*GDPdeflator!$C$25/$AI$18*10^3</f>
        <v>40.382789385678855</v>
      </c>
      <c r="AC645" s="90" t="e">
        <f>INDEX(AdditionalVehs!$E$46:$N$91,MATCH(C645,AdditionalVehs!$C$46:$C$91),MATCH(D645,AdditionalVehs!$E$45:$N$45))</f>
        <v>#REF!</v>
      </c>
      <c r="AD645" s="90" t="e">
        <f t="shared" si="287"/>
        <v>#REF!</v>
      </c>
      <c r="AE645" s="90" t="e">
        <f>INDEX(AdditionalVehs!$P$46:$Y$91,MATCH(C645,AdditionalVehs!$C$46:$C$91),MATCH(D645,AdditionalVehs!$AA$45:$AJ$45))</f>
        <v>#REF!</v>
      </c>
      <c r="AF645" s="90" t="e">
        <f t="shared" si="285"/>
        <v>#REF!</v>
      </c>
      <c r="AG645" s="90">
        <v>0</v>
      </c>
    </row>
    <row r="646" spans="1:33" x14ac:dyDescent="0.2">
      <c r="A646" s="92" t="s">
        <v>2123</v>
      </c>
      <c r="B646" s="248" t="s">
        <v>2124</v>
      </c>
      <c r="C646" s="40" t="s">
        <v>2118</v>
      </c>
      <c r="D646" s="40">
        <v>2025</v>
      </c>
      <c r="E646" s="86" t="e">
        <f>GDPdeflator!$C$32*INDEX(AdditionalVehs!$AA$46:$AK$91,MATCH($C646,AdditionalVehs!$C$46:$C$91,0),MATCH(E$7,AdditionalVehs!$AA$45:$AK$45,0))</f>
        <v>#REF!</v>
      </c>
      <c r="F646" s="86" t="e">
        <f>GDPdeflator!$C$36*INDEX(AdditionalVehs!$AA$46:$AK$91,MATCH($C646,AdditionalVehs!$C$46:$C$91,0),MATCH(F$7,AdditionalVehs!$AA$45:$AK$45,0))</f>
        <v>#REF!</v>
      </c>
      <c r="G646" s="86" t="e">
        <f>GDPdeflator!$C$38*INDEX(AdditionalVehs!$AA$46:$AK$91,MATCH($C646,AdditionalVehs!$C$46:$C$91,0),MATCH(G$7,AdditionalVehs!$AA$45:$AK$45,0))</f>
        <v>#REF!</v>
      </c>
      <c r="H646" s="86" t="e">
        <f>GDPdeflator!$C$38*INDEX(AdditionalVehs!$AA$46:$AK$91,MATCH($C646,AdditionalVehs!$C$46:$C$91,0),MATCH(H$7,AdditionalVehs!$AA$45:$AK$45,0))</f>
        <v>#REF!</v>
      </c>
      <c r="I646" s="86" t="e">
        <f>GDPdeflator!$C$38*INDEX(AdditionalVehs!$AA$46:$AK$91,MATCH($C646,AdditionalVehs!$C$46:$C$91,0),MATCH(I$7,AdditionalVehs!$AA$45:$AK$45,0))</f>
        <v>#REF!</v>
      </c>
      <c r="J646" s="86" t="e">
        <f>GDPdeflator!$C$38*INDEX(AdditionalVehs!$AA$46:$AK$91,MATCH($C646,AdditionalVehs!$C$46:$C$91,0),MATCH(J$7,AdditionalVehs!$AA$45:$AK$45,0))</f>
        <v>#REF!</v>
      </c>
      <c r="K646" s="86" t="e">
        <f>GDPdeflator!$C$38*INDEX(AdditionalVehs!$AA$46:$AK$91,MATCH($C646,AdditionalVehs!$C$46:$C$91,0),MATCH(K$7,AdditionalVehs!$AA$45:$AK$45,0))</f>
        <v>#REF!</v>
      </c>
      <c r="L646" s="86" t="e">
        <f>GDPdeflator!$C$38*INDEX(AdditionalVehs!$AA$46:$AK$91,MATCH($C646,AdditionalVehs!$C$46:$C$91,0),MATCH(L$7,AdditionalVehs!$AA$45:$AK$45,0))</f>
        <v>#REF!</v>
      </c>
      <c r="M646" s="86" t="e">
        <f>GDPdeflator!$C$38*INDEX(AdditionalVehs!$AA$46:$AK$91,MATCH($C646,AdditionalVehs!$C$46:$C$91,0),MATCH(M$7,AdditionalVehs!$AA$45:$AK$45,0))</f>
        <v>#REF!</v>
      </c>
      <c r="N646" s="86" t="e">
        <f>GDPdeflator!$C$38*INDEX(AdditionalVehs!$AA$46:$AK$91,MATCH($C646,AdditionalVehs!$C$46:$C$91,0),MATCH(N$7,AdditionalVehs!$AA$45:$AK$45,0))</f>
        <v>#REF!</v>
      </c>
      <c r="O646" s="86" t="e">
        <f>GDPdeflator!$C$38*INDEX(AdditionalVehs!$AA$46:$AK$91,MATCH($C646,AdditionalVehs!$C$46:$C$91,0),MATCH(O$7,AdditionalVehs!$AA$45:$AK$45,0))</f>
        <v>#REF!</v>
      </c>
      <c r="P646" s="87" t="e">
        <f t="shared" si="288"/>
        <v>#REF!</v>
      </c>
      <c r="Q646" s="87" t="e">
        <f t="shared" si="269"/>
        <v>#REF!</v>
      </c>
      <c r="R646" s="87" t="e">
        <f t="shared" si="289"/>
        <v>#REF!</v>
      </c>
      <c r="S646" s="87" t="e">
        <f t="shared" si="275"/>
        <v>#REF!</v>
      </c>
      <c r="T646" s="87" t="e">
        <f t="shared" si="276"/>
        <v>#REF!</v>
      </c>
      <c r="U646" s="87" t="e">
        <f t="shared" si="277"/>
        <v>#REF!</v>
      </c>
      <c r="V646" s="87" t="e">
        <f t="shared" si="278"/>
        <v>#REF!</v>
      </c>
      <c r="W646" s="87" t="e">
        <f t="shared" si="279"/>
        <v>#REF!</v>
      </c>
      <c r="X646" s="87" t="e">
        <f t="shared" si="280"/>
        <v>#REF!</v>
      </c>
      <c r="Y646" s="87" t="e">
        <f t="shared" si="281"/>
        <v>#REF!</v>
      </c>
      <c r="Z646" s="87" t="e">
        <f t="shared" si="282"/>
        <v>#REF!</v>
      </c>
      <c r="AA646" s="40">
        <v>420</v>
      </c>
      <c r="AB646" s="89">
        <f>AA646*GDPdeflator!$C$25/$AI$18*10^3</f>
        <v>40.382789385678855</v>
      </c>
      <c r="AC646" s="90" t="e">
        <f>INDEX(AdditionalVehs!$E$46:$N$91,MATCH(C646,AdditionalVehs!$C$46:$C$91),MATCH(D646,AdditionalVehs!$E$45:$N$45))</f>
        <v>#REF!</v>
      </c>
      <c r="AD646" s="90" t="e">
        <f t="shared" si="287"/>
        <v>#REF!</v>
      </c>
      <c r="AE646" s="90" t="e">
        <f>INDEX(AdditionalVehs!$P$46:$Y$91,MATCH(C646,AdditionalVehs!$C$46:$C$91),MATCH(D646,AdditionalVehs!$AA$45:$AJ$45))</f>
        <v>#REF!</v>
      </c>
      <c r="AF646" s="90" t="e">
        <f t="shared" si="285"/>
        <v>#REF!</v>
      </c>
      <c r="AG646" s="90">
        <v>0</v>
      </c>
    </row>
    <row r="647" spans="1:33" x14ac:dyDescent="0.2">
      <c r="A647" s="92" t="s">
        <v>2125</v>
      </c>
      <c r="B647" s="248" t="s">
        <v>2126</v>
      </c>
      <c r="C647" s="40" t="s">
        <v>2118</v>
      </c>
      <c r="D647" s="40">
        <v>2030</v>
      </c>
      <c r="E647" s="86" t="e">
        <f>GDPdeflator!$C$32*INDEX(AdditionalVehs!$AA$46:$AK$91,MATCH($C647,AdditionalVehs!$C$46:$C$91,0),MATCH(E$7,AdditionalVehs!$AA$45:$AK$45,0))</f>
        <v>#REF!</v>
      </c>
      <c r="F647" s="86" t="e">
        <f>GDPdeflator!$C$36*INDEX(AdditionalVehs!$AA$46:$AK$91,MATCH($C647,AdditionalVehs!$C$46:$C$91,0),MATCH(F$7,AdditionalVehs!$AA$45:$AK$45,0))</f>
        <v>#REF!</v>
      </c>
      <c r="G647" s="86" t="e">
        <f>GDPdeflator!$C$38*INDEX(AdditionalVehs!$AA$46:$AK$91,MATCH($C647,AdditionalVehs!$C$46:$C$91,0),MATCH(G$7,AdditionalVehs!$AA$45:$AK$45,0))</f>
        <v>#REF!</v>
      </c>
      <c r="H647" s="86" t="e">
        <f>GDPdeflator!$C$38*INDEX(AdditionalVehs!$AA$46:$AK$91,MATCH($C647,AdditionalVehs!$C$46:$C$91,0),MATCH(H$7,AdditionalVehs!$AA$45:$AK$45,0))</f>
        <v>#REF!</v>
      </c>
      <c r="I647" s="86" t="e">
        <f>GDPdeflator!$C$38*INDEX(AdditionalVehs!$AA$46:$AK$91,MATCH($C647,AdditionalVehs!$C$46:$C$91,0),MATCH(I$7,AdditionalVehs!$AA$45:$AK$45,0))</f>
        <v>#REF!</v>
      </c>
      <c r="J647" s="86" t="e">
        <f>GDPdeflator!$C$38*INDEX(AdditionalVehs!$AA$46:$AK$91,MATCH($C647,AdditionalVehs!$C$46:$C$91,0),MATCH(J$7,AdditionalVehs!$AA$45:$AK$45,0))</f>
        <v>#REF!</v>
      </c>
      <c r="K647" s="86" t="e">
        <f>GDPdeflator!$C$38*INDEX(AdditionalVehs!$AA$46:$AK$91,MATCH($C647,AdditionalVehs!$C$46:$C$91,0),MATCH(K$7,AdditionalVehs!$AA$45:$AK$45,0))</f>
        <v>#REF!</v>
      </c>
      <c r="L647" s="86" t="e">
        <f>GDPdeflator!$C$38*INDEX(AdditionalVehs!$AA$46:$AK$91,MATCH($C647,AdditionalVehs!$C$46:$C$91,0),MATCH(L$7,AdditionalVehs!$AA$45:$AK$45,0))</f>
        <v>#REF!</v>
      </c>
      <c r="M647" s="86" t="e">
        <f>GDPdeflator!$C$38*INDEX(AdditionalVehs!$AA$46:$AK$91,MATCH($C647,AdditionalVehs!$C$46:$C$91,0),MATCH(M$7,AdditionalVehs!$AA$45:$AK$45,0))</f>
        <v>#REF!</v>
      </c>
      <c r="N647" s="86" t="e">
        <f>GDPdeflator!$C$38*INDEX(AdditionalVehs!$AA$46:$AK$91,MATCH($C647,AdditionalVehs!$C$46:$C$91,0),MATCH(N$7,AdditionalVehs!$AA$45:$AK$45,0))</f>
        <v>#REF!</v>
      </c>
      <c r="O647" s="86" t="e">
        <f>GDPdeflator!$C$38*INDEX(AdditionalVehs!$AA$46:$AK$91,MATCH($C647,AdditionalVehs!$C$46:$C$91,0),MATCH(O$7,AdditionalVehs!$AA$45:$AK$45,0))</f>
        <v>#REF!</v>
      </c>
      <c r="P647" s="87" t="e">
        <f t="shared" si="288"/>
        <v>#REF!</v>
      </c>
      <c r="Q647" s="87" t="e">
        <f t="shared" si="269"/>
        <v>#REF!</v>
      </c>
      <c r="R647" s="87" t="e">
        <f t="shared" si="289"/>
        <v>#REF!</v>
      </c>
      <c r="S647" s="87" t="e">
        <f t="shared" si="275"/>
        <v>#REF!</v>
      </c>
      <c r="T647" s="87" t="e">
        <f t="shared" si="276"/>
        <v>#REF!</v>
      </c>
      <c r="U647" s="87" t="e">
        <f t="shared" si="277"/>
        <v>#REF!</v>
      </c>
      <c r="V647" s="87" t="e">
        <f t="shared" si="278"/>
        <v>#REF!</v>
      </c>
      <c r="W647" s="87" t="e">
        <f t="shared" si="279"/>
        <v>#REF!</v>
      </c>
      <c r="X647" s="87" t="e">
        <f t="shared" si="280"/>
        <v>#REF!</v>
      </c>
      <c r="Y647" s="87" t="e">
        <f t="shared" si="281"/>
        <v>#REF!</v>
      </c>
      <c r="Z647" s="87" t="e">
        <f t="shared" si="282"/>
        <v>#REF!</v>
      </c>
      <c r="AA647" s="40">
        <v>420</v>
      </c>
      <c r="AB647" s="89">
        <f>AA647*GDPdeflator!$C$25/$AI$18*10^3</f>
        <v>40.382789385678855</v>
      </c>
      <c r="AC647" s="90" t="e">
        <f>INDEX(AdditionalVehs!$E$46:$N$91,MATCH(C647,AdditionalVehs!$C$46:$C$91),MATCH(D647,AdditionalVehs!$E$45:$N$45))</f>
        <v>#REF!</v>
      </c>
      <c r="AD647" s="90" t="e">
        <f t="shared" si="287"/>
        <v>#REF!</v>
      </c>
      <c r="AE647" s="90" t="e">
        <f>INDEX(AdditionalVehs!$P$46:$Y$91,MATCH(C647,AdditionalVehs!$C$46:$C$91),MATCH(D647,AdditionalVehs!$AA$45:$AJ$45))</f>
        <v>#REF!</v>
      </c>
      <c r="AF647" s="90" t="e">
        <f t="shared" si="285"/>
        <v>#REF!</v>
      </c>
      <c r="AG647" s="90">
        <v>0</v>
      </c>
    </row>
    <row r="648" spans="1:33" x14ac:dyDescent="0.2">
      <c r="A648" s="92" t="s">
        <v>2127</v>
      </c>
      <c r="B648" s="248" t="s">
        <v>2128</v>
      </c>
      <c r="C648" s="40" t="s">
        <v>2118</v>
      </c>
      <c r="D648" s="40">
        <v>2035</v>
      </c>
      <c r="E648" s="86" t="e">
        <f>GDPdeflator!$C$32*INDEX(AdditionalVehs!$AA$46:$AK$91,MATCH($C648,AdditionalVehs!$C$46:$C$91,0),MATCH(E$7,AdditionalVehs!$AA$45:$AK$45,0))</f>
        <v>#REF!</v>
      </c>
      <c r="F648" s="86" t="e">
        <f>GDPdeflator!$C$36*INDEX(AdditionalVehs!$AA$46:$AK$91,MATCH($C648,AdditionalVehs!$C$46:$C$91,0),MATCH(F$7,AdditionalVehs!$AA$45:$AK$45,0))</f>
        <v>#REF!</v>
      </c>
      <c r="G648" s="86" t="e">
        <f>GDPdeflator!$C$38*INDEX(AdditionalVehs!$AA$46:$AK$91,MATCH($C648,AdditionalVehs!$C$46:$C$91,0),MATCH(G$7,AdditionalVehs!$AA$45:$AK$45,0))</f>
        <v>#REF!</v>
      </c>
      <c r="H648" s="86" t="e">
        <f>GDPdeflator!$C$38*INDEX(AdditionalVehs!$AA$46:$AK$91,MATCH($C648,AdditionalVehs!$C$46:$C$91,0),MATCH(H$7,AdditionalVehs!$AA$45:$AK$45,0))</f>
        <v>#REF!</v>
      </c>
      <c r="I648" s="86" t="e">
        <f>GDPdeflator!$C$38*INDEX(AdditionalVehs!$AA$46:$AK$91,MATCH($C648,AdditionalVehs!$C$46:$C$91,0),MATCH(I$7,AdditionalVehs!$AA$45:$AK$45,0))</f>
        <v>#REF!</v>
      </c>
      <c r="J648" s="86" t="e">
        <f>GDPdeflator!$C$38*INDEX(AdditionalVehs!$AA$46:$AK$91,MATCH($C648,AdditionalVehs!$C$46:$C$91,0),MATCH(J$7,AdditionalVehs!$AA$45:$AK$45,0))</f>
        <v>#REF!</v>
      </c>
      <c r="K648" s="86" t="e">
        <f>GDPdeflator!$C$38*INDEX(AdditionalVehs!$AA$46:$AK$91,MATCH($C648,AdditionalVehs!$C$46:$C$91,0),MATCH(K$7,AdditionalVehs!$AA$45:$AK$45,0))</f>
        <v>#REF!</v>
      </c>
      <c r="L648" s="86" t="e">
        <f>GDPdeflator!$C$38*INDEX(AdditionalVehs!$AA$46:$AK$91,MATCH($C648,AdditionalVehs!$C$46:$C$91,0),MATCH(L$7,AdditionalVehs!$AA$45:$AK$45,0))</f>
        <v>#REF!</v>
      </c>
      <c r="M648" s="86" t="e">
        <f>GDPdeflator!$C$38*INDEX(AdditionalVehs!$AA$46:$AK$91,MATCH($C648,AdditionalVehs!$C$46:$C$91,0),MATCH(M$7,AdditionalVehs!$AA$45:$AK$45,0))</f>
        <v>#REF!</v>
      </c>
      <c r="N648" s="86" t="e">
        <f>GDPdeflator!$C$38*INDEX(AdditionalVehs!$AA$46:$AK$91,MATCH($C648,AdditionalVehs!$C$46:$C$91,0),MATCH(N$7,AdditionalVehs!$AA$45:$AK$45,0))</f>
        <v>#REF!</v>
      </c>
      <c r="O648" s="86" t="e">
        <f>GDPdeflator!$C$38*INDEX(AdditionalVehs!$AA$46:$AK$91,MATCH($C648,AdditionalVehs!$C$46:$C$91,0),MATCH(O$7,AdditionalVehs!$AA$45:$AK$45,0))</f>
        <v>#REF!</v>
      </c>
      <c r="P648" s="87" t="e">
        <f t="shared" si="288"/>
        <v>#REF!</v>
      </c>
      <c r="Q648" s="87" t="e">
        <f t="shared" si="269"/>
        <v>#REF!</v>
      </c>
      <c r="R648" s="87" t="e">
        <f t="shared" si="289"/>
        <v>#REF!</v>
      </c>
      <c r="S648" s="87" t="e">
        <f t="shared" si="275"/>
        <v>#REF!</v>
      </c>
      <c r="T648" s="87" t="e">
        <f t="shared" si="276"/>
        <v>#REF!</v>
      </c>
      <c r="U648" s="87" t="e">
        <f t="shared" si="277"/>
        <v>#REF!</v>
      </c>
      <c r="V648" s="87" t="e">
        <f t="shared" si="278"/>
        <v>#REF!</v>
      </c>
      <c r="W648" s="87" t="e">
        <f t="shared" si="279"/>
        <v>#REF!</v>
      </c>
      <c r="X648" s="87" t="e">
        <f t="shared" si="280"/>
        <v>#REF!</v>
      </c>
      <c r="Y648" s="87" t="e">
        <f t="shared" si="281"/>
        <v>#REF!</v>
      </c>
      <c r="Z648" s="87" t="e">
        <f t="shared" si="282"/>
        <v>#REF!</v>
      </c>
      <c r="AA648" s="40">
        <v>420</v>
      </c>
      <c r="AB648" s="89">
        <f>AA648*GDPdeflator!$C$25/$AI$18*10^3</f>
        <v>40.382789385678855</v>
      </c>
      <c r="AC648" s="90" t="e">
        <f>INDEX(AdditionalVehs!$E$46:$N$91,MATCH(C648,AdditionalVehs!$C$46:$C$91),MATCH(D648,AdditionalVehs!$E$45:$N$45))</f>
        <v>#REF!</v>
      </c>
      <c r="AD648" s="90" t="e">
        <f t="shared" si="287"/>
        <v>#REF!</v>
      </c>
      <c r="AE648" s="90" t="e">
        <f>INDEX(AdditionalVehs!$P$46:$Y$91,MATCH(C648,AdditionalVehs!$C$46:$C$91),MATCH(D648,AdditionalVehs!$AA$45:$AJ$45))</f>
        <v>#REF!</v>
      </c>
      <c r="AF648" s="90" t="e">
        <f t="shared" si="285"/>
        <v>#REF!</v>
      </c>
      <c r="AG648" s="90">
        <v>0</v>
      </c>
    </row>
    <row r="649" spans="1:33" x14ac:dyDescent="0.2">
      <c r="A649" s="92" t="s">
        <v>2129</v>
      </c>
      <c r="B649" s="248" t="s">
        <v>2130</v>
      </c>
      <c r="C649" s="40" t="s">
        <v>2118</v>
      </c>
      <c r="D649" s="40">
        <v>2040</v>
      </c>
      <c r="E649" s="86" t="e">
        <f>GDPdeflator!$C$32*INDEX(AdditionalVehs!$AA$46:$AK$91,MATCH($C649,AdditionalVehs!$C$46:$C$91,0),MATCH(E$7,AdditionalVehs!$AA$45:$AK$45,0))</f>
        <v>#REF!</v>
      </c>
      <c r="F649" s="86" t="e">
        <f>GDPdeflator!$C$36*INDEX(AdditionalVehs!$AA$46:$AK$91,MATCH($C649,AdditionalVehs!$C$46:$C$91,0),MATCH(F$7,AdditionalVehs!$AA$45:$AK$45,0))</f>
        <v>#REF!</v>
      </c>
      <c r="G649" s="86" t="e">
        <f>GDPdeflator!$C$38*INDEX(AdditionalVehs!$AA$46:$AK$91,MATCH($C649,AdditionalVehs!$C$46:$C$91,0),MATCH(G$7,AdditionalVehs!$AA$45:$AK$45,0))</f>
        <v>#REF!</v>
      </c>
      <c r="H649" s="86" t="e">
        <f>GDPdeflator!$C$38*INDEX(AdditionalVehs!$AA$46:$AK$91,MATCH($C649,AdditionalVehs!$C$46:$C$91,0),MATCH(H$7,AdditionalVehs!$AA$45:$AK$45,0))</f>
        <v>#REF!</v>
      </c>
      <c r="I649" s="86" t="e">
        <f>GDPdeflator!$C$38*INDEX(AdditionalVehs!$AA$46:$AK$91,MATCH($C649,AdditionalVehs!$C$46:$C$91,0),MATCH(I$7,AdditionalVehs!$AA$45:$AK$45,0))</f>
        <v>#REF!</v>
      </c>
      <c r="J649" s="86" t="e">
        <f>GDPdeflator!$C$38*INDEX(AdditionalVehs!$AA$46:$AK$91,MATCH($C649,AdditionalVehs!$C$46:$C$91,0),MATCH(J$7,AdditionalVehs!$AA$45:$AK$45,0))</f>
        <v>#REF!</v>
      </c>
      <c r="K649" s="86" t="e">
        <f>GDPdeflator!$C$38*INDEX(AdditionalVehs!$AA$46:$AK$91,MATCH($C649,AdditionalVehs!$C$46:$C$91,0),MATCH(K$7,AdditionalVehs!$AA$45:$AK$45,0))</f>
        <v>#REF!</v>
      </c>
      <c r="L649" s="86" t="e">
        <f>GDPdeflator!$C$38*INDEX(AdditionalVehs!$AA$46:$AK$91,MATCH($C649,AdditionalVehs!$C$46:$C$91,0),MATCH(L$7,AdditionalVehs!$AA$45:$AK$45,0))</f>
        <v>#REF!</v>
      </c>
      <c r="M649" s="86" t="e">
        <f>GDPdeflator!$C$38*INDEX(AdditionalVehs!$AA$46:$AK$91,MATCH($C649,AdditionalVehs!$C$46:$C$91,0),MATCH(M$7,AdditionalVehs!$AA$45:$AK$45,0))</f>
        <v>#REF!</v>
      </c>
      <c r="N649" s="86" t="e">
        <f>GDPdeflator!$C$38*INDEX(AdditionalVehs!$AA$46:$AK$91,MATCH($C649,AdditionalVehs!$C$46:$C$91,0),MATCH(N$7,AdditionalVehs!$AA$45:$AK$45,0))</f>
        <v>#REF!</v>
      </c>
      <c r="O649" s="86" t="e">
        <f>GDPdeflator!$C$38*INDEX(AdditionalVehs!$AA$46:$AK$91,MATCH($C649,AdditionalVehs!$C$46:$C$91,0),MATCH(O$7,AdditionalVehs!$AA$45:$AK$45,0))</f>
        <v>#REF!</v>
      </c>
      <c r="P649" s="87" t="e">
        <f t="shared" si="288"/>
        <v>#REF!</v>
      </c>
      <c r="Q649" s="87" t="e">
        <f t="shared" si="269"/>
        <v>#REF!</v>
      </c>
      <c r="R649" s="87" t="e">
        <f t="shared" si="289"/>
        <v>#REF!</v>
      </c>
      <c r="S649" s="87" t="e">
        <f t="shared" si="275"/>
        <v>#REF!</v>
      </c>
      <c r="T649" s="87" t="e">
        <f t="shared" si="276"/>
        <v>#REF!</v>
      </c>
      <c r="U649" s="87" t="e">
        <f t="shared" si="277"/>
        <v>#REF!</v>
      </c>
      <c r="V649" s="87" t="e">
        <f t="shared" si="278"/>
        <v>#REF!</v>
      </c>
      <c r="W649" s="87" t="e">
        <f t="shared" si="279"/>
        <v>#REF!</v>
      </c>
      <c r="X649" s="87" t="e">
        <f t="shared" si="280"/>
        <v>#REF!</v>
      </c>
      <c r="Y649" s="87" t="e">
        <f t="shared" si="281"/>
        <v>#REF!</v>
      </c>
      <c r="Z649" s="87" t="e">
        <f t="shared" si="282"/>
        <v>#REF!</v>
      </c>
      <c r="AA649" s="40">
        <v>420</v>
      </c>
      <c r="AB649" s="89">
        <f>AA649*GDPdeflator!$C$25/$AI$18*10^3</f>
        <v>40.382789385678855</v>
      </c>
      <c r="AC649" s="90" t="e">
        <f>INDEX(AdditionalVehs!$E$46:$N$91,MATCH(C649,AdditionalVehs!$C$46:$C$91),MATCH(D649,AdditionalVehs!$E$45:$N$45))</f>
        <v>#REF!</v>
      </c>
      <c r="AD649" s="90" t="e">
        <f t="shared" si="287"/>
        <v>#REF!</v>
      </c>
      <c r="AE649" s="90" t="e">
        <f>INDEX(AdditionalVehs!$P$46:$Y$91,MATCH(C649,AdditionalVehs!$C$46:$C$91),MATCH(D649,AdditionalVehs!$AA$45:$AJ$45))</f>
        <v>#REF!</v>
      </c>
      <c r="AF649" s="90" t="e">
        <f t="shared" si="285"/>
        <v>#REF!</v>
      </c>
      <c r="AG649" s="90">
        <v>0</v>
      </c>
    </row>
    <row r="650" spans="1:33" x14ac:dyDescent="0.2">
      <c r="A650" s="92" t="s">
        <v>2131</v>
      </c>
      <c r="B650" s="248" t="s">
        <v>2132</v>
      </c>
      <c r="C650" s="40" t="s">
        <v>2118</v>
      </c>
      <c r="D650" s="40">
        <v>2045</v>
      </c>
      <c r="E650" s="86" t="e">
        <f>GDPdeflator!$C$32*INDEX(AdditionalVehs!$AA$46:$AK$91,MATCH($C650,AdditionalVehs!$C$46:$C$91,0),MATCH(E$7,AdditionalVehs!$AA$45:$AK$45,0))</f>
        <v>#REF!</v>
      </c>
      <c r="F650" s="86" t="e">
        <f>GDPdeflator!$C$36*INDEX(AdditionalVehs!$AA$46:$AK$91,MATCH($C650,AdditionalVehs!$C$46:$C$91,0),MATCH(F$7,AdditionalVehs!$AA$45:$AK$45,0))</f>
        <v>#REF!</v>
      </c>
      <c r="G650" s="86" t="e">
        <f>GDPdeflator!$C$38*INDEX(AdditionalVehs!$AA$46:$AK$91,MATCH($C650,AdditionalVehs!$C$46:$C$91,0),MATCH(G$7,AdditionalVehs!$AA$45:$AK$45,0))</f>
        <v>#REF!</v>
      </c>
      <c r="H650" s="86" t="e">
        <f>GDPdeflator!$C$38*INDEX(AdditionalVehs!$AA$46:$AK$91,MATCH($C650,AdditionalVehs!$C$46:$C$91,0),MATCH(H$7,AdditionalVehs!$AA$45:$AK$45,0))</f>
        <v>#REF!</v>
      </c>
      <c r="I650" s="86" t="e">
        <f>GDPdeflator!$C$38*INDEX(AdditionalVehs!$AA$46:$AK$91,MATCH($C650,AdditionalVehs!$C$46:$C$91,0),MATCH(I$7,AdditionalVehs!$AA$45:$AK$45,0))</f>
        <v>#REF!</v>
      </c>
      <c r="J650" s="86" t="e">
        <f>GDPdeflator!$C$38*INDEX(AdditionalVehs!$AA$46:$AK$91,MATCH($C650,AdditionalVehs!$C$46:$C$91,0),MATCH(J$7,AdditionalVehs!$AA$45:$AK$45,0))</f>
        <v>#REF!</v>
      </c>
      <c r="K650" s="86" t="e">
        <f>GDPdeflator!$C$38*INDEX(AdditionalVehs!$AA$46:$AK$91,MATCH($C650,AdditionalVehs!$C$46:$C$91,0),MATCH(K$7,AdditionalVehs!$AA$45:$AK$45,0))</f>
        <v>#REF!</v>
      </c>
      <c r="L650" s="86" t="e">
        <f>GDPdeflator!$C$38*INDEX(AdditionalVehs!$AA$46:$AK$91,MATCH($C650,AdditionalVehs!$C$46:$C$91,0),MATCH(L$7,AdditionalVehs!$AA$45:$AK$45,0))</f>
        <v>#REF!</v>
      </c>
      <c r="M650" s="86" t="e">
        <f>GDPdeflator!$C$38*INDEX(AdditionalVehs!$AA$46:$AK$91,MATCH($C650,AdditionalVehs!$C$46:$C$91,0),MATCH(M$7,AdditionalVehs!$AA$45:$AK$45,0))</f>
        <v>#REF!</v>
      </c>
      <c r="N650" s="86" t="e">
        <f>GDPdeflator!$C$38*INDEX(AdditionalVehs!$AA$46:$AK$91,MATCH($C650,AdditionalVehs!$C$46:$C$91,0),MATCH(N$7,AdditionalVehs!$AA$45:$AK$45,0))</f>
        <v>#REF!</v>
      </c>
      <c r="O650" s="86" t="e">
        <f>GDPdeflator!$C$38*INDEX(AdditionalVehs!$AA$46:$AK$91,MATCH($C650,AdditionalVehs!$C$46:$C$91,0),MATCH(O$7,AdditionalVehs!$AA$45:$AK$45,0))</f>
        <v>#REF!</v>
      </c>
      <c r="P650" s="87" t="e">
        <f t="shared" si="288"/>
        <v>#REF!</v>
      </c>
      <c r="Q650" s="87" t="e">
        <f t="shared" ref="Q650:Q713" si="290">F650/$AI$18*10^6</f>
        <v>#REF!</v>
      </c>
      <c r="R650" s="87" t="e">
        <f t="shared" si="289"/>
        <v>#REF!</v>
      </c>
      <c r="S650" s="87" t="e">
        <f t="shared" si="275"/>
        <v>#REF!</v>
      </c>
      <c r="T650" s="87" t="e">
        <f t="shared" si="276"/>
        <v>#REF!</v>
      </c>
      <c r="U650" s="87" t="e">
        <f t="shared" si="277"/>
        <v>#REF!</v>
      </c>
      <c r="V650" s="87" t="e">
        <f t="shared" si="278"/>
        <v>#REF!</v>
      </c>
      <c r="W650" s="87" t="e">
        <f t="shared" si="279"/>
        <v>#REF!</v>
      </c>
      <c r="X650" s="87" t="e">
        <f t="shared" si="280"/>
        <v>#REF!</v>
      </c>
      <c r="Y650" s="87" t="e">
        <f t="shared" si="281"/>
        <v>#REF!</v>
      </c>
      <c r="Z650" s="87" t="e">
        <f t="shared" si="282"/>
        <v>#REF!</v>
      </c>
      <c r="AA650" s="40">
        <v>420</v>
      </c>
      <c r="AB650" s="89">
        <f>AA650*GDPdeflator!$C$25/$AI$18*10^3</f>
        <v>40.382789385678855</v>
      </c>
      <c r="AC650" s="90" t="e">
        <f>INDEX(AdditionalVehs!$E$46:$N$91,MATCH(C650,AdditionalVehs!$C$46:$C$91),MATCH(D650,AdditionalVehs!$E$45:$N$45))</f>
        <v>#REF!</v>
      </c>
      <c r="AD650" s="90" t="e">
        <f t="shared" si="287"/>
        <v>#REF!</v>
      </c>
      <c r="AE650" s="90" t="e">
        <f>INDEX(AdditionalVehs!$P$46:$Y$91,MATCH(C650,AdditionalVehs!$C$46:$C$91),MATCH(D650,AdditionalVehs!$AA$45:$AJ$45))</f>
        <v>#REF!</v>
      </c>
      <c r="AF650" s="90" t="e">
        <f t="shared" si="285"/>
        <v>#REF!</v>
      </c>
      <c r="AG650" s="90">
        <v>0</v>
      </c>
    </row>
    <row r="651" spans="1:33" x14ac:dyDescent="0.2">
      <c r="A651" s="92" t="s">
        <v>2133</v>
      </c>
      <c r="B651" s="248" t="s">
        <v>2134</v>
      </c>
      <c r="C651" s="40" t="s">
        <v>2118</v>
      </c>
      <c r="D651" s="40">
        <v>2050</v>
      </c>
      <c r="E651" s="86" t="e">
        <f>GDPdeflator!$C$32*INDEX(AdditionalVehs!$AA$46:$AK$91,MATCH($C651,AdditionalVehs!$C$46:$C$91,0),MATCH(E$7,AdditionalVehs!$AA$45:$AK$45,0))</f>
        <v>#REF!</v>
      </c>
      <c r="F651" s="86" t="e">
        <f>GDPdeflator!$C$36*INDEX(AdditionalVehs!$AA$46:$AK$91,MATCH($C651,AdditionalVehs!$C$46:$C$91,0),MATCH(F$7,AdditionalVehs!$AA$45:$AK$45,0))</f>
        <v>#REF!</v>
      </c>
      <c r="G651" s="86" t="e">
        <f>GDPdeflator!$C$38*INDEX(AdditionalVehs!$AA$46:$AK$91,MATCH($C651,AdditionalVehs!$C$46:$C$91,0),MATCH(G$7,AdditionalVehs!$AA$45:$AK$45,0))</f>
        <v>#REF!</v>
      </c>
      <c r="H651" s="86" t="e">
        <f>GDPdeflator!$C$38*INDEX(AdditionalVehs!$AA$46:$AK$91,MATCH($C651,AdditionalVehs!$C$46:$C$91,0),MATCH(H$7,AdditionalVehs!$AA$45:$AK$45,0))</f>
        <v>#REF!</v>
      </c>
      <c r="I651" s="86" t="e">
        <f>GDPdeflator!$C$38*INDEX(AdditionalVehs!$AA$46:$AK$91,MATCH($C651,AdditionalVehs!$C$46:$C$91,0),MATCH(I$7,AdditionalVehs!$AA$45:$AK$45,0))</f>
        <v>#REF!</v>
      </c>
      <c r="J651" s="86" t="e">
        <f>GDPdeflator!$C$38*INDEX(AdditionalVehs!$AA$46:$AK$91,MATCH($C651,AdditionalVehs!$C$46:$C$91,0),MATCH(J$7,AdditionalVehs!$AA$45:$AK$45,0))</f>
        <v>#REF!</v>
      </c>
      <c r="K651" s="86" t="e">
        <f>GDPdeflator!$C$38*INDEX(AdditionalVehs!$AA$46:$AK$91,MATCH($C651,AdditionalVehs!$C$46:$C$91,0),MATCH(K$7,AdditionalVehs!$AA$45:$AK$45,0))</f>
        <v>#REF!</v>
      </c>
      <c r="L651" s="86" t="e">
        <f>GDPdeflator!$C$38*INDEX(AdditionalVehs!$AA$46:$AK$91,MATCH($C651,AdditionalVehs!$C$46:$C$91,0),MATCH(L$7,AdditionalVehs!$AA$45:$AK$45,0))</f>
        <v>#REF!</v>
      </c>
      <c r="M651" s="86" t="e">
        <f>GDPdeflator!$C$38*INDEX(AdditionalVehs!$AA$46:$AK$91,MATCH($C651,AdditionalVehs!$C$46:$C$91,0),MATCH(M$7,AdditionalVehs!$AA$45:$AK$45,0))</f>
        <v>#REF!</v>
      </c>
      <c r="N651" s="86" t="e">
        <f>GDPdeflator!$C$38*INDEX(AdditionalVehs!$AA$46:$AK$91,MATCH($C651,AdditionalVehs!$C$46:$C$91,0),MATCH(N$7,AdditionalVehs!$AA$45:$AK$45,0))</f>
        <v>#REF!</v>
      </c>
      <c r="O651" s="86" t="e">
        <f>GDPdeflator!$C$38*INDEX(AdditionalVehs!$AA$46:$AK$91,MATCH($C651,AdditionalVehs!$C$46:$C$91,0),MATCH(O$7,AdditionalVehs!$AA$45:$AK$45,0))</f>
        <v>#REF!</v>
      </c>
      <c r="P651" s="87" t="e">
        <f t="shared" si="288"/>
        <v>#REF!</v>
      </c>
      <c r="Q651" s="87" t="e">
        <f t="shared" si="290"/>
        <v>#REF!</v>
      </c>
      <c r="R651" s="87" t="e">
        <f t="shared" si="289"/>
        <v>#REF!</v>
      </c>
      <c r="S651" s="87" t="e">
        <f t="shared" si="275"/>
        <v>#REF!</v>
      </c>
      <c r="T651" s="87" t="e">
        <f t="shared" si="276"/>
        <v>#REF!</v>
      </c>
      <c r="U651" s="87" t="e">
        <f t="shared" si="277"/>
        <v>#REF!</v>
      </c>
      <c r="V651" s="87" t="e">
        <f t="shared" si="278"/>
        <v>#REF!</v>
      </c>
      <c r="W651" s="87" t="e">
        <f t="shared" si="279"/>
        <v>#REF!</v>
      </c>
      <c r="X651" s="87" t="e">
        <f t="shared" si="280"/>
        <v>#REF!</v>
      </c>
      <c r="Y651" s="87" t="e">
        <f t="shared" si="281"/>
        <v>#REF!</v>
      </c>
      <c r="Z651" s="87" t="e">
        <f t="shared" si="282"/>
        <v>#REF!</v>
      </c>
      <c r="AA651" s="40">
        <v>420</v>
      </c>
      <c r="AB651" s="89">
        <f>AA651*GDPdeflator!$C$25/$AI$18*10^3</f>
        <v>40.382789385678855</v>
      </c>
      <c r="AC651" s="90" t="e">
        <f>INDEX(AdditionalVehs!$E$46:$N$91,MATCH(C651,AdditionalVehs!$C$46:$C$91),MATCH(D651,AdditionalVehs!$E$45:$N$45))</f>
        <v>#REF!</v>
      </c>
      <c r="AD651" s="90" t="e">
        <f t="shared" si="287"/>
        <v>#REF!</v>
      </c>
      <c r="AE651" s="90" t="e">
        <f>INDEX(AdditionalVehs!$P$46:$Y$91,MATCH(C651,AdditionalVehs!$C$46:$C$91),MATCH(D651,AdditionalVehs!$AA$45:$AJ$45))</f>
        <v>#REF!</v>
      </c>
      <c r="AF651" s="90" t="e">
        <f t="shared" si="285"/>
        <v>#REF!</v>
      </c>
      <c r="AG651" s="90">
        <v>0</v>
      </c>
    </row>
    <row r="652" spans="1:33" x14ac:dyDescent="0.2">
      <c r="A652" s="92" t="s">
        <v>2135</v>
      </c>
      <c r="B652" s="248" t="s">
        <v>2136</v>
      </c>
      <c r="C652" s="40" t="s">
        <v>2137</v>
      </c>
      <c r="D652" s="40">
        <v>2010</v>
      </c>
      <c r="E652" s="86">
        <f>GDPdeflator!$C$32*INDEX(AdditionalVehs!$AA$46:$AK$91,MATCH($C652,AdditionalVehs!$C$46:$C$91,0),MATCH(E$7,AdditionalVehs!$AA$45:$AK$45,0))</f>
        <v>0</v>
      </c>
      <c r="F652" s="86" t="e">
        <f>GDPdeflator!$C$36*INDEX(AdditionalVehs!$AA$46:$AK$91,MATCH($C652,AdditionalVehs!$C$46:$C$91,0),MATCH(F$7,AdditionalVehs!$AA$45:$AK$45,0))</f>
        <v>#REF!</v>
      </c>
      <c r="G652" s="86" t="e">
        <f>GDPdeflator!$C$38*INDEX(AdditionalVehs!$AA$46:$AK$91,MATCH($C652,AdditionalVehs!$C$46:$C$91,0),MATCH(G$7,AdditionalVehs!$AA$45:$AK$45,0))</f>
        <v>#REF!</v>
      </c>
      <c r="H652" s="86" t="e">
        <f>GDPdeflator!$C$38*INDEX(AdditionalVehs!$AA$46:$AK$91,MATCH($C652,AdditionalVehs!$C$46:$C$91,0),MATCH(H$7,AdditionalVehs!$AA$45:$AK$45,0))</f>
        <v>#REF!</v>
      </c>
      <c r="I652" s="86" t="e">
        <f>GDPdeflator!$C$38*INDEX(AdditionalVehs!$AA$46:$AK$91,MATCH($C652,AdditionalVehs!$C$46:$C$91,0),MATCH(I$7,AdditionalVehs!$AA$45:$AK$45,0))</f>
        <v>#REF!</v>
      </c>
      <c r="J652" s="86" t="e">
        <f>GDPdeflator!$C$38*INDEX(AdditionalVehs!$AA$46:$AK$91,MATCH($C652,AdditionalVehs!$C$46:$C$91,0),MATCH(J$7,AdditionalVehs!$AA$45:$AK$45,0))</f>
        <v>#REF!</v>
      </c>
      <c r="K652" s="86" t="e">
        <f>GDPdeflator!$C$38*INDEX(AdditionalVehs!$AA$46:$AK$91,MATCH($C652,AdditionalVehs!$C$46:$C$91,0),MATCH(K$7,AdditionalVehs!$AA$45:$AK$45,0))</f>
        <v>#REF!</v>
      </c>
      <c r="L652" s="86" t="e">
        <f>GDPdeflator!$C$38*INDEX(AdditionalVehs!$AA$46:$AK$91,MATCH($C652,AdditionalVehs!$C$46:$C$91,0),MATCH(L$7,AdditionalVehs!$AA$45:$AK$45,0))</f>
        <v>#REF!</v>
      </c>
      <c r="M652" s="86" t="e">
        <f>GDPdeflator!$C$38*INDEX(AdditionalVehs!$AA$46:$AK$91,MATCH($C652,AdditionalVehs!$C$46:$C$91,0),MATCH(M$7,AdditionalVehs!$AA$45:$AK$45,0))</f>
        <v>#REF!</v>
      </c>
      <c r="N652" s="86" t="e">
        <f>GDPdeflator!$C$38*INDEX(AdditionalVehs!$AA$46:$AK$91,MATCH($C652,AdditionalVehs!$C$46:$C$91,0),MATCH(N$7,AdditionalVehs!$AA$45:$AK$45,0))</f>
        <v>#REF!</v>
      </c>
      <c r="O652" s="86" t="e">
        <f>GDPdeflator!$C$38*INDEX(AdditionalVehs!$AA$46:$AK$91,MATCH($C652,AdditionalVehs!$C$46:$C$91,0),MATCH(O$7,AdditionalVehs!$AA$45:$AK$45,0))</f>
        <v>#REF!</v>
      </c>
      <c r="P652" s="87">
        <f>E652/$AI$18*10^6</f>
        <v>0</v>
      </c>
      <c r="Q652" s="87" t="e">
        <f t="shared" si="290"/>
        <v>#REF!</v>
      </c>
      <c r="R652" s="87" t="e">
        <f t="shared" si="289"/>
        <v>#REF!</v>
      </c>
      <c r="S652" s="87" t="e">
        <f t="shared" si="275"/>
        <v>#REF!</v>
      </c>
      <c r="T652" s="87" t="e">
        <f t="shared" si="276"/>
        <v>#REF!</v>
      </c>
      <c r="U652" s="87" t="e">
        <f t="shared" si="277"/>
        <v>#REF!</v>
      </c>
      <c r="V652" s="87" t="e">
        <f t="shared" si="278"/>
        <v>#REF!</v>
      </c>
      <c r="W652" s="87" t="e">
        <f t="shared" si="279"/>
        <v>#REF!</v>
      </c>
      <c r="X652" s="87" t="e">
        <f t="shared" si="280"/>
        <v>#REF!</v>
      </c>
      <c r="Y652" s="87" t="e">
        <f t="shared" si="281"/>
        <v>#REF!</v>
      </c>
      <c r="Z652" s="87" t="e">
        <f t="shared" si="282"/>
        <v>#REF!</v>
      </c>
      <c r="AA652" s="40">
        <v>473</v>
      </c>
      <c r="AB652" s="89">
        <f>AA652*GDPdeflator!$C$25/$AI$18*10^3</f>
        <v>45.478712808157368</v>
      </c>
      <c r="AC652" s="90" t="e">
        <f>INDEX(AdditionalVehs!$E$46:$N$91,MATCH(C652,AdditionalVehs!$C$46:$C$91),MATCH(D652,AdditionalVehs!$E$45:$N$45))</f>
        <v>#REF!</v>
      </c>
      <c r="AD652" s="90" t="e">
        <f t="shared" si="287"/>
        <v>#REF!</v>
      </c>
      <c r="AE652" s="90" t="e">
        <f>INDEX(AdditionalVehs!$P$46:$Y$91,MATCH(C652,AdditionalVehs!$C$46:$C$91),MATCH(D652,AdditionalVehs!$AA$45:$AJ$45))</f>
        <v>#REF!</v>
      </c>
      <c r="AF652" s="90" t="e">
        <f t="shared" si="285"/>
        <v>#REF!</v>
      </c>
      <c r="AG652" s="90">
        <v>0</v>
      </c>
    </row>
    <row r="653" spans="1:33" x14ac:dyDescent="0.2">
      <c r="A653" s="92" t="s">
        <v>2138</v>
      </c>
      <c r="B653" s="248" t="s">
        <v>2139</v>
      </c>
      <c r="C653" s="40" t="s">
        <v>2137</v>
      </c>
      <c r="D653" s="40">
        <v>2015</v>
      </c>
      <c r="E653" s="86">
        <f>GDPdeflator!$C$32*INDEX(AdditionalVehs!$AA$46:$AK$91,MATCH($C653,AdditionalVehs!$C$46:$C$91,0),MATCH(E$7,AdditionalVehs!$AA$45:$AK$45,0))</f>
        <v>0</v>
      </c>
      <c r="F653" s="86" t="e">
        <f>GDPdeflator!$C$36*INDEX(AdditionalVehs!$AA$46:$AK$91,MATCH($C653,AdditionalVehs!$C$46:$C$91,0),MATCH(F$7,AdditionalVehs!$AA$45:$AK$45,0))</f>
        <v>#REF!</v>
      </c>
      <c r="G653" s="86" t="e">
        <f>GDPdeflator!$C$38*INDEX(AdditionalVehs!$AA$46:$AK$91,MATCH($C653,AdditionalVehs!$C$46:$C$91,0),MATCH(G$7,AdditionalVehs!$AA$45:$AK$45,0))</f>
        <v>#REF!</v>
      </c>
      <c r="H653" s="86" t="e">
        <f>GDPdeflator!$C$38*INDEX(AdditionalVehs!$AA$46:$AK$91,MATCH($C653,AdditionalVehs!$C$46:$C$91,0),MATCH(H$7,AdditionalVehs!$AA$45:$AK$45,0))</f>
        <v>#REF!</v>
      </c>
      <c r="I653" s="86" t="e">
        <f>GDPdeflator!$C$38*INDEX(AdditionalVehs!$AA$46:$AK$91,MATCH($C653,AdditionalVehs!$C$46:$C$91,0),MATCH(I$7,AdditionalVehs!$AA$45:$AK$45,0))</f>
        <v>#REF!</v>
      </c>
      <c r="J653" s="86" t="e">
        <f>GDPdeflator!$C$38*INDEX(AdditionalVehs!$AA$46:$AK$91,MATCH($C653,AdditionalVehs!$C$46:$C$91,0),MATCH(J$7,AdditionalVehs!$AA$45:$AK$45,0))</f>
        <v>#REF!</v>
      </c>
      <c r="K653" s="86" t="e">
        <f>GDPdeflator!$C$38*INDEX(AdditionalVehs!$AA$46:$AK$91,MATCH($C653,AdditionalVehs!$C$46:$C$91,0),MATCH(K$7,AdditionalVehs!$AA$45:$AK$45,0))</f>
        <v>#REF!</v>
      </c>
      <c r="L653" s="86" t="e">
        <f>GDPdeflator!$C$38*INDEX(AdditionalVehs!$AA$46:$AK$91,MATCH($C653,AdditionalVehs!$C$46:$C$91,0),MATCH(L$7,AdditionalVehs!$AA$45:$AK$45,0))</f>
        <v>#REF!</v>
      </c>
      <c r="M653" s="86" t="e">
        <f>GDPdeflator!$C$38*INDEX(AdditionalVehs!$AA$46:$AK$91,MATCH($C653,AdditionalVehs!$C$46:$C$91,0),MATCH(M$7,AdditionalVehs!$AA$45:$AK$45,0))</f>
        <v>#REF!</v>
      </c>
      <c r="N653" s="86" t="e">
        <f>GDPdeflator!$C$38*INDEX(AdditionalVehs!$AA$46:$AK$91,MATCH($C653,AdditionalVehs!$C$46:$C$91,0),MATCH(N$7,AdditionalVehs!$AA$45:$AK$45,0))</f>
        <v>#REF!</v>
      </c>
      <c r="O653" s="86" t="e">
        <f>GDPdeflator!$C$38*INDEX(AdditionalVehs!$AA$46:$AK$91,MATCH($C653,AdditionalVehs!$C$46:$C$91,0),MATCH(O$7,AdditionalVehs!$AA$45:$AK$45,0))</f>
        <v>#REF!</v>
      </c>
      <c r="P653" s="87">
        <f t="shared" ref="P653:P660" si="291">E653/$AI$18*10^6</f>
        <v>0</v>
      </c>
      <c r="Q653" s="87" t="e">
        <f t="shared" si="290"/>
        <v>#REF!</v>
      </c>
      <c r="R653" s="87" t="e">
        <f t="shared" si="289"/>
        <v>#REF!</v>
      </c>
      <c r="S653" s="87" t="e">
        <f t="shared" si="275"/>
        <v>#REF!</v>
      </c>
      <c r="T653" s="87" t="e">
        <f t="shared" si="276"/>
        <v>#REF!</v>
      </c>
      <c r="U653" s="87" t="e">
        <f t="shared" si="277"/>
        <v>#REF!</v>
      </c>
      <c r="V653" s="87" t="e">
        <f t="shared" si="278"/>
        <v>#REF!</v>
      </c>
      <c r="W653" s="87" t="e">
        <f t="shared" si="279"/>
        <v>#REF!</v>
      </c>
      <c r="X653" s="87" t="e">
        <f t="shared" si="280"/>
        <v>#REF!</v>
      </c>
      <c r="Y653" s="87" t="e">
        <f t="shared" si="281"/>
        <v>#REF!</v>
      </c>
      <c r="Z653" s="87" t="e">
        <f t="shared" si="282"/>
        <v>#REF!</v>
      </c>
      <c r="AA653" s="40">
        <v>473</v>
      </c>
      <c r="AB653" s="89">
        <f>AA653*GDPdeflator!$C$25/$AI$18*10^3</f>
        <v>45.478712808157368</v>
      </c>
      <c r="AC653" s="90" t="e">
        <f>INDEX(AdditionalVehs!$E$46:$N$91,MATCH(C653,AdditionalVehs!$C$46:$C$91),MATCH(D653,AdditionalVehs!$E$45:$N$45))</f>
        <v>#REF!</v>
      </c>
      <c r="AD653" s="90" t="e">
        <f t="shared" si="287"/>
        <v>#REF!</v>
      </c>
      <c r="AE653" s="90" t="e">
        <f>INDEX(AdditionalVehs!$P$46:$Y$91,MATCH(C653,AdditionalVehs!$C$46:$C$91),MATCH(D653,AdditionalVehs!$AA$45:$AJ$45))</f>
        <v>#REF!</v>
      </c>
      <c r="AF653" s="90" t="e">
        <f t="shared" si="285"/>
        <v>#REF!</v>
      </c>
      <c r="AG653" s="90">
        <v>0</v>
      </c>
    </row>
    <row r="654" spans="1:33" x14ac:dyDescent="0.2">
      <c r="A654" s="92" t="s">
        <v>2140</v>
      </c>
      <c r="B654" s="248" t="s">
        <v>2141</v>
      </c>
      <c r="C654" s="40" t="s">
        <v>2137</v>
      </c>
      <c r="D654" s="40">
        <v>2020</v>
      </c>
      <c r="E654" s="86">
        <f>GDPdeflator!$C$32*INDEX(AdditionalVehs!$AA$46:$AK$91,MATCH($C654,AdditionalVehs!$C$46:$C$91,0),MATCH(E$7,AdditionalVehs!$AA$45:$AK$45,0))</f>
        <v>0</v>
      </c>
      <c r="F654" s="86" t="e">
        <f>GDPdeflator!$C$36*INDEX(AdditionalVehs!$AA$46:$AK$91,MATCH($C654,AdditionalVehs!$C$46:$C$91,0),MATCH(F$7,AdditionalVehs!$AA$45:$AK$45,0))</f>
        <v>#REF!</v>
      </c>
      <c r="G654" s="86" t="e">
        <f>GDPdeflator!$C$38*INDEX(AdditionalVehs!$AA$46:$AK$91,MATCH($C654,AdditionalVehs!$C$46:$C$91,0),MATCH(G$7,AdditionalVehs!$AA$45:$AK$45,0))</f>
        <v>#REF!</v>
      </c>
      <c r="H654" s="86" t="e">
        <f>GDPdeflator!$C$38*INDEX(AdditionalVehs!$AA$46:$AK$91,MATCH($C654,AdditionalVehs!$C$46:$C$91,0),MATCH(H$7,AdditionalVehs!$AA$45:$AK$45,0))</f>
        <v>#REF!</v>
      </c>
      <c r="I654" s="86" t="e">
        <f>GDPdeflator!$C$38*INDEX(AdditionalVehs!$AA$46:$AK$91,MATCH($C654,AdditionalVehs!$C$46:$C$91,0),MATCH(I$7,AdditionalVehs!$AA$45:$AK$45,0))</f>
        <v>#REF!</v>
      </c>
      <c r="J654" s="86" t="e">
        <f>GDPdeflator!$C$38*INDEX(AdditionalVehs!$AA$46:$AK$91,MATCH($C654,AdditionalVehs!$C$46:$C$91,0),MATCH(J$7,AdditionalVehs!$AA$45:$AK$45,0))</f>
        <v>#REF!</v>
      </c>
      <c r="K654" s="86" t="e">
        <f>GDPdeflator!$C$38*INDEX(AdditionalVehs!$AA$46:$AK$91,MATCH($C654,AdditionalVehs!$C$46:$C$91,0),MATCH(K$7,AdditionalVehs!$AA$45:$AK$45,0))</f>
        <v>#REF!</v>
      </c>
      <c r="L654" s="86" t="e">
        <f>GDPdeflator!$C$38*INDEX(AdditionalVehs!$AA$46:$AK$91,MATCH($C654,AdditionalVehs!$C$46:$C$91,0),MATCH(L$7,AdditionalVehs!$AA$45:$AK$45,0))</f>
        <v>#REF!</v>
      </c>
      <c r="M654" s="86" t="e">
        <f>GDPdeflator!$C$38*INDEX(AdditionalVehs!$AA$46:$AK$91,MATCH($C654,AdditionalVehs!$C$46:$C$91,0),MATCH(M$7,AdditionalVehs!$AA$45:$AK$45,0))</f>
        <v>#REF!</v>
      </c>
      <c r="N654" s="86" t="e">
        <f>GDPdeflator!$C$38*INDEX(AdditionalVehs!$AA$46:$AK$91,MATCH($C654,AdditionalVehs!$C$46:$C$91,0),MATCH(N$7,AdditionalVehs!$AA$45:$AK$45,0))</f>
        <v>#REF!</v>
      </c>
      <c r="O654" s="86" t="e">
        <f>GDPdeflator!$C$38*INDEX(AdditionalVehs!$AA$46:$AK$91,MATCH($C654,AdditionalVehs!$C$46:$C$91,0),MATCH(O$7,AdditionalVehs!$AA$45:$AK$45,0))</f>
        <v>#REF!</v>
      </c>
      <c r="P654" s="87">
        <f t="shared" si="291"/>
        <v>0</v>
      </c>
      <c r="Q654" s="87" t="e">
        <f t="shared" si="290"/>
        <v>#REF!</v>
      </c>
      <c r="R654" s="87" t="e">
        <f t="shared" si="289"/>
        <v>#REF!</v>
      </c>
      <c r="S654" s="87" t="e">
        <f t="shared" si="275"/>
        <v>#REF!</v>
      </c>
      <c r="T654" s="87" t="e">
        <f t="shared" si="276"/>
        <v>#REF!</v>
      </c>
      <c r="U654" s="87" t="e">
        <f t="shared" si="277"/>
        <v>#REF!</v>
      </c>
      <c r="V654" s="87" t="e">
        <f t="shared" si="278"/>
        <v>#REF!</v>
      </c>
      <c r="W654" s="87" t="e">
        <f t="shared" si="279"/>
        <v>#REF!</v>
      </c>
      <c r="X654" s="87" t="e">
        <f t="shared" si="280"/>
        <v>#REF!</v>
      </c>
      <c r="Y654" s="87" t="e">
        <f t="shared" si="281"/>
        <v>#REF!</v>
      </c>
      <c r="Z654" s="87" t="e">
        <f t="shared" si="282"/>
        <v>#REF!</v>
      </c>
      <c r="AA654" s="40">
        <v>473</v>
      </c>
      <c r="AB654" s="89">
        <f>AA654*GDPdeflator!$C$25/$AI$18*10^3</f>
        <v>45.478712808157368</v>
      </c>
      <c r="AC654" s="90" t="e">
        <f>INDEX(AdditionalVehs!$E$46:$N$91,MATCH(C654,AdditionalVehs!$C$46:$C$91),MATCH(D654,AdditionalVehs!$E$45:$N$45))</f>
        <v>#REF!</v>
      </c>
      <c r="AD654" s="90" t="e">
        <f t="shared" si="287"/>
        <v>#REF!</v>
      </c>
      <c r="AE654" s="90" t="e">
        <f>INDEX(AdditionalVehs!$P$46:$Y$91,MATCH(C654,AdditionalVehs!$C$46:$C$91),MATCH(D654,AdditionalVehs!$AA$45:$AJ$45))</f>
        <v>#REF!</v>
      </c>
      <c r="AF654" s="90" t="e">
        <f t="shared" si="285"/>
        <v>#REF!</v>
      </c>
      <c r="AG654" s="90">
        <v>0</v>
      </c>
    </row>
    <row r="655" spans="1:33" x14ac:dyDescent="0.2">
      <c r="A655" s="92" t="s">
        <v>2142</v>
      </c>
      <c r="B655" s="248" t="s">
        <v>2143</v>
      </c>
      <c r="C655" s="40" t="s">
        <v>2137</v>
      </c>
      <c r="D655" s="40">
        <v>2025</v>
      </c>
      <c r="E655" s="86">
        <f>GDPdeflator!$C$32*INDEX(AdditionalVehs!$AA$46:$AK$91,MATCH($C655,AdditionalVehs!$C$46:$C$91,0),MATCH(E$7,AdditionalVehs!$AA$45:$AK$45,0))</f>
        <v>0</v>
      </c>
      <c r="F655" s="86" t="e">
        <f>GDPdeflator!$C$36*INDEX(AdditionalVehs!$AA$46:$AK$91,MATCH($C655,AdditionalVehs!$C$46:$C$91,0),MATCH(F$7,AdditionalVehs!$AA$45:$AK$45,0))</f>
        <v>#REF!</v>
      </c>
      <c r="G655" s="86" t="e">
        <f>GDPdeflator!$C$38*INDEX(AdditionalVehs!$AA$46:$AK$91,MATCH($C655,AdditionalVehs!$C$46:$C$91,0),MATCH(G$7,AdditionalVehs!$AA$45:$AK$45,0))</f>
        <v>#REF!</v>
      </c>
      <c r="H655" s="86" t="e">
        <f>GDPdeflator!$C$38*INDEX(AdditionalVehs!$AA$46:$AK$91,MATCH($C655,AdditionalVehs!$C$46:$C$91,0),MATCH(H$7,AdditionalVehs!$AA$45:$AK$45,0))</f>
        <v>#REF!</v>
      </c>
      <c r="I655" s="86" t="e">
        <f>GDPdeflator!$C$38*INDEX(AdditionalVehs!$AA$46:$AK$91,MATCH($C655,AdditionalVehs!$C$46:$C$91,0),MATCH(I$7,AdditionalVehs!$AA$45:$AK$45,0))</f>
        <v>#REF!</v>
      </c>
      <c r="J655" s="86" t="e">
        <f>GDPdeflator!$C$38*INDEX(AdditionalVehs!$AA$46:$AK$91,MATCH($C655,AdditionalVehs!$C$46:$C$91,0),MATCH(J$7,AdditionalVehs!$AA$45:$AK$45,0))</f>
        <v>#REF!</v>
      </c>
      <c r="K655" s="86" t="e">
        <f>GDPdeflator!$C$38*INDEX(AdditionalVehs!$AA$46:$AK$91,MATCH($C655,AdditionalVehs!$C$46:$C$91,0),MATCH(K$7,AdditionalVehs!$AA$45:$AK$45,0))</f>
        <v>#REF!</v>
      </c>
      <c r="L655" s="86" t="e">
        <f>GDPdeflator!$C$38*INDEX(AdditionalVehs!$AA$46:$AK$91,MATCH($C655,AdditionalVehs!$C$46:$C$91,0),MATCH(L$7,AdditionalVehs!$AA$45:$AK$45,0))</f>
        <v>#REF!</v>
      </c>
      <c r="M655" s="86" t="e">
        <f>GDPdeflator!$C$38*INDEX(AdditionalVehs!$AA$46:$AK$91,MATCH($C655,AdditionalVehs!$C$46:$C$91,0),MATCH(M$7,AdditionalVehs!$AA$45:$AK$45,0))</f>
        <v>#REF!</v>
      </c>
      <c r="N655" s="86" t="e">
        <f>GDPdeflator!$C$38*INDEX(AdditionalVehs!$AA$46:$AK$91,MATCH($C655,AdditionalVehs!$C$46:$C$91,0),MATCH(N$7,AdditionalVehs!$AA$45:$AK$45,0))</f>
        <v>#REF!</v>
      </c>
      <c r="O655" s="86" t="e">
        <f>GDPdeflator!$C$38*INDEX(AdditionalVehs!$AA$46:$AK$91,MATCH($C655,AdditionalVehs!$C$46:$C$91,0),MATCH(O$7,AdditionalVehs!$AA$45:$AK$45,0))</f>
        <v>#REF!</v>
      </c>
      <c r="P655" s="87">
        <f t="shared" si="291"/>
        <v>0</v>
      </c>
      <c r="Q655" s="87" t="e">
        <f t="shared" si="290"/>
        <v>#REF!</v>
      </c>
      <c r="R655" s="87" t="e">
        <f t="shared" si="289"/>
        <v>#REF!</v>
      </c>
      <c r="S655" s="87" t="e">
        <f t="shared" si="275"/>
        <v>#REF!</v>
      </c>
      <c r="T655" s="87" t="e">
        <f t="shared" si="276"/>
        <v>#REF!</v>
      </c>
      <c r="U655" s="87" t="e">
        <f t="shared" si="277"/>
        <v>#REF!</v>
      </c>
      <c r="V655" s="87" t="e">
        <f t="shared" si="278"/>
        <v>#REF!</v>
      </c>
      <c r="W655" s="87" t="e">
        <f t="shared" si="279"/>
        <v>#REF!</v>
      </c>
      <c r="X655" s="87" t="e">
        <f t="shared" si="280"/>
        <v>#REF!</v>
      </c>
      <c r="Y655" s="87" t="e">
        <f t="shared" si="281"/>
        <v>#REF!</v>
      </c>
      <c r="Z655" s="87" t="e">
        <f t="shared" si="282"/>
        <v>#REF!</v>
      </c>
      <c r="AA655" s="40">
        <v>473</v>
      </c>
      <c r="AB655" s="89">
        <f>AA655*GDPdeflator!$C$25/$AI$18*10^3</f>
        <v>45.478712808157368</v>
      </c>
      <c r="AC655" s="90" t="e">
        <f>INDEX(AdditionalVehs!$E$46:$N$91,MATCH(C655,AdditionalVehs!$C$46:$C$91),MATCH(D655,AdditionalVehs!$E$45:$N$45))</f>
        <v>#REF!</v>
      </c>
      <c r="AD655" s="90" t="e">
        <f t="shared" si="287"/>
        <v>#REF!</v>
      </c>
      <c r="AE655" s="90" t="e">
        <f>INDEX(AdditionalVehs!$P$46:$Y$91,MATCH(C655,AdditionalVehs!$C$46:$C$91),MATCH(D655,AdditionalVehs!$AA$45:$AJ$45))</f>
        <v>#REF!</v>
      </c>
      <c r="AF655" s="90" t="e">
        <f t="shared" si="285"/>
        <v>#REF!</v>
      </c>
      <c r="AG655" s="90">
        <v>0</v>
      </c>
    </row>
    <row r="656" spans="1:33" x14ac:dyDescent="0.2">
      <c r="A656" s="92" t="s">
        <v>2144</v>
      </c>
      <c r="B656" s="248" t="s">
        <v>2145</v>
      </c>
      <c r="C656" s="40" t="s">
        <v>2137</v>
      </c>
      <c r="D656" s="40">
        <v>2030</v>
      </c>
      <c r="E656" s="86">
        <f>GDPdeflator!$C$32*INDEX(AdditionalVehs!$AA$46:$AK$91,MATCH($C656,AdditionalVehs!$C$46:$C$91,0),MATCH(E$7,AdditionalVehs!$AA$45:$AK$45,0))</f>
        <v>0</v>
      </c>
      <c r="F656" s="86" t="e">
        <f>GDPdeflator!$C$36*INDEX(AdditionalVehs!$AA$46:$AK$91,MATCH($C656,AdditionalVehs!$C$46:$C$91,0),MATCH(F$7,AdditionalVehs!$AA$45:$AK$45,0))</f>
        <v>#REF!</v>
      </c>
      <c r="G656" s="86" t="e">
        <f>GDPdeflator!$C$38*INDEX(AdditionalVehs!$AA$46:$AK$91,MATCH($C656,AdditionalVehs!$C$46:$C$91,0),MATCH(G$7,AdditionalVehs!$AA$45:$AK$45,0))</f>
        <v>#REF!</v>
      </c>
      <c r="H656" s="86" t="e">
        <f>GDPdeflator!$C$38*INDEX(AdditionalVehs!$AA$46:$AK$91,MATCH($C656,AdditionalVehs!$C$46:$C$91,0),MATCH(H$7,AdditionalVehs!$AA$45:$AK$45,0))</f>
        <v>#REF!</v>
      </c>
      <c r="I656" s="86" t="e">
        <f>GDPdeflator!$C$38*INDEX(AdditionalVehs!$AA$46:$AK$91,MATCH($C656,AdditionalVehs!$C$46:$C$91,0),MATCH(I$7,AdditionalVehs!$AA$45:$AK$45,0))</f>
        <v>#REF!</v>
      </c>
      <c r="J656" s="86" t="e">
        <f>GDPdeflator!$C$38*INDEX(AdditionalVehs!$AA$46:$AK$91,MATCH($C656,AdditionalVehs!$C$46:$C$91,0),MATCH(J$7,AdditionalVehs!$AA$45:$AK$45,0))</f>
        <v>#REF!</v>
      </c>
      <c r="K656" s="86" t="e">
        <f>GDPdeflator!$C$38*INDEX(AdditionalVehs!$AA$46:$AK$91,MATCH($C656,AdditionalVehs!$C$46:$C$91,0),MATCH(K$7,AdditionalVehs!$AA$45:$AK$45,0))</f>
        <v>#REF!</v>
      </c>
      <c r="L656" s="86" t="e">
        <f>GDPdeflator!$C$38*INDEX(AdditionalVehs!$AA$46:$AK$91,MATCH($C656,AdditionalVehs!$C$46:$C$91,0),MATCH(L$7,AdditionalVehs!$AA$45:$AK$45,0))</f>
        <v>#REF!</v>
      </c>
      <c r="M656" s="86" t="e">
        <f>GDPdeflator!$C$38*INDEX(AdditionalVehs!$AA$46:$AK$91,MATCH($C656,AdditionalVehs!$C$46:$C$91,0),MATCH(M$7,AdditionalVehs!$AA$45:$AK$45,0))</f>
        <v>#REF!</v>
      </c>
      <c r="N656" s="86" t="e">
        <f>GDPdeflator!$C$38*INDEX(AdditionalVehs!$AA$46:$AK$91,MATCH($C656,AdditionalVehs!$C$46:$C$91,0),MATCH(N$7,AdditionalVehs!$AA$45:$AK$45,0))</f>
        <v>#REF!</v>
      </c>
      <c r="O656" s="86" t="e">
        <f>GDPdeflator!$C$38*INDEX(AdditionalVehs!$AA$46:$AK$91,MATCH($C656,AdditionalVehs!$C$46:$C$91,0),MATCH(O$7,AdditionalVehs!$AA$45:$AK$45,0))</f>
        <v>#REF!</v>
      </c>
      <c r="P656" s="87">
        <f t="shared" si="291"/>
        <v>0</v>
      </c>
      <c r="Q656" s="87" t="e">
        <f t="shared" si="290"/>
        <v>#REF!</v>
      </c>
      <c r="R656" s="87" t="e">
        <f t="shared" si="289"/>
        <v>#REF!</v>
      </c>
      <c r="S656" s="87" t="e">
        <f t="shared" si="275"/>
        <v>#REF!</v>
      </c>
      <c r="T656" s="87" t="e">
        <f t="shared" si="276"/>
        <v>#REF!</v>
      </c>
      <c r="U656" s="87" t="e">
        <f t="shared" si="277"/>
        <v>#REF!</v>
      </c>
      <c r="V656" s="87" t="e">
        <f t="shared" si="278"/>
        <v>#REF!</v>
      </c>
      <c r="W656" s="87" t="e">
        <f t="shared" si="279"/>
        <v>#REF!</v>
      </c>
      <c r="X656" s="87" t="e">
        <f t="shared" si="280"/>
        <v>#REF!</v>
      </c>
      <c r="Y656" s="87" t="e">
        <f t="shared" si="281"/>
        <v>#REF!</v>
      </c>
      <c r="Z656" s="87" t="e">
        <f t="shared" si="282"/>
        <v>#REF!</v>
      </c>
      <c r="AA656" s="40">
        <v>473</v>
      </c>
      <c r="AB656" s="89">
        <f>AA656*GDPdeflator!$C$25/$AI$18*10^3</f>
        <v>45.478712808157368</v>
      </c>
      <c r="AC656" s="90" t="e">
        <f>INDEX(AdditionalVehs!$E$46:$N$91,MATCH(C656,AdditionalVehs!$C$46:$C$91),MATCH(D656,AdditionalVehs!$E$45:$N$45))</f>
        <v>#REF!</v>
      </c>
      <c r="AD656" s="90" t="e">
        <f t="shared" si="287"/>
        <v>#REF!</v>
      </c>
      <c r="AE656" s="90" t="e">
        <f>INDEX(AdditionalVehs!$P$46:$Y$91,MATCH(C656,AdditionalVehs!$C$46:$C$91),MATCH(D656,AdditionalVehs!$AA$45:$AJ$45))</f>
        <v>#REF!</v>
      </c>
      <c r="AF656" s="90" t="e">
        <f t="shared" ref="AF656:AF719" si="292">AE656/($AI$11*$AI$15*10 ^ 9)</f>
        <v>#REF!</v>
      </c>
      <c r="AG656" s="90">
        <v>0</v>
      </c>
    </row>
    <row r="657" spans="1:33" x14ac:dyDescent="0.2">
      <c r="A657" s="92" t="s">
        <v>2146</v>
      </c>
      <c r="B657" s="248" t="s">
        <v>2147</v>
      </c>
      <c r="C657" s="40" t="s">
        <v>2137</v>
      </c>
      <c r="D657" s="40">
        <v>2035</v>
      </c>
      <c r="E657" s="86">
        <f>GDPdeflator!$C$32*INDEX(AdditionalVehs!$AA$46:$AK$91,MATCH($C657,AdditionalVehs!$C$46:$C$91,0),MATCH(E$7,AdditionalVehs!$AA$45:$AK$45,0))</f>
        <v>0</v>
      </c>
      <c r="F657" s="86" t="e">
        <f>GDPdeflator!$C$36*INDEX(AdditionalVehs!$AA$46:$AK$91,MATCH($C657,AdditionalVehs!$C$46:$C$91,0),MATCH(F$7,AdditionalVehs!$AA$45:$AK$45,0))</f>
        <v>#REF!</v>
      </c>
      <c r="G657" s="86" t="e">
        <f>GDPdeflator!$C$38*INDEX(AdditionalVehs!$AA$46:$AK$91,MATCH($C657,AdditionalVehs!$C$46:$C$91,0),MATCH(G$7,AdditionalVehs!$AA$45:$AK$45,0))</f>
        <v>#REF!</v>
      </c>
      <c r="H657" s="86" t="e">
        <f>GDPdeflator!$C$38*INDEX(AdditionalVehs!$AA$46:$AK$91,MATCH($C657,AdditionalVehs!$C$46:$C$91,0),MATCH(H$7,AdditionalVehs!$AA$45:$AK$45,0))</f>
        <v>#REF!</v>
      </c>
      <c r="I657" s="86" t="e">
        <f>GDPdeflator!$C$38*INDEX(AdditionalVehs!$AA$46:$AK$91,MATCH($C657,AdditionalVehs!$C$46:$C$91,0),MATCH(I$7,AdditionalVehs!$AA$45:$AK$45,0))</f>
        <v>#REF!</v>
      </c>
      <c r="J657" s="86" t="e">
        <f>GDPdeflator!$C$38*INDEX(AdditionalVehs!$AA$46:$AK$91,MATCH($C657,AdditionalVehs!$C$46:$C$91,0),MATCH(J$7,AdditionalVehs!$AA$45:$AK$45,0))</f>
        <v>#REF!</v>
      </c>
      <c r="K657" s="86" t="e">
        <f>GDPdeflator!$C$38*INDEX(AdditionalVehs!$AA$46:$AK$91,MATCH($C657,AdditionalVehs!$C$46:$C$91,0),MATCH(K$7,AdditionalVehs!$AA$45:$AK$45,0))</f>
        <v>#REF!</v>
      </c>
      <c r="L657" s="86" t="e">
        <f>GDPdeflator!$C$38*INDEX(AdditionalVehs!$AA$46:$AK$91,MATCH($C657,AdditionalVehs!$C$46:$C$91,0),MATCH(L$7,AdditionalVehs!$AA$45:$AK$45,0))</f>
        <v>#REF!</v>
      </c>
      <c r="M657" s="86" t="e">
        <f>GDPdeflator!$C$38*INDEX(AdditionalVehs!$AA$46:$AK$91,MATCH($C657,AdditionalVehs!$C$46:$C$91,0),MATCH(M$7,AdditionalVehs!$AA$45:$AK$45,0))</f>
        <v>#REF!</v>
      </c>
      <c r="N657" s="86" t="e">
        <f>GDPdeflator!$C$38*INDEX(AdditionalVehs!$AA$46:$AK$91,MATCH($C657,AdditionalVehs!$C$46:$C$91,0),MATCH(N$7,AdditionalVehs!$AA$45:$AK$45,0))</f>
        <v>#REF!</v>
      </c>
      <c r="O657" s="86" t="e">
        <f>GDPdeflator!$C$38*INDEX(AdditionalVehs!$AA$46:$AK$91,MATCH($C657,AdditionalVehs!$C$46:$C$91,0),MATCH(O$7,AdditionalVehs!$AA$45:$AK$45,0))</f>
        <v>#REF!</v>
      </c>
      <c r="P657" s="87">
        <f t="shared" si="291"/>
        <v>0</v>
      </c>
      <c r="Q657" s="87" t="e">
        <f t="shared" si="290"/>
        <v>#REF!</v>
      </c>
      <c r="R657" s="87" t="e">
        <f t="shared" si="289"/>
        <v>#REF!</v>
      </c>
      <c r="S657" s="87" t="e">
        <f t="shared" si="275"/>
        <v>#REF!</v>
      </c>
      <c r="T657" s="87" t="e">
        <f t="shared" si="276"/>
        <v>#REF!</v>
      </c>
      <c r="U657" s="87" t="e">
        <f t="shared" si="277"/>
        <v>#REF!</v>
      </c>
      <c r="V657" s="87" t="e">
        <f t="shared" si="278"/>
        <v>#REF!</v>
      </c>
      <c r="W657" s="87" t="e">
        <f t="shared" si="279"/>
        <v>#REF!</v>
      </c>
      <c r="X657" s="87" t="e">
        <f t="shared" si="280"/>
        <v>#REF!</v>
      </c>
      <c r="Y657" s="87" t="e">
        <f t="shared" si="281"/>
        <v>#REF!</v>
      </c>
      <c r="Z657" s="87" t="e">
        <f t="shared" si="282"/>
        <v>#REF!</v>
      </c>
      <c r="AA657" s="40">
        <v>473</v>
      </c>
      <c r="AB657" s="89">
        <f>AA657*GDPdeflator!$C$25/$AI$18*10^3</f>
        <v>45.478712808157368</v>
      </c>
      <c r="AC657" s="90" t="e">
        <f>INDEX(AdditionalVehs!$E$46:$N$91,MATCH(C657,AdditionalVehs!$C$46:$C$91),MATCH(D657,AdditionalVehs!$E$45:$N$45))</f>
        <v>#REF!</v>
      </c>
      <c r="AD657" s="90" t="e">
        <f t="shared" si="287"/>
        <v>#REF!</v>
      </c>
      <c r="AE657" s="90" t="e">
        <f>INDEX(AdditionalVehs!$P$46:$Y$91,MATCH(C657,AdditionalVehs!$C$46:$C$91),MATCH(D657,AdditionalVehs!$AA$45:$AJ$45))</f>
        <v>#REF!</v>
      </c>
      <c r="AF657" s="90" t="e">
        <f t="shared" si="292"/>
        <v>#REF!</v>
      </c>
      <c r="AG657" s="90">
        <v>0</v>
      </c>
    </row>
    <row r="658" spans="1:33" x14ac:dyDescent="0.2">
      <c r="A658" s="92" t="s">
        <v>2148</v>
      </c>
      <c r="B658" s="248" t="s">
        <v>2149</v>
      </c>
      <c r="C658" s="40" t="s">
        <v>2137</v>
      </c>
      <c r="D658" s="40">
        <v>2040</v>
      </c>
      <c r="E658" s="86">
        <f>GDPdeflator!$C$32*INDEX(AdditionalVehs!$AA$46:$AK$91,MATCH($C658,AdditionalVehs!$C$46:$C$91,0),MATCH(E$7,AdditionalVehs!$AA$45:$AK$45,0))</f>
        <v>0</v>
      </c>
      <c r="F658" s="86" t="e">
        <f>GDPdeflator!$C$36*INDEX(AdditionalVehs!$AA$46:$AK$91,MATCH($C658,AdditionalVehs!$C$46:$C$91,0),MATCH(F$7,AdditionalVehs!$AA$45:$AK$45,0))</f>
        <v>#REF!</v>
      </c>
      <c r="G658" s="86" t="e">
        <f>GDPdeflator!$C$38*INDEX(AdditionalVehs!$AA$46:$AK$91,MATCH($C658,AdditionalVehs!$C$46:$C$91,0),MATCH(G$7,AdditionalVehs!$AA$45:$AK$45,0))</f>
        <v>#REF!</v>
      </c>
      <c r="H658" s="86" t="e">
        <f>GDPdeflator!$C$38*INDEX(AdditionalVehs!$AA$46:$AK$91,MATCH($C658,AdditionalVehs!$C$46:$C$91,0),MATCH(H$7,AdditionalVehs!$AA$45:$AK$45,0))</f>
        <v>#REF!</v>
      </c>
      <c r="I658" s="86" t="e">
        <f>GDPdeflator!$C$38*INDEX(AdditionalVehs!$AA$46:$AK$91,MATCH($C658,AdditionalVehs!$C$46:$C$91,0),MATCH(I$7,AdditionalVehs!$AA$45:$AK$45,0))</f>
        <v>#REF!</v>
      </c>
      <c r="J658" s="86" t="e">
        <f>GDPdeflator!$C$38*INDEX(AdditionalVehs!$AA$46:$AK$91,MATCH($C658,AdditionalVehs!$C$46:$C$91,0),MATCH(J$7,AdditionalVehs!$AA$45:$AK$45,0))</f>
        <v>#REF!</v>
      </c>
      <c r="K658" s="86" t="e">
        <f>GDPdeflator!$C$38*INDEX(AdditionalVehs!$AA$46:$AK$91,MATCH($C658,AdditionalVehs!$C$46:$C$91,0),MATCH(K$7,AdditionalVehs!$AA$45:$AK$45,0))</f>
        <v>#REF!</v>
      </c>
      <c r="L658" s="86" t="e">
        <f>GDPdeflator!$C$38*INDEX(AdditionalVehs!$AA$46:$AK$91,MATCH($C658,AdditionalVehs!$C$46:$C$91,0),MATCH(L$7,AdditionalVehs!$AA$45:$AK$45,0))</f>
        <v>#REF!</v>
      </c>
      <c r="M658" s="86" t="e">
        <f>GDPdeflator!$C$38*INDEX(AdditionalVehs!$AA$46:$AK$91,MATCH($C658,AdditionalVehs!$C$46:$C$91,0),MATCH(M$7,AdditionalVehs!$AA$45:$AK$45,0))</f>
        <v>#REF!</v>
      </c>
      <c r="N658" s="86" t="e">
        <f>GDPdeflator!$C$38*INDEX(AdditionalVehs!$AA$46:$AK$91,MATCH($C658,AdditionalVehs!$C$46:$C$91,0),MATCH(N$7,AdditionalVehs!$AA$45:$AK$45,0))</f>
        <v>#REF!</v>
      </c>
      <c r="O658" s="86" t="e">
        <f>GDPdeflator!$C$38*INDEX(AdditionalVehs!$AA$46:$AK$91,MATCH($C658,AdditionalVehs!$C$46:$C$91,0),MATCH(O$7,AdditionalVehs!$AA$45:$AK$45,0))</f>
        <v>#REF!</v>
      </c>
      <c r="P658" s="87">
        <f t="shared" si="291"/>
        <v>0</v>
      </c>
      <c r="Q658" s="87" t="e">
        <f t="shared" si="290"/>
        <v>#REF!</v>
      </c>
      <c r="R658" s="87" t="e">
        <f t="shared" si="289"/>
        <v>#REF!</v>
      </c>
      <c r="S658" s="87" t="e">
        <f t="shared" si="275"/>
        <v>#REF!</v>
      </c>
      <c r="T658" s="87" t="e">
        <f t="shared" si="276"/>
        <v>#REF!</v>
      </c>
      <c r="U658" s="87" t="e">
        <f t="shared" si="277"/>
        <v>#REF!</v>
      </c>
      <c r="V658" s="87" t="e">
        <f t="shared" si="278"/>
        <v>#REF!</v>
      </c>
      <c r="W658" s="87" t="e">
        <f t="shared" si="279"/>
        <v>#REF!</v>
      </c>
      <c r="X658" s="87" t="e">
        <f t="shared" si="280"/>
        <v>#REF!</v>
      </c>
      <c r="Y658" s="87" t="e">
        <f t="shared" si="281"/>
        <v>#REF!</v>
      </c>
      <c r="Z658" s="87" t="e">
        <f t="shared" si="282"/>
        <v>#REF!</v>
      </c>
      <c r="AA658" s="40">
        <v>473</v>
      </c>
      <c r="AB658" s="89">
        <f>AA658*GDPdeflator!$C$25/$AI$18*10^3</f>
        <v>45.478712808157368</v>
      </c>
      <c r="AC658" s="90" t="e">
        <f>INDEX(AdditionalVehs!$E$46:$N$91,MATCH(C658,AdditionalVehs!$C$46:$C$91),MATCH(D658,AdditionalVehs!$E$45:$N$45))</f>
        <v>#REF!</v>
      </c>
      <c r="AD658" s="90" t="e">
        <f t="shared" si="287"/>
        <v>#REF!</v>
      </c>
      <c r="AE658" s="90" t="e">
        <f>INDEX(AdditionalVehs!$P$46:$Y$91,MATCH(C658,AdditionalVehs!$C$46:$C$91),MATCH(D658,AdditionalVehs!$AA$45:$AJ$45))</f>
        <v>#REF!</v>
      </c>
      <c r="AF658" s="90" t="e">
        <f t="shared" si="292"/>
        <v>#REF!</v>
      </c>
      <c r="AG658" s="90">
        <v>0</v>
      </c>
    </row>
    <row r="659" spans="1:33" x14ac:dyDescent="0.2">
      <c r="A659" s="92" t="s">
        <v>2150</v>
      </c>
      <c r="B659" s="248" t="s">
        <v>2151</v>
      </c>
      <c r="C659" s="40" t="s">
        <v>2137</v>
      </c>
      <c r="D659" s="40">
        <v>2045</v>
      </c>
      <c r="E659" s="86">
        <f>GDPdeflator!$C$32*INDEX(AdditionalVehs!$AA$46:$AK$91,MATCH($C659,AdditionalVehs!$C$46:$C$91,0),MATCH(E$7,AdditionalVehs!$AA$45:$AK$45,0))</f>
        <v>0</v>
      </c>
      <c r="F659" s="86" t="e">
        <f>GDPdeflator!$C$36*INDEX(AdditionalVehs!$AA$46:$AK$91,MATCH($C659,AdditionalVehs!$C$46:$C$91,0),MATCH(F$7,AdditionalVehs!$AA$45:$AK$45,0))</f>
        <v>#REF!</v>
      </c>
      <c r="G659" s="86" t="e">
        <f>GDPdeflator!$C$38*INDEX(AdditionalVehs!$AA$46:$AK$91,MATCH($C659,AdditionalVehs!$C$46:$C$91,0),MATCH(G$7,AdditionalVehs!$AA$45:$AK$45,0))</f>
        <v>#REF!</v>
      </c>
      <c r="H659" s="86" t="e">
        <f>GDPdeflator!$C$38*INDEX(AdditionalVehs!$AA$46:$AK$91,MATCH($C659,AdditionalVehs!$C$46:$C$91,0),MATCH(H$7,AdditionalVehs!$AA$45:$AK$45,0))</f>
        <v>#REF!</v>
      </c>
      <c r="I659" s="86" t="e">
        <f>GDPdeflator!$C$38*INDEX(AdditionalVehs!$AA$46:$AK$91,MATCH($C659,AdditionalVehs!$C$46:$C$91,0),MATCH(I$7,AdditionalVehs!$AA$45:$AK$45,0))</f>
        <v>#REF!</v>
      </c>
      <c r="J659" s="86" t="e">
        <f>GDPdeflator!$C$38*INDEX(AdditionalVehs!$AA$46:$AK$91,MATCH($C659,AdditionalVehs!$C$46:$C$91,0),MATCH(J$7,AdditionalVehs!$AA$45:$AK$45,0))</f>
        <v>#REF!</v>
      </c>
      <c r="K659" s="86" t="e">
        <f>GDPdeflator!$C$38*INDEX(AdditionalVehs!$AA$46:$AK$91,MATCH($C659,AdditionalVehs!$C$46:$C$91,0),MATCH(K$7,AdditionalVehs!$AA$45:$AK$45,0))</f>
        <v>#REF!</v>
      </c>
      <c r="L659" s="86" t="e">
        <f>GDPdeflator!$C$38*INDEX(AdditionalVehs!$AA$46:$AK$91,MATCH($C659,AdditionalVehs!$C$46:$C$91,0),MATCH(L$7,AdditionalVehs!$AA$45:$AK$45,0))</f>
        <v>#REF!</v>
      </c>
      <c r="M659" s="86" t="e">
        <f>GDPdeflator!$C$38*INDEX(AdditionalVehs!$AA$46:$AK$91,MATCH($C659,AdditionalVehs!$C$46:$C$91,0),MATCH(M$7,AdditionalVehs!$AA$45:$AK$45,0))</f>
        <v>#REF!</v>
      </c>
      <c r="N659" s="86" t="e">
        <f>GDPdeflator!$C$38*INDEX(AdditionalVehs!$AA$46:$AK$91,MATCH($C659,AdditionalVehs!$C$46:$C$91,0),MATCH(N$7,AdditionalVehs!$AA$45:$AK$45,0))</f>
        <v>#REF!</v>
      </c>
      <c r="O659" s="86" t="e">
        <f>GDPdeflator!$C$38*INDEX(AdditionalVehs!$AA$46:$AK$91,MATCH($C659,AdditionalVehs!$C$46:$C$91,0),MATCH(O$7,AdditionalVehs!$AA$45:$AK$45,0))</f>
        <v>#REF!</v>
      </c>
      <c r="P659" s="87">
        <f t="shared" si="291"/>
        <v>0</v>
      </c>
      <c r="Q659" s="87" t="e">
        <f t="shared" si="290"/>
        <v>#REF!</v>
      </c>
      <c r="R659" s="87" t="e">
        <f t="shared" si="289"/>
        <v>#REF!</v>
      </c>
      <c r="S659" s="87" t="e">
        <f t="shared" si="275"/>
        <v>#REF!</v>
      </c>
      <c r="T659" s="87" t="e">
        <f t="shared" si="276"/>
        <v>#REF!</v>
      </c>
      <c r="U659" s="87" t="e">
        <f t="shared" si="277"/>
        <v>#REF!</v>
      </c>
      <c r="V659" s="87" t="e">
        <f t="shared" si="278"/>
        <v>#REF!</v>
      </c>
      <c r="W659" s="87" t="e">
        <f t="shared" si="279"/>
        <v>#REF!</v>
      </c>
      <c r="X659" s="87" t="e">
        <f t="shared" si="280"/>
        <v>#REF!</v>
      </c>
      <c r="Y659" s="87" t="e">
        <f t="shared" si="281"/>
        <v>#REF!</v>
      </c>
      <c r="Z659" s="87" t="e">
        <f t="shared" si="282"/>
        <v>#REF!</v>
      </c>
      <c r="AA659" s="40">
        <v>473</v>
      </c>
      <c r="AB659" s="89">
        <f>AA659*GDPdeflator!$C$25/$AI$18*10^3</f>
        <v>45.478712808157368</v>
      </c>
      <c r="AC659" s="90" t="e">
        <f>INDEX(AdditionalVehs!$E$46:$N$91,MATCH(C659,AdditionalVehs!$C$46:$C$91),MATCH(D659,AdditionalVehs!$E$45:$N$45))</f>
        <v>#REF!</v>
      </c>
      <c r="AD659" s="90" t="e">
        <f t="shared" si="287"/>
        <v>#REF!</v>
      </c>
      <c r="AE659" s="90" t="e">
        <f>INDEX(AdditionalVehs!$P$46:$Y$91,MATCH(C659,AdditionalVehs!$C$46:$C$91),MATCH(D659,AdditionalVehs!$AA$45:$AJ$45))</f>
        <v>#REF!</v>
      </c>
      <c r="AF659" s="90" t="e">
        <f t="shared" si="292"/>
        <v>#REF!</v>
      </c>
      <c r="AG659" s="90">
        <v>0</v>
      </c>
    </row>
    <row r="660" spans="1:33" x14ac:dyDescent="0.2">
      <c r="A660" s="92" t="s">
        <v>2152</v>
      </c>
      <c r="B660" s="248" t="s">
        <v>2153</v>
      </c>
      <c r="C660" s="40" t="s">
        <v>2137</v>
      </c>
      <c r="D660" s="40">
        <v>2050</v>
      </c>
      <c r="E660" s="86">
        <f>GDPdeflator!$C$32*INDEX(AdditionalVehs!$AA$46:$AK$91,MATCH($C660,AdditionalVehs!$C$46:$C$91,0),MATCH(E$7,AdditionalVehs!$AA$45:$AK$45,0))</f>
        <v>0</v>
      </c>
      <c r="F660" s="86" t="e">
        <f>GDPdeflator!$C$36*INDEX(AdditionalVehs!$AA$46:$AK$91,MATCH($C660,AdditionalVehs!$C$46:$C$91,0),MATCH(F$7,AdditionalVehs!$AA$45:$AK$45,0))</f>
        <v>#REF!</v>
      </c>
      <c r="G660" s="86" t="e">
        <f>GDPdeflator!$C$38*INDEX(AdditionalVehs!$AA$46:$AK$91,MATCH($C660,AdditionalVehs!$C$46:$C$91,0),MATCH(G$7,AdditionalVehs!$AA$45:$AK$45,0))</f>
        <v>#REF!</v>
      </c>
      <c r="H660" s="86" t="e">
        <f>GDPdeflator!$C$38*INDEX(AdditionalVehs!$AA$46:$AK$91,MATCH($C660,AdditionalVehs!$C$46:$C$91,0),MATCH(H$7,AdditionalVehs!$AA$45:$AK$45,0))</f>
        <v>#REF!</v>
      </c>
      <c r="I660" s="86" t="e">
        <f>GDPdeflator!$C$38*INDEX(AdditionalVehs!$AA$46:$AK$91,MATCH($C660,AdditionalVehs!$C$46:$C$91,0),MATCH(I$7,AdditionalVehs!$AA$45:$AK$45,0))</f>
        <v>#REF!</v>
      </c>
      <c r="J660" s="86" t="e">
        <f>GDPdeflator!$C$38*INDEX(AdditionalVehs!$AA$46:$AK$91,MATCH($C660,AdditionalVehs!$C$46:$C$91,0),MATCH(J$7,AdditionalVehs!$AA$45:$AK$45,0))</f>
        <v>#REF!</v>
      </c>
      <c r="K660" s="86" t="e">
        <f>GDPdeflator!$C$38*INDEX(AdditionalVehs!$AA$46:$AK$91,MATCH($C660,AdditionalVehs!$C$46:$C$91,0),MATCH(K$7,AdditionalVehs!$AA$45:$AK$45,0))</f>
        <v>#REF!</v>
      </c>
      <c r="L660" s="86" t="e">
        <f>GDPdeflator!$C$38*INDEX(AdditionalVehs!$AA$46:$AK$91,MATCH($C660,AdditionalVehs!$C$46:$C$91,0),MATCH(L$7,AdditionalVehs!$AA$45:$AK$45,0))</f>
        <v>#REF!</v>
      </c>
      <c r="M660" s="86" t="e">
        <f>GDPdeflator!$C$38*INDEX(AdditionalVehs!$AA$46:$AK$91,MATCH($C660,AdditionalVehs!$C$46:$C$91,0),MATCH(M$7,AdditionalVehs!$AA$45:$AK$45,0))</f>
        <v>#REF!</v>
      </c>
      <c r="N660" s="86" t="e">
        <f>GDPdeflator!$C$38*INDEX(AdditionalVehs!$AA$46:$AK$91,MATCH($C660,AdditionalVehs!$C$46:$C$91,0),MATCH(N$7,AdditionalVehs!$AA$45:$AK$45,0))</f>
        <v>#REF!</v>
      </c>
      <c r="O660" s="86" t="e">
        <f>GDPdeflator!$C$38*INDEX(AdditionalVehs!$AA$46:$AK$91,MATCH($C660,AdditionalVehs!$C$46:$C$91,0),MATCH(O$7,AdditionalVehs!$AA$45:$AK$45,0))</f>
        <v>#REF!</v>
      </c>
      <c r="P660" s="87">
        <f t="shared" si="291"/>
        <v>0</v>
      </c>
      <c r="Q660" s="87" t="e">
        <f t="shared" si="290"/>
        <v>#REF!</v>
      </c>
      <c r="R660" s="87" t="e">
        <f t="shared" si="289"/>
        <v>#REF!</v>
      </c>
      <c r="S660" s="87" t="e">
        <f t="shared" si="275"/>
        <v>#REF!</v>
      </c>
      <c r="T660" s="87" t="e">
        <f t="shared" si="276"/>
        <v>#REF!</v>
      </c>
      <c r="U660" s="87" t="e">
        <f t="shared" si="277"/>
        <v>#REF!</v>
      </c>
      <c r="V660" s="87" t="e">
        <f t="shared" si="278"/>
        <v>#REF!</v>
      </c>
      <c r="W660" s="87" t="e">
        <f t="shared" si="279"/>
        <v>#REF!</v>
      </c>
      <c r="X660" s="87" t="e">
        <f t="shared" si="280"/>
        <v>#REF!</v>
      </c>
      <c r="Y660" s="87" t="e">
        <f t="shared" si="281"/>
        <v>#REF!</v>
      </c>
      <c r="Z660" s="87" t="e">
        <f t="shared" si="282"/>
        <v>#REF!</v>
      </c>
      <c r="AA660" s="40">
        <v>473</v>
      </c>
      <c r="AB660" s="89">
        <f>AA660*GDPdeflator!$C$25/$AI$18*10^3</f>
        <v>45.478712808157368</v>
      </c>
      <c r="AC660" s="90" t="e">
        <f>INDEX(AdditionalVehs!$E$46:$N$91,MATCH(C660,AdditionalVehs!$C$46:$C$91),MATCH(D660,AdditionalVehs!$E$45:$N$45))</f>
        <v>#REF!</v>
      </c>
      <c r="AD660" s="90" t="e">
        <f t="shared" si="287"/>
        <v>#REF!</v>
      </c>
      <c r="AE660" s="90" t="e">
        <f>INDEX(AdditionalVehs!$P$46:$Y$91,MATCH(C660,AdditionalVehs!$C$46:$C$91),MATCH(D660,AdditionalVehs!$AA$45:$AJ$45))</f>
        <v>#REF!</v>
      </c>
      <c r="AF660" s="90" t="e">
        <f t="shared" si="292"/>
        <v>#REF!</v>
      </c>
      <c r="AG660" s="90">
        <v>0</v>
      </c>
    </row>
    <row r="661" spans="1:33" x14ac:dyDescent="0.2">
      <c r="A661" s="92" t="s">
        <v>2154</v>
      </c>
      <c r="B661" s="248" t="s">
        <v>2155</v>
      </c>
      <c r="C661" s="40" t="s">
        <v>2156</v>
      </c>
      <c r="D661" s="40">
        <v>2010</v>
      </c>
      <c r="E661" s="86">
        <f>GDPdeflator!$C$32*INDEX(AdditionalVehs!$AA$46:$AK$91,MATCH($C661,AdditionalVehs!$C$46:$C$91,0),MATCH(E$7,AdditionalVehs!$AA$45:$AK$45,0))</f>
        <v>0</v>
      </c>
      <c r="F661" s="86" t="e">
        <f>GDPdeflator!$C$36*INDEX(AdditionalVehs!$AA$46:$AK$91,MATCH($C661,AdditionalVehs!$C$46:$C$91,0),MATCH(F$7,AdditionalVehs!$AA$45:$AK$45,0))</f>
        <v>#REF!</v>
      </c>
      <c r="G661" s="86" t="e">
        <f>GDPdeflator!$C$38*INDEX(AdditionalVehs!$AA$46:$AK$91,MATCH($C661,AdditionalVehs!$C$46:$C$91,0),MATCH(G$7,AdditionalVehs!$AA$45:$AK$45,0))</f>
        <v>#REF!</v>
      </c>
      <c r="H661" s="86" t="e">
        <f>GDPdeflator!$C$38*INDEX(AdditionalVehs!$AA$46:$AK$91,MATCH($C661,AdditionalVehs!$C$46:$C$91,0),MATCH(H$7,AdditionalVehs!$AA$45:$AK$45,0))</f>
        <v>#REF!</v>
      </c>
      <c r="I661" s="86" t="e">
        <f>GDPdeflator!$C$38*INDEX(AdditionalVehs!$AA$46:$AK$91,MATCH($C661,AdditionalVehs!$C$46:$C$91,0),MATCH(I$7,AdditionalVehs!$AA$45:$AK$45,0))</f>
        <v>#REF!</v>
      </c>
      <c r="J661" s="86" t="e">
        <f>GDPdeflator!$C$38*INDEX(AdditionalVehs!$AA$46:$AK$91,MATCH($C661,AdditionalVehs!$C$46:$C$91,0),MATCH(J$7,AdditionalVehs!$AA$45:$AK$45,0))</f>
        <v>#REF!</v>
      </c>
      <c r="K661" s="86" t="e">
        <f>GDPdeflator!$C$38*INDEX(AdditionalVehs!$AA$46:$AK$91,MATCH($C661,AdditionalVehs!$C$46:$C$91,0),MATCH(K$7,AdditionalVehs!$AA$45:$AK$45,0))</f>
        <v>#REF!</v>
      </c>
      <c r="L661" s="86" t="e">
        <f>GDPdeflator!$C$38*INDEX(AdditionalVehs!$AA$46:$AK$91,MATCH($C661,AdditionalVehs!$C$46:$C$91,0),MATCH(L$7,AdditionalVehs!$AA$45:$AK$45,0))</f>
        <v>#REF!</v>
      </c>
      <c r="M661" s="86" t="e">
        <f>GDPdeflator!$C$38*INDEX(AdditionalVehs!$AA$46:$AK$91,MATCH($C661,AdditionalVehs!$C$46:$C$91,0),MATCH(M$7,AdditionalVehs!$AA$45:$AK$45,0))</f>
        <v>#REF!</v>
      </c>
      <c r="N661" s="86" t="e">
        <f>GDPdeflator!$C$38*INDEX(AdditionalVehs!$AA$46:$AK$91,MATCH($C661,AdditionalVehs!$C$46:$C$91,0),MATCH(N$7,AdditionalVehs!$AA$45:$AK$45,0))</f>
        <v>#REF!</v>
      </c>
      <c r="O661" s="86" t="e">
        <f>GDPdeflator!$C$38*INDEX(AdditionalVehs!$AA$46:$AK$91,MATCH($C661,AdditionalVehs!$C$46:$C$91,0),MATCH(O$7,AdditionalVehs!$AA$45:$AK$45,0))</f>
        <v>#REF!</v>
      </c>
      <c r="P661" s="87">
        <f>E661/$AI$18*10^6</f>
        <v>0</v>
      </c>
      <c r="Q661" s="87" t="e">
        <f t="shared" si="290"/>
        <v>#REF!</v>
      </c>
      <c r="R661" s="87" t="e">
        <f t="shared" si="289"/>
        <v>#REF!</v>
      </c>
      <c r="S661" s="87" t="e">
        <f t="shared" si="275"/>
        <v>#REF!</v>
      </c>
      <c r="T661" s="87" t="e">
        <f t="shared" si="276"/>
        <v>#REF!</v>
      </c>
      <c r="U661" s="87" t="e">
        <f t="shared" si="277"/>
        <v>#REF!</v>
      </c>
      <c r="V661" s="87" t="e">
        <f t="shared" si="278"/>
        <v>#REF!</v>
      </c>
      <c r="W661" s="87" t="e">
        <f t="shared" si="279"/>
        <v>#REF!</v>
      </c>
      <c r="X661" s="87" t="e">
        <f t="shared" si="280"/>
        <v>#REF!</v>
      </c>
      <c r="Y661" s="87" t="e">
        <f t="shared" si="281"/>
        <v>#REF!</v>
      </c>
      <c r="Z661" s="87" t="e">
        <f t="shared" si="282"/>
        <v>#REF!</v>
      </c>
      <c r="AA661" s="40">
        <v>500</v>
      </c>
      <c r="AB661" s="89">
        <f>AA661*GDPdeflator!$C$25/$AI$18*10^3</f>
        <v>48.0747492686653</v>
      </c>
      <c r="AC661" s="90">
        <f>INDEX(AdditionalVehs!$E$46:$N$91,MATCH(C661,AdditionalVehs!$C$46:$C$91),MATCH(D661,AdditionalVehs!$E$45:$N$45))</f>
        <v>0</v>
      </c>
      <c r="AD661" s="90">
        <f t="shared" si="287"/>
        <v>0</v>
      </c>
      <c r="AE661" s="90">
        <f>INDEX(AdditionalVehs!$P$46:$Y$91,MATCH(C661,AdditionalVehs!$C$46:$C$91),MATCH(D661,AdditionalVehs!$AA$45:$AJ$45))</f>
        <v>0</v>
      </c>
      <c r="AF661" s="90">
        <f t="shared" si="292"/>
        <v>0</v>
      </c>
      <c r="AG661" s="90">
        <v>0</v>
      </c>
    </row>
    <row r="662" spans="1:33" x14ac:dyDescent="0.2">
      <c r="A662" s="92" t="s">
        <v>2157</v>
      </c>
      <c r="B662" s="248" t="s">
        <v>2158</v>
      </c>
      <c r="C662" s="40" t="s">
        <v>2156</v>
      </c>
      <c r="D662" s="40">
        <v>2015</v>
      </c>
      <c r="E662" s="86">
        <f>GDPdeflator!$C$32*INDEX(AdditionalVehs!$AA$46:$AK$91,MATCH($C662,AdditionalVehs!$C$46:$C$91,0),MATCH(E$7,AdditionalVehs!$AA$45:$AK$45,0))</f>
        <v>0</v>
      </c>
      <c r="F662" s="86" t="e">
        <f>GDPdeflator!$C$36*INDEX(AdditionalVehs!$AA$46:$AK$91,MATCH($C662,AdditionalVehs!$C$46:$C$91,0),MATCH(F$7,AdditionalVehs!$AA$45:$AK$45,0))</f>
        <v>#REF!</v>
      </c>
      <c r="G662" s="86" t="e">
        <f>GDPdeflator!$C$38*INDEX(AdditionalVehs!$AA$46:$AK$91,MATCH($C662,AdditionalVehs!$C$46:$C$91,0),MATCH(G$7,AdditionalVehs!$AA$45:$AK$45,0))</f>
        <v>#REF!</v>
      </c>
      <c r="H662" s="86" t="e">
        <f>GDPdeflator!$C$38*INDEX(AdditionalVehs!$AA$46:$AK$91,MATCH($C662,AdditionalVehs!$C$46:$C$91,0),MATCH(H$7,AdditionalVehs!$AA$45:$AK$45,0))</f>
        <v>#REF!</v>
      </c>
      <c r="I662" s="86" t="e">
        <f>GDPdeflator!$C$38*INDEX(AdditionalVehs!$AA$46:$AK$91,MATCH($C662,AdditionalVehs!$C$46:$C$91,0),MATCH(I$7,AdditionalVehs!$AA$45:$AK$45,0))</f>
        <v>#REF!</v>
      </c>
      <c r="J662" s="86" t="e">
        <f>GDPdeflator!$C$38*INDEX(AdditionalVehs!$AA$46:$AK$91,MATCH($C662,AdditionalVehs!$C$46:$C$91,0),MATCH(J$7,AdditionalVehs!$AA$45:$AK$45,0))</f>
        <v>#REF!</v>
      </c>
      <c r="K662" s="86" t="e">
        <f>GDPdeflator!$C$38*INDEX(AdditionalVehs!$AA$46:$AK$91,MATCH($C662,AdditionalVehs!$C$46:$C$91,0),MATCH(K$7,AdditionalVehs!$AA$45:$AK$45,0))</f>
        <v>#REF!</v>
      </c>
      <c r="L662" s="86" t="e">
        <f>GDPdeflator!$C$38*INDEX(AdditionalVehs!$AA$46:$AK$91,MATCH($C662,AdditionalVehs!$C$46:$C$91,0),MATCH(L$7,AdditionalVehs!$AA$45:$AK$45,0))</f>
        <v>#REF!</v>
      </c>
      <c r="M662" s="86" t="e">
        <f>GDPdeflator!$C$38*INDEX(AdditionalVehs!$AA$46:$AK$91,MATCH($C662,AdditionalVehs!$C$46:$C$91,0),MATCH(M$7,AdditionalVehs!$AA$45:$AK$45,0))</f>
        <v>#REF!</v>
      </c>
      <c r="N662" s="86" t="e">
        <f>GDPdeflator!$C$38*INDEX(AdditionalVehs!$AA$46:$AK$91,MATCH($C662,AdditionalVehs!$C$46:$C$91,0),MATCH(N$7,AdditionalVehs!$AA$45:$AK$45,0))</f>
        <v>#REF!</v>
      </c>
      <c r="O662" s="86" t="e">
        <f>GDPdeflator!$C$38*INDEX(AdditionalVehs!$AA$46:$AK$91,MATCH($C662,AdditionalVehs!$C$46:$C$91,0),MATCH(O$7,AdditionalVehs!$AA$45:$AK$45,0))</f>
        <v>#REF!</v>
      </c>
      <c r="P662" s="87">
        <f t="shared" ref="P662:P669" si="293">E662/$AI$18*10^6</f>
        <v>0</v>
      </c>
      <c r="Q662" s="87" t="e">
        <f t="shared" si="290"/>
        <v>#REF!</v>
      </c>
      <c r="R662" s="87" t="e">
        <f t="shared" si="289"/>
        <v>#REF!</v>
      </c>
      <c r="S662" s="87" t="e">
        <f t="shared" si="275"/>
        <v>#REF!</v>
      </c>
      <c r="T662" s="87" t="e">
        <f t="shared" si="276"/>
        <v>#REF!</v>
      </c>
      <c r="U662" s="87" t="e">
        <f t="shared" si="277"/>
        <v>#REF!</v>
      </c>
      <c r="V662" s="87" t="e">
        <f t="shared" si="278"/>
        <v>#REF!</v>
      </c>
      <c r="W662" s="87" t="e">
        <f t="shared" si="279"/>
        <v>#REF!</v>
      </c>
      <c r="X662" s="87" t="e">
        <f t="shared" si="280"/>
        <v>#REF!</v>
      </c>
      <c r="Y662" s="87" t="e">
        <f t="shared" si="281"/>
        <v>#REF!</v>
      </c>
      <c r="Z662" s="87" t="e">
        <f t="shared" si="282"/>
        <v>#REF!</v>
      </c>
      <c r="AA662" s="40">
        <v>500</v>
      </c>
      <c r="AB662" s="89">
        <f>AA662*GDPdeflator!$C$25/$AI$18*10^3</f>
        <v>48.0747492686653</v>
      </c>
      <c r="AC662" s="90" t="e">
        <f>INDEX(AdditionalVehs!$E$46:$N$91,MATCH(C662,AdditionalVehs!$C$46:$C$91),MATCH(D662,AdditionalVehs!$E$45:$N$45))</f>
        <v>#REF!</v>
      </c>
      <c r="AD662" s="90" t="e">
        <f t="shared" si="287"/>
        <v>#REF!</v>
      </c>
      <c r="AE662" s="90" t="e">
        <f>INDEX(AdditionalVehs!$P$46:$Y$91,MATCH(C662,AdditionalVehs!$C$46:$C$91),MATCH(D662,AdditionalVehs!$AA$45:$AJ$45))</f>
        <v>#REF!</v>
      </c>
      <c r="AF662" s="90" t="e">
        <f t="shared" si="292"/>
        <v>#REF!</v>
      </c>
      <c r="AG662" s="90">
        <v>0</v>
      </c>
    </row>
    <row r="663" spans="1:33" x14ac:dyDescent="0.2">
      <c r="A663" s="92" t="s">
        <v>2159</v>
      </c>
      <c r="B663" s="248" t="s">
        <v>2160</v>
      </c>
      <c r="C663" s="40" t="s">
        <v>2156</v>
      </c>
      <c r="D663" s="40">
        <v>2020</v>
      </c>
      <c r="E663" s="86">
        <f>GDPdeflator!$C$32*INDEX(AdditionalVehs!$AA$46:$AK$91,MATCH($C663,AdditionalVehs!$C$46:$C$91,0),MATCH(E$7,AdditionalVehs!$AA$45:$AK$45,0))</f>
        <v>0</v>
      </c>
      <c r="F663" s="86" t="e">
        <f>GDPdeflator!$C$36*INDEX(AdditionalVehs!$AA$46:$AK$91,MATCH($C663,AdditionalVehs!$C$46:$C$91,0),MATCH(F$7,AdditionalVehs!$AA$45:$AK$45,0))</f>
        <v>#REF!</v>
      </c>
      <c r="G663" s="86" t="e">
        <f>GDPdeflator!$C$38*INDEX(AdditionalVehs!$AA$46:$AK$91,MATCH($C663,AdditionalVehs!$C$46:$C$91,0),MATCH(G$7,AdditionalVehs!$AA$45:$AK$45,0))</f>
        <v>#REF!</v>
      </c>
      <c r="H663" s="86" t="e">
        <f>GDPdeflator!$C$38*INDEX(AdditionalVehs!$AA$46:$AK$91,MATCH($C663,AdditionalVehs!$C$46:$C$91,0),MATCH(H$7,AdditionalVehs!$AA$45:$AK$45,0))</f>
        <v>#REF!</v>
      </c>
      <c r="I663" s="86" t="e">
        <f>GDPdeflator!$C$38*INDEX(AdditionalVehs!$AA$46:$AK$91,MATCH($C663,AdditionalVehs!$C$46:$C$91,0),MATCH(I$7,AdditionalVehs!$AA$45:$AK$45,0))</f>
        <v>#REF!</v>
      </c>
      <c r="J663" s="86" t="e">
        <f>GDPdeflator!$C$38*INDEX(AdditionalVehs!$AA$46:$AK$91,MATCH($C663,AdditionalVehs!$C$46:$C$91,0),MATCH(J$7,AdditionalVehs!$AA$45:$AK$45,0))</f>
        <v>#REF!</v>
      </c>
      <c r="K663" s="86" t="e">
        <f>GDPdeflator!$C$38*INDEX(AdditionalVehs!$AA$46:$AK$91,MATCH($C663,AdditionalVehs!$C$46:$C$91,0),MATCH(K$7,AdditionalVehs!$AA$45:$AK$45,0))</f>
        <v>#REF!</v>
      </c>
      <c r="L663" s="86" t="e">
        <f>GDPdeflator!$C$38*INDEX(AdditionalVehs!$AA$46:$AK$91,MATCH($C663,AdditionalVehs!$C$46:$C$91,0),MATCH(L$7,AdditionalVehs!$AA$45:$AK$45,0))</f>
        <v>#REF!</v>
      </c>
      <c r="M663" s="86" t="e">
        <f>GDPdeflator!$C$38*INDEX(AdditionalVehs!$AA$46:$AK$91,MATCH($C663,AdditionalVehs!$C$46:$C$91,0),MATCH(M$7,AdditionalVehs!$AA$45:$AK$45,0))</f>
        <v>#REF!</v>
      </c>
      <c r="N663" s="86" t="e">
        <f>GDPdeflator!$C$38*INDEX(AdditionalVehs!$AA$46:$AK$91,MATCH($C663,AdditionalVehs!$C$46:$C$91,0),MATCH(N$7,AdditionalVehs!$AA$45:$AK$45,0))</f>
        <v>#REF!</v>
      </c>
      <c r="O663" s="86" t="e">
        <f>GDPdeflator!$C$38*INDEX(AdditionalVehs!$AA$46:$AK$91,MATCH($C663,AdditionalVehs!$C$46:$C$91,0),MATCH(O$7,AdditionalVehs!$AA$45:$AK$45,0))</f>
        <v>#REF!</v>
      </c>
      <c r="P663" s="87">
        <f t="shared" si="293"/>
        <v>0</v>
      </c>
      <c r="Q663" s="87" t="e">
        <f t="shared" si="290"/>
        <v>#REF!</v>
      </c>
      <c r="R663" s="87" t="e">
        <f t="shared" si="289"/>
        <v>#REF!</v>
      </c>
      <c r="S663" s="87" t="e">
        <f t="shared" si="275"/>
        <v>#REF!</v>
      </c>
      <c r="T663" s="87" t="e">
        <f t="shared" si="276"/>
        <v>#REF!</v>
      </c>
      <c r="U663" s="87" t="e">
        <f t="shared" si="277"/>
        <v>#REF!</v>
      </c>
      <c r="V663" s="87" t="e">
        <f t="shared" si="278"/>
        <v>#REF!</v>
      </c>
      <c r="W663" s="87" t="e">
        <f t="shared" si="279"/>
        <v>#REF!</v>
      </c>
      <c r="X663" s="87" t="e">
        <f t="shared" si="280"/>
        <v>#REF!</v>
      </c>
      <c r="Y663" s="87" t="e">
        <f t="shared" si="281"/>
        <v>#REF!</v>
      </c>
      <c r="Z663" s="87" t="e">
        <f t="shared" si="282"/>
        <v>#REF!</v>
      </c>
      <c r="AA663" s="40">
        <v>500</v>
      </c>
      <c r="AB663" s="89">
        <f>AA663*GDPdeflator!$C$25/$AI$18*10^3</f>
        <v>48.0747492686653</v>
      </c>
      <c r="AC663" s="90" t="e">
        <f>INDEX(AdditionalVehs!$E$46:$N$91,MATCH(C663,AdditionalVehs!$C$46:$C$91),MATCH(D663,AdditionalVehs!$E$45:$N$45))</f>
        <v>#REF!</v>
      </c>
      <c r="AD663" s="90" t="e">
        <f t="shared" si="287"/>
        <v>#REF!</v>
      </c>
      <c r="AE663" s="90" t="e">
        <f>INDEX(AdditionalVehs!$P$46:$Y$91,MATCH(C663,AdditionalVehs!$C$46:$C$91),MATCH(D663,AdditionalVehs!$AA$45:$AJ$45))</f>
        <v>#REF!</v>
      </c>
      <c r="AF663" s="90" t="e">
        <f t="shared" si="292"/>
        <v>#REF!</v>
      </c>
      <c r="AG663" s="90">
        <v>0</v>
      </c>
    </row>
    <row r="664" spans="1:33" x14ac:dyDescent="0.2">
      <c r="A664" s="92" t="s">
        <v>2161</v>
      </c>
      <c r="B664" s="248" t="s">
        <v>2162</v>
      </c>
      <c r="C664" s="40" t="s">
        <v>2156</v>
      </c>
      <c r="D664" s="40">
        <v>2025</v>
      </c>
      <c r="E664" s="86">
        <f>GDPdeflator!$C$32*INDEX(AdditionalVehs!$AA$46:$AK$91,MATCH($C664,AdditionalVehs!$C$46:$C$91,0),MATCH(E$7,AdditionalVehs!$AA$45:$AK$45,0))</f>
        <v>0</v>
      </c>
      <c r="F664" s="86" t="e">
        <f>GDPdeflator!$C$36*INDEX(AdditionalVehs!$AA$46:$AK$91,MATCH($C664,AdditionalVehs!$C$46:$C$91,0),MATCH(F$7,AdditionalVehs!$AA$45:$AK$45,0))</f>
        <v>#REF!</v>
      </c>
      <c r="G664" s="86" t="e">
        <f>GDPdeflator!$C$38*INDEX(AdditionalVehs!$AA$46:$AK$91,MATCH($C664,AdditionalVehs!$C$46:$C$91,0),MATCH(G$7,AdditionalVehs!$AA$45:$AK$45,0))</f>
        <v>#REF!</v>
      </c>
      <c r="H664" s="86" t="e">
        <f>GDPdeflator!$C$38*INDEX(AdditionalVehs!$AA$46:$AK$91,MATCH($C664,AdditionalVehs!$C$46:$C$91,0),MATCH(H$7,AdditionalVehs!$AA$45:$AK$45,0))</f>
        <v>#REF!</v>
      </c>
      <c r="I664" s="86" t="e">
        <f>GDPdeflator!$C$38*INDEX(AdditionalVehs!$AA$46:$AK$91,MATCH($C664,AdditionalVehs!$C$46:$C$91,0),MATCH(I$7,AdditionalVehs!$AA$45:$AK$45,0))</f>
        <v>#REF!</v>
      </c>
      <c r="J664" s="86" t="e">
        <f>GDPdeflator!$C$38*INDEX(AdditionalVehs!$AA$46:$AK$91,MATCH($C664,AdditionalVehs!$C$46:$C$91,0),MATCH(J$7,AdditionalVehs!$AA$45:$AK$45,0))</f>
        <v>#REF!</v>
      </c>
      <c r="K664" s="86" t="e">
        <f>GDPdeflator!$C$38*INDEX(AdditionalVehs!$AA$46:$AK$91,MATCH($C664,AdditionalVehs!$C$46:$C$91,0),MATCH(K$7,AdditionalVehs!$AA$45:$AK$45,0))</f>
        <v>#REF!</v>
      </c>
      <c r="L664" s="86" t="e">
        <f>GDPdeflator!$C$38*INDEX(AdditionalVehs!$AA$46:$AK$91,MATCH($C664,AdditionalVehs!$C$46:$C$91,0),MATCH(L$7,AdditionalVehs!$AA$45:$AK$45,0))</f>
        <v>#REF!</v>
      </c>
      <c r="M664" s="86" t="e">
        <f>GDPdeflator!$C$38*INDEX(AdditionalVehs!$AA$46:$AK$91,MATCH($C664,AdditionalVehs!$C$46:$C$91,0),MATCH(M$7,AdditionalVehs!$AA$45:$AK$45,0))</f>
        <v>#REF!</v>
      </c>
      <c r="N664" s="86" t="e">
        <f>GDPdeflator!$C$38*INDEX(AdditionalVehs!$AA$46:$AK$91,MATCH($C664,AdditionalVehs!$C$46:$C$91,0),MATCH(N$7,AdditionalVehs!$AA$45:$AK$45,0))</f>
        <v>#REF!</v>
      </c>
      <c r="O664" s="86" t="e">
        <f>GDPdeflator!$C$38*INDEX(AdditionalVehs!$AA$46:$AK$91,MATCH($C664,AdditionalVehs!$C$46:$C$91,0),MATCH(O$7,AdditionalVehs!$AA$45:$AK$45,0))</f>
        <v>#REF!</v>
      </c>
      <c r="P664" s="87">
        <f t="shared" si="293"/>
        <v>0</v>
      </c>
      <c r="Q664" s="87" t="e">
        <f t="shared" si="290"/>
        <v>#REF!</v>
      </c>
      <c r="R664" s="87" t="e">
        <f t="shared" si="289"/>
        <v>#REF!</v>
      </c>
      <c r="S664" s="87" t="e">
        <f t="shared" si="275"/>
        <v>#REF!</v>
      </c>
      <c r="T664" s="87" t="e">
        <f t="shared" si="276"/>
        <v>#REF!</v>
      </c>
      <c r="U664" s="87" t="e">
        <f t="shared" si="277"/>
        <v>#REF!</v>
      </c>
      <c r="V664" s="87" t="e">
        <f t="shared" si="278"/>
        <v>#REF!</v>
      </c>
      <c r="W664" s="87" t="e">
        <f t="shared" si="279"/>
        <v>#REF!</v>
      </c>
      <c r="X664" s="87" t="e">
        <f t="shared" si="280"/>
        <v>#REF!</v>
      </c>
      <c r="Y664" s="87" t="e">
        <f t="shared" si="281"/>
        <v>#REF!</v>
      </c>
      <c r="Z664" s="87" t="e">
        <f t="shared" si="282"/>
        <v>#REF!</v>
      </c>
      <c r="AA664" s="40">
        <v>500</v>
      </c>
      <c r="AB664" s="89">
        <f>AA664*GDPdeflator!$C$25/$AI$18*10^3</f>
        <v>48.0747492686653</v>
      </c>
      <c r="AC664" s="90" t="e">
        <f>INDEX(AdditionalVehs!$E$46:$N$91,MATCH(C664,AdditionalVehs!$C$46:$C$91),MATCH(D664,AdditionalVehs!$E$45:$N$45))</f>
        <v>#REF!</v>
      </c>
      <c r="AD664" s="90" t="e">
        <f t="shared" si="287"/>
        <v>#REF!</v>
      </c>
      <c r="AE664" s="90" t="e">
        <f>INDEX(AdditionalVehs!$P$46:$Y$91,MATCH(C664,AdditionalVehs!$C$46:$C$91),MATCH(D664,AdditionalVehs!$AA$45:$AJ$45))</f>
        <v>#REF!</v>
      </c>
      <c r="AF664" s="90" t="e">
        <f t="shared" si="292"/>
        <v>#REF!</v>
      </c>
      <c r="AG664" s="90">
        <v>0</v>
      </c>
    </row>
    <row r="665" spans="1:33" x14ac:dyDescent="0.2">
      <c r="A665" s="92" t="s">
        <v>2163</v>
      </c>
      <c r="B665" s="248" t="s">
        <v>2164</v>
      </c>
      <c r="C665" s="40" t="s">
        <v>2156</v>
      </c>
      <c r="D665" s="40">
        <v>2030</v>
      </c>
      <c r="E665" s="86">
        <f>GDPdeflator!$C$32*INDEX(AdditionalVehs!$AA$46:$AK$91,MATCH($C665,AdditionalVehs!$C$46:$C$91,0),MATCH(E$7,AdditionalVehs!$AA$45:$AK$45,0))</f>
        <v>0</v>
      </c>
      <c r="F665" s="86" t="e">
        <f>GDPdeflator!$C$36*INDEX(AdditionalVehs!$AA$46:$AK$91,MATCH($C665,AdditionalVehs!$C$46:$C$91,0),MATCH(F$7,AdditionalVehs!$AA$45:$AK$45,0))</f>
        <v>#REF!</v>
      </c>
      <c r="G665" s="86" t="e">
        <f>GDPdeflator!$C$38*INDEX(AdditionalVehs!$AA$46:$AK$91,MATCH($C665,AdditionalVehs!$C$46:$C$91,0),MATCH(G$7,AdditionalVehs!$AA$45:$AK$45,0))</f>
        <v>#REF!</v>
      </c>
      <c r="H665" s="86" t="e">
        <f>GDPdeflator!$C$38*INDEX(AdditionalVehs!$AA$46:$AK$91,MATCH($C665,AdditionalVehs!$C$46:$C$91,0),MATCH(H$7,AdditionalVehs!$AA$45:$AK$45,0))</f>
        <v>#REF!</v>
      </c>
      <c r="I665" s="86" t="e">
        <f>GDPdeflator!$C$38*INDEX(AdditionalVehs!$AA$46:$AK$91,MATCH($C665,AdditionalVehs!$C$46:$C$91,0),MATCH(I$7,AdditionalVehs!$AA$45:$AK$45,0))</f>
        <v>#REF!</v>
      </c>
      <c r="J665" s="86" t="e">
        <f>GDPdeflator!$C$38*INDEX(AdditionalVehs!$AA$46:$AK$91,MATCH($C665,AdditionalVehs!$C$46:$C$91,0),MATCH(J$7,AdditionalVehs!$AA$45:$AK$45,0))</f>
        <v>#REF!</v>
      </c>
      <c r="K665" s="86" t="e">
        <f>GDPdeflator!$C$38*INDEX(AdditionalVehs!$AA$46:$AK$91,MATCH($C665,AdditionalVehs!$C$46:$C$91,0),MATCH(K$7,AdditionalVehs!$AA$45:$AK$45,0))</f>
        <v>#REF!</v>
      </c>
      <c r="L665" s="86" t="e">
        <f>GDPdeflator!$C$38*INDEX(AdditionalVehs!$AA$46:$AK$91,MATCH($C665,AdditionalVehs!$C$46:$C$91,0),MATCH(L$7,AdditionalVehs!$AA$45:$AK$45,0))</f>
        <v>#REF!</v>
      </c>
      <c r="M665" s="86" t="e">
        <f>GDPdeflator!$C$38*INDEX(AdditionalVehs!$AA$46:$AK$91,MATCH($C665,AdditionalVehs!$C$46:$C$91,0),MATCH(M$7,AdditionalVehs!$AA$45:$AK$45,0))</f>
        <v>#REF!</v>
      </c>
      <c r="N665" s="86" t="e">
        <f>GDPdeflator!$C$38*INDEX(AdditionalVehs!$AA$46:$AK$91,MATCH($C665,AdditionalVehs!$C$46:$C$91,0),MATCH(N$7,AdditionalVehs!$AA$45:$AK$45,0))</f>
        <v>#REF!</v>
      </c>
      <c r="O665" s="86" t="e">
        <f>GDPdeflator!$C$38*INDEX(AdditionalVehs!$AA$46:$AK$91,MATCH($C665,AdditionalVehs!$C$46:$C$91,0),MATCH(O$7,AdditionalVehs!$AA$45:$AK$45,0))</f>
        <v>#REF!</v>
      </c>
      <c r="P665" s="87">
        <f t="shared" si="293"/>
        <v>0</v>
      </c>
      <c r="Q665" s="87" t="e">
        <f t="shared" si="290"/>
        <v>#REF!</v>
      </c>
      <c r="R665" s="87" t="e">
        <f t="shared" si="289"/>
        <v>#REF!</v>
      </c>
      <c r="S665" s="87" t="e">
        <f t="shared" si="275"/>
        <v>#REF!</v>
      </c>
      <c r="T665" s="87" t="e">
        <f t="shared" si="276"/>
        <v>#REF!</v>
      </c>
      <c r="U665" s="87" t="e">
        <f t="shared" si="277"/>
        <v>#REF!</v>
      </c>
      <c r="V665" s="87" t="e">
        <f t="shared" si="278"/>
        <v>#REF!</v>
      </c>
      <c r="W665" s="87" t="e">
        <f t="shared" si="279"/>
        <v>#REF!</v>
      </c>
      <c r="X665" s="87" t="e">
        <f t="shared" si="280"/>
        <v>#REF!</v>
      </c>
      <c r="Y665" s="87" t="e">
        <f t="shared" si="281"/>
        <v>#REF!</v>
      </c>
      <c r="Z665" s="87" t="e">
        <f t="shared" si="282"/>
        <v>#REF!</v>
      </c>
      <c r="AA665" s="40">
        <v>500</v>
      </c>
      <c r="AB665" s="89">
        <f>AA665*GDPdeflator!$C$25/$AI$18*10^3</f>
        <v>48.0747492686653</v>
      </c>
      <c r="AC665" s="90" t="e">
        <f>INDEX(AdditionalVehs!$E$46:$N$91,MATCH(C665,AdditionalVehs!$C$46:$C$91),MATCH(D665,AdditionalVehs!$E$45:$N$45))</f>
        <v>#REF!</v>
      </c>
      <c r="AD665" s="90" t="e">
        <f t="shared" si="287"/>
        <v>#REF!</v>
      </c>
      <c r="AE665" s="90" t="e">
        <f>INDEX(AdditionalVehs!$P$46:$Y$91,MATCH(C665,AdditionalVehs!$C$46:$C$91),MATCH(D665,AdditionalVehs!$AA$45:$AJ$45))</f>
        <v>#REF!</v>
      </c>
      <c r="AF665" s="90" t="e">
        <f t="shared" si="292"/>
        <v>#REF!</v>
      </c>
      <c r="AG665" s="90">
        <v>0</v>
      </c>
    </row>
    <row r="666" spans="1:33" x14ac:dyDescent="0.2">
      <c r="A666" s="92" t="s">
        <v>2165</v>
      </c>
      <c r="B666" s="248" t="s">
        <v>2166</v>
      </c>
      <c r="C666" s="40" t="s">
        <v>2156</v>
      </c>
      <c r="D666" s="40">
        <v>2035</v>
      </c>
      <c r="E666" s="86">
        <f>GDPdeflator!$C$32*INDEX(AdditionalVehs!$AA$46:$AK$91,MATCH($C666,AdditionalVehs!$C$46:$C$91,0),MATCH(E$7,AdditionalVehs!$AA$45:$AK$45,0))</f>
        <v>0</v>
      </c>
      <c r="F666" s="86" t="e">
        <f>GDPdeflator!$C$36*INDEX(AdditionalVehs!$AA$46:$AK$91,MATCH($C666,AdditionalVehs!$C$46:$C$91,0),MATCH(F$7,AdditionalVehs!$AA$45:$AK$45,0))</f>
        <v>#REF!</v>
      </c>
      <c r="G666" s="86" t="e">
        <f>GDPdeflator!$C$38*INDEX(AdditionalVehs!$AA$46:$AK$91,MATCH($C666,AdditionalVehs!$C$46:$C$91,0),MATCH(G$7,AdditionalVehs!$AA$45:$AK$45,0))</f>
        <v>#REF!</v>
      </c>
      <c r="H666" s="86" t="e">
        <f>GDPdeflator!$C$38*INDEX(AdditionalVehs!$AA$46:$AK$91,MATCH($C666,AdditionalVehs!$C$46:$C$91,0),MATCH(H$7,AdditionalVehs!$AA$45:$AK$45,0))</f>
        <v>#REF!</v>
      </c>
      <c r="I666" s="86" t="e">
        <f>GDPdeflator!$C$38*INDEX(AdditionalVehs!$AA$46:$AK$91,MATCH($C666,AdditionalVehs!$C$46:$C$91,0),MATCH(I$7,AdditionalVehs!$AA$45:$AK$45,0))</f>
        <v>#REF!</v>
      </c>
      <c r="J666" s="86" t="e">
        <f>GDPdeflator!$C$38*INDEX(AdditionalVehs!$AA$46:$AK$91,MATCH($C666,AdditionalVehs!$C$46:$C$91,0),MATCH(J$7,AdditionalVehs!$AA$45:$AK$45,0))</f>
        <v>#REF!</v>
      </c>
      <c r="K666" s="86" t="e">
        <f>GDPdeflator!$C$38*INDEX(AdditionalVehs!$AA$46:$AK$91,MATCH($C666,AdditionalVehs!$C$46:$C$91,0),MATCH(K$7,AdditionalVehs!$AA$45:$AK$45,0))</f>
        <v>#REF!</v>
      </c>
      <c r="L666" s="86" t="e">
        <f>GDPdeflator!$C$38*INDEX(AdditionalVehs!$AA$46:$AK$91,MATCH($C666,AdditionalVehs!$C$46:$C$91,0),MATCH(L$7,AdditionalVehs!$AA$45:$AK$45,0))</f>
        <v>#REF!</v>
      </c>
      <c r="M666" s="86" t="e">
        <f>GDPdeflator!$C$38*INDEX(AdditionalVehs!$AA$46:$AK$91,MATCH($C666,AdditionalVehs!$C$46:$C$91,0),MATCH(M$7,AdditionalVehs!$AA$45:$AK$45,0))</f>
        <v>#REF!</v>
      </c>
      <c r="N666" s="86" t="e">
        <f>GDPdeflator!$C$38*INDEX(AdditionalVehs!$AA$46:$AK$91,MATCH($C666,AdditionalVehs!$C$46:$C$91,0),MATCH(N$7,AdditionalVehs!$AA$45:$AK$45,0))</f>
        <v>#REF!</v>
      </c>
      <c r="O666" s="86" t="e">
        <f>GDPdeflator!$C$38*INDEX(AdditionalVehs!$AA$46:$AK$91,MATCH($C666,AdditionalVehs!$C$46:$C$91,0),MATCH(O$7,AdditionalVehs!$AA$45:$AK$45,0))</f>
        <v>#REF!</v>
      </c>
      <c r="P666" s="87">
        <f t="shared" si="293"/>
        <v>0</v>
      </c>
      <c r="Q666" s="87" t="e">
        <f t="shared" si="290"/>
        <v>#REF!</v>
      </c>
      <c r="R666" s="87" t="e">
        <f t="shared" si="289"/>
        <v>#REF!</v>
      </c>
      <c r="S666" s="87" t="e">
        <f t="shared" si="275"/>
        <v>#REF!</v>
      </c>
      <c r="T666" s="87" t="e">
        <f t="shared" si="276"/>
        <v>#REF!</v>
      </c>
      <c r="U666" s="87" t="e">
        <f t="shared" si="277"/>
        <v>#REF!</v>
      </c>
      <c r="V666" s="87" t="e">
        <f t="shared" si="278"/>
        <v>#REF!</v>
      </c>
      <c r="W666" s="87" t="e">
        <f t="shared" si="279"/>
        <v>#REF!</v>
      </c>
      <c r="X666" s="87" t="e">
        <f t="shared" si="280"/>
        <v>#REF!</v>
      </c>
      <c r="Y666" s="87" t="e">
        <f t="shared" si="281"/>
        <v>#REF!</v>
      </c>
      <c r="Z666" s="87" t="e">
        <f t="shared" si="282"/>
        <v>#REF!</v>
      </c>
      <c r="AA666" s="40">
        <v>500</v>
      </c>
      <c r="AB666" s="89">
        <f>AA666*GDPdeflator!$C$25/$AI$18*10^3</f>
        <v>48.0747492686653</v>
      </c>
      <c r="AC666" s="90" t="e">
        <f>INDEX(AdditionalVehs!$E$46:$N$91,MATCH(C666,AdditionalVehs!$C$46:$C$91),MATCH(D666,AdditionalVehs!$E$45:$N$45))</f>
        <v>#REF!</v>
      </c>
      <c r="AD666" s="90" t="e">
        <f t="shared" si="287"/>
        <v>#REF!</v>
      </c>
      <c r="AE666" s="90" t="e">
        <f>INDEX(AdditionalVehs!$P$46:$Y$91,MATCH(C666,AdditionalVehs!$C$46:$C$91),MATCH(D666,AdditionalVehs!$AA$45:$AJ$45))</f>
        <v>#REF!</v>
      </c>
      <c r="AF666" s="90" t="e">
        <f t="shared" si="292"/>
        <v>#REF!</v>
      </c>
      <c r="AG666" s="90">
        <v>0</v>
      </c>
    </row>
    <row r="667" spans="1:33" x14ac:dyDescent="0.2">
      <c r="A667" s="92" t="s">
        <v>2167</v>
      </c>
      <c r="B667" s="248" t="s">
        <v>2168</v>
      </c>
      <c r="C667" s="40" t="s">
        <v>2156</v>
      </c>
      <c r="D667" s="40">
        <v>2040</v>
      </c>
      <c r="E667" s="86">
        <f>GDPdeflator!$C$32*INDEX(AdditionalVehs!$AA$46:$AK$91,MATCH($C667,AdditionalVehs!$C$46:$C$91,0),MATCH(E$7,AdditionalVehs!$AA$45:$AK$45,0))</f>
        <v>0</v>
      </c>
      <c r="F667" s="86" t="e">
        <f>GDPdeflator!$C$36*INDEX(AdditionalVehs!$AA$46:$AK$91,MATCH($C667,AdditionalVehs!$C$46:$C$91,0),MATCH(F$7,AdditionalVehs!$AA$45:$AK$45,0))</f>
        <v>#REF!</v>
      </c>
      <c r="G667" s="86" t="e">
        <f>GDPdeflator!$C$38*INDEX(AdditionalVehs!$AA$46:$AK$91,MATCH($C667,AdditionalVehs!$C$46:$C$91,0),MATCH(G$7,AdditionalVehs!$AA$45:$AK$45,0))</f>
        <v>#REF!</v>
      </c>
      <c r="H667" s="86" t="e">
        <f>GDPdeflator!$C$38*INDEX(AdditionalVehs!$AA$46:$AK$91,MATCH($C667,AdditionalVehs!$C$46:$C$91,0),MATCH(H$7,AdditionalVehs!$AA$45:$AK$45,0))</f>
        <v>#REF!</v>
      </c>
      <c r="I667" s="86" t="e">
        <f>GDPdeflator!$C$38*INDEX(AdditionalVehs!$AA$46:$AK$91,MATCH($C667,AdditionalVehs!$C$46:$C$91,0),MATCH(I$7,AdditionalVehs!$AA$45:$AK$45,0))</f>
        <v>#REF!</v>
      </c>
      <c r="J667" s="86" t="e">
        <f>GDPdeflator!$C$38*INDEX(AdditionalVehs!$AA$46:$AK$91,MATCH($C667,AdditionalVehs!$C$46:$C$91,0),MATCH(J$7,AdditionalVehs!$AA$45:$AK$45,0))</f>
        <v>#REF!</v>
      </c>
      <c r="K667" s="86" t="e">
        <f>GDPdeflator!$C$38*INDEX(AdditionalVehs!$AA$46:$AK$91,MATCH($C667,AdditionalVehs!$C$46:$C$91,0),MATCH(K$7,AdditionalVehs!$AA$45:$AK$45,0))</f>
        <v>#REF!</v>
      </c>
      <c r="L667" s="86" t="e">
        <f>GDPdeflator!$C$38*INDEX(AdditionalVehs!$AA$46:$AK$91,MATCH($C667,AdditionalVehs!$C$46:$C$91,0),MATCH(L$7,AdditionalVehs!$AA$45:$AK$45,0))</f>
        <v>#REF!</v>
      </c>
      <c r="M667" s="86" t="e">
        <f>GDPdeflator!$C$38*INDEX(AdditionalVehs!$AA$46:$AK$91,MATCH($C667,AdditionalVehs!$C$46:$C$91,0),MATCH(M$7,AdditionalVehs!$AA$45:$AK$45,0))</f>
        <v>#REF!</v>
      </c>
      <c r="N667" s="86" t="e">
        <f>GDPdeflator!$C$38*INDEX(AdditionalVehs!$AA$46:$AK$91,MATCH($C667,AdditionalVehs!$C$46:$C$91,0),MATCH(N$7,AdditionalVehs!$AA$45:$AK$45,0))</f>
        <v>#REF!</v>
      </c>
      <c r="O667" s="86" t="e">
        <f>GDPdeflator!$C$38*INDEX(AdditionalVehs!$AA$46:$AK$91,MATCH($C667,AdditionalVehs!$C$46:$C$91,0),MATCH(O$7,AdditionalVehs!$AA$45:$AK$45,0))</f>
        <v>#REF!</v>
      </c>
      <c r="P667" s="87">
        <f t="shared" si="293"/>
        <v>0</v>
      </c>
      <c r="Q667" s="87" t="e">
        <f t="shared" si="290"/>
        <v>#REF!</v>
      </c>
      <c r="R667" s="87" t="e">
        <f t="shared" si="289"/>
        <v>#REF!</v>
      </c>
      <c r="S667" s="87" t="e">
        <f t="shared" si="275"/>
        <v>#REF!</v>
      </c>
      <c r="T667" s="87" t="e">
        <f t="shared" si="276"/>
        <v>#REF!</v>
      </c>
      <c r="U667" s="87" t="e">
        <f t="shared" si="277"/>
        <v>#REF!</v>
      </c>
      <c r="V667" s="87" t="e">
        <f t="shared" si="278"/>
        <v>#REF!</v>
      </c>
      <c r="W667" s="87" t="e">
        <f t="shared" si="279"/>
        <v>#REF!</v>
      </c>
      <c r="X667" s="87" t="e">
        <f t="shared" si="280"/>
        <v>#REF!</v>
      </c>
      <c r="Y667" s="87" t="e">
        <f t="shared" si="281"/>
        <v>#REF!</v>
      </c>
      <c r="Z667" s="87" t="e">
        <f t="shared" si="282"/>
        <v>#REF!</v>
      </c>
      <c r="AA667" s="40">
        <v>500</v>
      </c>
      <c r="AB667" s="89">
        <f>AA667*GDPdeflator!$C$25/$AI$18*10^3</f>
        <v>48.0747492686653</v>
      </c>
      <c r="AC667" s="90" t="e">
        <f>INDEX(AdditionalVehs!$E$46:$N$91,MATCH(C667,AdditionalVehs!$C$46:$C$91),MATCH(D667,AdditionalVehs!$E$45:$N$45))</f>
        <v>#REF!</v>
      </c>
      <c r="AD667" s="90" t="e">
        <f t="shared" si="287"/>
        <v>#REF!</v>
      </c>
      <c r="AE667" s="90" t="e">
        <f>INDEX(AdditionalVehs!$P$46:$Y$91,MATCH(C667,AdditionalVehs!$C$46:$C$91),MATCH(D667,AdditionalVehs!$AA$45:$AJ$45))</f>
        <v>#REF!</v>
      </c>
      <c r="AF667" s="90" t="e">
        <f t="shared" si="292"/>
        <v>#REF!</v>
      </c>
      <c r="AG667" s="90">
        <v>0</v>
      </c>
    </row>
    <row r="668" spans="1:33" x14ac:dyDescent="0.2">
      <c r="A668" s="92" t="s">
        <v>2169</v>
      </c>
      <c r="B668" s="248" t="s">
        <v>2170</v>
      </c>
      <c r="C668" s="40" t="s">
        <v>2156</v>
      </c>
      <c r="D668" s="40">
        <v>2045</v>
      </c>
      <c r="E668" s="86">
        <f>GDPdeflator!$C$32*INDEX(AdditionalVehs!$AA$46:$AK$91,MATCH($C668,AdditionalVehs!$C$46:$C$91,0),MATCH(E$7,AdditionalVehs!$AA$45:$AK$45,0))</f>
        <v>0</v>
      </c>
      <c r="F668" s="86" t="e">
        <f>GDPdeflator!$C$36*INDEX(AdditionalVehs!$AA$46:$AK$91,MATCH($C668,AdditionalVehs!$C$46:$C$91,0),MATCH(F$7,AdditionalVehs!$AA$45:$AK$45,0))</f>
        <v>#REF!</v>
      </c>
      <c r="G668" s="86" t="e">
        <f>GDPdeflator!$C$38*INDEX(AdditionalVehs!$AA$46:$AK$91,MATCH($C668,AdditionalVehs!$C$46:$C$91,0),MATCH(G$7,AdditionalVehs!$AA$45:$AK$45,0))</f>
        <v>#REF!</v>
      </c>
      <c r="H668" s="86" t="e">
        <f>GDPdeflator!$C$38*INDEX(AdditionalVehs!$AA$46:$AK$91,MATCH($C668,AdditionalVehs!$C$46:$C$91,0),MATCH(H$7,AdditionalVehs!$AA$45:$AK$45,0))</f>
        <v>#REF!</v>
      </c>
      <c r="I668" s="86" t="e">
        <f>GDPdeflator!$C$38*INDEX(AdditionalVehs!$AA$46:$AK$91,MATCH($C668,AdditionalVehs!$C$46:$C$91,0),MATCH(I$7,AdditionalVehs!$AA$45:$AK$45,0))</f>
        <v>#REF!</v>
      </c>
      <c r="J668" s="86" t="e">
        <f>GDPdeflator!$C$38*INDEX(AdditionalVehs!$AA$46:$AK$91,MATCH($C668,AdditionalVehs!$C$46:$C$91,0),MATCH(J$7,AdditionalVehs!$AA$45:$AK$45,0))</f>
        <v>#REF!</v>
      </c>
      <c r="K668" s="86" t="e">
        <f>GDPdeflator!$C$38*INDEX(AdditionalVehs!$AA$46:$AK$91,MATCH($C668,AdditionalVehs!$C$46:$C$91,0),MATCH(K$7,AdditionalVehs!$AA$45:$AK$45,0))</f>
        <v>#REF!</v>
      </c>
      <c r="L668" s="86" t="e">
        <f>GDPdeflator!$C$38*INDEX(AdditionalVehs!$AA$46:$AK$91,MATCH($C668,AdditionalVehs!$C$46:$C$91,0),MATCH(L$7,AdditionalVehs!$AA$45:$AK$45,0))</f>
        <v>#REF!</v>
      </c>
      <c r="M668" s="86" t="e">
        <f>GDPdeflator!$C$38*INDEX(AdditionalVehs!$AA$46:$AK$91,MATCH($C668,AdditionalVehs!$C$46:$C$91,0),MATCH(M$7,AdditionalVehs!$AA$45:$AK$45,0))</f>
        <v>#REF!</v>
      </c>
      <c r="N668" s="86" t="e">
        <f>GDPdeflator!$C$38*INDEX(AdditionalVehs!$AA$46:$AK$91,MATCH($C668,AdditionalVehs!$C$46:$C$91,0),MATCH(N$7,AdditionalVehs!$AA$45:$AK$45,0))</f>
        <v>#REF!</v>
      </c>
      <c r="O668" s="86" t="e">
        <f>GDPdeflator!$C$38*INDEX(AdditionalVehs!$AA$46:$AK$91,MATCH($C668,AdditionalVehs!$C$46:$C$91,0),MATCH(O$7,AdditionalVehs!$AA$45:$AK$45,0))</f>
        <v>#REF!</v>
      </c>
      <c r="P668" s="87">
        <f t="shared" si="293"/>
        <v>0</v>
      </c>
      <c r="Q668" s="87" t="e">
        <f t="shared" si="290"/>
        <v>#REF!</v>
      </c>
      <c r="R668" s="87" t="e">
        <f t="shared" si="289"/>
        <v>#REF!</v>
      </c>
      <c r="S668" s="87" t="e">
        <f t="shared" si="275"/>
        <v>#REF!</v>
      </c>
      <c r="T668" s="87" t="e">
        <f t="shared" si="276"/>
        <v>#REF!</v>
      </c>
      <c r="U668" s="87" t="e">
        <f t="shared" si="277"/>
        <v>#REF!</v>
      </c>
      <c r="V668" s="87" t="e">
        <f t="shared" si="278"/>
        <v>#REF!</v>
      </c>
      <c r="W668" s="87" t="e">
        <f t="shared" si="279"/>
        <v>#REF!</v>
      </c>
      <c r="X668" s="87" t="e">
        <f t="shared" si="280"/>
        <v>#REF!</v>
      </c>
      <c r="Y668" s="87" t="e">
        <f t="shared" si="281"/>
        <v>#REF!</v>
      </c>
      <c r="Z668" s="87" t="e">
        <f t="shared" si="282"/>
        <v>#REF!</v>
      </c>
      <c r="AA668" s="40">
        <v>500</v>
      </c>
      <c r="AB668" s="89">
        <f>AA668*GDPdeflator!$C$25/$AI$18*10^3</f>
        <v>48.0747492686653</v>
      </c>
      <c r="AC668" s="90" t="e">
        <f>INDEX(AdditionalVehs!$E$46:$N$91,MATCH(C668,AdditionalVehs!$C$46:$C$91),MATCH(D668,AdditionalVehs!$E$45:$N$45))</f>
        <v>#REF!</v>
      </c>
      <c r="AD668" s="90" t="e">
        <f t="shared" si="287"/>
        <v>#REF!</v>
      </c>
      <c r="AE668" s="90" t="e">
        <f>INDEX(AdditionalVehs!$P$46:$Y$91,MATCH(C668,AdditionalVehs!$C$46:$C$91),MATCH(D668,AdditionalVehs!$AA$45:$AJ$45))</f>
        <v>#REF!</v>
      </c>
      <c r="AF668" s="90" t="e">
        <f t="shared" si="292"/>
        <v>#REF!</v>
      </c>
      <c r="AG668" s="90">
        <v>0</v>
      </c>
    </row>
    <row r="669" spans="1:33" x14ac:dyDescent="0.2">
      <c r="A669" s="92" t="s">
        <v>2171</v>
      </c>
      <c r="B669" s="248" t="s">
        <v>2172</v>
      </c>
      <c r="C669" s="40" t="s">
        <v>2156</v>
      </c>
      <c r="D669" s="40">
        <v>2050</v>
      </c>
      <c r="E669" s="86">
        <f>GDPdeflator!$C$32*INDEX(AdditionalVehs!$AA$46:$AK$91,MATCH($C669,AdditionalVehs!$C$46:$C$91,0),MATCH(E$7,AdditionalVehs!$AA$45:$AK$45,0))</f>
        <v>0</v>
      </c>
      <c r="F669" s="86" t="e">
        <f>GDPdeflator!$C$36*INDEX(AdditionalVehs!$AA$46:$AK$91,MATCH($C669,AdditionalVehs!$C$46:$C$91,0),MATCH(F$7,AdditionalVehs!$AA$45:$AK$45,0))</f>
        <v>#REF!</v>
      </c>
      <c r="G669" s="86" t="e">
        <f>GDPdeflator!$C$38*INDEX(AdditionalVehs!$AA$46:$AK$91,MATCH($C669,AdditionalVehs!$C$46:$C$91,0),MATCH(G$7,AdditionalVehs!$AA$45:$AK$45,0))</f>
        <v>#REF!</v>
      </c>
      <c r="H669" s="86" t="e">
        <f>GDPdeflator!$C$38*INDEX(AdditionalVehs!$AA$46:$AK$91,MATCH($C669,AdditionalVehs!$C$46:$C$91,0),MATCH(H$7,AdditionalVehs!$AA$45:$AK$45,0))</f>
        <v>#REF!</v>
      </c>
      <c r="I669" s="86" t="e">
        <f>GDPdeflator!$C$38*INDEX(AdditionalVehs!$AA$46:$AK$91,MATCH($C669,AdditionalVehs!$C$46:$C$91,0),MATCH(I$7,AdditionalVehs!$AA$45:$AK$45,0))</f>
        <v>#REF!</v>
      </c>
      <c r="J669" s="86" t="e">
        <f>GDPdeflator!$C$38*INDEX(AdditionalVehs!$AA$46:$AK$91,MATCH($C669,AdditionalVehs!$C$46:$C$91,0),MATCH(J$7,AdditionalVehs!$AA$45:$AK$45,0))</f>
        <v>#REF!</v>
      </c>
      <c r="K669" s="86" t="e">
        <f>GDPdeflator!$C$38*INDEX(AdditionalVehs!$AA$46:$AK$91,MATCH($C669,AdditionalVehs!$C$46:$C$91,0),MATCH(K$7,AdditionalVehs!$AA$45:$AK$45,0))</f>
        <v>#REF!</v>
      </c>
      <c r="L669" s="86" t="e">
        <f>GDPdeflator!$C$38*INDEX(AdditionalVehs!$AA$46:$AK$91,MATCH($C669,AdditionalVehs!$C$46:$C$91,0),MATCH(L$7,AdditionalVehs!$AA$45:$AK$45,0))</f>
        <v>#REF!</v>
      </c>
      <c r="M669" s="86" t="e">
        <f>GDPdeflator!$C$38*INDEX(AdditionalVehs!$AA$46:$AK$91,MATCH($C669,AdditionalVehs!$C$46:$C$91,0),MATCH(M$7,AdditionalVehs!$AA$45:$AK$45,0))</f>
        <v>#REF!</v>
      </c>
      <c r="N669" s="86" t="e">
        <f>GDPdeflator!$C$38*INDEX(AdditionalVehs!$AA$46:$AK$91,MATCH($C669,AdditionalVehs!$C$46:$C$91,0),MATCH(N$7,AdditionalVehs!$AA$45:$AK$45,0))</f>
        <v>#REF!</v>
      </c>
      <c r="O669" s="86" t="e">
        <f>GDPdeflator!$C$38*INDEX(AdditionalVehs!$AA$46:$AK$91,MATCH($C669,AdditionalVehs!$C$46:$C$91,0),MATCH(O$7,AdditionalVehs!$AA$45:$AK$45,0))</f>
        <v>#REF!</v>
      </c>
      <c r="P669" s="87">
        <f t="shared" si="293"/>
        <v>0</v>
      </c>
      <c r="Q669" s="87" t="e">
        <f t="shared" si="290"/>
        <v>#REF!</v>
      </c>
      <c r="R669" s="87" t="e">
        <f t="shared" si="289"/>
        <v>#REF!</v>
      </c>
      <c r="S669" s="87" t="e">
        <f t="shared" si="275"/>
        <v>#REF!</v>
      </c>
      <c r="T669" s="87" t="e">
        <f t="shared" si="276"/>
        <v>#REF!</v>
      </c>
      <c r="U669" s="87" t="e">
        <f t="shared" si="277"/>
        <v>#REF!</v>
      </c>
      <c r="V669" s="87" t="e">
        <f t="shared" si="278"/>
        <v>#REF!</v>
      </c>
      <c r="W669" s="87" t="e">
        <f t="shared" si="279"/>
        <v>#REF!</v>
      </c>
      <c r="X669" s="87" t="e">
        <f t="shared" si="280"/>
        <v>#REF!</v>
      </c>
      <c r="Y669" s="87" t="e">
        <f t="shared" si="281"/>
        <v>#REF!</v>
      </c>
      <c r="Z669" s="87" t="e">
        <f t="shared" si="282"/>
        <v>#REF!</v>
      </c>
      <c r="AA669" s="40">
        <v>500</v>
      </c>
      <c r="AB669" s="89">
        <f>AA669*GDPdeflator!$C$25/$AI$18*10^3</f>
        <v>48.0747492686653</v>
      </c>
      <c r="AC669" s="90" t="e">
        <f>INDEX(AdditionalVehs!$E$46:$N$91,MATCH(C669,AdditionalVehs!$C$46:$C$91),MATCH(D669,AdditionalVehs!$E$45:$N$45))</f>
        <v>#REF!</v>
      </c>
      <c r="AD669" s="90" t="e">
        <f t="shared" si="287"/>
        <v>#REF!</v>
      </c>
      <c r="AE669" s="90" t="e">
        <f>INDEX(AdditionalVehs!$P$46:$Y$91,MATCH(C669,AdditionalVehs!$C$46:$C$91),MATCH(D669,AdditionalVehs!$AA$45:$AJ$45))</f>
        <v>#REF!</v>
      </c>
      <c r="AF669" s="90" t="e">
        <f t="shared" si="292"/>
        <v>#REF!</v>
      </c>
      <c r="AG669" s="90">
        <v>0</v>
      </c>
    </row>
    <row r="670" spans="1:33" x14ac:dyDescent="0.2">
      <c r="A670" s="92" t="s">
        <v>2173</v>
      </c>
      <c r="B670" s="248" t="s">
        <v>2174</v>
      </c>
      <c r="C670" s="40" t="s">
        <v>2175</v>
      </c>
      <c r="D670" s="40">
        <v>2010</v>
      </c>
      <c r="E670" s="86">
        <f>GDPdeflator!$C$32*INDEX(AdditionalVehs!$AA$46:$AK$91,MATCH($C670,AdditionalVehs!$C$46:$C$91,0),MATCH(E$7,AdditionalVehs!$AA$45:$AK$45,0))</f>
        <v>0</v>
      </c>
      <c r="F670" s="86" t="e">
        <f>GDPdeflator!$C$36*INDEX(AdditionalVehs!$AA$46:$AK$91,MATCH($C670,AdditionalVehs!$C$46:$C$91,0),MATCH(F$7,AdditionalVehs!$AA$45:$AK$45,0))</f>
        <v>#REF!</v>
      </c>
      <c r="G670" s="86" t="e">
        <f>GDPdeflator!$C$38*INDEX(AdditionalVehs!$AA$46:$AK$91,MATCH($C670,AdditionalVehs!$C$46:$C$91,0),MATCH(G$7,AdditionalVehs!$AA$45:$AK$45,0))</f>
        <v>#REF!</v>
      </c>
      <c r="H670" s="86" t="e">
        <f>GDPdeflator!$C$38*INDEX(AdditionalVehs!$AA$46:$AK$91,MATCH($C670,AdditionalVehs!$C$46:$C$91,0),MATCH(H$7,AdditionalVehs!$AA$45:$AK$45,0))</f>
        <v>#REF!</v>
      </c>
      <c r="I670" s="86" t="e">
        <f>GDPdeflator!$C$38*INDEX(AdditionalVehs!$AA$46:$AK$91,MATCH($C670,AdditionalVehs!$C$46:$C$91,0),MATCH(I$7,AdditionalVehs!$AA$45:$AK$45,0))</f>
        <v>#REF!</v>
      </c>
      <c r="J670" s="86" t="e">
        <f>GDPdeflator!$C$38*INDEX(AdditionalVehs!$AA$46:$AK$91,MATCH($C670,AdditionalVehs!$C$46:$C$91,0),MATCH(J$7,AdditionalVehs!$AA$45:$AK$45,0))</f>
        <v>#REF!</v>
      </c>
      <c r="K670" s="86" t="e">
        <f>GDPdeflator!$C$38*INDEX(AdditionalVehs!$AA$46:$AK$91,MATCH($C670,AdditionalVehs!$C$46:$C$91,0),MATCH(K$7,AdditionalVehs!$AA$45:$AK$45,0))</f>
        <v>#REF!</v>
      </c>
      <c r="L670" s="86" t="e">
        <f>GDPdeflator!$C$38*INDEX(AdditionalVehs!$AA$46:$AK$91,MATCH($C670,AdditionalVehs!$C$46:$C$91,0),MATCH(L$7,AdditionalVehs!$AA$45:$AK$45,0))</f>
        <v>#REF!</v>
      </c>
      <c r="M670" s="86" t="e">
        <f>GDPdeflator!$C$38*INDEX(AdditionalVehs!$AA$46:$AK$91,MATCH($C670,AdditionalVehs!$C$46:$C$91,0),MATCH(M$7,AdditionalVehs!$AA$45:$AK$45,0))</f>
        <v>#REF!</v>
      </c>
      <c r="N670" s="86" t="e">
        <f>GDPdeflator!$C$38*INDEX(AdditionalVehs!$AA$46:$AK$91,MATCH($C670,AdditionalVehs!$C$46:$C$91,0),MATCH(N$7,AdditionalVehs!$AA$45:$AK$45,0))</f>
        <v>#REF!</v>
      </c>
      <c r="O670" s="86" t="e">
        <f>GDPdeflator!$C$38*INDEX(AdditionalVehs!$AA$46:$AK$91,MATCH($C670,AdditionalVehs!$C$46:$C$91,0),MATCH(O$7,AdditionalVehs!$AA$45:$AK$45,0))</f>
        <v>#REF!</v>
      </c>
      <c r="P670" s="87">
        <f>E670/$AI$18*10^6</f>
        <v>0</v>
      </c>
      <c r="Q670" s="87" t="e">
        <f t="shared" si="290"/>
        <v>#REF!</v>
      </c>
      <c r="R670" s="87" t="e">
        <f t="shared" si="289"/>
        <v>#REF!</v>
      </c>
      <c r="S670" s="87" t="e">
        <f t="shared" si="275"/>
        <v>#REF!</v>
      </c>
      <c r="T670" s="87" t="e">
        <f t="shared" si="276"/>
        <v>#REF!</v>
      </c>
      <c r="U670" s="87" t="e">
        <f t="shared" si="277"/>
        <v>#REF!</v>
      </c>
      <c r="V670" s="87" t="e">
        <f t="shared" si="278"/>
        <v>#REF!</v>
      </c>
      <c r="W670" s="87" t="e">
        <f t="shared" si="279"/>
        <v>#REF!</v>
      </c>
      <c r="X670" s="87" t="e">
        <f t="shared" si="280"/>
        <v>#REF!</v>
      </c>
      <c r="Y670" s="87" t="e">
        <f t="shared" si="281"/>
        <v>#REF!</v>
      </c>
      <c r="Z670" s="87" t="e">
        <f t="shared" si="282"/>
        <v>#REF!</v>
      </c>
      <c r="AA670" s="40">
        <v>473</v>
      </c>
      <c r="AB670" s="89">
        <f>AA670*GDPdeflator!$C$25/$AI$18*10^3</f>
        <v>45.478712808157368</v>
      </c>
      <c r="AC670" s="90" t="e">
        <f>INDEX(AdditionalVehs!$E$46:$N$91,MATCH(C670,AdditionalVehs!$C$46:$C$91),MATCH(D670,AdditionalVehs!$E$45:$N$45))</f>
        <v>#REF!</v>
      </c>
      <c r="AD670" s="90" t="e">
        <f t="shared" si="287"/>
        <v>#REF!</v>
      </c>
      <c r="AE670" s="90" t="e">
        <f>INDEX(AdditionalVehs!$P$46:$Y$91,MATCH(C670,AdditionalVehs!$C$46:$C$91),MATCH(D670,AdditionalVehs!$AA$45:$AJ$45))</f>
        <v>#REF!</v>
      </c>
      <c r="AF670" s="90" t="e">
        <f t="shared" si="292"/>
        <v>#REF!</v>
      </c>
      <c r="AG670" s="90">
        <v>0</v>
      </c>
    </row>
    <row r="671" spans="1:33" x14ac:dyDescent="0.2">
      <c r="A671" s="92" t="s">
        <v>2176</v>
      </c>
      <c r="B671" s="248" t="s">
        <v>2177</v>
      </c>
      <c r="C671" s="40" t="s">
        <v>2175</v>
      </c>
      <c r="D671" s="40">
        <v>2015</v>
      </c>
      <c r="E671" s="86">
        <f>GDPdeflator!$C$32*INDEX(AdditionalVehs!$AA$46:$AK$91,MATCH($C671,AdditionalVehs!$C$46:$C$91,0),MATCH(E$7,AdditionalVehs!$AA$45:$AK$45,0))</f>
        <v>0</v>
      </c>
      <c r="F671" s="86" t="e">
        <f>GDPdeflator!$C$36*INDEX(AdditionalVehs!$AA$46:$AK$91,MATCH($C671,AdditionalVehs!$C$46:$C$91,0),MATCH(F$7,AdditionalVehs!$AA$45:$AK$45,0))</f>
        <v>#REF!</v>
      </c>
      <c r="G671" s="86" t="e">
        <f>GDPdeflator!$C$38*INDEX(AdditionalVehs!$AA$46:$AK$91,MATCH($C671,AdditionalVehs!$C$46:$C$91,0),MATCH(G$7,AdditionalVehs!$AA$45:$AK$45,0))</f>
        <v>#REF!</v>
      </c>
      <c r="H671" s="86" t="e">
        <f>GDPdeflator!$C$38*INDEX(AdditionalVehs!$AA$46:$AK$91,MATCH($C671,AdditionalVehs!$C$46:$C$91,0),MATCH(H$7,AdditionalVehs!$AA$45:$AK$45,0))</f>
        <v>#REF!</v>
      </c>
      <c r="I671" s="86" t="e">
        <f>GDPdeflator!$C$38*INDEX(AdditionalVehs!$AA$46:$AK$91,MATCH($C671,AdditionalVehs!$C$46:$C$91,0),MATCH(I$7,AdditionalVehs!$AA$45:$AK$45,0))</f>
        <v>#REF!</v>
      </c>
      <c r="J671" s="86" t="e">
        <f>GDPdeflator!$C$38*INDEX(AdditionalVehs!$AA$46:$AK$91,MATCH($C671,AdditionalVehs!$C$46:$C$91,0),MATCH(J$7,AdditionalVehs!$AA$45:$AK$45,0))</f>
        <v>#REF!</v>
      </c>
      <c r="K671" s="86" t="e">
        <f>GDPdeflator!$C$38*INDEX(AdditionalVehs!$AA$46:$AK$91,MATCH($C671,AdditionalVehs!$C$46:$C$91,0),MATCH(K$7,AdditionalVehs!$AA$45:$AK$45,0))</f>
        <v>#REF!</v>
      </c>
      <c r="L671" s="86" t="e">
        <f>GDPdeflator!$C$38*INDEX(AdditionalVehs!$AA$46:$AK$91,MATCH($C671,AdditionalVehs!$C$46:$C$91,0),MATCH(L$7,AdditionalVehs!$AA$45:$AK$45,0))</f>
        <v>#REF!</v>
      </c>
      <c r="M671" s="86" t="e">
        <f>GDPdeflator!$C$38*INDEX(AdditionalVehs!$AA$46:$AK$91,MATCH($C671,AdditionalVehs!$C$46:$C$91,0),MATCH(M$7,AdditionalVehs!$AA$45:$AK$45,0))</f>
        <v>#REF!</v>
      </c>
      <c r="N671" s="86" t="e">
        <f>GDPdeflator!$C$38*INDEX(AdditionalVehs!$AA$46:$AK$91,MATCH($C671,AdditionalVehs!$C$46:$C$91,0),MATCH(N$7,AdditionalVehs!$AA$45:$AK$45,0))</f>
        <v>#REF!</v>
      </c>
      <c r="O671" s="86" t="e">
        <f>GDPdeflator!$C$38*INDEX(AdditionalVehs!$AA$46:$AK$91,MATCH($C671,AdditionalVehs!$C$46:$C$91,0),MATCH(O$7,AdditionalVehs!$AA$45:$AK$45,0))</f>
        <v>#REF!</v>
      </c>
      <c r="P671" s="87">
        <f t="shared" ref="P671:P678" si="294">E671/$AI$18*10^6</f>
        <v>0</v>
      </c>
      <c r="Q671" s="87" t="e">
        <f t="shared" si="290"/>
        <v>#REF!</v>
      </c>
      <c r="R671" s="87" t="e">
        <f t="shared" si="289"/>
        <v>#REF!</v>
      </c>
      <c r="S671" s="87" t="e">
        <f t="shared" si="275"/>
        <v>#REF!</v>
      </c>
      <c r="T671" s="87" t="e">
        <f t="shared" si="276"/>
        <v>#REF!</v>
      </c>
      <c r="U671" s="87" t="e">
        <f t="shared" si="277"/>
        <v>#REF!</v>
      </c>
      <c r="V671" s="87" t="e">
        <f t="shared" si="278"/>
        <v>#REF!</v>
      </c>
      <c r="W671" s="87" t="e">
        <f t="shared" si="279"/>
        <v>#REF!</v>
      </c>
      <c r="X671" s="87" t="e">
        <f t="shared" si="280"/>
        <v>#REF!</v>
      </c>
      <c r="Y671" s="87" t="e">
        <f t="shared" si="281"/>
        <v>#REF!</v>
      </c>
      <c r="Z671" s="87" t="e">
        <f t="shared" si="282"/>
        <v>#REF!</v>
      </c>
      <c r="AA671" s="40">
        <v>473</v>
      </c>
      <c r="AB671" s="89">
        <f>AA671*GDPdeflator!$C$25/$AI$18*10^3</f>
        <v>45.478712808157368</v>
      </c>
      <c r="AC671" s="90" t="e">
        <f>INDEX(AdditionalVehs!$E$46:$N$91,MATCH(C671,AdditionalVehs!$C$46:$C$91),MATCH(D671,AdditionalVehs!$E$45:$N$45))</f>
        <v>#REF!</v>
      </c>
      <c r="AD671" s="90" t="e">
        <f t="shared" si="287"/>
        <v>#REF!</v>
      </c>
      <c r="AE671" s="90" t="e">
        <f>INDEX(AdditionalVehs!$P$46:$Y$91,MATCH(C671,AdditionalVehs!$C$46:$C$91),MATCH(D671,AdditionalVehs!$AA$45:$AJ$45))</f>
        <v>#REF!</v>
      </c>
      <c r="AF671" s="90" t="e">
        <f t="shared" si="292"/>
        <v>#REF!</v>
      </c>
      <c r="AG671" s="90">
        <v>0</v>
      </c>
    </row>
    <row r="672" spans="1:33" x14ac:dyDescent="0.2">
      <c r="A672" s="92" t="s">
        <v>2178</v>
      </c>
      <c r="B672" s="248" t="s">
        <v>2179</v>
      </c>
      <c r="C672" s="40" t="s">
        <v>2175</v>
      </c>
      <c r="D672" s="40">
        <v>2020</v>
      </c>
      <c r="E672" s="86">
        <f>GDPdeflator!$C$32*INDEX(AdditionalVehs!$AA$46:$AK$91,MATCH($C672,AdditionalVehs!$C$46:$C$91,0),MATCH(E$7,AdditionalVehs!$AA$45:$AK$45,0))</f>
        <v>0</v>
      </c>
      <c r="F672" s="86" t="e">
        <f>GDPdeflator!$C$36*INDEX(AdditionalVehs!$AA$46:$AK$91,MATCH($C672,AdditionalVehs!$C$46:$C$91,0),MATCH(F$7,AdditionalVehs!$AA$45:$AK$45,0))</f>
        <v>#REF!</v>
      </c>
      <c r="G672" s="86" t="e">
        <f>GDPdeflator!$C$38*INDEX(AdditionalVehs!$AA$46:$AK$91,MATCH($C672,AdditionalVehs!$C$46:$C$91,0),MATCH(G$7,AdditionalVehs!$AA$45:$AK$45,0))</f>
        <v>#REF!</v>
      </c>
      <c r="H672" s="86" t="e">
        <f>GDPdeflator!$C$38*INDEX(AdditionalVehs!$AA$46:$AK$91,MATCH($C672,AdditionalVehs!$C$46:$C$91,0),MATCH(H$7,AdditionalVehs!$AA$45:$AK$45,0))</f>
        <v>#REF!</v>
      </c>
      <c r="I672" s="86" t="e">
        <f>GDPdeflator!$C$38*INDEX(AdditionalVehs!$AA$46:$AK$91,MATCH($C672,AdditionalVehs!$C$46:$C$91,0),MATCH(I$7,AdditionalVehs!$AA$45:$AK$45,0))</f>
        <v>#REF!</v>
      </c>
      <c r="J672" s="86" t="e">
        <f>GDPdeflator!$C$38*INDEX(AdditionalVehs!$AA$46:$AK$91,MATCH($C672,AdditionalVehs!$C$46:$C$91,0),MATCH(J$7,AdditionalVehs!$AA$45:$AK$45,0))</f>
        <v>#REF!</v>
      </c>
      <c r="K672" s="86" t="e">
        <f>GDPdeflator!$C$38*INDEX(AdditionalVehs!$AA$46:$AK$91,MATCH($C672,AdditionalVehs!$C$46:$C$91,0),MATCH(K$7,AdditionalVehs!$AA$45:$AK$45,0))</f>
        <v>#REF!</v>
      </c>
      <c r="L672" s="86" t="e">
        <f>GDPdeflator!$C$38*INDEX(AdditionalVehs!$AA$46:$AK$91,MATCH($C672,AdditionalVehs!$C$46:$C$91,0),MATCH(L$7,AdditionalVehs!$AA$45:$AK$45,0))</f>
        <v>#REF!</v>
      </c>
      <c r="M672" s="86" t="e">
        <f>GDPdeflator!$C$38*INDEX(AdditionalVehs!$AA$46:$AK$91,MATCH($C672,AdditionalVehs!$C$46:$C$91,0),MATCH(M$7,AdditionalVehs!$AA$45:$AK$45,0))</f>
        <v>#REF!</v>
      </c>
      <c r="N672" s="86" t="e">
        <f>GDPdeflator!$C$38*INDEX(AdditionalVehs!$AA$46:$AK$91,MATCH($C672,AdditionalVehs!$C$46:$C$91,0),MATCH(N$7,AdditionalVehs!$AA$45:$AK$45,0))</f>
        <v>#REF!</v>
      </c>
      <c r="O672" s="86" t="e">
        <f>GDPdeflator!$C$38*INDEX(AdditionalVehs!$AA$46:$AK$91,MATCH($C672,AdditionalVehs!$C$46:$C$91,0),MATCH(O$7,AdditionalVehs!$AA$45:$AK$45,0))</f>
        <v>#REF!</v>
      </c>
      <c r="P672" s="87">
        <f t="shared" si="294"/>
        <v>0</v>
      </c>
      <c r="Q672" s="87" t="e">
        <f t="shared" si="290"/>
        <v>#REF!</v>
      </c>
      <c r="R672" s="87" t="e">
        <f t="shared" si="289"/>
        <v>#REF!</v>
      </c>
      <c r="S672" s="87" t="e">
        <f t="shared" si="275"/>
        <v>#REF!</v>
      </c>
      <c r="T672" s="87" t="e">
        <f t="shared" si="276"/>
        <v>#REF!</v>
      </c>
      <c r="U672" s="87" t="e">
        <f t="shared" si="277"/>
        <v>#REF!</v>
      </c>
      <c r="V672" s="87" t="e">
        <f t="shared" si="278"/>
        <v>#REF!</v>
      </c>
      <c r="W672" s="87" t="e">
        <f t="shared" si="279"/>
        <v>#REF!</v>
      </c>
      <c r="X672" s="87" t="e">
        <f t="shared" si="280"/>
        <v>#REF!</v>
      </c>
      <c r="Y672" s="87" t="e">
        <f t="shared" si="281"/>
        <v>#REF!</v>
      </c>
      <c r="Z672" s="87" t="e">
        <f t="shared" si="282"/>
        <v>#REF!</v>
      </c>
      <c r="AA672" s="40">
        <v>473</v>
      </c>
      <c r="AB672" s="89">
        <f>AA672*GDPdeflator!$C$25/$AI$18*10^3</f>
        <v>45.478712808157368</v>
      </c>
      <c r="AC672" s="90" t="e">
        <f>INDEX(AdditionalVehs!$E$46:$N$91,MATCH(C672,AdditionalVehs!$C$46:$C$91),MATCH(D672,AdditionalVehs!$E$45:$N$45))</f>
        <v>#REF!</v>
      </c>
      <c r="AD672" s="90" t="e">
        <f t="shared" si="287"/>
        <v>#REF!</v>
      </c>
      <c r="AE672" s="90" t="e">
        <f>INDEX(AdditionalVehs!$P$46:$Y$91,MATCH(C672,AdditionalVehs!$C$46:$C$91),MATCH(D672,AdditionalVehs!$AA$45:$AJ$45))</f>
        <v>#REF!</v>
      </c>
      <c r="AF672" s="90" t="e">
        <f t="shared" si="292"/>
        <v>#REF!</v>
      </c>
      <c r="AG672" s="90">
        <v>0</v>
      </c>
    </row>
    <row r="673" spans="1:33" x14ac:dyDescent="0.2">
      <c r="A673" s="92" t="s">
        <v>2180</v>
      </c>
      <c r="B673" s="248" t="s">
        <v>2181</v>
      </c>
      <c r="C673" s="40" t="s">
        <v>2175</v>
      </c>
      <c r="D673" s="40">
        <v>2025</v>
      </c>
      <c r="E673" s="86">
        <f>GDPdeflator!$C$32*INDEX(AdditionalVehs!$AA$46:$AK$91,MATCH($C673,AdditionalVehs!$C$46:$C$91,0),MATCH(E$7,AdditionalVehs!$AA$45:$AK$45,0))</f>
        <v>0</v>
      </c>
      <c r="F673" s="86" t="e">
        <f>GDPdeflator!$C$36*INDEX(AdditionalVehs!$AA$46:$AK$91,MATCH($C673,AdditionalVehs!$C$46:$C$91,0),MATCH(F$7,AdditionalVehs!$AA$45:$AK$45,0))</f>
        <v>#REF!</v>
      </c>
      <c r="G673" s="86" t="e">
        <f>GDPdeflator!$C$38*INDEX(AdditionalVehs!$AA$46:$AK$91,MATCH($C673,AdditionalVehs!$C$46:$C$91,0),MATCH(G$7,AdditionalVehs!$AA$45:$AK$45,0))</f>
        <v>#REF!</v>
      </c>
      <c r="H673" s="86" t="e">
        <f>GDPdeflator!$C$38*INDEX(AdditionalVehs!$AA$46:$AK$91,MATCH($C673,AdditionalVehs!$C$46:$C$91,0),MATCH(H$7,AdditionalVehs!$AA$45:$AK$45,0))</f>
        <v>#REF!</v>
      </c>
      <c r="I673" s="86" t="e">
        <f>GDPdeflator!$C$38*INDEX(AdditionalVehs!$AA$46:$AK$91,MATCH($C673,AdditionalVehs!$C$46:$C$91,0),MATCH(I$7,AdditionalVehs!$AA$45:$AK$45,0))</f>
        <v>#REF!</v>
      </c>
      <c r="J673" s="86" t="e">
        <f>GDPdeflator!$C$38*INDEX(AdditionalVehs!$AA$46:$AK$91,MATCH($C673,AdditionalVehs!$C$46:$C$91,0),MATCH(J$7,AdditionalVehs!$AA$45:$AK$45,0))</f>
        <v>#REF!</v>
      </c>
      <c r="K673" s="86" t="e">
        <f>GDPdeflator!$C$38*INDEX(AdditionalVehs!$AA$46:$AK$91,MATCH($C673,AdditionalVehs!$C$46:$C$91,0),MATCH(K$7,AdditionalVehs!$AA$45:$AK$45,0))</f>
        <v>#REF!</v>
      </c>
      <c r="L673" s="86" t="e">
        <f>GDPdeflator!$C$38*INDEX(AdditionalVehs!$AA$46:$AK$91,MATCH($C673,AdditionalVehs!$C$46:$C$91,0),MATCH(L$7,AdditionalVehs!$AA$45:$AK$45,0))</f>
        <v>#REF!</v>
      </c>
      <c r="M673" s="86" t="e">
        <f>GDPdeflator!$C$38*INDEX(AdditionalVehs!$AA$46:$AK$91,MATCH($C673,AdditionalVehs!$C$46:$C$91,0),MATCH(M$7,AdditionalVehs!$AA$45:$AK$45,0))</f>
        <v>#REF!</v>
      </c>
      <c r="N673" s="86" t="e">
        <f>GDPdeflator!$C$38*INDEX(AdditionalVehs!$AA$46:$AK$91,MATCH($C673,AdditionalVehs!$C$46:$C$91,0),MATCH(N$7,AdditionalVehs!$AA$45:$AK$45,0))</f>
        <v>#REF!</v>
      </c>
      <c r="O673" s="86" t="e">
        <f>GDPdeflator!$C$38*INDEX(AdditionalVehs!$AA$46:$AK$91,MATCH($C673,AdditionalVehs!$C$46:$C$91,0),MATCH(O$7,AdditionalVehs!$AA$45:$AK$45,0))</f>
        <v>#REF!</v>
      </c>
      <c r="P673" s="87">
        <f t="shared" si="294"/>
        <v>0</v>
      </c>
      <c r="Q673" s="87" t="e">
        <f t="shared" si="290"/>
        <v>#REF!</v>
      </c>
      <c r="R673" s="87" t="e">
        <f t="shared" si="289"/>
        <v>#REF!</v>
      </c>
      <c r="S673" s="87" t="e">
        <f t="shared" si="275"/>
        <v>#REF!</v>
      </c>
      <c r="T673" s="87" t="e">
        <f t="shared" si="276"/>
        <v>#REF!</v>
      </c>
      <c r="U673" s="87" t="e">
        <f t="shared" si="277"/>
        <v>#REF!</v>
      </c>
      <c r="V673" s="87" t="e">
        <f t="shared" si="278"/>
        <v>#REF!</v>
      </c>
      <c r="W673" s="87" t="e">
        <f t="shared" si="279"/>
        <v>#REF!</v>
      </c>
      <c r="X673" s="87" t="e">
        <f t="shared" si="280"/>
        <v>#REF!</v>
      </c>
      <c r="Y673" s="87" t="e">
        <f t="shared" si="281"/>
        <v>#REF!</v>
      </c>
      <c r="Z673" s="87" t="e">
        <f t="shared" si="282"/>
        <v>#REF!</v>
      </c>
      <c r="AA673" s="40">
        <v>473</v>
      </c>
      <c r="AB673" s="89">
        <f>AA673*GDPdeflator!$C$25/$AI$18*10^3</f>
        <v>45.478712808157368</v>
      </c>
      <c r="AC673" s="90" t="e">
        <f>INDEX(AdditionalVehs!$E$46:$N$91,MATCH(C673,AdditionalVehs!$C$46:$C$91),MATCH(D673,AdditionalVehs!$E$45:$N$45))</f>
        <v>#REF!</v>
      </c>
      <c r="AD673" s="90" t="e">
        <f t="shared" si="287"/>
        <v>#REF!</v>
      </c>
      <c r="AE673" s="90" t="e">
        <f>INDEX(AdditionalVehs!$P$46:$Y$91,MATCH(C673,AdditionalVehs!$C$46:$C$91),MATCH(D673,AdditionalVehs!$AA$45:$AJ$45))</f>
        <v>#REF!</v>
      </c>
      <c r="AF673" s="90" t="e">
        <f t="shared" si="292"/>
        <v>#REF!</v>
      </c>
      <c r="AG673" s="90">
        <v>0</v>
      </c>
    </row>
    <row r="674" spans="1:33" x14ac:dyDescent="0.2">
      <c r="A674" s="92" t="s">
        <v>2182</v>
      </c>
      <c r="B674" s="248" t="s">
        <v>2183</v>
      </c>
      <c r="C674" s="40" t="s">
        <v>2175</v>
      </c>
      <c r="D674" s="40">
        <v>2030</v>
      </c>
      <c r="E674" s="86">
        <f>GDPdeflator!$C$32*INDEX(AdditionalVehs!$AA$46:$AK$91,MATCH($C674,AdditionalVehs!$C$46:$C$91,0),MATCH(E$7,AdditionalVehs!$AA$45:$AK$45,0))</f>
        <v>0</v>
      </c>
      <c r="F674" s="86" t="e">
        <f>GDPdeflator!$C$36*INDEX(AdditionalVehs!$AA$46:$AK$91,MATCH($C674,AdditionalVehs!$C$46:$C$91,0),MATCH(F$7,AdditionalVehs!$AA$45:$AK$45,0))</f>
        <v>#REF!</v>
      </c>
      <c r="G674" s="86" t="e">
        <f>GDPdeflator!$C$38*INDEX(AdditionalVehs!$AA$46:$AK$91,MATCH($C674,AdditionalVehs!$C$46:$C$91,0),MATCH(G$7,AdditionalVehs!$AA$45:$AK$45,0))</f>
        <v>#REF!</v>
      </c>
      <c r="H674" s="86" t="e">
        <f>GDPdeflator!$C$38*INDEX(AdditionalVehs!$AA$46:$AK$91,MATCH($C674,AdditionalVehs!$C$46:$C$91,0),MATCH(H$7,AdditionalVehs!$AA$45:$AK$45,0))</f>
        <v>#REF!</v>
      </c>
      <c r="I674" s="86" t="e">
        <f>GDPdeflator!$C$38*INDEX(AdditionalVehs!$AA$46:$AK$91,MATCH($C674,AdditionalVehs!$C$46:$C$91,0),MATCH(I$7,AdditionalVehs!$AA$45:$AK$45,0))</f>
        <v>#REF!</v>
      </c>
      <c r="J674" s="86" t="e">
        <f>GDPdeflator!$C$38*INDEX(AdditionalVehs!$AA$46:$AK$91,MATCH($C674,AdditionalVehs!$C$46:$C$91,0),MATCH(J$7,AdditionalVehs!$AA$45:$AK$45,0))</f>
        <v>#REF!</v>
      </c>
      <c r="K674" s="86" t="e">
        <f>GDPdeflator!$C$38*INDEX(AdditionalVehs!$AA$46:$AK$91,MATCH($C674,AdditionalVehs!$C$46:$C$91,0),MATCH(K$7,AdditionalVehs!$AA$45:$AK$45,0))</f>
        <v>#REF!</v>
      </c>
      <c r="L674" s="86" t="e">
        <f>GDPdeflator!$C$38*INDEX(AdditionalVehs!$AA$46:$AK$91,MATCH($C674,AdditionalVehs!$C$46:$C$91,0),MATCH(L$7,AdditionalVehs!$AA$45:$AK$45,0))</f>
        <v>#REF!</v>
      </c>
      <c r="M674" s="86" t="e">
        <f>GDPdeflator!$C$38*INDEX(AdditionalVehs!$AA$46:$AK$91,MATCH($C674,AdditionalVehs!$C$46:$C$91,0),MATCH(M$7,AdditionalVehs!$AA$45:$AK$45,0))</f>
        <v>#REF!</v>
      </c>
      <c r="N674" s="86" t="e">
        <f>GDPdeflator!$C$38*INDEX(AdditionalVehs!$AA$46:$AK$91,MATCH($C674,AdditionalVehs!$C$46:$C$91,0),MATCH(N$7,AdditionalVehs!$AA$45:$AK$45,0))</f>
        <v>#REF!</v>
      </c>
      <c r="O674" s="86" t="e">
        <f>GDPdeflator!$C$38*INDEX(AdditionalVehs!$AA$46:$AK$91,MATCH($C674,AdditionalVehs!$C$46:$C$91,0),MATCH(O$7,AdditionalVehs!$AA$45:$AK$45,0))</f>
        <v>#REF!</v>
      </c>
      <c r="P674" s="87">
        <f t="shared" si="294"/>
        <v>0</v>
      </c>
      <c r="Q674" s="87" t="e">
        <f t="shared" si="290"/>
        <v>#REF!</v>
      </c>
      <c r="R674" s="87" t="e">
        <f t="shared" si="289"/>
        <v>#REF!</v>
      </c>
      <c r="S674" s="87" t="e">
        <f t="shared" si="275"/>
        <v>#REF!</v>
      </c>
      <c r="T674" s="87" t="e">
        <f t="shared" si="276"/>
        <v>#REF!</v>
      </c>
      <c r="U674" s="87" t="e">
        <f t="shared" si="277"/>
        <v>#REF!</v>
      </c>
      <c r="V674" s="87" t="e">
        <f t="shared" si="278"/>
        <v>#REF!</v>
      </c>
      <c r="W674" s="87" t="e">
        <f t="shared" si="279"/>
        <v>#REF!</v>
      </c>
      <c r="X674" s="87" t="e">
        <f t="shared" si="280"/>
        <v>#REF!</v>
      </c>
      <c r="Y674" s="87" t="e">
        <f t="shared" si="281"/>
        <v>#REF!</v>
      </c>
      <c r="Z674" s="87" t="e">
        <f t="shared" si="282"/>
        <v>#REF!</v>
      </c>
      <c r="AA674" s="40">
        <v>473</v>
      </c>
      <c r="AB674" s="89">
        <f>AA674*GDPdeflator!$C$25/$AI$18*10^3</f>
        <v>45.478712808157368</v>
      </c>
      <c r="AC674" s="90" t="e">
        <f>INDEX(AdditionalVehs!$E$46:$N$91,MATCH(C674,AdditionalVehs!$C$46:$C$91),MATCH(D674,AdditionalVehs!$E$45:$N$45))</f>
        <v>#REF!</v>
      </c>
      <c r="AD674" s="90" t="e">
        <f t="shared" si="287"/>
        <v>#REF!</v>
      </c>
      <c r="AE674" s="90" t="e">
        <f>INDEX(AdditionalVehs!$P$46:$Y$91,MATCH(C674,AdditionalVehs!$C$46:$C$91),MATCH(D674,AdditionalVehs!$AA$45:$AJ$45))</f>
        <v>#REF!</v>
      </c>
      <c r="AF674" s="90" t="e">
        <f t="shared" si="292"/>
        <v>#REF!</v>
      </c>
      <c r="AG674" s="90">
        <v>0</v>
      </c>
    </row>
    <row r="675" spans="1:33" x14ac:dyDescent="0.2">
      <c r="A675" s="92" t="s">
        <v>2184</v>
      </c>
      <c r="B675" s="248" t="s">
        <v>2185</v>
      </c>
      <c r="C675" s="40" t="s">
        <v>2175</v>
      </c>
      <c r="D675" s="40">
        <v>2035</v>
      </c>
      <c r="E675" s="86">
        <f>GDPdeflator!$C$32*INDEX(AdditionalVehs!$AA$46:$AK$91,MATCH($C675,AdditionalVehs!$C$46:$C$91,0),MATCH(E$7,AdditionalVehs!$AA$45:$AK$45,0))</f>
        <v>0</v>
      </c>
      <c r="F675" s="86" t="e">
        <f>GDPdeflator!$C$36*INDEX(AdditionalVehs!$AA$46:$AK$91,MATCH($C675,AdditionalVehs!$C$46:$C$91,0),MATCH(F$7,AdditionalVehs!$AA$45:$AK$45,0))</f>
        <v>#REF!</v>
      </c>
      <c r="G675" s="86" t="e">
        <f>GDPdeflator!$C$38*INDEX(AdditionalVehs!$AA$46:$AK$91,MATCH($C675,AdditionalVehs!$C$46:$C$91,0),MATCH(G$7,AdditionalVehs!$AA$45:$AK$45,0))</f>
        <v>#REF!</v>
      </c>
      <c r="H675" s="86" t="e">
        <f>GDPdeflator!$C$38*INDEX(AdditionalVehs!$AA$46:$AK$91,MATCH($C675,AdditionalVehs!$C$46:$C$91,0),MATCH(H$7,AdditionalVehs!$AA$45:$AK$45,0))</f>
        <v>#REF!</v>
      </c>
      <c r="I675" s="86" t="e">
        <f>GDPdeflator!$C$38*INDEX(AdditionalVehs!$AA$46:$AK$91,MATCH($C675,AdditionalVehs!$C$46:$C$91,0),MATCH(I$7,AdditionalVehs!$AA$45:$AK$45,0))</f>
        <v>#REF!</v>
      </c>
      <c r="J675" s="86" t="e">
        <f>GDPdeflator!$C$38*INDEX(AdditionalVehs!$AA$46:$AK$91,MATCH($C675,AdditionalVehs!$C$46:$C$91,0),MATCH(J$7,AdditionalVehs!$AA$45:$AK$45,0))</f>
        <v>#REF!</v>
      </c>
      <c r="K675" s="86" t="e">
        <f>GDPdeflator!$C$38*INDEX(AdditionalVehs!$AA$46:$AK$91,MATCH($C675,AdditionalVehs!$C$46:$C$91,0),MATCH(K$7,AdditionalVehs!$AA$45:$AK$45,0))</f>
        <v>#REF!</v>
      </c>
      <c r="L675" s="86" t="e">
        <f>GDPdeflator!$C$38*INDEX(AdditionalVehs!$AA$46:$AK$91,MATCH($C675,AdditionalVehs!$C$46:$C$91,0),MATCH(L$7,AdditionalVehs!$AA$45:$AK$45,0))</f>
        <v>#REF!</v>
      </c>
      <c r="M675" s="86" t="e">
        <f>GDPdeflator!$C$38*INDEX(AdditionalVehs!$AA$46:$AK$91,MATCH($C675,AdditionalVehs!$C$46:$C$91,0),MATCH(M$7,AdditionalVehs!$AA$45:$AK$45,0))</f>
        <v>#REF!</v>
      </c>
      <c r="N675" s="86" t="e">
        <f>GDPdeflator!$C$38*INDEX(AdditionalVehs!$AA$46:$AK$91,MATCH($C675,AdditionalVehs!$C$46:$C$91,0),MATCH(N$7,AdditionalVehs!$AA$45:$AK$45,0))</f>
        <v>#REF!</v>
      </c>
      <c r="O675" s="86" t="e">
        <f>GDPdeflator!$C$38*INDEX(AdditionalVehs!$AA$46:$AK$91,MATCH($C675,AdditionalVehs!$C$46:$C$91,0),MATCH(O$7,AdditionalVehs!$AA$45:$AK$45,0))</f>
        <v>#REF!</v>
      </c>
      <c r="P675" s="87">
        <f t="shared" si="294"/>
        <v>0</v>
      </c>
      <c r="Q675" s="87" t="e">
        <f t="shared" si="290"/>
        <v>#REF!</v>
      </c>
      <c r="R675" s="87" t="e">
        <f t="shared" si="289"/>
        <v>#REF!</v>
      </c>
      <c r="S675" s="87" t="e">
        <f t="shared" si="275"/>
        <v>#REF!</v>
      </c>
      <c r="T675" s="87" t="e">
        <f t="shared" si="276"/>
        <v>#REF!</v>
      </c>
      <c r="U675" s="87" t="e">
        <f t="shared" si="277"/>
        <v>#REF!</v>
      </c>
      <c r="V675" s="87" t="e">
        <f t="shared" si="278"/>
        <v>#REF!</v>
      </c>
      <c r="W675" s="87" t="e">
        <f t="shared" si="279"/>
        <v>#REF!</v>
      </c>
      <c r="X675" s="87" t="e">
        <f t="shared" si="280"/>
        <v>#REF!</v>
      </c>
      <c r="Y675" s="87" t="e">
        <f t="shared" si="281"/>
        <v>#REF!</v>
      </c>
      <c r="Z675" s="87" t="e">
        <f t="shared" si="282"/>
        <v>#REF!</v>
      </c>
      <c r="AA675" s="40">
        <v>473</v>
      </c>
      <c r="AB675" s="89">
        <f>AA675*GDPdeflator!$C$25/$AI$18*10^3</f>
        <v>45.478712808157368</v>
      </c>
      <c r="AC675" s="90" t="e">
        <f>INDEX(AdditionalVehs!$E$46:$N$91,MATCH(C675,AdditionalVehs!$C$46:$C$91),MATCH(D675,AdditionalVehs!$E$45:$N$45))</f>
        <v>#REF!</v>
      </c>
      <c r="AD675" s="90" t="e">
        <f t="shared" si="287"/>
        <v>#REF!</v>
      </c>
      <c r="AE675" s="90" t="e">
        <f>INDEX(AdditionalVehs!$P$46:$Y$91,MATCH(C675,AdditionalVehs!$C$46:$C$91),MATCH(D675,AdditionalVehs!$AA$45:$AJ$45))</f>
        <v>#REF!</v>
      </c>
      <c r="AF675" s="90" t="e">
        <f t="shared" si="292"/>
        <v>#REF!</v>
      </c>
      <c r="AG675" s="90">
        <v>0</v>
      </c>
    </row>
    <row r="676" spans="1:33" x14ac:dyDescent="0.2">
      <c r="A676" s="92" t="s">
        <v>2186</v>
      </c>
      <c r="B676" s="248" t="s">
        <v>2187</v>
      </c>
      <c r="C676" s="40" t="s">
        <v>2175</v>
      </c>
      <c r="D676" s="40">
        <v>2040</v>
      </c>
      <c r="E676" s="86">
        <f>GDPdeflator!$C$32*INDEX(AdditionalVehs!$AA$46:$AK$91,MATCH($C676,AdditionalVehs!$C$46:$C$91,0),MATCH(E$7,AdditionalVehs!$AA$45:$AK$45,0))</f>
        <v>0</v>
      </c>
      <c r="F676" s="86" t="e">
        <f>GDPdeflator!$C$36*INDEX(AdditionalVehs!$AA$46:$AK$91,MATCH($C676,AdditionalVehs!$C$46:$C$91,0),MATCH(F$7,AdditionalVehs!$AA$45:$AK$45,0))</f>
        <v>#REF!</v>
      </c>
      <c r="G676" s="86" t="e">
        <f>GDPdeflator!$C$38*INDEX(AdditionalVehs!$AA$46:$AK$91,MATCH($C676,AdditionalVehs!$C$46:$C$91,0),MATCH(G$7,AdditionalVehs!$AA$45:$AK$45,0))</f>
        <v>#REF!</v>
      </c>
      <c r="H676" s="86" t="e">
        <f>GDPdeflator!$C$38*INDEX(AdditionalVehs!$AA$46:$AK$91,MATCH($C676,AdditionalVehs!$C$46:$C$91,0),MATCH(H$7,AdditionalVehs!$AA$45:$AK$45,0))</f>
        <v>#REF!</v>
      </c>
      <c r="I676" s="86" t="e">
        <f>GDPdeflator!$C$38*INDEX(AdditionalVehs!$AA$46:$AK$91,MATCH($C676,AdditionalVehs!$C$46:$C$91,0),MATCH(I$7,AdditionalVehs!$AA$45:$AK$45,0))</f>
        <v>#REF!</v>
      </c>
      <c r="J676" s="86" t="e">
        <f>GDPdeflator!$C$38*INDEX(AdditionalVehs!$AA$46:$AK$91,MATCH($C676,AdditionalVehs!$C$46:$C$91,0),MATCH(J$7,AdditionalVehs!$AA$45:$AK$45,0))</f>
        <v>#REF!</v>
      </c>
      <c r="K676" s="86" t="e">
        <f>GDPdeflator!$C$38*INDEX(AdditionalVehs!$AA$46:$AK$91,MATCH($C676,AdditionalVehs!$C$46:$C$91,0),MATCH(K$7,AdditionalVehs!$AA$45:$AK$45,0))</f>
        <v>#REF!</v>
      </c>
      <c r="L676" s="86" t="e">
        <f>GDPdeflator!$C$38*INDEX(AdditionalVehs!$AA$46:$AK$91,MATCH($C676,AdditionalVehs!$C$46:$C$91,0),MATCH(L$7,AdditionalVehs!$AA$45:$AK$45,0))</f>
        <v>#REF!</v>
      </c>
      <c r="M676" s="86" t="e">
        <f>GDPdeflator!$C$38*INDEX(AdditionalVehs!$AA$46:$AK$91,MATCH($C676,AdditionalVehs!$C$46:$C$91,0),MATCH(M$7,AdditionalVehs!$AA$45:$AK$45,0))</f>
        <v>#REF!</v>
      </c>
      <c r="N676" s="86" t="e">
        <f>GDPdeflator!$C$38*INDEX(AdditionalVehs!$AA$46:$AK$91,MATCH($C676,AdditionalVehs!$C$46:$C$91,0),MATCH(N$7,AdditionalVehs!$AA$45:$AK$45,0))</f>
        <v>#REF!</v>
      </c>
      <c r="O676" s="86" t="e">
        <f>GDPdeflator!$C$38*INDEX(AdditionalVehs!$AA$46:$AK$91,MATCH($C676,AdditionalVehs!$C$46:$C$91,0),MATCH(O$7,AdditionalVehs!$AA$45:$AK$45,0))</f>
        <v>#REF!</v>
      </c>
      <c r="P676" s="87">
        <f t="shared" si="294"/>
        <v>0</v>
      </c>
      <c r="Q676" s="87" t="e">
        <f t="shared" si="290"/>
        <v>#REF!</v>
      </c>
      <c r="R676" s="87" t="e">
        <f t="shared" si="289"/>
        <v>#REF!</v>
      </c>
      <c r="S676" s="87" t="e">
        <f t="shared" si="275"/>
        <v>#REF!</v>
      </c>
      <c r="T676" s="87" t="e">
        <f t="shared" si="276"/>
        <v>#REF!</v>
      </c>
      <c r="U676" s="87" t="e">
        <f t="shared" si="277"/>
        <v>#REF!</v>
      </c>
      <c r="V676" s="87" t="e">
        <f t="shared" si="278"/>
        <v>#REF!</v>
      </c>
      <c r="W676" s="87" t="e">
        <f t="shared" si="279"/>
        <v>#REF!</v>
      </c>
      <c r="X676" s="87" t="e">
        <f t="shared" si="280"/>
        <v>#REF!</v>
      </c>
      <c r="Y676" s="87" t="e">
        <f t="shared" si="281"/>
        <v>#REF!</v>
      </c>
      <c r="Z676" s="87" t="e">
        <f t="shared" si="282"/>
        <v>#REF!</v>
      </c>
      <c r="AA676" s="40">
        <v>473</v>
      </c>
      <c r="AB676" s="89">
        <f>AA676*GDPdeflator!$C$25/$AI$18*10^3</f>
        <v>45.478712808157368</v>
      </c>
      <c r="AC676" s="90" t="e">
        <f>INDEX(AdditionalVehs!$E$46:$N$91,MATCH(C676,AdditionalVehs!$C$46:$C$91),MATCH(D676,AdditionalVehs!$E$45:$N$45))</f>
        <v>#REF!</v>
      </c>
      <c r="AD676" s="90" t="e">
        <f t="shared" si="287"/>
        <v>#REF!</v>
      </c>
      <c r="AE676" s="90" t="e">
        <f>INDEX(AdditionalVehs!$P$46:$Y$91,MATCH(C676,AdditionalVehs!$C$46:$C$91),MATCH(D676,AdditionalVehs!$AA$45:$AJ$45))</f>
        <v>#REF!</v>
      </c>
      <c r="AF676" s="90" t="e">
        <f t="shared" si="292"/>
        <v>#REF!</v>
      </c>
      <c r="AG676" s="90">
        <v>0</v>
      </c>
    </row>
    <row r="677" spans="1:33" x14ac:dyDescent="0.2">
      <c r="A677" s="92" t="s">
        <v>2188</v>
      </c>
      <c r="B677" s="248" t="s">
        <v>2189</v>
      </c>
      <c r="C677" s="40" t="s">
        <v>2175</v>
      </c>
      <c r="D677" s="40">
        <v>2045</v>
      </c>
      <c r="E677" s="86">
        <f>GDPdeflator!$C$32*INDEX(AdditionalVehs!$AA$46:$AK$91,MATCH($C677,AdditionalVehs!$C$46:$C$91,0),MATCH(E$7,AdditionalVehs!$AA$45:$AK$45,0))</f>
        <v>0</v>
      </c>
      <c r="F677" s="86" t="e">
        <f>GDPdeflator!$C$36*INDEX(AdditionalVehs!$AA$46:$AK$91,MATCH($C677,AdditionalVehs!$C$46:$C$91,0),MATCH(F$7,AdditionalVehs!$AA$45:$AK$45,0))</f>
        <v>#REF!</v>
      </c>
      <c r="G677" s="86" t="e">
        <f>GDPdeflator!$C$38*INDEX(AdditionalVehs!$AA$46:$AK$91,MATCH($C677,AdditionalVehs!$C$46:$C$91,0),MATCH(G$7,AdditionalVehs!$AA$45:$AK$45,0))</f>
        <v>#REF!</v>
      </c>
      <c r="H677" s="86" t="e">
        <f>GDPdeflator!$C$38*INDEX(AdditionalVehs!$AA$46:$AK$91,MATCH($C677,AdditionalVehs!$C$46:$C$91,0),MATCH(H$7,AdditionalVehs!$AA$45:$AK$45,0))</f>
        <v>#REF!</v>
      </c>
      <c r="I677" s="86" t="e">
        <f>GDPdeflator!$C$38*INDEX(AdditionalVehs!$AA$46:$AK$91,MATCH($C677,AdditionalVehs!$C$46:$C$91,0),MATCH(I$7,AdditionalVehs!$AA$45:$AK$45,0))</f>
        <v>#REF!</v>
      </c>
      <c r="J677" s="86" t="e">
        <f>GDPdeflator!$C$38*INDEX(AdditionalVehs!$AA$46:$AK$91,MATCH($C677,AdditionalVehs!$C$46:$C$91,0),MATCH(J$7,AdditionalVehs!$AA$45:$AK$45,0))</f>
        <v>#REF!</v>
      </c>
      <c r="K677" s="86" t="e">
        <f>GDPdeflator!$C$38*INDEX(AdditionalVehs!$AA$46:$AK$91,MATCH($C677,AdditionalVehs!$C$46:$C$91,0),MATCH(K$7,AdditionalVehs!$AA$45:$AK$45,0))</f>
        <v>#REF!</v>
      </c>
      <c r="L677" s="86" t="e">
        <f>GDPdeflator!$C$38*INDEX(AdditionalVehs!$AA$46:$AK$91,MATCH($C677,AdditionalVehs!$C$46:$C$91,0),MATCH(L$7,AdditionalVehs!$AA$45:$AK$45,0))</f>
        <v>#REF!</v>
      </c>
      <c r="M677" s="86" t="e">
        <f>GDPdeflator!$C$38*INDEX(AdditionalVehs!$AA$46:$AK$91,MATCH($C677,AdditionalVehs!$C$46:$C$91,0),MATCH(M$7,AdditionalVehs!$AA$45:$AK$45,0))</f>
        <v>#REF!</v>
      </c>
      <c r="N677" s="86" t="e">
        <f>GDPdeflator!$C$38*INDEX(AdditionalVehs!$AA$46:$AK$91,MATCH($C677,AdditionalVehs!$C$46:$C$91,0),MATCH(N$7,AdditionalVehs!$AA$45:$AK$45,0))</f>
        <v>#REF!</v>
      </c>
      <c r="O677" s="86" t="e">
        <f>GDPdeflator!$C$38*INDEX(AdditionalVehs!$AA$46:$AK$91,MATCH($C677,AdditionalVehs!$C$46:$C$91,0),MATCH(O$7,AdditionalVehs!$AA$45:$AK$45,0))</f>
        <v>#REF!</v>
      </c>
      <c r="P677" s="87">
        <f t="shared" si="294"/>
        <v>0</v>
      </c>
      <c r="Q677" s="87" t="e">
        <f t="shared" si="290"/>
        <v>#REF!</v>
      </c>
      <c r="R677" s="87" t="e">
        <f t="shared" si="289"/>
        <v>#REF!</v>
      </c>
      <c r="S677" s="87" t="e">
        <f t="shared" si="275"/>
        <v>#REF!</v>
      </c>
      <c r="T677" s="87" t="e">
        <f t="shared" si="276"/>
        <v>#REF!</v>
      </c>
      <c r="U677" s="87" t="e">
        <f t="shared" si="277"/>
        <v>#REF!</v>
      </c>
      <c r="V677" s="87" t="e">
        <f t="shared" si="278"/>
        <v>#REF!</v>
      </c>
      <c r="W677" s="87" t="e">
        <f t="shared" si="279"/>
        <v>#REF!</v>
      </c>
      <c r="X677" s="87" t="e">
        <f t="shared" si="280"/>
        <v>#REF!</v>
      </c>
      <c r="Y677" s="87" t="e">
        <f t="shared" si="281"/>
        <v>#REF!</v>
      </c>
      <c r="Z677" s="87" t="e">
        <f t="shared" si="282"/>
        <v>#REF!</v>
      </c>
      <c r="AA677" s="40">
        <v>473</v>
      </c>
      <c r="AB677" s="89">
        <f>AA677*GDPdeflator!$C$25/$AI$18*10^3</f>
        <v>45.478712808157368</v>
      </c>
      <c r="AC677" s="90" t="e">
        <f>INDEX(AdditionalVehs!$E$46:$N$91,MATCH(C677,AdditionalVehs!$C$46:$C$91),MATCH(D677,AdditionalVehs!$E$45:$N$45))</f>
        <v>#REF!</v>
      </c>
      <c r="AD677" s="90" t="e">
        <f t="shared" si="287"/>
        <v>#REF!</v>
      </c>
      <c r="AE677" s="90" t="e">
        <f>INDEX(AdditionalVehs!$P$46:$Y$91,MATCH(C677,AdditionalVehs!$C$46:$C$91),MATCH(D677,AdditionalVehs!$AA$45:$AJ$45))</f>
        <v>#REF!</v>
      </c>
      <c r="AF677" s="90" t="e">
        <f t="shared" si="292"/>
        <v>#REF!</v>
      </c>
      <c r="AG677" s="90">
        <v>0</v>
      </c>
    </row>
    <row r="678" spans="1:33" x14ac:dyDescent="0.2">
      <c r="A678" s="92" t="s">
        <v>2190</v>
      </c>
      <c r="B678" s="248" t="s">
        <v>2191</v>
      </c>
      <c r="C678" s="40" t="s">
        <v>2175</v>
      </c>
      <c r="D678" s="40">
        <v>2050</v>
      </c>
      <c r="E678" s="86">
        <f>GDPdeflator!$C$32*INDEX(AdditionalVehs!$AA$46:$AK$91,MATCH($C678,AdditionalVehs!$C$46:$C$91,0),MATCH(E$7,AdditionalVehs!$AA$45:$AK$45,0))</f>
        <v>0</v>
      </c>
      <c r="F678" s="86" t="e">
        <f>GDPdeflator!$C$36*INDEX(AdditionalVehs!$AA$46:$AK$91,MATCH($C678,AdditionalVehs!$C$46:$C$91,0),MATCH(F$7,AdditionalVehs!$AA$45:$AK$45,0))</f>
        <v>#REF!</v>
      </c>
      <c r="G678" s="86" t="e">
        <f>GDPdeflator!$C$38*INDEX(AdditionalVehs!$AA$46:$AK$91,MATCH($C678,AdditionalVehs!$C$46:$C$91,0),MATCH(G$7,AdditionalVehs!$AA$45:$AK$45,0))</f>
        <v>#REF!</v>
      </c>
      <c r="H678" s="86" t="e">
        <f>GDPdeflator!$C$38*INDEX(AdditionalVehs!$AA$46:$AK$91,MATCH($C678,AdditionalVehs!$C$46:$C$91,0),MATCH(H$7,AdditionalVehs!$AA$45:$AK$45,0))</f>
        <v>#REF!</v>
      </c>
      <c r="I678" s="86" t="e">
        <f>GDPdeflator!$C$38*INDEX(AdditionalVehs!$AA$46:$AK$91,MATCH($C678,AdditionalVehs!$C$46:$C$91,0),MATCH(I$7,AdditionalVehs!$AA$45:$AK$45,0))</f>
        <v>#REF!</v>
      </c>
      <c r="J678" s="86" t="e">
        <f>GDPdeflator!$C$38*INDEX(AdditionalVehs!$AA$46:$AK$91,MATCH($C678,AdditionalVehs!$C$46:$C$91,0),MATCH(J$7,AdditionalVehs!$AA$45:$AK$45,0))</f>
        <v>#REF!</v>
      </c>
      <c r="K678" s="86" t="e">
        <f>GDPdeflator!$C$38*INDEX(AdditionalVehs!$AA$46:$AK$91,MATCH($C678,AdditionalVehs!$C$46:$C$91,0),MATCH(K$7,AdditionalVehs!$AA$45:$AK$45,0))</f>
        <v>#REF!</v>
      </c>
      <c r="L678" s="86" t="e">
        <f>GDPdeflator!$C$38*INDEX(AdditionalVehs!$AA$46:$AK$91,MATCH($C678,AdditionalVehs!$C$46:$C$91,0),MATCH(L$7,AdditionalVehs!$AA$45:$AK$45,0))</f>
        <v>#REF!</v>
      </c>
      <c r="M678" s="86" t="e">
        <f>GDPdeflator!$C$38*INDEX(AdditionalVehs!$AA$46:$AK$91,MATCH($C678,AdditionalVehs!$C$46:$C$91,0),MATCH(M$7,AdditionalVehs!$AA$45:$AK$45,0))</f>
        <v>#REF!</v>
      </c>
      <c r="N678" s="86" t="e">
        <f>GDPdeflator!$C$38*INDEX(AdditionalVehs!$AA$46:$AK$91,MATCH($C678,AdditionalVehs!$C$46:$C$91,0),MATCH(N$7,AdditionalVehs!$AA$45:$AK$45,0))</f>
        <v>#REF!</v>
      </c>
      <c r="O678" s="86" t="e">
        <f>GDPdeflator!$C$38*INDEX(AdditionalVehs!$AA$46:$AK$91,MATCH($C678,AdditionalVehs!$C$46:$C$91,0),MATCH(O$7,AdditionalVehs!$AA$45:$AK$45,0))</f>
        <v>#REF!</v>
      </c>
      <c r="P678" s="87">
        <f t="shared" si="294"/>
        <v>0</v>
      </c>
      <c r="Q678" s="87" t="e">
        <f t="shared" si="290"/>
        <v>#REF!</v>
      </c>
      <c r="R678" s="87" t="e">
        <f t="shared" si="289"/>
        <v>#REF!</v>
      </c>
      <c r="S678" s="87" t="e">
        <f t="shared" si="275"/>
        <v>#REF!</v>
      </c>
      <c r="T678" s="87" t="e">
        <f t="shared" si="276"/>
        <v>#REF!</v>
      </c>
      <c r="U678" s="87" t="e">
        <f t="shared" si="277"/>
        <v>#REF!</v>
      </c>
      <c r="V678" s="87" t="e">
        <f t="shared" si="278"/>
        <v>#REF!</v>
      </c>
      <c r="W678" s="87" t="e">
        <f t="shared" si="279"/>
        <v>#REF!</v>
      </c>
      <c r="X678" s="87" t="e">
        <f t="shared" si="280"/>
        <v>#REF!</v>
      </c>
      <c r="Y678" s="87" t="e">
        <f t="shared" si="281"/>
        <v>#REF!</v>
      </c>
      <c r="Z678" s="87" t="e">
        <f t="shared" si="282"/>
        <v>#REF!</v>
      </c>
      <c r="AA678" s="40">
        <v>473</v>
      </c>
      <c r="AB678" s="89">
        <f>AA678*GDPdeflator!$C$25/$AI$18*10^3</f>
        <v>45.478712808157368</v>
      </c>
      <c r="AC678" s="90" t="e">
        <f>INDEX(AdditionalVehs!$E$46:$N$91,MATCH(C678,AdditionalVehs!$C$46:$C$91),MATCH(D678,AdditionalVehs!$E$45:$N$45))</f>
        <v>#REF!</v>
      </c>
      <c r="AD678" s="90" t="e">
        <f t="shared" si="287"/>
        <v>#REF!</v>
      </c>
      <c r="AE678" s="90" t="e">
        <f>INDEX(AdditionalVehs!$P$46:$Y$91,MATCH(C678,AdditionalVehs!$C$46:$C$91),MATCH(D678,AdditionalVehs!$AA$45:$AJ$45))</f>
        <v>#REF!</v>
      </c>
      <c r="AF678" s="90" t="e">
        <f t="shared" si="292"/>
        <v>#REF!</v>
      </c>
      <c r="AG678" s="90">
        <v>0</v>
      </c>
    </row>
    <row r="679" spans="1:33" x14ac:dyDescent="0.2">
      <c r="A679" s="92" t="s">
        <v>2192</v>
      </c>
      <c r="B679" s="248" t="s">
        <v>2193</v>
      </c>
      <c r="C679" s="40" t="s">
        <v>2194</v>
      </c>
      <c r="D679" s="40">
        <v>2010</v>
      </c>
      <c r="E679" s="86" t="e">
        <f>GDPdeflator!$C$32*INDEX(AdditionalVehs!$AA$46:$AK$91,MATCH($C679,AdditionalVehs!$C$46:$C$91,0),MATCH(E$7,AdditionalVehs!$AA$45:$AK$45,0))</f>
        <v>#REF!</v>
      </c>
      <c r="F679" s="86" t="e">
        <f>GDPdeflator!$C$36*INDEX(AdditionalVehs!$AA$46:$AK$91,MATCH($C679,AdditionalVehs!$C$46:$C$91,0),MATCH(F$7,AdditionalVehs!$AA$45:$AK$45,0))</f>
        <v>#REF!</v>
      </c>
      <c r="G679" s="86" t="e">
        <f>GDPdeflator!$C$38*INDEX(AdditionalVehs!$AA$46:$AK$91,MATCH($C679,AdditionalVehs!$C$46:$C$91,0),MATCH(G$7,AdditionalVehs!$AA$45:$AK$45,0))</f>
        <v>#REF!</v>
      </c>
      <c r="H679" s="86" t="e">
        <f>GDPdeflator!$C$38*INDEX(AdditionalVehs!$AA$46:$AK$91,MATCH($C679,AdditionalVehs!$C$46:$C$91,0),MATCH(H$7,AdditionalVehs!$AA$45:$AK$45,0))</f>
        <v>#REF!</v>
      </c>
      <c r="I679" s="86" t="e">
        <f>GDPdeflator!$C$38*INDEX(AdditionalVehs!$AA$46:$AK$91,MATCH($C679,AdditionalVehs!$C$46:$C$91,0),MATCH(I$7,AdditionalVehs!$AA$45:$AK$45,0))</f>
        <v>#REF!</v>
      </c>
      <c r="J679" s="86" t="e">
        <f>GDPdeflator!$C$38*INDEX(AdditionalVehs!$AA$46:$AK$91,MATCH($C679,AdditionalVehs!$C$46:$C$91,0),MATCH(J$7,AdditionalVehs!$AA$45:$AK$45,0))</f>
        <v>#REF!</v>
      </c>
      <c r="K679" s="86" t="e">
        <f>GDPdeflator!$C$38*INDEX(AdditionalVehs!$AA$46:$AK$91,MATCH($C679,AdditionalVehs!$C$46:$C$91,0),MATCH(K$7,AdditionalVehs!$AA$45:$AK$45,0))</f>
        <v>#REF!</v>
      </c>
      <c r="L679" s="86" t="e">
        <f>GDPdeflator!$C$38*INDEX(AdditionalVehs!$AA$46:$AK$91,MATCH($C679,AdditionalVehs!$C$46:$C$91,0),MATCH(L$7,AdditionalVehs!$AA$45:$AK$45,0))</f>
        <v>#REF!</v>
      </c>
      <c r="M679" s="86" t="e">
        <f>GDPdeflator!$C$38*INDEX(AdditionalVehs!$AA$46:$AK$91,MATCH($C679,AdditionalVehs!$C$46:$C$91,0),MATCH(M$7,AdditionalVehs!$AA$45:$AK$45,0))</f>
        <v>#REF!</v>
      </c>
      <c r="N679" s="86" t="e">
        <f>GDPdeflator!$C$38*INDEX(AdditionalVehs!$AA$46:$AK$91,MATCH($C679,AdditionalVehs!$C$46:$C$91,0),MATCH(N$7,AdditionalVehs!$AA$45:$AK$45,0))</f>
        <v>#REF!</v>
      </c>
      <c r="O679" s="86" t="e">
        <f>GDPdeflator!$C$38*INDEX(AdditionalVehs!$AA$46:$AK$91,MATCH($C679,AdditionalVehs!$C$46:$C$91,0),MATCH(O$7,AdditionalVehs!$AA$45:$AK$45,0))</f>
        <v>#REF!</v>
      </c>
      <c r="P679" s="87" t="e">
        <f>E679/$AI$18*10^6</f>
        <v>#REF!</v>
      </c>
      <c r="Q679" s="87" t="e">
        <f t="shared" si="290"/>
        <v>#REF!</v>
      </c>
      <c r="R679" s="87" t="e">
        <f t="shared" si="289"/>
        <v>#REF!</v>
      </c>
      <c r="S679" s="87" t="e">
        <f t="shared" ref="S679:Z694" si="295">H679/$AI$18*10^6</f>
        <v>#REF!</v>
      </c>
      <c r="T679" s="87" t="e">
        <f t="shared" si="295"/>
        <v>#REF!</v>
      </c>
      <c r="U679" s="87" t="e">
        <f t="shared" si="295"/>
        <v>#REF!</v>
      </c>
      <c r="V679" s="87" t="e">
        <f t="shared" si="295"/>
        <v>#REF!</v>
      </c>
      <c r="W679" s="87" t="e">
        <f t="shared" si="295"/>
        <v>#REF!</v>
      </c>
      <c r="X679" s="87" t="e">
        <f t="shared" si="295"/>
        <v>#REF!</v>
      </c>
      <c r="Y679" s="87" t="e">
        <f t="shared" si="295"/>
        <v>#REF!</v>
      </c>
      <c r="Z679" s="87" t="e">
        <f t="shared" si="295"/>
        <v>#REF!</v>
      </c>
      <c r="AA679" s="40">
        <v>473</v>
      </c>
      <c r="AB679" s="89">
        <f>AA679*GDPdeflator!$C$25/$AI$18*10^3</f>
        <v>45.478712808157368</v>
      </c>
      <c r="AC679" s="90" t="e">
        <f>INDEX(AdditionalVehs!$E$46:$N$91,MATCH(C679,AdditionalVehs!$C$46:$C$91),MATCH(D679,AdditionalVehs!$E$45:$N$45))</f>
        <v>#REF!</v>
      </c>
      <c r="AD679" s="90" t="e">
        <f t="shared" si="287"/>
        <v>#REF!</v>
      </c>
      <c r="AE679" s="90" t="e">
        <f>INDEX(AdditionalVehs!$P$46:$Y$91,MATCH(C679,AdditionalVehs!$C$46:$C$91),MATCH(D679,AdditionalVehs!$AA$45:$AJ$45))</f>
        <v>#REF!</v>
      </c>
      <c r="AF679" s="90" t="e">
        <f t="shared" si="292"/>
        <v>#REF!</v>
      </c>
      <c r="AG679" s="90">
        <v>0</v>
      </c>
    </row>
    <row r="680" spans="1:33" x14ac:dyDescent="0.2">
      <c r="A680" s="92" t="s">
        <v>2195</v>
      </c>
      <c r="B680" s="248" t="s">
        <v>2196</v>
      </c>
      <c r="C680" s="40" t="s">
        <v>2194</v>
      </c>
      <c r="D680" s="40">
        <v>2015</v>
      </c>
      <c r="E680" s="86" t="e">
        <f>GDPdeflator!$C$32*INDEX(AdditionalVehs!$AA$46:$AK$91,MATCH($C680,AdditionalVehs!$C$46:$C$91,0),MATCH(E$7,AdditionalVehs!$AA$45:$AK$45,0))</f>
        <v>#REF!</v>
      </c>
      <c r="F680" s="86" t="e">
        <f>GDPdeflator!$C$36*INDEX(AdditionalVehs!$AA$46:$AK$91,MATCH($C680,AdditionalVehs!$C$46:$C$91,0),MATCH(F$7,AdditionalVehs!$AA$45:$AK$45,0))</f>
        <v>#REF!</v>
      </c>
      <c r="G680" s="86" t="e">
        <f>GDPdeflator!$C$38*INDEX(AdditionalVehs!$AA$46:$AK$91,MATCH($C680,AdditionalVehs!$C$46:$C$91,0),MATCH(G$7,AdditionalVehs!$AA$45:$AK$45,0))</f>
        <v>#REF!</v>
      </c>
      <c r="H680" s="86" t="e">
        <f>GDPdeflator!$C$38*INDEX(AdditionalVehs!$AA$46:$AK$91,MATCH($C680,AdditionalVehs!$C$46:$C$91,0),MATCH(H$7,AdditionalVehs!$AA$45:$AK$45,0))</f>
        <v>#REF!</v>
      </c>
      <c r="I680" s="86" t="e">
        <f>GDPdeflator!$C$38*INDEX(AdditionalVehs!$AA$46:$AK$91,MATCH($C680,AdditionalVehs!$C$46:$C$91,0),MATCH(I$7,AdditionalVehs!$AA$45:$AK$45,0))</f>
        <v>#REF!</v>
      </c>
      <c r="J680" s="86" t="e">
        <f>GDPdeflator!$C$38*INDEX(AdditionalVehs!$AA$46:$AK$91,MATCH($C680,AdditionalVehs!$C$46:$C$91,0),MATCH(J$7,AdditionalVehs!$AA$45:$AK$45,0))</f>
        <v>#REF!</v>
      </c>
      <c r="K680" s="86" t="e">
        <f>GDPdeflator!$C$38*INDEX(AdditionalVehs!$AA$46:$AK$91,MATCH($C680,AdditionalVehs!$C$46:$C$91,0),MATCH(K$7,AdditionalVehs!$AA$45:$AK$45,0))</f>
        <v>#REF!</v>
      </c>
      <c r="L680" s="86" t="e">
        <f>GDPdeflator!$C$38*INDEX(AdditionalVehs!$AA$46:$AK$91,MATCH($C680,AdditionalVehs!$C$46:$C$91,0),MATCH(L$7,AdditionalVehs!$AA$45:$AK$45,0))</f>
        <v>#REF!</v>
      </c>
      <c r="M680" s="86" t="e">
        <f>GDPdeflator!$C$38*INDEX(AdditionalVehs!$AA$46:$AK$91,MATCH($C680,AdditionalVehs!$C$46:$C$91,0),MATCH(M$7,AdditionalVehs!$AA$45:$AK$45,0))</f>
        <v>#REF!</v>
      </c>
      <c r="N680" s="86" t="e">
        <f>GDPdeflator!$C$38*INDEX(AdditionalVehs!$AA$46:$AK$91,MATCH($C680,AdditionalVehs!$C$46:$C$91,0),MATCH(N$7,AdditionalVehs!$AA$45:$AK$45,0))</f>
        <v>#REF!</v>
      </c>
      <c r="O680" s="86" t="e">
        <f>GDPdeflator!$C$38*INDEX(AdditionalVehs!$AA$46:$AK$91,MATCH($C680,AdditionalVehs!$C$46:$C$91,0),MATCH(O$7,AdditionalVehs!$AA$45:$AK$45,0))</f>
        <v>#REF!</v>
      </c>
      <c r="P680" s="87" t="e">
        <f t="shared" ref="P680:P687" si="296">E680/$AI$18*10^6</f>
        <v>#REF!</v>
      </c>
      <c r="Q680" s="87" t="e">
        <f t="shared" si="290"/>
        <v>#REF!</v>
      </c>
      <c r="R680" s="87" t="e">
        <f t="shared" si="289"/>
        <v>#REF!</v>
      </c>
      <c r="S680" s="87" t="e">
        <f t="shared" si="295"/>
        <v>#REF!</v>
      </c>
      <c r="T680" s="87" t="e">
        <f t="shared" si="295"/>
        <v>#REF!</v>
      </c>
      <c r="U680" s="87" t="e">
        <f t="shared" si="295"/>
        <v>#REF!</v>
      </c>
      <c r="V680" s="87" t="e">
        <f t="shared" si="295"/>
        <v>#REF!</v>
      </c>
      <c r="W680" s="87" t="e">
        <f t="shared" si="295"/>
        <v>#REF!</v>
      </c>
      <c r="X680" s="87" t="e">
        <f t="shared" si="295"/>
        <v>#REF!</v>
      </c>
      <c r="Y680" s="87" t="e">
        <f t="shared" si="295"/>
        <v>#REF!</v>
      </c>
      <c r="Z680" s="87" t="e">
        <f t="shared" si="295"/>
        <v>#REF!</v>
      </c>
      <c r="AA680" s="40">
        <v>473</v>
      </c>
      <c r="AB680" s="89">
        <f>AA680*GDPdeflator!$C$25/$AI$18*10^3</f>
        <v>45.478712808157368</v>
      </c>
      <c r="AC680" s="90" t="e">
        <f>INDEX(AdditionalVehs!$E$46:$N$91,MATCH(C680,AdditionalVehs!$C$46:$C$91),MATCH(D680,AdditionalVehs!$E$45:$N$45))</f>
        <v>#REF!</v>
      </c>
      <c r="AD680" s="90" t="e">
        <f t="shared" si="287"/>
        <v>#REF!</v>
      </c>
      <c r="AE680" s="90" t="e">
        <f>INDEX(AdditionalVehs!$P$46:$Y$91,MATCH(C680,AdditionalVehs!$C$46:$C$91),MATCH(D680,AdditionalVehs!$AA$45:$AJ$45))</f>
        <v>#REF!</v>
      </c>
      <c r="AF680" s="90" t="e">
        <f t="shared" si="292"/>
        <v>#REF!</v>
      </c>
      <c r="AG680" s="90">
        <v>0</v>
      </c>
    </row>
    <row r="681" spans="1:33" x14ac:dyDescent="0.2">
      <c r="A681" s="92" t="s">
        <v>2197</v>
      </c>
      <c r="B681" s="248" t="s">
        <v>2198</v>
      </c>
      <c r="C681" s="40" t="s">
        <v>2194</v>
      </c>
      <c r="D681" s="40">
        <v>2020</v>
      </c>
      <c r="E681" s="86" t="e">
        <f>GDPdeflator!$C$32*INDEX(AdditionalVehs!$AA$46:$AK$91,MATCH($C681,AdditionalVehs!$C$46:$C$91,0),MATCH(E$7,AdditionalVehs!$AA$45:$AK$45,0))</f>
        <v>#REF!</v>
      </c>
      <c r="F681" s="86" t="e">
        <f>GDPdeflator!$C$36*INDEX(AdditionalVehs!$AA$46:$AK$91,MATCH($C681,AdditionalVehs!$C$46:$C$91,0),MATCH(F$7,AdditionalVehs!$AA$45:$AK$45,0))</f>
        <v>#REF!</v>
      </c>
      <c r="G681" s="86" t="e">
        <f>GDPdeflator!$C$38*INDEX(AdditionalVehs!$AA$46:$AK$91,MATCH($C681,AdditionalVehs!$C$46:$C$91,0),MATCH(G$7,AdditionalVehs!$AA$45:$AK$45,0))</f>
        <v>#REF!</v>
      </c>
      <c r="H681" s="86" t="e">
        <f>GDPdeflator!$C$38*INDEX(AdditionalVehs!$AA$46:$AK$91,MATCH($C681,AdditionalVehs!$C$46:$C$91,0),MATCH(H$7,AdditionalVehs!$AA$45:$AK$45,0))</f>
        <v>#REF!</v>
      </c>
      <c r="I681" s="86" t="e">
        <f>GDPdeflator!$C$38*INDEX(AdditionalVehs!$AA$46:$AK$91,MATCH($C681,AdditionalVehs!$C$46:$C$91,0),MATCH(I$7,AdditionalVehs!$AA$45:$AK$45,0))</f>
        <v>#REF!</v>
      </c>
      <c r="J681" s="86" t="e">
        <f>GDPdeflator!$C$38*INDEX(AdditionalVehs!$AA$46:$AK$91,MATCH($C681,AdditionalVehs!$C$46:$C$91,0),MATCH(J$7,AdditionalVehs!$AA$45:$AK$45,0))</f>
        <v>#REF!</v>
      </c>
      <c r="K681" s="86" t="e">
        <f>GDPdeflator!$C$38*INDEX(AdditionalVehs!$AA$46:$AK$91,MATCH($C681,AdditionalVehs!$C$46:$C$91,0),MATCH(K$7,AdditionalVehs!$AA$45:$AK$45,0))</f>
        <v>#REF!</v>
      </c>
      <c r="L681" s="86" t="e">
        <f>GDPdeflator!$C$38*INDEX(AdditionalVehs!$AA$46:$AK$91,MATCH($C681,AdditionalVehs!$C$46:$C$91,0),MATCH(L$7,AdditionalVehs!$AA$45:$AK$45,0))</f>
        <v>#REF!</v>
      </c>
      <c r="M681" s="86" t="e">
        <f>GDPdeflator!$C$38*INDEX(AdditionalVehs!$AA$46:$AK$91,MATCH($C681,AdditionalVehs!$C$46:$C$91,0),MATCH(M$7,AdditionalVehs!$AA$45:$AK$45,0))</f>
        <v>#REF!</v>
      </c>
      <c r="N681" s="86" t="e">
        <f>GDPdeflator!$C$38*INDEX(AdditionalVehs!$AA$46:$AK$91,MATCH($C681,AdditionalVehs!$C$46:$C$91,0),MATCH(N$7,AdditionalVehs!$AA$45:$AK$45,0))</f>
        <v>#REF!</v>
      </c>
      <c r="O681" s="86" t="e">
        <f>GDPdeflator!$C$38*INDEX(AdditionalVehs!$AA$46:$AK$91,MATCH($C681,AdditionalVehs!$C$46:$C$91,0),MATCH(O$7,AdditionalVehs!$AA$45:$AK$45,0))</f>
        <v>#REF!</v>
      </c>
      <c r="P681" s="87" t="e">
        <f t="shared" si="296"/>
        <v>#REF!</v>
      </c>
      <c r="Q681" s="87" t="e">
        <f t="shared" si="290"/>
        <v>#REF!</v>
      </c>
      <c r="R681" s="87" t="e">
        <f t="shared" si="289"/>
        <v>#REF!</v>
      </c>
      <c r="S681" s="87" t="e">
        <f t="shared" si="295"/>
        <v>#REF!</v>
      </c>
      <c r="T681" s="87" t="e">
        <f t="shared" si="295"/>
        <v>#REF!</v>
      </c>
      <c r="U681" s="87" t="e">
        <f t="shared" si="295"/>
        <v>#REF!</v>
      </c>
      <c r="V681" s="87" t="e">
        <f t="shared" si="295"/>
        <v>#REF!</v>
      </c>
      <c r="W681" s="87" t="e">
        <f t="shared" si="295"/>
        <v>#REF!</v>
      </c>
      <c r="X681" s="87" t="e">
        <f t="shared" si="295"/>
        <v>#REF!</v>
      </c>
      <c r="Y681" s="87" t="e">
        <f t="shared" si="295"/>
        <v>#REF!</v>
      </c>
      <c r="Z681" s="87" t="e">
        <f t="shared" si="295"/>
        <v>#REF!</v>
      </c>
      <c r="AA681" s="40">
        <v>473</v>
      </c>
      <c r="AB681" s="89">
        <f>AA681*GDPdeflator!$C$25/$AI$18*10^3</f>
        <v>45.478712808157368</v>
      </c>
      <c r="AC681" s="90" t="e">
        <f>INDEX(AdditionalVehs!$E$46:$N$91,MATCH(C681,AdditionalVehs!$C$46:$C$91),MATCH(D681,AdditionalVehs!$E$45:$N$45))</f>
        <v>#REF!</v>
      </c>
      <c r="AD681" s="90" t="e">
        <f t="shared" si="287"/>
        <v>#REF!</v>
      </c>
      <c r="AE681" s="90" t="e">
        <f>INDEX(AdditionalVehs!$P$46:$Y$91,MATCH(C681,AdditionalVehs!$C$46:$C$91),MATCH(D681,AdditionalVehs!$AA$45:$AJ$45))</f>
        <v>#REF!</v>
      </c>
      <c r="AF681" s="90" t="e">
        <f t="shared" si="292"/>
        <v>#REF!</v>
      </c>
      <c r="AG681" s="90">
        <v>0</v>
      </c>
    </row>
    <row r="682" spans="1:33" x14ac:dyDescent="0.2">
      <c r="A682" s="92" t="s">
        <v>2199</v>
      </c>
      <c r="B682" s="248" t="s">
        <v>2200</v>
      </c>
      <c r="C682" s="40" t="s">
        <v>2194</v>
      </c>
      <c r="D682" s="40">
        <v>2025</v>
      </c>
      <c r="E682" s="86" t="e">
        <f>GDPdeflator!$C$32*INDEX(AdditionalVehs!$AA$46:$AK$91,MATCH($C682,AdditionalVehs!$C$46:$C$91,0),MATCH(E$7,AdditionalVehs!$AA$45:$AK$45,0))</f>
        <v>#REF!</v>
      </c>
      <c r="F682" s="86" t="e">
        <f>GDPdeflator!$C$36*INDEX(AdditionalVehs!$AA$46:$AK$91,MATCH($C682,AdditionalVehs!$C$46:$C$91,0),MATCH(F$7,AdditionalVehs!$AA$45:$AK$45,0))</f>
        <v>#REF!</v>
      </c>
      <c r="G682" s="86" t="e">
        <f>GDPdeflator!$C$38*INDEX(AdditionalVehs!$AA$46:$AK$91,MATCH($C682,AdditionalVehs!$C$46:$C$91,0),MATCH(G$7,AdditionalVehs!$AA$45:$AK$45,0))</f>
        <v>#REF!</v>
      </c>
      <c r="H682" s="86" t="e">
        <f>GDPdeflator!$C$38*INDEX(AdditionalVehs!$AA$46:$AK$91,MATCH($C682,AdditionalVehs!$C$46:$C$91,0),MATCH(H$7,AdditionalVehs!$AA$45:$AK$45,0))</f>
        <v>#REF!</v>
      </c>
      <c r="I682" s="86" t="e">
        <f>GDPdeflator!$C$38*INDEX(AdditionalVehs!$AA$46:$AK$91,MATCH($C682,AdditionalVehs!$C$46:$C$91,0),MATCH(I$7,AdditionalVehs!$AA$45:$AK$45,0))</f>
        <v>#REF!</v>
      </c>
      <c r="J682" s="86" t="e">
        <f>GDPdeflator!$C$38*INDEX(AdditionalVehs!$AA$46:$AK$91,MATCH($C682,AdditionalVehs!$C$46:$C$91,0),MATCH(J$7,AdditionalVehs!$AA$45:$AK$45,0))</f>
        <v>#REF!</v>
      </c>
      <c r="K682" s="86" t="e">
        <f>GDPdeflator!$C$38*INDEX(AdditionalVehs!$AA$46:$AK$91,MATCH($C682,AdditionalVehs!$C$46:$C$91,0),MATCH(K$7,AdditionalVehs!$AA$45:$AK$45,0))</f>
        <v>#REF!</v>
      </c>
      <c r="L682" s="86" t="e">
        <f>GDPdeflator!$C$38*INDEX(AdditionalVehs!$AA$46:$AK$91,MATCH($C682,AdditionalVehs!$C$46:$C$91,0),MATCH(L$7,AdditionalVehs!$AA$45:$AK$45,0))</f>
        <v>#REF!</v>
      </c>
      <c r="M682" s="86" t="e">
        <f>GDPdeflator!$C$38*INDEX(AdditionalVehs!$AA$46:$AK$91,MATCH($C682,AdditionalVehs!$C$46:$C$91,0),MATCH(M$7,AdditionalVehs!$AA$45:$AK$45,0))</f>
        <v>#REF!</v>
      </c>
      <c r="N682" s="86" t="e">
        <f>GDPdeflator!$C$38*INDEX(AdditionalVehs!$AA$46:$AK$91,MATCH($C682,AdditionalVehs!$C$46:$C$91,0),MATCH(N$7,AdditionalVehs!$AA$45:$AK$45,0))</f>
        <v>#REF!</v>
      </c>
      <c r="O682" s="86" t="e">
        <f>GDPdeflator!$C$38*INDEX(AdditionalVehs!$AA$46:$AK$91,MATCH($C682,AdditionalVehs!$C$46:$C$91,0),MATCH(O$7,AdditionalVehs!$AA$45:$AK$45,0))</f>
        <v>#REF!</v>
      </c>
      <c r="P682" s="87" t="e">
        <f t="shared" si="296"/>
        <v>#REF!</v>
      </c>
      <c r="Q682" s="87" t="e">
        <f t="shared" si="290"/>
        <v>#REF!</v>
      </c>
      <c r="R682" s="87" t="e">
        <f t="shared" si="289"/>
        <v>#REF!</v>
      </c>
      <c r="S682" s="87" t="e">
        <f t="shared" si="295"/>
        <v>#REF!</v>
      </c>
      <c r="T682" s="87" t="e">
        <f t="shared" si="295"/>
        <v>#REF!</v>
      </c>
      <c r="U682" s="87" t="e">
        <f t="shared" si="295"/>
        <v>#REF!</v>
      </c>
      <c r="V682" s="87" t="e">
        <f t="shared" si="295"/>
        <v>#REF!</v>
      </c>
      <c r="W682" s="87" t="e">
        <f t="shared" si="295"/>
        <v>#REF!</v>
      </c>
      <c r="X682" s="87" t="e">
        <f t="shared" si="295"/>
        <v>#REF!</v>
      </c>
      <c r="Y682" s="87" t="e">
        <f t="shared" si="295"/>
        <v>#REF!</v>
      </c>
      <c r="Z682" s="87" t="e">
        <f t="shared" si="295"/>
        <v>#REF!</v>
      </c>
      <c r="AA682" s="40">
        <v>473</v>
      </c>
      <c r="AB682" s="89">
        <f>AA682*GDPdeflator!$C$25/$AI$18*10^3</f>
        <v>45.478712808157368</v>
      </c>
      <c r="AC682" s="90" t="e">
        <f>INDEX(AdditionalVehs!$E$46:$N$91,MATCH(C682,AdditionalVehs!$C$46:$C$91),MATCH(D682,AdditionalVehs!$E$45:$N$45))</f>
        <v>#REF!</v>
      </c>
      <c r="AD682" s="90" t="e">
        <f t="shared" si="287"/>
        <v>#REF!</v>
      </c>
      <c r="AE682" s="90" t="e">
        <f>INDEX(AdditionalVehs!$P$46:$Y$91,MATCH(C682,AdditionalVehs!$C$46:$C$91),MATCH(D682,AdditionalVehs!$AA$45:$AJ$45))</f>
        <v>#REF!</v>
      </c>
      <c r="AF682" s="90" t="e">
        <f t="shared" si="292"/>
        <v>#REF!</v>
      </c>
      <c r="AG682" s="90">
        <v>0</v>
      </c>
    </row>
    <row r="683" spans="1:33" x14ac:dyDescent="0.2">
      <c r="A683" s="92" t="s">
        <v>2201</v>
      </c>
      <c r="B683" s="248" t="s">
        <v>2202</v>
      </c>
      <c r="C683" s="40" t="s">
        <v>2194</v>
      </c>
      <c r="D683" s="40">
        <v>2030</v>
      </c>
      <c r="E683" s="86" t="e">
        <f>GDPdeflator!$C$32*INDEX(AdditionalVehs!$AA$46:$AK$91,MATCH($C683,AdditionalVehs!$C$46:$C$91,0),MATCH(E$7,AdditionalVehs!$AA$45:$AK$45,0))</f>
        <v>#REF!</v>
      </c>
      <c r="F683" s="86" t="e">
        <f>GDPdeflator!$C$36*INDEX(AdditionalVehs!$AA$46:$AK$91,MATCH($C683,AdditionalVehs!$C$46:$C$91,0),MATCH(F$7,AdditionalVehs!$AA$45:$AK$45,0))</f>
        <v>#REF!</v>
      </c>
      <c r="G683" s="86" t="e">
        <f>GDPdeflator!$C$38*INDEX(AdditionalVehs!$AA$46:$AK$91,MATCH($C683,AdditionalVehs!$C$46:$C$91,0),MATCH(G$7,AdditionalVehs!$AA$45:$AK$45,0))</f>
        <v>#REF!</v>
      </c>
      <c r="H683" s="86" t="e">
        <f>GDPdeflator!$C$38*INDEX(AdditionalVehs!$AA$46:$AK$91,MATCH($C683,AdditionalVehs!$C$46:$C$91,0),MATCH(H$7,AdditionalVehs!$AA$45:$AK$45,0))</f>
        <v>#REF!</v>
      </c>
      <c r="I683" s="86" t="e">
        <f>GDPdeflator!$C$38*INDEX(AdditionalVehs!$AA$46:$AK$91,MATCH($C683,AdditionalVehs!$C$46:$C$91,0),MATCH(I$7,AdditionalVehs!$AA$45:$AK$45,0))</f>
        <v>#REF!</v>
      </c>
      <c r="J683" s="86" t="e">
        <f>GDPdeflator!$C$38*INDEX(AdditionalVehs!$AA$46:$AK$91,MATCH($C683,AdditionalVehs!$C$46:$C$91,0),MATCH(J$7,AdditionalVehs!$AA$45:$AK$45,0))</f>
        <v>#REF!</v>
      </c>
      <c r="K683" s="86" t="e">
        <f>GDPdeflator!$C$38*INDEX(AdditionalVehs!$AA$46:$AK$91,MATCH($C683,AdditionalVehs!$C$46:$C$91,0),MATCH(K$7,AdditionalVehs!$AA$45:$AK$45,0))</f>
        <v>#REF!</v>
      </c>
      <c r="L683" s="86" t="e">
        <f>GDPdeflator!$C$38*INDEX(AdditionalVehs!$AA$46:$AK$91,MATCH($C683,AdditionalVehs!$C$46:$C$91,0),MATCH(L$7,AdditionalVehs!$AA$45:$AK$45,0))</f>
        <v>#REF!</v>
      </c>
      <c r="M683" s="86" t="e">
        <f>GDPdeflator!$C$38*INDEX(AdditionalVehs!$AA$46:$AK$91,MATCH($C683,AdditionalVehs!$C$46:$C$91,0),MATCH(M$7,AdditionalVehs!$AA$45:$AK$45,0))</f>
        <v>#REF!</v>
      </c>
      <c r="N683" s="86" t="e">
        <f>GDPdeflator!$C$38*INDEX(AdditionalVehs!$AA$46:$AK$91,MATCH($C683,AdditionalVehs!$C$46:$C$91,0),MATCH(N$7,AdditionalVehs!$AA$45:$AK$45,0))</f>
        <v>#REF!</v>
      </c>
      <c r="O683" s="86" t="e">
        <f>GDPdeflator!$C$38*INDEX(AdditionalVehs!$AA$46:$AK$91,MATCH($C683,AdditionalVehs!$C$46:$C$91,0),MATCH(O$7,AdditionalVehs!$AA$45:$AK$45,0))</f>
        <v>#REF!</v>
      </c>
      <c r="P683" s="87" t="e">
        <f t="shared" si="296"/>
        <v>#REF!</v>
      </c>
      <c r="Q683" s="87" t="e">
        <f t="shared" si="290"/>
        <v>#REF!</v>
      </c>
      <c r="R683" s="87" t="e">
        <f t="shared" si="289"/>
        <v>#REF!</v>
      </c>
      <c r="S683" s="87" t="e">
        <f t="shared" si="295"/>
        <v>#REF!</v>
      </c>
      <c r="T683" s="87" t="e">
        <f t="shared" si="295"/>
        <v>#REF!</v>
      </c>
      <c r="U683" s="87" t="e">
        <f t="shared" si="295"/>
        <v>#REF!</v>
      </c>
      <c r="V683" s="87" t="e">
        <f t="shared" si="295"/>
        <v>#REF!</v>
      </c>
      <c r="W683" s="87" t="e">
        <f t="shared" si="295"/>
        <v>#REF!</v>
      </c>
      <c r="X683" s="87" t="e">
        <f t="shared" si="295"/>
        <v>#REF!</v>
      </c>
      <c r="Y683" s="87" t="e">
        <f t="shared" si="295"/>
        <v>#REF!</v>
      </c>
      <c r="Z683" s="87" t="e">
        <f t="shared" si="295"/>
        <v>#REF!</v>
      </c>
      <c r="AA683" s="40">
        <v>473</v>
      </c>
      <c r="AB683" s="89">
        <f>AA683*GDPdeflator!$C$25/$AI$18*10^3</f>
        <v>45.478712808157368</v>
      </c>
      <c r="AC683" s="90" t="e">
        <f>INDEX(AdditionalVehs!$E$46:$N$91,MATCH(C683,AdditionalVehs!$C$46:$C$91),MATCH(D683,AdditionalVehs!$E$45:$N$45))</f>
        <v>#REF!</v>
      </c>
      <c r="AD683" s="90" t="e">
        <f t="shared" si="287"/>
        <v>#REF!</v>
      </c>
      <c r="AE683" s="90" t="e">
        <f>INDEX(AdditionalVehs!$P$46:$Y$91,MATCH(C683,AdditionalVehs!$C$46:$C$91),MATCH(D683,AdditionalVehs!$AA$45:$AJ$45))</f>
        <v>#REF!</v>
      </c>
      <c r="AF683" s="90" t="e">
        <f t="shared" si="292"/>
        <v>#REF!</v>
      </c>
      <c r="AG683" s="90">
        <v>0</v>
      </c>
    </row>
    <row r="684" spans="1:33" x14ac:dyDescent="0.2">
      <c r="A684" s="92" t="s">
        <v>2203</v>
      </c>
      <c r="B684" s="248" t="s">
        <v>2204</v>
      </c>
      <c r="C684" s="40" t="s">
        <v>2194</v>
      </c>
      <c r="D684" s="40">
        <v>2035</v>
      </c>
      <c r="E684" s="86" t="e">
        <f>GDPdeflator!$C$32*INDEX(AdditionalVehs!$AA$46:$AK$91,MATCH($C684,AdditionalVehs!$C$46:$C$91,0),MATCH(E$7,AdditionalVehs!$AA$45:$AK$45,0))</f>
        <v>#REF!</v>
      </c>
      <c r="F684" s="86" t="e">
        <f>GDPdeflator!$C$36*INDEX(AdditionalVehs!$AA$46:$AK$91,MATCH($C684,AdditionalVehs!$C$46:$C$91,0),MATCH(F$7,AdditionalVehs!$AA$45:$AK$45,0))</f>
        <v>#REF!</v>
      </c>
      <c r="G684" s="86" t="e">
        <f>GDPdeflator!$C$38*INDEX(AdditionalVehs!$AA$46:$AK$91,MATCH($C684,AdditionalVehs!$C$46:$C$91,0),MATCH(G$7,AdditionalVehs!$AA$45:$AK$45,0))</f>
        <v>#REF!</v>
      </c>
      <c r="H684" s="86" t="e">
        <f>GDPdeflator!$C$38*INDEX(AdditionalVehs!$AA$46:$AK$91,MATCH($C684,AdditionalVehs!$C$46:$C$91,0),MATCH(H$7,AdditionalVehs!$AA$45:$AK$45,0))</f>
        <v>#REF!</v>
      </c>
      <c r="I684" s="86" t="e">
        <f>GDPdeflator!$C$38*INDEX(AdditionalVehs!$AA$46:$AK$91,MATCH($C684,AdditionalVehs!$C$46:$C$91,0),MATCH(I$7,AdditionalVehs!$AA$45:$AK$45,0))</f>
        <v>#REF!</v>
      </c>
      <c r="J684" s="86" t="e">
        <f>GDPdeflator!$C$38*INDEX(AdditionalVehs!$AA$46:$AK$91,MATCH($C684,AdditionalVehs!$C$46:$C$91,0),MATCH(J$7,AdditionalVehs!$AA$45:$AK$45,0))</f>
        <v>#REF!</v>
      </c>
      <c r="K684" s="86" t="e">
        <f>GDPdeflator!$C$38*INDEX(AdditionalVehs!$AA$46:$AK$91,MATCH($C684,AdditionalVehs!$C$46:$C$91,0),MATCH(K$7,AdditionalVehs!$AA$45:$AK$45,0))</f>
        <v>#REF!</v>
      </c>
      <c r="L684" s="86" t="e">
        <f>GDPdeflator!$C$38*INDEX(AdditionalVehs!$AA$46:$AK$91,MATCH($C684,AdditionalVehs!$C$46:$C$91,0),MATCH(L$7,AdditionalVehs!$AA$45:$AK$45,0))</f>
        <v>#REF!</v>
      </c>
      <c r="M684" s="86" t="e">
        <f>GDPdeflator!$C$38*INDEX(AdditionalVehs!$AA$46:$AK$91,MATCH($C684,AdditionalVehs!$C$46:$C$91,0),MATCH(M$7,AdditionalVehs!$AA$45:$AK$45,0))</f>
        <v>#REF!</v>
      </c>
      <c r="N684" s="86" t="e">
        <f>GDPdeflator!$C$38*INDEX(AdditionalVehs!$AA$46:$AK$91,MATCH($C684,AdditionalVehs!$C$46:$C$91,0),MATCH(N$7,AdditionalVehs!$AA$45:$AK$45,0))</f>
        <v>#REF!</v>
      </c>
      <c r="O684" s="86" t="e">
        <f>GDPdeflator!$C$38*INDEX(AdditionalVehs!$AA$46:$AK$91,MATCH($C684,AdditionalVehs!$C$46:$C$91,0),MATCH(O$7,AdditionalVehs!$AA$45:$AK$45,0))</f>
        <v>#REF!</v>
      </c>
      <c r="P684" s="87" t="e">
        <f t="shared" si="296"/>
        <v>#REF!</v>
      </c>
      <c r="Q684" s="87" t="e">
        <f t="shared" si="290"/>
        <v>#REF!</v>
      </c>
      <c r="R684" s="87" t="e">
        <f t="shared" si="289"/>
        <v>#REF!</v>
      </c>
      <c r="S684" s="87" t="e">
        <f t="shared" si="295"/>
        <v>#REF!</v>
      </c>
      <c r="T684" s="87" t="e">
        <f t="shared" si="295"/>
        <v>#REF!</v>
      </c>
      <c r="U684" s="87" t="e">
        <f t="shared" si="295"/>
        <v>#REF!</v>
      </c>
      <c r="V684" s="87" t="e">
        <f t="shared" si="295"/>
        <v>#REF!</v>
      </c>
      <c r="W684" s="87" t="e">
        <f t="shared" si="295"/>
        <v>#REF!</v>
      </c>
      <c r="X684" s="87" t="e">
        <f t="shared" si="295"/>
        <v>#REF!</v>
      </c>
      <c r="Y684" s="87" t="e">
        <f t="shared" si="295"/>
        <v>#REF!</v>
      </c>
      <c r="Z684" s="87" t="e">
        <f t="shared" si="295"/>
        <v>#REF!</v>
      </c>
      <c r="AA684" s="40">
        <v>473</v>
      </c>
      <c r="AB684" s="89">
        <f>AA684*GDPdeflator!$C$25/$AI$18*10^3</f>
        <v>45.478712808157368</v>
      </c>
      <c r="AC684" s="90" t="e">
        <f>INDEX(AdditionalVehs!$E$46:$N$91,MATCH(C684,AdditionalVehs!$C$46:$C$91),MATCH(D684,AdditionalVehs!$E$45:$N$45))</f>
        <v>#REF!</v>
      </c>
      <c r="AD684" s="90" t="e">
        <f t="shared" si="287"/>
        <v>#REF!</v>
      </c>
      <c r="AE684" s="90" t="e">
        <f>INDEX(AdditionalVehs!$P$46:$Y$91,MATCH(C684,AdditionalVehs!$C$46:$C$91),MATCH(D684,AdditionalVehs!$AA$45:$AJ$45))</f>
        <v>#REF!</v>
      </c>
      <c r="AF684" s="90" t="e">
        <f t="shared" si="292"/>
        <v>#REF!</v>
      </c>
      <c r="AG684" s="90">
        <v>0</v>
      </c>
    </row>
    <row r="685" spans="1:33" x14ac:dyDescent="0.2">
      <c r="A685" s="92" t="s">
        <v>2205</v>
      </c>
      <c r="B685" s="248" t="s">
        <v>2206</v>
      </c>
      <c r="C685" s="40" t="s">
        <v>2194</v>
      </c>
      <c r="D685" s="40">
        <v>2040</v>
      </c>
      <c r="E685" s="86" t="e">
        <f>GDPdeflator!$C$32*INDEX(AdditionalVehs!$AA$46:$AK$91,MATCH($C685,AdditionalVehs!$C$46:$C$91,0),MATCH(E$7,AdditionalVehs!$AA$45:$AK$45,0))</f>
        <v>#REF!</v>
      </c>
      <c r="F685" s="86" t="e">
        <f>GDPdeflator!$C$36*INDEX(AdditionalVehs!$AA$46:$AK$91,MATCH($C685,AdditionalVehs!$C$46:$C$91,0),MATCH(F$7,AdditionalVehs!$AA$45:$AK$45,0))</f>
        <v>#REF!</v>
      </c>
      <c r="G685" s="86" t="e">
        <f>GDPdeflator!$C$38*INDEX(AdditionalVehs!$AA$46:$AK$91,MATCH($C685,AdditionalVehs!$C$46:$C$91,0),MATCH(G$7,AdditionalVehs!$AA$45:$AK$45,0))</f>
        <v>#REF!</v>
      </c>
      <c r="H685" s="86" t="e">
        <f>GDPdeflator!$C$38*INDEX(AdditionalVehs!$AA$46:$AK$91,MATCH($C685,AdditionalVehs!$C$46:$C$91,0),MATCH(H$7,AdditionalVehs!$AA$45:$AK$45,0))</f>
        <v>#REF!</v>
      </c>
      <c r="I685" s="86" t="e">
        <f>GDPdeflator!$C$38*INDEX(AdditionalVehs!$AA$46:$AK$91,MATCH($C685,AdditionalVehs!$C$46:$C$91,0),MATCH(I$7,AdditionalVehs!$AA$45:$AK$45,0))</f>
        <v>#REF!</v>
      </c>
      <c r="J685" s="86" t="e">
        <f>GDPdeflator!$C$38*INDEX(AdditionalVehs!$AA$46:$AK$91,MATCH($C685,AdditionalVehs!$C$46:$C$91,0),MATCH(J$7,AdditionalVehs!$AA$45:$AK$45,0))</f>
        <v>#REF!</v>
      </c>
      <c r="K685" s="86" t="e">
        <f>GDPdeflator!$C$38*INDEX(AdditionalVehs!$AA$46:$AK$91,MATCH($C685,AdditionalVehs!$C$46:$C$91,0),MATCH(K$7,AdditionalVehs!$AA$45:$AK$45,0))</f>
        <v>#REF!</v>
      </c>
      <c r="L685" s="86" t="e">
        <f>GDPdeflator!$C$38*INDEX(AdditionalVehs!$AA$46:$AK$91,MATCH($C685,AdditionalVehs!$C$46:$C$91,0),MATCH(L$7,AdditionalVehs!$AA$45:$AK$45,0))</f>
        <v>#REF!</v>
      </c>
      <c r="M685" s="86" t="e">
        <f>GDPdeflator!$C$38*INDEX(AdditionalVehs!$AA$46:$AK$91,MATCH($C685,AdditionalVehs!$C$46:$C$91,0),MATCH(M$7,AdditionalVehs!$AA$45:$AK$45,0))</f>
        <v>#REF!</v>
      </c>
      <c r="N685" s="86" t="e">
        <f>GDPdeflator!$C$38*INDEX(AdditionalVehs!$AA$46:$AK$91,MATCH($C685,AdditionalVehs!$C$46:$C$91,0),MATCH(N$7,AdditionalVehs!$AA$45:$AK$45,0))</f>
        <v>#REF!</v>
      </c>
      <c r="O685" s="86" t="e">
        <f>GDPdeflator!$C$38*INDEX(AdditionalVehs!$AA$46:$AK$91,MATCH($C685,AdditionalVehs!$C$46:$C$91,0),MATCH(O$7,AdditionalVehs!$AA$45:$AK$45,0))</f>
        <v>#REF!</v>
      </c>
      <c r="P685" s="87" t="e">
        <f t="shared" si="296"/>
        <v>#REF!</v>
      </c>
      <c r="Q685" s="87" t="e">
        <f t="shared" si="290"/>
        <v>#REF!</v>
      </c>
      <c r="R685" s="87" t="e">
        <f t="shared" si="289"/>
        <v>#REF!</v>
      </c>
      <c r="S685" s="87" t="e">
        <f t="shared" si="295"/>
        <v>#REF!</v>
      </c>
      <c r="T685" s="87" t="e">
        <f t="shared" si="295"/>
        <v>#REF!</v>
      </c>
      <c r="U685" s="87" t="e">
        <f t="shared" si="295"/>
        <v>#REF!</v>
      </c>
      <c r="V685" s="87" t="e">
        <f t="shared" si="295"/>
        <v>#REF!</v>
      </c>
      <c r="W685" s="87" t="e">
        <f t="shared" si="295"/>
        <v>#REF!</v>
      </c>
      <c r="X685" s="87" t="e">
        <f t="shared" si="295"/>
        <v>#REF!</v>
      </c>
      <c r="Y685" s="87" t="e">
        <f t="shared" si="295"/>
        <v>#REF!</v>
      </c>
      <c r="Z685" s="87" t="e">
        <f t="shared" si="295"/>
        <v>#REF!</v>
      </c>
      <c r="AA685" s="40">
        <v>473</v>
      </c>
      <c r="AB685" s="89">
        <f>AA685*GDPdeflator!$C$25/$AI$18*10^3</f>
        <v>45.478712808157368</v>
      </c>
      <c r="AC685" s="90" t="e">
        <f>INDEX(AdditionalVehs!$E$46:$N$91,MATCH(C685,AdditionalVehs!$C$46:$C$91),MATCH(D685,AdditionalVehs!$E$45:$N$45))</f>
        <v>#REF!</v>
      </c>
      <c r="AD685" s="90" t="e">
        <f t="shared" si="287"/>
        <v>#REF!</v>
      </c>
      <c r="AE685" s="90" t="e">
        <f>INDEX(AdditionalVehs!$P$46:$Y$91,MATCH(C685,AdditionalVehs!$C$46:$C$91),MATCH(D685,AdditionalVehs!$AA$45:$AJ$45))</f>
        <v>#REF!</v>
      </c>
      <c r="AF685" s="90" t="e">
        <f t="shared" si="292"/>
        <v>#REF!</v>
      </c>
      <c r="AG685" s="90">
        <v>0</v>
      </c>
    </row>
    <row r="686" spans="1:33" x14ac:dyDescent="0.2">
      <c r="A686" s="92" t="s">
        <v>2207</v>
      </c>
      <c r="B686" s="248" t="s">
        <v>2208</v>
      </c>
      <c r="C686" s="40" t="s">
        <v>2194</v>
      </c>
      <c r="D686" s="40">
        <v>2045</v>
      </c>
      <c r="E686" s="86" t="e">
        <f>GDPdeflator!$C$32*INDEX(AdditionalVehs!$AA$46:$AK$91,MATCH($C686,AdditionalVehs!$C$46:$C$91,0),MATCH(E$7,AdditionalVehs!$AA$45:$AK$45,0))</f>
        <v>#REF!</v>
      </c>
      <c r="F686" s="86" t="e">
        <f>GDPdeflator!$C$36*INDEX(AdditionalVehs!$AA$46:$AK$91,MATCH($C686,AdditionalVehs!$C$46:$C$91,0),MATCH(F$7,AdditionalVehs!$AA$45:$AK$45,0))</f>
        <v>#REF!</v>
      </c>
      <c r="G686" s="86" t="e">
        <f>GDPdeflator!$C$38*INDEX(AdditionalVehs!$AA$46:$AK$91,MATCH($C686,AdditionalVehs!$C$46:$C$91,0),MATCH(G$7,AdditionalVehs!$AA$45:$AK$45,0))</f>
        <v>#REF!</v>
      </c>
      <c r="H686" s="86" t="e">
        <f>GDPdeflator!$C$38*INDEX(AdditionalVehs!$AA$46:$AK$91,MATCH($C686,AdditionalVehs!$C$46:$C$91,0),MATCH(H$7,AdditionalVehs!$AA$45:$AK$45,0))</f>
        <v>#REF!</v>
      </c>
      <c r="I686" s="86" t="e">
        <f>GDPdeflator!$C$38*INDEX(AdditionalVehs!$AA$46:$AK$91,MATCH($C686,AdditionalVehs!$C$46:$C$91,0),MATCH(I$7,AdditionalVehs!$AA$45:$AK$45,0))</f>
        <v>#REF!</v>
      </c>
      <c r="J686" s="86" t="e">
        <f>GDPdeflator!$C$38*INDEX(AdditionalVehs!$AA$46:$AK$91,MATCH($C686,AdditionalVehs!$C$46:$C$91,0),MATCH(J$7,AdditionalVehs!$AA$45:$AK$45,0))</f>
        <v>#REF!</v>
      </c>
      <c r="K686" s="86" t="e">
        <f>GDPdeflator!$C$38*INDEX(AdditionalVehs!$AA$46:$AK$91,MATCH($C686,AdditionalVehs!$C$46:$C$91,0),MATCH(K$7,AdditionalVehs!$AA$45:$AK$45,0))</f>
        <v>#REF!</v>
      </c>
      <c r="L686" s="86" t="e">
        <f>GDPdeflator!$C$38*INDEX(AdditionalVehs!$AA$46:$AK$91,MATCH($C686,AdditionalVehs!$C$46:$C$91,0),MATCH(L$7,AdditionalVehs!$AA$45:$AK$45,0))</f>
        <v>#REF!</v>
      </c>
      <c r="M686" s="86" t="e">
        <f>GDPdeflator!$C$38*INDEX(AdditionalVehs!$AA$46:$AK$91,MATCH($C686,AdditionalVehs!$C$46:$C$91,0),MATCH(M$7,AdditionalVehs!$AA$45:$AK$45,0))</f>
        <v>#REF!</v>
      </c>
      <c r="N686" s="86" t="e">
        <f>GDPdeflator!$C$38*INDEX(AdditionalVehs!$AA$46:$AK$91,MATCH($C686,AdditionalVehs!$C$46:$C$91,0),MATCH(N$7,AdditionalVehs!$AA$45:$AK$45,0))</f>
        <v>#REF!</v>
      </c>
      <c r="O686" s="86" t="e">
        <f>GDPdeflator!$C$38*INDEX(AdditionalVehs!$AA$46:$AK$91,MATCH($C686,AdditionalVehs!$C$46:$C$91,0),MATCH(O$7,AdditionalVehs!$AA$45:$AK$45,0))</f>
        <v>#REF!</v>
      </c>
      <c r="P686" s="87" t="e">
        <f t="shared" si="296"/>
        <v>#REF!</v>
      </c>
      <c r="Q686" s="87" t="e">
        <f t="shared" si="290"/>
        <v>#REF!</v>
      </c>
      <c r="R686" s="87" t="e">
        <f t="shared" si="289"/>
        <v>#REF!</v>
      </c>
      <c r="S686" s="87" t="e">
        <f t="shared" si="295"/>
        <v>#REF!</v>
      </c>
      <c r="T686" s="87" t="e">
        <f t="shared" si="295"/>
        <v>#REF!</v>
      </c>
      <c r="U686" s="87" t="e">
        <f t="shared" si="295"/>
        <v>#REF!</v>
      </c>
      <c r="V686" s="87" t="e">
        <f t="shared" si="295"/>
        <v>#REF!</v>
      </c>
      <c r="W686" s="87" t="e">
        <f t="shared" si="295"/>
        <v>#REF!</v>
      </c>
      <c r="X686" s="87" t="e">
        <f t="shared" si="295"/>
        <v>#REF!</v>
      </c>
      <c r="Y686" s="87" t="e">
        <f t="shared" si="295"/>
        <v>#REF!</v>
      </c>
      <c r="Z686" s="87" t="e">
        <f t="shared" si="295"/>
        <v>#REF!</v>
      </c>
      <c r="AA686" s="40">
        <v>473</v>
      </c>
      <c r="AB686" s="89">
        <f>AA686*GDPdeflator!$C$25/$AI$18*10^3</f>
        <v>45.478712808157368</v>
      </c>
      <c r="AC686" s="90" t="e">
        <f>INDEX(AdditionalVehs!$E$46:$N$91,MATCH(C686,AdditionalVehs!$C$46:$C$91),MATCH(D686,AdditionalVehs!$E$45:$N$45))</f>
        <v>#REF!</v>
      </c>
      <c r="AD686" s="90" t="e">
        <f t="shared" si="287"/>
        <v>#REF!</v>
      </c>
      <c r="AE686" s="90" t="e">
        <f>INDEX(AdditionalVehs!$P$46:$Y$91,MATCH(C686,AdditionalVehs!$C$46:$C$91),MATCH(D686,AdditionalVehs!$AA$45:$AJ$45))</f>
        <v>#REF!</v>
      </c>
      <c r="AF686" s="90" t="e">
        <f t="shared" si="292"/>
        <v>#REF!</v>
      </c>
      <c r="AG686" s="90">
        <v>0</v>
      </c>
    </row>
    <row r="687" spans="1:33" x14ac:dyDescent="0.2">
      <c r="A687" s="92" t="s">
        <v>2209</v>
      </c>
      <c r="B687" s="248" t="s">
        <v>2210</v>
      </c>
      <c r="C687" s="40" t="s">
        <v>2194</v>
      </c>
      <c r="D687" s="40">
        <v>2050</v>
      </c>
      <c r="E687" s="86" t="e">
        <f>GDPdeflator!$C$32*INDEX(AdditionalVehs!$AA$46:$AK$91,MATCH($C687,AdditionalVehs!$C$46:$C$91,0),MATCH(E$7,AdditionalVehs!$AA$45:$AK$45,0))</f>
        <v>#REF!</v>
      </c>
      <c r="F687" s="86" t="e">
        <f>GDPdeflator!$C$36*INDEX(AdditionalVehs!$AA$46:$AK$91,MATCH($C687,AdditionalVehs!$C$46:$C$91,0),MATCH(F$7,AdditionalVehs!$AA$45:$AK$45,0))</f>
        <v>#REF!</v>
      </c>
      <c r="G687" s="86" t="e">
        <f>GDPdeflator!$C$38*INDEX(AdditionalVehs!$AA$46:$AK$91,MATCH($C687,AdditionalVehs!$C$46:$C$91,0),MATCH(G$7,AdditionalVehs!$AA$45:$AK$45,0))</f>
        <v>#REF!</v>
      </c>
      <c r="H687" s="86" t="e">
        <f>GDPdeflator!$C$38*INDEX(AdditionalVehs!$AA$46:$AK$91,MATCH($C687,AdditionalVehs!$C$46:$C$91,0),MATCH(H$7,AdditionalVehs!$AA$45:$AK$45,0))</f>
        <v>#REF!</v>
      </c>
      <c r="I687" s="86" t="e">
        <f>GDPdeflator!$C$38*INDEX(AdditionalVehs!$AA$46:$AK$91,MATCH($C687,AdditionalVehs!$C$46:$C$91,0),MATCH(I$7,AdditionalVehs!$AA$45:$AK$45,0))</f>
        <v>#REF!</v>
      </c>
      <c r="J687" s="86" t="e">
        <f>GDPdeflator!$C$38*INDEX(AdditionalVehs!$AA$46:$AK$91,MATCH($C687,AdditionalVehs!$C$46:$C$91,0),MATCH(J$7,AdditionalVehs!$AA$45:$AK$45,0))</f>
        <v>#REF!</v>
      </c>
      <c r="K687" s="86" t="e">
        <f>GDPdeflator!$C$38*INDEX(AdditionalVehs!$AA$46:$AK$91,MATCH($C687,AdditionalVehs!$C$46:$C$91,0),MATCH(K$7,AdditionalVehs!$AA$45:$AK$45,0))</f>
        <v>#REF!</v>
      </c>
      <c r="L687" s="86" t="e">
        <f>GDPdeflator!$C$38*INDEX(AdditionalVehs!$AA$46:$AK$91,MATCH($C687,AdditionalVehs!$C$46:$C$91,0),MATCH(L$7,AdditionalVehs!$AA$45:$AK$45,0))</f>
        <v>#REF!</v>
      </c>
      <c r="M687" s="86" t="e">
        <f>GDPdeflator!$C$38*INDEX(AdditionalVehs!$AA$46:$AK$91,MATCH($C687,AdditionalVehs!$C$46:$C$91,0),MATCH(M$7,AdditionalVehs!$AA$45:$AK$45,0))</f>
        <v>#REF!</v>
      </c>
      <c r="N687" s="86" t="e">
        <f>GDPdeflator!$C$38*INDEX(AdditionalVehs!$AA$46:$AK$91,MATCH($C687,AdditionalVehs!$C$46:$C$91,0),MATCH(N$7,AdditionalVehs!$AA$45:$AK$45,0))</f>
        <v>#REF!</v>
      </c>
      <c r="O687" s="86" t="e">
        <f>GDPdeflator!$C$38*INDEX(AdditionalVehs!$AA$46:$AK$91,MATCH($C687,AdditionalVehs!$C$46:$C$91,0),MATCH(O$7,AdditionalVehs!$AA$45:$AK$45,0))</f>
        <v>#REF!</v>
      </c>
      <c r="P687" s="87" t="e">
        <f t="shared" si="296"/>
        <v>#REF!</v>
      </c>
      <c r="Q687" s="87" t="e">
        <f t="shared" si="290"/>
        <v>#REF!</v>
      </c>
      <c r="R687" s="87" t="e">
        <f t="shared" si="289"/>
        <v>#REF!</v>
      </c>
      <c r="S687" s="87" t="e">
        <f t="shared" si="295"/>
        <v>#REF!</v>
      </c>
      <c r="T687" s="87" t="e">
        <f t="shared" si="295"/>
        <v>#REF!</v>
      </c>
      <c r="U687" s="87" t="e">
        <f t="shared" si="295"/>
        <v>#REF!</v>
      </c>
      <c r="V687" s="87" t="e">
        <f t="shared" si="295"/>
        <v>#REF!</v>
      </c>
      <c r="W687" s="87" t="e">
        <f t="shared" si="295"/>
        <v>#REF!</v>
      </c>
      <c r="X687" s="87" t="e">
        <f t="shared" si="295"/>
        <v>#REF!</v>
      </c>
      <c r="Y687" s="87" t="e">
        <f t="shared" si="295"/>
        <v>#REF!</v>
      </c>
      <c r="Z687" s="87" t="e">
        <f t="shared" si="295"/>
        <v>#REF!</v>
      </c>
      <c r="AA687" s="40">
        <v>473</v>
      </c>
      <c r="AB687" s="89">
        <f>AA687*GDPdeflator!$C$25/$AI$18*10^3</f>
        <v>45.478712808157368</v>
      </c>
      <c r="AC687" s="90" t="e">
        <f>INDEX(AdditionalVehs!$E$46:$N$91,MATCH(C687,AdditionalVehs!$C$46:$C$91),MATCH(D687,AdditionalVehs!$E$45:$N$45))</f>
        <v>#REF!</v>
      </c>
      <c r="AD687" s="90" t="e">
        <f t="shared" si="287"/>
        <v>#REF!</v>
      </c>
      <c r="AE687" s="90" t="e">
        <f>INDEX(AdditionalVehs!$P$46:$Y$91,MATCH(C687,AdditionalVehs!$C$46:$C$91),MATCH(D687,AdditionalVehs!$AA$45:$AJ$45))</f>
        <v>#REF!</v>
      </c>
      <c r="AF687" s="90" t="e">
        <f t="shared" si="292"/>
        <v>#REF!</v>
      </c>
      <c r="AG687" s="90">
        <v>0</v>
      </c>
    </row>
    <row r="688" spans="1:33" x14ac:dyDescent="0.2">
      <c r="A688" s="92" t="s">
        <v>2211</v>
      </c>
      <c r="B688" s="248" t="s">
        <v>2212</v>
      </c>
      <c r="C688" s="40" t="s">
        <v>2213</v>
      </c>
      <c r="D688" s="40">
        <v>2010</v>
      </c>
      <c r="E688" s="86">
        <f>GDPdeflator!$C$32*INDEX(AdditionalVehs!$AA$46:$AK$91,MATCH($C688,AdditionalVehs!$C$46:$C$91,0),MATCH(E$7,AdditionalVehs!$AA$45:$AK$45,0))</f>
        <v>0</v>
      </c>
      <c r="F688" s="86" t="e">
        <f>GDPdeflator!$C$36*INDEX(AdditionalVehs!$AA$46:$AK$91,MATCH($C688,AdditionalVehs!$C$46:$C$91,0),MATCH(F$7,AdditionalVehs!$AA$45:$AK$45,0))</f>
        <v>#REF!</v>
      </c>
      <c r="G688" s="86" t="e">
        <f>GDPdeflator!$C$38*INDEX(AdditionalVehs!$AA$46:$AK$91,MATCH($C688,AdditionalVehs!$C$46:$C$91,0),MATCH(G$7,AdditionalVehs!$AA$45:$AK$45,0))</f>
        <v>#REF!</v>
      </c>
      <c r="H688" s="86" t="e">
        <f>GDPdeflator!$C$38*INDEX(AdditionalVehs!$AA$46:$AK$91,MATCH($C688,AdditionalVehs!$C$46:$C$91,0),MATCH(H$7,AdditionalVehs!$AA$45:$AK$45,0))</f>
        <v>#REF!</v>
      </c>
      <c r="I688" s="86" t="e">
        <f>GDPdeflator!$C$38*INDEX(AdditionalVehs!$AA$46:$AK$91,MATCH($C688,AdditionalVehs!$C$46:$C$91,0),MATCH(I$7,AdditionalVehs!$AA$45:$AK$45,0))</f>
        <v>#REF!</v>
      </c>
      <c r="J688" s="86" t="e">
        <f>GDPdeflator!$C$38*INDEX(AdditionalVehs!$AA$46:$AK$91,MATCH($C688,AdditionalVehs!$C$46:$C$91,0),MATCH(J$7,AdditionalVehs!$AA$45:$AK$45,0))</f>
        <v>#REF!</v>
      </c>
      <c r="K688" s="86" t="e">
        <f>GDPdeflator!$C$38*INDEX(AdditionalVehs!$AA$46:$AK$91,MATCH($C688,AdditionalVehs!$C$46:$C$91,0),MATCH(K$7,AdditionalVehs!$AA$45:$AK$45,0))</f>
        <v>#REF!</v>
      </c>
      <c r="L688" s="86" t="e">
        <f>GDPdeflator!$C$38*INDEX(AdditionalVehs!$AA$46:$AK$91,MATCH($C688,AdditionalVehs!$C$46:$C$91,0),MATCH(L$7,AdditionalVehs!$AA$45:$AK$45,0))</f>
        <v>#REF!</v>
      </c>
      <c r="M688" s="86" t="e">
        <f>GDPdeflator!$C$38*INDEX(AdditionalVehs!$AA$46:$AK$91,MATCH($C688,AdditionalVehs!$C$46:$C$91,0),MATCH(M$7,AdditionalVehs!$AA$45:$AK$45,0))</f>
        <v>#REF!</v>
      </c>
      <c r="N688" s="86" t="e">
        <f>GDPdeflator!$C$38*INDEX(AdditionalVehs!$AA$46:$AK$91,MATCH($C688,AdditionalVehs!$C$46:$C$91,0),MATCH(N$7,AdditionalVehs!$AA$45:$AK$45,0))</f>
        <v>#REF!</v>
      </c>
      <c r="O688" s="86" t="e">
        <f>GDPdeflator!$C$38*INDEX(AdditionalVehs!$AA$46:$AK$91,MATCH($C688,AdditionalVehs!$C$46:$C$91,0),MATCH(O$7,AdditionalVehs!$AA$45:$AK$45,0))</f>
        <v>#REF!</v>
      </c>
      <c r="P688" s="87">
        <f>E688/$AI$18*10^6</f>
        <v>0</v>
      </c>
      <c r="Q688" s="87" t="e">
        <f t="shared" si="290"/>
        <v>#REF!</v>
      </c>
      <c r="R688" s="87" t="e">
        <f t="shared" si="289"/>
        <v>#REF!</v>
      </c>
      <c r="S688" s="87" t="e">
        <f t="shared" si="295"/>
        <v>#REF!</v>
      </c>
      <c r="T688" s="87" t="e">
        <f t="shared" si="295"/>
        <v>#REF!</v>
      </c>
      <c r="U688" s="87" t="e">
        <f t="shared" si="295"/>
        <v>#REF!</v>
      </c>
      <c r="V688" s="87" t="e">
        <f t="shared" si="295"/>
        <v>#REF!</v>
      </c>
      <c r="W688" s="87" t="e">
        <f t="shared" si="295"/>
        <v>#REF!</v>
      </c>
      <c r="X688" s="87" t="e">
        <f t="shared" si="295"/>
        <v>#REF!</v>
      </c>
      <c r="Y688" s="87" t="e">
        <f t="shared" si="295"/>
        <v>#REF!</v>
      </c>
      <c r="Z688" s="87" t="e">
        <f t="shared" si="295"/>
        <v>#REF!</v>
      </c>
      <c r="AA688" s="40">
        <v>473</v>
      </c>
      <c r="AB688" s="89">
        <f>AA688*GDPdeflator!$C$25/$AI$18*10^3</f>
        <v>45.478712808157368</v>
      </c>
      <c r="AC688" s="90" t="e">
        <f>INDEX(AdditionalVehs!$E$46:$N$91,MATCH(C688,AdditionalVehs!$C$46:$C$91),MATCH(D688,AdditionalVehs!$E$45:$N$45))</f>
        <v>#REF!</v>
      </c>
      <c r="AD688" s="90" t="e">
        <f t="shared" si="287"/>
        <v>#REF!</v>
      </c>
      <c r="AE688" s="90" t="e">
        <f>INDEX(AdditionalVehs!$P$46:$Y$91,MATCH(C688,AdditionalVehs!$C$46:$C$91),MATCH(D688,AdditionalVehs!$AA$45:$AJ$45))</f>
        <v>#REF!</v>
      </c>
      <c r="AF688" s="90" t="e">
        <f t="shared" si="292"/>
        <v>#REF!</v>
      </c>
      <c r="AG688" s="90">
        <v>0</v>
      </c>
    </row>
    <row r="689" spans="1:33" x14ac:dyDescent="0.2">
      <c r="A689" s="92" t="s">
        <v>2214</v>
      </c>
      <c r="B689" s="248" t="s">
        <v>2215</v>
      </c>
      <c r="C689" s="40" t="s">
        <v>2213</v>
      </c>
      <c r="D689" s="40">
        <v>2015</v>
      </c>
      <c r="E689" s="86">
        <f>GDPdeflator!$C$32*INDEX(AdditionalVehs!$AA$46:$AK$91,MATCH($C689,AdditionalVehs!$C$46:$C$91,0),MATCH(E$7,AdditionalVehs!$AA$45:$AK$45,0))</f>
        <v>0</v>
      </c>
      <c r="F689" s="86" t="e">
        <f>GDPdeflator!$C$36*INDEX(AdditionalVehs!$AA$46:$AK$91,MATCH($C689,AdditionalVehs!$C$46:$C$91,0),MATCH(F$7,AdditionalVehs!$AA$45:$AK$45,0))</f>
        <v>#REF!</v>
      </c>
      <c r="G689" s="86" t="e">
        <f>GDPdeflator!$C$38*INDEX(AdditionalVehs!$AA$46:$AK$91,MATCH($C689,AdditionalVehs!$C$46:$C$91,0),MATCH(G$7,AdditionalVehs!$AA$45:$AK$45,0))</f>
        <v>#REF!</v>
      </c>
      <c r="H689" s="86" t="e">
        <f>GDPdeflator!$C$38*INDEX(AdditionalVehs!$AA$46:$AK$91,MATCH($C689,AdditionalVehs!$C$46:$C$91,0),MATCH(H$7,AdditionalVehs!$AA$45:$AK$45,0))</f>
        <v>#REF!</v>
      </c>
      <c r="I689" s="86" t="e">
        <f>GDPdeflator!$C$38*INDEX(AdditionalVehs!$AA$46:$AK$91,MATCH($C689,AdditionalVehs!$C$46:$C$91,0),MATCH(I$7,AdditionalVehs!$AA$45:$AK$45,0))</f>
        <v>#REF!</v>
      </c>
      <c r="J689" s="86" t="e">
        <f>GDPdeflator!$C$38*INDEX(AdditionalVehs!$AA$46:$AK$91,MATCH($C689,AdditionalVehs!$C$46:$C$91,0),MATCH(J$7,AdditionalVehs!$AA$45:$AK$45,0))</f>
        <v>#REF!</v>
      </c>
      <c r="K689" s="86" t="e">
        <f>GDPdeflator!$C$38*INDEX(AdditionalVehs!$AA$46:$AK$91,MATCH($C689,AdditionalVehs!$C$46:$C$91,0),MATCH(K$7,AdditionalVehs!$AA$45:$AK$45,0))</f>
        <v>#REF!</v>
      </c>
      <c r="L689" s="86" t="e">
        <f>GDPdeflator!$C$38*INDEX(AdditionalVehs!$AA$46:$AK$91,MATCH($C689,AdditionalVehs!$C$46:$C$91,0),MATCH(L$7,AdditionalVehs!$AA$45:$AK$45,0))</f>
        <v>#REF!</v>
      </c>
      <c r="M689" s="86" t="e">
        <f>GDPdeflator!$C$38*INDEX(AdditionalVehs!$AA$46:$AK$91,MATCH($C689,AdditionalVehs!$C$46:$C$91,0),MATCH(M$7,AdditionalVehs!$AA$45:$AK$45,0))</f>
        <v>#REF!</v>
      </c>
      <c r="N689" s="86" t="e">
        <f>GDPdeflator!$C$38*INDEX(AdditionalVehs!$AA$46:$AK$91,MATCH($C689,AdditionalVehs!$C$46:$C$91,0),MATCH(N$7,AdditionalVehs!$AA$45:$AK$45,0))</f>
        <v>#REF!</v>
      </c>
      <c r="O689" s="86" t="e">
        <f>GDPdeflator!$C$38*INDEX(AdditionalVehs!$AA$46:$AK$91,MATCH($C689,AdditionalVehs!$C$46:$C$91,0),MATCH(O$7,AdditionalVehs!$AA$45:$AK$45,0))</f>
        <v>#REF!</v>
      </c>
      <c r="P689" s="87">
        <f t="shared" ref="P689:P696" si="297">E689/$AI$18*10^6</f>
        <v>0</v>
      </c>
      <c r="Q689" s="87" t="e">
        <f t="shared" si="290"/>
        <v>#REF!</v>
      </c>
      <c r="R689" s="87" t="e">
        <f t="shared" si="289"/>
        <v>#REF!</v>
      </c>
      <c r="S689" s="87" t="e">
        <f t="shared" si="295"/>
        <v>#REF!</v>
      </c>
      <c r="T689" s="87" t="e">
        <f t="shared" si="295"/>
        <v>#REF!</v>
      </c>
      <c r="U689" s="87" t="e">
        <f t="shared" si="295"/>
        <v>#REF!</v>
      </c>
      <c r="V689" s="87" t="e">
        <f t="shared" si="295"/>
        <v>#REF!</v>
      </c>
      <c r="W689" s="87" t="e">
        <f t="shared" si="295"/>
        <v>#REF!</v>
      </c>
      <c r="X689" s="87" t="e">
        <f t="shared" si="295"/>
        <v>#REF!</v>
      </c>
      <c r="Y689" s="87" t="e">
        <f t="shared" si="295"/>
        <v>#REF!</v>
      </c>
      <c r="Z689" s="87" t="e">
        <f t="shared" si="295"/>
        <v>#REF!</v>
      </c>
      <c r="AA689" s="40">
        <v>473</v>
      </c>
      <c r="AB689" s="89">
        <f>AA689*GDPdeflator!$C$25/$AI$18*10^3</f>
        <v>45.478712808157368</v>
      </c>
      <c r="AC689" s="90" t="e">
        <f>INDEX(AdditionalVehs!$E$46:$N$91,MATCH(C689,AdditionalVehs!$C$46:$C$91),MATCH(D689,AdditionalVehs!$E$45:$N$45))</f>
        <v>#REF!</v>
      </c>
      <c r="AD689" s="90" t="e">
        <f t="shared" si="287"/>
        <v>#REF!</v>
      </c>
      <c r="AE689" s="90" t="e">
        <f>INDEX(AdditionalVehs!$P$46:$Y$91,MATCH(C689,AdditionalVehs!$C$46:$C$91),MATCH(D689,AdditionalVehs!$AA$45:$AJ$45))</f>
        <v>#REF!</v>
      </c>
      <c r="AF689" s="90" t="e">
        <f t="shared" si="292"/>
        <v>#REF!</v>
      </c>
      <c r="AG689" s="90">
        <v>0</v>
      </c>
    </row>
    <row r="690" spans="1:33" x14ac:dyDescent="0.2">
      <c r="A690" s="92" t="s">
        <v>2216</v>
      </c>
      <c r="B690" s="248" t="s">
        <v>2217</v>
      </c>
      <c r="C690" s="40" t="s">
        <v>2213</v>
      </c>
      <c r="D690" s="40">
        <v>2020</v>
      </c>
      <c r="E690" s="86">
        <f>GDPdeflator!$C$32*INDEX(AdditionalVehs!$AA$46:$AK$91,MATCH($C690,AdditionalVehs!$C$46:$C$91,0),MATCH(E$7,AdditionalVehs!$AA$45:$AK$45,0))</f>
        <v>0</v>
      </c>
      <c r="F690" s="86" t="e">
        <f>GDPdeflator!$C$36*INDEX(AdditionalVehs!$AA$46:$AK$91,MATCH($C690,AdditionalVehs!$C$46:$C$91,0),MATCH(F$7,AdditionalVehs!$AA$45:$AK$45,0))</f>
        <v>#REF!</v>
      </c>
      <c r="G690" s="86" t="e">
        <f>GDPdeflator!$C$38*INDEX(AdditionalVehs!$AA$46:$AK$91,MATCH($C690,AdditionalVehs!$C$46:$C$91,0),MATCH(G$7,AdditionalVehs!$AA$45:$AK$45,0))</f>
        <v>#REF!</v>
      </c>
      <c r="H690" s="86" t="e">
        <f>GDPdeflator!$C$38*INDEX(AdditionalVehs!$AA$46:$AK$91,MATCH($C690,AdditionalVehs!$C$46:$C$91,0),MATCH(H$7,AdditionalVehs!$AA$45:$AK$45,0))</f>
        <v>#REF!</v>
      </c>
      <c r="I690" s="86" t="e">
        <f>GDPdeflator!$C$38*INDEX(AdditionalVehs!$AA$46:$AK$91,MATCH($C690,AdditionalVehs!$C$46:$C$91,0),MATCH(I$7,AdditionalVehs!$AA$45:$AK$45,0))</f>
        <v>#REF!</v>
      </c>
      <c r="J690" s="86" t="e">
        <f>GDPdeflator!$C$38*INDEX(AdditionalVehs!$AA$46:$AK$91,MATCH($C690,AdditionalVehs!$C$46:$C$91,0),MATCH(J$7,AdditionalVehs!$AA$45:$AK$45,0))</f>
        <v>#REF!</v>
      </c>
      <c r="K690" s="86" t="e">
        <f>GDPdeflator!$C$38*INDEX(AdditionalVehs!$AA$46:$AK$91,MATCH($C690,AdditionalVehs!$C$46:$C$91,0),MATCH(K$7,AdditionalVehs!$AA$45:$AK$45,0))</f>
        <v>#REF!</v>
      </c>
      <c r="L690" s="86" t="e">
        <f>GDPdeflator!$C$38*INDEX(AdditionalVehs!$AA$46:$AK$91,MATCH($C690,AdditionalVehs!$C$46:$C$91,0),MATCH(L$7,AdditionalVehs!$AA$45:$AK$45,0))</f>
        <v>#REF!</v>
      </c>
      <c r="M690" s="86" t="e">
        <f>GDPdeflator!$C$38*INDEX(AdditionalVehs!$AA$46:$AK$91,MATCH($C690,AdditionalVehs!$C$46:$C$91,0),MATCH(M$7,AdditionalVehs!$AA$45:$AK$45,0))</f>
        <v>#REF!</v>
      </c>
      <c r="N690" s="86" t="e">
        <f>GDPdeflator!$C$38*INDEX(AdditionalVehs!$AA$46:$AK$91,MATCH($C690,AdditionalVehs!$C$46:$C$91,0),MATCH(N$7,AdditionalVehs!$AA$45:$AK$45,0))</f>
        <v>#REF!</v>
      </c>
      <c r="O690" s="86" t="e">
        <f>GDPdeflator!$C$38*INDEX(AdditionalVehs!$AA$46:$AK$91,MATCH($C690,AdditionalVehs!$C$46:$C$91,0),MATCH(O$7,AdditionalVehs!$AA$45:$AK$45,0))</f>
        <v>#REF!</v>
      </c>
      <c r="P690" s="87">
        <f t="shared" si="297"/>
        <v>0</v>
      </c>
      <c r="Q690" s="87" t="e">
        <f t="shared" si="290"/>
        <v>#REF!</v>
      </c>
      <c r="R690" s="87" t="e">
        <f t="shared" si="289"/>
        <v>#REF!</v>
      </c>
      <c r="S690" s="87" t="e">
        <f t="shared" si="295"/>
        <v>#REF!</v>
      </c>
      <c r="T690" s="87" t="e">
        <f t="shared" si="295"/>
        <v>#REF!</v>
      </c>
      <c r="U690" s="87" t="e">
        <f t="shared" si="295"/>
        <v>#REF!</v>
      </c>
      <c r="V690" s="87" t="e">
        <f t="shared" si="295"/>
        <v>#REF!</v>
      </c>
      <c r="W690" s="87" t="e">
        <f t="shared" si="295"/>
        <v>#REF!</v>
      </c>
      <c r="X690" s="87" t="e">
        <f t="shared" si="295"/>
        <v>#REF!</v>
      </c>
      <c r="Y690" s="87" t="e">
        <f t="shared" si="295"/>
        <v>#REF!</v>
      </c>
      <c r="Z690" s="87" t="e">
        <f t="shared" si="295"/>
        <v>#REF!</v>
      </c>
      <c r="AA690" s="40">
        <v>473</v>
      </c>
      <c r="AB690" s="89">
        <f>AA690*GDPdeflator!$C$25/$AI$18*10^3</f>
        <v>45.478712808157368</v>
      </c>
      <c r="AC690" s="90" t="e">
        <f>INDEX(AdditionalVehs!$E$46:$N$91,MATCH(C690,AdditionalVehs!$C$46:$C$91),MATCH(D690,AdditionalVehs!$E$45:$N$45))</f>
        <v>#REF!</v>
      </c>
      <c r="AD690" s="90" t="e">
        <f t="shared" si="287"/>
        <v>#REF!</v>
      </c>
      <c r="AE690" s="90" t="e">
        <f>INDEX(AdditionalVehs!$P$46:$Y$91,MATCH(C690,AdditionalVehs!$C$46:$C$91),MATCH(D690,AdditionalVehs!$AA$45:$AJ$45))</f>
        <v>#REF!</v>
      </c>
      <c r="AF690" s="90" t="e">
        <f t="shared" si="292"/>
        <v>#REF!</v>
      </c>
      <c r="AG690" s="90">
        <v>0</v>
      </c>
    </row>
    <row r="691" spans="1:33" x14ac:dyDescent="0.2">
      <c r="A691" s="92" t="s">
        <v>2218</v>
      </c>
      <c r="B691" s="248" t="s">
        <v>2219</v>
      </c>
      <c r="C691" s="40" t="s">
        <v>2213</v>
      </c>
      <c r="D691" s="40">
        <v>2025</v>
      </c>
      <c r="E691" s="86">
        <f>GDPdeflator!$C$32*INDEX(AdditionalVehs!$AA$46:$AK$91,MATCH($C691,AdditionalVehs!$C$46:$C$91,0),MATCH(E$7,AdditionalVehs!$AA$45:$AK$45,0))</f>
        <v>0</v>
      </c>
      <c r="F691" s="86" t="e">
        <f>GDPdeflator!$C$36*INDEX(AdditionalVehs!$AA$46:$AK$91,MATCH($C691,AdditionalVehs!$C$46:$C$91,0),MATCH(F$7,AdditionalVehs!$AA$45:$AK$45,0))</f>
        <v>#REF!</v>
      </c>
      <c r="G691" s="86" t="e">
        <f>GDPdeflator!$C$38*INDEX(AdditionalVehs!$AA$46:$AK$91,MATCH($C691,AdditionalVehs!$C$46:$C$91,0),MATCH(G$7,AdditionalVehs!$AA$45:$AK$45,0))</f>
        <v>#REF!</v>
      </c>
      <c r="H691" s="86" t="e">
        <f>GDPdeflator!$C$38*INDEX(AdditionalVehs!$AA$46:$AK$91,MATCH($C691,AdditionalVehs!$C$46:$C$91,0),MATCH(H$7,AdditionalVehs!$AA$45:$AK$45,0))</f>
        <v>#REF!</v>
      </c>
      <c r="I691" s="86" t="e">
        <f>GDPdeflator!$C$38*INDEX(AdditionalVehs!$AA$46:$AK$91,MATCH($C691,AdditionalVehs!$C$46:$C$91,0),MATCH(I$7,AdditionalVehs!$AA$45:$AK$45,0))</f>
        <v>#REF!</v>
      </c>
      <c r="J691" s="86" t="e">
        <f>GDPdeflator!$C$38*INDEX(AdditionalVehs!$AA$46:$AK$91,MATCH($C691,AdditionalVehs!$C$46:$C$91,0),MATCH(J$7,AdditionalVehs!$AA$45:$AK$45,0))</f>
        <v>#REF!</v>
      </c>
      <c r="K691" s="86" t="e">
        <f>GDPdeflator!$C$38*INDEX(AdditionalVehs!$AA$46:$AK$91,MATCH($C691,AdditionalVehs!$C$46:$C$91,0),MATCH(K$7,AdditionalVehs!$AA$45:$AK$45,0))</f>
        <v>#REF!</v>
      </c>
      <c r="L691" s="86" t="e">
        <f>GDPdeflator!$C$38*INDEX(AdditionalVehs!$AA$46:$AK$91,MATCH($C691,AdditionalVehs!$C$46:$C$91,0),MATCH(L$7,AdditionalVehs!$AA$45:$AK$45,0))</f>
        <v>#REF!</v>
      </c>
      <c r="M691" s="86" t="e">
        <f>GDPdeflator!$C$38*INDEX(AdditionalVehs!$AA$46:$AK$91,MATCH($C691,AdditionalVehs!$C$46:$C$91,0),MATCH(M$7,AdditionalVehs!$AA$45:$AK$45,0))</f>
        <v>#REF!</v>
      </c>
      <c r="N691" s="86" t="e">
        <f>GDPdeflator!$C$38*INDEX(AdditionalVehs!$AA$46:$AK$91,MATCH($C691,AdditionalVehs!$C$46:$C$91,0),MATCH(N$7,AdditionalVehs!$AA$45:$AK$45,0))</f>
        <v>#REF!</v>
      </c>
      <c r="O691" s="86" t="e">
        <f>GDPdeflator!$C$38*INDEX(AdditionalVehs!$AA$46:$AK$91,MATCH($C691,AdditionalVehs!$C$46:$C$91,0),MATCH(O$7,AdditionalVehs!$AA$45:$AK$45,0))</f>
        <v>#REF!</v>
      </c>
      <c r="P691" s="87">
        <f t="shared" si="297"/>
        <v>0</v>
      </c>
      <c r="Q691" s="87" t="e">
        <f t="shared" si="290"/>
        <v>#REF!</v>
      </c>
      <c r="R691" s="87" t="e">
        <f t="shared" si="289"/>
        <v>#REF!</v>
      </c>
      <c r="S691" s="87" t="e">
        <f t="shared" si="295"/>
        <v>#REF!</v>
      </c>
      <c r="T691" s="87" t="e">
        <f t="shared" si="295"/>
        <v>#REF!</v>
      </c>
      <c r="U691" s="87" t="e">
        <f t="shared" si="295"/>
        <v>#REF!</v>
      </c>
      <c r="V691" s="87" t="e">
        <f t="shared" si="295"/>
        <v>#REF!</v>
      </c>
      <c r="W691" s="87" t="e">
        <f t="shared" si="295"/>
        <v>#REF!</v>
      </c>
      <c r="X691" s="87" t="e">
        <f t="shared" si="295"/>
        <v>#REF!</v>
      </c>
      <c r="Y691" s="87" t="e">
        <f t="shared" si="295"/>
        <v>#REF!</v>
      </c>
      <c r="Z691" s="87" t="e">
        <f t="shared" si="295"/>
        <v>#REF!</v>
      </c>
      <c r="AA691" s="40">
        <v>473</v>
      </c>
      <c r="AB691" s="89">
        <f>AA691*GDPdeflator!$C$25/$AI$18*10^3</f>
        <v>45.478712808157368</v>
      </c>
      <c r="AC691" s="90" t="e">
        <f>INDEX(AdditionalVehs!$E$46:$N$91,MATCH(C691,AdditionalVehs!$C$46:$C$91),MATCH(D691,AdditionalVehs!$E$45:$N$45))</f>
        <v>#REF!</v>
      </c>
      <c r="AD691" s="90" t="e">
        <f t="shared" si="287"/>
        <v>#REF!</v>
      </c>
      <c r="AE691" s="90" t="e">
        <f>INDEX(AdditionalVehs!$P$46:$Y$91,MATCH(C691,AdditionalVehs!$C$46:$C$91),MATCH(D691,AdditionalVehs!$AA$45:$AJ$45))</f>
        <v>#REF!</v>
      </c>
      <c r="AF691" s="90" t="e">
        <f t="shared" si="292"/>
        <v>#REF!</v>
      </c>
      <c r="AG691" s="90">
        <v>0</v>
      </c>
    </row>
    <row r="692" spans="1:33" x14ac:dyDescent="0.2">
      <c r="A692" s="92" t="s">
        <v>2220</v>
      </c>
      <c r="B692" s="248" t="s">
        <v>2221</v>
      </c>
      <c r="C692" s="40" t="s">
        <v>2213</v>
      </c>
      <c r="D692" s="40">
        <v>2030</v>
      </c>
      <c r="E692" s="86">
        <f>GDPdeflator!$C$32*INDEX(AdditionalVehs!$AA$46:$AK$91,MATCH($C692,AdditionalVehs!$C$46:$C$91,0),MATCH(E$7,AdditionalVehs!$AA$45:$AK$45,0))</f>
        <v>0</v>
      </c>
      <c r="F692" s="86" t="e">
        <f>GDPdeflator!$C$36*INDEX(AdditionalVehs!$AA$46:$AK$91,MATCH($C692,AdditionalVehs!$C$46:$C$91,0),MATCH(F$7,AdditionalVehs!$AA$45:$AK$45,0))</f>
        <v>#REF!</v>
      </c>
      <c r="G692" s="86" t="e">
        <f>GDPdeflator!$C$38*INDEX(AdditionalVehs!$AA$46:$AK$91,MATCH($C692,AdditionalVehs!$C$46:$C$91,0),MATCH(G$7,AdditionalVehs!$AA$45:$AK$45,0))</f>
        <v>#REF!</v>
      </c>
      <c r="H692" s="86" t="e">
        <f>GDPdeflator!$C$38*INDEX(AdditionalVehs!$AA$46:$AK$91,MATCH($C692,AdditionalVehs!$C$46:$C$91,0),MATCH(H$7,AdditionalVehs!$AA$45:$AK$45,0))</f>
        <v>#REF!</v>
      </c>
      <c r="I692" s="86" t="e">
        <f>GDPdeflator!$C$38*INDEX(AdditionalVehs!$AA$46:$AK$91,MATCH($C692,AdditionalVehs!$C$46:$C$91,0),MATCH(I$7,AdditionalVehs!$AA$45:$AK$45,0))</f>
        <v>#REF!</v>
      </c>
      <c r="J692" s="86" t="e">
        <f>GDPdeflator!$C$38*INDEX(AdditionalVehs!$AA$46:$AK$91,MATCH($C692,AdditionalVehs!$C$46:$C$91,0),MATCH(J$7,AdditionalVehs!$AA$45:$AK$45,0))</f>
        <v>#REF!</v>
      </c>
      <c r="K692" s="86" t="e">
        <f>GDPdeflator!$C$38*INDEX(AdditionalVehs!$AA$46:$AK$91,MATCH($C692,AdditionalVehs!$C$46:$C$91,0),MATCH(K$7,AdditionalVehs!$AA$45:$AK$45,0))</f>
        <v>#REF!</v>
      </c>
      <c r="L692" s="86" t="e">
        <f>GDPdeflator!$C$38*INDEX(AdditionalVehs!$AA$46:$AK$91,MATCH($C692,AdditionalVehs!$C$46:$C$91,0),MATCH(L$7,AdditionalVehs!$AA$45:$AK$45,0))</f>
        <v>#REF!</v>
      </c>
      <c r="M692" s="86" t="e">
        <f>GDPdeflator!$C$38*INDEX(AdditionalVehs!$AA$46:$AK$91,MATCH($C692,AdditionalVehs!$C$46:$C$91,0),MATCH(M$7,AdditionalVehs!$AA$45:$AK$45,0))</f>
        <v>#REF!</v>
      </c>
      <c r="N692" s="86" t="e">
        <f>GDPdeflator!$C$38*INDEX(AdditionalVehs!$AA$46:$AK$91,MATCH($C692,AdditionalVehs!$C$46:$C$91,0),MATCH(N$7,AdditionalVehs!$AA$45:$AK$45,0))</f>
        <v>#REF!</v>
      </c>
      <c r="O692" s="86" t="e">
        <f>GDPdeflator!$C$38*INDEX(AdditionalVehs!$AA$46:$AK$91,MATCH($C692,AdditionalVehs!$C$46:$C$91,0),MATCH(O$7,AdditionalVehs!$AA$45:$AK$45,0))</f>
        <v>#REF!</v>
      </c>
      <c r="P692" s="87">
        <f t="shared" si="297"/>
        <v>0</v>
      </c>
      <c r="Q692" s="87" t="e">
        <f t="shared" si="290"/>
        <v>#REF!</v>
      </c>
      <c r="R692" s="87" t="e">
        <f t="shared" si="289"/>
        <v>#REF!</v>
      </c>
      <c r="S692" s="87" t="e">
        <f t="shared" si="295"/>
        <v>#REF!</v>
      </c>
      <c r="T692" s="87" t="e">
        <f t="shared" si="295"/>
        <v>#REF!</v>
      </c>
      <c r="U692" s="87" t="e">
        <f t="shared" si="295"/>
        <v>#REF!</v>
      </c>
      <c r="V692" s="87" t="e">
        <f t="shared" si="295"/>
        <v>#REF!</v>
      </c>
      <c r="W692" s="87" t="e">
        <f t="shared" si="295"/>
        <v>#REF!</v>
      </c>
      <c r="X692" s="87" t="e">
        <f t="shared" si="295"/>
        <v>#REF!</v>
      </c>
      <c r="Y692" s="87" t="e">
        <f t="shared" si="295"/>
        <v>#REF!</v>
      </c>
      <c r="Z692" s="87" t="e">
        <f t="shared" si="295"/>
        <v>#REF!</v>
      </c>
      <c r="AA692" s="40">
        <v>473</v>
      </c>
      <c r="AB692" s="89">
        <f>AA692*GDPdeflator!$C$25/$AI$18*10^3</f>
        <v>45.478712808157368</v>
      </c>
      <c r="AC692" s="90" t="e">
        <f>INDEX(AdditionalVehs!$E$46:$N$91,MATCH(C692,AdditionalVehs!$C$46:$C$91),MATCH(D692,AdditionalVehs!$E$45:$N$45))</f>
        <v>#REF!</v>
      </c>
      <c r="AD692" s="90" t="e">
        <f t="shared" si="287"/>
        <v>#REF!</v>
      </c>
      <c r="AE692" s="90" t="e">
        <f>INDEX(AdditionalVehs!$P$46:$Y$91,MATCH(C692,AdditionalVehs!$C$46:$C$91),MATCH(D692,AdditionalVehs!$AA$45:$AJ$45))</f>
        <v>#REF!</v>
      </c>
      <c r="AF692" s="90" t="e">
        <f t="shared" si="292"/>
        <v>#REF!</v>
      </c>
      <c r="AG692" s="90">
        <v>0</v>
      </c>
    </row>
    <row r="693" spans="1:33" x14ac:dyDescent="0.2">
      <c r="A693" s="92" t="s">
        <v>2222</v>
      </c>
      <c r="B693" s="248" t="s">
        <v>2223</v>
      </c>
      <c r="C693" s="40" t="s">
        <v>2213</v>
      </c>
      <c r="D693" s="40">
        <v>2035</v>
      </c>
      <c r="E693" s="86">
        <f>GDPdeflator!$C$32*INDEX(AdditionalVehs!$AA$46:$AK$91,MATCH($C693,AdditionalVehs!$C$46:$C$91,0),MATCH(E$7,AdditionalVehs!$AA$45:$AK$45,0))</f>
        <v>0</v>
      </c>
      <c r="F693" s="86" t="e">
        <f>GDPdeflator!$C$36*INDEX(AdditionalVehs!$AA$46:$AK$91,MATCH($C693,AdditionalVehs!$C$46:$C$91,0),MATCH(F$7,AdditionalVehs!$AA$45:$AK$45,0))</f>
        <v>#REF!</v>
      </c>
      <c r="G693" s="86" t="e">
        <f>GDPdeflator!$C$38*INDEX(AdditionalVehs!$AA$46:$AK$91,MATCH($C693,AdditionalVehs!$C$46:$C$91,0),MATCH(G$7,AdditionalVehs!$AA$45:$AK$45,0))</f>
        <v>#REF!</v>
      </c>
      <c r="H693" s="86" t="e">
        <f>GDPdeflator!$C$38*INDEX(AdditionalVehs!$AA$46:$AK$91,MATCH($C693,AdditionalVehs!$C$46:$C$91,0),MATCH(H$7,AdditionalVehs!$AA$45:$AK$45,0))</f>
        <v>#REF!</v>
      </c>
      <c r="I693" s="86" t="e">
        <f>GDPdeflator!$C$38*INDEX(AdditionalVehs!$AA$46:$AK$91,MATCH($C693,AdditionalVehs!$C$46:$C$91,0),MATCH(I$7,AdditionalVehs!$AA$45:$AK$45,0))</f>
        <v>#REF!</v>
      </c>
      <c r="J693" s="86" t="e">
        <f>GDPdeflator!$C$38*INDEX(AdditionalVehs!$AA$46:$AK$91,MATCH($C693,AdditionalVehs!$C$46:$C$91,0),MATCH(J$7,AdditionalVehs!$AA$45:$AK$45,0))</f>
        <v>#REF!</v>
      </c>
      <c r="K693" s="86" t="e">
        <f>GDPdeflator!$C$38*INDEX(AdditionalVehs!$AA$46:$AK$91,MATCH($C693,AdditionalVehs!$C$46:$C$91,0),MATCH(K$7,AdditionalVehs!$AA$45:$AK$45,0))</f>
        <v>#REF!</v>
      </c>
      <c r="L693" s="86" t="e">
        <f>GDPdeflator!$C$38*INDEX(AdditionalVehs!$AA$46:$AK$91,MATCH($C693,AdditionalVehs!$C$46:$C$91,0),MATCH(L$7,AdditionalVehs!$AA$45:$AK$45,0))</f>
        <v>#REF!</v>
      </c>
      <c r="M693" s="86" t="e">
        <f>GDPdeflator!$C$38*INDEX(AdditionalVehs!$AA$46:$AK$91,MATCH($C693,AdditionalVehs!$C$46:$C$91,0),MATCH(M$7,AdditionalVehs!$AA$45:$AK$45,0))</f>
        <v>#REF!</v>
      </c>
      <c r="N693" s="86" t="e">
        <f>GDPdeflator!$C$38*INDEX(AdditionalVehs!$AA$46:$AK$91,MATCH($C693,AdditionalVehs!$C$46:$C$91,0),MATCH(N$7,AdditionalVehs!$AA$45:$AK$45,0))</f>
        <v>#REF!</v>
      </c>
      <c r="O693" s="86" t="e">
        <f>GDPdeflator!$C$38*INDEX(AdditionalVehs!$AA$46:$AK$91,MATCH($C693,AdditionalVehs!$C$46:$C$91,0),MATCH(O$7,AdditionalVehs!$AA$45:$AK$45,0))</f>
        <v>#REF!</v>
      </c>
      <c r="P693" s="87">
        <f t="shared" si="297"/>
        <v>0</v>
      </c>
      <c r="Q693" s="87" t="e">
        <f t="shared" si="290"/>
        <v>#REF!</v>
      </c>
      <c r="R693" s="87" t="e">
        <f t="shared" si="289"/>
        <v>#REF!</v>
      </c>
      <c r="S693" s="87" t="e">
        <f t="shared" si="295"/>
        <v>#REF!</v>
      </c>
      <c r="T693" s="87" t="e">
        <f t="shared" si="295"/>
        <v>#REF!</v>
      </c>
      <c r="U693" s="87" t="e">
        <f t="shared" si="295"/>
        <v>#REF!</v>
      </c>
      <c r="V693" s="87" t="e">
        <f t="shared" si="295"/>
        <v>#REF!</v>
      </c>
      <c r="W693" s="87" t="e">
        <f t="shared" si="295"/>
        <v>#REF!</v>
      </c>
      <c r="X693" s="87" t="e">
        <f t="shared" si="295"/>
        <v>#REF!</v>
      </c>
      <c r="Y693" s="87" t="e">
        <f t="shared" si="295"/>
        <v>#REF!</v>
      </c>
      <c r="Z693" s="87" t="e">
        <f t="shared" si="295"/>
        <v>#REF!</v>
      </c>
      <c r="AA693" s="40">
        <v>473</v>
      </c>
      <c r="AB693" s="89">
        <f>AA693*GDPdeflator!$C$25/$AI$18*10^3</f>
        <v>45.478712808157368</v>
      </c>
      <c r="AC693" s="90" t="e">
        <f>INDEX(AdditionalVehs!$E$46:$N$91,MATCH(C693,AdditionalVehs!$C$46:$C$91),MATCH(D693,AdditionalVehs!$E$45:$N$45))</f>
        <v>#REF!</v>
      </c>
      <c r="AD693" s="90" t="e">
        <f t="shared" si="287"/>
        <v>#REF!</v>
      </c>
      <c r="AE693" s="90" t="e">
        <f>INDEX(AdditionalVehs!$P$46:$Y$91,MATCH(C693,AdditionalVehs!$C$46:$C$91),MATCH(D693,AdditionalVehs!$AA$45:$AJ$45))</f>
        <v>#REF!</v>
      </c>
      <c r="AF693" s="90" t="e">
        <f t="shared" si="292"/>
        <v>#REF!</v>
      </c>
      <c r="AG693" s="90">
        <v>0</v>
      </c>
    </row>
    <row r="694" spans="1:33" x14ac:dyDescent="0.2">
      <c r="A694" s="92" t="s">
        <v>2224</v>
      </c>
      <c r="B694" s="248" t="s">
        <v>2225</v>
      </c>
      <c r="C694" s="40" t="s">
        <v>2213</v>
      </c>
      <c r="D694" s="40">
        <v>2040</v>
      </c>
      <c r="E694" s="86">
        <f>GDPdeflator!$C$32*INDEX(AdditionalVehs!$AA$46:$AK$91,MATCH($C694,AdditionalVehs!$C$46:$C$91,0),MATCH(E$7,AdditionalVehs!$AA$45:$AK$45,0))</f>
        <v>0</v>
      </c>
      <c r="F694" s="86" t="e">
        <f>GDPdeflator!$C$36*INDEX(AdditionalVehs!$AA$46:$AK$91,MATCH($C694,AdditionalVehs!$C$46:$C$91,0),MATCH(F$7,AdditionalVehs!$AA$45:$AK$45,0))</f>
        <v>#REF!</v>
      </c>
      <c r="G694" s="86" t="e">
        <f>GDPdeflator!$C$38*INDEX(AdditionalVehs!$AA$46:$AK$91,MATCH($C694,AdditionalVehs!$C$46:$C$91,0),MATCH(G$7,AdditionalVehs!$AA$45:$AK$45,0))</f>
        <v>#REF!</v>
      </c>
      <c r="H694" s="86" t="e">
        <f>GDPdeflator!$C$38*INDEX(AdditionalVehs!$AA$46:$AK$91,MATCH($C694,AdditionalVehs!$C$46:$C$91,0),MATCH(H$7,AdditionalVehs!$AA$45:$AK$45,0))</f>
        <v>#REF!</v>
      </c>
      <c r="I694" s="86" t="e">
        <f>GDPdeflator!$C$38*INDEX(AdditionalVehs!$AA$46:$AK$91,MATCH($C694,AdditionalVehs!$C$46:$C$91,0),MATCH(I$7,AdditionalVehs!$AA$45:$AK$45,0))</f>
        <v>#REF!</v>
      </c>
      <c r="J694" s="86" t="e">
        <f>GDPdeflator!$C$38*INDEX(AdditionalVehs!$AA$46:$AK$91,MATCH($C694,AdditionalVehs!$C$46:$C$91,0),MATCH(J$7,AdditionalVehs!$AA$45:$AK$45,0))</f>
        <v>#REF!</v>
      </c>
      <c r="K694" s="86" t="e">
        <f>GDPdeflator!$C$38*INDEX(AdditionalVehs!$AA$46:$AK$91,MATCH($C694,AdditionalVehs!$C$46:$C$91,0),MATCH(K$7,AdditionalVehs!$AA$45:$AK$45,0))</f>
        <v>#REF!</v>
      </c>
      <c r="L694" s="86" t="e">
        <f>GDPdeflator!$C$38*INDEX(AdditionalVehs!$AA$46:$AK$91,MATCH($C694,AdditionalVehs!$C$46:$C$91,0),MATCH(L$7,AdditionalVehs!$AA$45:$AK$45,0))</f>
        <v>#REF!</v>
      </c>
      <c r="M694" s="86" t="e">
        <f>GDPdeflator!$C$38*INDEX(AdditionalVehs!$AA$46:$AK$91,MATCH($C694,AdditionalVehs!$C$46:$C$91,0),MATCH(M$7,AdditionalVehs!$AA$45:$AK$45,0))</f>
        <v>#REF!</v>
      </c>
      <c r="N694" s="86" t="e">
        <f>GDPdeflator!$C$38*INDEX(AdditionalVehs!$AA$46:$AK$91,MATCH($C694,AdditionalVehs!$C$46:$C$91,0),MATCH(N$7,AdditionalVehs!$AA$45:$AK$45,0))</f>
        <v>#REF!</v>
      </c>
      <c r="O694" s="86" t="e">
        <f>GDPdeflator!$C$38*INDEX(AdditionalVehs!$AA$46:$AK$91,MATCH($C694,AdditionalVehs!$C$46:$C$91,0),MATCH(O$7,AdditionalVehs!$AA$45:$AK$45,0))</f>
        <v>#REF!</v>
      </c>
      <c r="P694" s="87">
        <f t="shared" si="297"/>
        <v>0</v>
      </c>
      <c r="Q694" s="87" t="e">
        <f t="shared" si="290"/>
        <v>#REF!</v>
      </c>
      <c r="R694" s="87" t="e">
        <f t="shared" si="289"/>
        <v>#REF!</v>
      </c>
      <c r="S694" s="87" t="e">
        <f t="shared" si="295"/>
        <v>#REF!</v>
      </c>
      <c r="T694" s="87" t="e">
        <f t="shared" si="295"/>
        <v>#REF!</v>
      </c>
      <c r="U694" s="87" t="e">
        <f t="shared" si="295"/>
        <v>#REF!</v>
      </c>
      <c r="V694" s="87" t="e">
        <f t="shared" si="295"/>
        <v>#REF!</v>
      </c>
      <c r="W694" s="87" t="e">
        <f t="shared" si="295"/>
        <v>#REF!</v>
      </c>
      <c r="X694" s="87" t="e">
        <f t="shared" si="295"/>
        <v>#REF!</v>
      </c>
      <c r="Y694" s="87" t="e">
        <f t="shared" si="295"/>
        <v>#REF!</v>
      </c>
      <c r="Z694" s="87" t="e">
        <f t="shared" si="295"/>
        <v>#REF!</v>
      </c>
      <c r="AA694" s="40">
        <v>473</v>
      </c>
      <c r="AB694" s="89">
        <f>AA694*GDPdeflator!$C$25/$AI$18*10^3</f>
        <v>45.478712808157368</v>
      </c>
      <c r="AC694" s="90" t="e">
        <f>INDEX(AdditionalVehs!$E$46:$N$91,MATCH(C694,AdditionalVehs!$C$46:$C$91),MATCH(D694,AdditionalVehs!$E$45:$N$45))</f>
        <v>#REF!</v>
      </c>
      <c r="AD694" s="90" t="e">
        <f t="shared" si="287"/>
        <v>#REF!</v>
      </c>
      <c r="AE694" s="90" t="e">
        <f>INDEX(AdditionalVehs!$P$46:$Y$91,MATCH(C694,AdditionalVehs!$C$46:$C$91),MATCH(D694,AdditionalVehs!$AA$45:$AJ$45))</f>
        <v>#REF!</v>
      </c>
      <c r="AF694" s="90" t="e">
        <f t="shared" si="292"/>
        <v>#REF!</v>
      </c>
      <c r="AG694" s="90">
        <v>0</v>
      </c>
    </row>
    <row r="695" spans="1:33" x14ac:dyDescent="0.2">
      <c r="A695" s="92" t="s">
        <v>2226</v>
      </c>
      <c r="B695" s="248" t="s">
        <v>2227</v>
      </c>
      <c r="C695" s="40" t="s">
        <v>2213</v>
      </c>
      <c r="D695" s="40">
        <v>2045</v>
      </c>
      <c r="E695" s="86">
        <f>GDPdeflator!$C$32*INDEX(AdditionalVehs!$AA$46:$AK$91,MATCH($C695,AdditionalVehs!$C$46:$C$91,0),MATCH(E$7,AdditionalVehs!$AA$45:$AK$45,0))</f>
        <v>0</v>
      </c>
      <c r="F695" s="86" t="e">
        <f>GDPdeflator!$C$36*INDEX(AdditionalVehs!$AA$46:$AK$91,MATCH($C695,AdditionalVehs!$C$46:$C$91,0),MATCH(F$7,AdditionalVehs!$AA$45:$AK$45,0))</f>
        <v>#REF!</v>
      </c>
      <c r="G695" s="86" t="e">
        <f>GDPdeflator!$C$38*INDEX(AdditionalVehs!$AA$46:$AK$91,MATCH($C695,AdditionalVehs!$C$46:$C$91,0),MATCH(G$7,AdditionalVehs!$AA$45:$AK$45,0))</f>
        <v>#REF!</v>
      </c>
      <c r="H695" s="86" t="e">
        <f>GDPdeflator!$C$38*INDEX(AdditionalVehs!$AA$46:$AK$91,MATCH($C695,AdditionalVehs!$C$46:$C$91,0),MATCH(H$7,AdditionalVehs!$AA$45:$AK$45,0))</f>
        <v>#REF!</v>
      </c>
      <c r="I695" s="86" t="e">
        <f>GDPdeflator!$C$38*INDEX(AdditionalVehs!$AA$46:$AK$91,MATCH($C695,AdditionalVehs!$C$46:$C$91,0),MATCH(I$7,AdditionalVehs!$AA$45:$AK$45,0))</f>
        <v>#REF!</v>
      </c>
      <c r="J695" s="86" t="e">
        <f>GDPdeflator!$C$38*INDEX(AdditionalVehs!$AA$46:$AK$91,MATCH($C695,AdditionalVehs!$C$46:$C$91,0),MATCH(J$7,AdditionalVehs!$AA$45:$AK$45,0))</f>
        <v>#REF!</v>
      </c>
      <c r="K695" s="86" t="e">
        <f>GDPdeflator!$C$38*INDEX(AdditionalVehs!$AA$46:$AK$91,MATCH($C695,AdditionalVehs!$C$46:$C$91,0),MATCH(K$7,AdditionalVehs!$AA$45:$AK$45,0))</f>
        <v>#REF!</v>
      </c>
      <c r="L695" s="86" t="e">
        <f>GDPdeflator!$C$38*INDEX(AdditionalVehs!$AA$46:$AK$91,MATCH($C695,AdditionalVehs!$C$46:$C$91,0),MATCH(L$7,AdditionalVehs!$AA$45:$AK$45,0))</f>
        <v>#REF!</v>
      </c>
      <c r="M695" s="86" t="e">
        <f>GDPdeflator!$C$38*INDEX(AdditionalVehs!$AA$46:$AK$91,MATCH($C695,AdditionalVehs!$C$46:$C$91,0),MATCH(M$7,AdditionalVehs!$AA$45:$AK$45,0))</f>
        <v>#REF!</v>
      </c>
      <c r="N695" s="86" t="e">
        <f>GDPdeflator!$C$38*INDEX(AdditionalVehs!$AA$46:$AK$91,MATCH($C695,AdditionalVehs!$C$46:$C$91,0),MATCH(N$7,AdditionalVehs!$AA$45:$AK$45,0))</f>
        <v>#REF!</v>
      </c>
      <c r="O695" s="86" t="e">
        <f>GDPdeflator!$C$38*INDEX(AdditionalVehs!$AA$46:$AK$91,MATCH($C695,AdditionalVehs!$C$46:$C$91,0),MATCH(O$7,AdditionalVehs!$AA$45:$AK$45,0))</f>
        <v>#REF!</v>
      </c>
      <c r="P695" s="87">
        <f t="shared" si="297"/>
        <v>0</v>
      </c>
      <c r="Q695" s="87" t="e">
        <f t="shared" si="290"/>
        <v>#REF!</v>
      </c>
      <c r="R695" s="87" t="e">
        <f t="shared" si="289"/>
        <v>#REF!</v>
      </c>
      <c r="S695" s="87" t="e">
        <f t="shared" ref="S695:S758" si="298">H695/$AI$18*10^6</f>
        <v>#REF!</v>
      </c>
      <c r="T695" s="87" t="e">
        <f t="shared" ref="T695:T758" si="299">I695/$AI$18*10^6</f>
        <v>#REF!</v>
      </c>
      <c r="U695" s="87" t="e">
        <f t="shared" ref="U695:U758" si="300">J695/$AI$18*10^6</f>
        <v>#REF!</v>
      </c>
      <c r="V695" s="87" t="e">
        <f t="shared" ref="V695:V758" si="301">K695/$AI$18*10^6</f>
        <v>#REF!</v>
      </c>
      <c r="W695" s="87" t="e">
        <f t="shared" ref="W695:W758" si="302">L695/$AI$18*10^6</f>
        <v>#REF!</v>
      </c>
      <c r="X695" s="87" t="e">
        <f t="shared" ref="X695:X758" si="303">M695/$AI$18*10^6</f>
        <v>#REF!</v>
      </c>
      <c r="Y695" s="87" t="e">
        <f t="shared" ref="Y695:Y758" si="304">N695/$AI$18*10^6</f>
        <v>#REF!</v>
      </c>
      <c r="Z695" s="87" t="e">
        <f t="shared" ref="Z695:Z758" si="305">O695/$AI$18*10^6</f>
        <v>#REF!</v>
      </c>
      <c r="AA695" s="40">
        <v>473</v>
      </c>
      <c r="AB695" s="89">
        <f>AA695*GDPdeflator!$C$25/$AI$18*10^3</f>
        <v>45.478712808157368</v>
      </c>
      <c r="AC695" s="90" t="e">
        <f>INDEX(AdditionalVehs!$E$46:$N$91,MATCH(C695,AdditionalVehs!$C$46:$C$91),MATCH(D695,AdditionalVehs!$E$45:$N$45))</f>
        <v>#REF!</v>
      </c>
      <c r="AD695" s="90" t="e">
        <f t="shared" si="287"/>
        <v>#REF!</v>
      </c>
      <c r="AE695" s="90" t="e">
        <f>INDEX(AdditionalVehs!$P$46:$Y$91,MATCH(C695,AdditionalVehs!$C$46:$C$91),MATCH(D695,AdditionalVehs!$AA$45:$AJ$45))</f>
        <v>#REF!</v>
      </c>
      <c r="AF695" s="90" t="e">
        <f t="shared" si="292"/>
        <v>#REF!</v>
      </c>
      <c r="AG695" s="90">
        <v>0</v>
      </c>
    </row>
    <row r="696" spans="1:33" x14ac:dyDescent="0.2">
      <c r="A696" s="92" t="s">
        <v>2228</v>
      </c>
      <c r="B696" s="248" t="s">
        <v>2229</v>
      </c>
      <c r="C696" s="40" t="s">
        <v>2213</v>
      </c>
      <c r="D696" s="40">
        <v>2050</v>
      </c>
      <c r="E696" s="86">
        <f>GDPdeflator!$C$32*INDEX(AdditionalVehs!$AA$46:$AK$91,MATCH($C696,AdditionalVehs!$C$46:$C$91,0),MATCH(E$7,AdditionalVehs!$AA$45:$AK$45,0))</f>
        <v>0</v>
      </c>
      <c r="F696" s="86" t="e">
        <f>GDPdeflator!$C$36*INDEX(AdditionalVehs!$AA$46:$AK$91,MATCH($C696,AdditionalVehs!$C$46:$C$91,0),MATCH(F$7,AdditionalVehs!$AA$45:$AK$45,0))</f>
        <v>#REF!</v>
      </c>
      <c r="G696" s="86" t="e">
        <f>GDPdeflator!$C$38*INDEX(AdditionalVehs!$AA$46:$AK$91,MATCH($C696,AdditionalVehs!$C$46:$C$91,0),MATCH(G$7,AdditionalVehs!$AA$45:$AK$45,0))</f>
        <v>#REF!</v>
      </c>
      <c r="H696" s="86" t="e">
        <f>GDPdeflator!$C$38*INDEX(AdditionalVehs!$AA$46:$AK$91,MATCH($C696,AdditionalVehs!$C$46:$C$91,0),MATCH(H$7,AdditionalVehs!$AA$45:$AK$45,0))</f>
        <v>#REF!</v>
      </c>
      <c r="I696" s="86" t="e">
        <f>GDPdeflator!$C$38*INDEX(AdditionalVehs!$AA$46:$AK$91,MATCH($C696,AdditionalVehs!$C$46:$C$91,0),MATCH(I$7,AdditionalVehs!$AA$45:$AK$45,0))</f>
        <v>#REF!</v>
      </c>
      <c r="J696" s="86" t="e">
        <f>GDPdeflator!$C$38*INDEX(AdditionalVehs!$AA$46:$AK$91,MATCH($C696,AdditionalVehs!$C$46:$C$91,0),MATCH(J$7,AdditionalVehs!$AA$45:$AK$45,0))</f>
        <v>#REF!</v>
      </c>
      <c r="K696" s="86" t="e">
        <f>GDPdeflator!$C$38*INDEX(AdditionalVehs!$AA$46:$AK$91,MATCH($C696,AdditionalVehs!$C$46:$C$91,0),MATCH(K$7,AdditionalVehs!$AA$45:$AK$45,0))</f>
        <v>#REF!</v>
      </c>
      <c r="L696" s="86" t="e">
        <f>GDPdeflator!$C$38*INDEX(AdditionalVehs!$AA$46:$AK$91,MATCH($C696,AdditionalVehs!$C$46:$C$91,0),MATCH(L$7,AdditionalVehs!$AA$45:$AK$45,0))</f>
        <v>#REF!</v>
      </c>
      <c r="M696" s="86" t="e">
        <f>GDPdeflator!$C$38*INDEX(AdditionalVehs!$AA$46:$AK$91,MATCH($C696,AdditionalVehs!$C$46:$C$91,0),MATCH(M$7,AdditionalVehs!$AA$45:$AK$45,0))</f>
        <v>#REF!</v>
      </c>
      <c r="N696" s="86" t="e">
        <f>GDPdeflator!$C$38*INDEX(AdditionalVehs!$AA$46:$AK$91,MATCH($C696,AdditionalVehs!$C$46:$C$91,0),MATCH(N$7,AdditionalVehs!$AA$45:$AK$45,0))</f>
        <v>#REF!</v>
      </c>
      <c r="O696" s="86" t="e">
        <f>GDPdeflator!$C$38*INDEX(AdditionalVehs!$AA$46:$AK$91,MATCH($C696,AdditionalVehs!$C$46:$C$91,0),MATCH(O$7,AdditionalVehs!$AA$45:$AK$45,0))</f>
        <v>#REF!</v>
      </c>
      <c r="P696" s="87">
        <f t="shared" si="297"/>
        <v>0</v>
      </c>
      <c r="Q696" s="87" t="e">
        <f t="shared" si="290"/>
        <v>#REF!</v>
      </c>
      <c r="R696" s="87" t="e">
        <f t="shared" si="289"/>
        <v>#REF!</v>
      </c>
      <c r="S696" s="87" t="e">
        <f t="shared" si="298"/>
        <v>#REF!</v>
      </c>
      <c r="T696" s="87" t="e">
        <f t="shared" si="299"/>
        <v>#REF!</v>
      </c>
      <c r="U696" s="87" t="e">
        <f t="shared" si="300"/>
        <v>#REF!</v>
      </c>
      <c r="V696" s="87" t="e">
        <f t="shared" si="301"/>
        <v>#REF!</v>
      </c>
      <c r="W696" s="87" t="e">
        <f t="shared" si="302"/>
        <v>#REF!</v>
      </c>
      <c r="X696" s="87" t="e">
        <f t="shared" si="303"/>
        <v>#REF!</v>
      </c>
      <c r="Y696" s="87" t="e">
        <f t="shared" si="304"/>
        <v>#REF!</v>
      </c>
      <c r="Z696" s="87" t="e">
        <f t="shared" si="305"/>
        <v>#REF!</v>
      </c>
      <c r="AA696" s="40">
        <v>473</v>
      </c>
      <c r="AB696" s="89">
        <f>AA696*GDPdeflator!$C$25/$AI$18*10^3</f>
        <v>45.478712808157368</v>
      </c>
      <c r="AC696" s="90" t="e">
        <f>INDEX(AdditionalVehs!$E$46:$N$91,MATCH(C696,AdditionalVehs!$C$46:$C$91),MATCH(D696,AdditionalVehs!$E$45:$N$45))</f>
        <v>#REF!</v>
      </c>
      <c r="AD696" s="90" t="e">
        <f t="shared" si="287"/>
        <v>#REF!</v>
      </c>
      <c r="AE696" s="90" t="e">
        <f>INDEX(AdditionalVehs!$P$46:$Y$91,MATCH(C696,AdditionalVehs!$C$46:$C$91),MATCH(D696,AdditionalVehs!$AA$45:$AJ$45))</f>
        <v>#REF!</v>
      </c>
      <c r="AF696" s="90" t="e">
        <f t="shared" si="292"/>
        <v>#REF!</v>
      </c>
      <c r="AG696" s="90">
        <v>0</v>
      </c>
    </row>
    <row r="697" spans="1:33" x14ac:dyDescent="0.2">
      <c r="A697" s="92" t="s">
        <v>2230</v>
      </c>
      <c r="B697" s="248" t="s">
        <v>2231</v>
      </c>
      <c r="C697" s="40" t="s">
        <v>2232</v>
      </c>
      <c r="D697" s="40">
        <v>2010</v>
      </c>
      <c r="E697" s="86">
        <f>GDPdeflator!$C$32*INDEX(AdditionalVehs!$AA$46:$AK$91,MATCH($C697,AdditionalVehs!$C$46:$C$91,0),MATCH(E$7,AdditionalVehs!$AA$45:$AK$45,0))</f>
        <v>0</v>
      </c>
      <c r="F697" s="86">
        <f>GDPdeflator!$C$36*INDEX(AdditionalVehs!$AA$46:$AK$91,MATCH($C697,AdditionalVehs!$C$46:$C$91,0),MATCH(F$7,AdditionalVehs!$AA$45:$AK$45,0))</f>
        <v>25.07274529236868</v>
      </c>
      <c r="G697" s="86">
        <f>GDPdeflator!$C$38*INDEX(AdditionalVehs!$AA$46:$AK$91,MATCH($C697,AdditionalVehs!$C$46:$C$91,0),MATCH(G$7,AdditionalVehs!$AA$45:$AK$45,0))</f>
        <v>22.766199921906249</v>
      </c>
      <c r="H697" s="86">
        <f>GDPdeflator!$C$38*INDEX(AdditionalVehs!$AA$46:$AK$91,MATCH($C697,AdditionalVehs!$C$46:$C$91,0),MATCH(H$7,AdditionalVehs!$AA$45:$AK$45,0))</f>
        <v>23.484364360107428</v>
      </c>
      <c r="I697" s="86">
        <f>GDPdeflator!$C$38*INDEX(AdditionalVehs!$AA$46:$AK$91,MATCH($C697,AdditionalVehs!$C$46:$C$91,0),MATCH(I$7,AdditionalVehs!$AA$45:$AK$45,0))</f>
        <v>24.537947878516601</v>
      </c>
      <c r="J697" s="86">
        <f>GDPdeflator!$C$38*INDEX(AdditionalVehs!$AA$46:$AK$91,MATCH($C697,AdditionalVehs!$C$46:$C$91,0),MATCH(J$7,AdditionalVehs!$AA$45:$AK$45,0))</f>
        <v>24.414997678139461</v>
      </c>
      <c r="K697" s="86">
        <f>GDPdeflator!$C$38*INDEX(AdditionalVehs!$AA$46:$AK$91,MATCH($C697,AdditionalVehs!$C$46:$C$91,0),MATCH(K$7,AdditionalVehs!$AA$45:$AK$45,0))</f>
        <v>24.388627427096626</v>
      </c>
      <c r="L697" s="86">
        <f>GDPdeflator!$C$38*INDEX(AdditionalVehs!$AA$46:$AK$91,MATCH($C697,AdditionalVehs!$C$46:$C$91,0),MATCH(L$7,AdditionalVehs!$AA$45:$AK$45,0))</f>
        <v>24.385683771166264</v>
      </c>
      <c r="M697" s="86">
        <f>GDPdeflator!$C$38*INDEX(AdditionalVehs!$AA$46:$AK$91,MATCH($C697,AdditionalVehs!$C$46:$C$91,0),MATCH(M$7,AdditionalVehs!$AA$45:$AK$45,0))</f>
        <v>24.385683771166264</v>
      </c>
      <c r="N697" s="86">
        <f>GDPdeflator!$C$38*INDEX(AdditionalVehs!$AA$46:$AK$91,MATCH($C697,AdditionalVehs!$C$46:$C$91,0),MATCH(N$7,AdditionalVehs!$AA$45:$AK$45,0))</f>
        <v>24.385683771166264</v>
      </c>
      <c r="O697" s="86">
        <f>GDPdeflator!$C$38*INDEX(AdditionalVehs!$AA$46:$AK$91,MATCH($C697,AdditionalVehs!$C$46:$C$91,0),MATCH(O$7,AdditionalVehs!$AA$45:$AK$45,0))</f>
        <v>24.385683771166264</v>
      </c>
      <c r="P697" s="87">
        <f>E697/$AI$18*10^6</f>
        <v>0</v>
      </c>
      <c r="Q697" s="87">
        <f t="shared" si="290"/>
        <v>2093.5277851482861</v>
      </c>
      <c r="R697" s="87">
        <f t="shared" si="289"/>
        <v>1900.9355195443284</v>
      </c>
      <c r="S697" s="87">
        <f t="shared" si="298"/>
        <v>1960.9009197487167</v>
      </c>
      <c r="T697" s="87">
        <f t="shared" si="299"/>
        <v>2048.8731917932637</v>
      </c>
      <c r="U697" s="87">
        <f t="shared" si="300"/>
        <v>2038.6070778245858</v>
      </c>
      <c r="V697" s="87">
        <f t="shared" si="301"/>
        <v>2036.4052107128771</v>
      </c>
      <c r="W697" s="87">
        <f t="shared" si="302"/>
        <v>2036.1594208957563</v>
      </c>
      <c r="X697" s="87">
        <f t="shared" si="303"/>
        <v>2036.1594208957563</v>
      </c>
      <c r="Y697" s="87">
        <f t="shared" si="304"/>
        <v>2036.1594208957563</v>
      </c>
      <c r="Z697" s="87">
        <f t="shared" si="305"/>
        <v>2036.1594208957563</v>
      </c>
      <c r="AA697" s="40">
        <v>420</v>
      </c>
      <c r="AB697" s="89">
        <f>AA697*GDPdeflator!$C$25/$AI$18*10^3</f>
        <v>40.382789385678855</v>
      </c>
      <c r="AC697" s="90" t="e">
        <f>INDEX(AdditionalVehs!$E$46:$N$91,MATCH(C697,AdditionalVehs!$C$46:$C$91),MATCH(D697,AdditionalVehs!$E$45:$N$45))</f>
        <v>#REF!</v>
      </c>
      <c r="AD697" s="90" t="e">
        <f t="shared" si="287"/>
        <v>#REF!</v>
      </c>
      <c r="AE697" s="90" t="e">
        <f>INDEX(AdditionalVehs!$P$46:$Y$91,MATCH(C697,AdditionalVehs!$C$46:$C$91),MATCH(D697,AdditionalVehs!$AA$45:$AJ$45))</f>
        <v>#REF!</v>
      </c>
      <c r="AF697" s="90" t="e">
        <f t="shared" si="292"/>
        <v>#REF!</v>
      </c>
      <c r="AG697" s="90" t="e">
        <f>AdditionalVehs!$C$27</f>
        <v>#REF!</v>
      </c>
    </row>
    <row r="698" spans="1:33" x14ac:dyDescent="0.2">
      <c r="A698" s="92" t="s">
        <v>2233</v>
      </c>
      <c r="B698" s="248" t="s">
        <v>2234</v>
      </c>
      <c r="C698" s="40" t="s">
        <v>2232</v>
      </c>
      <c r="D698" s="40">
        <v>2015</v>
      </c>
      <c r="E698" s="86">
        <f>GDPdeflator!$C$32*INDEX(AdditionalVehs!$AA$46:$AK$91,MATCH($C698,AdditionalVehs!$C$46:$C$91,0),MATCH(E$7,AdditionalVehs!$AA$45:$AK$45,0))</f>
        <v>0</v>
      </c>
      <c r="F698" s="86">
        <f>GDPdeflator!$C$36*INDEX(AdditionalVehs!$AA$46:$AK$91,MATCH($C698,AdditionalVehs!$C$46:$C$91,0),MATCH(F$7,AdditionalVehs!$AA$45:$AK$45,0))</f>
        <v>25.07274529236868</v>
      </c>
      <c r="G698" s="86">
        <f>GDPdeflator!$C$38*INDEX(AdditionalVehs!$AA$46:$AK$91,MATCH($C698,AdditionalVehs!$C$46:$C$91,0),MATCH(G$7,AdditionalVehs!$AA$45:$AK$45,0))</f>
        <v>22.766199921906249</v>
      </c>
      <c r="H698" s="86">
        <f>GDPdeflator!$C$38*INDEX(AdditionalVehs!$AA$46:$AK$91,MATCH($C698,AdditionalVehs!$C$46:$C$91,0),MATCH(H$7,AdditionalVehs!$AA$45:$AK$45,0))</f>
        <v>23.484364360107428</v>
      </c>
      <c r="I698" s="86">
        <f>GDPdeflator!$C$38*INDEX(AdditionalVehs!$AA$46:$AK$91,MATCH($C698,AdditionalVehs!$C$46:$C$91,0),MATCH(I$7,AdditionalVehs!$AA$45:$AK$45,0))</f>
        <v>24.537947878516601</v>
      </c>
      <c r="J698" s="86">
        <f>GDPdeflator!$C$38*INDEX(AdditionalVehs!$AA$46:$AK$91,MATCH($C698,AdditionalVehs!$C$46:$C$91,0),MATCH(J$7,AdditionalVehs!$AA$45:$AK$45,0))</f>
        <v>24.414997678139461</v>
      </c>
      <c r="K698" s="86">
        <f>GDPdeflator!$C$38*INDEX(AdditionalVehs!$AA$46:$AK$91,MATCH($C698,AdditionalVehs!$C$46:$C$91,0),MATCH(K$7,AdditionalVehs!$AA$45:$AK$45,0))</f>
        <v>24.388627427096626</v>
      </c>
      <c r="L698" s="86">
        <f>GDPdeflator!$C$38*INDEX(AdditionalVehs!$AA$46:$AK$91,MATCH($C698,AdditionalVehs!$C$46:$C$91,0),MATCH(L$7,AdditionalVehs!$AA$45:$AK$45,0))</f>
        <v>24.385683771166264</v>
      </c>
      <c r="M698" s="86">
        <f>GDPdeflator!$C$38*INDEX(AdditionalVehs!$AA$46:$AK$91,MATCH($C698,AdditionalVehs!$C$46:$C$91,0),MATCH(M$7,AdditionalVehs!$AA$45:$AK$45,0))</f>
        <v>24.385683771166264</v>
      </c>
      <c r="N698" s="86">
        <f>GDPdeflator!$C$38*INDEX(AdditionalVehs!$AA$46:$AK$91,MATCH($C698,AdditionalVehs!$C$46:$C$91,0),MATCH(N$7,AdditionalVehs!$AA$45:$AK$45,0))</f>
        <v>24.385683771166264</v>
      </c>
      <c r="O698" s="86">
        <f>GDPdeflator!$C$38*INDEX(AdditionalVehs!$AA$46:$AK$91,MATCH($C698,AdditionalVehs!$C$46:$C$91,0),MATCH(O$7,AdditionalVehs!$AA$45:$AK$45,0))</f>
        <v>24.385683771166264</v>
      </c>
      <c r="P698" s="87">
        <f t="shared" ref="P698:P705" si="306">E698/$AI$18*10^6</f>
        <v>0</v>
      </c>
      <c r="Q698" s="87">
        <f t="shared" si="290"/>
        <v>2093.5277851482861</v>
      </c>
      <c r="R698" s="87">
        <f t="shared" si="289"/>
        <v>1900.9355195443284</v>
      </c>
      <c r="S698" s="87">
        <f t="shared" si="298"/>
        <v>1960.9009197487167</v>
      </c>
      <c r="T698" s="87">
        <f t="shared" si="299"/>
        <v>2048.8731917932637</v>
      </c>
      <c r="U698" s="87">
        <f t="shared" si="300"/>
        <v>2038.6070778245858</v>
      </c>
      <c r="V698" s="87">
        <f t="shared" si="301"/>
        <v>2036.4052107128771</v>
      </c>
      <c r="W698" s="87">
        <f t="shared" si="302"/>
        <v>2036.1594208957563</v>
      </c>
      <c r="X698" s="87">
        <f t="shared" si="303"/>
        <v>2036.1594208957563</v>
      </c>
      <c r="Y698" s="87">
        <f t="shared" si="304"/>
        <v>2036.1594208957563</v>
      </c>
      <c r="Z698" s="87">
        <f t="shared" si="305"/>
        <v>2036.1594208957563</v>
      </c>
      <c r="AA698" s="40">
        <v>420</v>
      </c>
      <c r="AB698" s="89">
        <f>AA698*GDPdeflator!$C$25/$AI$18*10^3</f>
        <v>40.382789385678855</v>
      </c>
      <c r="AC698" s="90" t="e">
        <f>INDEX(AdditionalVehs!$E$46:$N$91,MATCH(C698,AdditionalVehs!$C$46:$C$91),MATCH(D698,AdditionalVehs!$E$45:$N$45))</f>
        <v>#REF!</v>
      </c>
      <c r="AD698" s="90" t="e">
        <f t="shared" si="287"/>
        <v>#REF!</v>
      </c>
      <c r="AE698" s="90" t="e">
        <f>INDEX(AdditionalVehs!$P$46:$Y$91,MATCH(C698,AdditionalVehs!$C$46:$C$91),MATCH(D698,AdditionalVehs!$AA$45:$AJ$45))</f>
        <v>#REF!</v>
      </c>
      <c r="AF698" s="90" t="e">
        <f t="shared" si="292"/>
        <v>#REF!</v>
      </c>
      <c r="AG698" s="90" t="e">
        <f>AdditionalVehs!$C$27</f>
        <v>#REF!</v>
      </c>
    </row>
    <row r="699" spans="1:33" x14ac:dyDescent="0.2">
      <c r="A699" s="92" t="s">
        <v>2235</v>
      </c>
      <c r="B699" s="248" t="s">
        <v>2236</v>
      </c>
      <c r="C699" s="40" t="s">
        <v>2232</v>
      </c>
      <c r="D699" s="40">
        <v>2020</v>
      </c>
      <c r="E699" s="86">
        <f>GDPdeflator!$C$32*INDEX(AdditionalVehs!$AA$46:$AK$91,MATCH($C699,AdditionalVehs!$C$46:$C$91,0),MATCH(E$7,AdditionalVehs!$AA$45:$AK$45,0))</f>
        <v>0</v>
      </c>
      <c r="F699" s="86">
        <f>GDPdeflator!$C$36*INDEX(AdditionalVehs!$AA$46:$AK$91,MATCH($C699,AdditionalVehs!$C$46:$C$91,0),MATCH(F$7,AdditionalVehs!$AA$45:$AK$45,0))</f>
        <v>25.07274529236868</v>
      </c>
      <c r="G699" s="86">
        <f>GDPdeflator!$C$38*INDEX(AdditionalVehs!$AA$46:$AK$91,MATCH($C699,AdditionalVehs!$C$46:$C$91,0),MATCH(G$7,AdditionalVehs!$AA$45:$AK$45,0))</f>
        <v>22.766199921906249</v>
      </c>
      <c r="H699" s="86">
        <f>GDPdeflator!$C$38*INDEX(AdditionalVehs!$AA$46:$AK$91,MATCH($C699,AdditionalVehs!$C$46:$C$91,0),MATCH(H$7,AdditionalVehs!$AA$45:$AK$45,0))</f>
        <v>23.484364360107428</v>
      </c>
      <c r="I699" s="86">
        <f>GDPdeflator!$C$38*INDEX(AdditionalVehs!$AA$46:$AK$91,MATCH($C699,AdditionalVehs!$C$46:$C$91,0),MATCH(I$7,AdditionalVehs!$AA$45:$AK$45,0))</f>
        <v>24.537947878516601</v>
      </c>
      <c r="J699" s="86">
        <f>GDPdeflator!$C$38*INDEX(AdditionalVehs!$AA$46:$AK$91,MATCH($C699,AdditionalVehs!$C$46:$C$91,0),MATCH(J$7,AdditionalVehs!$AA$45:$AK$45,0))</f>
        <v>24.414997678139461</v>
      </c>
      <c r="K699" s="86">
        <f>GDPdeflator!$C$38*INDEX(AdditionalVehs!$AA$46:$AK$91,MATCH($C699,AdditionalVehs!$C$46:$C$91,0),MATCH(K$7,AdditionalVehs!$AA$45:$AK$45,0))</f>
        <v>24.388627427096626</v>
      </c>
      <c r="L699" s="86">
        <f>GDPdeflator!$C$38*INDEX(AdditionalVehs!$AA$46:$AK$91,MATCH($C699,AdditionalVehs!$C$46:$C$91,0),MATCH(L$7,AdditionalVehs!$AA$45:$AK$45,0))</f>
        <v>24.385683771166264</v>
      </c>
      <c r="M699" s="86">
        <f>GDPdeflator!$C$38*INDEX(AdditionalVehs!$AA$46:$AK$91,MATCH($C699,AdditionalVehs!$C$46:$C$91,0),MATCH(M$7,AdditionalVehs!$AA$45:$AK$45,0))</f>
        <v>24.385683771166264</v>
      </c>
      <c r="N699" s="86">
        <f>GDPdeflator!$C$38*INDEX(AdditionalVehs!$AA$46:$AK$91,MATCH($C699,AdditionalVehs!$C$46:$C$91,0),MATCH(N$7,AdditionalVehs!$AA$45:$AK$45,0))</f>
        <v>24.385683771166264</v>
      </c>
      <c r="O699" s="86">
        <f>GDPdeflator!$C$38*INDEX(AdditionalVehs!$AA$46:$AK$91,MATCH($C699,AdditionalVehs!$C$46:$C$91,0),MATCH(O$7,AdditionalVehs!$AA$45:$AK$45,0))</f>
        <v>24.385683771166264</v>
      </c>
      <c r="P699" s="87">
        <f t="shared" si="306"/>
        <v>0</v>
      </c>
      <c r="Q699" s="87">
        <f t="shared" si="290"/>
        <v>2093.5277851482861</v>
      </c>
      <c r="R699" s="87">
        <f t="shared" si="289"/>
        <v>1900.9355195443284</v>
      </c>
      <c r="S699" s="87">
        <f t="shared" si="298"/>
        <v>1960.9009197487167</v>
      </c>
      <c r="T699" s="87">
        <f t="shared" si="299"/>
        <v>2048.8731917932637</v>
      </c>
      <c r="U699" s="87">
        <f t="shared" si="300"/>
        <v>2038.6070778245858</v>
      </c>
      <c r="V699" s="87">
        <f t="shared" si="301"/>
        <v>2036.4052107128771</v>
      </c>
      <c r="W699" s="87">
        <f t="shared" si="302"/>
        <v>2036.1594208957563</v>
      </c>
      <c r="X699" s="87">
        <f t="shared" si="303"/>
        <v>2036.1594208957563</v>
      </c>
      <c r="Y699" s="87">
        <f t="shared" si="304"/>
        <v>2036.1594208957563</v>
      </c>
      <c r="Z699" s="87">
        <f t="shared" si="305"/>
        <v>2036.1594208957563</v>
      </c>
      <c r="AA699" s="40">
        <v>420</v>
      </c>
      <c r="AB699" s="89">
        <f>AA699*GDPdeflator!$C$25/$AI$18*10^3</f>
        <v>40.382789385678855</v>
      </c>
      <c r="AC699" s="90" t="e">
        <f>INDEX(AdditionalVehs!$E$46:$N$91,MATCH(C699,AdditionalVehs!$C$46:$C$91),MATCH(D699,AdditionalVehs!$E$45:$N$45))</f>
        <v>#REF!</v>
      </c>
      <c r="AD699" s="90" t="e">
        <f t="shared" si="287"/>
        <v>#REF!</v>
      </c>
      <c r="AE699" s="90" t="e">
        <f>INDEX(AdditionalVehs!$P$46:$Y$91,MATCH(C699,AdditionalVehs!$C$46:$C$91),MATCH(D699,AdditionalVehs!$AA$45:$AJ$45))</f>
        <v>#REF!</v>
      </c>
      <c r="AF699" s="90" t="e">
        <f t="shared" si="292"/>
        <v>#REF!</v>
      </c>
      <c r="AG699" s="90" t="e">
        <f>AdditionalVehs!$C$27</f>
        <v>#REF!</v>
      </c>
    </row>
    <row r="700" spans="1:33" x14ac:dyDescent="0.2">
      <c r="A700" s="92" t="s">
        <v>2237</v>
      </c>
      <c r="B700" s="248" t="s">
        <v>2238</v>
      </c>
      <c r="C700" s="40" t="s">
        <v>2232</v>
      </c>
      <c r="D700" s="40">
        <v>2025</v>
      </c>
      <c r="E700" s="86">
        <f>GDPdeflator!$C$32*INDEX(AdditionalVehs!$AA$46:$AK$91,MATCH($C700,AdditionalVehs!$C$46:$C$91,0),MATCH(E$7,AdditionalVehs!$AA$45:$AK$45,0))</f>
        <v>0</v>
      </c>
      <c r="F700" s="86">
        <f>GDPdeflator!$C$36*INDEX(AdditionalVehs!$AA$46:$AK$91,MATCH($C700,AdditionalVehs!$C$46:$C$91,0),MATCH(F$7,AdditionalVehs!$AA$45:$AK$45,0))</f>
        <v>25.07274529236868</v>
      </c>
      <c r="G700" s="86">
        <f>GDPdeflator!$C$38*INDEX(AdditionalVehs!$AA$46:$AK$91,MATCH($C700,AdditionalVehs!$C$46:$C$91,0),MATCH(G$7,AdditionalVehs!$AA$45:$AK$45,0))</f>
        <v>22.766199921906249</v>
      </c>
      <c r="H700" s="86">
        <f>GDPdeflator!$C$38*INDEX(AdditionalVehs!$AA$46:$AK$91,MATCH($C700,AdditionalVehs!$C$46:$C$91,0),MATCH(H$7,AdditionalVehs!$AA$45:$AK$45,0))</f>
        <v>23.484364360107428</v>
      </c>
      <c r="I700" s="86">
        <f>GDPdeflator!$C$38*INDEX(AdditionalVehs!$AA$46:$AK$91,MATCH($C700,AdditionalVehs!$C$46:$C$91,0),MATCH(I$7,AdditionalVehs!$AA$45:$AK$45,0))</f>
        <v>24.537947878516601</v>
      </c>
      <c r="J700" s="86">
        <f>GDPdeflator!$C$38*INDEX(AdditionalVehs!$AA$46:$AK$91,MATCH($C700,AdditionalVehs!$C$46:$C$91,0),MATCH(J$7,AdditionalVehs!$AA$45:$AK$45,0))</f>
        <v>24.414997678139461</v>
      </c>
      <c r="K700" s="86">
        <f>GDPdeflator!$C$38*INDEX(AdditionalVehs!$AA$46:$AK$91,MATCH($C700,AdditionalVehs!$C$46:$C$91,0),MATCH(K$7,AdditionalVehs!$AA$45:$AK$45,0))</f>
        <v>24.388627427096626</v>
      </c>
      <c r="L700" s="86">
        <f>GDPdeflator!$C$38*INDEX(AdditionalVehs!$AA$46:$AK$91,MATCH($C700,AdditionalVehs!$C$46:$C$91,0),MATCH(L$7,AdditionalVehs!$AA$45:$AK$45,0))</f>
        <v>24.385683771166264</v>
      </c>
      <c r="M700" s="86">
        <f>GDPdeflator!$C$38*INDEX(AdditionalVehs!$AA$46:$AK$91,MATCH($C700,AdditionalVehs!$C$46:$C$91,0),MATCH(M$7,AdditionalVehs!$AA$45:$AK$45,0))</f>
        <v>24.385683771166264</v>
      </c>
      <c r="N700" s="86">
        <f>GDPdeflator!$C$38*INDEX(AdditionalVehs!$AA$46:$AK$91,MATCH($C700,AdditionalVehs!$C$46:$C$91,0),MATCH(N$7,AdditionalVehs!$AA$45:$AK$45,0))</f>
        <v>24.385683771166264</v>
      </c>
      <c r="O700" s="86">
        <f>GDPdeflator!$C$38*INDEX(AdditionalVehs!$AA$46:$AK$91,MATCH($C700,AdditionalVehs!$C$46:$C$91,0),MATCH(O$7,AdditionalVehs!$AA$45:$AK$45,0))</f>
        <v>24.385683771166264</v>
      </c>
      <c r="P700" s="87">
        <f t="shared" si="306"/>
        <v>0</v>
      </c>
      <c r="Q700" s="87">
        <f t="shared" si="290"/>
        <v>2093.5277851482861</v>
      </c>
      <c r="R700" s="87">
        <f t="shared" si="289"/>
        <v>1900.9355195443284</v>
      </c>
      <c r="S700" s="87">
        <f t="shared" si="298"/>
        <v>1960.9009197487167</v>
      </c>
      <c r="T700" s="87">
        <f t="shared" si="299"/>
        <v>2048.8731917932637</v>
      </c>
      <c r="U700" s="87">
        <f t="shared" si="300"/>
        <v>2038.6070778245858</v>
      </c>
      <c r="V700" s="87">
        <f t="shared" si="301"/>
        <v>2036.4052107128771</v>
      </c>
      <c r="W700" s="87">
        <f t="shared" si="302"/>
        <v>2036.1594208957563</v>
      </c>
      <c r="X700" s="87">
        <f t="shared" si="303"/>
        <v>2036.1594208957563</v>
      </c>
      <c r="Y700" s="87">
        <f t="shared" si="304"/>
        <v>2036.1594208957563</v>
      </c>
      <c r="Z700" s="87">
        <f t="shared" si="305"/>
        <v>2036.1594208957563</v>
      </c>
      <c r="AA700" s="40">
        <v>420</v>
      </c>
      <c r="AB700" s="89">
        <f>AA700*GDPdeflator!$C$25/$AI$18*10^3</f>
        <v>40.382789385678855</v>
      </c>
      <c r="AC700" s="90" t="e">
        <f>INDEX(AdditionalVehs!$E$46:$N$91,MATCH(C700,AdditionalVehs!$C$46:$C$91),MATCH(D700,AdditionalVehs!$E$45:$N$45))</f>
        <v>#REF!</v>
      </c>
      <c r="AD700" s="90" t="e">
        <f t="shared" si="287"/>
        <v>#REF!</v>
      </c>
      <c r="AE700" s="90" t="e">
        <f>INDEX(AdditionalVehs!$P$46:$Y$91,MATCH(C700,AdditionalVehs!$C$46:$C$91),MATCH(D700,AdditionalVehs!$AA$45:$AJ$45))</f>
        <v>#REF!</v>
      </c>
      <c r="AF700" s="90" t="e">
        <f t="shared" si="292"/>
        <v>#REF!</v>
      </c>
      <c r="AG700" s="90" t="e">
        <f>AdditionalVehs!$C$27</f>
        <v>#REF!</v>
      </c>
    </row>
    <row r="701" spans="1:33" x14ac:dyDescent="0.2">
      <c r="A701" s="92" t="s">
        <v>2239</v>
      </c>
      <c r="B701" s="248" t="s">
        <v>2240</v>
      </c>
      <c r="C701" s="40" t="s">
        <v>2232</v>
      </c>
      <c r="D701" s="40">
        <v>2030</v>
      </c>
      <c r="E701" s="86">
        <f>GDPdeflator!$C$32*INDEX(AdditionalVehs!$AA$46:$AK$91,MATCH($C701,AdditionalVehs!$C$46:$C$91,0),MATCH(E$7,AdditionalVehs!$AA$45:$AK$45,0))</f>
        <v>0</v>
      </c>
      <c r="F701" s="86">
        <f>GDPdeflator!$C$36*INDEX(AdditionalVehs!$AA$46:$AK$91,MATCH($C701,AdditionalVehs!$C$46:$C$91,0),MATCH(F$7,AdditionalVehs!$AA$45:$AK$45,0))</f>
        <v>25.07274529236868</v>
      </c>
      <c r="G701" s="86">
        <f>GDPdeflator!$C$38*INDEX(AdditionalVehs!$AA$46:$AK$91,MATCH($C701,AdditionalVehs!$C$46:$C$91,0),MATCH(G$7,AdditionalVehs!$AA$45:$AK$45,0))</f>
        <v>22.766199921906249</v>
      </c>
      <c r="H701" s="86">
        <f>GDPdeflator!$C$38*INDEX(AdditionalVehs!$AA$46:$AK$91,MATCH($C701,AdditionalVehs!$C$46:$C$91,0),MATCH(H$7,AdditionalVehs!$AA$45:$AK$45,0))</f>
        <v>23.484364360107428</v>
      </c>
      <c r="I701" s="86">
        <f>GDPdeflator!$C$38*INDEX(AdditionalVehs!$AA$46:$AK$91,MATCH($C701,AdditionalVehs!$C$46:$C$91,0),MATCH(I$7,AdditionalVehs!$AA$45:$AK$45,0))</f>
        <v>24.537947878516601</v>
      </c>
      <c r="J701" s="86">
        <f>GDPdeflator!$C$38*INDEX(AdditionalVehs!$AA$46:$AK$91,MATCH($C701,AdditionalVehs!$C$46:$C$91,0),MATCH(J$7,AdditionalVehs!$AA$45:$AK$45,0))</f>
        <v>24.414997678139461</v>
      </c>
      <c r="K701" s="86">
        <f>GDPdeflator!$C$38*INDEX(AdditionalVehs!$AA$46:$AK$91,MATCH($C701,AdditionalVehs!$C$46:$C$91,0),MATCH(K$7,AdditionalVehs!$AA$45:$AK$45,0))</f>
        <v>24.388627427096626</v>
      </c>
      <c r="L701" s="86">
        <f>GDPdeflator!$C$38*INDEX(AdditionalVehs!$AA$46:$AK$91,MATCH($C701,AdditionalVehs!$C$46:$C$91,0),MATCH(L$7,AdditionalVehs!$AA$45:$AK$45,0))</f>
        <v>24.385683771166264</v>
      </c>
      <c r="M701" s="86">
        <f>GDPdeflator!$C$38*INDEX(AdditionalVehs!$AA$46:$AK$91,MATCH($C701,AdditionalVehs!$C$46:$C$91,0),MATCH(M$7,AdditionalVehs!$AA$45:$AK$45,0))</f>
        <v>24.385683771166264</v>
      </c>
      <c r="N701" s="86">
        <f>GDPdeflator!$C$38*INDEX(AdditionalVehs!$AA$46:$AK$91,MATCH($C701,AdditionalVehs!$C$46:$C$91,0),MATCH(N$7,AdditionalVehs!$AA$45:$AK$45,0))</f>
        <v>24.385683771166264</v>
      </c>
      <c r="O701" s="86">
        <f>GDPdeflator!$C$38*INDEX(AdditionalVehs!$AA$46:$AK$91,MATCH($C701,AdditionalVehs!$C$46:$C$91,0),MATCH(O$7,AdditionalVehs!$AA$45:$AK$45,0))</f>
        <v>24.385683771166264</v>
      </c>
      <c r="P701" s="87">
        <f t="shared" si="306"/>
        <v>0</v>
      </c>
      <c r="Q701" s="87">
        <f t="shared" si="290"/>
        <v>2093.5277851482861</v>
      </c>
      <c r="R701" s="87">
        <f t="shared" si="289"/>
        <v>1900.9355195443284</v>
      </c>
      <c r="S701" s="87">
        <f t="shared" si="298"/>
        <v>1960.9009197487167</v>
      </c>
      <c r="T701" s="87">
        <f t="shared" si="299"/>
        <v>2048.8731917932637</v>
      </c>
      <c r="U701" s="87">
        <f t="shared" si="300"/>
        <v>2038.6070778245858</v>
      </c>
      <c r="V701" s="87">
        <f t="shared" si="301"/>
        <v>2036.4052107128771</v>
      </c>
      <c r="W701" s="87">
        <f t="shared" si="302"/>
        <v>2036.1594208957563</v>
      </c>
      <c r="X701" s="87">
        <f t="shared" si="303"/>
        <v>2036.1594208957563</v>
      </c>
      <c r="Y701" s="87">
        <f t="shared" si="304"/>
        <v>2036.1594208957563</v>
      </c>
      <c r="Z701" s="87">
        <f t="shared" si="305"/>
        <v>2036.1594208957563</v>
      </c>
      <c r="AA701" s="40">
        <v>420</v>
      </c>
      <c r="AB701" s="89">
        <f>AA701*GDPdeflator!$C$25/$AI$18*10^3</f>
        <v>40.382789385678855</v>
      </c>
      <c r="AC701" s="90" t="e">
        <f>INDEX(AdditionalVehs!$E$46:$N$91,MATCH(C701,AdditionalVehs!$C$46:$C$91),MATCH(D701,AdditionalVehs!$E$45:$N$45))</f>
        <v>#REF!</v>
      </c>
      <c r="AD701" s="90" t="e">
        <f t="shared" si="287"/>
        <v>#REF!</v>
      </c>
      <c r="AE701" s="90" t="e">
        <f>INDEX(AdditionalVehs!$P$46:$Y$91,MATCH(C701,AdditionalVehs!$C$46:$C$91),MATCH(D701,AdditionalVehs!$AA$45:$AJ$45))</f>
        <v>#REF!</v>
      </c>
      <c r="AF701" s="90" t="e">
        <f t="shared" si="292"/>
        <v>#REF!</v>
      </c>
      <c r="AG701" s="90" t="e">
        <f>AdditionalVehs!$C$27</f>
        <v>#REF!</v>
      </c>
    </row>
    <row r="702" spans="1:33" x14ac:dyDescent="0.2">
      <c r="A702" s="92" t="s">
        <v>2241</v>
      </c>
      <c r="B702" s="248" t="s">
        <v>2242</v>
      </c>
      <c r="C702" s="40" t="s">
        <v>2232</v>
      </c>
      <c r="D702" s="40">
        <v>2035</v>
      </c>
      <c r="E702" s="86">
        <f>GDPdeflator!$C$32*INDEX(AdditionalVehs!$AA$46:$AK$91,MATCH($C702,AdditionalVehs!$C$46:$C$91,0),MATCH(E$7,AdditionalVehs!$AA$45:$AK$45,0))</f>
        <v>0</v>
      </c>
      <c r="F702" s="86">
        <f>GDPdeflator!$C$36*INDEX(AdditionalVehs!$AA$46:$AK$91,MATCH($C702,AdditionalVehs!$C$46:$C$91,0),MATCH(F$7,AdditionalVehs!$AA$45:$AK$45,0))</f>
        <v>25.07274529236868</v>
      </c>
      <c r="G702" s="86">
        <f>GDPdeflator!$C$38*INDEX(AdditionalVehs!$AA$46:$AK$91,MATCH($C702,AdditionalVehs!$C$46:$C$91,0),MATCH(G$7,AdditionalVehs!$AA$45:$AK$45,0))</f>
        <v>22.766199921906249</v>
      </c>
      <c r="H702" s="86">
        <f>GDPdeflator!$C$38*INDEX(AdditionalVehs!$AA$46:$AK$91,MATCH($C702,AdditionalVehs!$C$46:$C$91,0),MATCH(H$7,AdditionalVehs!$AA$45:$AK$45,0))</f>
        <v>23.484364360107428</v>
      </c>
      <c r="I702" s="86">
        <f>GDPdeflator!$C$38*INDEX(AdditionalVehs!$AA$46:$AK$91,MATCH($C702,AdditionalVehs!$C$46:$C$91,0),MATCH(I$7,AdditionalVehs!$AA$45:$AK$45,0))</f>
        <v>24.537947878516601</v>
      </c>
      <c r="J702" s="86">
        <f>GDPdeflator!$C$38*INDEX(AdditionalVehs!$AA$46:$AK$91,MATCH($C702,AdditionalVehs!$C$46:$C$91,0),MATCH(J$7,AdditionalVehs!$AA$45:$AK$45,0))</f>
        <v>24.414997678139461</v>
      </c>
      <c r="K702" s="86">
        <f>GDPdeflator!$C$38*INDEX(AdditionalVehs!$AA$46:$AK$91,MATCH($C702,AdditionalVehs!$C$46:$C$91,0),MATCH(K$7,AdditionalVehs!$AA$45:$AK$45,0))</f>
        <v>24.388627427096626</v>
      </c>
      <c r="L702" s="86">
        <f>GDPdeflator!$C$38*INDEX(AdditionalVehs!$AA$46:$AK$91,MATCH($C702,AdditionalVehs!$C$46:$C$91,0),MATCH(L$7,AdditionalVehs!$AA$45:$AK$45,0))</f>
        <v>24.385683771166264</v>
      </c>
      <c r="M702" s="86">
        <f>GDPdeflator!$C$38*INDEX(AdditionalVehs!$AA$46:$AK$91,MATCH($C702,AdditionalVehs!$C$46:$C$91,0),MATCH(M$7,AdditionalVehs!$AA$45:$AK$45,0))</f>
        <v>24.385683771166264</v>
      </c>
      <c r="N702" s="86">
        <f>GDPdeflator!$C$38*INDEX(AdditionalVehs!$AA$46:$AK$91,MATCH($C702,AdditionalVehs!$C$46:$C$91,0),MATCH(N$7,AdditionalVehs!$AA$45:$AK$45,0))</f>
        <v>24.385683771166264</v>
      </c>
      <c r="O702" s="86">
        <f>GDPdeflator!$C$38*INDEX(AdditionalVehs!$AA$46:$AK$91,MATCH($C702,AdditionalVehs!$C$46:$C$91,0),MATCH(O$7,AdditionalVehs!$AA$45:$AK$45,0))</f>
        <v>24.385683771166264</v>
      </c>
      <c r="P702" s="87">
        <f t="shared" si="306"/>
        <v>0</v>
      </c>
      <c r="Q702" s="87">
        <f t="shared" si="290"/>
        <v>2093.5277851482861</v>
      </c>
      <c r="R702" s="87">
        <f t="shared" si="289"/>
        <v>1900.9355195443284</v>
      </c>
      <c r="S702" s="87">
        <f t="shared" si="298"/>
        <v>1960.9009197487167</v>
      </c>
      <c r="T702" s="87">
        <f t="shared" si="299"/>
        <v>2048.8731917932637</v>
      </c>
      <c r="U702" s="87">
        <f t="shared" si="300"/>
        <v>2038.6070778245858</v>
      </c>
      <c r="V702" s="87">
        <f t="shared" si="301"/>
        <v>2036.4052107128771</v>
      </c>
      <c r="W702" s="87">
        <f t="shared" si="302"/>
        <v>2036.1594208957563</v>
      </c>
      <c r="X702" s="87">
        <f t="shared" si="303"/>
        <v>2036.1594208957563</v>
      </c>
      <c r="Y702" s="87">
        <f t="shared" si="304"/>
        <v>2036.1594208957563</v>
      </c>
      <c r="Z702" s="87">
        <f t="shared" si="305"/>
        <v>2036.1594208957563</v>
      </c>
      <c r="AA702" s="40">
        <v>420</v>
      </c>
      <c r="AB702" s="89">
        <f>AA702*GDPdeflator!$C$25/$AI$18*10^3</f>
        <v>40.382789385678855</v>
      </c>
      <c r="AC702" s="90" t="e">
        <f>INDEX(AdditionalVehs!$E$46:$N$91,MATCH(C702,AdditionalVehs!$C$46:$C$91),MATCH(D702,AdditionalVehs!$E$45:$N$45))</f>
        <v>#REF!</v>
      </c>
      <c r="AD702" s="90" t="e">
        <f t="shared" si="287"/>
        <v>#REF!</v>
      </c>
      <c r="AE702" s="90" t="e">
        <f>INDEX(AdditionalVehs!$P$46:$Y$91,MATCH(C702,AdditionalVehs!$C$46:$C$91),MATCH(D702,AdditionalVehs!$AA$45:$AJ$45))</f>
        <v>#REF!</v>
      </c>
      <c r="AF702" s="90" t="e">
        <f t="shared" si="292"/>
        <v>#REF!</v>
      </c>
      <c r="AG702" s="90" t="e">
        <f>AdditionalVehs!$C$27</f>
        <v>#REF!</v>
      </c>
    </row>
    <row r="703" spans="1:33" x14ac:dyDescent="0.2">
      <c r="A703" s="92" t="s">
        <v>2243</v>
      </c>
      <c r="B703" s="248" t="s">
        <v>2244</v>
      </c>
      <c r="C703" s="40" t="s">
        <v>2232</v>
      </c>
      <c r="D703" s="40">
        <v>2040</v>
      </c>
      <c r="E703" s="86">
        <f>GDPdeflator!$C$32*INDEX(AdditionalVehs!$AA$46:$AK$91,MATCH($C703,AdditionalVehs!$C$46:$C$91,0),MATCH(E$7,AdditionalVehs!$AA$45:$AK$45,0))</f>
        <v>0</v>
      </c>
      <c r="F703" s="86">
        <f>GDPdeflator!$C$36*INDEX(AdditionalVehs!$AA$46:$AK$91,MATCH($C703,AdditionalVehs!$C$46:$C$91,0),MATCH(F$7,AdditionalVehs!$AA$45:$AK$45,0))</f>
        <v>25.07274529236868</v>
      </c>
      <c r="G703" s="86">
        <f>GDPdeflator!$C$38*INDEX(AdditionalVehs!$AA$46:$AK$91,MATCH($C703,AdditionalVehs!$C$46:$C$91,0),MATCH(G$7,AdditionalVehs!$AA$45:$AK$45,0))</f>
        <v>22.766199921906249</v>
      </c>
      <c r="H703" s="86">
        <f>GDPdeflator!$C$38*INDEX(AdditionalVehs!$AA$46:$AK$91,MATCH($C703,AdditionalVehs!$C$46:$C$91,0),MATCH(H$7,AdditionalVehs!$AA$45:$AK$45,0))</f>
        <v>23.484364360107428</v>
      </c>
      <c r="I703" s="86">
        <f>GDPdeflator!$C$38*INDEX(AdditionalVehs!$AA$46:$AK$91,MATCH($C703,AdditionalVehs!$C$46:$C$91,0),MATCH(I$7,AdditionalVehs!$AA$45:$AK$45,0))</f>
        <v>24.537947878516601</v>
      </c>
      <c r="J703" s="86">
        <f>GDPdeflator!$C$38*INDEX(AdditionalVehs!$AA$46:$AK$91,MATCH($C703,AdditionalVehs!$C$46:$C$91,0),MATCH(J$7,AdditionalVehs!$AA$45:$AK$45,0))</f>
        <v>24.414997678139461</v>
      </c>
      <c r="K703" s="86">
        <f>GDPdeflator!$C$38*INDEX(AdditionalVehs!$AA$46:$AK$91,MATCH($C703,AdditionalVehs!$C$46:$C$91,0),MATCH(K$7,AdditionalVehs!$AA$45:$AK$45,0))</f>
        <v>24.388627427096626</v>
      </c>
      <c r="L703" s="86">
        <f>GDPdeflator!$C$38*INDEX(AdditionalVehs!$AA$46:$AK$91,MATCH($C703,AdditionalVehs!$C$46:$C$91,0),MATCH(L$7,AdditionalVehs!$AA$45:$AK$45,0))</f>
        <v>24.385683771166264</v>
      </c>
      <c r="M703" s="86">
        <f>GDPdeflator!$C$38*INDEX(AdditionalVehs!$AA$46:$AK$91,MATCH($C703,AdditionalVehs!$C$46:$C$91,0),MATCH(M$7,AdditionalVehs!$AA$45:$AK$45,0))</f>
        <v>24.385683771166264</v>
      </c>
      <c r="N703" s="86">
        <f>GDPdeflator!$C$38*INDEX(AdditionalVehs!$AA$46:$AK$91,MATCH($C703,AdditionalVehs!$C$46:$C$91,0),MATCH(N$7,AdditionalVehs!$AA$45:$AK$45,0))</f>
        <v>24.385683771166264</v>
      </c>
      <c r="O703" s="86">
        <f>GDPdeflator!$C$38*INDEX(AdditionalVehs!$AA$46:$AK$91,MATCH($C703,AdditionalVehs!$C$46:$C$91,0),MATCH(O$7,AdditionalVehs!$AA$45:$AK$45,0))</f>
        <v>24.385683771166264</v>
      </c>
      <c r="P703" s="87">
        <f t="shared" si="306"/>
        <v>0</v>
      </c>
      <c r="Q703" s="87">
        <f t="shared" si="290"/>
        <v>2093.5277851482861</v>
      </c>
      <c r="R703" s="87">
        <f t="shared" si="289"/>
        <v>1900.9355195443284</v>
      </c>
      <c r="S703" s="87">
        <f t="shared" si="298"/>
        <v>1960.9009197487167</v>
      </c>
      <c r="T703" s="87">
        <f t="shared" si="299"/>
        <v>2048.8731917932637</v>
      </c>
      <c r="U703" s="87">
        <f t="shared" si="300"/>
        <v>2038.6070778245858</v>
      </c>
      <c r="V703" s="87">
        <f t="shared" si="301"/>
        <v>2036.4052107128771</v>
      </c>
      <c r="W703" s="87">
        <f t="shared" si="302"/>
        <v>2036.1594208957563</v>
      </c>
      <c r="X703" s="87">
        <f t="shared" si="303"/>
        <v>2036.1594208957563</v>
      </c>
      <c r="Y703" s="87">
        <f t="shared" si="304"/>
        <v>2036.1594208957563</v>
      </c>
      <c r="Z703" s="87">
        <f t="shared" si="305"/>
        <v>2036.1594208957563</v>
      </c>
      <c r="AA703" s="40">
        <v>420</v>
      </c>
      <c r="AB703" s="89">
        <f>AA703*GDPdeflator!$C$25/$AI$18*10^3</f>
        <v>40.382789385678855</v>
      </c>
      <c r="AC703" s="90" t="e">
        <f>INDEX(AdditionalVehs!$E$46:$N$91,MATCH(C703,AdditionalVehs!$C$46:$C$91),MATCH(D703,AdditionalVehs!$E$45:$N$45))</f>
        <v>#REF!</v>
      </c>
      <c r="AD703" s="90" t="e">
        <f t="shared" si="287"/>
        <v>#REF!</v>
      </c>
      <c r="AE703" s="90" t="e">
        <f>INDEX(AdditionalVehs!$P$46:$Y$91,MATCH(C703,AdditionalVehs!$C$46:$C$91),MATCH(D703,AdditionalVehs!$AA$45:$AJ$45))</f>
        <v>#REF!</v>
      </c>
      <c r="AF703" s="90" t="e">
        <f t="shared" si="292"/>
        <v>#REF!</v>
      </c>
      <c r="AG703" s="90" t="e">
        <f>AdditionalVehs!$C$27</f>
        <v>#REF!</v>
      </c>
    </row>
    <row r="704" spans="1:33" x14ac:dyDescent="0.2">
      <c r="A704" s="92" t="s">
        <v>2245</v>
      </c>
      <c r="B704" s="248" t="s">
        <v>2246</v>
      </c>
      <c r="C704" s="40" t="s">
        <v>2232</v>
      </c>
      <c r="D704" s="40">
        <v>2045</v>
      </c>
      <c r="E704" s="86">
        <f>GDPdeflator!$C$32*INDEX(AdditionalVehs!$AA$46:$AK$91,MATCH($C704,AdditionalVehs!$C$46:$C$91,0),MATCH(E$7,AdditionalVehs!$AA$45:$AK$45,0))</f>
        <v>0</v>
      </c>
      <c r="F704" s="86">
        <f>GDPdeflator!$C$36*INDEX(AdditionalVehs!$AA$46:$AK$91,MATCH($C704,AdditionalVehs!$C$46:$C$91,0),MATCH(F$7,AdditionalVehs!$AA$45:$AK$45,0))</f>
        <v>25.07274529236868</v>
      </c>
      <c r="G704" s="86">
        <f>GDPdeflator!$C$38*INDEX(AdditionalVehs!$AA$46:$AK$91,MATCH($C704,AdditionalVehs!$C$46:$C$91,0),MATCH(G$7,AdditionalVehs!$AA$45:$AK$45,0))</f>
        <v>22.766199921906249</v>
      </c>
      <c r="H704" s="86">
        <f>GDPdeflator!$C$38*INDEX(AdditionalVehs!$AA$46:$AK$91,MATCH($C704,AdditionalVehs!$C$46:$C$91,0),MATCH(H$7,AdditionalVehs!$AA$45:$AK$45,0))</f>
        <v>23.484364360107428</v>
      </c>
      <c r="I704" s="86">
        <f>GDPdeflator!$C$38*INDEX(AdditionalVehs!$AA$46:$AK$91,MATCH($C704,AdditionalVehs!$C$46:$C$91,0),MATCH(I$7,AdditionalVehs!$AA$45:$AK$45,0))</f>
        <v>24.537947878516601</v>
      </c>
      <c r="J704" s="86">
        <f>GDPdeflator!$C$38*INDEX(AdditionalVehs!$AA$46:$AK$91,MATCH($C704,AdditionalVehs!$C$46:$C$91,0),MATCH(J$7,AdditionalVehs!$AA$45:$AK$45,0))</f>
        <v>24.414997678139461</v>
      </c>
      <c r="K704" s="86">
        <f>GDPdeflator!$C$38*INDEX(AdditionalVehs!$AA$46:$AK$91,MATCH($C704,AdditionalVehs!$C$46:$C$91,0),MATCH(K$7,AdditionalVehs!$AA$45:$AK$45,0))</f>
        <v>24.388627427096626</v>
      </c>
      <c r="L704" s="86">
        <f>GDPdeflator!$C$38*INDEX(AdditionalVehs!$AA$46:$AK$91,MATCH($C704,AdditionalVehs!$C$46:$C$91,0),MATCH(L$7,AdditionalVehs!$AA$45:$AK$45,0))</f>
        <v>24.385683771166264</v>
      </c>
      <c r="M704" s="86">
        <f>GDPdeflator!$C$38*INDEX(AdditionalVehs!$AA$46:$AK$91,MATCH($C704,AdditionalVehs!$C$46:$C$91,0),MATCH(M$7,AdditionalVehs!$AA$45:$AK$45,0))</f>
        <v>24.385683771166264</v>
      </c>
      <c r="N704" s="86">
        <f>GDPdeflator!$C$38*INDEX(AdditionalVehs!$AA$46:$AK$91,MATCH($C704,AdditionalVehs!$C$46:$C$91,0),MATCH(N$7,AdditionalVehs!$AA$45:$AK$45,0))</f>
        <v>24.385683771166264</v>
      </c>
      <c r="O704" s="86">
        <f>GDPdeflator!$C$38*INDEX(AdditionalVehs!$AA$46:$AK$91,MATCH($C704,AdditionalVehs!$C$46:$C$91,0),MATCH(O$7,AdditionalVehs!$AA$45:$AK$45,0))</f>
        <v>24.385683771166264</v>
      </c>
      <c r="P704" s="87">
        <f t="shared" si="306"/>
        <v>0</v>
      </c>
      <c r="Q704" s="87">
        <f t="shared" si="290"/>
        <v>2093.5277851482861</v>
      </c>
      <c r="R704" s="87">
        <f t="shared" si="289"/>
        <v>1900.9355195443284</v>
      </c>
      <c r="S704" s="87">
        <f t="shared" si="298"/>
        <v>1960.9009197487167</v>
      </c>
      <c r="T704" s="87">
        <f t="shared" si="299"/>
        <v>2048.8731917932637</v>
      </c>
      <c r="U704" s="87">
        <f t="shared" si="300"/>
        <v>2038.6070778245858</v>
      </c>
      <c r="V704" s="87">
        <f t="shared" si="301"/>
        <v>2036.4052107128771</v>
      </c>
      <c r="W704" s="87">
        <f t="shared" si="302"/>
        <v>2036.1594208957563</v>
      </c>
      <c r="X704" s="87">
        <f t="shared" si="303"/>
        <v>2036.1594208957563</v>
      </c>
      <c r="Y704" s="87">
        <f t="shared" si="304"/>
        <v>2036.1594208957563</v>
      </c>
      <c r="Z704" s="87">
        <f t="shared" si="305"/>
        <v>2036.1594208957563</v>
      </c>
      <c r="AA704" s="40">
        <v>420</v>
      </c>
      <c r="AB704" s="89">
        <f>AA704*GDPdeflator!$C$25/$AI$18*10^3</f>
        <v>40.382789385678855</v>
      </c>
      <c r="AC704" s="90" t="e">
        <f>INDEX(AdditionalVehs!$E$46:$N$91,MATCH(C704,AdditionalVehs!$C$46:$C$91),MATCH(D704,AdditionalVehs!$E$45:$N$45))</f>
        <v>#REF!</v>
      </c>
      <c r="AD704" s="90" t="e">
        <f t="shared" si="287"/>
        <v>#REF!</v>
      </c>
      <c r="AE704" s="90" t="e">
        <f>INDEX(AdditionalVehs!$P$46:$Y$91,MATCH(C704,AdditionalVehs!$C$46:$C$91),MATCH(D704,AdditionalVehs!$AA$45:$AJ$45))</f>
        <v>#REF!</v>
      </c>
      <c r="AF704" s="90" t="e">
        <f t="shared" si="292"/>
        <v>#REF!</v>
      </c>
      <c r="AG704" s="90" t="e">
        <f>AdditionalVehs!$C$27</f>
        <v>#REF!</v>
      </c>
    </row>
    <row r="705" spans="1:33" x14ac:dyDescent="0.2">
      <c r="A705" s="92" t="s">
        <v>2247</v>
      </c>
      <c r="B705" s="248" t="s">
        <v>2248</v>
      </c>
      <c r="C705" s="40" t="s">
        <v>2232</v>
      </c>
      <c r="D705" s="40">
        <v>2050</v>
      </c>
      <c r="E705" s="86">
        <f>GDPdeflator!$C$32*INDEX(AdditionalVehs!$AA$46:$AK$91,MATCH($C705,AdditionalVehs!$C$46:$C$91,0),MATCH(E$7,AdditionalVehs!$AA$45:$AK$45,0))</f>
        <v>0</v>
      </c>
      <c r="F705" s="86">
        <f>GDPdeflator!$C$36*INDEX(AdditionalVehs!$AA$46:$AK$91,MATCH($C705,AdditionalVehs!$C$46:$C$91,0),MATCH(F$7,AdditionalVehs!$AA$45:$AK$45,0))</f>
        <v>25.07274529236868</v>
      </c>
      <c r="G705" s="86">
        <f>GDPdeflator!$C$38*INDEX(AdditionalVehs!$AA$46:$AK$91,MATCH($C705,AdditionalVehs!$C$46:$C$91,0),MATCH(G$7,AdditionalVehs!$AA$45:$AK$45,0))</f>
        <v>22.766199921906249</v>
      </c>
      <c r="H705" s="86">
        <f>GDPdeflator!$C$38*INDEX(AdditionalVehs!$AA$46:$AK$91,MATCH($C705,AdditionalVehs!$C$46:$C$91,0),MATCH(H$7,AdditionalVehs!$AA$45:$AK$45,0))</f>
        <v>23.484364360107428</v>
      </c>
      <c r="I705" s="86">
        <f>GDPdeflator!$C$38*INDEX(AdditionalVehs!$AA$46:$AK$91,MATCH($C705,AdditionalVehs!$C$46:$C$91,0),MATCH(I$7,AdditionalVehs!$AA$45:$AK$45,0))</f>
        <v>24.537947878516601</v>
      </c>
      <c r="J705" s="86">
        <f>GDPdeflator!$C$38*INDEX(AdditionalVehs!$AA$46:$AK$91,MATCH($C705,AdditionalVehs!$C$46:$C$91,0),MATCH(J$7,AdditionalVehs!$AA$45:$AK$45,0))</f>
        <v>24.414997678139461</v>
      </c>
      <c r="K705" s="86">
        <f>GDPdeflator!$C$38*INDEX(AdditionalVehs!$AA$46:$AK$91,MATCH($C705,AdditionalVehs!$C$46:$C$91,0),MATCH(K$7,AdditionalVehs!$AA$45:$AK$45,0))</f>
        <v>24.388627427096626</v>
      </c>
      <c r="L705" s="86">
        <f>GDPdeflator!$C$38*INDEX(AdditionalVehs!$AA$46:$AK$91,MATCH($C705,AdditionalVehs!$C$46:$C$91,0),MATCH(L$7,AdditionalVehs!$AA$45:$AK$45,0))</f>
        <v>24.385683771166264</v>
      </c>
      <c r="M705" s="86">
        <f>GDPdeflator!$C$38*INDEX(AdditionalVehs!$AA$46:$AK$91,MATCH($C705,AdditionalVehs!$C$46:$C$91,0),MATCH(M$7,AdditionalVehs!$AA$45:$AK$45,0))</f>
        <v>24.385683771166264</v>
      </c>
      <c r="N705" s="86">
        <f>GDPdeflator!$C$38*INDEX(AdditionalVehs!$AA$46:$AK$91,MATCH($C705,AdditionalVehs!$C$46:$C$91,0),MATCH(N$7,AdditionalVehs!$AA$45:$AK$45,0))</f>
        <v>24.385683771166264</v>
      </c>
      <c r="O705" s="86">
        <f>GDPdeflator!$C$38*INDEX(AdditionalVehs!$AA$46:$AK$91,MATCH($C705,AdditionalVehs!$C$46:$C$91,0),MATCH(O$7,AdditionalVehs!$AA$45:$AK$45,0))</f>
        <v>24.385683771166264</v>
      </c>
      <c r="P705" s="87">
        <f t="shared" si="306"/>
        <v>0</v>
      </c>
      <c r="Q705" s="87">
        <f t="shared" si="290"/>
        <v>2093.5277851482861</v>
      </c>
      <c r="R705" s="87">
        <f t="shared" si="289"/>
        <v>1900.9355195443284</v>
      </c>
      <c r="S705" s="87">
        <f t="shared" si="298"/>
        <v>1960.9009197487167</v>
      </c>
      <c r="T705" s="87">
        <f t="shared" si="299"/>
        <v>2048.8731917932637</v>
      </c>
      <c r="U705" s="87">
        <f t="shared" si="300"/>
        <v>2038.6070778245858</v>
      </c>
      <c r="V705" s="87">
        <f t="shared" si="301"/>
        <v>2036.4052107128771</v>
      </c>
      <c r="W705" s="87">
        <f t="shared" si="302"/>
        <v>2036.1594208957563</v>
      </c>
      <c r="X705" s="87">
        <f t="shared" si="303"/>
        <v>2036.1594208957563</v>
      </c>
      <c r="Y705" s="87">
        <f t="shared" si="304"/>
        <v>2036.1594208957563</v>
      </c>
      <c r="Z705" s="87">
        <f t="shared" si="305"/>
        <v>2036.1594208957563</v>
      </c>
      <c r="AA705" s="40">
        <v>420</v>
      </c>
      <c r="AB705" s="89">
        <f>AA705*GDPdeflator!$C$25/$AI$18*10^3</f>
        <v>40.382789385678855</v>
      </c>
      <c r="AC705" s="90" t="e">
        <f>INDEX(AdditionalVehs!$E$46:$N$91,MATCH(C705,AdditionalVehs!$C$46:$C$91),MATCH(D705,AdditionalVehs!$E$45:$N$45))</f>
        <v>#REF!</v>
      </c>
      <c r="AD705" s="90" t="e">
        <f t="shared" si="287"/>
        <v>#REF!</v>
      </c>
      <c r="AE705" s="90" t="e">
        <f>INDEX(AdditionalVehs!$P$46:$Y$91,MATCH(C705,AdditionalVehs!$C$46:$C$91),MATCH(D705,AdditionalVehs!$AA$45:$AJ$45))</f>
        <v>#REF!</v>
      </c>
      <c r="AF705" s="90" t="e">
        <f t="shared" si="292"/>
        <v>#REF!</v>
      </c>
      <c r="AG705" s="90" t="e">
        <f>AdditionalVehs!$C$27</f>
        <v>#REF!</v>
      </c>
    </row>
    <row r="706" spans="1:33" x14ac:dyDescent="0.2">
      <c r="A706" s="92" t="s">
        <v>2249</v>
      </c>
      <c r="B706" s="248" t="s">
        <v>2250</v>
      </c>
      <c r="C706" s="40" t="s">
        <v>2251</v>
      </c>
      <c r="D706" s="40">
        <v>2010</v>
      </c>
      <c r="E706" s="86">
        <f>GDPdeflator!$C$32*INDEX(AdditionalVehs!$AA$46:$AK$91,MATCH($C706,AdditionalVehs!$C$46:$C$91,0),MATCH(E$7,AdditionalVehs!$AA$45:$AK$45,0))</f>
        <v>0</v>
      </c>
      <c r="F706" s="86">
        <f>GDPdeflator!$C$36*INDEX(AdditionalVehs!$AA$46:$AK$91,MATCH($C706,AdditionalVehs!$C$46:$C$91,0),MATCH(F$7,AdditionalVehs!$AA$45:$AK$45,0))</f>
        <v>29.13287683575097</v>
      </c>
      <c r="G706" s="86">
        <f>GDPdeflator!$C$38*INDEX(AdditionalVehs!$AA$46:$AK$91,MATCH($C706,AdditionalVehs!$C$46:$C$91,0),MATCH(G$7,AdditionalVehs!$AA$45:$AK$45,0))</f>
        <v>27.552969943429648</v>
      </c>
      <c r="H706" s="86">
        <f>GDPdeflator!$C$38*INDEX(AdditionalVehs!$AA$46:$AK$91,MATCH($C706,AdditionalVehs!$C$46:$C$91,0),MATCH(H$7,AdditionalVehs!$AA$45:$AK$45,0))</f>
        <v>28.171803515742557</v>
      </c>
      <c r="I706" s="86">
        <f>GDPdeflator!$C$38*INDEX(AdditionalVehs!$AA$46:$AK$91,MATCH($C706,AdditionalVehs!$C$46:$C$91,0),MATCH(I$7,AdditionalVehs!$AA$45:$AK$45,0))</f>
        <v>29.196178257747473</v>
      </c>
      <c r="J706" s="86">
        <f>GDPdeflator!$C$38*INDEX(AdditionalVehs!$AA$46:$AK$91,MATCH($C706,AdditionalVehs!$C$46:$C$91,0),MATCH(J$7,AdditionalVehs!$AA$45:$AK$45,0))</f>
        <v>29.058579864764479</v>
      </c>
      <c r="K706" s="86">
        <f>GDPdeflator!$C$38*INDEX(AdditionalVehs!$AA$46:$AK$91,MATCH($C706,AdditionalVehs!$C$46:$C$91,0),MATCH(K$7,AdditionalVehs!$AA$45:$AK$45,0))</f>
        <v>29.026357345383897</v>
      </c>
      <c r="L706" s="86">
        <f>GDPdeflator!$C$38*INDEX(AdditionalVehs!$AA$46:$AK$91,MATCH($C706,AdditionalVehs!$C$46:$C$91,0),MATCH(L$7,AdditionalVehs!$AA$45:$AK$45,0))</f>
        <v>29.020487555284664</v>
      </c>
      <c r="M706" s="86">
        <f>GDPdeflator!$C$38*INDEX(AdditionalVehs!$AA$46:$AK$91,MATCH($C706,AdditionalVehs!$C$46:$C$91,0),MATCH(M$7,AdditionalVehs!$AA$45:$AK$45,0))</f>
        <v>29.020487555284664</v>
      </c>
      <c r="N706" s="86">
        <f>GDPdeflator!$C$38*INDEX(AdditionalVehs!$AA$46:$AK$91,MATCH($C706,AdditionalVehs!$C$46:$C$91,0),MATCH(N$7,AdditionalVehs!$AA$45:$AK$45,0))</f>
        <v>29.020487555284664</v>
      </c>
      <c r="O706" s="86">
        <f>GDPdeflator!$C$38*INDEX(AdditionalVehs!$AA$46:$AK$91,MATCH($C706,AdditionalVehs!$C$46:$C$91,0),MATCH(O$7,AdditionalVehs!$AA$45:$AK$45,0))</f>
        <v>29.020487555284664</v>
      </c>
      <c r="P706" s="87">
        <f>E706/$AI$18*10^6</f>
        <v>0</v>
      </c>
      <c r="Q706" s="87">
        <f t="shared" si="290"/>
        <v>2432.5412477073673</v>
      </c>
      <c r="R706" s="87">
        <f t="shared" si="289"/>
        <v>2300.6219489447908</v>
      </c>
      <c r="S706" s="87">
        <f t="shared" si="298"/>
        <v>2352.2934058559722</v>
      </c>
      <c r="T706" s="87">
        <f t="shared" si="299"/>
        <v>2437.8267991794442</v>
      </c>
      <c r="U706" s="87">
        <f t="shared" si="300"/>
        <v>2426.3375882636642</v>
      </c>
      <c r="V706" s="87">
        <f t="shared" si="301"/>
        <v>2423.647067586965</v>
      </c>
      <c r="W706" s="87">
        <f t="shared" si="302"/>
        <v>2423.1569509873489</v>
      </c>
      <c r="X706" s="87">
        <f t="shared" si="303"/>
        <v>2423.1569509873489</v>
      </c>
      <c r="Y706" s="87">
        <f t="shared" si="304"/>
        <v>2423.1569509873489</v>
      </c>
      <c r="Z706" s="87">
        <f t="shared" si="305"/>
        <v>2423.1569509873489</v>
      </c>
      <c r="AA706" s="40">
        <v>473</v>
      </c>
      <c r="AB706" s="89">
        <f>AA706*GDPdeflator!$C$25/$AI$18*10^3</f>
        <v>45.478712808157368</v>
      </c>
      <c r="AC706" s="90" t="e">
        <f>INDEX(AdditionalVehs!$E$46:$N$91,MATCH(C706,AdditionalVehs!$C$46:$C$91),MATCH(D706,AdditionalVehs!$E$45:$N$45))</f>
        <v>#REF!</v>
      </c>
      <c r="AD706" s="90" t="e">
        <f t="shared" ref="AD706:AD769" si="307">AC706/($AI$11*$AI$15*10 ^ 9)</f>
        <v>#REF!</v>
      </c>
      <c r="AE706" s="90" t="e">
        <f>INDEX(AdditionalVehs!$P$46:$Y$91,MATCH(C706,AdditionalVehs!$C$46:$C$91),MATCH(D706,AdditionalVehs!$AA$45:$AJ$45))</f>
        <v>#REF!</v>
      </c>
      <c r="AF706" s="90" t="e">
        <f t="shared" si="292"/>
        <v>#REF!</v>
      </c>
      <c r="AG706" s="90" t="e">
        <f>AdditionalVehs!$C$27</f>
        <v>#REF!</v>
      </c>
    </row>
    <row r="707" spans="1:33" x14ac:dyDescent="0.2">
      <c r="A707" s="92" t="s">
        <v>2252</v>
      </c>
      <c r="B707" s="248" t="s">
        <v>2253</v>
      </c>
      <c r="C707" s="40" t="s">
        <v>2251</v>
      </c>
      <c r="D707" s="40">
        <v>2015</v>
      </c>
      <c r="E707" s="86">
        <f>GDPdeflator!$C$32*INDEX(AdditionalVehs!$AA$46:$AK$91,MATCH($C707,AdditionalVehs!$C$46:$C$91,0),MATCH(E$7,AdditionalVehs!$AA$45:$AK$45,0))</f>
        <v>0</v>
      </c>
      <c r="F707" s="86">
        <f>GDPdeflator!$C$36*INDEX(AdditionalVehs!$AA$46:$AK$91,MATCH($C707,AdditionalVehs!$C$46:$C$91,0),MATCH(F$7,AdditionalVehs!$AA$45:$AK$45,0))</f>
        <v>29.13287683575097</v>
      </c>
      <c r="G707" s="86">
        <f>GDPdeflator!$C$38*INDEX(AdditionalVehs!$AA$46:$AK$91,MATCH($C707,AdditionalVehs!$C$46:$C$91,0),MATCH(G$7,AdditionalVehs!$AA$45:$AK$45,0))</f>
        <v>27.552969943429648</v>
      </c>
      <c r="H707" s="86">
        <f>GDPdeflator!$C$38*INDEX(AdditionalVehs!$AA$46:$AK$91,MATCH($C707,AdditionalVehs!$C$46:$C$91,0),MATCH(H$7,AdditionalVehs!$AA$45:$AK$45,0))</f>
        <v>28.171803515742557</v>
      </c>
      <c r="I707" s="86">
        <f>GDPdeflator!$C$38*INDEX(AdditionalVehs!$AA$46:$AK$91,MATCH($C707,AdditionalVehs!$C$46:$C$91,0),MATCH(I$7,AdditionalVehs!$AA$45:$AK$45,0))</f>
        <v>29.196178257747473</v>
      </c>
      <c r="J707" s="86">
        <f>GDPdeflator!$C$38*INDEX(AdditionalVehs!$AA$46:$AK$91,MATCH($C707,AdditionalVehs!$C$46:$C$91,0),MATCH(J$7,AdditionalVehs!$AA$45:$AK$45,0))</f>
        <v>29.058579864764479</v>
      </c>
      <c r="K707" s="86">
        <f>GDPdeflator!$C$38*INDEX(AdditionalVehs!$AA$46:$AK$91,MATCH($C707,AdditionalVehs!$C$46:$C$91,0),MATCH(K$7,AdditionalVehs!$AA$45:$AK$45,0))</f>
        <v>29.026357345383897</v>
      </c>
      <c r="L707" s="86">
        <f>GDPdeflator!$C$38*INDEX(AdditionalVehs!$AA$46:$AK$91,MATCH($C707,AdditionalVehs!$C$46:$C$91,0),MATCH(L$7,AdditionalVehs!$AA$45:$AK$45,0))</f>
        <v>29.020487555284664</v>
      </c>
      <c r="M707" s="86">
        <f>GDPdeflator!$C$38*INDEX(AdditionalVehs!$AA$46:$AK$91,MATCH($C707,AdditionalVehs!$C$46:$C$91,0),MATCH(M$7,AdditionalVehs!$AA$45:$AK$45,0))</f>
        <v>29.020487555284664</v>
      </c>
      <c r="N707" s="86">
        <f>GDPdeflator!$C$38*INDEX(AdditionalVehs!$AA$46:$AK$91,MATCH($C707,AdditionalVehs!$C$46:$C$91,0),MATCH(N$7,AdditionalVehs!$AA$45:$AK$45,0))</f>
        <v>29.020487555284664</v>
      </c>
      <c r="O707" s="86">
        <f>GDPdeflator!$C$38*INDEX(AdditionalVehs!$AA$46:$AK$91,MATCH($C707,AdditionalVehs!$C$46:$C$91,0),MATCH(O$7,AdditionalVehs!$AA$45:$AK$45,0))</f>
        <v>29.020487555284664</v>
      </c>
      <c r="P707" s="87">
        <f t="shared" ref="P707:P714" si="308">E707/$AI$18*10^6</f>
        <v>0</v>
      </c>
      <c r="Q707" s="87">
        <f t="shared" si="290"/>
        <v>2432.5412477073673</v>
      </c>
      <c r="R707" s="87">
        <f t="shared" si="289"/>
        <v>2300.6219489447908</v>
      </c>
      <c r="S707" s="87">
        <f t="shared" si="298"/>
        <v>2352.2934058559722</v>
      </c>
      <c r="T707" s="87">
        <f t="shared" si="299"/>
        <v>2437.8267991794442</v>
      </c>
      <c r="U707" s="87">
        <f t="shared" si="300"/>
        <v>2426.3375882636642</v>
      </c>
      <c r="V707" s="87">
        <f t="shared" si="301"/>
        <v>2423.647067586965</v>
      </c>
      <c r="W707" s="87">
        <f t="shared" si="302"/>
        <v>2423.1569509873489</v>
      </c>
      <c r="X707" s="87">
        <f t="shared" si="303"/>
        <v>2423.1569509873489</v>
      </c>
      <c r="Y707" s="87">
        <f t="shared" si="304"/>
        <v>2423.1569509873489</v>
      </c>
      <c r="Z707" s="87">
        <f t="shared" si="305"/>
        <v>2423.1569509873489</v>
      </c>
      <c r="AA707" s="40">
        <v>473</v>
      </c>
      <c r="AB707" s="89">
        <f>AA707*GDPdeflator!$C$25/$AI$18*10^3</f>
        <v>45.478712808157368</v>
      </c>
      <c r="AC707" s="90" t="e">
        <f>INDEX(AdditionalVehs!$E$46:$N$91,MATCH(C707,AdditionalVehs!$C$46:$C$91),MATCH(D707,AdditionalVehs!$E$45:$N$45))</f>
        <v>#REF!</v>
      </c>
      <c r="AD707" s="90" t="e">
        <f t="shared" si="307"/>
        <v>#REF!</v>
      </c>
      <c r="AE707" s="90" t="e">
        <f>INDEX(AdditionalVehs!$P$46:$Y$91,MATCH(C707,AdditionalVehs!$C$46:$C$91),MATCH(D707,AdditionalVehs!$AA$45:$AJ$45))</f>
        <v>#REF!</v>
      </c>
      <c r="AF707" s="90" t="e">
        <f t="shared" si="292"/>
        <v>#REF!</v>
      </c>
      <c r="AG707" s="90" t="e">
        <f>AdditionalVehs!$C$27</f>
        <v>#REF!</v>
      </c>
    </row>
    <row r="708" spans="1:33" x14ac:dyDescent="0.2">
      <c r="A708" s="92" t="s">
        <v>2254</v>
      </c>
      <c r="B708" s="248" t="s">
        <v>2255</v>
      </c>
      <c r="C708" s="40" t="s">
        <v>2251</v>
      </c>
      <c r="D708" s="40">
        <v>2020</v>
      </c>
      <c r="E708" s="86">
        <f>GDPdeflator!$C$32*INDEX(AdditionalVehs!$AA$46:$AK$91,MATCH($C708,AdditionalVehs!$C$46:$C$91,0),MATCH(E$7,AdditionalVehs!$AA$45:$AK$45,0))</f>
        <v>0</v>
      </c>
      <c r="F708" s="86">
        <f>GDPdeflator!$C$36*INDEX(AdditionalVehs!$AA$46:$AK$91,MATCH($C708,AdditionalVehs!$C$46:$C$91,0),MATCH(F$7,AdditionalVehs!$AA$45:$AK$45,0))</f>
        <v>29.13287683575097</v>
      </c>
      <c r="G708" s="86">
        <f>GDPdeflator!$C$38*INDEX(AdditionalVehs!$AA$46:$AK$91,MATCH($C708,AdditionalVehs!$C$46:$C$91,0),MATCH(G$7,AdditionalVehs!$AA$45:$AK$45,0))</f>
        <v>27.552969943429648</v>
      </c>
      <c r="H708" s="86">
        <f>GDPdeflator!$C$38*INDEX(AdditionalVehs!$AA$46:$AK$91,MATCH($C708,AdditionalVehs!$C$46:$C$91,0),MATCH(H$7,AdditionalVehs!$AA$45:$AK$45,0))</f>
        <v>28.171803515742557</v>
      </c>
      <c r="I708" s="86">
        <f>GDPdeflator!$C$38*INDEX(AdditionalVehs!$AA$46:$AK$91,MATCH($C708,AdditionalVehs!$C$46:$C$91,0),MATCH(I$7,AdditionalVehs!$AA$45:$AK$45,0))</f>
        <v>29.196178257747473</v>
      </c>
      <c r="J708" s="86">
        <f>GDPdeflator!$C$38*INDEX(AdditionalVehs!$AA$46:$AK$91,MATCH($C708,AdditionalVehs!$C$46:$C$91,0),MATCH(J$7,AdditionalVehs!$AA$45:$AK$45,0))</f>
        <v>29.058579864764479</v>
      </c>
      <c r="K708" s="86">
        <f>GDPdeflator!$C$38*INDEX(AdditionalVehs!$AA$46:$AK$91,MATCH($C708,AdditionalVehs!$C$46:$C$91,0),MATCH(K$7,AdditionalVehs!$AA$45:$AK$45,0))</f>
        <v>29.026357345383897</v>
      </c>
      <c r="L708" s="86">
        <f>GDPdeflator!$C$38*INDEX(AdditionalVehs!$AA$46:$AK$91,MATCH($C708,AdditionalVehs!$C$46:$C$91,0),MATCH(L$7,AdditionalVehs!$AA$45:$AK$45,0))</f>
        <v>29.020487555284664</v>
      </c>
      <c r="M708" s="86">
        <f>GDPdeflator!$C$38*INDEX(AdditionalVehs!$AA$46:$AK$91,MATCH($C708,AdditionalVehs!$C$46:$C$91,0),MATCH(M$7,AdditionalVehs!$AA$45:$AK$45,0))</f>
        <v>29.020487555284664</v>
      </c>
      <c r="N708" s="86">
        <f>GDPdeflator!$C$38*INDEX(AdditionalVehs!$AA$46:$AK$91,MATCH($C708,AdditionalVehs!$C$46:$C$91,0),MATCH(N$7,AdditionalVehs!$AA$45:$AK$45,0))</f>
        <v>29.020487555284664</v>
      </c>
      <c r="O708" s="86">
        <f>GDPdeflator!$C$38*INDEX(AdditionalVehs!$AA$46:$AK$91,MATCH($C708,AdditionalVehs!$C$46:$C$91,0),MATCH(O$7,AdditionalVehs!$AA$45:$AK$45,0))</f>
        <v>29.020487555284664</v>
      </c>
      <c r="P708" s="87">
        <f t="shared" si="308"/>
        <v>0</v>
      </c>
      <c r="Q708" s="87">
        <f t="shared" si="290"/>
        <v>2432.5412477073673</v>
      </c>
      <c r="R708" s="87">
        <f t="shared" ref="R708:R771" si="309">G708/$AI$18*10^6</f>
        <v>2300.6219489447908</v>
      </c>
      <c r="S708" s="87">
        <f t="shared" si="298"/>
        <v>2352.2934058559722</v>
      </c>
      <c r="T708" s="87">
        <f t="shared" si="299"/>
        <v>2437.8267991794442</v>
      </c>
      <c r="U708" s="87">
        <f t="shared" si="300"/>
        <v>2426.3375882636642</v>
      </c>
      <c r="V708" s="87">
        <f t="shared" si="301"/>
        <v>2423.647067586965</v>
      </c>
      <c r="W708" s="87">
        <f t="shared" si="302"/>
        <v>2423.1569509873489</v>
      </c>
      <c r="X708" s="87">
        <f t="shared" si="303"/>
        <v>2423.1569509873489</v>
      </c>
      <c r="Y708" s="87">
        <f t="shared" si="304"/>
        <v>2423.1569509873489</v>
      </c>
      <c r="Z708" s="87">
        <f t="shared" si="305"/>
        <v>2423.1569509873489</v>
      </c>
      <c r="AA708" s="40">
        <v>473</v>
      </c>
      <c r="AB708" s="89">
        <f>AA708*GDPdeflator!$C$25/$AI$18*10^3</f>
        <v>45.478712808157368</v>
      </c>
      <c r="AC708" s="90" t="e">
        <f>INDEX(AdditionalVehs!$E$46:$N$91,MATCH(C708,AdditionalVehs!$C$46:$C$91),MATCH(D708,AdditionalVehs!$E$45:$N$45))</f>
        <v>#REF!</v>
      </c>
      <c r="AD708" s="90" t="e">
        <f t="shared" si="307"/>
        <v>#REF!</v>
      </c>
      <c r="AE708" s="90" t="e">
        <f>INDEX(AdditionalVehs!$P$46:$Y$91,MATCH(C708,AdditionalVehs!$C$46:$C$91),MATCH(D708,AdditionalVehs!$AA$45:$AJ$45))</f>
        <v>#REF!</v>
      </c>
      <c r="AF708" s="90" t="e">
        <f t="shared" si="292"/>
        <v>#REF!</v>
      </c>
      <c r="AG708" s="90" t="e">
        <f>AdditionalVehs!$C$27</f>
        <v>#REF!</v>
      </c>
    </row>
    <row r="709" spans="1:33" x14ac:dyDescent="0.2">
      <c r="A709" s="92" t="s">
        <v>2256</v>
      </c>
      <c r="B709" s="248" t="s">
        <v>2257</v>
      </c>
      <c r="C709" s="40" t="s">
        <v>2251</v>
      </c>
      <c r="D709" s="40">
        <v>2025</v>
      </c>
      <c r="E709" s="86">
        <f>GDPdeflator!$C$32*INDEX(AdditionalVehs!$AA$46:$AK$91,MATCH($C709,AdditionalVehs!$C$46:$C$91,0),MATCH(E$7,AdditionalVehs!$AA$45:$AK$45,0))</f>
        <v>0</v>
      </c>
      <c r="F709" s="86">
        <f>GDPdeflator!$C$36*INDEX(AdditionalVehs!$AA$46:$AK$91,MATCH($C709,AdditionalVehs!$C$46:$C$91,0),MATCH(F$7,AdditionalVehs!$AA$45:$AK$45,0))</f>
        <v>29.13287683575097</v>
      </c>
      <c r="G709" s="86">
        <f>GDPdeflator!$C$38*INDEX(AdditionalVehs!$AA$46:$AK$91,MATCH($C709,AdditionalVehs!$C$46:$C$91,0),MATCH(G$7,AdditionalVehs!$AA$45:$AK$45,0))</f>
        <v>27.552969943429648</v>
      </c>
      <c r="H709" s="86">
        <f>GDPdeflator!$C$38*INDEX(AdditionalVehs!$AA$46:$AK$91,MATCH($C709,AdditionalVehs!$C$46:$C$91,0),MATCH(H$7,AdditionalVehs!$AA$45:$AK$45,0))</f>
        <v>28.171803515742557</v>
      </c>
      <c r="I709" s="86">
        <f>GDPdeflator!$C$38*INDEX(AdditionalVehs!$AA$46:$AK$91,MATCH($C709,AdditionalVehs!$C$46:$C$91,0),MATCH(I$7,AdditionalVehs!$AA$45:$AK$45,0))</f>
        <v>29.196178257747473</v>
      </c>
      <c r="J709" s="86">
        <f>GDPdeflator!$C$38*INDEX(AdditionalVehs!$AA$46:$AK$91,MATCH($C709,AdditionalVehs!$C$46:$C$91,0),MATCH(J$7,AdditionalVehs!$AA$45:$AK$45,0))</f>
        <v>29.058579864764479</v>
      </c>
      <c r="K709" s="86">
        <f>GDPdeflator!$C$38*INDEX(AdditionalVehs!$AA$46:$AK$91,MATCH($C709,AdditionalVehs!$C$46:$C$91,0),MATCH(K$7,AdditionalVehs!$AA$45:$AK$45,0))</f>
        <v>29.026357345383897</v>
      </c>
      <c r="L709" s="86">
        <f>GDPdeflator!$C$38*INDEX(AdditionalVehs!$AA$46:$AK$91,MATCH($C709,AdditionalVehs!$C$46:$C$91,0),MATCH(L$7,AdditionalVehs!$AA$45:$AK$45,0))</f>
        <v>29.020487555284664</v>
      </c>
      <c r="M709" s="86">
        <f>GDPdeflator!$C$38*INDEX(AdditionalVehs!$AA$46:$AK$91,MATCH($C709,AdditionalVehs!$C$46:$C$91,0),MATCH(M$7,AdditionalVehs!$AA$45:$AK$45,0))</f>
        <v>29.020487555284664</v>
      </c>
      <c r="N709" s="86">
        <f>GDPdeflator!$C$38*INDEX(AdditionalVehs!$AA$46:$AK$91,MATCH($C709,AdditionalVehs!$C$46:$C$91,0),MATCH(N$7,AdditionalVehs!$AA$45:$AK$45,0))</f>
        <v>29.020487555284664</v>
      </c>
      <c r="O709" s="86">
        <f>GDPdeflator!$C$38*INDEX(AdditionalVehs!$AA$46:$AK$91,MATCH($C709,AdditionalVehs!$C$46:$C$91,0),MATCH(O$7,AdditionalVehs!$AA$45:$AK$45,0))</f>
        <v>29.020487555284664</v>
      </c>
      <c r="P709" s="87">
        <f t="shared" si="308"/>
        <v>0</v>
      </c>
      <c r="Q709" s="87">
        <f t="shared" si="290"/>
        <v>2432.5412477073673</v>
      </c>
      <c r="R709" s="87">
        <f t="shared" si="309"/>
        <v>2300.6219489447908</v>
      </c>
      <c r="S709" s="87">
        <f t="shared" si="298"/>
        <v>2352.2934058559722</v>
      </c>
      <c r="T709" s="87">
        <f t="shared" si="299"/>
        <v>2437.8267991794442</v>
      </c>
      <c r="U709" s="87">
        <f t="shared" si="300"/>
        <v>2426.3375882636642</v>
      </c>
      <c r="V709" s="87">
        <f t="shared" si="301"/>
        <v>2423.647067586965</v>
      </c>
      <c r="W709" s="87">
        <f t="shared" si="302"/>
        <v>2423.1569509873489</v>
      </c>
      <c r="X709" s="87">
        <f t="shared" si="303"/>
        <v>2423.1569509873489</v>
      </c>
      <c r="Y709" s="87">
        <f t="shared" si="304"/>
        <v>2423.1569509873489</v>
      </c>
      <c r="Z709" s="87">
        <f t="shared" si="305"/>
        <v>2423.1569509873489</v>
      </c>
      <c r="AA709" s="40">
        <v>473</v>
      </c>
      <c r="AB709" s="89">
        <f>AA709*GDPdeflator!$C$25/$AI$18*10^3</f>
        <v>45.478712808157368</v>
      </c>
      <c r="AC709" s="90" t="e">
        <f>INDEX(AdditionalVehs!$E$46:$N$91,MATCH(C709,AdditionalVehs!$C$46:$C$91),MATCH(D709,AdditionalVehs!$E$45:$N$45))</f>
        <v>#REF!</v>
      </c>
      <c r="AD709" s="90" t="e">
        <f t="shared" si="307"/>
        <v>#REF!</v>
      </c>
      <c r="AE709" s="90" t="e">
        <f>INDEX(AdditionalVehs!$P$46:$Y$91,MATCH(C709,AdditionalVehs!$C$46:$C$91),MATCH(D709,AdditionalVehs!$AA$45:$AJ$45))</f>
        <v>#REF!</v>
      </c>
      <c r="AF709" s="90" t="e">
        <f t="shared" si="292"/>
        <v>#REF!</v>
      </c>
      <c r="AG709" s="90" t="e">
        <f>AdditionalVehs!$C$27</f>
        <v>#REF!</v>
      </c>
    </row>
    <row r="710" spans="1:33" x14ac:dyDescent="0.2">
      <c r="A710" s="92" t="s">
        <v>2258</v>
      </c>
      <c r="B710" s="248" t="s">
        <v>2259</v>
      </c>
      <c r="C710" s="40" t="s">
        <v>2251</v>
      </c>
      <c r="D710" s="40">
        <v>2030</v>
      </c>
      <c r="E710" s="86">
        <f>GDPdeflator!$C$32*INDEX(AdditionalVehs!$AA$46:$AK$91,MATCH($C710,AdditionalVehs!$C$46:$C$91,0),MATCH(E$7,AdditionalVehs!$AA$45:$AK$45,0))</f>
        <v>0</v>
      </c>
      <c r="F710" s="86">
        <f>GDPdeflator!$C$36*INDEX(AdditionalVehs!$AA$46:$AK$91,MATCH($C710,AdditionalVehs!$C$46:$C$91,0),MATCH(F$7,AdditionalVehs!$AA$45:$AK$45,0))</f>
        <v>29.13287683575097</v>
      </c>
      <c r="G710" s="86">
        <f>GDPdeflator!$C$38*INDEX(AdditionalVehs!$AA$46:$AK$91,MATCH($C710,AdditionalVehs!$C$46:$C$91,0),MATCH(G$7,AdditionalVehs!$AA$45:$AK$45,0))</f>
        <v>27.552969943429648</v>
      </c>
      <c r="H710" s="86">
        <f>GDPdeflator!$C$38*INDEX(AdditionalVehs!$AA$46:$AK$91,MATCH($C710,AdditionalVehs!$C$46:$C$91,0),MATCH(H$7,AdditionalVehs!$AA$45:$AK$45,0))</f>
        <v>28.171803515742557</v>
      </c>
      <c r="I710" s="86">
        <f>GDPdeflator!$C$38*INDEX(AdditionalVehs!$AA$46:$AK$91,MATCH($C710,AdditionalVehs!$C$46:$C$91,0),MATCH(I$7,AdditionalVehs!$AA$45:$AK$45,0))</f>
        <v>29.196178257747473</v>
      </c>
      <c r="J710" s="86">
        <f>GDPdeflator!$C$38*INDEX(AdditionalVehs!$AA$46:$AK$91,MATCH($C710,AdditionalVehs!$C$46:$C$91,0),MATCH(J$7,AdditionalVehs!$AA$45:$AK$45,0))</f>
        <v>29.058579864764479</v>
      </c>
      <c r="K710" s="86">
        <f>GDPdeflator!$C$38*INDEX(AdditionalVehs!$AA$46:$AK$91,MATCH($C710,AdditionalVehs!$C$46:$C$91,0),MATCH(K$7,AdditionalVehs!$AA$45:$AK$45,0))</f>
        <v>29.026357345383897</v>
      </c>
      <c r="L710" s="86">
        <f>GDPdeflator!$C$38*INDEX(AdditionalVehs!$AA$46:$AK$91,MATCH($C710,AdditionalVehs!$C$46:$C$91,0),MATCH(L$7,AdditionalVehs!$AA$45:$AK$45,0))</f>
        <v>29.020487555284664</v>
      </c>
      <c r="M710" s="86">
        <f>GDPdeflator!$C$38*INDEX(AdditionalVehs!$AA$46:$AK$91,MATCH($C710,AdditionalVehs!$C$46:$C$91,0),MATCH(M$7,AdditionalVehs!$AA$45:$AK$45,0))</f>
        <v>29.020487555284664</v>
      </c>
      <c r="N710" s="86">
        <f>GDPdeflator!$C$38*INDEX(AdditionalVehs!$AA$46:$AK$91,MATCH($C710,AdditionalVehs!$C$46:$C$91,0),MATCH(N$7,AdditionalVehs!$AA$45:$AK$45,0))</f>
        <v>29.020487555284664</v>
      </c>
      <c r="O710" s="86">
        <f>GDPdeflator!$C$38*INDEX(AdditionalVehs!$AA$46:$AK$91,MATCH($C710,AdditionalVehs!$C$46:$C$91,0),MATCH(O$7,AdditionalVehs!$AA$45:$AK$45,0))</f>
        <v>29.020487555284664</v>
      </c>
      <c r="P710" s="87">
        <f t="shared" si="308"/>
        <v>0</v>
      </c>
      <c r="Q710" s="87">
        <f t="shared" si="290"/>
        <v>2432.5412477073673</v>
      </c>
      <c r="R710" s="87">
        <f t="shared" si="309"/>
        <v>2300.6219489447908</v>
      </c>
      <c r="S710" s="87">
        <f t="shared" si="298"/>
        <v>2352.2934058559722</v>
      </c>
      <c r="T710" s="87">
        <f t="shared" si="299"/>
        <v>2437.8267991794442</v>
      </c>
      <c r="U710" s="87">
        <f t="shared" si="300"/>
        <v>2426.3375882636642</v>
      </c>
      <c r="V710" s="87">
        <f t="shared" si="301"/>
        <v>2423.647067586965</v>
      </c>
      <c r="W710" s="87">
        <f t="shared" si="302"/>
        <v>2423.1569509873489</v>
      </c>
      <c r="X710" s="87">
        <f t="shared" si="303"/>
        <v>2423.1569509873489</v>
      </c>
      <c r="Y710" s="87">
        <f t="shared" si="304"/>
        <v>2423.1569509873489</v>
      </c>
      <c r="Z710" s="87">
        <f t="shared" si="305"/>
        <v>2423.1569509873489</v>
      </c>
      <c r="AA710" s="40">
        <v>473</v>
      </c>
      <c r="AB710" s="89">
        <f>AA710*GDPdeflator!$C$25/$AI$18*10^3</f>
        <v>45.478712808157368</v>
      </c>
      <c r="AC710" s="90" t="e">
        <f>INDEX(AdditionalVehs!$E$46:$N$91,MATCH(C710,AdditionalVehs!$C$46:$C$91),MATCH(D710,AdditionalVehs!$E$45:$N$45))</f>
        <v>#REF!</v>
      </c>
      <c r="AD710" s="90" t="e">
        <f t="shared" si="307"/>
        <v>#REF!</v>
      </c>
      <c r="AE710" s="90" t="e">
        <f>INDEX(AdditionalVehs!$P$46:$Y$91,MATCH(C710,AdditionalVehs!$C$46:$C$91),MATCH(D710,AdditionalVehs!$AA$45:$AJ$45))</f>
        <v>#REF!</v>
      </c>
      <c r="AF710" s="90" t="e">
        <f t="shared" si="292"/>
        <v>#REF!</v>
      </c>
      <c r="AG710" s="90" t="e">
        <f>AdditionalVehs!$C$27</f>
        <v>#REF!</v>
      </c>
    </row>
    <row r="711" spans="1:33" x14ac:dyDescent="0.2">
      <c r="A711" s="92" t="s">
        <v>2260</v>
      </c>
      <c r="B711" s="248" t="s">
        <v>2261</v>
      </c>
      <c r="C711" s="40" t="s">
        <v>2251</v>
      </c>
      <c r="D711" s="40">
        <v>2035</v>
      </c>
      <c r="E711" s="86">
        <f>GDPdeflator!$C$32*INDEX(AdditionalVehs!$AA$46:$AK$91,MATCH($C711,AdditionalVehs!$C$46:$C$91,0),MATCH(E$7,AdditionalVehs!$AA$45:$AK$45,0))</f>
        <v>0</v>
      </c>
      <c r="F711" s="86">
        <f>GDPdeflator!$C$36*INDEX(AdditionalVehs!$AA$46:$AK$91,MATCH($C711,AdditionalVehs!$C$46:$C$91,0),MATCH(F$7,AdditionalVehs!$AA$45:$AK$45,0))</f>
        <v>29.13287683575097</v>
      </c>
      <c r="G711" s="86">
        <f>GDPdeflator!$C$38*INDEX(AdditionalVehs!$AA$46:$AK$91,MATCH($C711,AdditionalVehs!$C$46:$C$91,0),MATCH(G$7,AdditionalVehs!$AA$45:$AK$45,0))</f>
        <v>27.552969943429648</v>
      </c>
      <c r="H711" s="86">
        <f>GDPdeflator!$C$38*INDEX(AdditionalVehs!$AA$46:$AK$91,MATCH($C711,AdditionalVehs!$C$46:$C$91,0),MATCH(H$7,AdditionalVehs!$AA$45:$AK$45,0))</f>
        <v>28.171803515742557</v>
      </c>
      <c r="I711" s="86">
        <f>GDPdeflator!$C$38*INDEX(AdditionalVehs!$AA$46:$AK$91,MATCH($C711,AdditionalVehs!$C$46:$C$91,0),MATCH(I$7,AdditionalVehs!$AA$45:$AK$45,0))</f>
        <v>29.196178257747473</v>
      </c>
      <c r="J711" s="86">
        <f>GDPdeflator!$C$38*INDEX(AdditionalVehs!$AA$46:$AK$91,MATCH($C711,AdditionalVehs!$C$46:$C$91,0),MATCH(J$7,AdditionalVehs!$AA$45:$AK$45,0))</f>
        <v>29.058579864764479</v>
      </c>
      <c r="K711" s="86">
        <f>GDPdeflator!$C$38*INDEX(AdditionalVehs!$AA$46:$AK$91,MATCH($C711,AdditionalVehs!$C$46:$C$91,0),MATCH(K$7,AdditionalVehs!$AA$45:$AK$45,0))</f>
        <v>29.026357345383897</v>
      </c>
      <c r="L711" s="86">
        <f>GDPdeflator!$C$38*INDEX(AdditionalVehs!$AA$46:$AK$91,MATCH($C711,AdditionalVehs!$C$46:$C$91,0),MATCH(L$7,AdditionalVehs!$AA$45:$AK$45,0))</f>
        <v>29.020487555284664</v>
      </c>
      <c r="M711" s="86">
        <f>GDPdeflator!$C$38*INDEX(AdditionalVehs!$AA$46:$AK$91,MATCH($C711,AdditionalVehs!$C$46:$C$91,0),MATCH(M$7,AdditionalVehs!$AA$45:$AK$45,0))</f>
        <v>29.020487555284664</v>
      </c>
      <c r="N711" s="86">
        <f>GDPdeflator!$C$38*INDEX(AdditionalVehs!$AA$46:$AK$91,MATCH($C711,AdditionalVehs!$C$46:$C$91,0),MATCH(N$7,AdditionalVehs!$AA$45:$AK$45,0))</f>
        <v>29.020487555284664</v>
      </c>
      <c r="O711" s="86">
        <f>GDPdeflator!$C$38*INDEX(AdditionalVehs!$AA$46:$AK$91,MATCH($C711,AdditionalVehs!$C$46:$C$91,0),MATCH(O$7,AdditionalVehs!$AA$45:$AK$45,0))</f>
        <v>29.020487555284664</v>
      </c>
      <c r="P711" s="87">
        <f t="shared" si="308"/>
        <v>0</v>
      </c>
      <c r="Q711" s="87">
        <f t="shared" si="290"/>
        <v>2432.5412477073673</v>
      </c>
      <c r="R711" s="87">
        <f t="shared" si="309"/>
        <v>2300.6219489447908</v>
      </c>
      <c r="S711" s="87">
        <f t="shared" si="298"/>
        <v>2352.2934058559722</v>
      </c>
      <c r="T711" s="87">
        <f t="shared" si="299"/>
        <v>2437.8267991794442</v>
      </c>
      <c r="U711" s="87">
        <f t="shared" si="300"/>
        <v>2426.3375882636642</v>
      </c>
      <c r="V711" s="87">
        <f t="shared" si="301"/>
        <v>2423.647067586965</v>
      </c>
      <c r="W711" s="87">
        <f t="shared" si="302"/>
        <v>2423.1569509873489</v>
      </c>
      <c r="X711" s="87">
        <f t="shared" si="303"/>
        <v>2423.1569509873489</v>
      </c>
      <c r="Y711" s="87">
        <f t="shared" si="304"/>
        <v>2423.1569509873489</v>
      </c>
      <c r="Z711" s="87">
        <f t="shared" si="305"/>
        <v>2423.1569509873489</v>
      </c>
      <c r="AA711" s="40">
        <v>473</v>
      </c>
      <c r="AB711" s="89">
        <f>AA711*GDPdeflator!$C$25/$AI$18*10^3</f>
        <v>45.478712808157368</v>
      </c>
      <c r="AC711" s="90" t="e">
        <f>INDEX(AdditionalVehs!$E$46:$N$91,MATCH(C711,AdditionalVehs!$C$46:$C$91),MATCH(D711,AdditionalVehs!$E$45:$N$45))</f>
        <v>#REF!</v>
      </c>
      <c r="AD711" s="90" t="e">
        <f t="shared" si="307"/>
        <v>#REF!</v>
      </c>
      <c r="AE711" s="90" t="e">
        <f>INDEX(AdditionalVehs!$P$46:$Y$91,MATCH(C711,AdditionalVehs!$C$46:$C$91),MATCH(D711,AdditionalVehs!$AA$45:$AJ$45))</f>
        <v>#REF!</v>
      </c>
      <c r="AF711" s="90" t="e">
        <f t="shared" si="292"/>
        <v>#REF!</v>
      </c>
      <c r="AG711" s="90" t="e">
        <f>AdditionalVehs!$C$27</f>
        <v>#REF!</v>
      </c>
    </row>
    <row r="712" spans="1:33" x14ac:dyDescent="0.2">
      <c r="A712" s="92" t="s">
        <v>2262</v>
      </c>
      <c r="B712" s="248" t="s">
        <v>2263</v>
      </c>
      <c r="C712" s="40" t="s">
        <v>2251</v>
      </c>
      <c r="D712" s="40">
        <v>2040</v>
      </c>
      <c r="E712" s="86">
        <f>GDPdeflator!$C$32*INDEX(AdditionalVehs!$AA$46:$AK$91,MATCH($C712,AdditionalVehs!$C$46:$C$91,0),MATCH(E$7,AdditionalVehs!$AA$45:$AK$45,0))</f>
        <v>0</v>
      </c>
      <c r="F712" s="86">
        <f>GDPdeflator!$C$36*INDEX(AdditionalVehs!$AA$46:$AK$91,MATCH($C712,AdditionalVehs!$C$46:$C$91,0),MATCH(F$7,AdditionalVehs!$AA$45:$AK$45,0))</f>
        <v>29.13287683575097</v>
      </c>
      <c r="G712" s="86">
        <f>GDPdeflator!$C$38*INDEX(AdditionalVehs!$AA$46:$AK$91,MATCH($C712,AdditionalVehs!$C$46:$C$91,0),MATCH(G$7,AdditionalVehs!$AA$45:$AK$45,0))</f>
        <v>27.552969943429648</v>
      </c>
      <c r="H712" s="86">
        <f>GDPdeflator!$C$38*INDEX(AdditionalVehs!$AA$46:$AK$91,MATCH($C712,AdditionalVehs!$C$46:$C$91,0),MATCH(H$7,AdditionalVehs!$AA$45:$AK$45,0))</f>
        <v>28.171803515742557</v>
      </c>
      <c r="I712" s="86">
        <f>GDPdeflator!$C$38*INDEX(AdditionalVehs!$AA$46:$AK$91,MATCH($C712,AdditionalVehs!$C$46:$C$91,0),MATCH(I$7,AdditionalVehs!$AA$45:$AK$45,0))</f>
        <v>29.196178257747473</v>
      </c>
      <c r="J712" s="86">
        <f>GDPdeflator!$C$38*INDEX(AdditionalVehs!$AA$46:$AK$91,MATCH($C712,AdditionalVehs!$C$46:$C$91,0),MATCH(J$7,AdditionalVehs!$AA$45:$AK$45,0))</f>
        <v>29.058579864764479</v>
      </c>
      <c r="K712" s="86">
        <f>GDPdeflator!$C$38*INDEX(AdditionalVehs!$AA$46:$AK$91,MATCH($C712,AdditionalVehs!$C$46:$C$91,0),MATCH(K$7,AdditionalVehs!$AA$45:$AK$45,0))</f>
        <v>29.026357345383897</v>
      </c>
      <c r="L712" s="86">
        <f>GDPdeflator!$C$38*INDEX(AdditionalVehs!$AA$46:$AK$91,MATCH($C712,AdditionalVehs!$C$46:$C$91,0),MATCH(L$7,AdditionalVehs!$AA$45:$AK$45,0))</f>
        <v>29.020487555284664</v>
      </c>
      <c r="M712" s="86">
        <f>GDPdeflator!$C$38*INDEX(AdditionalVehs!$AA$46:$AK$91,MATCH($C712,AdditionalVehs!$C$46:$C$91,0),MATCH(M$7,AdditionalVehs!$AA$45:$AK$45,0))</f>
        <v>29.020487555284664</v>
      </c>
      <c r="N712" s="86">
        <f>GDPdeflator!$C$38*INDEX(AdditionalVehs!$AA$46:$AK$91,MATCH($C712,AdditionalVehs!$C$46:$C$91,0),MATCH(N$7,AdditionalVehs!$AA$45:$AK$45,0))</f>
        <v>29.020487555284664</v>
      </c>
      <c r="O712" s="86">
        <f>GDPdeflator!$C$38*INDEX(AdditionalVehs!$AA$46:$AK$91,MATCH($C712,AdditionalVehs!$C$46:$C$91,0),MATCH(O$7,AdditionalVehs!$AA$45:$AK$45,0))</f>
        <v>29.020487555284664</v>
      </c>
      <c r="P712" s="87">
        <f t="shared" si="308"/>
        <v>0</v>
      </c>
      <c r="Q712" s="87">
        <f t="shared" si="290"/>
        <v>2432.5412477073673</v>
      </c>
      <c r="R712" s="87">
        <f t="shared" si="309"/>
        <v>2300.6219489447908</v>
      </c>
      <c r="S712" s="87">
        <f t="shared" si="298"/>
        <v>2352.2934058559722</v>
      </c>
      <c r="T712" s="87">
        <f t="shared" si="299"/>
        <v>2437.8267991794442</v>
      </c>
      <c r="U712" s="87">
        <f t="shared" si="300"/>
        <v>2426.3375882636642</v>
      </c>
      <c r="V712" s="87">
        <f t="shared" si="301"/>
        <v>2423.647067586965</v>
      </c>
      <c r="W712" s="87">
        <f t="shared" si="302"/>
        <v>2423.1569509873489</v>
      </c>
      <c r="X712" s="87">
        <f t="shared" si="303"/>
        <v>2423.1569509873489</v>
      </c>
      <c r="Y712" s="87">
        <f t="shared" si="304"/>
        <v>2423.1569509873489</v>
      </c>
      <c r="Z712" s="87">
        <f t="shared" si="305"/>
        <v>2423.1569509873489</v>
      </c>
      <c r="AA712" s="40">
        <v>473</v>
      </c>
      <c r="AB712" s="89">
        <f>AA712*GDPdeflator!$C$25/$AI$18*10^3</f>
        <v>45.478712808157368</v>
      </c>
      <c r="AC712" s="90" t="e">
        <f>INDEX(AdditionalVehs!$E$46:$N$91,MATCH(C712,AdditionalVehs!$C$46:$C$91),MATCH(D712,AdditionalVehs!$E$45:$N$45))</f>
        <v>#REF!</v>
      </c>
      <c r="AD712" s="90" t="e">
        <f t="shared" si="307"/>
        <v>#REF!</v>
      </c>
      <c r="AE712" s="90" t="e">
        <f>INDEX(AdditionalVehs!$P$46:$Y$91,MATCH(C712,AdditionalVehs!$C$46:$C$91),MATCH(D712,AdditionalVehs!$AA$45:$AJ$45))</f>
        <v>#REF!</v>
      </c>
      <c r="AF712" s="90" t="e">
        <f t="shared" si="292"/>
        <v>#REF!</v>
      </c>
      <c r="AG712" s="90" t="e">
        <f>AdditionalVehs!$C$27</f>
        <v>#REF!</v>
      </c>
    </row>
    <row r="713" spans="1:33" x14ac:dyDescent="0.2">
      <c r="A713" s="92" t="s">
        <v>2264</v>
      </c>
      <c r="B713" s="248" t="s">
        <v>2265</v>
      </c>
      <c r="C713" s="40" t="s">
        <v>2251</v>
      </c>
      <c r="D713" s="40">
        <v>2045</v>
      </c>
      <c r="E713" s="86">
        <f>GDPdeflator!$C$32*INDEX(AdditionalVehs!$AA$46:$AK$91,MATCH($C713,AdditionalVehs!$C$46:$C$91,0),MATCH(E$7,AdditionalVehs!$AA$45:$AK$45,0))</f>
        <v>0</v>
      </c>
      <c r="F713" s="86">
        <f>GDPdeflator!$C$36*INDEX(AdditionalVehs!$AA$46:$AK$91,MATCH($C713,AdditionalVehs!$C$46:$C$91,0),MATCH(F$7,AdditionalVehs!$AA$45:$AK$45,0))</f>
        <v>29.13287683575097</v>
      </c>
      <c r="G713" s="86">
        <f>GDPdeflator!$C$38*INDEX(AdditionalVehs!$AA$46:$AK$91,MATCH($C713,AdditionalVehs!$C$46:$C$91,0),MATCH(G$7,AdditionalVehs!$AA$45:$AK$45,0))</f>
        <v>27.552969943429648</v>
      </c>
      <c r="H713" s="86">
        <f>GDPdeflator!$C$38*INDEX(AdditionalVehs!$AA$46:$AK$91,MATCH($C713,AdditionalVehs!$C$46:$C$91,0),MATCH(H$7,AdditionalVehs!$AA$45:$AK$45,0))</f>
        <v>28.171803515742557</v>
      </c>
      <c r="I713" s="86">
        <f>GDPdeflator!$C$38*INDEX(AdditionalVehs!$AA$46:$AK$91,MATCH($C713,AdditionalVehs!$C$46:$C$91,0),MATCH(I$7,AdditionalVehs!$AA$45:$AK$45,0))</f>
        <v>29.196178257747473</v>
      </c>
      <c r="J713" s="86">
        <f>GDPdeflator!$C$38*INDEX(AdditionalVehs!$AA$46:$AK$91,MATCH($C713,AdditionalVehs!$C$46:$C$91,0),MATCH(J$7,AdditionalVehs!$AA$45:$AK$45,0))</f>
        <v>29.058579864764479</v>
      </c>
      <c r="K713" s="86">
        <f>GDPdeflator!$C$38*INDEX(AdditionalVehs!$AA$46:$AK$91,MATCH($C713,AdditionalVehs!$C$46:$C$91,0),MATCH(K$7,AdditionalVehs!$AA$45:$AK$45,0))</f>
        <v>29.026357345383897</v>
      </c>
      <c r="L713" s="86">
        <f>GDPdeflator!$C$38*INDEX(AdditionalVehs!$AA$46:$AK$91,MATCH($C713,AdditionalVehs!$C$46:$C$91,0),MATCH(L$7,AdditionalVehs!$AA$45:$AK$45,0))</f>
        <v>29.020487555284664</v>
      </c>
      <c r="M713" s="86">
        <f>GDPdeflator!$C$38*INDEX(AdditionalVehs!$AA$46:$AK$91,MATCH($C713,AdditionalVehs!$C$46:$C$91,0),MATCH(M$7,AdditionalVehs!$AA$45:$AK$45,0))</f>
        <v>29.020487555284664</v>
      </c>
      <c r="N713" s="86">
        <f>GDPdeflator!$C$38*INDEX(AdditionalVehs!$AA$46:$AK$91,MATCH($C713,AdditionalVehs!$C$46:$C$91,0),MATCH(N$7,AdditionalVehs!$AA$45:$AK$45,0))</f>
        <v>29.020487555284664</v>
      </c>
      <c r="O713" s="86">
        <f>GDPdeflator!$C$38*INDEX(AdditionalVehs!$AA$46:$AK$91,MATCH($C713,AdditionalVehs!$C$46:$C$91,0),MATCH(O$7,AdditionalVehs!$AA$45:$AK$45,0))</f>
        <v>29.020487555284664</v>
      </c>
      <c r="P713" s="87">
        <f t="shared" si="308"/>
        <v>0</v>
      </c>
      <c r="Q713" s="87">
        <f t="shared" si="290"/>
        <v>2432.5412477073673</v>
      </c>
      <c r="R713" s="87">
        <f t="shared" si="309"/>
        <v>2300.6219489447908</v>
      </c>
      <c r="S713" s="87">
        <f t="shared" si="298"/>
        <v>2352.2934058559722</v>
      </c>
      <c r="T713" s="87">
        <f t="shared" si="299"/>
        <v>2437.8267991794442</v>
      </c>
      <c r="U713" s="87">
        <f t="shared" si="300"/>
        <v>2426.3375882636642</v>
      </c>
      <c r="V713" s="87">
        <f t="shared" si="301"/>
        <v>2423.647067586965</v>
      </c>
      <c r="W713" s="87">
        <f t="shared" si="302"/>
        <v>2423.1569509873489</v>
      </c>
      <c r="X713" s="87">
        <f t="shared" si="303"/>
        <v>2423.1569509873489</v>
      </c>
      <c r="Y713" s="87">
        <f t="shared" si="304"/>
        <v>2423.1569509873489</v>
      </c>
      <c r="Z713" s="87">
        <f t="shared" si="305"/>
        <v>2423.1569509873489</v>
      </c>
      <c r="AA713" s="40">
        <v>473</v>
      </c>
      <c r="AB713" s="89">
        <f>AA713*GDPdeflator!$C$25/$AI$18*10^3</f>
        <v>45.478712808157368</v>
      </c>
      <c r="AC713" s="90" t="e">
        <f>INDEX(AdditionalVehs!$E$46:$N$91,MATCH(C713,AdditionalVehs!$C$46:$C$91),MATCH(D713,AdditionalVehs!$E$45:$N$45))</f>
        <v>#REF!</v>
      </c>
      <c r="AD713" s="90" t="e">
        <f t="shared" si="307"/>
        <v>#REF!</v>
      </c>
      <c r="AE713" s="90" t="e">
        <f>INDEX(AdditionalVehs!$P$46:$Y$91,MATCH(C713,AdditionalVehs!$C$46:$C$91),MATCH(D713,AdditionalVehs!$AA$45:$AJ$45))</f>
        <v>#REF!</v>
      </c>
      <c r="AF713" s="90" t="e">
        <f t="shared" si="292"/>
        <v>#REF!</v>
      </c>
      <c r="AG713" s="90" t="e">
        <f>AdditionalVehs!$C$27</f>
        <v>#REF!</v>
      </c>
    </row>
    <row r="714" spans="1:33" x14ac:dyDescent="0.2">
      <c r="A714" s="92" t="s">
        <v>2266</v>
      </c>
      <c r="B714" s="248" t="s">
        <v>2267</v>
      </c>
      <c r="C714" s="40" t="s">
        <v>2251</v>
      </c>
      <c r="D714" s="40">
        <v>2050</v>
      </c>
      <c r="E714" s="86">
        <f>GDPdeflator!$C$32*INDEX(AdditionalVehs!$AA$46:$AK$91,MATCH($C714,AdditionalVehs!$C$46:$C$91,0),MATCH(E$7,AdditionalVehs!$AA$45:$AK$45,0))</f>
        <v>0</v>
      </c>
      <c r="F714" s="86">
        <f>GDPdeflator!$C$36*INDEX(AdditionalVehs!$AA$46:$AK$91,MATCH($C714,AdditionalVehs!$C$46:$C$91,0),MATCH(F$7,AdditionalVehs!$AA$45:$AK$45,0))</f>
        <v>29.13287683575097</v>
      </c>
      <c r="G714" s="86">
        <f>GDPdeflator!$C$38*INDEX(AdditionalVehs!$AA$46:$AK$91,MATCH($C714,AdditionalVehs!$C$46:$C$91,0),MATCH(G$7,AdditionalVehs!$AA$45:$AK$45,0))</f>
        <v>27.552969943429648</v>
      </c>
      <c r="H714" s="86">
        <f>GDPdeflator!$C$38*INDEX(AdditionalVehs!$AA$46:$AK$91,MATCH($C714,AdditionalVehs!$C$46:$C$91,0),MATCH(H$7,AdditionalVehs!$AA$45:$AK$45,0))</f>
        <v>28.171803515742557</v>
      </c>
      <c r="I714" s="86">
        <f>GDPdeflator!$C$38*INDEX(AdditionalVehs!$AA$46:$AK$91,MATCH($C714,AdditionalVehs!$C$46:$C$91,0),MATCH(I$7,AdditionalVehs!$AA$45:$AK$45,0))</f>
        <v>29.196178257747473</v>
      </c>
      <c r="J714" s="86">
        <f>GDPdeflator!$C$38*INDEX(AdditionalVehs!$AA$46:$AK$91,MATCH($C714,AdditionalVehs!$C$46:$C$91,0),MATCH(J$7,AdditionalVehs!$AA$45:$AK$45,0))</f>
        <v>29.058579864764479</v>
      </c>
      <c r="K714" s="86">
        <f>GDPdeflator!$C$38*INDEX(AdditionalVehs!$AA$46:$AK$91,MATCH($C714,AdditionalVehs!$C$46:$C$91,0),MATCH(K$7,AdditionalVehs!$AA$45:$AK$45,0))</f>
        <v>29.026357345383897</v>
      </c>
      <c r="L714" s="86">
        <f>GDPdeflator!$C$38*INDEX(AdditionalVehs!$AA$46:$AK$91,MATCH($C714,AdditionalVehs!$C$46:$C$91,0),MATCH(L$7,AdditionalVehs!$AA$45:$AK$45,0))</f>
        <v>29.020487555284664</v>
      </c>
      <c r="M714" s="86">
        <f>GDPdeflator!$C$38*INDEX(AdditionalVehs!$AA$46:$AK$91,MATCH($C714,AdditionalVehs!$C$46:$C$91,0),MATCH(M$7,AdditionalVehs!$AA$45:$AK$45,0))</f>
        <v>29.020487555284664</v>
      </c>
      <c r="N714" s="86">
        <f>GDPdeflator!$C$38*INDEX(AdditionalVehs!$AA$46:$AK$91,MATCH($C714,AdditionalVehs!$C$46:$C$91,0),MATCH(N$7,AdditionalVehs!$AA$45:$AK$45,0))</f>
        <v>29.020487555284664</v>
      </c>
      <c r="O714" s="86">
        <f>GDPdeflator!$C$38*INDEX(AdditionalVehs!$AA$46:$AK$91,MATCH($C714,AdditionalVehs!$C$46:$C$91,0),MATCH(O$7,AdditionalVehs!$AA$45:$AK$45,0))</f>
        <v>29.020487555284664</v>
      </c>
      <c r="P714" s="87">
        <f t="shared" si="308"/>
        <v>0</v>
      </c>
      <c r="Q714" s="87">
        <f t="shared" ref="Q714:Q777" si="310">F714/$AI$18*10^6</f>
        <v>2432.5412477073673</v>
      </c>
      <c r="R714" s="87">
        <f t="shared" si="309"/>
        <v>2300.6219489447908</v>
      </c>
      <c r="S714" s="87">
        <f t="shared" si="298"/>
        <v>2352.2934058559722</v>
      </c>
      <c r="T714" s="87">
        <f t="shared" si="299"/>
        <v>2437.8267991794442</v>
      </c>
      <c r="U714" s="87">
        <f t="shared" si="300"/>
        <v>2426.3375882636642</v>
      </c>
      <c r="V714" s="87">
        <f t="shared" si="301"/>
        <v>2423.647067586965</v>
      </c>
      <c r="W714" s="87">
        <f t="shared" si="302"/>
        <v>2423.1569509873489</v>
      </c>
      <c r="X714" s="87">
        <f t="shared" si="303"/>
        <v>2423.1569509873489</v>
      </c>
      <c r="Y714" s="87">
        <f t="shared" si="304"/>
        <v>2423.1569509873489</v>
      </c>
      <c r="Z714" s="87">
        <f t="shared" si="305"/>
        <v>2423.1569509873489</v>
      </c>
      <c r="AA714" s="40">
        <v>473</v>
      </c>
      <c r="AB714" s="89">
        <f>AA714*GDPdeflator!$C$25/$AI$18*10^3</f>
        <v>45.478712808157368</v>
      </c>
      <c r="AC714" s="90" t="e">
        <f>INDEX(AdditionalVehs!$E$46:$N$91,MATCH(C714,AdditionalVehs!$C$46:$C$91),MATCH(D714,AdditionalVehs!$E$45:$N$45))</f>
        <v>#REF!</v>
      </c>
      <c r="AD714" s="90" t="e">
        <f t="shared" si="307"/>
        <v>#REF!</v>
      </c>
      <c r="AE714" s="90" t="e">
        <f>INDEX(AdditionalVehs!$P$46:$Y$91,MATCH(C714,AdditionalVehs!$C$46:$C$91),MATCH(D714,AdditionalVehs!$AA$45:$AJ$45))</f>
        <v>#REF!</v>
      </c>
      <c r="AF714" s="90" t="e">
        <f t="shared" si="292"/>
        <v>#REF!</v>
      </c>
      <c r="AG714" s="90" t="e">
        <f>AdditionalVehs!$C$27</f>
        <v>#REF!</v>
      </c>
    </row>
    <row r="715" spans="1:33" x14ac:dyDescent="0.2">
      <c r="A715" s="92" t="s">
        <v>2268</v>
      </c>
      <c r="B715" s="248" t="s">
        <v>2269</v>
      </c>
      <c r="C715" s="40" t="s">
        <v>2270</v>
      </c>
      <c r="D715" s="40">
        <v>2010</v>
      </c>
      <c r="E715" s="86">
        <f>GDPdeflator!$C$32*INDEX(AdditionalVehs!$AA$46:$AK$91,MATCH($C715,AdditionalVehs!$C$46:$C$91,0),MATCH(E$7,AdditionalVehs!$AA$45:$AK$45,0))</f>
        <v>0</v>
      </c>
      <c r="F715" s="86">
        <f>GDPdeflator!$C$36*INDEX(AdditionalVehs!$AA$46:$AK$91,MATCH($C715,AdditionalVehs!$C$46:$C$91,0),MATCH(F$7,AdditionalVehs!$AA$45:$AK$45,0))</f>
        <v>17.809604468871068</v>
      </c>
      <c r="G715" s="86">
        <f>GDPdeflator!$C$38*INDEX(AdditionalVehs!$AA$46:$AK$91,MATCH($C715,AdditionalVehs!$C$46:$C$91,0),MATCH(G$7,AdditionalVehs!$AA$45:$AK$45,0))</f>
        <v>33.090705140663985</v>
      </c>
      <c r="H715" s="86">
        <f>GDPdeflator!$C$38*INDEX(AdditionalVehs!$AA$46:$AK$91,MATCH($C715,AdditionalVehs!$C$46:$C$91,0),MATCH(H$7,AdditionalVehs!$AA$45:$AK$45,0))</f>
        <v>33.121263092702996</v>
      </c>
      <c r="I715" s="86">
        <f>GDPdeflator!$C$38*INDEX(AdditionalVehs!$AA$46:$AK$91,MATCH($C715,AdditionalVehs!$C$46:$C$91,0),MATCH(I$7,AdditionalVehs!$AA$45:$AK$45,0))</f>
        <v>33.809815753985639</v>
      </c>
      <c r="J715" s="86">
        <f>GDPdeflator!$C$38*INDEX(AdditionalVehs!$AA$46:$AK$91,MATCH($C715,AdditionalVehs!$C$46:$C$91,0),MATCH(J$7,AdditionalVehs!$AA$45:$AK$45,0))</f>
        <v>33.616655855317042</v>
      </c>
      <c r="K715" s="86">
        <f>GDPdeflator!$C$38*INDEX(AdditionalVehs!$AA$46:$AK$91,MATCH($C715,AdditionalVehs!$C$46:$C$91,0),MATCH(K$7,AdditionalVehs!$AA$45:$AK$45,0))</f>
        <v>33.575654933429838</v>
      </c>
      <c r="L715" s="86">
        <f>GDPdeflator!$C$38*INDEX(AdditionalVehs!$AA$46:$AK$91,MATCH($C715,AdditionalVehs!$C$46:$C$91,0),MATCH(L$7,AdditionalVehs!$AA$45:$AK$45,0))</f>
        <v>33.590215517228238</v>
      </c>
      <c r="M715" s="86">
        <f>GDPdeflator!$C$38*INDEX(AdditionalVehs!$AA$46:$AK$91,MATCH($C715,AdditionalVehs!$C$46:$C$91,0),MATCH(M$7,AdditionalVehs!$AA$45:$AK$45,0))</f>
        <v>33.590215517228238</v>
      </c>
      <c r="N715" s="86">
        <f>GDPdeflator!$C$38*INDEX(AdditionalVehs!$AA$46:$AK$91,MATCH($C715,AdditionalVehs!$C$46:$C$91,0),MATCH(N$7,AdditionalVehs!$AA$45:$AK$45,0))</f>
        <v>33.590215517228238</v>
      </c>
      <c r="O715" s="86">
        <f>GDPdeflator!$C$38*INDEX(AdditionalVehs!$AA$46:$AK$91,MATCH($C715,AdditionalVehs!$C$46:$C$91,0),MATCH(O$7,AdditionalVehs!$AA$45:$AK$45,0))</f>
        <v>33.590215517228238</v>
      </c>
      <c r="P715" s="87">
        <f>E715/$AI$18*10^6</f>
        <v>0</v>
      </c>
      <c r="Q715" s="87">
        <f t="shared" si="310"/>
        <v>1487.0689812108833</v>
      </c>
      <c r="R715" s="87">
        <f t="shared" si="309"/>
        <v>2763.0125793689895</v>
      </c>
      <c r="S715" s="87">
        <f t="shared" si="298"/>
        <v>2765.5641117562454</v>
      </c>
      <c r="T715" s="87">
        <f t="shared" si="299"/>
        <v>2823.0569834431667</v>
      </c>
      <c r="U715" s="87">
        <f t="shared" si="300"/>
        <v>2806.9284897292287</v>
      </c>
      <c r="V715" s="87">
        <f t="shared" si="301"/>
        <v>2803.5049887050436</v>
      </c>
      <c r="W715" s="87">
        <f t="shared" si="302"/>
        <v>2804.7207704790167</v>
      </c>
      <c r="X715" s="87">
        <f t="shared" si="303"/>
        <v>2804.7207704790167</v>
      </c>
      <c r="Y715" s="87">
        <f t="shared" si="304"/>
        <v>2804.7207704790167</v>
      </c>
      <c r="Z715" s="87">
        <f t="shared" si="305"/>
        <v>2804.7207704790167</v>
      </c>
      <c r="AA715" s="40">
        <v>500</v>
      </c>
      <c r="AB715" s="89">
        <f>AA715*GDPdeflator!$C$25/$AI$18*10^3</f>
        <v>48.0747492686653</v>
      </c>
      <c r="AC715" s="90">
        <f>INDEX(AdditionalVehs!$E$46:$N$91,MATCH(C715,AdditionalVehs!$C$46:$C$91),MATCH(D715,AdditionalVehs!$E$45:$N$45))</f>
        <v>0</v>
      </c>
      <c r="AD715" s="90">
        <f t="shared" si="307"/>
        <v>0</v>
      </c>
      <c r="AE715" s="90">
        <f>INDEX(AdditionalVehs!$P$46:$Y$91,MATCH(C715,AdditionalVehs!$C$46:$C$91),MATCH(D715,AdditionalVehs!$AA$45:$AJ$45))</f>
        <v>0</v>
      </c>
      <c r="AF715" s="90">
        <f t="shared" si="292"/>
        <v>0</v>
      </c>
      <c r="AG715" s="90" t="e">
        <f>AdditionalVehs!$C$27</f>
        <v>#REF!</v>
      </c>
    </row>
    <row r="716" spans="1:33" x14ac:dyDescent="0.2">
      <c r="A716" s="92" t="s">
        <v>2271</v>
      </c>
      <c r="B716" s="248" t="s">
        <v>2272</v>
      </c>
      <c r="C716" s="40" t="s">
        <v>2270</v>
      </c>
      <c r="D716" s="40">
        <v>2015</v>
      </c>
      <c r="E716" s="86">
        <f>GDPdeflator!$C$32*INDEX(AdditionalVehs!$AA$46:$AK$91,MATCH($C716,AdditionalVehs!$C$46:$C$91,0),MATCH(E$7,AdditionalVehs!$AA$45:$AK$45,0))</f>
        <v>0</v>
      </c>
      <c r="F716" s="86">
        <f>GDPdeflator!$C$36*INDEX(AdditionalVehs!$AA$46:$AK$91,MATCH($C716,AdditionalVehs!$C$46:$C$91,0),MATCH(F$7,AdditionalVehs!$AA$45:$AK$45,0))</f>
        <v>17.809604468871068</v>
      </c>
      <c r="G716" s="86">
        <f>GDPdeflator!$C$38*INDEX(AdditionalVehs!$AA$46:$AK$91,MATCH($C716,AdditionalVehs!$C$46:$C$91,0),MATCH(G$7,AdditionalVehs!$AA$45:$AK$45,0))</f>
        <v>33.090705140663985</v>
      </c>
      <c r="H716" s="86">
        <f>GDPdeflator!$C$38*INDEX(AdditionalVehs!$AA$46:$AK$91,MATCH($C716,AdditionalVehs!$C$46:$C$91,0),MATCH(H$7,AdditionalVehs!$AA$45:$AK$45,0))</f>
        <v>33.121263092702996</v>
      </c>
      <c r="I716" s="86">
        <f>GDPdeflator!$C$38*INDEX(AdditionalVehs!$AA$46:$AK$91,MATCH($C716,AdditionalVehs!$C$46:$C$91,0),MATCH(I$7,AdditionalVehs!$AA$45:$AK$45,0))</f>
        <v>33.809815753985639</v>
      </c>
      <c r="J716" s="86">
        <f>GDPdeflator!$C$38*INDEX(AdditionalVehs!$AA$46:$AK$91,MATCH($C716,AdditionalVehs!$C$46:$C$91,0),MATCH(J$7,AdditionalVehs!$AA$45:$AK$45,0))</f>
        <v>33.616655855317042</v>
      </c>
      <c r="K716" s="86">
        <f>GDPdeflator!$C$38*INDEX(AdditionalVehs!$AA$46:$AK$91,MATCH($C716,AdditionalVehs!$C$46:$C$91,0),MATCH(K$7,AdditionalVehs!$AA$45:$AK$45,0))</f>
        <v>33.575654933429838</v>
      </c>
      <c r="L716" s="86">
        <f>GDPdeflator!$C$38*INDEX(AdditionalVehs!$AA$46:$AK$91,MATCH($C716,AdditionalVehs!$C$46:$C$91,0),MATCH(L$7,AdditionalVehs!$AA$45:$AK$45,0))</f>
        <v>33.590215517228238</v>
      </c>
      <c r="M716" s="86">
        <f>GDPdeflator!$C$38*INDEX(AdditionalVehs!$AA$46:$AK$91,MATCH($C716,AdditionalVehs!$C$46:$C$91,0),MATCH(M$7,AdditionalVehs!$AA$45:$AK$45,0))</f>
        <v>33.590215517228238</v>
      </c>
      <c r="N716" s="86">
        <f>GDPdeflator!$C$38*INDEX(AdditionalVehs!$AA$46:$AK$91,MATCH($C716,AdditionalVehs!$C$46:$C$91,0),MATCH(N$7,AdditionalVehs!$AA$45:$AK$45,0))</f>
        <v>33.590215517228238</v>
      </c>
      <c r="O716" s="86">
        <f>GDPdeflator!$C$38*INDEX(AdditionalVehs!$AA$46:$AK$91,MATCH($C716,AdditionalVehs!$C$46:$C$91,0),MATCH(O$7,AdditionalVehs!$AA$45:$AK$45,0))</f>
        <v>33.590215517228238</v>
      </c>
      <c r="P716" s="87">
        <f t="shared" ref="P716:P723" si="311">E716/$AI$18*10^6</f>
        <v>0</v>
      </c>
      <c r="Q716" s="87">
        <f t="shared" si="310"/>
        <v>1487.0689812108833</v>
      </c>
      <c r="R716" s="87">
        <f t="shared" si="309"/>
        <v>2763.0125793689895</v>
      </c>
      <c r="S716" s="87">
        <f t="shared" si="298"/>
        <v>2765.5641117562454</v>
      </c>
      <c r="T716" s="87">
        <f t="shared" si="299"/>
        <v>2823.0569834431667</v>
      </c>
      <c r="U716" s="87">
        <f t="shared" si="300"/>
        <v>2806.9284897292287</v>
      </c>
      <c r="V716" s="87">
        <f t="shared" si="301"/>
        <v>2803.5049887050436</v>
      </c>
      <c r="W716" s="87">
        <f t="shared" si="302"/>
        <v>2804.7207704790167</v>
      </c>
      <c r="X716" s="87">
        <f t="shared" si="303"/>
        <v>2804.7207704790167</v>
      </c>
      <c r="Y716" s="87">
        <f t="shared" si="304"/>
        <v>2804.7207704790167</v>
      </c>
      <c r="Z716" s="87">
        <f t="shared" si="305"/>
        <v>2804.7207704790167</v>
      </c>
      <c r="AA716" s="40">
        <v>500</v>
      </c>
      <c r="AB716" s="89">
        <f>AA716*GDPdeflator!$C$25/$AI$18*10^3</f>
        <v>48.0747492686653</v>
      </c>
      <c r="AC716" s="90" t="e">
        <f>INDEX(AdditionalVehs!$E$46:$N$91,MATCH(C716,AdditionalVehs!$C$46:$C$91),MATCH(D716,AdditionalVehs!$E$45:$N$45))</f>
        <v>#REF!</v>
      </c>
      <c r="AD716" s="90" t="e">
        <f t="shared" si="307"/>
        <v>#REF!</v>
      </c>
      <c r="AE716" s="90" t="e">
        <f>INDEX(AdditionalVehs!$P$46:$Y$91,MATCH(C716,AdditionalVehs!$C$46:$C$91),MATCH(D716,AdditionalVehs!$AA$45:$AJ$45))</f>
        <v>#REF!</v>
      </c>
      <c r="AF716" s="90" t="e">
        <f t="shared" si="292"/>
        <v>#REF!</v>
      </c>
      <c r="AG716" s="90" t="e">
        <f>AdditionalVehs!$C$27</f>
        <v>#REF!</v>
      </c>
    </row>
    <row r="717" spans="1:33" x14ac:dyDescent="0.2">
      <c r="A717" s="92" t="s">
        <v>2273</v>
      </c>
      <c r="B717" s="248" t="s">
        <v>2274</v>
      </c>
      <c r="C717" s="40" t="s">
        <v>2270</v>
      </c>
      <c r="D717" s="40">
        <v>2020</v>
      </c>
      <c r="E717" s="86">
        <f>GDPdeflator!$C$32*INDEX(AdditionalVehs!$AA$46:$AK$91,MATCH($C717,AdditionalVehs!$C$46:$C$91,0),MATCH(E$7,AdditionalVehs!$AA$45:$AK$45,0))</f>
        <v>0</v>
      </c>
      <c r="F717" s="86">
        <f>GDPdeflator!$C$36*INDEX(AdditionalVehs!$AA$46:$AK$91,MATCH($C717,AdditionalVehs!$C$46:$C$91,0),MATCH(F$7,AdditionalVehs!$AA$45:$AK$45,0))</f>
        <v>17.809604468871068</v>
      </c>
      <c r="G717" s="86">
        <f>GDPdeflator!$C$38*INDEX(AdditionalVehs!$AA$46:$AK$91,MATCH($C717,AdditionalVehs!$C$46:$C$91,0),MATCH(G$7,AdditionalVehs!$AA$45:$AK$45,0))</f>
        <v>33.090705140663985</v>
      </c>
      <c r="H717" s="86">
        <f>GDPdeflator!$C$38*INDEX(AdditionalVehs!$AA$46:$AK$91,MATCH($C717,AdditionalVehs!$C$46:$C$91,0),MATCH(H$7,AdditionalVehs!$AA$45:$AK$45,0))</f>
        <v>33.121263092702996</v>
      </c>
      <c r="I717" s="86">
        <f>GDPdeflator!$C$38*INDEX(AdditionalVehs!$AA$46:$AK$91,MATCH($C717,AdditionalVehs!$C$46:$C$91,0),MATCH(I$7,AdditionalVehs!$AA$45:$AK$45,0))</f>
        <v>33.809815753985639</v>
      </c>
      <c r="J717" s="86">
        <f>GDPdeflator!$C$38*INDEX(AdditionalVehs!$AA$46:$AK$91,MATCH($C717,AdditionalVehs!$C$46:$C$91,0),MATCH(J$7,AdditionalVehs!$AA$45:$AK$45,0))</f>
        <v>33.616655855317042</v>
      </c>
      <c r="K717" s="86">
        <f>GDPdeflator!$C$38*INDEX(AdditionalVehs!$AA$46:$AK$91,MATCH($C717,AdditionalVehs!$C$46:$C$91,0),MATCH(K$7,AdditionalVehs!$AA$45:$AK$45,0))</f>
        <v>33.575654933429838</v>
      </c>
      <c r="L717" s="86">
        <f>GDPdeflator!$C$38*INDEX(AdditionalVehs!$AA$46:$AK$91,MATCH($C717,AdditionalVehs!$C$46:$C$91,0),MATCH(L$7,AdditionalVehs!$AA$45:$AK$45,0))</f>
        <v>33.590215517228238</v>
      </c>
      <c r="M717" s="86">
        <f>GDPdeflator!$C$38*INDEX(AdditionalVehs!$AA$46:$AK$91,MATCH($C717,AdditionalVehs!$C$46:$C$91,0),MATCH(M$7,AdditionalVehs!$AA$45:$AK$45,0))</f>
        <v>33.590215517228238</v>
      </c>
      <c r="N717" s="86">
        <f>GDPdeflator!$C$38*INDEX(AdditionalVehs!$AA$46:$AK$91,MATCH($C717,AdditionalVehs!$C$46:$C$91,0),MATCH(N$7,AdditionalVehs!$AA$45:$AK$45,0))</f>
        <v>33.590215517228238</v>
      </c>
      <c r="O717" s="86">
        <f>GDPdeflator!$C$38*INDEX(AdditionalVehs!$AA$46:$AK$91,MATCH($C717,AdditionalVehs!$C$46:$C$91,0),MATCH(O$7,AdditionalVehs!$AA$45:$AK$45,0))</f>
        <v>33.590215517228238</v>
      </c>
      <c r="P717" s="87">
        <f t="shared" si="311"/>
        <v>0</v>
      </c>
      <c r="Q717" s="87">
        <f t="shared" si="310"/>
        <v>1487.0689812108833</v>
      </c>
      <c r="R717" s="87">
        <f t="shared" si="309"/>
        <v>2763.0125793689895</v>
      </c>
      <c r="S717" s="87">
        <f t="shared" si="298"/>
        <v>2765.5641117562454</v>
      </c>
      <c r="T717" s="87">
        <f t="shared" si="299"/>
        <v>2823.0569834431667</v>
      </c>
      <c r="U717" s="87">
        <f t="shared" si="300"/>
        <v>2806.9284897292287</v>
      </c>
      <c r="V717" s="87">
        <f t="shared" si="301"/>
        <v>2803.5049887050436</v>
      </c>
      <c r="W717" s="87">
        <f t="shared" si="302"/>
        <v>2804.7207704790167</v>
      </c>
      <c r="X717" s="87">
        <f t="shared" si="303"/>
        <v>2804.7207704790167</v>
      </c>
      <c r="Y717" s="87">
        <f t="shared" si="304"/>
        <v>2804.7207704790167</v>
      </c>
      <c r="Z717" s="87">
        <f t="shared" si="305"/>
        <v>2804.7207704790167</v>
      </c>
      <c r="AA717" s="40">
        <v>500</v>
      </c>
      <c r="AB717" s="89">
        <f>AA717*GDPdeflator!$C$25/$AI$18*10^3</f>
        <v>48.0747492686653</v>
      </c>
      <c r="AC717" s="90" t="e">
        <f>INDEX(AdditionalVehs!$E$46:$N$91,MATCH(C717,AdditionalVehs!$C$46:$C$91),MATCH(D717,AdditionalVehs!$E$45:$N$45))</f>
        <v>#REF!</v>
      </c>
      <c r="AD717" s="90" t="e">
        <f t="shared" si="307"/>
        <v>#REF!</v>
      </c>
      <c r="AE717" s="90" t="e">
        <f>INDEX(AdditionalVehs!$P$46:$Y$91,MATCH(C717,AdditionalVehs!$C$46:$C$91),MATCH(D717,AdditionalVehs!$AA$45:$AJ$45))</f>
        <v>#REF!</v>
      </c>
      <c r="AF717" s="90" t="e">
        <f t="shared" si="292"/>
        <v>#REF!</v>
      </c>
      <c r="AG717" s="90" t="e">
        <f>AdditionalVehs!$C$27</f>
        <v>#REF!</v>
      </c>
    </row>
    <row r="718" spans="1:33" x14ac:dyDescent="0.2">
      <c r="A718" s="92" t="s">
        <v>2275</v>
      </c>
      <c r="B718" s="248" t="s">
        <v>2276</v>
      </c>
      <c r="C718" s="40" t="s">
        <v>2270</v>
      </c>
      <c r="D718" s="40">
        <v>2025</v>
      </c>
      <c r="E718" s="86">
        <f>GDPdeflator!$C$32*INDEX(AdditionalVehs!$AA$46:$AK$91,MATCH($C718,AdditionalVehs!$C$46:$C$91,0),MATCH(E$7,AdditionalVehs!$AA$45:$AK$45,0))</f>
        <v>0</v>
      </c>
      <c r="F718" s="86">
        <f>GDPdeflator!$C$36*INDEX(AdditionalVehs!$AA$46:$AK$91,MATCH($C718,AdditionalVehs!$C$46:$C$91,0),MATCH(F$7,AdditionalVehs!$AA$45:$AK$45,0))</f>
        <v>17.809604468871068</v>
      </c>
      <c r="G718" s="86">
        <f>GDPdeflator!$C$38*INDEX(AdditionalVehs!$AA$46:$AK$91,MATCH($C718,AdditionalVehs!$C$46:$C$91,0),MATCH(G$7,AdditionalVehs!$AA$45:$AK$45,0))</f>
        <v>33.090705140663985</v>
      </c>
      <c r="H718" s="86">
        <f>GDPdeflator!$C$38*INDEX(AdditionalVehs!$AA$46:$AK$91,MATCH($C718,AdditionalVehs!$C$46:$C$91,0),MATCH(H$7,AdditionalVehs!$AA$45:$AK$45,0))</f>
        <v>33.121263092702996</v>
      </c>
      <c r="I718" s="86">
        <f>GDPdeflator!$C$38*INDEX(AdditionalVehs!$AA$46:$AK$91,MATCH($C718,AdditionalVehs!$C$46:$C$91,0),MATCH(I$7,AdditionalVehs!$AA$45:$AK$45,0))</f>
        <v>33.809815753985639</v>
      </c>
      <c r="J718" s="86">
        <f>GDPdeflator!$C$38*INDEX(AdditionalVehs!$AA$46:$AK$91,MATCH($C718,AdditionalVehs!$C$46:$C$91,0),MATCH(J$7,AdditionalVehs!$AA$45:$AK$45,0))</f>
        <v>33.616655855317042</v>
      </c>
      <c r="K718" s="86">
        <f>GDPdeflator!$C$38*INDEX(AdditionalVehs!$AA$46:$AK$91,MATCH($C718,AdditionalVehs!$C$46:$C$91,0),MATCH(K$7,AdditionalVehs!$AA$45:$AK$45,0))</f>
        <v>33.575654933429838</v>
      </c>
      <c r="L718" s="86">
        <f>GDPdeflator!$C$38*INDEX(AdditionalVehs!$AA$46:$AK$91,MATCH($C718,AdditionalVehs!$C$46:$C$91,0),MATCH(L$7,AdditionalVehs!$AA$45:$AK$45,0))</f>
        <v>33.590215517228238</v>
      </c>
      <c r="M718" s="86">
        <f>GDPdeflator!$C$38*INDEX(AdditionalVehs!$AA$46:$AK$91,MATCH($C718,AdditionalVehs!$C$46:$C$91,0),MATCH(M$7,AdditionalVehs!$AA$45:$AK$45,0))</f>
        <v>33.590215517228238</v>
      </c>
      <c r="N718" s="86">
        <f>GDPdeflator!$C$38*INDEX(AdditionalVehs!$AA$46:$AK$91,MATCH($C718,AdditionalVehs!$C$46:$C$91,0),MATCH(N$7,AdditionalVehs!$AA$45:$AK$45,0))</f>
        <v>33.590215517228238</v>
      </c>
      <c r="O718" s="86">
        <f>GDPdeflator!$C$38*INDEX(AdditionalVehs!$AA$46:$AK$91,MATCH($C718,AdditionalVehs!$C$46:$C$91,0),MATCH(O$7,AdditionalVehs!$AA$45:$AK$45,0))</f>
        <v>33.590215517228238</v>
      </c>
      <c r="P718" s="87">
        <f t="shared" si="311"/>
        <v>0</v>
      </c>
      <c r="Q718" s="87">
        <f t="shared" si="310"/>
        <v>1487.0689812108833</v>
      </c>
      <c r="R718" s="87">
        <f t="shared" si="309"/>
        <v>2763.0125793689895</v>
      </c>
      <c r="S718" s="87">
        <f t="shared" si="298"/>
        <v>2765.5641117562454</v>
      </c>
      <c r="T718" s="87">
        <f t="shared" si="299"/>
        <v>2823.0569834431667</v>
      </c>
      <c r="U718" s="87">
        <f t="shared" si="300"/>
        <v>2806.9284897292287</v>
      </c>
      <c r="V718" s="87">
        <f t="shared" si="301"/>
        <v>2803.5049887050436</v>
      </c>
      <c r="W718" s="87">
        <f t="shared" si="302"/>
        <v>2804.7207704790167</v>
      </c>
      <c r="X718" s="87">
        <f t="shared" si="303"/>
        <v>2804.7207704790167</v>
      </c>
      <c r="Y718" s="87">
        <f t="shared" si="304"/>
        <v>2804.7207704790167</v>
      </c>
      <c r="Z718" s="87">
        <f t="shared" si="305"/>
        <v>2804.7207704790167</v>
      </c>
      <c r="AA718" s="40">
        <v>500</v>
      </c>
      <c r="AB718" s="89">
        <f>AA718*GDPdeflator!$C$25/$AI$18*10^3</f>
        <v>48.0747492686653</v>
      </c>
      <c r="AC718" s="90" t="e">
        <f>INDEX(AdditionalVehs!$E$46:$N$91,MATCH(C718,AdditionalVehs!$C$46:$C$91),MATCH(D718,AdditionalVehs!$E$45:$N$45))</f>
        <v>#REF!</v>
      </c>
      <c r="AD718" s="90" t="e">
        <f t="shared" si="307"/>
        <v>#REF!</v>
      </c>
      <c r="AE718" s="90" t="e">
        <f>INDEX(AdditionalVehs!$P$46:$Y$91,MATCH(C718,AdditionalVehs!$C$46:$C$91),MATCH(D718,AdditionalVehs!$AA$45:$AJ$45))</f>
        <v>#REF!</v>
      </c>
      <c r="AF718" s="90" t="e">
        <f t="shared" si="292"/>
        <v>#REF!</v>
      </c>
      <c r="AG718" s="90" t="e">
        <f>AdditionalVehs!$C$27</f>
        <v>#REF!</v>
      </c>
    </row>
    <row r="719" spans="1:33" x14ac:dyDescent="0.2">
      <c r="A719" s="92" t="s">
        <v>2277</v>
      </c>
      <c r="B719" s="248" t="s">
        <v>2278</v>
      </c>
      <c r="C719" s="40" t="s">
        <v>2270</v>
      </c>
      <c r="D719" s="40">
        <v>2030</v>
      </c>
      <c r="E719" s="86">
        <f>GDPdeflator!$C$32*INDEX(AdditionalVehs!$AA$46:$AK$91,MATCH($C719,AdditionalVehs!$C$46:$C$91,0),MATCH(E$7,AdditionalVehs!$AA$45:$AK$45,0))</f>
        <v>0</v>
      </c>
      <c r="F719" s="86">
        <f>GDPdeflator!$C$36*INDEX(AdditionalVehs!$AA$46:$AK$91,MATCH($C719,AdditionalVehs!$C$46:$C$91,0),MATCH(F$7,AdditionalVehs!$AA$45:$AK$45,0))</f>
        <v>17.809604468871068</v>
      </c>
      <c r="G719" s="86">
        <f>GDPdeflator!$C$38*INDEX(AdditionalVehs!$AA$46:$AK$91,MATCH($C719,AdditionalVehs!$C$46:$C$91,0),MATCH(G$7,AdditionalVehs!$AA$45:$AK$45,0))</f>
        <v>33.090705140663985</v>
      </c>
      <c r="H719" s="86">
        <f>GDPdeflator!$C$38*INDEX(AdditionalVehs!$AA$46:$AK$91,MATCH($C719,AdditionalVehs!$C$46:$C$91,0),MATCH(H$7,AdditionalVehs!$AA$45:$AK$45,0))</f>
        <v>33.121263092702996</v>
      </c>
      <c r="I719" s="86">
        <f>GDPdeflator!$C$38*INDEX(AdditionalVehs!$AA$46:$AK$91,MATCH($C719,AdditionalVehs!$C$46:$C$91,0),MATCH(I$7,AdditionalVehs!$AA$45:$AK$45,0))</f>
        <v>33.809815753985639</v>
      </c>
      <c r="J719" s="86">
        <f>GDPdeflator!$C$38*INDEX(AdditionalVehs!$AA$46:$AK$91,MATCH($C719,AdditionalVehs!$C$46:$C$91,0),MATCH(J$7,AdditionalVehs!$AA$45:$AK$45,0))</f>
        <v>33.616655855317042</v>
      </c>
      <c r="K719" s="86">
        <f>GDPdeflator!$C$38*INDEX(AdditionalVehs!$AA$46:$AK$91,MATCH($C719,AdditionalVehs!$C$46:$C$91,0),MATCH(K$7,AdditionalVehs!$AA$45:$AK$45,0))</f>
        <v>33.575654933429838</v>
      </c>
      <c r="L719" s="86">
        <f>GDPdeflator!$C$38*INDEX(AdditionalVehs!$AA$46:$AK$91,MATCH($C719,AdditionalVehs!$C$46:$C$91,0),MATCH(L$7,AdditionalVehs!$AA$45:$AK$45,0))</f>
        <v>33.590215517228238</v>
      </c>
      <c r="M719" s="86">
        <f>GDPdeflator!$C$38*INDEX(AdditionalVehs!$AA$46:$AK$91,MATCH($C719,AdditionalVehs!$C$46:$C$91,0),MATCH(M$7,AdditionalVehs!$AA$45:$AK$45,0))</f>
        <v>33.590215517228238</v>
      </c>
      <c r="N719" s="86">
        <f>GDPdeflator!$C$38*INDEX(AdditionalVehs!$AA$46:$AK$91,MATCH($C719,AdditionalVehs!$C$46:$C$91,0),MATCH(N$7,AdditionalVehs!$AA$45:$AK$45,0))</f>
        <v>33.590215517228238</v>
      </c>
      <c r="O719" s="86">
        <f>GDPdeflator!$C$38*INDEX(AdditionalVehs!$AA$46:$AK$91,MATCH($C719,AdditionalVehs!$C$46:$C$91,0),MATCH(O$7,AdditionalVehs!$AA$45:$AK$45,0))</f>
        <v>33.590215517228238</v>
      </c>
      <c r="P719" s="87">
        <f t="shared" si="311"/>
        <v>0</v>
      </c>
      <c r="Q719" s="87">
        <f t="shared" si="310"/>
        <v>1487.0689812108833</v>
      </c>
      <c r="R719" s="87">
        <f t="shared" si="309"/>
        <v>2763.0125793689895</v>
      </c>
      <c r="S719" s="87">
        <f t="shared" si="298"/>
        <v>2765.5641117562454</v>
      </c>
      <c r="T719" s="87">
        <f t="shared" si="299"/>
        <v>2823.0569834431667</v>
      </c>
      <c r="U719" s="87">
        <f t="shared" si="300"/>
        <v>2806.9284897292287</v>
      </c>
      <c r="V719" s="87">
        <f t="shared" si="301"/>
        <v>2803.5049887050436</v>
      </c>
      <c r="W719" s="87">
        <f t="shared" si="302"/>
        <v>2804.7207704790167</v>
      </c>
      <c r="X719" s="87">
        <f t="shared" si="303"/>
        <v>2804.7207704790167</v>
      </c>
      <c r="Y719" s="87">
        <f t="shared" si="304"/>
        <v>2804.7207704790167</v>
      </c>
      <c r="Z719" s="87">
        <f t="shared" si="305"/>
        <v>2804.7207704790167</v>
      </c>
      <c r="AA719" s="40">
        <v>500</v>
      </c>
      <c r="AB719" s="89">
        <f>AA719*GDPdeflator!$C$25/$AI$18*10^3</f>
        <v>48.0747492686653</v>
      </c>
      <c r="AC719" s="90" t="e">
        <f>INDEX(AdditionalVehs!$E$46:$N$91,MATCH(C719,AdditionalVehs!$C$46:$C$91),MATCH(D719,AdditionalVehs!$E$45:$N$45))</f>
        <v>#REF!</v>
      </c>
      <c r="AD719" s="90" t="e">
        <f t="shared" si="307"/>
        <v>#REF!</v>
      </c>
      <c r="AE719" s="90" t="e">
        <f>INDEX(AdditionalVehs!$P$46:$Y$91,MATCH(C719,AdditionalVehs!$C$46:$C$91),MATCH(D719,AdditionalVehs!$AA$45:$AJ$45))</f>
        <v>#REF!</v>
      </c>
      <c r="AF719" s="90" t="e">
        <f t="shared" si="292"/>
        <v>#REF!</v>
      </c>
      <c r="AG719" s="90" t="e">
        <f>AdditionalVehs!$C$27</f>
        <v>#REF!</v>
      </c>
    </row>
    <row r="720" spans="1:33" x14ac:dyDescent="0.2">
      <c r="A720" s="92" t="s">
        <v>2279</v>
      </c>
      <c r="B720" s="248" t="s">
        <v>2280</v>
      </c>
      <c r="C720" s="40" t="s">
        <v>2270</v>
      </c>
      <c r="D720" s="40">
        <v>2035</v>
      </c>
      <c r="E720" s="86">
        <f>GDPdeflator!$C$32*INDEX(AdditionalVehs!$AA$46:$AK$91,MATCH($C720,AdditionalVehs!$C$46:$C$91,0),MATCH(E$7,AdditionalVehs!$AA$45:$AK$45,0))</f>
        <v>0</v>
      </c>
      <c r="F720" s="86">
        <f>GDPdeflator!$C$36*INDEX(AdditionalVehs!$AA$46:$AK$91,MATCH($C720,AdditionalVehs!$C$46:$C$91,0),MATCH(F$7,AdditionalVehs!$AA$45:$AK$45,0))</f>
        <v>17.809604468871068</v>
      </c>
      <c r="G720" s="86">
        <f>GDPdeflator!$C$38*INDEX(AdditionalVehs!$AA$46:$AK$91,MATCH($C720,AdditionalVehs!$C$46:$C$91,0),MATCH(G$7,AdditionalVehs!$AA$45:$AK$45,0))</f>
        <v>33.090705140663985</v>
      </c>
      <c r="H720" s="86">
        <f>GDPdeflator!$C$38*INDEX(AdditionalVehs!$AA$46:$AK$91,MATCH($C720,AdditionalVehs!$C$46:$C$91,0),MATCH(H$7,AdditionalVehs!$AA$45:$AK$45,0))</f>
        <v>33.121263092702996</v>
      </c>
      <c r="I720" s="86">
        <f>GDPdeflator!$C$38*INDEX(AdditionalVehs!$AA$46:$AK$91,MATCH($C720,AdditionalVehs!$C$46:$C$91,0),MATCH(I$7,AdditionalVehs!$AA$45:$AK$45,0))</f>
        <v>33.809815753985639</v>
      </c>
      <c r="J720" s="86">
        <f>GDPdeflator!$C$38*INDEX(AdditionalVehs!$AA$46:$AK$91,MATCH($C720,AdditionalVehs!$C$46:$C$91,0),MATCH(J$7,AdditionalVehs!$AA$45:$AK$45,0))</f>
        <v>33.616655855317042</v>
      </c>
      <c r="K720" s="86">
        <f>GDPdeflator!$C$38*INDEX(AdditionalVehs!$AA$46:$AK$91,MATCH($C720,AdditionalVehs!$C$46:$C$91,0),MATCH(K$7,AdditionalVehs!$AA$45:$AK$45,0))</f>
        <v>33.575654933429838</v>
      </c>
      <c r="L720" s="86">
        <f>GDPdeflator!$C$38*INDEX(AdditionalVehs!$AA$46:$AK$91,MATCH($C720,AdditionalVehs!$C$46:$C$91,0),MATCH(L$7,AdditionalVehs!$AA$45:$AK$45,0))</f>
        <v>33.590215517228238</v>
      </c>
      <c r="M720" s="86">
        <f>GDPdeflator!$C$38*INDEX(AdditionalVehs!$AA$46:$AK$91,MATCH($C720,AdditionalVehs!$C$46:$C$91,0),MATCH(M$7,AdditionalVehs!$AA$45:$AK$45,0))</f>
        <v>33.590215517228238</v>
      </c>
      <c r="N720" s="86">
        <f>GDPdeflator!$C$38*INDEX(AdditionalVehs!$AA$46:$AK$91,MATCH($C720,AdditionalVehs!$C$46:$C$91,0),MATCH(N$7,AdditionalVehs!$AA$45:$AK$45,0))</f>
        <v>33.590215517228238</v>
      </c>
      <c r="O720" s="86">
        <f>GDPdeflator!$C$38*INDEX(AdditionalVehs!$AA$46:$AK$91,MATCH($C720,AdditionalVehs!$C$46:$C$91,0),MATCH(O$7,AdditionalVehs!$AA$45:$AK$45,0))</f>
        <v>33.590215517228238</v>
      </c>
      <c r="P720" s="87">
        <f t="shared" si="311"/>
        <v>0</v>
      </c>
      <c r="Q720" s="87">
        <f t="shared" si="310"/>
        <v>1487.0689812108833</v>
      </c>
      <c r="R720" s="87">
        <f t="shared" si="309"/>
        <v>2763.0125793689895</v>
      </c>
      <c r="S720" s="87">
        <f t="shared" si="298"/>
        <v>2765.5641117562454</v>
      </c>
      <c r="T720" s="87">
        <f t="shared" si="299"/>
        <v>2823.0569834431667</v>
      </c>
      <c r="U720" s="87">
        <f t="shared" si="300"/>
        <v>2806.9284897292287</v>
      </c>
      <c r="V720" s="87">
        <f t="shared" si="301"/>
        <v>2803.5049887050436</v>
      </c>
      <c r="W720" s="87">
        <f t="shared" si="302"/>
        <v>2804.7207704790167</v>
      </c>
      <c r="X720" s="87">
        <f t="shared" si="303"/>
        <v>2804.7207704790167</v>
      </c>
      <c r="Y720" s="87">
        <f t="shared" si="304"/>
        <v>2804.7207704790167</v>
      </c>
      <c r="Z720" s="87">
        <f t="shared" si="305"/>
        <v>2804.7207704790167</v>
      </c>
      <c r="AA720" s="40">
        <v>500</v>
      </c>
      <c r="AB720" s="89">
        <f>AA720*GDPdeflator!$C$25/$AI$18*10^3</f>
        <v>48.0747492686653</v>
      </c>
      <c r="AC720" s="90" t="e">
        <f>INDEX(AdditionalVehs!$E$46:$N$91,MATCH(C720,AdditionalVehs!$C$46:$C$91),MATCH(D720,AdditionalVehs!$E$45:$N$45))</f>
        <v>#REF!</v>
      </c>
      <c r="AD720" s="90" t="e">
        <f t="shared" si="307"/>
        <v>#REF!</v>
      </c>
      <c r="AE720" s="90" t="e">
        <f>INDEX(AdditionalVehs!$P$46:$Y$91,MATCH(C720,AdditionalVehs!$C$46:$C$91),MATCH(D720,AdditionalVehs!$AA$45:$AJ$45))</f>
        <v>#REF!</v>
      </c>
      <c r="AF720" s="90" t="e">
        <f t="shared" ref="AF720:AF783" si="312">AE720/($AI$11*$AI$15*10 ^ 9)</f>
        <v>#REF!</v>
      </c>
      <c r="AG720" s="90" t="e">
        <f>AdditionalVehs!$C$27</f>
        <v>#REF!</v>
      </c>
    </row>
    <row r="721" spans="1:33" x14ac:dyDescent="0.2">
      <c r="A721" s="92" t="s">
        <v>2281</v>
      </c>
      <c r="B721" s="248" t="s">
        <v>2282</v>
      </c>
      <c r="C721" s="40" t="s">
        <v>2270</v>
      </c>
      <c r="D721" s="40">
        <v>2040</v>
      </c>
      <c r="E721" s="86">
        <f>GDPdeflator!$C$32*INDEX(AdditionalVehs!$AA$46:$AK$91,MATCH($C721,AdditionalVehs!$C$46:$C$91,0),MATCH(E$7,AdditionalVehs!$AA$45:$AK$45,0))</f>
        <v>0</v>
      </c>
      <c r="F721" s="86">
        <f>GDPdeflator!$C$36*INDEX(AdditionalVehs!$AA$46:$AK$91,MATCH($C721,AdditionalVehs!$C$46:$C$91,0),MATCH(F$7,AdditionalVehs!$AA$45:$AK$45,0))</f>
        <v>17.809604468871068</v>
      </c>
      <c r="G721" s="86">
        <f>GDPdeflator!$C$38*INDEX(AdditionalVehs!$AA$46:$AK$91,MATCH($C721,AdditionalVehs!$C$46:$C$91,0),MATCH(G$7,AdditionalVehs!$AA$45:$AK$45,0))</f>
        <v>33.090705140663985</v>
      </c>
      <c r="H721" s="86">
        <f>GDPdeflator!$C$38*INDEX(AdditionalVehs!$AA$46:$AK$91,MATCH($C721,AdditionalVehs!$C$46:$C$91,0),MATCH(H$7,AdditionalVehs!$AA$45:$AK$45,0))</f>
        <v>33.121263092702996</v>
      </c>
      <c r="I721" s="86">
        <f>GDPdeflator!$C$38*INDEX(AdditionalVehs!$AA$46:$AK$91,MATCH($C721,AdditionalVehs!$C$46:$C$91,0),MATCH(I$7,AdditionalVehs!$AA$45:$AK$45,0))</f>
        <v>33.809815753985639</v>
      </c>
      <c r="J721" s="86">
        <f>GDPdeflator!$C$38*INDEX(AdditionalVehs!$AA$46:$AK$91,MATCH($C721,AdditionalVehs!$C$46:$C$91,0),MATCH(J$7,AdditionalVehs!$AA$45:$AK$45,0))</f>
        <v>33.616655855317042</v>
      </c>
      <c r="K721" s="86">
        <f>GDPdeflator!$C$38*INDEX(AdditionalVehs!$AA$46:$AK$91,MATCH($C721,AdditionalVehs!$C$46:$C$91,0),MATCH(K$7,AdditionalVehs!$AA$45:$AK$45,0))</f>
        <v>33.575654933429838</v>
      </c>
      <c r="L721" s="86">
        <f>GDPdeflator!$C$38*INDEX(AdditionalVehs!$AA$46:$AK$91,MATCH($C721,AdditionalVehs!$C$46:$C$91,0),MATCH(L$7,AdditionalVehs!$AA$45:$AK$45,0))</f>
        <v>33.590215517228238</v>
      </c>
      <c r="M721" s="86">
        <f>GDPdeflator!$C$38*INDEX(AdditionalVehs!$AA$46:$AK$91,MATCH($C721,AdditionalVehs!$C$46:$C$91,0),MATCH(M$7,AdditionalVehs!$AA$45:$AK$45,0))</f>
        <v>33.590215517228238</v>
      </c>
      <c r="N721" s="86">
        <f>GDPdeflator!$C$38*INDEX(AdditionalVehs!$AA$46:$AK$91,MATCH($C721,AdditionalVehs!$C$46:$C$91,0),MATCH(N$7,AdditionalVehs!$AA$45:$AK$45,0))</f>
        <v>33.590215517228238</v>
      </c>
      <c r="O721" s="86">
        <f>GDPdeflator!$C$38*INDEX(AdditionalVehs!$AA$46:$AK$91,MATCH($C721,AdditionalVehs!$C$46:$C$91,0),MATCH(O$7,AdditionalVehs!$AA$45:$AK$45,0))</f>
        <v>33.590215517228238</v>
      </c>
      <c r="P721" s="87">
        <f t="shared" si="311"/>
        <v>0</v>
      </c>
      <c r="Q721" s="87">
        <f t="shared" si="310"/>
        <v>1487.0689812108833</v>
      </c>
      <c r="R721" s="87">
        <f t="shared" si="309"/>
        <v>2763.0125793689895</v>
      </c>
      <c r="S721" s="87">
        <f t="shared" si="298"/>
        <v>2765.5641117562454</v>
      </c>
      <c r="T721" s="87">
        <f t="shared" si="299"/>
        <v>2823.0569834431667</v>
      </c>
      <c r="U721" s="87">
        <f t="shared" si="300"/>
        <v>2806.9284897292287</v>
      </c>
      <c r="V721" s="87">
        <f t="shared" si="301"/>
        <v>2803.5049887050436</v>
      </c>
      <c r="W721" s="87">
        <f t="shared" si="302"/>
        <v>2804.7207704790167</v>
      </c>
      <c r="X721" s="87">
        <f t="shared" si="303"/>
        <v>2804.7207704790167</v>
      </c>
      <c r="Y721" s="87">
        <f t="shared" si="304"/>
        <v>2804.7207704790167</v>
      </c>
      <c r="Z721" s="87">
        <f t="shared" si="305"/>
        <v>2804.7207704790167</v>
      </c>
      <c r="AA721" s="40">
        <v>500</v>
      </c>
      <c r="AB721" s="89">
        <f>AA721*GDPdeflator!$C$25/$AI$18*10^3</f>
        <v>48.0747492686653</v>
      </c>
      <c r="AC721" s="90" t="e">
        <f>INDEX(AdditionalVehs!$E$46:$N$91,MATCH(C721,AdditionalVehs!$C$46:$C$91),MATCH(D721,AdditionalVehs!$E$45:$N$45))</f>
        <v>#REF!</v>
      </c>
      <c r="AD721" s="90" t="e">
        <f t="shared" si="307"/>
        <v>#REF!</v>
      </c>
      <c r="AE721" s="90" t="e">
        <f>INDEX(AdditionalVehs!$P$46:$Y$91,MATCH(C721,AdditionalVehs!$C$46:$C$91),MATCH(D721,AdditionalVehs!$AA$45:$AJ$45))</f>
        <v>#REF!</v>
      </c>
      <c r="AF721" s="90" t="e">
        <f t="shared" si="312"/>
        <v>#REF!</v>
      </c>
      <c r="AG721" s="90" t="e">
        <f>AdditionalVehs!$C$27</f>
        <v>#REF!</v>
      </c>
    </row>
    <row r="722" spans="1:33" x14ac:dyDescent="0.2">
      <c r="A722" s="92" t="s">
        <v>2283</v>
      </c>
      <c r="B722" s="248" t="s">
        <v>2284</v>
      </c>
      <c r="C722" s="40" t="s">
        <v>2270</v>
      </c>
      <c r="D722" s="40">
        <v>2045</v>
      </c>
      <c r="E722" s="86">
        <f>GDPdeflator!$C$32*INDEX(AdditionalVehs!$AA$46:$AK$91,MATCH($C722,AdditionalVehs!$C$46:$C$91,0),MATCH(E$7,AdditionalVehs!$AA$45:$AK$45,0))</f>
        <v>0</v>
      </c>
      <c r="F722" s="86">
        <f>GDPdeflator!$C$36*INDEX(AdditionalVehs!$AA$46:$AK$91,MATCH($C722,AdditionalVehs!$C$46:$C$91,0),MATCH(F$7,AdditionalVehs!$AA$45:$AK$45,0))</f>
        <v>17.809604468871068</v>
      </c>
      <c r="G722" s="86">
        <f>GDPdeflator!$C$38*INDEX(AdditionalVehs!$AA$46:$AK$91,MATCH($C722,AdditionalVehs!$C$46:$C$91,0),MATCH(G$7,AdditionalVehs!$AA$45:$AK$45,0))</f>
        <v>33.090705140663985</v>
      </c>
      <c r="H722" s="86">
        <f>GDPdeflator!$C$38*INDEX(AdditionalVehs!$AA$46:$AK$91,MATCH($C722,AdditionalVehs!$C$46:$C$91,0),MATCH(H$7,AdditionalVehs!$AA$45:$AK$45,0))</f>
        <v>33.121263092702996</v>
      </c>
      <c r="I722" s="86">
        <f>GDPdeflator!$C$38*INDEX(AdditionalVehs!$AA$46:$AK$91,MATCH($C722,AdditionalVehs!$C$46:$C$91,0),MATCH(I$7,AdditionalVehs!$AA$45:$AK$45,0))</f>
        <v>33.809815753985639</v>
      </c>
      <c r="J722" s="86">
        <f>GDPdeflator!$C$38*INDEX(AdditionalVehs!$AA$46:$AK$91,MATCH($C722,AdditionalVehs!$C$46:$C$91,0),MATCH(J$7,AdditionalVehs!$AA$45:$AK$45,0))</f>
        <v>33.616655855317042</v>
      </c>
      <c r="K722" s="86">
        <f>GDPdeflator!$C$38*INDEX(AdditionalVehs!$AA$46:$AK$91,MATCH($C722,AdditionalVehs!$C$46:$C$91,0),MATCH(K$7,AdditionalVehs!$AA$45:$AK$45,0))</f>
        <v>33.575654933429838</v>
      </c>
      <c r="L722" s="86">
        <f>GDPdeflator!$C$38*INDEX(AdditionalVehs!$AA$46:$AK$91,MATCH($C722,AdditionalVehs!$C$46:$C$91,0),MATCH(L$7,AdditionalVehs!$AA$45:$AK$45,0))</f>
        <v>33.590215517228238</v>
      </c>
      <c r="M722" s="86">
        <f>GDPdeflator!$C$38*INDEX(AdditionalVehs!$AA$46:$AK$91,MATCH($C722,AdditionalVehs!$C$46:$C$91,0),MATCH(M$7,AdditionalVehs!$AA$45:$AK$45,0))</f>
        <v>33.590215517228238</v>
      </c>
      <c r="N722" s="86">
        <f>GDPdeflator!$C$38*INDEX(AdditionalVehs!$AA$46:$AK$91,MATCH($C722,AdditionalVehs!$C$46:$C$91,0),MATCH(N$7,AdditionalVehs!$AA$45:$AK$45,0))</f>
        <v>33.590215517228238</v>
      </c>
      <c r="O722" s="86">
        <f>GDPdeflator!$C$38*INDEX(AdditionalVehs!$AA$46:$AK$91,MATCH($C722,AdditionalVehs!$C$46:$C$91,0),MATCH(O$7,AdditionalVehs!$AA$45:$AK$45,0))</f>
        <v>33.590215517228238</v>
      </c>
      <c r="P722" s="87">
        <f t="shared" si="311"/>
        <v>0</v>
      </c>
      <c r="Q722" s="87">
        <f t="shared" si="310"/>
        <v>1487.0689812108833</v>
      </c>
      <c r="R722" s="87">
        <f t="shared" si="309"/>
        <v>2763.0125793689895</v>
      </c>
      <c r="S722" s="87">
        <f t="shared" si="298"/>
        <v>2765.5641117562454</v>
      </c>
      <c r="T722" s="87">
        <f t="shared" si="299"/>
        <v>2823.0569834431667</v>
      </c>
      <c r="U722" s="87">
        <f t="shared" si="300"/>
        <v>2806.9284897292287</v>
      </c>
      <c r="V722" s="87">
        <f t="shared" si="301"/>
        <v>2803.5049887050436</v>
      </c>
      <c r="W722" s="87">
        <f t="shared" si="302"/>
        <v>2804.7207704790167</v>
      </c>
      <c r="X722" s="87">
        <f t="shared" si="303"/>
        <v>2804.7207704790167</v>
      </c>
      <c r="Y722" s="87">
        <f t="shared" si="304"/>
        <v>2804.7207704790167</v>
      </c>
      <c r="Z722" s="87">
        <f t="shared" si="305"/>
        <v>2804.7207704790167</v>
      </c>
      <c r="AA722" s="40">
        <v>500</v>
      </c>
      <c r="AB722" s="89">
        <f>AA722*GDPdeflator!$C$25/$AI$18*10^3</f>
        <v>48.0747492686653</v>
      </c>
      <c r="AC722" s="90" t="e">
        <f>INDEX(AdditionalVehs!$E$46:$N$91,MATCH(C722,AdditionalVehs!$C$46:$C$91),MATCH(D722,AdditionalVehs!$E$45:$N$45))</f>
        <v>#REF!</v>
      </c>
      <c r="AD722" s="90" t="e">
        <f t="shared" si="307"/>
        <v>#REF!</v>
      </c>
      <c r="AE722" s="90" t="e">
        <f>INDEX(AdditionalVehs!$P$46:$Y$91,MATCH(C722,AdditionalVehs!$C$46:$C$91),MATCH(D722,AdditionalVehs!$AA$45:$AJ$45))</f>
        <v>#REF!</v>
      </c>
      <c r="AF722" s="90" t="e">
        <f t="shared" si="312"/>
        <v>#REF!</v>
      </c>
      <c r="AG722" s="90" t="e">
        <f>AdditionalVehs!$C$27</f>
        <v>#REF!</v>
      </c>
    </row>
    <row r="723" spans="1:33" x14ac:dyDescent="0.2">
      <c r="A723" s="92" t="s">
        <v>2285</v>
      </c>
      <c r="B723" s="248" t="s">
        <v>2286</v>
      </c>
      <c r="C723" s="40" t="s">
        <v>2270</v>
      </c>
      <c r="D723" s="40">
        <v>2050</v>
      </c>
      <c r="E723" s="86">
        <f>GDPdeflator!$C$32*INDEX(AdditionalVehs!$AA$46:$AK$91,MATCH($C723,AdditionalVehs!$C$46:$C$91,0),MATCH(E$7,AdditionalVehs!$AA$45:$AK$45,0))</f>
        <v>0</v>
      </c>
      <c r="F723" s="86">
        <f>GDPdeflator!$C$36*INDEX(AdditionalVehs!$AA$46:$AK$91,MATCH($C723,AdditionalVehs!$C$46:$C$91,0),MATCH(F$7,AdditionalVehs!$AA$45:$AK$45,0))</f>
        <v>17.809604468871068</v>
      </c>
      <c r="G723" s="86">
        <f>GDPdeflator!$C$38*INDEX(AdditionalVehs!$AA$46:$AK$91,MATCH($C723,AdditionalVehs!$C$46:$C$91,0),MATCH(G$7,AdditionalVehs!$AA$45:$AK$45,0))</f>
        <v>33.090705140663985</v>
      </c>
      <c r="H723" s="86">
        <f>GDPdeflator!$C$38*INDEX(AdditionalVehs!$AA$46:$AK$91,MATCH($C723,AdditionalVehs!$C$46:$C$91,0),MATCH(H$7,AdditionalVehs!$AA$45:$AK$45,0))</f>
        <v>33.121263092702996</v>
      </c>
      <c r="I723" s="86">
        <f>GDPdeflator!$C$38*INDEX(AdditionalVehs!$AA$46:$AK$91,MATCH($C723,AdditionalVehs!$C$46:$C$91,0),MATCH(I$7,AdditionalVehs!$AA$45:$AK$45,0))</f>
        <v>33.809815753985639</v>
      </c>
      <c r="J723" s="86">
        <f>GDPdeflator!$C$38*INDEX(AdditionalVehs!$AA$46:$AK$91,MATCH($C723,AdditionalVehs!$C$46:$C$91,0),MATCH(J$7,AdditionalVehs!$AA$45:$AK$45,0))</f>
        <v>33.616655855317042</v>
      </c>
      <c r="K723" s="86">
        <f>GDPdeflator!$C$38*INDEX(AdditionalVehs!$AA$46:$AK$91,MATCH($C723,AdditionalVehs!$C$46:$C$91,0),MATCH(K$7,AdditionalVehs!$AA$45:$AK$45,0))</f>
        <v>33.575654933429838</v>
      </c>
      <c r="L723" s="86">
        <f>GDPdeflator!$C$38*INDEX(AdditionalVehs!$AA$46:$AK$91,MATCH($C723,AdditionalVehs!$C$46:$C$91,0),MATCH(L$7,AdditionalVehs!$AA$45:$AK$45,0))</f>
        <v>33.590215517228238</v>
      </c>
      <c r="M723" s="86">
        <f>GDPdeflator!$C$38*INDEX(AdditionalVehs!$AA$46:$AK$91,MATCH($C723,AdditionalVehs!$C$46:$C$91,0),MATCH(M$7,AdditionalVehs!$AA$45:$AK$45,0))</f>
        <v>33.590215517228238</v>
      </c>
      <c r="N723" s="86">
        <f>GDPdeflator!$C$38*INDEX(AdditionalVehs!$AA$46:$AK$91,MATCH($C723,AdditionalVehs!$C$46:$C$91,0),MATCH(N$7,AdditionalVehs!$AA$45:$AK$45,0))</f>
        <v>33.590215517228238</v>
      </c>
      <c r="O723" s="86">
        <f>GDPdeflator!$C$38*INDEX(AdditionalVehs!$AA$46:$AK$91,MATCH($C723,AdditionalVehs!$C$46:$C$91,0),MATCH(O$7,AdditionalVehs!$AA$45:$AK$45,0))</f>
        <v>33.590215517228238</v>
      </c>
      <c r="P723" s="87">
        <f t="shared" si="311"/>
        <v>0</v>
      </c>
      <c r="Q723" s="87">
        <f t="shared" si="310"/>
        <v>1487.0689812108833</v>
      </c>
      <c r="R723" s="87">
        <f t="shared" si="309"/>
        <v>2763.0125793689895</v>
      </c>
      <c r="S723" s="87">
        <f t="shared" si="298"/>
        <v>2765.5641117562454</v>
      </c>
      <c r="T723" s="87">
        <f t="shared" si="299"/>
        <v>2823.0569834431667</v>
      </c>
      <c r="U723" s="87">
        <f t="shared" si="300"/>
        <v>2806.9284897292287</v>
      </c>
      <c r="V723" s="87">
        <f t="shared" si="301"/>
        <v>2803.5049887050436</v>
      </c>
      <c r="W723" s="87">
        <f t="shared" si="302"/>
        <v>2804.7207704790167</v>
      </c>
      <c r="X723" s="87">
        <f t="shared" si="303"/>
        <v>2804.7207704790167</v>
      </c>
      <c r="Y723" s="87">
        <f t="shared" si="304"/>
        <v>2804.7207704790167</v>
      </c>
      <c r="Z723" s="87">
        <f t="shared" si="305"/>
        <v>2804.7207704790167</v>
      </c>
      <c r="AA723" s="40">
        <v>500</v>
      </c>
      <c r="AB723" s="89">
        <f>AA723*GDPdeflator!$C$25/$AI$18*10^3</f>
        <v>48.0747492686653</v>
      </c>
      <c r="AC723" s="90" t="e">
        <f>INDEX(AdditionalVehs!$E$46:$N$91,MATCH(C723,AdditionalVehs!$C$46:$C$91),MATCH(D723,AdditionalVehs!$E$45:$N$45))</f>
        <v>#REF!</v>
      </c>
      <c r="AD723" s="90" t="e">
        <f t="shared" si="307"/>
        <v>#REF!</v>
      </c>
      <c r="AE723" s="90" t="e">
        <f>INDEX(AdditionalVehs!$P$46:$Y$91,MATCH(C723,AdditionalVehs!$C$46:$C$91),MATCH(D723,AdditionalVehs!$AA$45:$AJ$45))</f>
        <v>#REF!</v>
      </c>
      <c r="AF723" s="90" t="e">
        <f t="shared" si="312"/>
        <v>#REF!</v>
      </c>
      <c r="AG723" s="90" t="e">
        <f>AdditionalVehs!$C$27</f>
        <v>#REF!</v>
      </c>
    </row>
    <row r="724" spans="1:33" x14ac:dyDescent="0.2">
      <c r="A724" s="92" t="s">
        <v>2287</v>
      </c>
      <c r="B724" s="248" t="s">
        <v>2288</v>
      </c>
      <c r="C724" s="40" t="s">
        <v>2289</v>
      </c>
      <c r="D724" s="40">
        <v>2010</v>
      </c>
      <c r="E724" s="86">
        <f>GDPdeflator!$C$32*INDEX(AdditionalVehs!$AA$46:$AK$91,MATCH($C724,AdditionalVehs!$C$46:$C$91,0),MATCH(E$7,AdditionalVehs!$AA$45:$AK$45,0))</f>
        <v>0</v>
      </c>
      <c r="F724" s="86">
        <f>GDPdeflator!$C$36*INDEX(AdditionalVehs!$AA$46:$AK$91,MATCH($C724,AdditionalVehs!$C$46:$C$91,0),MATCH(F$7,AdditionalVehs!$AA$45:$AK$45,0))</f>
        <v>19.66377151094693</v>
      </c>
      <c r="G724" s="86">
        <f>GDPdeflator!$C$38*INDEX(AdditionalVehs!$AA$46:$AK$91,MATCH($C724,AdditionalVehs!$C$46:$C$91,0),MATCH(G$7,AdditionalVehs!$AA$45:$AK$45,0))</f>
        <v>20.374935044284872</v>
      </c>
      <c r="H724" s="86">
        <f>GDPdeflator!$C$38*INDEX(AdditionalVehs!$AA$46:$AK$91,MATCH($C724,AdditionalVehs!$C$46:$C$91,0),MATCH(H$7,AdditionalVehs!$AA$45:$AK$45,0))</f>
        <v>30.784631067408245</v>
      </c>
      <c r="I724" s="86">
        <f>GDPdeflator!$C$38*INDEX(AdditionalVehs!$AA$46:$AK$91,MATCH($C724,AdditionalVehs!$C$46:$C$91,0),MATCH(I$7,AdditionalVehs!$AA$45:$AK$45,0))</f>
        <v>31.426470712557851</v>
      </c>
      <c r="J724" s="86">
        <f>GDPdeflator!$C$38*INDEX(AdditionalVehs!$AA$46:$AK$91,MATCH($C724,AdditionalVehs!$C$46:$C$91,0),MATCH(J$7,AdditionalVehs!$AA$45:$AK$45,0))</f>
        <v>31.268371858631262</v>
      </c>
      <c r="K724" s="86">
        <f>GDPdeflator!$C$38*INDEX(AdditionalVehs!$AA$46:$AK$91,MATCH($C724,AdditionalVehs!$C$46:$C$91,0),MATCH(K$7,AdditionalVehs!$AA$45:$AK$45,0))</f>
        <v>31.239075473419554</v>
      </c>
      <c r="L724" s="86">
        <f>GDPdeflator!$C$38*INDEX(AdditionalVehs!$AA$46:$AK$91,MATCH($C724,AdditionalVehs!$C$46:$C$91,0),MATCH(L$7,AdditionalVehs!$AA$45:$AK$45,0))</f>
        <v>31.244892698234324</v>
      </c>
      <c r="M724" s="86">
        <f>GDPdeflator!$C$38*INDEX(AdditionalVehs!$AA$46:$AK$91,MATCH($C724,AdditionalVehs!$C$46:$C$91,0),MATCH(M$7,AdditionalVehs!$AA$45:$AK$45,0))</f>
        <v>31.244892698234324</v>
      </c>
      <c r="N724" s="86">
        <f>GDPdeflator!$C$38*INDEX(AdditionalVehs!$AA$46:$AK$91,MATCH($C724,AdditionalVehs!$C$46:$C$91,0),MATCH(N$7,AdditionalVehs!$AA$45:$AK$45,0))</f>
        <v>31.244892698234324</v>
      </c>
      <c r="O724" s="86">
        <f>GDPdeflator!$C$38*INDEX(AdditionalVehs!$AA$46:$AK$91,MATCH($C724,AdditionalVehs!$C$46:$C$91,0),MATCH(O$7,AdditionalVehs!$AA$45:$AK$45,0))</f>
        <v>31.244892698234324</v>
      </c>
      <c r="P724" s="87">
        <f>E724/$AI$18*10^6</f>
        <v>0</v>
      </c>
      <c r="Q724" s="87">
        <f t="shared" si="310"/>
        <v>1641.8884944164638</v>
      </c>
      <c r="R724" s="87">
        <f t="shared" si="309"/>
        <v>1701.2693320338094</v>
      </c>
      <c r="S724" s="87">
        <f t="shared" si="298"/>
        <v>2570.459666208722</v>
      </c>
      <c r="T724" s="87">
        <f t="shared" si="299"/>
        <v>2624.0520875834727</v>
      </c>
      <c r="U724" s="87">
        <f t="shared" si="300"/>
        <v>2610.8511261556005</v>
      </c>
      <c r="V724" s="87">
        <f t="shared" si="301"/>
        <v>2608.4049322613969</v>
      </c>
      <c r="W724" s="87">
        <f t="shared" si="302"/>
        <v>2608.8906597571363</v>
      </c>
      <c r="X724" s="87">
        <f t="shared" si="303"/>
        <v>2608.8906597571363</v>
      </c>
      <c r="Y724" s="87">
        <f t="shared" si="304"/>
        <v>2608.8906597571363</v>
      </c>
      <c r="Z724" s="87">
        <f t="shared" si="305"/>
        <v>2608.8906597571363</v>
      </c>
      <c r="AA724" s="40">
        <v>473</v>
      </c>
      <c r="AB724" s="89">
        <f>AA724*GDPdeflator!$C$25/$AI$18*10^3</f>
        <v>45.478712808157368</v>
      </c>
      <c r="AC724" s="90" t="e">
        <f>INDEX(AdditionalVehs!$E$46:$N$91,MATCH(C724,AdditionalVehs!$C$46:$C$91),MATCH(D724,AdditionalVehs!$E$45:$N$45))</f>
        <v>#REF!</v>
      </c>
      <c r="AD724" s="90" t="e">
        <f t="shared" si="307"/>
        <v>#REF!</v>
      </c>
      <c r="AE724" s="90" t="e">
        <f>INDEX(AdditionalVehs!$P$46:$Y$91,MATCH(C724,AdditionalVehs!$C$46:$C$91),MATCH(D724,AdditionalVehs!$AA$45:$AJ$45))</f>
        <v>#REF!</v>
      </c>
      <c r="AF724" s="90" t="e">
        <f t="shared" si="312"/>
        <v>#REF!</v>
      </c>
      <c r="AG724" s="90" t="e">
        <f>AdditionalVehs!$C$27</f>
        <v>#REF!</v>
      </c>
    </row>
    <row r="725" spans="1:33" x14ac:dyDescent="0.2">
      <c r="A725" s="92" t="s">
        <v>2290</v>
      </c>
      <c r="B725" s="248" t="s">
        <v>2291</v>
      </c>
      <c r="C725" s="40" t="s">
        <v>2289</v>
      </c>
      <c r="D725" s="40">
        <v>2015</v>
      </c>
      <c r="E725" s="86">
        <f>GDPdeflator!$C$32*INDEX(AdditionalVehs!$AA$46:$AK$91,MATCH($C725,AdditionalVehs!$C$46:$C$91,0),MATCH(E$7,AdditionalVehs!$AA$45:$AK$45,0))</f>
        <v>0</v>
      </c>
      <c r="F725" s="86">
        <f>GDPdeflator!$C$36*INDEX(AdditionalVehs!$AA$46:$AK$91,MATCH($C725,AdditionalVehs!$C$46:$C$91,0),MATCH(F$7,AdditionalVehs!$AA$45:$AK$45,0))</f>
        <v>19.66377151094693</v>
      </c>
      <c r="G725" s="86">
        <f>GDPdeflator!$C$38*INDEX(AdditionalVehs!$AA$46:$AK$91,MATCH($C725,AdditionalVehs!$C$46:$C$91,0),MATCH(G$7,AdditionalVehs!$AA$45:$AK$45,0))</f>
        <v>20.374935044284872</v>
      </c>
      <c r="H725" s="86">
        <f>GDPdeflator!$C$38*INDEX(AdditionalVehs!$AA$46:$AK$91,MATCH($C725,AdditionalVehs!$C$46:$C$91,0),MATCH(H$7,AdditionalVehs!$AA$45:$AK$45,0))</f>
        <v>30.784631067408245</v>
      </c>
      <c r="I725" s="86">
        <f>GDPdeflator!$C$38*INDEX(AdditionalVehs!$AA$46:$AK$91,MATCH($C725,AdditionalVehs!$C$46:$C$91,0),MATCH(I$7,AdditionalVehs!$AA$45:$AK$45,0))</f>
        <v>31.426470712557851</v>
      </c>
      <c r="J725" s="86">
        <f>GDPdeflator!$C$38*INDEX(AdditionalVehs!$AA$46:$AK$91,MATCH($C725,AdditionalVehs!$C$46:$C$91,0),MATCH(J$7,AdditionalVehs!$AA$45:$AK$45,0))</f>
        <v>31.268371858631262</v>
      </c>
      <c r="K725" s="86">
        <f>GDPdeflator!$C$38*INDEX(AdditionalVehs!$AA$46:$AK$91,MATCH($C725,AdditionalVehs!$C$46:$C$91,0),MATCH(K$7,AdditionalVehs!$AA$45:$AK$45,0))</f>
        <v>31.239075473419554</v>
      </c>
      <c r="L725" s="86">
        <f>GDPdeflator!$C$38*INDEX(AdditionalVehs!$AA$46:$AK$91,MATCH($C725,AdditionalVehs!$C$46:$C$91,0),MATCH(L$7,AdditionalVehs!$AA$45:$AK$45,0))</f>
        <v>31.244892698234324</v>
      </c>
      <c r="M725" s="86">
        <f>GDPdeflator!$C$38*INDEX(AdditionalVehs!$AA$46:$AK$91,MATCH($C725,AdditionalVehs!$C$46:$C$91,0),MATCH(M$7,AdditionalVehs!$AA$45:$AK$45,0))</f>
        <v>31.244892698234324</v>
      </c>
      <c r="N725" s="86">
        <f>GDPdeflator!$C$38*INDEX(AdditionalVehs!$AA$46:$AK$91,MATCH($C725,AdditionalVehs!$C$46:$C$91,0),MATCH(N$7,AdditionalVehs!$AA$45:$AK$45,0))</f>
        <v>31.244892698234324</v>
      </c>
      <c r="O725" s="86">
        <f>GDPdeflator!$C$38*INDEX(AdditionalVehs!$AA$46:$AK$91,MATCH($C725,AdditionalVehs!$C$46:$C$91,0),MATCH(O$7,AdditionalVehs!$AA$45:$AK$45,0))</f>
        <v>31.244892698234324</v>
      </c>
      <c r="P725" s="87">
        <f t="shared" ref="P725:P732" si="313">E725/$AI$18*10^6</f>
        <v>0</v>
      </c>
      <c r="Q725" s="87">
        <f t="shared" si="310"/>
        <v>1641.8884944164638</v>
      </c>
      <c r="R725" s="87">
        <f t="shared" si="309"/>
        <v>1701.2693320338094</v>
      </c>
      <c r="S725" s="87">
        <f t="shared" si="298"/>
        <v>2570.459666208722</v>
      </c>
      <c r="T725" s="87">
        <f t="shared" si="299"/>
        <v>2624.0520875834727</v>
      </c>
      <c r="U725" s="87">
        <f t="shared" si="300"/>
        <v>2610.8511261556005</v>
      </c>
      <c r="V725" s="87">
        <f t="shared" si="301"/>
        <v>2608.4049322613969</v>
      </c>
      <c r="W725" s="87">
        <f t="shared" si="302"/>
        <v>2608.8906597571363</v>
      </c>
      <c r="X725" s="87">
        <f t="shared" si="303"/>
        <v>2608.8906597571363</v>
      </c>
      <c r="Y725" s="87">
        <f t="shared" si="304"/>
        <v>2608.8906597571363</v>
      </c>
      <c r="Z725" s="87">
        <f t="shared" si="305"/>
        <v>2608.8906597571363</v>
      </c>
      <c r="AA725" s="40">
        <v>473</v>
      </c>
      <c r="AB725" s="89">
        <f>AA725*GDPdeflator!$C$25/$AI$18*10^3</f>
        <v>45.478712808157368</v>
      </c>
      <c r="AC725" s="90" t="e">
        <f>INDEX(AdditionalVehs!$E$46:$N$91,MATCH(C725,AdditionalVehs!$C$46:$C$91),MATCH(D725,AdditionalVehs!$E$45:$N$45))</f>
        <v>#REF!</v>
      </c>
      <c r="AD725" s="90" t="e">
        <f t="shared" si="307"/>
        <v>#REF!</v>
      </c>
      <c r="AE725" s="90" t="e">
        <f>INDEX(AdditionalVehs!$P$46:$Y$91,MATCH(C725,AdditionalVehs!$C$46:$C$91),MATCH(D725,AdditionalVehs!$AA$45:$AJ$45))</f>
        <v>#REF!</v>
      </c>
      <c r="AF725" s="90" t="e">
        <f t="shared" si="312"/>
        <v>#REF!</v>
      </c>
      <c r="AG725" s="90" t="e">
        <f>AdditionalVehs!$C$27</f>
        <v>#REF!</v>
      </c>
    </row>
    <row r="726" spans="1:33" x14ac:dyDescent="0.2">
      <c r="A726" s="92" t="s">
        <v>2292</v>
      </c>
      <c r="B726" s="248" t="s">
        <v>2293</v>
      </c>
      <c r="C726" s="40" t="s">
        <v>2289</v>
      </c>
      <c r="D726" s="40">
        <v>2020</v>
      </c>
      <c r="E726" s="86">
        <f>GDPdeflator!$C$32*INDEX(AdditionalVehs!$AA$46:$AK$91,MATCH($C726,AdditionalVehs!$C$46:$C$91,0),MATCH(E$7,AdditionalVehs!$AA$45:$AK$45,0))</f>
        <v>0</v>
      </c>
      <c r="F726" s="86">
        <f>GDPdeflator!$C$36*INDEX(AdditionalVehs!$AA$46:$AK$91,MATCH($C726,AdditionalVehs!$C$46:$C$91,0),MATCH(F$7,AdditionalVehs!$AA$45:$AK$45,0))</f>
        <v>19.66377151094693</v>
      </c>
      <c r="G726" s="86">
        <f>GDPdeflator!$C$38*INDEX(AdditionalVehs!$AA$46:$AK$91,MATCH($C726,AdditionalVehs!$C$46:$C$91,0),MATCH(G$7,AdditionalVehs!$AA$45:$AK$45,0))</f>
        <v>20.374935044284872</v>
      </c>
      <c r="H726" s="86">
        <f>GDPdeflator!$C$38*INDEX(AdditionalVehs!$AA$46:$AK$91,MATCH($C726,AdditionalVehs!$C$46:$C$91,0),MATCH(H$7,AdditionalVehs!$AA$45:$AK$45,0))</f>
        <v>30.784631067408245</v>
      </c>
      <c r="I726" s="86">
        <f>GDPdeflator!$C$38*INDEX(AdditionalVehs!$AA$46:$AK$91,MATCH($C726,AdditionalVehs!$C$46:$C$91,0),MATCH(I$7,AdditionalVehs!$AA$45:$AK$45,0))</f>
        <v>31.426470712557851</v>
      </c>
      <c r="J726" s="86">
        <f>GDPdeflator!$C$38*INDEX(AdditionalVehs!$AA$46:$AK$91,MATCH($C726,AdditionalVehs!$C$46:$C$91,0),MATCH(J$7,AdditionalVehs!$AA$45:$AK$45,0))</f>
        <v>31.268371858631262</v>
      </c>
      <c r="K726" s="86">
        <f>GDPdeflator!$C$38*INDEX(AdditionalVehs!$AA$46:$AK$91,MATCH($C726,AdditionalVehs!$C$46:$C$91,0),MATCH(K$7,AdditionalVehs!$AA$45:$AK$45,0))</f>
        <v>31.239075473419554</v>
      </c>
      <c r="L726" s="86">
        <f>GDPdeflator!$C$38*INDEX(AdditionalVehs!$AA$46:$AK$91,MATCH($C726,AdditionalVehs!$C$46:$C$91,0),MATCH(L$7,AdditionalVehs!$AA$45:$AK$45,0))</f>
        <v>31.244892698234324</v>
      </c>
      <c r="M726" s="86">
        <f>GDPdeflator!$C$38*INDEX(AdditionalVehs!$AA$46:$AK$91,MATCH($C726,AdditionalVehs!$C$46:$C$91,0),MATCH(M$7,AdditionalVehs!$AA$45:$AK$45,0))</f>
        <v>31.244892698234324</v>
      </c>
      <c r="N726" s="86">
        <f>GDPdeflator!$C$38*INDEX(AdditionalVehs!$AA$46:$AK$91,MATCH($C726,AdditionalVehs!$C$46:$C$91,0),MATCH(N$7,AdditionalVehs!$AA$45:$AK$45,0))</f>
        <v>31.244892698234324</v>
      </c>
      <c r="O726" s="86">
        <f>GDPdeflator!$C$38*INDEX(AdditionalVehs!$AA$46:$AK$91,MATCH($C726,AdditionalVehs!$C$46:$C$91,0),MATCH(O$7,AdditionalVehs!$AA$45:$AK$45,0))</f>
        <v>31.244892698234324</v>
      </c>
      <c r="P726" s="87">
        <f t="shared" si="313"/>
        <v>0</v>
      </c>
      <c r="Q726" s="87">
        <f t="shared" si="310"/>
        <v>1641.8884944164638</v>
      </c>
      <c r="R726" s="87">
        <f t="shared" si="309"/>
        <v>1701.2693320338094</v>
      </c>
      <c r="S726" s="87">
        <f t="shared" si="298"/>
        <v>2570.459666208722</v>
      </c>
      <c r="T726" s="87">
        <f t="shared" si="299"/>
        <v>2624.0520875834727</v>
      </c>
      <c r="U726" s="87">
        <f t="shared" si="300"/>
        <v>2610.8511261556005</v>
      </c>
      <c r="V726" s="87">
        <f t="shared" si="301"/>
        <v>2608.4049322613969</v>
      </c>
      <c r="W726" s="87">
        <f t="shared" si="302"/>
        <v>2608.8906597571363</v>
      </c>
      <c r="X726" s="87">
        <f t="shared" si="303"/>
        <v>2608.8906597571363</v>
      </c>
      <c r="Y726" s="87">
        <f t="shared" si="304"/>
        <v>2608.8906597571363</v>
      </c>
      <c r="Z726" s="87">
        <f t="shared" si="305"/>
        <v>2608.8906597571363</v>
      </c>
      <c r="AA726" s="40">
        <v>473</v>
      </c>
      <c r="AB726" s="89">
        <f>AA726*GDPdeflator!$C$25/$AI$18*10^3</f>
        <v>45.478712808157368</v>
      </c>
      <c r="AC726" s="90" t="e">
        <f>INDEX(AdditionalVehs!$E$46:$N$91,MATCH(C726,AdditionalVehs!$C$46:$C$91),MATCH(D726,AdditionalVehs!$E$45:$N$45))</f>
        <v>#REF!</v>
      </c>
      <c r="AD726" s="90" t="e">
        <f t="shared" si="307"/>
        <v>#REF!</v>
      </c>
      <c r="AE726" s="90" t="e">
        <f>INDEX(AdditionalVehs!$P$46:$Y$91,MATCH(C726,AdditionalVehs!$C$46:$C$91),MATCH(D726,AdditionalVehs!$AA$45:$AJ$45))</f>
        <v>#REF!</v>
      </c>
      <c r="AF726" s="90" t="e">
        <f t="shared" si="312"/>
        <v>#REF!</v>
      </c>
      <c r="AG726" s="90" t="e">
        <f>AdditionalVehs!$C$27</f>
        <v>#REF!</v>
      </c>
    </row>
    <row r="727" spans="1:33" x14ac:dyDescent="0.2">
      <c r="A727" s="92" t="s">
        <v>2294</v>
      </c>
      <c r="B727" s="248" t="s">
        <v>2295</v>
      </c>
      <c r="C727" s="40" t="s">
        <v>2289</v>
      </c>
      <c r="D727" s="40">
        <v>2025</v>
      </c>
      <c r="E727" s="86">
        <f>GDPdeflator!$C$32*INDEX(AdditionalVehs!$AA$46:$AK$91,MATCH($C727,AdditionalVehs!$C$46:$C$91,0),MATCH(E$7,AdditionalVehs!$AA$45:$AK$45,0))</f>
        <v>0</v>
      </c>
      <c r="F727" s="86">
        <f>GDPdeflator!$C$36*INDEX(AdditionalVehs!$AA$46:$AK$91,MATCH($C727,AdditionalVehs!$C$46:$C$91,0),MATCH(F$7,AdditionalVehs!$AA$45:$AK$45,0))</f>
        <v>19.66377151094693</v>
      </c>
      <c r="G727" s="86">
        <f>GDPdeflator!$C$38*INDEX(AdditionalVehs!$AA$46:$AK$91,MATCH($C727,AdditionalVehs!$C$46:$C$91,0),MATCH(G$7,AdditionalVehs!$AA$45:$AK$45,0))</f>
        <v>20.374935044284872</v>
      </c>
      <c r="H727" s="86">
        <f>GDPdeflator!$C$38*INDEX(AdditionalVehs!$AA$46:$AK$91,MATCH($C727,AdditionalVehs!$C$46:$C$91,0),MATCH(H$7,AdditionalVehs!$AA$45:$AK$45,0))</f>
        <v>30.784631067408245</v>
      </c>
      <c r="I727" s="86">
        <f>GDPdeflator!$C$38*INDEX(AdditionalVehs!$AA$46:$AK$91,MATCH($C727,AdditionalVehs!$C$46:$C$91,0),MATCH(I$7,AdditionalVehs!$AA$45:$AK$45,0))</f>
        <v>31.426470712557851</v>
      </c>
      <c r="J727" s="86">
        <f>GDPdeflator!$C$38*INDEX(AdditionalVehs!$AA$46:$AK$91,MATCH($C727,AdditionalVehs!$C$46:$C$91,0),MATCH(J$7,AdditionalVehs!$AA$45:$AK$45,0))</f>
        <v>31.268371858631262</v>
      </c>
      <c r="K727" s="86">
        <f>GDPdeflator!$C$38*INDEX(AdditionalVehs!$AA$46:$AK$91,MATCH($C727,AdditionalVehs!$C$46:$C$91,0),MATCH(K$7,AdditionalVehs!$AA$45:$AK$45,0))</f>
        <v>31.239075473419554</v>
      </c>
      <c r="L727" s="86">
        <f>GDPdeflator!$C$38*INDEX(AdditionalVehs!$AA$46:$AK$91,MATCH($C727,AdditionalVehs!$C$46:$C$91,0),MATCH(L$7,AdditionalVehs!$AA$45:$AK$45,0))</f>
        <v>31.244892698234324</v>
      </c>
      <c r="M727" s="86">
        <f>GDPdeflator!$C$38*INDEX(AdditionalVehs!$AA$46:$AK$91,MATCH($C727,AdditionalVehs!$C$46:$C$91,0),MATCH(M$7,AdditionalVehs!$AA$45:$AK$45,0))</f>
        <v>31.244892698234324</v>
      </c>
      <c r="N727" s="86">
        <f>GDPdeflator!$C$38*INDEX(AdditionalVehs!$AA$46:$AK$91,MATCH($C727,AdditionalVehs!$C$46:$C$91,0),MATCH(N$7,AdditionalVehs!$AA$45:$AK$45,0))</f>
        <v>31.244892698234324</v>
      </c>
      <c r="O727" s="86">
        <f>GDPdeflator!$C$38*INDEX(AdditionalVehs!$AA$46:$AK$91,MATCH($C727,AdditionalVehs!$C$46:$C$91,0),MATCH(O$7,AdditionalVehs!$AA$45:$AK$45,0))</f>
        <v>31.244892698234324</v>
      </c>
      <c r="P727" s="87">
        <f t="shared" si="313"/>
        <v>0</v>
      </c>
      <c r="Q727" s="87">
        <f t="shared" si="310"/>
        <v>1641.8884944164638</v>
      </c>
      <c r="R727" s="87">
        <f t="shared" si="309"/>
        <v>1701.2693320338094</v>
      </c>
      <c r="S727" s="87">
        <f t="shared" si="298"/>
        <v>2570.459666208722</v>
      </c>
      <c r="T727" s="87">
        <f t="shared" si="299"/>
        <v>2624.0520875834727</v>
      </c>
      <c r="U727" s="87">
        <f t="shared" si="300"/>
        <v>2610.8511261556005</v>
      </c>
      <c r="V727" s="87">
        <f t="shared" si="301"/>
        <v>2608.4049322613969</v>
      </c>
      <c r="W727" s="87">
        <f t="shared" si="302"/>
        <v>2608.8906597571363</v>
      </c>
      <c r="X727" s="87">
        <f t="shared" si="303"/>
        <v>2608.8906597571363</v>
      </c>
      <c r="Y727" s="87">
        <f t="shared" si="304"/>
        <v>2608.8906597571363</v>
      </c>
      <c r="Z727" s="87">
        <f t="shared" si="305"/>
        <v>2608.8906597571363</v>
      </c>
      <c r="AA727" s="40">
        <v>473</v>
      </c>
      <c r="AB727" s="89">
        <f>AA727*GDPdeflator!$C$25/$AI$18*10^3</f>
        <v>45.478712808157368</v>
      </c>
      <c r="AC727" s="90" t="e">
        <f>INDEX(AdditionalVehs!$E$46:$N$91,MATCH(C727,AdditionalVehs!$C$46:$C$91),MATCH(D727,AdditionalVehs!$E$45:$N$45))</f>
        <v>#REF!</v>
      </c>
      <c r="AD727" s="90" t="e">
        <f t="shared" si="307"/>
        <v>#REF!</v>
      </c>
      <c r="AE727" s="90" t="e">
        <f>INDEX(AdditionalVehs!$P$46:$Y$91,MATCH(C727,AdditionalVehs!$C$46:$C$91),MATCH(D727,AdditionalVehs!$AA$45:$AJ$45))</f>
        <v>#REF!</v>
      </c>
      <c r="AF727" s="90" t="e">
        <f t="shared" si="312"/>
        <v>#REF!</v>
      </c>
      <c r="AG727" s="90" t="e">
        <f>AdditionalVehs!$C$27</f>
        <v>#REF!</v>
      </c>
    </row>
    <row r="728" spans="1:33" x14ac:dyDescent="0.2">
      <c r="A728" s="92" t="s">
        <v>2296</v>
      </c>
      <c r="B728" s="248" t="s">
        <v>2297</v>
      </c>
      <c r="C728" s="40" t="s">
        <v>2289</v>
      </c>
      <c r="D728" s="40">
        <v>2030</v>
      </c>
      <c r="E728" s="86">
        <f>GDPdeflator!$C$32*INDEX(AdditionalVehs!$AA$46:$AK$91,MATCH($C728,AdditionalVehs!$C$46:$C$91,0),MATCH(E$7,AdditionalVehs!$AA$45:$AK$45,0))</f>
        <v>0</v>
      </c>
      <c r="F728" s="86">
        <f>GDPdeflator!$C$36*INDEX(AdditionalVehs!$AA$46:$AK$91,MATCH($C728,AdditionalVehs!$C$46:$C$91,0),MATCH(F$7,AdditionalVehs!$AA$45:$AK$45,0))</f>
        <v>19.66377151094693</v>
      </c>
      <c r="G728" s="86">
        <f>GDPdeflator!$C$38*INDEX(AdditionalVehs!$AA$46:$AK$91,MATCH($C728,AdditionalVehs!$C$46:$C$91,0),MATCH(G$7,AdditionalVehs!$AA$45:$AK$45,0))</f>
        <v>20.374935044284872</v>
      </c>
      <c r="H728" s="86">
        <f>GDPdeflator!$C$38*INDEX(AdditionalVehs!$AA$46:$AK$91,MATCH($C728,AdditionalVehs!$C$46:$C$91,0),MATCH(H$7,AdditionalVehs!$AA$45:$AK$45,0))</f>
        <v>30.784631067408245</v>
      </c>
      <c r="I728" s="86">
        <f>GDPdeflator!$C$38*INDEX(AdditionalVehs!$AA$46:$AK$91,MATCH($C728,AdditionalVehs!$C$46:$C$91,0),MATCH(I$7,AdditionalVehs!$AA$45:$AK$45,0))</f>
        <v>31.426470712557851</v>
      </c>
      <c r="J728" s="86">
        <f>GDPdeflator!$C$38*INDEX(AdditionalVehs!$AA$46:$AK$91,MATCH($C728,AdditionalVehs!$C$46:$C$91,0),MATCH(J$7,AdditionalVehs!$AA$45:$AK$45,0))</f>
        <v>31.268371858631262</v>
      </c>
      <c r="K728" s="86">
        <f>GDPdeflator!$C$38*INDEX(AdditionalVehs!$AA$46:$AK$91,MATCH($C728,AdditionalVehs!$C$46:$C$91,0),MATCH(K$7,AdditionalVehs!$AA$45:$AK$45,0))</f>
        <v>31.239075473419554</v>
      </c>
      <c r="L728" s="86">
        <f>GDPdeflator!$C$38*INDEX(AdditionalVehs!$AA$46:$AK$91,MATCH($C728,AdditionalVehs!$C$46:$C$91,0),MATCH(L$7,AdditionalVehs!$AA$45:$AK$45,0))</f>
        <v>31.244892698234324</v>
      </c>
      <c r="M728" s="86">
        <f>GDPdeflator!$C$38*INDEX(AdditionalVehs!$AA$46:$AK$91,MATCH($C728,AdditionalVehs!$C$46:$C$91,0),MATCH(M$7,AdditionalVehs!$AA$45:$AK$45,0))</f>
        <v>31.244892698234324</v>
      </c>
      <c r="N728" s="86">
        <f>GDPdeflator!$C$38*INDEX(AdditionalVehs!$AA$46:$AK$91,MATCH($C728,AdditionalVehs!$C$46:$C$91,0),MATCH(N$7,AdditionalVehs!$AA$45:$AK$45,0))</f>
        <v>31.244892698234324</v>
      </c>
      <c r="O728" s="86">
        <f>GDPdeflator!$C$38*INDEX(AdditionalVehs!$AA$46:$AK$91,MATCH($C728,AdditionalVehs!$C$46:$C$91,0),MATCH(O$7,AdditionalVehs!$AA$45:$AK$45,0))</f>
        <v>31.244892698234324</v>
      </c>
      <c r="P728" s="87">
        <f t="shared" si="313"/>
        <v>0</v>
      </c>
      <c r="Q728" s="87">
        <f t="shared" si="310"/>
        <v>1641.8884944164638</v>
      </c>
      <c r="R728" s="87">
        <f t="shared" si="309"/>
        <v>1701.2693320338094</v>
      </c>
      <c r="S728" s="87">
        <f t="shared" si="298"/>
        <v>2570.459666208722</v>
      </c>
      <c r="T728" s="87">
        <f t="shared" si="299"/>
        <v>2624.0520875834727</v>
      </c>
      <c r="U728" s="87">
        <f t="shared" si="300"/>
        <v>2610.8511261556005</v>
      </c>
      <c r="V728" s="87">
        <f t="shared" si="301"/>
        <v>2608.4049322613969</v>
      </c>
      <c r="W728" s="87">
        <f t="shared" si="302"/>
        <v>2608.8906597571363</v>
      </c>
      <c r="X728" s="87">
        <f t="shared" si="303"/>
        <v>2608.8906597571363</v>
      </c>
      <c r="Y728" s="87">
        <f t="shared" si="304"/>
        <v>2608.8906597571363</v>
      </c>
      <c r="Z728" s="87">
        <f t="shared" si="305"/>
        <v>2608.8906597571363</v>
      </c>
      <c r="AA728" s="40">
        <v>473</v>
      </c>
      <c r="AB728" s="89">
        <f>AA728*GDPdeflator!$C$25/$AI$18*10^3</f>
        <v>45.478712808157368</v>
      </c>
      <c r="AC728" s="90" t="e">
        <f>INDEX(AdditionalVehs!$E$46:$N$91,MATCH(C728,AdditionalVehs!$C$46:$C$91),MATCH(D728,AdditionalVehs!$E$45:$N$45))</f>
        <v>#REF!</v>
      </c>
      <c r="AD728" s="90" t="e">
        <f t="shared" si="307"/>
        <v>#REF!</v>
      </c>
      <c r="AE728" s="90" t="e">
        <f>INDEX(AdditionalVehs!$P$46:$Y$91,MATCH(C728,AdditionalVehs!$C$46:$C$91),MATCH(D728,AdditionalVehs!$AA$45:$AJ$45))</f>
        <v>#REF!</v>
      </c>
      <c r="AF728" s="90" t="e">
        <f t="shared" si="312"/>
        <v>#REF!</v>
      </c>
      <c r="AG728" s="90" t="e">
        <f>AdditionalVehs!$C$27</f>
        <v>#REF!</v>
      </c>
    </row>
    <row r="729" spans="1:33" x14ac:dyDescent="0.2">
      <c r="A729" s="92" t="s">
        <v>2298</v>
      </c>
      <c r="B729" s="248" t="s">
        <v>2299</v>
      </c>
      <c r="C729" s="40" t="s">
        <v>2289</v>
      </c>
      <c r="D729" s="40">
        <v>2035</v>
      </c>
      <c r="E729" s="86">
        <f>GDPdeflator!$C$32*INDEX(AdditionalVehs!$AA$46:$AK$91,MATCH($C729,AdditionalVehs!$C$46:$C$91,0),MATCH(E$7,AdditionalVehs!$AA$45:$AK$45,0))</f>
        <v>0</v>
      </c>
      <c r="F729" s="86">
        <f>GDPdeflator!$C$36*INDEX(AdditionalVehs!$AA$46:$AK$91,MATCH($C729,AdditionalVehs!$C$46:$C$91,0),MATCH(F$7,AdditionalVehs!$AA$45:$AK$45,0))</f>
        <v>19.66377151094693</v>
      </c>
      <c r="G729" s="86">
        <f>GDPdeflator!$C$38*INDEX(AdditionalVehs!$AA$46:$AK$91,MATCH($C729,AdditionalVehs!$C$46:$C$91,0),MATCH(G$7,AdditionalVehs!$AA$45:$AK$45,0))</f>
        <v>20.374935044284872</v>
      </c>
      <c r="H729" s="86">
        <f>GDPdeflator!$C$38*INDEX(AdditionalVehs!$AA$46:$AK$91,MATCH($C729,AdditionalVehs!$C$46:$C$91,0),MATCH(H$7,AdditionalVehs!$AA$45:$AK$45,0))</f>
        <v>30.784631067408245</v>
      </c>
      <c r="I729" s="86">
        <f>GDPdeflator!$C$38*INDEX(AdditionalVehs!$AA$46:$AK$91,MATCH($C729,AdditionalVehs!$C$46:$C$91,0),MATCH(I$7,AdditionalVehs!$AA$45:$AK$45,0))</f>
        <v>31.426470712557851</v>
      </c>
      <c r="J729" s="86">
        <f>GDPdeflator!$C$38*INDEX(AdditionalVehs!$AA$46:$AK$91,MATCH($C729,AdditionalVehs!$C$46:$C$91,0),MATCH(J$7,AdditionalVehs!$AA$45:$AK$45,0))</f>
        <v>31.268371858631262</v>
      </c>
      <c r="K729" s="86">
        <f>GDPdeflator!$C$38*INDEX(AdditionalVehs!$AA$46:$AK$91,MATCH($C729,AdditionalVehs!$C$46:$C$91,0),MATCH(K$7,AdditionalVehs!$AA$45:$AK$45,0))</f>
        <v>31.239075473419554</v>
      </c>
      <c r="L729" s="86">
        <f>GDPdeflator!$C$38*INDEX(AdditionalVehs!$AA$46:$AK$91,MATCH($C729,AdditionalVehs!$C$46:$C$91,0),MATCH(L$7,AdditionalVehs!$AA$45:$AK$45,0))</f>
        <v>31.244892698234324</v>
      </c>
      <c r="M729" s="86">
        <f>GDPdeflator!$C$38*INDEX(AdditionalVehs!$AA$46:$AK$91,MATCH($C729,AdditionalVehs!$C$46:$C$91,0),MATCH(M$7,AdditionalVehs!$AA$45:$AK$45,0))</f>
        <v>31.244892698234324</v>
      </c>
      <c r="N729" s="86">
        <f>GDPdeflator!$C$38*INDEX(AdditionalVehs!$AA$46:$AK$91,MATCH($C729,AdditionalVehs!$C$46:$C$91,0),MATCH(N$7,AdditionalVehs!$AA$45:$AK$45,0))</f>
        <v>31.244892698234324</v>
      </c>
      <c r="O729" s="86">
        <f>GDPdeflator!$C$38*INDEX(AdditionalVehs!$AA$46:$AK$91,MATCH($C729,AdditionalVehs!$C$46:$C$91,0),MATCH(O$7,AdditionalVehs!$AA$45:$AK$45,0))</f>
        <v>31.244892698234324</v>
      </c>
      <c r="P729" s="87">
        <f t="shared" si="313"/>
        <v>0</v>
      </c>
      <c r="Q729" s="87">
        <f t="shared" si="310"/>
        <v>1641.8884944164638</v>
      </c>
      <c r="R729" s="87">
        <f t="shared" si="309"/>
        <v>1701.2693320338094</v>
      </c>
      <c r="S729" s="87">
        <f t="shared" si="298"/>
        <v>2570.459666208722</v>
      </c>
      <c r="T729" s="87">
        <f t="shared" si="299"/>
        <v>2624.0520875834727</v>
      </c>
      <c r="U729" s="87">
        <f t="shared" si="300"/>
        <v>2610.8511261556005</v>
      </c>
      <c r="V729" s="87">
        <f t="shared" si="301"/>
        <v>2608.4049322613969</v>
      </c>
      <c r="W729" s="87">
        <f t="shared" si="302"/>
        <v>2608.8906597571363</v>
      </c>
      <c r="X729" s="87">
        <f t="shared" si="303"/>
        <v>2608.8906597571363</v>
      </c>
      <c r="Y729" s="87">
        <f t="shared" si="304"/>
        <v>2608.8906597571363</v>
      </c>
      <c r="Z729" s="87">
        <f t="shared" si="305"/>
        <v>2608.8906597571363</v>
      </c>
      <c r="AA729" s="40">
        <v>473</v>
      </c>
      <c r="AB729" s="89">
        <f>AA729*GDPdeflator!$C$25/$AI$18*10^3</f>
        <v>45.478712808157368</v>
      </c>
      <c r="AC729" s="90" t="e">
        <f>INDEX(AdditionalVehs!$E$46:$N$91,MATCH(C729,AdditionalVehs!$C$46:$C$91),MATCH(D729,AdditionalVehs!$E$45:$N$45))</f>
        <v>#REF!</v>
      </c>
      <c r="AD729" s="90" t="e">
        <f t="shared" si="307"/>
        <v>#REF!</v>
      </c>
      <c r="AE729" s="90" t="e">
        <f>INDEX(AdditionalVehs!$P$46:$Y$91,MATCH(C729,AdditionalVehs!$C$46:$C$91),MATCH(D729,AdditionalVehs!$AA$45:$AJ$45))</f>
        <v>#REF!</v>
      </c>
      <c r="AF729" s="90" t="e">
        <f t="shared" si="312"/>
        <v>#REF!</v>
      </c>
      <c r="AG729" s="90" t="e">
        <f>AdditionalVehs!$C$27</f>
        <v>#REF!</v>
      </c>
    </row>
    <row r="730" spans="1:33" x14ac:dyDescent="0.2">
      <c r="A730" s="92" t="s">
        <v>2300</v>
      </c>
      <c r="B730" s="248" t="s">
        <v>2301</v>
      </c>
      <c r="C730" s="40" t="s">
        <v>2289</v>
      </c>
      <c r="D730" s="40">
        <v>2040</v>
      </c>
      <c r="E730" s="86">
        <f>GDPdeflator!$C$32*INDEX(AdditionalVehs!$AA$46:$AK$91,MATCH($C730,AdditionalVehs!$C$46:$C$91,0),MATCH(E$7,AdditionalVehs!$AA$45:$AK$45,0))</f>
        <v>0</v>
      </c>
      <c r="F730" s="86">
        <f>GDPdeflator!$C$36*INDEX(AdditionalVehs!$AA$46:$AK$91,MATCH($C730,AdditionalVehs!$C$46:$C$91,0),MATCH(F$7,AdditionalVehs!$AA$45:$AK$45,0))</f>
        <v>19.66377151094693</v>
      </c>
      <c r="G730" s="86">
        <f>GDPdeflator!$C$38*INDEX(AdditionalVehs!$AA$46:$AK$91,MATCH($C730,AdditionalVehs!$C$46:$C$91,0),MATCH(G$7,AdditionalVehs!$AA$45:$AK$45,0))</f>
        <v>20.374935044284872</v>
      </c>
      <c r="H730" s="86">
        <f>GDPdeflator!$C$38*INDEX(AdditionalVehs!$AA$46:$AK$91,MATCH($C730,AdditionalVehs!$C$46:$C$91,0),MATCH(H$7,AdditionalVehs!$AA$45:$AK$45,0))</f>
        <v>30.784631067408245</v>
      </c>
      <c r="I730" s="86">
        <f>GDPdeflator!$C$38*INDEX(AdditionalVehs!$AA$46:$AK$91,MATCH($C730,AdditionalVehs!$C$46:$C$91,0),MATCH(I$7,AdditionalVehs!$AA$45:$AK$45,0))</f>
        <v>31.426470712557851</v>
      </c>
      <c r="J730" s="86">
        <f>GDPdeflator!$C$38*INDEX(AdditionalVehs!$AA$46:$AK$91,MATCH($C730,AdditionalVehs!$C$46:$C$91,0),MATCH(J$7,AdditionalVehs!$AA$45:$AK$45,0))</f>
        <v>31.268371858631262</v>
      </c>
      <c r="K730" s="86">
        <f>GDPdeflator!$C$38*INDEX(AdditionalVehs!$AA$46:$AK$91,MATCH($C730,AdditionalVehs!$C$46:$C$91,0),MATCH(K$7,AdditionalVehs!$AA$45:$AK$45,0))</f>
        <v>31.239075473419554</v>
      </c>
      <c r="L730" s="86">
        <f>GDPdeflator!$C$38*INDEX(AdditionalVehs!$AA$46:$AK$91,MATCH($C730,AdditionalVehs!$C$46:$C$91,0),MATCH(L$7,AdditionalVehs!$AA$45:$AK$45,0))</f>
        <v>31.244892698234324</v>
      </c>
      <c r="M730" s="86">
        <f>GDPdeflator!$C$38*INDEX(AdditionalVehs!$AA$46:$AK$91,MATCH($C730,AdditionalVehs!$C$46:$C$91,0),MATCH(M$7,AdditionalVehs!$AA$45:$AK$45,0))</f>
        <v>31.244892698234324</v>
      </c>
      <c r="N730" s="86">
        <f>GDPdeflator!$C$38*INDEX(AdditionalVehs!$AA$46:$AK$91,MATCH($C730,AdditionalVehs!$C$46:$C$91,0),MATCH(N$7,AdditionalVehs!$AA$45:$AK$45,0))</f>
        <v>31.244892698234324</v>
      </c>
      <c r="O730" s="86">
        <f>GDPdeflator!$C$38*INDEX(AdditionalVehs!$AA$46:$AK$91,MATCH($C730,AdditionalVehs!$C$46:$C$91,0),MATCH(O$7,AdditionalVehs!$AA$45:$AK$45,0))</f>
        <v>31.244892698234324</v>
      </c>
      <c r="P730" s="87">
        <f t="shared" si="313"/>
        <v>0</v>
      </c>
      <c r="Q730" s="87">
        <f t="shared" si="310"/>
        <v>1641.8884944164638</v>
      </c>
      <c r="R730" s="87">
        <f t="shared" si="309"/>
        <v>1701.2693320338094</v>
      </c>
      <c r="S730" s="87">
        <f t="shared" si="298"/>
        <v>2570.459666208722</v>
      </c>
      <c r="T730" s="87">
        <f t="shared" si="299"/>
        <v>2624.0520875834727</v>
      </c>
      <c r="U730" s="87">
        <f t="shared" si="300"/>
        <v>2610.8511261556005</v>
      </c>
      <c r="V730" s="87">
        <f t="shared" si="301"/>
        <v>2608.4049322613969</v>
      </c>
      <c r="W730" s="87">
        <f t="shared" si="302"/>
        <v>2608.8906597571363</v>
      </c>
      <c r="X730" s="87">
        <f t="shared" si="303"/>
        <v>2608.8906597571363</v>
      </c>
      <c r="Y730" s="87">
        <f t="shared" si="304"/>
        <v>2608.8906597571363</v>
      </c>
      <c r="Z730" s="87">
        <f t="shared" si="305"/>
        <v>2608.8906597571363</v>
      </c>
      <c r="AA730" s="40">
        <v>473</v>
      </c>
      <c r="AB730" s="89">
        <f>AA730*GDPdeflator!$C$25/$AI$18*10^3</f>
        <v>45.478712808157368</v>
      </c>
      <c r="AC730" s="90" t="e">
        <f>INDEX(AdditionalVehs!$E$46:$N$91,MATCH(C730,AdditionalVehs!$C$46:$C$91),MATCH(D730,AdditionalVehs!$E$45:$N$45))</f>
        <v>#REF!</v>
      </c>
      <c r="AD730" s="90" t="e">
        <f t="shared" si="307"/>
        <v>#REF!</v>
      </c>
      <c r="AE730" s="90" t="e">
        <f>INDEX(AdditionalVehs!$P$46:$Y$91,MATCH(C730,AdditionalVehs!$C$46:$C$91),MATCH(D730,AdditionalVehs!$AA$45:$AJ$45))</f>
        <v>#REF!</v>
      </c>
      <c r="AF730" s="90" t="e">
        <f t="shared" si="312"/>
        <v>#REF!</v>
      </c>
      <c r="AG730" s="90" t="e">
        <f>AdditionalVehs!$C$27</f>
        <v>#REF!</v>
      </c>
    </row>
    <row r="731" spans="1:33" x14ac:dyDescent="0.2">
      <c r="A731" s="92" t="s">
        <v>2302</v>
      </c>
      <c r="B731" s="248" t="s">
        <v>2303</v>
      </c>
      <c r="C731" s="40" t="s">
        <v>2289</v>
      </c>
      <c r="D731" s="40">
        <v>2045</v>
      </c>
      <c r="E731" s="86">
        <f>GDPdeflator!$C$32*INDEX(AdditionalVehs!$AA$46:$AK$91,MATCH($C731,AdditionalVehs!$C$46:$C$91,0),MATCH(E$7,AdditionalVehs!$AA$45:$AK$45,0))</f>
        <v>0</v>
      </c>
      <c r="F731" s="86">
        <f>GDPdeflator!$C$36*INDEX(AdditionalVehs!$AA$46:$AK$91,MATCH($C731,AdditionalVehs!$C$46:$C$91,0),MATCH(F$7,AdditionalVehs!$AA$45:$AK$45,0))</f>
        <v>19.66377151094693</v>
      </c>
      <c r="G731" s="86">
        <f>GDPdeflator!$C$38*INDEX(AdditionalVehs!$AA$46:$AK$91,MATCH($C731,AdditionalVehs!$C$46:$C$91,0),MATCH(G$7,AdditionalVehs!$AA$45:$AK$45,0))</f>
        <v>20.374935044284872</v>
      </c>
      <c r="H731" s="86">
        <f>GDPdeflator!$C$38*INDEX(AdditionalVehs!$AA$46:$AK$91,MATCH($C731,AdditionalVehs!$C$46:$C$91,0),MATCH(H$7,AdditionalVehs!$AA$45:$AK$45,0))</f>
        <v>30.784631067408245</v>
      </c>
      <c r="I731" s="86">
        <f>GDPdeflator!$C$38*INDEX(AdditionalVehs!$AA$46:$AK$91,MATCH($C731,AdditionalVehs!$C$46:$C$91,0),MATCH(I$7,AdditionalVehs!$AA$45:$AK$45,0))</f>
        <v>31.426470712557851</v>
      </c>
      <c r="J731" s="86">
        <f>GDPdeflator!$C$38*INDEX(AdditionalVehs!$AA$46:$AK$91,MATCH($C731,AdditionalVehs!$C$46:$C$91,0),MATCH(J$7,AdditionalVehs!$AA$45:$AK$45,0))</f>
        <v>31.268371858631262</v>
      </c>
      <c r="K731" s="86">
        <f>GDPdeflator!$C$38*INDEX(AdditionalVehs!$AA$46:$AK$91,MATCH($C731,AdditionalVehs!$C$46:$C$91,0),MATCH(K$7,AdditionalVehs!$AA$45:$AK$45,0))</f>
        <v>31.239075473419554</v>
      </c>
      <c r="L731" s="86">
        <f>GDPdeflator!$C$38*INDEX(AdditionalVehs!$AA$46:$AK$91,MATCH($C731,AdditionalVehs!$C$46:$C$91,0),MATCH(L$7,AdditionalVehs!$AA$45:$AK$45,0))</f>
        <v>31.244892698234324</v>
      </c>
      <c r="M731" s="86">
        <f>GDPdeflator!$C$38*INDEX(AdditionalVehs!$AA$46:$AK$91,MATCH($C731,AdditionalVehs!$C$46:$C$91,0),MATCH(M$7,AdditionalVehs!$AA$45:$AK$45,0))</f>
        <v>31.244892698234324</v>
      </c>
      <c r="N731" s="86">
        <f>GDPdeflator!$C$38*INDEX(AdditionalVehs!$AA$46:$AK$91,MATCH($C731,AdditionalVehs!$C$46:$C$91,0),MATCH(N$7,AdditionalVehs!$AA$45:$AK$45,0))</f>
        <v>31.244892698234324</v>
      </c>
      <c r="O731" s="86">
        <f>GDPdeflator!$C$38*INDEX(AdditionalVehs!$AA$46:$AK$91,MATCH($C731,AdditionalVehs!$C$46:$C$91,0),MATCH(O$7,AdditionalVehs!$AA$45:$AK$45,0))</f>
        <v>31.244892698234324</v>
      </c>
      <c r="P731" s="87">
        <f t="shared" si="313"/>
        <v>0</v>
      </c>
      <c r="Q731" s="87">
        <f t="shared" si="310"/>
        <v>1641.8884944164638</v>
      </c>
      <c r="R731" s="87">
        <f t="shared" si="309"/>
        <v>1701.2693320338094</v>
      </c>
      <c r="S731" s="87">
        <f t="shared" si="298"/>
        <v>2570.459666208722</v>
      </c>
      <c r="T731" s="87">
        <f t="shared" si="299"/>
        <v>2624.0520875834727</v>
      </c>
      <c r="U731" s="87">
        <f t="shared" si="300"/>
        <v>2610.8511261556005</v>
      </c>
      <c r="V731" s="87">
        <f t="shared" si="301"/>
        <v>2608.4049322613969</v>
      </c>
      <c r="W731" s="87">
        <f t="shared" si="302"/>
        <v>2608.8906597571363</v>
      </c>
      <c r="X731" s="87">
        <f t="shared" si="303"/>
        <v>2608.8906597571363</v>
      </c>
      <c r="Y731" s="87">
        <f t="shared" si="304"/>
        <v>2608.8906597571363</v>
      </c>
      <c r="Z731" s="87">
        <f t="shared" si="305"/>
        <v>2608.8906597571363</v>
      </c>
      <c r="AA731" s="40">
        <v>473</v>
      </c>
      <c r="AB731" s="89">
        <f>AA731*GDPdeflator!$C$25/$AI$18*10^3</f>
        <v>45.478712808157368</v>
      </c>
      <c r="AC731" s="90" t="e">
        <f>INDEX(AdditionalVehs!$E$46:$N$91,MATCH(C731,AdditionalVehs!$C$46:$C$91),MATCH(D731,AdditionalVehs!$E$45:$N$45))</f>
        <v>#REF!</v>
      </c>
      <c r="AD731" s="90" t="e">
        <f t="shared" si="307"/>
        <v>#REF!</v>
      </c>
      <c r="AE731" s="90" t="e">
        <f>INDEX(AdditionalVehs!$P$46:$Y$91,MATCH(C731,AdditionalVehs!$C$46:$C$91),MATCH(D731,AdditionalVehs!$AA$45:$AJ$45))</f>
        <v>#REF!</v>
      </c>
      <c r="AF731" s="90" t="e">
        <f t="shared" si="312"/>
        <v>#REF!</v>
      </c>
      <c r="AG731" s="90" t="e">
        <f>AdditionalVehs!$C$27</f>
        <v>#REF!</v>
      </c>
    </row>
    <row r="732" spans="1:33" x14ac:dyDescent="0.2">
      <c r="A732" s="92" t="s">
        <v>2304</v>
      </c>
      <c r="B732" s="248" t="s">
        <v>2305</v>
      </c>
      <c r="C732" s="40" t="s">
        <v>2289</v>
      </c>
      <c r="D732" s="40">
        <v>2050</v>
      </c>
      <c r="E732" s="86">
        <f>GDPdeflator!$C$32*INDEX(AdditionalVehs!$AA$46:$AK$91,MATCH($C732,AdditionalVehs!$C$46:$C$91,0),MATCH(E$7,AdditionalVehs!$AA$45:$AK$45,0))</f>
        <v>0</v>
      </c>
      <c r="F732" s="86">
        <f>GDPdeflator!$C$36*INDEX(AdditionalVehs!$AA$46:$AK$91,MATCH($C732,AdditionalVehs!$C$46:$C$91,0),MATCH(F$7,AdditionalVehs!$AA$45:$AK$45,0))</f>
        <v>19.66377151094693</v>
      </c>
      <c r="G732" s="86">
        <f>GDPdeflator!$C$38*INDEX(AdditionalVehs!$AA$46:$AK$91,MATCH($C732,AdditionalVehs!$C$46:$C$91,0),MATCH(G$7,AdditionalVehs!$AA$45:$AK$45,0))</f>
        <v>20.374935044284872</v>
      </c>
      <c r="H732" s="86">
        <f>GDPdeflator!$C$38*INDEX(AdditionalVehs!$AA$46:$AK$91,MATCH($C732,AdditionalVehs!$C$46:$C$91,0),MATCH(H$7,AdditionalVehs!$AA$45:$AK$45,0))</f>
        <v>30.784631067408245</v>
      </c>
      <c r="I732" s="86">
        <f>GDPdeflator!$C$38*INDEX(AdditionalVehs!$AA$46:$AK$91,MATCH($C732,AdditionalVehs!$C$46:$C$91,0),MATCH(I$7,AdditionalVehs!$AA$45:$AK$45,0))</f>
        <v>31.426470712557851</v>
      </c>
      <c r="J732" s="86">
        <f>GDPdeflator!$C$38*INDEX(AdditionalVehs!$AA$46:$AK$91,MATCH($C732,AdditionalVehs!$C$46:$C$91,0),MATCH(J$7,AdditionalVehs!$AA$45:$AK$45,0))</f>
        <v>31.268371858631262</v>
      </c>
      <c r="K732" s="86">
        <f>GDPdeflator!$C$38*INDEX(AdditionalVehs!$AA$46:$AK$91,MATCH($C732,AdditionalVehs!$C$46:$C$91,0),MATCH(K$7,AdditionalVehs!$AA$45:$AK$45,0))</f>
        <v>31.239075473419554</v>
      </c>
      <c r="L732" s="86">
        <f>GDPdeflator!$C$38*INDEX(AdditionalVehs!$AA$46:$AK$91,MATCH($C732,AdditionalVehs!$C$46:$C$91,0),MATCH(L$7,AdditionalVehs!$AA$45:$AK$45,0))</f>
        <v>31.244892698234324</v>
      </c>
      <c r="M732" s="86">
        <f>GDPdeflator!$C$38*INDEX(AdditionalVehs!$AA$46:$AK$91,MATCH($C732,AdditionalVehs!$C$46:$C$91,0),MATCH(M$7,AdditionalVehs!$AA$45:$AK$45,0))</f>
        <v>31.244892698234324</v>
      </c>
      <c r="N732" s="86">
        <f>GDPdeflator!$C$38*INDEX(AdditionalVehs!$AA$46:$AK$91,MATCH($C732,AdditionalVehs!$C$46:$C$91,0),MATCH(N$7,AdditionalVehs!$AA$45:$AK$45,0))</f>
        <v>31.244892698234324</v>
      </c>
      <c r="O732" s="86">
        <f>GDPdeflator!$C$38*INDEX(AdditionalVehs!$AA$46:$AK$91,MATCH($C732,AdditionalVehs!$C$46:$C$91,0),MATCH(O$7,AdditionalVehs!$AA$45:$AK$45,0))</f>
        <v>31.244892698234324</v>
      </c>
      <c r="P732" s="87">
        <f t="shared" si="313"/>
        <v>0</v>
      </c>
      <c r="Q732" s="87">
        <f t="shared" si="310"/>
        <v>1641.8884944164638</v>
      </c>
      <c r="R732" s="87">
        <f t="shared" si="309"/>
        <v>1701.2693320338094</v>
      </c>
      <c r="S732" s="87">
        <f t="shared" si="298"/>
        <v>2570.459666208722</v>
      </c>
      <c r="T732" s="87">
        <f t="shared" si="299"/>
        <v>2624.0520875834727</v>
      </c>
      <c r="U732" s="87">
        <f t="shared" si="300"/>
        <v>2610.8511261556005</v>
      </c>
      <c r="V732" s="87">
        <f t="shared" si="301"/>
        <v>2608.4049322613969</v>
      </c>
      <c r="W732" s="87">
        <f t="shared" si="302"/>
        <v>2608.8906597571363</v>
      </c>
      <c r="X732" s="87">
        <f t="shared" si="303"/>
        <v>2608.8906597571363</v>
      </c>
      <c r="Y732" s="87">
        <f t="shared" si="304"/>
        <v>2608.8906597571363</v>
      </c>
      <c r="Z732" s="87">
        <f t="shared" si="305"/>
        <v>2608.8906597571363</v>
      </c>
      <c r="AA732" s="40">
        <v>473</v>
      </c>
      <c r="AB732" s="89">
        <f>AA732*GDPdeflator!$C$25/$AI$18*10^3</f>
        <v>45.478712808157368</v>
      </c>
      <c r="AC732" s="90" t="e">
        <f>INDEX(AdditionalVehs!$E$46:$N$91,MATCH(C732,AdditionalVehs!$C$46:$C$91),MATCH(D732,AdditionalVehs!$E$45:$N$45))</f>
        <v>#REF!</v>
      </c>
      <c r="AD732" s="90" t="e">
        <f t="shared" si="307"/>
        <v>#REF!</v>
      </c>
      <c r="AE732" s="90" t="e">
        <f>INDEX(AdditionalVehs!$P$46:$Y$91,MATCH(C732,AdditionalVehs!$C$46:$C$91),MATCH(D732,AdditionalVehs!$AA$45:$AJ$45))</f>
        <v>#REF!</v>
      </c>
      <c r="AF732" s="90" t="e">
        <f t="shared" si="312"/>
        <v>#REF!</v>
      </c>
      <c r="AG732" s="90" t="e">
        <f>AdditionalVehs!$C$27</f>
        <v>#REF!</v>
      </c>
    </row>
    <row r="733" spans="1:33" x14ac:dyDescent="0.2">
      <c r="A733" s="92" t="s">
        <v>2306</v>
      </c>
      <c r="B733" s="248" t="s">
        <v>2307</v>
      </c>
      <c r="C733" s="40" t="s">
        <v>2308</v>
      </c>
      <c r="D733" s="40">
        <v>2010</v>
      </c>
      <c r="E733" s="86">
        <f>GDPdeflator!$C$32*INDEX(AdditionalVehs!$AA$46:$AK$91,MATCH($C733,AdditionalVehs!$C$46:$C$91,0),MATCH(E$7,AdditionalVehs!$AA$45:$AK$45,0))</f>
        <v>0</v>
      </c>
      <c r="F733" s="86">
        <f>GDPdeflator!$C$36*INDEX(AdditionalVehs!$AA$46:$AK$91,MATCH($C733,AdditionalVehs!$C$46:$C$91,0),MATCH(F$7,AdditionalVehs!$AA$45:$AK$45,0))</f>
        <v>39.097071808271011</v>
      </c>
      <c r="G733" s="86">
        <f>GDPdeflator!$C$38*INDEX(AdditionalVehs!$AA$46:$AK$91,MATCH($C733,AdditionalVehs!$C$46:$C$91,0),MATCH(G$7,AdditionalVehs!$AA$45:$AK$45,0))</f>
        <v>39.131525153806599</v>
      </c>
      <c r="H733" s="86">
        <f>GDPdeflator!$C$38*INDEX(AdditionalVehs!$AA$46:$AK$91,MATCH($C733,AdditionalVehs!$C$46:$C$91,0),MATCH(H$7,AdditionalVehs!$AA$45:$AK$45,0))</f>
        <v>39.890357600426661</v>
      </c>
      <c r="I733" s="86">
        <f>GDPdeflator!$C$38*INDEX(AdditionalVehs!$AA$46:$AK$91,MATCH($C733,AdditionalVehs!$C$46:$C$91,0),MATCH(I$7,AdditionalVehs!$AA$45:$AK$45,0))</f>
        <v>40.660754409630286</v>
      </c>
      <c r="J733" s="86">
        <f>GDPdeflator!$C$38*INDEX(AdditionalVehs!$AA$46:$AK$91,MATCH($C733,AdditionalVehs!$C$46:$C$91,0),MATCH(J$7,AdditionalVehs!$AA$45:$AK$45,0))</f>
        <v>40.540607691091601</v>
      </c>
      <c r="K733" s="86">
        <f>GDPdeflator!$C$38*INDEX(AdditionalVehs!$AA$46:$AK$91,MATCH($C733,AdditionalVehs!$C$46:$C$91,0),MATCH(K$7,AdditionalVehs!$AA$45:$AK$45,0))</f>
        <v>40.502532903373272</v>
      </c>
      <c r="L733" s="86">
        <f>GDPdeflator!$C$38*INDEX(AdditionalVehs!$AA$46:$AK$91,MATCH($C733,AdditionalVehs!$C$46:$C$91,0),MATCH(L$7,AdditionalVehs!$AA$45:$AK$45,0))</f>
        <v>40.502497859850287</v>
      </c>
      <c r="M733" s="86">
        <f>GDPdeflator!$C$38*INDEX(AdditionalVehs!$AA$46:$AK$91,MATCH($C733,AdditionalVehs!$C$46:$C$91,0),MATCH(M$7,AdditionalVehs!$AA$45:$AK$45,0))</f>
        <v>40.502497859850287</v>
      </c>
      <c r="N733" s="86">
        <f>GDPdeflator!$C$38*INDEX(AdditionalVehs!$AA$46:$AK$91,MATCH($C733,AdditionalVehs!$C$46:$C$91,0),MATCH(N$7,AdditionalVehs!$AA$45:$AK$45,0))</f>
        <v>40.502497859850287</v>
      </c>
      <c r="O733" s="86">
        <f>GDPdeflator!$C$38*INDEX(AdditionalVehs!$AA$46:$AK$91,MATCH($C733,AdditionalVehs!$C$46:$C$91,0),MATCH(O$7,AdditionalVehs!$AA$45:$AK$45,0))</f>
        <v>40.502497859850287</v>
      </c>
      <c r="P733" s="87">
        <f>E733/$AI$18*10^6</f>
        <v>0</v>
      </c>
      <c r="Q733" s="87">
        <f t="shared" si="310"/>
        <v>3264.5330694387821</v>
      </c>
      <c r="R733" s="87">
        <f t="shared" si="309"/>
        <v>3267.4098599668632</v>
      </c>
      <c r="S733" s="87">
        <f t="shared" si="298"/>
        <v>3330.7709635375468</v>
      </c>
      <c r="T733" s="87">
        <f t="shared" si="299"/>
        <v>3395.0976699612056</v>
      </c>
      <c r="U733" s="87">
        <f t="shared" si="300"/>
        <v>3385.0656415326443</v>
      </c>
      <c r="V733" s="87">
        <f t="shared" si="301"/>
        <v>3381.8864672909544</v>
      </c>
      <c r="W733" s="87">
        <f t="shared" si="302"/>
        <v>3381.8835412217027</v>
      </c>
      <c r="X733" s="87">
        <f t="shared" si="303"/>
        <v>3381.8835412217027</v>
      </c>
      <c r="Y733" s="87">
        <f t="shared" si="304"/>
        <v>3381.8835412217027</v>
      </c>
      <c r="Z733" s="87">
        <f t="shared" si="305"/>
        <v>3381.8835412217027</v>
      </c>
      <c r="AA733" s="40">
        <v>473</v>
      </c>
      <c r="AB733" s="89">
        <f>AA733*GDPdeflator!$C$25/$AI$18*10^3</f>
        <v>45.478712808157368</v>
      </c>
      <c r="AC733" s="90" t="e">
        <f>INDEX(AdditionalVehs!$E$46:$N$91,MATCH(C733,AdditionalVehs!$C$46:$C$91),MATCH(D733,AdditionalVehs!$E$45:$N$45))</f>
        <v>#REF!</v>
      </c>
      <c r="AD733" s="90" t="e">
        <f t="shared" si="307"/>
        <v>#REF!</v>
      </c>
      <c r="AE733" s="90" t="e">
        <f>INDEX(AdditionalVehs!$P$46:$Y$91,MATCH(C733,AdditionalVehs!$C$46:$C$91),MATCH(D733,AdditionalVehs!$AA$45:$AJ$45))</f>
        <v>#REF!</v>
      </c>
      <c r="AF733" s="90" t="e">
        <f t="shared" si="312"/>
        <v>#REF!</v>
      </c>
      <c r="AG733" s="90" t="e">
        <f>AdditionalVehs!$C$27</f>
        <v>#REF!</v>
      </c>
    </row>
    <row r="734" spans="1:33" x14ac:dyDescent="0.2">
      <c r="A734" s="92" t="s">
        <v>2309</v>
      </c>
      <c r="B734" s="248" t="s">
        <v>2310</v>
      </c>
      <c r="C734" s="40" t="s">
        <v>2308</v>
      </c>
      <c r="D734" s="40">
        <v>2015</v>
      </c>
      <c r="E734" s="86">
        <f>GDPdeflator!$C$32*INDEX(AdditionalVehs!$AA$46:$AK$91,MATCH($C734,AdditionalVehs!$C$46:$C$91,0),MATCH(E$7,AdditionalVehs!$AA$45:$AK$45,0))</f>
        <v>0</v>
      </c>
      <c r="F734" s="86">
        <f>GDPdeflator!$C$36*INDEX(AdditionalVehs!$AA$46:$AK$91,MATCH($C734,AdditionalVehs!$C$46:$C$91,0),MATCH(F$7,AdditionalVehs!$AA$45:$AK$45,0))</f>
        <v>39.097071808271011</v>
      </c>
      <c r="G734" s="86">
        <f>GDPdeflator!$C$38*INDEX(AdditionalVehs!$AA$46:$AK$91,MATCH($C734,AdditionalVehs!$C$46:$C$91,0),MATCH(G$7,AdditionalVehs!$AA$45:$AK$45,0))</f>
        <v>39.131525153806599</v>
      </c>
      <c r="H734" s="86">
        <f>GDPdeflator!$C$38*INDEX(AdditionalVehs!$AA$46:$AK$91,MATCH($C734,AdditionalVehs!$C$46:$C$91,0),MATCH(H$7,AdditionalVehs!$AA$45:$AK$45,0))</f>
        <v>39.890357600426661</v>
      </c>
      <c r="I734" s="86">
        <f>GDPdeflator!$C$38*INDEX(AdditionalVehs!$AA$46:$AK$91,MATCH($C734,AdditionalVehs!$C$46:$C$91,0),MATCH(I$7,AdditionalVehs!$AA$45:$AK$45,0))</f>
        <v>40.660754409630286</v>
      </c>
      <c r="J734" s="86">
        <f>GDPdeflator!$C$38*INDEX(AdditionalVehs!$AA$46:$AK$91,MATCH($C734,AdditionalVehs!$C$46:$C$91,0),MATCH(J$7,AdditionalVehs!$AA$45:$AK$45,0))</f>
        <v>40.540607691091601</v>
      </c>
      <c r="K734" s="86">
        <f>GDPdeflator!$C$38*INDEX(AdditionalVehs!$AA$46:$AK$91,MATCH($C734,AdditionalVehs!$C$46:$C$91,0),MATCH(K$7,AdditionalVehs!$AA$45:$AK$45,0))</f>
        <v>40.502532903373272</v>
      </c>
      <c r="L734" s="86">
        <f>GDPdeflator!$C$38*INDEX(AdditionalVehs!$AA$46:$AK$91,MATCH($C734,AdditionalVehs!$C$46:$C$91,0),MATCH(L$7,AdditionalVehs!$AA$45:$AK$45,0))</f>
        <v>40.502497859850287</v>
      </c>
      <c r="M734" s="86">
        <f>GDPdeflator!$C$38*INDEX(AdditionalVehs!$AA$46:$AK$91,MATCH($C734,AdditionalVehs!$C$46:$C$91,0),MATCH(M$7,AdditionalVehs!$AA$45:$AK$45,0))</f>
        <v>40.502497859850287</v>
      </c>
      <c r="N734" s="86">
        <f>GDPdeflator!$C$38*INDEX(AdditionalVehs!$AA$46:$AK$91,MATCH($C734,AdditionalVehs!$C$46:$C$91,0),MATCH(N$7,AdditionalVehs!$AA$45:$AK$45,0))</f>
        <v>40.502497859850287</v>
      </c>
      <c r="O734" s="86">
        <f>GDPdeflator!$C$38*INDEX(AdditionalVehs!$AA$46:$AK$91,MATCH($C734,AdditionalVehs!$C$46:$C$91,0),MATCH(O$7,AdditionalVehs!$AA$45:$AK$45,0))</f>
        <v>40.502497859850287</v>
      </c>
      <c r="P734" s="87">
        <f t="shared" ref="P734:P741" si="314">E734/$AI$18*10^6</f>
        <v>0</v>
      </c>
      <c r="Q734" s="87">
        <f t="shared" si="310"/>
        <v>3264.5330694387821</v>
      </c>
      <c r="R734" s="87">
        <f t="shared" si="309"/>
        <v>3267.4098599668632</v>
      </c>
      <c r="S734" s="87">
        <f t="shared" si="298"/>
        <v>3330.7709635375468</v>
      </c>
      <c r="T734" s="87">
        <f t="shared" si="299"/>
        <v>3395.0976699612056</v>
      </c>
      <c r="U734" s="87">
        <f t="shared" si="300"/>
        <v>3385.0656415326443</v>
      </c>
      <c r="V734" s="87">
        <f t="shared" si="301"/>
        <v>3381.8864672909544</v>
      </c>
      <c r="W734" s="87">
        <f t="shared" si="302"/>
        <v>3381.8835412217027</v>
      </c>
      <c r="X734" s="87">
        <f t="shared" si="303"/>
        <v>3381.8835412217027</v>
      </c>
      <c r="Y734" s="87">
        <f t="shared" si="304"/>
        <v>3381.8835412217027</v>
      </c>
      <c r="Z734" s="87">
        <f t="shared" si="305"/>
        <v>3381.8835412217027</v>
      </c>
      <c r="AA734" s="40">
        <v>473</v>
      </c>
      <c r="AB734" s="89">
        <f>AA734*GDPdeflator!$C$25/$AI$18*10^3</f>
        <v>45.478712808157368</v>
      </c>
      <c r="AC734" s="90" t="e">
        <f>INDEX(AdditionalVehs!$E$46:$N$91,MATCH(C734,AdditionalVehs!$C$46:$C$91),MATCH(D734,AdditionalVehs!$E$45:$N$45))</f>
        <v>#REF!</v>
      </c>
      <c r="AD734" s="90" t="e">
        <f t="shared" si="307"/>
        <v>#REF!</v>
      </c>
      <c r="AE734" s="90" t="e">
        <f>INDEX(AdditionalVehs!$P$46:$Y$91,MATCH(C734,AdditionalVehs!$C$46:$C$91),MATCH(D734,AdditionalVehs!$AA$45:$AJ$45))</f>
        <v>#REF!</v>
      </c>
      <c r="AF734" s="90" t="e">
        <f t="shared" si="312"/>
        <v>#REF!</v>
      </c>
      <c r="AG734" s="90" t="e">
        <f>AdditionalVehs!$C$27</f>
        <v>#REF!</v>
      </c>
    </row>
    <row r="735" spans="1:33" x14ac:dyDescent="0.2">
      <c r="A735" s="92" t="s">
        <v>2311</v>
      </c>
      <c r="B735" s="248" t="s">
        <v>2312</v>
      </c>
      <c r="C735" s="40" t="s">
        <v>2308</v>
      </c>
      <c r="D735" s="40">
        <v>2020</v>
      </c>
      <c r="E735" s="86">
        <f>GDPdeflator!$C$32*INDEX(AdditionalVehs!$AA$46:$AK$91,MATCH($C735,AdditionalVehs!$C$46:$C$91,0),MATCH(E$7,AdditionalVehs!$AA$45:$AK$45,0))</f>
        <v>0</v>
      </c>
      <c r="F735" s="86">
        <f>GDPdeflator!$C$36*INDEX(AdditionalVehs!$AA$46:$AK$91,MATCH($C735,AdditionalVehs!$C$46:$C$91,0),MATCH(F$7,AdditionalVehs!$AA$45:$AK$45,0))</f>
        <v>39.097071808271011</v>
      </c>
      <c r="G735" s="86">
        <f>GDPdeflator!$C$38*INDEX(AdditionalVehs!$AA$46:$AK$91,MATCH($C735,AdditionalVehs!$C$46:$C$91,0),MATCH(G$7,AdditionalVehs!$AA$45:$AK$45,0))</f>
        <v>39.131525153806599</v>
      </c>
      <c r="H735" s="86">
        <f>GDPdeflator!$C$38*INDEX(AdditionalVehs!$AA$46:$AK$91,MATCH($C735,AdditionalVehs!$C$46:$C$91,0),MATCH(H$7,AdditionalVehs!$AA$45:$AK$45,0))</f>
        <v>39.890357600426661</v>
      </c>
      <c r="I735" s="86">
        <f>GDPdeflator!$C$38*INDEX(AdditionalVehs!$AA$46:$AK$91,MATCH($C735,AdditionalVehs!$C$46:$C$91,0),MATCH(I$7,AdditionalVehs!$AA$45:$AK$45,0))</f>
        <v>40.660754409630286</v>
      </c>
      <c r="J735" s="86">
        <f>GDPdeflator!$C$38*INDEX(AdditionalVehs!$AA$46:$AK$91,MATCH($C735,AdditionalVehs!$C$46:$C$91,0),MATCH(J$7,AdditionalVehs!$AA$45:$AK$45,0))</f>
        <v>40.540607691091601</v>
      </c>
      <c r="K735" s="86">
        <f>GDPdeflator!$C$38*INDEX(AdditionalVehs!$AA$46:$AK$91,MATCH($C735,AdditionalVehs!$C$46:$C$91,0),MATCH(K$7,AdditionalVehs!$AA$45:$AK$45,0))</f>
        <v>40.502532903373272</v>
      </c>
      <c r="L735" s="86">
        <f>GDPdeflator!$C$38*INDEX(AdditionalVehs!$AA$46:$AK$91,MATCH($C735,AdditionalVehs!$C$46:$C$91,0),MATCH(L$7,AdditionalVehs!$AA$45:$AK$45,0))</f>
        <v>40.502497859850287</v>
      </c>
      <c r="M735" s="86">
        <f>GDPdeflator!$C$38*INDEX(AdditionalVehs!$AA$46:$AK$91,MATCH($C735,AdditionalVehs!$C$46:$C$91,0),MATCH(M$7,AdditionalVehs!$AA$45:$AK$45,0))</f>
        <v>40.502497859850287</v>
      </c>
      <c r="N735" s="86">
        <f>GDPdeflator!$C$38*INDEX(AdditionalVehs!$AA$46:$AK$91,MATCH($C735,AdditionalVehs!$C$46:$C$91,0),MATCH(N$7,AdditionalVehs!$AA$45:$AK$45,0))</f>
        <v>40.502497859850287</v>
      </c>
      <c r="O735" s="86">
        <f>GDPdeflator!$C$38*INDEX(AdditionalVehs!$AA$46:$AK$91,MATCH($C735,AdditionalVehs!$C$46:$C$91,0),MATCH(O$7,AdditionalVehs!$AA$45:$AK$45,0))</f>
        <v>40.502497859850287</v>
      </c>
      <c r="P735" s="87">
        <f t="shared" si="314"/>
        <v>0</v>
      </c>
      <c r="Q735" s="87">
        <f t="shared" si="310"/>
        <v>3264.5330694387821</v>
      </c>
      <c r="R735" s="87">
        <f t="shared" si="309"/>
        <v>3267.4098599668632</v>
      </c>
      <c r="S735" s="87">
        <f t="shared" si="298"/>
        <v>3330.7709635375468</v>
      </c>
      <c r="T735" s="87">
        <f t="shared" si="299"/>
        <v>3395.0976699612056</v>
      </c>
      <c r="U735" s="87">
        <f t="shared" si="300"/>
        <v>3385.0656415326443</v>
      </c>
      <c r="V735" s="87">
        <f t="shared" si="301"/>
        <v>3381.8864672909544</v>
      </c>
      <c r="W735" s="87">
        <f t="shared" si="302"/>
        <v>3381.8835412217027</v>
      </c>
      <c r="X735" s="87">
        <f t="shared" si="303"/>
        <v>3381.8835412217027</v>
      </c>
      <c r="Y735" s="87">
        <f t="shared" si="304"/>
        <v>3381.8835412217027</v>
      </c>
      <c r="Z735" s="87">
        <f t="shared" si="305"/>
        <v>3381.8835412217027</v>
      </c>
      <c r="AA735" s="40">
        <v>473</v>
      </c>
      <c r="AB735" s="89">
        <f>AA735*GDPdeflator!$C$25/$AI$18*10^3</f>
        <v>45.478712808157368</v>
      </c>
      <c r="AC735" s="90" t="e">
        <f>INDEX(AdditionalVehs!$E$46:$N$91,MATCH(C735,AdditionalVehs!$C$46:$C$91),MATCH(D735,AdditionalVehs!$E$45:$N$45))</f>
        <v>#REF!</v>
      </c>
      <c r="AD735" s="90" t="e">
        <f t="shared" si="307"/>
        <v>#REF!</v>
      </c>
      <c r="AE735" s="90" t="e">
        <f>INDEX(AdditionalVehs!$P$46:$Y$91,MATCH(C735,AdditionalVehs!$C$46:$C$91),MATCH(D735,AdditionalVehs!$AA$45:$AJ$45))</f>
        <v>#REF!</v>
      </c>
      <c r="AF735" s="90" t="e">
        <f t="shared" si="312"/>
        <v>#REF!</v>
      </c>
      <c r="AG735" s="90" t="e">
        <f>AdditionalVehs!$C$27</f>
        <v>#REF!</v>
      </c>
    </row>
    <row r="736" spans="1:33" x14ac:dyDescent="0.2">
      <c r="A736" s="92" t="s">
        <v>2313</v>
      </c>
      <c r="B736" s="248" t="s">
        <v>2314</v>
      </c>
      <c r="C736" s="40" t="s">
        <v>2308</v>
      </c>
      <c r="D736" s="40">
        <v>2025</v>
      </c>
      <c r="E736" s="86">
        <f>GDPdeflator!$C$32*INDEX(AdditionalVehs!$AA$46:$AK$91,MATCH($C736,AdditionalVehs!$C$46:$C$91,0),MATCH(E$7,AdditionalVehs!$AA$45:$AK$45,0))</f>
        <v>0</v>
      </c>
      <c r="F736" s="86">
        <f>GDPdeflator!$C$36*INDEX(AdditionalVehs!$AA$46:$AK$91,MATCH($C736,AdditionalVehs!$C$46:$C$91,0),MATCH(F$7,AdditionalVehs!$AA$45:$AK$45,0))</f>
        <v>39.097071808271011</v>
      </c>
      <c r="G736" s="86">
        <f>GDPdeflator!$C$38*INDEX(AdditionalVehs!$AA$46:$AK$91,MATCH($C736,AdditionalVehs!$C$46:$C$91,0),MATCH(G$7,AdditionalVehs!$AA$45:$AK$45,0))</f>
        <v>39.131525153806599</v>
      </c>
      <c r="H736" s="86">
        <f>GDPdeflator!$C$38*INDEX(AdditionalVehs!$AA$46:$AK$91,MATCH($C736,AdditionalVehs!$C$46:$C$91,0),MATCH(H$7,AdditionalVehs!$AA$45:$AK$45,0))</f>
        <v>39.890357600426661</v>
      </c>
      <c r="I736" s="86">
        <f>GDPdeflator!$C$38*INDEX(AdditionalVehs!$AA$46:$AK$91,MATCH($C736,AdditionalVehs!$C$46:$C$91,0),MATCH(I$7,AdditionalVehs!$AA$45:$AK$45,0))</f>
        <v>40.660754409630286</v>
      </c>
      <c r="J736" s="86">
        <f>GDPdeflator!$C$38*INDEX(AdditionalVehs!$AA$46:$AK$91,MATCH($C736,AdditionalVehs!$C$46:$C$91,0),MATCH(J$7,AdditionalVehs!$AA$45:$AK$45,0))</f>
        <v>40.540607691091601</v>
      </c>
      <c r="K736" s="86">
        <f>GDPdeflator!$C$38*INDEX(AdditionalVehs!$AA$46:$AK$91,MATCH($C736,AdditionalVehs!$C$46:$C$91,0),MATCH(K$7,AdditionalVehs!$AA$45:$AK$45,0))</f>
        <v>40.502532903373272</v>
      </c>
      <c r="L736" s="86">
        <f>GDPdeflator!$C$38*INDEX(AdditionalVehs!$AA$46:$AK$91,MATCH($C736,AdditionalVehs!$C$46:$C$91,0),MATCH(L$7,AdditionalVehs!$AA$45:$AK$45,0))</f>
        <v>40.502497859850287</v>
      </c>
      <c r="M736" s="86">
        <f>GDPdeflator!$C$38*INDEX(AdditionalVehs!$AA$46:$AK$91,MATCH($C736,AdditionalVehs!$C$46:$C$91,0),MATCH(M$7,AdditionalVehs!$AA$45:$AK$45,0))</f>
        <v>40.502497859850287</v>
      </c>
      <c r="N736" s="86">
        <f>GDPdeflator!$C$38*INDEX(AdditionalVehs!$AA$46:$AK$91,MATCH($C736,AdditionalVehs!$C$46:$C$91,0),MATCH(N$7,AdditionalVehs!$AA$45:$AK$45,0))</f>
        <v>40.502497859850287</v>
      </c>
      <c r="O736" s="86">
        <f>GDPdeflator!$C$38*INDEX(AdditionalVehs!$AA$46:$AK$91,MATCH($C736,AdditionalVehs!$C$46:$C$91,0),MATCH(O$7,AdditionalVehs!$AA$45:$AK$45,0))</f>
        <v>40.502497859850287</v>
      </c>
      <c r="P736" s="87">
        <f t="shared" si="314"/>
        <v>0</v>
      </c>
      <c r="Q736" s="87">
        <f t="shared" si="310"/>
        <v>3264.5330694387821</v>
      </c>
      <c r="R736" s="87">
        <f t="shared" si="309"/>
        <v>3267.4098599668632</v>
      </c>
      <c r="S736" s="87">
        <f t="shared" si="298"/>
        <v>3330.7709635375468</v>
      </c>
      <c r="T736" s="87">
        <f t="shared" si="299"/>
        <v>3395.0976699612056</v>
      </c>
      <c r="U736" s="87">
        <f t="shared" si="300"/>
        <v>3385.0656415326443</v>
      </c>
      <c r="V736" s="87">
        <f t="shared" si="301"/>
        <v>3381.8864672909544</v>
      </c>
      <c r="W736" s="87">
        <f t="shared" si="302"/>
        <v>3381.8835412217027</v>
      </c>
      <c r="X736" s="87">
        <f t="shared" si="303"/>
        <v>3381.8835412217027</v>
      </c>
      <c r="Y736" s="87">
        <f t="shared" si="304"/>
        <v>3381.8835412217027</v>
      </c>
      <c r="Z736" s="87">
        <f t="shared" si="305"/>
        <v>3381.8835412217027</v>
      </c>
      <c r="AA736" s="40">
        <v>473</v>
      </c>
      <c r="AB736" s="89">
        <f>AA736*GDPdeflator!$C$25/$AI$18*10^3</f>
        <v>45.478712808157368</v>
      </c>
      <c r="AC736" s="90" t="e">
        <f>INDEX(AdditionalVehs!$E$46:$N$91,MATCH(C736,AdditionalVehs!$C$46:$C$91),MATCH(D736,AdditionalVehs!$E$45:$N$45))</f>
        <v>#REF!</v>
      </c>
      <c r="AD736" s="90" t="e">
        <f t="shared" si="307"/>
        <v>#REF!</v>
      </c>
      <c r="AE736" s="90" t="e">
        <f>INDEX(AdditionalVehs!$P$46:$Y$91,MATCH(C736,AdditionalVehs!$C$46:$C$91),MATCH(D736,AdditionalVehs!$AA$45:$AJ$45))</f>
        <v>#REF!</v>
      </c>
      <c r="AF736" s="90" t="e">
        <f t="shared" si="312"/>
        <v>#REF!</v>
      </c>
      <c r="AG736" s="90" t="e">
        <f>AdditionalVehs!$C$27</f>
        <v>#REF!</v>
      </c>
    </row>
    <row r="737" spans="1:33" x14ac:dyDescent="0.2">
      <c r="A737" s="92" t="s">
        <v>2315</v>
      </c>
      <c r="B737" s="248" t="s">
        <v>2316</v>
      </c>
      <c r="C737" s="40" t="s">
        <v>2308</v>
      </c>
      <c r="D737" s="40">
        <v>2030</v>
      </c>
      <c r="E737" s="86">
        <f>GDPdeflator!$C$32*INDEX(AdditionalVehs!$AA$46:$AK$91,MATCH($C737,AdditionalVehs!$C$46:$C$91,0),MATCH(E$7,AdditionalVehs!$AA$45:$AK$45,0))</f>
        <v>0</v>
      </c>
      <c r="F737" s="86">
        <f>GDPdeflator!$C$36*INDEX(AdditionalVehs!$AA$46:$AK$91,MATCH($C737,AdditionalVehs!$C$46:$C$91,0),MATCH(F$7,AdditionalVehs!$AA$45:$AK$45,0))</f>
        <v>39.097071808271011</v>
      </c>
      <c r="G737" s="86">
        <f>GDPdeflator!$C$38*INDEX(AdditionalVehs!$AA$46:$AK$91,MATCH($C737,AdditionalVehs!$C$46:$C$91,0),MATCH(G$7,AdditionalVehs!$AA$45:$AK$45,0))</f>
        <v>39.131525153806599</v>
      </c>
      <c r="H737" s="86">
        <f>GDPdeflator!$C$38*INDEX(AdditionalVehs!$AA$46:$AK$91,MATCH($C737,AdditionalVehs!$C$46:$C$91,0),MATCH(H$7,AdditionalVehs!$AA$45:$AK$45,0))</f>
        <v>39.890357600426661</v>
      </c>
      <c r="I737" s="86">
        <f>GDPdeflator!$C$38*INDEX(AdditionalVehs!$AA$46:$AK$91,MATCH($C737,AdditionalVehs!$C$46:$C$91,0),MATCH(I$7,AdditionalVehs!$AA$45:$AK$45,0))</f>
        <v>40.660754409630286</v>
      </c>
      <c r="J737" s="86">
        <f>GDPdeflator!$C$38*INDEX(AdditionalVehs!$AA$46:$AK$91,MATCH($C737,AdditionalVehs!$C$46:$C$91,0),MATCH(J$7,AdditionalVehs!$AA$45:$AK$45,0))</f>
        <v>40.540607691091601</v>
      </c>
      <c r="K737" s="86">
        <f>GDPdeflator!$C$38*INDEX(AdditionalVehs!$AA$46:$AK$91,MATCH($C737,AdditionalVehs!$C$46:$C$91,0),MATCH(K$7,AdditionalVehs!$AA$45:$AK$45,0))</f>
        <v>40.502532903373272</v>
      </c>
      <c r="L737" s="86">
        <f>GDPdeflator!$C$38*INDEX(AdditionalVehs!$AA$46:$AK$91,MATCH($C737,AdditionalVehs!$C$46:$C$91,0),MATCH(L$7,AdditionalVehs!$AA$45:$AK$45,0))</f>
        <v>40.502497859850287</v>
      </c>
      <c r="M737" s="86">
        <f>GDPdeflator!$C$38*INDEX(AdditionalVehs!$AA$46:$AK$91,MATCH($C737,AdditionalVehs!$C$46:$C$91,0),MATCH(M$7,AdditionalVehs!$AA$45:$AK$45,0))</f>
        <v>40.502497859850287</v>
      </c>
      <c r="N737" s="86">
        <f>GDPdeflator!$C$38*INDEX(AdditionalVehs!$AA$46:$AK$91,MATCH($C737,AdditionalVehs!$C$46:$C$91,0),MATCH(N$7,AdditionalVehs!$AA$45:$AK$45,0))</f>
        <v>40.502497859850287</v>
      </c>
      <c r="O737" s="86">
        <f>GDPdeflator!$C$38*INDEX(AdditionalVehs!$AA$46:$AK$91,MATCH($C737,AdditionalVehs!$C$46:$C$91,0),MATCH(O$7,AdditionalVehs!$AA$45:$AK$45,0))</f>
        <v>40.502497859850287</v>
      </c>
      <c r="P737" s="87">
        <f t="shared" si="314"/>
        <v>0</v>
      </c>
      <c r="Q737" s="87">
        <f t="shared" si="310"/>
        <v>3264.5330694387821</v>
      </c>
      <c r="R737" s="87">
        <f t="shared" si="309"/>
        <v>3267.4098599668632</v>
      </c>
      <c r="S737" s="87">
        <f t="shared" si="298"/>
        <v>3330.7709635375468</v>
      </c>
      <c r="T737" s="87">
        <f t="shared" si="299"/>
        <v>3395.0976699612056</v>
      </c>
      <c r="U737" s="87">
        <f t="shared" si="300"/>
        <v>3385.0656415326443</v>
      </c>
      <c r="V737" s="87">
        <f t="shared" si="301"/>
        <v>3381.8864672909544</v>
      </c>
      <c r="W737" s="87">
        <f t="shared" si="302"/>
        <v>3381.8835412217027</v>
      </c>
      <c r="X737" s="87">
        <f t="shared" si="303"/>
        <v>3381.8835412217027</v>
      </c>
      <c r="Y737" s="87">
        <f t="shared" si="304"/>
        <v>3381.8835412217027</v>
      </c>
      <c r="Z737" s="87">
        <f t="shared" si="305"/>
        <v>3381.8835412217027</v>
      </c>
      <c r="AA737" s="40">
        <v>473</v>
      </c>
      <c r="AB737" s="89">
        <f>AA737*GDPdeflator!$C$25/$AI$18*10^3</f>
        <v>45.478712808157368</v>
      </c>
      <c r="AC737" s="90" t="e">
        <f>INDEX(AdditionalVehs!$E$46:$N$91,MATCH(C737,AdditionalVehs!$C$46:$C$91),MATCH(D737,AdditionalVehs!$E$45:$N$45))</f>
        <v>#REF!</v>
      </c>
      <c r="AD737" s="90" t="e">
        <f t="shared" si="307"/>
        <v>#REF!</v>
      </c>
      <c r="AE737" s="90" t="e">
        <f>INDEX(AdditionalVehs!$P$46:$Y$91,MATCH(C737,AdditionalVehs!$C$46:$C$91),MATCH(D737,AdditionalVehs!$AA$45:$AJ$45))</f>
        <v>#REF!</v>
      </c>
      <c r="AF737" s="90" t="e">
        <f t="shared" si="312"/>
        <v>#REF!</v>
      </c>
      <c r="AG737" s="90" t="e">
        <f>AdditionalVehs!$C$27</f>
        <v>#REF!</v>
      </c>
    </row>
    <row r="738" spans="1:33" x14ac:dyDescent="0.2">
      <c r="A738" s="92" t="s">
        <v>2317</v>
      </c>
      <c r="B738" s="248" t="s">
        <v>2318</v>
      </c>
      <c r="C738" s="40" t="s">
        <v>2308</v>
      </c>
      <c r="D738" s="40">
        <v>2035</v>
      </c>
      <c r="E738" s="86">
        <f>GDPdeflator!$C$32*INDEX(AdditionalVehs!$AA$46:$AK$91,MATCH($C738,AdditionalVehs!$C$46:$C$91,0),MATCH(E$7,AdditionalVehs!$AA$45:$AK$45,0))</f>
        <v>0</v>
      </c>
      <c r="F738" s="86">
        <f>GDPdeflator!$C$36*INDEX(AdditionalVehs!$AA$46:$AK$91,MATCH($C738,AdditionalVehs!$C$46:$C$91,0),MATCH(F$7,AdditionalVehs!$AA$45:$AK$45,0))</f>
        <v>39.097071808271011</v>
      </c>
      <c r="G738" s="86">
        <f>GDPdeflator!$C$38*INDEX(AdditionalVehs!$AA$46:$AK$91,MATCH($C738,AdditionalVehs!$C$46:$C$91,0),MATCH(G$7,AdditionalVehs!$AA$45:$AK$45,0))</f>
        <v>39.131525153806599</v>
      </c>
      <c r="H738" s="86">
        <f>GDPdeflator!$C$38*INDEX(AdditionalVehs!$AA$46:$AK$91,MATCH($C738,AdditionalVehs!$C$46:$C$91,0),MATCH(H$7,AdditionalVehs!$AA$45:$AK$45,0))</f>
        <v>39.890357600426661</v>
      </c>
      <c r="I738" s="86">
        <f>GDPdeflator!$C$38*INDEX(AdditionalVehs!$AA$46:$AK$91,MATCH($C738,AdditionalVehs!$C$46:$C$91,0),MATCH(I$7,AdditionalVehs!$AA$45:$AK$45,0))</f>
        <v>40.660754409630286</v>
      </c>
      <c r="J738" s="86">
        <f>GDPdeflator!$C$38*INDEX(AdditionalVehs!$AA$46:$AK$91,MATCH($C738,AdditionalVehs!$C$46:$C$91,0),MATCH(J$7,AdditionalVehs!$AA$45:$AK$45,0))</f>
        <v>40.540607691091601</v>
      </c>
      <c r="K738" s="86">
        <f>GDPdeflator!$C$38*INDEX(AdditionalVehs!$AA$46:$AK$91,MATCH($C738,AdditionalVehs!$C$46:$C$91,0),MATCH(K$7,AdditionalVehs!$AA$45:$AK$45,0))</f>
        <v>40.502532903373272</v>
      </c>
      <c r="L738" s="86">
        <f>GDPdeflator!$C$38*INDEX(AdditionalVehs!$AA$46:$AK$91,MATCH($C738,AdditionalVehs!$C$46:$C$91,0),MATCH(L$7,AdditionalVehs!$AA$45:$AK$45,0))</f>
        <v>40.502497859850287</v>
      </c>
      <c r="M738" s="86">
        <f>GDPdeflator!$C$38*INDEX(AdditionalVehs!$AA$46:$AK$91,MATCH($C738,AdditionalVehs!$C$46:$C$91,0),MATCH(M$7,AdditionalVehs!$AA$45:$AK$45,0))</f>
        <v>40.502497859850287</v>
      </c>
      <c r="N738" s="86">
        <f>GDPdeflator!$C$38*INDEX(AdditionalVehs!$AA$46:$AK$91,MATCH($C738,AdditionalVehs!$C$46:$C$91,0),MATCH(N$7,AdditionalVehs!$AA$45:$AK$45,0))</f>
        <v>40.502497859850287</v>
      </c>
      <c r="O738" s="86">
        <f>GDPdeflator!$C$38*INDEX(AdditionalVehs!$AA$46:$AK$91,MATCH($C738,AdditionalVehs!$C$46:$C$91,0),MATCH(O$7,AdditionalVehs!$AA$45:$AK$45,0))</f>
        <v>40.502497859850287</v>
      </c>
      <c r="P738" s="87">
        <f t="shared" si="314"/>
        <v>0</v>
      </c>
      <c r="Q738" s="87">
        <f t="shared" si="310"/>
        <v>3264.5330694387821</v>
      </c>
      <c r="R738" s="87">
        <f t="shared" si="309"/>
        <v>3267.4098599668632</v>
      </c>
      <c r="S738" s="87">
        <f t="shared" si="298"/>
        <v>3330.7709635375468</v>
      </c>
      <c r="T738" s="87">
        <f t="shared" si="299"/>
        <v>3395.0976699612056</v>
      </c>
      <c r="U738" s="87">
        <f t="shared" si="300"/>
        <v>3385.0656415326443</v>
      </c>
      <c r="V738" s="87">
        <f t="shared" si="301"/>
        <v>3381.8864672909544</v>
      </c>
      <c r="W738" s="87">
        <f t="shared" si="302"/>
        <v>3381.8835412217027</v>
      </c>
      <c r="X738" s="87">
        <f t="shared" si="303"/>
        <v>3381.8835412217027</v>
      </c>
      <c r="Y738" s="87">
        <f t="shared" si="304"/>
        <v>3381.8835412217027</v>
      </c>
      <c r="Z738" s="87">
        <f t="shared" si="305"/>
        <v>3381.8835412217027</v>
      </c>
      <c r="AA738" s="40">
        <v>473</v>
      </c>
      <c r="AB738" s="89">
        <f>AA738*GDPdeflator!$C$25/$AI$18*10^3</f>
        <v>45.478712808157368</v>
      </c>
      <c r="AC738" s="90" t="e">
        <f>INDEX(AdditionalVehs!$E$46:$N$91,MATCH(C738,AdditionalVehs!$C$46:$C$91),MATCH(D738,AdditionalVehs!$E$45:$N$45))</f>
        <v>#REF!</v>
      </c>
      <c r="AD738" s="90" t="e">
        <f t="shared" si="307"/>
        <v>#REF!</v>
      </c>
      <c r="AE738" s="90" t="e">
        <f>INDEX(AdditionalVehs!$P$46:$Y$91,MATCH(C738,AdditionalVehs!$C$46:$C$91),MATCH(D738,AdditionalVehs!$AA$45:$AJ$45))</f>
        <v>#REF!</v>
      </c>
      <c r="AF738" s="90" t="e">
        <f t="shared" si="312"/>
        <v>#REF!</v>
      </c>
      <c r="AG738" s="90" t="e">
        <f>AdditionalVehs!$C$27</f>
        <v>#REF!</v>
      </c>
    </row>
    <row r="739" spans="1:33" x14ac:dyDescent="0.2">
      <c r="A739" s="92" t="s">
        <v>2319</v>
      </c>
      <c r="B739" s="248" t="s">
        <v>2320</v>
      </c>
      <c r="C739" s="40" t="s">
        <v>2308</v>
      </c>
      <c r="D739" s="40">
        <v>2040</v>
      </c>
      <c r="E739" s="86">
        <f>GDPdeflator!$C$32*INDEX(AdditionalVehs!$AA$46:$AK$91,MATCH($C739,AdditionalVehs!$C$46:$C$91,0),MATCH(E$7,AdditionalVehs!$AA$45:$AK$45,0))</f>
        <v>0</v>
      </c>
      <c r="F739" s="86">
        <f>GDPdeflator!$C$36*INDEX(AdditionalVehs!$AA$46:$AK$91,MATCH($C739,AdditionalVehs!$C$46:$C$91,0),MATCH(F$7,AdditionalVehs!$AA$45:$AK$45,0))</f>
        <v>39.097071808271011</v>
      </c>
      <c r="G739" s="86">
        <f>GDPdeflator!$C$38*INDEX(AdditionalVehs!$AA$46:$AK$91,MATCH($C739,AdditionalVehs!$C$46:$C$91,0),MATCH(G$7,AdditionalVehs!$AA$45:$AK$45,0))</f>
        <v>39.131525153806599</v>
      </c>
      <c r="H739" s="86">
        <f>GDPdeflator!$C$38*INDEX(AdditionalVehs!$AA$46:$AK$91,MATCH($C739,AdditionalVehs!$C$46:$C$91,0),MATCH(H$7,AdditionalVehs!$AA$45:$AK$45,0))</f>
        <v>39.890357600426661</v>
      </c>
      <c r="I739" s="86">
        <f>GDPdeflator!$C$38*INDEX(AdditionalVehs!$AA$46:$AK$91,MATCH($C739,AdditionalVehs!$C$46:$C$91,0),MATCH(I$7,AdditionalVehs!$AA$45:$AK$45,0))</f>
        <v>40.660754409630286</v>
      </c>
      <c r="J739" s="86">
        <f>GDPdeflator!$C$38*INDEX(AdditionalVehs!$AA$46:$AK$91,MATCH($C739,AdditionalVehs!$C$46:$C$91,0),MATCH(J$7,AdditionalVehs!$AA$45:$AK$45,0))</f>
        <v>40.540607691091601</v>
      </c>
      <c r="K739" s="86">
        <f>GDPdeflator!$C$38*INDEX(AdditionalVehs!$AA$46:$AK$91,MATCH($C739,AdditionalVehs!$C$46:$C$91,0),MATCH(K$7,AdditionalVehs!$AA$45:$AK$45,0))</f>
        <v>40.502532903373272</v>
      </c>
      <c r="L739" s="86">
        <f>GDPdeflator!$C$38*INDEX(AdditionalVehs!$AA$46:$AK$91,MATCH($C739,AdditionalVehs!$C$46:$C$91,0),MATCH(L$7,AdditionalVehs!$AA$45:$AK$45,0))</f>
        <v>40.502497859850287</v>
      </c>
      <c r="M739" s="86">
        <f>GDPdeflator!$C$38*INDEX(AdditionalVehs!$AA$46:$AK$91,MATCH($C739,AdditionalVehs!$C$46:$C$91,0),MATCH(M$7,AdditionalVehs!$AA$45:$AK$45,0))</f>
        <v>40.502497859850287</v>
      </c>
      <c r="N739" s="86">
        <f>GDPdeflator!$C$38*INDEX(AdditionalVehs!$AA$46:$AK$91,MATCH($C739,AdditionalVehs!$C$46:$C$91,0),MATCH(N$7,AdditionalVehs!$AA$45:$AK$45,0))</f>
        <v>40.502497859850287</v>
      </c>
      <c r="O739" s="86">
        <f>GDPdeflator!$C$38*INDEX(AdditionalVehs!$AA$46:$AK$91,MATCH($C739,AdditionalVehs!$C$46:$C$91,0),MATCH(O$7,AdditionalVehs!$AA$45:$AK$45,0))</f>
        <v>40.502497859850287</v>
      </c>
      <c r="P739" s="87">
        <f t="shared" si="314"/>
        <v>0</v>
      </c>
      <c r="Q739" s="87">
        <f t="shared" si="310"/>
        <v>3264.5330694387821</v>
      </c>
      <c r="R739" s="87">
        <f t="shared" si="309"/>
        <v>3267.4098599668632</v>
      </c>
      <c r="S739" s="87">
        <f t="shared" si="298"/>
        <v>3330.7709635375468</v>
      </c>
      <c r="T739" s="87">
        <f t="shared" si="299"/>
        <v>3395.0976699612056</v>
      </c>
      <c r="U739" s="87">
        <f t="shared" si="300"/>
        <v>3385.0656415326443</v>
      </c>
      <c r="V739" s="87">
        <f t="shared" si="301"/>
        <v>3381.8864672909544</v>
      </c>
      <c r="W739" s="87">
        <f t="shared" si="302"/>
        <v>3381.8835412217027</v>
      </c>
      <c r="X739" s="87">
        <f t="shared" si="303"/>
        <v>3381.8835412217027</v>
      </c>
      <c r="Y739" s="87">
        <f t="shared" si="304"/>
        <v>3381.8835412217027</v>
      </c>
      <c r="Z739" s="87">
        <f t="shared" si="305"/>
        <v>3381.8835412217027</v>
      </c>
      <c r="AA739" s="40">
        <v>473</v>
      </c>
      <c r="AB739" s="89">
        <f>AA739*GDPdeflator!$C$25/$AI$18*10^3</f>
        <v>45.478712808157368</v>
      </c>
      <c r="AC739" s="90" t="e">
        <f>INDEX(AdditionalVehs!$E$46:$N$91,MATCH(C739,AdditionalVehs!$C$46:$C$91),MATCH(D739,AdditionalVehs!$E$45:$N$45))</f>
        <v>#REF!</v>
      </c>
      <c r="AD739" s="90" t="e">
        <f t="shared" si="307"/>
        <v>#REF!</v>
      </c>
      <c r="AE739" s="90" t="e">
        <f>INDEX(AdditionalVehs!$P$46:$Y$91,MATCH(C739,AdditionalVehs!$C$46:$C$91),MATCH(D739,AdditionalVehs!$AA$45:$AJ$45))</f>
        <v>#REF!</v>
      </c>
      <c r="AF739" s="90" t="e">
        <f t="shared" si="312"/>
        <v>#REF!</v>
      </c>
      <c r="AG739" s="90" t="e">
        <f>AdditionalVehs!$C$27</f>
        <v>#REF!</v>
      </c>
    </row>
    <row r="740" spans="1:33" x14ac:dyDescent="0.2">
      <c r="A740" s="92" t="s">
        <v>2321</v>
      </c>
      <c r="B740" s="248" t="s">
        <v>2322</v>
      </c>
      <c r="C740" s="40" t="s">
        <v>2308</v>
      </c>
      <c r="D740" s="40">
        <v>2045</v>
      </c>
      <c r="E740" s="86">
        <f>GDPdeflator!$C$32*INDEX(AdditionalVehs!$AA$46:$AK$91,MATCH($C740,AdditionalVehs!$C$46:$C$91,0),MATCH(E$7,AdditionalVehs!$AA$45:$AK$45,0))</f>
        <v>0</v>
      </c>
      <c r="F740" s="86">
        <f>GDPdeflator!$C$36*INDEX(AdditionalVehs!$AA$46:$AK$91,MATCH($C740,AdditionalVehs!$C$46:$C$91,0),MATCH(F$7,AdditionalVehs!$AA$45:$AK$45,0))</f>
        <v>39.097071808271011</v>
      </c>
      <c r="G740" s="86">
        <f>GDPdeflator!$C$38*INDEX(AdditionalVehs!$AA$46:$AK$91,MATCH($C740,AdditionalVehs!$C$46:$C$91,0),MATCH(G$7,AdditionalVehs!$AA$45:$AK$45,0))</f>
        <v>39.131525153806599</v>
      </c>
      <c r="H740" s="86">
        <f>GDPdeflator!$C$38*INDEX(AdditionalVehs!$AA$46:$AK$91,MATCH($C740,AdditionalVehs!$C$46:$C$91,0),MATCH(H$7,AdditionalVehs!$AA$45:$AK$45,0))</f>
        <v>39.890357600426661</v>
      </c>
      <c r="I740" s="86">
        <f>GDPdeflator!$C$38*INDEX(AdditionalVehs!$AA$46:$AK$91,MATCH($C740,AdditionalVehs!$C$46:$C$91,0),MATCH(I$7,AdditionalVehs!$AA$45:$AK$45,0))</f>
        <v>40.660754409630286</v>
      </c>
      <c r="J740" s="86">
        <f>GDPdeflator!$C$38*INDEX(AdditionalVehs!$AA$46:$AK$91,MATCH($C740,AdditionalVehs!$C$46:$C$91,0),MATCH(J$7,AdditionalVehs!$AA$45:$AK$45,0))</f>
        <v>40.540607691091601</v>
      </c>
      <c r="K740" s="86">
        <f>GDPdeflator!$C$38*INDEX(AdditionalVehs!$AA$46:$AK$91,MATCH($C740,AdditionalVehs!$C$46:$C$91,0),MATCH(K$7,AdditionalVehs!$AA$45:$AK$45,0))</f>
        <v>40.502532903373272</v>
      </c>
      <c r="L740" s="86">
        <f>GDPdeflator!$C$38*INDEX(AdditionalVehs!$AA$46:$AK$91,MATCH($C740,AdditionalVehs!$C$46:$C$91,0),MATCH(L$7,AdditionalVehs!$AA$45:$AK$45,0))</f>
        <v>40.502497859850287</v>
      </c>
      <c r="M740" s="86">
        <f>GDPdeflator!$C$38*INDEX(AdditionalVehs!$AA$46:$AK$91,MATCH($C740,AdditionalVehs!$C$46:$C$91,0),MATCH(M$7,AdditionalVehs!$AA$45:$AK$45,0))</f>
        <v>40.502497859850287</v>
      </c>
      <c r="N740" s="86">
        <f>GDPdeflator!$C$38*INDEX(AdditionalVehs!$AA$46:$AK$91,MATCH($C740,AdditionalVehs!$C$46:$C$91,0),MATCH(N$7,AdditionalVehs!$AA$45:$AK$45,0))</f>
        <v>40.502497859850287</v>
      </c>
      <c r="O740" s="86">
        <f>GDPdeflator!$C$38*INDEX(AdditionalVehs!$AA$46:$AK$91,MATCH($C740,AdditionalVehs!$C$46:$C$91,0),MATCH(O$7,AdditionalVehs!$AA$45:$AK$45,0))</f>
        <v>40.502497859850287</v>
      </c>
      <c r="P740" s="87">
        <f t="shared" si="314"/>
        <v>0</v>
      </c>
      <c r="Q740" s="87">
        <f t="shared" si="310"/>
        <v>3264.5330694387821</v>
      </c>
      <c r="R740" s="87">
        <f t="shared" si="309"/>
        <v>3267.4098599668632</v>
      </c>
      <c r="S740" s="87">
        <f t="shared" si="298"/>
        <v>3330.7709635375468</v>
      </c>
      <c r="T740" s="87">
        <f t="shared" si="299"/>
        <v>3395.0976699612056</v>
      </c>
      <c r="U740" s="87">
        <f t="shared" si="300"/>
        <v>3385.0656415326443</v>
      </c>
      <c r="V740" s="87">
        <f t="shared" si="301"/>
        <v>3381.8864672909544</v>
      </c>
      <c r="W740" s="87">
        <f t="shared" si="302"/>
        <v>3381.8835412217027</v>
      </c>
      <c r="X740" s="87">
        <f t="shared" si="303"/>
        <v>3381.8835412217027</v>
      </c>
      <c r="Y740" s="87">
        <f t="shared" si="304"/>
        <v>3381.8835412217027</v>
      </c>
      <c r="Z740" s="87">
        <f t="shared" si="305"/>
        <v>3381.8835412217027</v>
      </c>
      <c r="AA740" s="40">
        <v>473</v>
      </c>
      <c r="AB740" s="89">
        <f>AA740*GDPdeflator!$C$25/$AI$18*10^3</f>
        <v>45.478712808157368</v>
      </c>
      <c r="AC740" s="90" t="e">
        <f>INDEX(AdditionalVehs!$E$46:$N$91,MATCH(C740,AdditionalVehs!$C$46:$C$91),MATCH(D740,AdditionalVehs!$E$45:$N$45))</f>
        <v>#REF!</v>
      </c>
      <c r="AD740" s="90" t="e">
        <f t="shared" si="307"/>
        <v>#REF!</v>
      </c>
      <c r="AE740" s="90" t="e">
        <f>INDEX(AdditionalVehs!$P$46:$Y$91,MATCH(C740,AdditionalVehs!$C$46:$C$91),MATCH(D740,AdditionalVehs!$AA$45:$AJ$45))</f>
        <v>#REF!</v>
      </c>
      <c r="AF740" s="90" t="e">
        <f t="shared" si="312"/>
        <v>#REF!</v>
      </c>
      <c r="AG740" s="90" t="e">
        <f>AdditionalVehs!$C$27</f>
        <v>#REF!</v>
      </c>
    </row>
    <row r="741" spans="1:33" x14ac:dyDescent="0.2">
      <c r="A741" s="92" t="s">
        <v>2323</v>
      </c>
      <c r="B741" s="248" t="s">
        <v>2324</v>
      </c>
      <c r="C741" s="40" t="s">
        <v>2308</v>
      </c>
      <c r="D741" s="40">
        <v>2050</v>
      </c>
      <c r="E741" s="86">
        <f>GDPdeflator!$C$32*INDEX(AdditionalVehs!$AA$46:$AK$91,MATCH($C741,AdditionalVehs!$C$46:$C$91,0),MATCH(E$7,AdditionalVehs!$AA$45:$AK$45,0))</f>
        <v>0</v>
      </c>
      <c r="F741" s="86">
        <f>GDPdeflator!$C$36*INDEX(AdditionalVehs!$AA$46:$AK$91,MATCH($C741,AdditionalVehs!$C$46:$C$91,0),MATCH(F$7,AdditionalVehs!$AA$45:$AK$45,0))</f>
        <v>39.097071808271011</v>
      </c>
      <c r="G741" s="86">
        <f>GDPdeflator!$C$38*INDEX(AdditionalVehs!$AA$46:$AK$91,MATCH($C741,AdditionalVehs!$C$46:$C$91,0),MATCH(G$7,AdditionalVehs!$AA$45:$AK$45,0))</f>
        <v>39.131525153806599</v>
      </c>
      <c r="H741" s="86">
        <f>GDPdeflator!$C$38*INDEX(AdditionalVehs!$AA$46:$AK$91,MATCH($C741,AdditionalVehs!$C$46:$C$91,0),MATCH(H$7,AdditionalVehs!$AA$45:$AK$45,0))</f>
        <v>39.890357600426661</v>
      </c>
      <c r="I741" s="86">
        <f>GDPdeflator!$C$38*INDEX(AdditionalVehs!$AA$46:$AK$91,MATCH($C741,AdditionalVehs!$C$46:$C$91,0),MATCH(I$7,AdditionalVehs!$AA$45:$AK$45,0))</f>
        <v>40.660754409630286</v>
      </c>
      <c r="J741" s="86">
        <f>GDPdeflator!$C$38*INDEX(AdditionalVehs!$AA$46:$AK$91,MATCH($C741,AdditionalVehs!$C$46:$C$91,0),MATCH(J$7,AdditionalVehs!$AA$45:$AK$45,0))</f>
        <v>40.540607691091601</v>
      </c>
      <c r="K741" s="86">
        <f>GDPdeflator!$C$38*INDEX(AdditionalVehs!$AA$46:$AK$91,MATCH($C741,AdditionalVehs!$C$46:$C$91,0),MATCH(K$7,AdditionalVehs!$AA$45:$AK$45,0))</f>
        <v>40.502532903373272</v>
      </c>
      <c r="L741" s="86">
        <f>GDPdeflator!$C$38*INDEX(AdditionalVehs!$AA$46:$AK$91,MATCH($C741,AdditionalVehs!$C$46:$C$91,0),MATCH(L$7,AdditionalVehs!$AA$45:$AK$45,0))</f>
        <v>40.502497859850287</v>
      </c>
      <c r="M741" s="86">
        <f>GDPdeflator!$C$38*INDEX(AdditionalVehs!$AA$46:$AK$91,MATCH($C741,AdditionalVehs!$C$46:$C$91,0),MATCH(M$7,AdditionalVehs!$AA$45:$AK$45,0))</f>
        <v>40.502497859850287</v>
      </c>
      <c r="N741" s="86">
        <f>GDPdeflator!$C$38*INDEX(AdditionalVehs!$AA$46:$AK$91,MATCH($C741,AdditionalVehs!$C$46:$C$91,0),MATCH(N$7,AdditionalVehs!$AA$45:$AK$45,0))</f>
        <v>40.502497859850287</v>
      </c>
      <c r="O741" s="86">
        <f>GDPdeflator!$C$38*INDEX(AdditionalVehs!$AA$46:$AK$91,MATCH($C741,AdditionalVehs!$C$46:$C$91,0),MATCH(O$7,AdditionalVehs!$AA$45:$AK$45,0))</f>
        <v>40.502497859850287</v>
      </c>
      <c r="P741" s="87">
        <f t="shared" si="314"/>
        <v>0</v>
      </c>
      <c r="Q741" s="87">
        <f t="shared" si="310"/>
        <v>3264.5330694387821</v>
      </c>
      <c r="R741" s="87">
        <f t="shared" si="309"/>
        <v>3267.4098599668632</v>
      </c>
      <c r="S741" s="87">
        <f t="shared" si="298"/>
        <v>3330.7709635375468</v>
      </c>
      <c r="T741" s="87">
        <f t="shared" si="299"/>
        <v>3395.0976699612056</v>
      </c>
      <c r="U741" s="87">
        <f t="shared" si="300"/>
        <v>3385.0656415326443</v>
      </c>
      <c r="V741" s="87">
        <f t="shared" si="301"/>
        <v>3381.8864672909544</v>
      </c>
      <c r="W741" s="87">
        <f t="shared" si="302"/>
        <v>3381.8835412217027</v>
      </c>
      <c r="X741" s="87">
        <f t="shared" si="303"/>
        <v>3381.8835412217027</v>
      </c>
      <c r="Y741" s="87">
        <f t="shared" si="304"/>
        <v>3381.8835412217027</v>
      </c>
      <c r="Z741" s="87">
        <f t="shared" si="305"/>
        <v>3381.8835412217027</v>
      </c>
      <c r="AA741" s="40">
        <v>473</v>
      </c>
      <c r="AB741" s="89">
        <f>AA741*GDPdeflator!$C$25/$AI$18*10^3</f>
        <v>45.478712808157368</v>
      </c>
      <c r="AC741" s="90" t="e">
        <f>INDEX(AdditionalVehs!$E$46:$N$91,MATCH(C741,AdditionalVehs!$C$46:$C$91),MATCH(D741,AdditionalVehs!$E$45:$N$45))</f>
        <v>#REF!</v>
      </c>
      <c r="AD741" s="90" t="e">
        <f t="shared" si="307"/>
        <v>#REF!</v>
      </c>
      <c r="AE741" s="90" t="e">
        <f>INDEX(AdditionalVehs!$P$46:$Y$91,MATCH(C741,AdditionalVehs!$C$46:$C$91),MATCH(D741,AdditionalVehs!$AA$45:$AJ$45))</f>
        <v>#REF!</v>
      </c>
      <c r="AF741" s="90" t="e">
        <f t="shared" si="312"/>
        <v>#REF!</v>
      </c>
      <c r="AG741" s="90" t="e">
        <f>AdditionalVehs!$C$27</f>
        <v>#REF!</v>
      </c>
    </row>
    <row r="742" spans="1:33" x14ac:dyDescent="0.2">
      <c r="A742" s="92" t="s">
        <v>2325</v>
      </c>
      <c r="B742" s="248" t="s">
        <v>2326</v>
      </c>
      <c r="C742" s="40" t="s">
        <v>2327</v>
      </c>
      <c r="D742" s="40">
        <v>2010</v>
      </c>
      <c r="E742" s="86">
        <f>GDPdeflator!$C$32*INDEX(AdditionalVehs!$AA$46:$AK$91,MATCH($C742,AdditionalVehs!$C$46:$C$91,0),MATCH(E$7,AdditionalVehs!$AA$45:$AK$45,0))</f>
        <v>0</v>
      </c>
      <c r="F742" s="86">
        <f>GDPdeflator!$C$36*INDEX(AdditionalVehs!$AA$46:$AK$91,MATCH($C742,AdditionalVehs!$C$46:$C$91,0),MATCH(F$7,AdditionalVehs!$AA$45:$AK$45,0))</f>
        <v>28.014631948824217</v>
      </c>
      <c r="G742" s="86">
        <f>GDPdeflator!$C$38*INDEX(AdditionalVehs!$AA$46:$AK$91,MATCH($C742,AdditionalVehs!$C$46:$C$91,0),MATCH(G$7,AdditionalVehs!$AA$45:$AK$45,0))</f>
        <v>28.84264167615855</v>
      </c>
      <c r="H742" s="86">
        <f>GDPdeflator!$C$38*INDEX(AdditionalVehs!$AA$46:$AK$91,MATCH($C742,AdditionalVehs!$C$46:$C$91,0),MATCH(H$7,AdditionalVehs!$AA$45:$AK$45,0))</f>
        <v>29.408752268147268</v>
      </c>
      <c r="I742" s="86">
        <f>GDPdeflator!$C$38*INDEX(AdditionalVehs!$AA$46:$AK$91,MATCH($C742,AdditionalVehs!$C$46:$C$91,0),MATCH(I$7,AdditionalVehs!$AA$45:$AK$45,0))</f>
        <v>30.071179983047941</v>
      </c>
      <c r="J742" s="86">
        <f>GDPdeflator!$C$38*INDEX(AdditionalVehs!$AA$46:$AK$91,MATCH($C742,AdditionalVehs!$C$46:$C$91,0),MATCH(J$7,AdditionalVehs!$AA$45:$AK$45,0))</f>
        <v>29.962790366469211</v>
      </c>
      <c r="K742" s="86">
        <f>GDPdeflator!$C$38*INDEX(AdditionalVehs!$AA$46:$AK$91,MATCH($C742,AdditionalVehs!$C$46:$C$91,0),MATCH(K$7,AdditionalVehs!$AA$45:$AK$45,0))</f>
        <v>29.942254862002628</v>
      </c>
      <c r="L742" s="86">
        <f>GDPdeflator!$C$38*INDEX(AdditionalVehs!$AA$46:$AK$91,MATCH($C742,AdditionalVehs!$C$46:$C$91,0),MATCH(L$7,AdditionalVehs!$AA$45:$AK$45,0))</f>
        <v>29.948072086817398</v>
      </c>
      <c r="M742" s="86">
        <f>GDPdeflator!$C$38*INDEX(AdditionalVehs!$AA$46:$AK$91,MATCH($C742,AdditionalVehs!$C$46:$C$91,0),MATCH(M$7,AdditionalVehs!$AA$45:$AK$45,0))</f>
        <v>29.948072086817398</v>
      </c>
      <c r="N742" s="86">
        <f>GDPdeflator!$C$38*INDEX(AdditionalVehs!$AA$46:$AK$91,MATCH($C742,AdditionalVehs!$C$46:$C$91,0),MATCH(N$7,AdditionalVehs!$AA$45:$AK$45,0))</f>
        <v>29.948072086817398</v>
      </c>
      <c r="O742" s="86">
        <f>GDPdeflator!$C$38*INDEX(AdditionalVehs!$AA$46:$AK$91,MATCH($C742,AdditionalVehs!$C$46:$C$91,0),MATCH(O$7,AdditionalVehs!$AA$45:$AK$45,0))</f>
        <v>29.948072086817398</v>
      </c>
      <c r="P742" s="87">
        <f>E742/$AI$18*10^6</f>
        <v>0</v>
      </c>
      <c r="Q742" s="87">
        <f t="shared" si="310"/>
        <v>2339.1698711755084</v>
      </c>
      <c r="R742" s="87">
        <f t="shared" si="309"/>
        <v>2408.3071495362901</v>
      </c>
      <c r="S742" s="87">
        <f t="shared" si="298"/>
        <v>2455.5763352586791</v>
      </c>
      <c r="T742" s="87">
        <f t="shared" si="299"/>
        <v>2510.8878223186516</v>
      </c>
      <c r="U742" s="87">
        <f t="shared" si="300"/>
        <v>2501.8374901239476</v>
      </c>
      <c r="V742" s="87">
        <f t="shared" si="301"/>
        <v>2500.122813542604</v>
      </c>
      <c r="W742" s="87">
        <f t="shared" si="302"/>
        <v>2500.608541038343</v>
      </c>
      <c r="X742" s="87">
        <f t="shared" si="303"/>
        <v>2500.608541038343</v>
      </c>
      <c r="Y742" s="87">
        <f t="shared" si="304"/>
        <v>2500.608541038343</v>
      </c>
      <c r="Z742" s="87">
        <f t="shared" si="305"/>
        <v>2500.608541038343</v>
      </c>
      <c r="AA742" s="40">
        <v>473</v>
      </c>
      <c r="AB742" s="89">
        <f>AA742*GDPdeflator!$C$25/$AI$18*10^3</f>
        <v>45.478712808157368</v>
      </c>
      <c r="AC742" s="90" t="e">
        <f>INDEX(AdditionalVehs!$E$46:$N$91,MATCH(C742,AdditionalVehs!$C$46:$C$91),MATCH(D742,AdditionalVehs!$E$45:$N$45))</f>
        <v>#REF!</v>
      </c>
      <c r="AD742" s="90" t="e">
        <f t="shared" si="307"/>
        <v>#REF!</v>
      </c>
      <c r="AE742" s="90" t="e">
        <f>INDEX(AdditionalVehs!$P$46:$Y$91,MATCH(C742,AdditionalVehs!$C$46:$C$91),MATCH(D742,AdditionalVehs!$AA$45:$AJ$45))</f>
        <v>#REF!</v>
      </c>
      <c r="AF742" s="90" t="e">
        <f t="shared" si="312"/>
        <v>#REF!</v>
      </c>
      <c r="AG742" s="90" t="e">
        <f>AdditionalVehs!$C$27</f>
        <v>#REF!</v>
      </c>
    </row>
    <row r="743" spans="1:33" x14ac:dyDescent="0.2">
      <c r="A743" s="92" t="s">
        <v>2328</v>
      </c>
      <c r="B743" s="248" t="s">
        <v>2329</v>
      </c>
      <c r="C743" s="40" t="s">
        <v>2327</v>
      </c>
      <c r="D743" s="40">
        <v>2015</v>
      </c>
      <c r="E743" s="86">
        <f>GDPdeflator!$C$32*INDEX(AdditionalVehs!$AA$46:$AK$91,MATCH($C743,AdditionalVehs!$C$46:$C$91,0),MATCH(E$7,AdditionalVehs!$AA$45:$AK$45,0))</f>
        <v>0</v>
      </c>
      <c r="F743" s="86">
        <f>GDPdeflator!$C$36*INDEX(AdditionalVehs!$AA$46:$AK$91,MATCH($C743,AdditionalVehs!$C$46:$C$91,0),MATCH(F$7,AdditionalVehs!$AA$45:$AK$45,0))</f>
        <v>28.014631948824217</v>
      </c>
      <c r="G743" s="86">
        <f>GDPdeflator!$C$38*INDEX(AdditionalVehs!$AA$46:$AK$91,MATCH($C743,AdditionalVehs!$C$46:$C$91,0),MATCH(G$7,AdditionalVehs!$AA$45:$AK$45,0))</f>
        <v>28.84264167615855</v>
      </c>
      <c r="H743" s="86">
        <f>GDPdeflator!$C$38*INDEX(AdditionalVehs!$AA$46:$AK$91,MATCH($C743,AdditionalVehs!$C$46:$C$91,0),MATCH(H$7,AdditionalVehs!$AA$45:$AK$45,0))</f>
        <v>29.408752268147268</v>
      </c>
      <c r="I743" s="86">
        <f>GDPdeflator!$C$38*INDEX(AdditionalVehs!$AA$46:$AK$91,MATCH($C743,AdditionalVehs!$C$46:$C$91,0),MATCH(I$7,AdditionalVehs!$AA$45:$AK$45,0))</f>
        <v>30.071179983047941</v>
      </c>
      <c r="J743" s="86">
        <f>GDPdeflator!$C$38*INDEX(AdditionalVehs!$AA$46:$AK$91,MATCH($C743,AdditionalVehs!$C$46:$C$91,0),MATCH(J$7,AdditionalVehs!$AA$45:$AK$45,0))</f>
        <v>29.962790366469211</v>
      </c>
      <c r="K743" s="86">
        <f>GDPdeflator!$C$38*INDEX(AdditionalVehs!$AA$46:$AK$91,MATCH($C743,AdditionalVehs!$C$46:$C$91,0),MATCH(K$7,AdditionalVehs!$AA$45:$AK$45,0))</f>
        <v>29.942254862002628</v>
      </c>
      <c r="L743" s="86">
        <f>GDPdeflator!$C$38*INDEX(AdditionalVehs!$AA$46:$AK$91,MATCH($C743,AdditionalVehs!$C$46:$C$91,0),MATCH(L$7,AdditionalVehs!$AA$45:$AK$45,0))</f>
        <v>29.948072086817398</v>
      </c>
      <c r="M743" s="86">
        <f>GDPdeflator!$C$38*INDEX(AdditionalVehs!$AA$46:$AK$91,MATCH($C743,AdditionalVehs!$C$46:$C$91,0),MATCH(M$7,AdditionalVehs!$AA$45:$AK$45,0))</f>
        <v>29.948072086817398</v>
      </c>
      <c r="N743" s="86">
        <f>GDPdeflator!$C$38*INDEX(AdditionalVehs!$AA$46:$AK$91,MATCH($C743,AdditionalVehs!$C$46:$C$91,0),MATCH(N$7,AdditionalVehs!$AA$45:$AK$45,0))</f>
        <v>29.948072086817398</v>
      </c>
      <c r="O743" s="86">
        <f>GDPdeflator!$C$38*INDEX(AdditionalVehs!$AA$46:$AK$91,MATCH($C743,AdditionalVehs!$C$46:$C$91,0),MATCH(O$7,AdditionalVehs!$AA$45:$AK$45,0))</f>
        <v>29.948072086817398</v>
      </c>
      <c r="P743" s="87">
        <f t="shared" ref="P743:P750" si="315">E743/$AI$18*10^6</f>
        <v>0</v>
      </c>
      <c r="Q743" s="87">
        <f t="shared" si="310"/>
        <v>2339.1698711755084</v>
      </c>
      <c r="R743" s="87">
        <f t="shared" si="309"/>
        <v>2408.3071495362901</v>
      </c>
      <c r="S743" s="87">
        <f t="shared" si="298"/>
        <v>2455.5763352586791</v>
      </c>
      <c r="T743" s="87">
        <f t="shared" si="299"/>
        <v>2510.8878223186516</v>
      </c>
      <c r="U743" s="87">
        <f t="shared" si="300"/>
        <v>2501.8374901239476</v>
      </c>
      <c r="V743" s="87">
        <f t="shared" si="301"/>
        <v>2500.122813542604</v>
      </c>
      <c r="W743" s="87">
        <f t="shared" si="302"/>
        <v>2500.608541038343</v>
      </c>
      <c r="X743" s="87">
        <f t="shared" si="303"/>
        <v>2500.608541038343</v>
      </c>
      <c r="Y743" s="87">
        <f t="shared" si="304"/>
        <v>2500.608541038343</v>
      </c>
      <c r="Z743" s="87">
        <f t="shared" si="305"/>
        <v>2500.608541038343</v>
      </c>
      <c r="AA743" s="40">
        <v>473</v>
      </c>
      <c r="AB743" s="89">
        <f>AA743*GDPdeflator!$C$25/$AI$18*10^3</f>
        <v>45.478712808157368</v>
      </c>
      <c r="AC743" s="90" t="e">
        <f>INDEX(AdditionalVehs!$E$46:$N$91,MATCH(C743,AdditionalVehs!$C$46:$C$91),MATCH(D743,AdditionalVehs!$E$45:$N$45))</f>
        <v>#REF!</v>
      </c>
      <c r="AD743" s="90" t="e">
        <f t="shared" si="307"/>
        <v>#REF!</v>
      </c>
      <c r="AE743" s="90" t="e">
        <f>INDEX(AdditionalVehs!$P$46:$Y$91,MATCH(C743,AdditionalVehs!$C$46:$C$91),MATCH(D743,AdditionalVehs!$AA$45:$AJ$45))</f>
        <v>#REF!</v>
      </c>
      <c r="AF743" s="90" t="e">
        <f t="shared" si="312"/>
        <v>#REF!</v>
      </c>
      <c r="AG743" s="90" t="e">
        <f>AdditionalVehs!$C$27</f>
        <v>#REF!</v>
      </c>
    </row>
    <row r="744" spans="1:33" x14ac:dyDescent="0.2">
      <c r="A744" s="92" t="s">
        <v>2330</v>
      </c>
      <c r="B744" s="248" t="s">
        <v>2331</v>
      </c>
      <c r="C744" s="40" t="s">
        <v>2327</v>
      </c>
      <c r="D744" s="40">
        <v>2020</v>
      </c>
      <c r="E744" s="86">
        <f>GDPdeflator!$C$32*INDEX(AdditionalVehs!$AA$46:$AK$91,MATCH($C744,AdditionalVehs!$C$46:$C$91,0),MATCH(E$7,AdditionalVehs!$AA$45:$AK$45,0))</f>
        <v>0</v>
      </c>
      <c r="F744" s="86">
        <f>GDPdeflator!$C$36*INDEX(AdditionalVehs!$AA$46:$AK$91,MATCH($C744,AdditionalVehs!$C$46:$C$91,0),MATCH(F$7,AdditionalVehs!$AA$45:$AK$45,0))</f>
        <v>28.014631948824217</v>
      </c>
      <c r="G744" s="86">
        <f>GDPdeflator!$C$38*INDEX(AdditionalVehs!$AA$46:$AK$91,MATCH($C744,AdditionalVehs!$C$46:$C$91,0),MATCH(G$7,AdditionalVehs!$AA$45:$AK$45,0))</f>
        <v>28.84264167615855</v>
      </c>
      <c r="H744" s="86">
        <f>GDPdeflator!$C$38*INDEX(AdditionalVehs!$AA$46:$AK$91,MATCH($C744,AdditionalVehs!$C$46:$C$91,0),MATCH(H$7,AdditionalVehs!$AA$45:$AK$45,0))</f>
        <v>29.408752268147268</v>
      </c>
      <c r="I744" s="86">
        <f>GDPdeflator!$C$38*INDEX(AdditionalVehs!$AA$46:$AK$91,MATCH($C744,AdditionalVehs!$C$46:$C$91,0),MATCH(I$7,AdditionalVehs!$AA$45:$AK$45,0))</f>
        <v>30.071179983047941</v>
      </c>
      <c r="J744" s="86">
        <f>GDPdeflator!$C$38*INDEX(AdditionalVehs!$AA$46:$AK$91,MATCH($C744,AdditionalVehs!$C$46:$C$91,0),MATCH(J$7,AdditionalVehs!$AA$45:$AK$45,0))</f>
        <v>29.962790366469211</v>
      </c>
      <c r="K744" s="86">
        <f>GDPdeflator!$C$38*INDEX(AdditionalVehs!$AA$46:$AK$91,MATCH($C744,AdditionalVehs!$C$46:$C$91,0),MATCH(K$7,AdditionalVehs!$AA$45:$AK$45,0))</f>
        <v>29.942254862002628</v>
      </c>
      <c r="L744" s="86">
        <f>GDPdeflator!$C$38*INDEX(AdditionalVehs!$AA$46:$AK$91,MATCH($C744,AdditionalVehs!$C$46:$C$91,0),MATCH(L$7,AdditionalVehs!$AA$45:$AK$45,0))</f>
        <v>29.948072086817398</v>
      </c>
      <c r="M744" s="86">
        <f>GDPdeflator!$C$38*INDEX(AdditionalVehs!$AA$46:$AK$91,MATCH($C744,AdditionalVehs!$C$46:$C$91,0),MATCH(M$7,AdditionalVehs!$AA$45:$AK$45,0))</f>
        <v>29.948072086817398</v>
      </c>
      <c r="N744" s="86">
        <f>GDPdeflator!$C$38*INDEX(AdditionalVehs!$AA$46:$AK$91,MATCH($C744,AdditionalVehs!$C$46:$C$91,0),MATCH(N$7,AdditionalVehs!$AA$45:$AK$45,0))</f>
        <v>29.948072086817398</v>
      </c>
      <c r="O744" s="86">
        <f>GDPdeflator!$C$38*INDEX(AdditionalVehs!$AA$46:$AK$91,MATCH($C744,AdditionalVehs!$C$46:$C$91,0),MATCH(O$7,AdditionalVehs!$AA$45:$AK$45,0))</f>
        <v>29.948072086817398</v>
      </c>
      <c r="P744" s="87">
        <f t="shared" si="315"/>
        <v>0</v>
      </c>
      <c r="Q744" s="87">
        <f t="shared" si="310"/>
        <v>2339.1698711755084</v>
      </c>
      <c r="R744" s="87">
        <f t="shared" si="309"/>
        <v>2408.3071495362901</v>
      </c>
      <c r="S744" s="87">
        <f t="shared" si="298"/>
        <v>2455.5763352586791</v>
      </c>
      <c r="T744" s="87">
        <f t="shared" si="299"/>
        <v>2510.8878223186516</v>
      </c>
      <c r="U744" s="87">
        <f t="shared" si="300"/>
        <v>2501.8374901239476</v>
      </c>
      <c r="V744" s="87">
        <f t="shared" si="301"/>
        <v>2500.122813542604</v>
      </c>
      <c r="W744" s="87">
        <f t="shared" si="302"/>
        <v>2500.608541038343</v>
      </c>
      <c r="X744" s="87">
        <f t="shared" si="303"/>
        <v>2500.608541038343</v>
      </c>
      <c r="Y744" s="87">
        <f t="shared" si="304"/>
        <v>2500.608541038343</v>
      </c>
      <c r="Z744" s="87">
        <f t="shared" si="305"/>
        <v>2500.608541038343</v>
      </c>
      <c r="AA744" s="40">
        <v>473</v>
      </c>
      <c r="AB744" s="89">
        <f>AA744*GDPdeflator!$C$25/$AI$18*10^3</f>
        <v>45.478712808157368</v>
      </c>
      <c r="AC744" s="90" t="e">
        <f>INDEX(AdditionalVehs!$E$46:$N$91,MATCH(C744,AdditionalVehs!$C$46:$C$91),MATCH(D744,AdditionalVehs!$E$45:$N$45))</f>
        <v>#REF!</v>
      </c>
      <c r="AD744" s="90" t="e">
        <f t="shared" si="307"/>
        <v>#REF!</v>
      </c>
      <c r="AE744" s="90" t="e">
        <f>INDEX(AdditionalVehs!$P$46:$Y$91,MATCH(C744,AdditionalVehs!$C$46:$C$91),MATCH(D744,AdditionalVehs!$AA$45:$AJ$45))</f>
        <v>#REF!</v>
      </c>
      <c r="AF744" s="90" t="e">
        <f t="shared" si="312"/>
        <v>#REF!</v>
      </c>
      <c r="AG744" s="90" t="e">
        <f>AdditionalVehs!$C$27</f>
        <v>#REF!</v>
      </c>
    </row>
    <row r="745" spans="1:33" x14ac:dyDescent="0.2">
      <c r="A745" s="92" t="s">
        <v>2332</v>
      </c>
      <c r="B745" s="248" t="s">
        <v>2333</v>
      </c>
      <c r="C745" s="40" t="s">
        <v>2327</v>
      </c>
      <c r="D745" s="40">
        <v>2025</v>
      </c>
      <c r="E745" s="86">
        <f>GDPdeflator!$C$32*INDEX(AdditionalVehs!$AA$46:$AK$91,MATCH($C745,AdditionalVehs!$C$46:$C$91,0),MATCH(E$7,AdditionalVehs!$AA$45:$AK$45,0))</f>
        <v>0</v>
      </c>
      <c r="F745" s="86">
        <f>GDPdeflator!$C$36*INDEX(AdditionalVehs!$AA$46:$AK$91,MATCH($C745,AdditionalVehs!$C$46:$C$91,0),MATCH(F$7,AdditionalVehs!$AA$45:$AK$45,0))</f>
        <v>28.014631948824217</v>
      </c>
      <c r="G745" s="86">
        <f>GDPdeflator!$C$38*INDEX(AdditionalVehs!$AA$46:$AK$91,MATCH($C745,AdditionalVehs!$C$46:$C$91,0),MATCH(G$7,AdditionalVehs!$AA$45:$AK$45,0))</f>
        <v>28.84264167615855</v>
      </c>
      <c r="H745" s="86">
        <f>GDPdeflator!$C$38*INDEX(AdditionalVehs!$AA$46:$AK$91,MATCH($C745,AdditionalVehs!$C$46:$C$91,0),MATCH(H$7,AdditionalVehs!$AA$45:$AK$45,0))</f>
        <v>29.408752268147268</v>
      </c>
      <c r="I745" s="86">
        <f>GDPdeflator!$C$38*INDEX(AdditionalVehs!$AA$46:$AK$91,MATCH($C745,AdditionalVehs!$C$46:$C$91,0),MATCH(I$7,AdditionalVehs!$AA$45:$AK$45,0))</f>
        <v>30.071179983047941</v>
      </c>
      <c r="J745" s="86">
        <f>GDPdeflator!$C$38*INDEX(AdditionalVehs!$AA$46:$AK$91,MATCH($C745,AdditionalVehs!$C$46:$C$91,0),MATCH(J$7,AdditionalVehs!$AA$45:$AK$45,0))</f>
        <v>29.962790366469211</v>
      </c>
      <c r="K745" s="86">
        <f>GDPdeflator!$C$38*INDEX(AdditionalVehs!$AA$46:$AK$91,MATCH($C745,AdditionalVehs!$C$46:$C$91,0),MATCH(K$7,AdditionalVehs!$AA$45:$AK$45,0))</f>
        <v>29.942254862002628</v>
      </c>
      <c r="L745" s="86">
        <f>GDPdeflator!$C$38*INDEX(AdditionalVehs!$AA$46:$AK$91,MATCH($C745,AdditionalVehs!$C$46:$C$91,0),MATCH(L$7,AdditionalVehs!$AA$45:$AK$45,0))</f>
        <v>29.948072086817398</v>
      </c>
      <c r="M745" s="86">
        <f>GDPdeflator!$C$38*INDEX(AdditionalVehs!$AA$46:$AK$91,MATCH($C745,AdditionalVehs!$C$46:$C$91,0),MATCH(M$7,AdditionalVehs!$AA$45:$AK$45,0))</f>
        <v>29.948072086817398</v>
      </c>
      <c r="N745" s="86">
        <f>GDPdeflator!$C$38*INDEX(AdditionalVehs!$AA$46:$AK$91,MATCH($C745,AdditionalVehs!$C$46:$C$91,0),MATCH(N$7,AdditionalVehs!$AA$45:$AK$45,0))</f>
        <v>29.948072086817398</v>
      </c>
      <c r="O745" s="86">
        <f>GDPdeflator!$C$38*INDEX(AdditionalVehs!$AA$46:$AK$91,MATCH($C745,AdditionalVehs!$C$46:$C$91,0),MATCH(O$7,AdditionalVehs!$AA$45:$AK$45,0))</f>
        <v>29.948072086817398</v>
      </c>
      <c r="P745" s="87">
        <f t="shared" si="315"/>
        <v>0</v>
      </c>
      <c r="Q745" s="87">
        <f t="shared" si="310"/>
        <v>2339.1698711755084</v>
      </c>
      <c r="R745" s="87">
        <f t="shared" si="309"/>
        <v>2408.3071495362901</v>
      </c>
      <c r="S745" s="87">
        <f t="shared" si="298"/>
        <v>2455.5763352586791</v>
      </c>
      <c r="T745" s="87">
        <f t="shared" si="299"/>
        <v>2510.8878223186516</v>
      </c>
      <c r="U745" s="87">
        <f t="shared" si="300"/>
        <v>2501.8374901239476</v>
      </c>
      <c r="V745" s="87">
        <f t="shared" si="301"/>
        <v>2500.122813542604</v>
      </c>
      <c r="W745" s="87">
        <f t="shared" si="302"/>
        <v>2500.608541038343</v>
      </c>
      <c r="X745" s="87">
        <f t="shared" si="303"/>
        <v>2500.608541038343</v>
      </c>
      <c r="Y745" s="87">
        <f t="shared" si="304"/>
        <v>2500.608541038343</v>
      </c>
      <c r="Z745" s="87">
        <f t="shared" si="305"/>
        <v>2500.608541038343</v>
      </c>
      <c r="AA745" s="40">
        <v>473</v>
      </c>
      <c r="AB745" s="89">
        <f>AA745*GDPdeflator!$C$25/$AI$18*10^3</f>
        <v>45.478712808157368</v>
      </c>
      <c r="AC745" s="90" t="e">
        <f>INDEX(AdditionalVehs!$E$46:$N$91,MATCH(C745,AdditionalVehs!$C$46:$C$91),MATCH(D745,AdditionalVehs!$E$45:$N$45))</f>
        <v>#REF!</v>
      </c>
      <c r="AD745" s="90" t="e">
        <f t="shared" si="307"/>
        <v>#REF!</v>
      </c>
      <c r="AE745" s="90" t="e">
        <f>INDEX(AdditionalVehs!$P$46:$Y$91,MATCH(C745,AdditionalVehs!$C$46:$C$91),MATCH(D745,AdditionalVehs!$AA$45:$AJ$45))</f>
        <v>#REF!</v>
      </c>
      <c r="AF745" s="90" t="e">
        <f t="shared" si="312"/>
        <v>#REF!</v>
      </c>
      <c r="AG745" s="90" t="e">
        <f>AdditionalVehs!$C$27</f>
        <v>#REF!</v>
      </c>
    </row>
    <row r="746" spans="1:33" x14ac:dyDescent="0.2">
      <c r="A746" s="92" t="s">
        <v>2334</v>
      </c>
      <c r="B746" s="248" t="s">
        <v>2335</v>
      </c>
      <c r="C746" s="40" t="s">
        <v>2327</v>
      </c>
      <c r="D746" s="40">
        <v>2030</v>
      </c>
      <c r="E746" s="86">
        <f>GDPdeflator!$C$32*INDEX(AdditionalVehs!$AA$46:$AK$91,MATCH($C746,AdditionalVehs!$C$46:$C$91,0),MATCH(E$7,AdditionalVehs!$AA$45:$AK$45,0))</f>
        <v>0</v>
      </c>
      <c r="F746" s="86">
        <f>GDPdeflator!$C$36*INDEX(AdditionalVehs!$AA$46:$AK$91,MATCH($C746,AdditionalVehs!$C$46:$C$91,0),MATCH(F$7,AdditionalVehs!$AA$45:$AK$45,0))</f>
        <v>28.014631948824217</v>
      </c>
      <c r="G746" s="86">
        <f>GDPdeflator!$C$38*INDEX(AdditionalVehs!$AA$46:$AK$91,MATCH($C746,AdditionalVehs!$C$46:$C$91,0),MATCH(G$7,AdditionalVehs!$AA$45:$AK$45,0))</f>
        <v>28.84264167615855</v>
      </c>
      <c r="H746" s="86">
        <f>GDPdeflator!$C$38*INDEX(AdditionalVehs!$AA$46:$AK$91,MATCH($C746,AdditionalVehs!$C$46:$C$91,0),MATCH(H$7,AdditionalVehs!$AA$45:$AK$45,0))</f>
        <v>29.408752268147268</v>
      </c>
      <c r="I746" s="86">
        <f>GDPdeflator!$C$38*INDEX(AdditionalVehs!$AA$46:$AK$91,MATCH($C746,AdditionalVehs!$C$46:$C$91,0),MATCH(I$7,AdditionalVehs!$AA$45:$AK$45,0))</f>
        <v>30.071179983047941</v>
      </c>
      <c r="J746" s="86">
        <f>GDPdeflator!$C$38*INDEX(AdditionalVehs!$AA$46:$AK$91,MATCH($C746,AdditionalVehs!$C$46:$C$91,0),MATCH(J$7,AdditionalVehs!$AA$45:$AK$45,0))</f>
        <v>29.962790366469211</v>
      </c>
      <c r="K746" s="86">
        <f>GDPdeflator!$C$38*INDEX(AdditionalVehs!$AA$46:$AK$91,MATCH($C746,AdditionalVehs!$C$46:$C$91,0),MATCH(K$7,AdditionalVehs!$AA$45:$AK$45,0))</f>
        <v>29.942254862002628</v>
      </c>
      <c r="L746" s="86">
        <f>GDPdeflator!$C$38*INDEX(AdditionalVehs!$AA$46:$AK$91,MATCH($C746,AdditionalVehs!$C$46:$C$91,0),MATCH(L$7,AdditionalVehs!$AA$45:$AK$45,0))</f>
        <v>29.948072086817398</v>
      </c>
      <c r="M746" s="86">
        <f>GDPdeflator!$C$38*INDEX(AdditionalVehs!$AA$46:$AK$91,MATCH($C746,AdditionalVehs!$C$46:$C$91,0),MATCH(M$7,AdditionalVehs!$AA$45:$AK$45,0))</f>
        <v>29.948072086817398</v>
      </c>
      <c r="N746" s="86">
        <f>GDPdeflator!$C$38*INDEX(AdditionalVehs!$AA$46:$AK$91,MATCH($C746,AdditionalVehs!$C$46:$C$91,0),MATCH(N$7,AdditionalVehs!$AA$45:$AK$45,0))</f>
        <v>29.948072086817398</v>
      </c>
      <c r="O746" s="86">
        <f>GDPdeflator!$C$38*INDEX(AdditionalVehs!$AA$46:$AK$91,MATCH($C746,AdditionalVehs!$C$46:$C$91,0),MATCH(O$7,AdditionalVehs!$AA$45:$AK$45,0))</f>
        <v>29.948072086817398</v>
      </c>
      <c r="P746" s="87">
        <f t="shared" si="315"/>
        <v>0</v>
      </c>
      <c r="Q746" s="87">
        <f t="shared" si="310"/>
        <v>2339.1698711755084</v>
      </c>
      <c r="R746" s="87">
        <f t="shared" si="309"/>
        <v>2408.3071495362901</v>
      </c>
      <c r="S746" s="87">
        <f t="shared" si="298"/>
        <v>2455.5763352586791</v>
      </c>
      <c r="T746" s="87">
        <f t="shared" si="299"/>
        <v>2510.8878223186516</v>
      </c>
      <c r="U746" s="87">
        <f t="shared" si="300"/>
        <v>2501.8374901239476</v>
      </c>
      <c r="V746" s="87">
        <f t="shared" si="301"/>
        <v>2500.122813542604</v>
      </c>
      <c r="W746" s="87">
        <f t="shared" si="302"/>
        <v>2500.608541038343</v>
      </c>
      <c r="X746" s="87">
        <f t="shared" si="303"/>
        <v>2500.608541038343</v>
      </c>
      <c r="Y746" s="87">
        <f t="shared" si="304"/>
        <v>2500.608541038343</v>
      </c>
      <c r="Z746" s="87">
        <f t="shared" si="305"/>
        <v>2500.608541038343</v>
      </c>
      <c r="AA746" s="40">
        <v>473</v>
      </c>
      <c r="AB746" s="89">
        <f>AA746*GDPdeflator!$C$25/$AI$18*10^3</f>
        <v>45.478712808157368</v>
      </c>
      <c r="AC746" s="90" t="e">
        <f>INDEX(AdditionalVehs!$E$46:$N$91,MATCH(C746,AdditionalVehs!$C$46:$C$91),MATCH(D746,AdditionalVehs!$E$45:$N$45))</f>
        <v>#REF!</v>
      </c>
      <c r="AD746" s="90" t="e">
        <f t="shared" si="307"/>
        <v>#REF!</v>
      </c>
      <c r="AE746" s="90" t="e">
        <f>INDEX(AdditionalVehs!$P$46:$Y$91,MATCH(C746,AdditionalVehs!$C$46:$C$91),MATCH(D746,AdditionalVehs!$AA$45:$AJ$45))</f>
        <v>#REF!</v>
      </c>
      <c r="AF746" s="90" t="e">
        <f t="shared" si="312"/>
        <v>#REF!</v>
      </c>
      <c r="AG746" s="90" t="e">
        <f>AdditionalVehs!$C$27</f>
        <v>#REF!</v>
      </c>
    </row>
    <row r="747" spans="1:33" x14ac:dyDescent="0.2">
      <c r="A747" s="92" t="s">
        <v>2336</v>
      </c>
      <c r="B747" s="248" t="s">
        <v>2337</v>
      </c>
      <c r="C747" s="40" t="s">
        <v>2327</v>
      </c>
      <c r="D747" s="40">
        <v>2035</v>
      </c>
      <c r="E747" s="86">
        <f>GDPdeflator!$C$32*INDEX(AdditionalVehs!$AA$46:$AK$91,MATCH($C747,AdditionalVehs!$C$46:$C$91,0),MATCH(E$7,AdditionalVehs!$AA$45:$AK$45,0))</f>
        <v>0</v>
      </c>
      <c r="F747" s="86">
        <f>GDPdeflator!$C$36*INDEX(AdditionalVehs!$AA$46:$AK$91,MATCH($C747,AdditionalVehs!$C$46:$C$91,0),MATCH(F$7,AdditionalVehs!$AA$45:$AK$45,0))</f>
        <v>28.014631948824217</v>
      </c>
      <c r="G747" s="86">
        <f>GDPdeflator!$C$38*INDEX(AdditionalVehs!$AA$46:$AK$91,MATCH($C747,AdditionalVehs!$C$46:$C$91,0),MATCH(G$7,AdditionalVehs!$AA$45:$AK$45,0))</f>
        <v>28.84264167615855</v>
      </c>
      <c r="H747" s="86">
        <f>GDPdeflator!$C$38*INDEX(AdditionalVehs!$AA$46:$AK$91,MATCH($C747,AdditionalVehs!$C$46:$C$91,0),MATCH(H$7,AdditionalVehs!$AA$45:$AK$45,0))</f>
        <v>29.408752268147268</v>
      </c>
      <c r="I747" s="86">
        <f>GDPdeflator!$C$38*INDEX(AdditionalVehs!$AA$46:$AK$91,MATCH($C747,AdditionalVehs!$C$46:$C$91,0),MATCH(I$7,AdditionalVehs!$AA$45:$AK$45,0))</f>
        <v>30.071179983047941</v>
      </c>
      <c r="J747" s="86">
        <f>GDPdeflator!$C$38*INDEX(AdditionalVehs!$AA$46:$AK$91,MATCH($C747,AdditionalVehs!$C$46:$C$91,0),MATCH(J$7,AdditionalVehs!$AA$45:$AK$45,0))</f>
        <v>29.962790366469211</v>
      </c>
      <c r="K747" s="86">
        <f>GDPdeflator!$C$38*INDEX(AdditionalVehs!$AA$46:$AK$91,MATCH($C747,AdditionalVehs!$C$46:$C$91,0),MATCH(K$7,AdditionalVehs!$AA$45:$AK$45,0))</f>
        <v>29.942254862002628</v>
      </c>
      <c r="L747" s="86">
        <f>GDPdeflator!$C$38*INDEX(AdditionalVehs!$AA$46:$AK$91,MATCH($C747,AdditionalVehs!$C$46:$C$91,0),MATCH(L$7,AdditionalVehs!$AA$45:$AK$45,0))</f>
        <v>29.948072086817398</v>
      </c>
      <c r="M747" s="86">
        <f>GDPdeflator!$C$38*INDEX(AdditionalVehs!$AA$46:$AK$91,MATCH($C747,AdditionalVehs!$C$46:$C$91,0),MATCH(M$7,AdditionalVehs!$AA$45:$AK$45,0))</f>
        <v>29.948072086817398</v>
      </c>
      <c r="N747" s="86">
        <f>GDPdeflator!$C$38*INDEX(AdditionalVehs!$AA$46:$AK$91,MATCH($C747,AdditionalVehs!$C$46:$C$91,0),MATCH(N$7,AdditionalVehs!$AA$45:$AK$45,0))</f>
        <v>29.948072086817398</v>
      </c>
      <c r="O747" s="86">
        <f>GDPdeflator!$C$38*INDEX(AdditionalVehs!$AA$46:$AK$91,MATCH($C747,AdditionalVehs!$C$46:$C$91,0),MATCH(O$7,AdditionalVehs!$AA$45:$AK$45,0))</f>
        <v>29.948072086817398</v>
      </c>
      <c r="P747" s="87">
        <f t="shared" si="315"/>
        <v>0</v>
      </c>
      <c r="Q747" s="87">
        <f t="shared" si="310"/>
        <v>2339.1698711755084</v>
      </c>
      <c r="R747" s="87">
        <f t="shared" si="309"/>
        <v>2408.3071495362901</v>
      </c>
      <c r="S747" s="87">
        <f t="shared" si="298"/>
        <v>2455.5763352586791</v>
      </c>
      <c r="T747" s="87">
        <f t="shared" si="299"/>
        <v>2510.8878223186516</v>
      </c>
      <c r="U747" s="87">
        <f t="shared" si="300"/>
        <v>2501.8374901239476</v>
      </c>
      <c r="V747" s="87">
        <f t="shared" si="301"/>
        <v>2500.122813542604</v>
      </c>
      <c r="W747" s="87">
        <f t="shared" si="302"/>
        <v>2500.608541038343</v>
      </c>
      <c r="X747" s="87">
        <f t="shared" si="303"/>
        <v>2500.608541038343</v>
      </c>
      <c r="Y747" s="87">
        <f t="shared" si="304"/>
        <v>2500.608541038343</v>
      </c>
      <c r="Z747" s="87">
        <f t="shared" si="305"/>
        <v>2500.608541038343</v>
      </c>
      <c r="AA747" s="40">
        <v>473</v>
      </c>
      <c r="AB747" s="89">
        <f>AA747*GDPdeflator!$C$25/$AI$18*10^3</f>
        <v>45.478712808157368</v>
      </c>
      <c r="AC747" s="90" t="e">
        <f>INDEX(AdditionalVehs!$E$46:$N$91,MATCH(C747,AdditionalVehs!$C$46:$C$91),MATCH(D747,AdditionalVehs!$E$45:$N$45))</f>
        <v>#REF!</v>
      </c>
      <c r="AD747" s="90" t="e">
        <f t="shared" si="307"/>
        <v>#REF!</v>
      </c>
      <c r="AE747" s="90" t="e">
        <f>INDEX(AdditionalVehs!$P$46:$Y$91,MATCH(C747,AdditionalVehs!$C$46:$C$91),MATCH(D747,AdditionalVehs!$AA$45:$AJ$45))</f>
        <v>#REF!</v>
      </c>
      <c r="AF747" s="90" t="e">
        <f t="shared" si="312"/>
        <v>#REF!</v>
      </c>
      <c r="AG747" s="90" t="e">
        <f>AdditionalVehs!$C$27</f>
        <v>#REF!</v>
      </c>
    </row>
    <row r="748" spans="1:33" x14ac:dyDescent="0.2">
      <c r="A748" s="92" t="s">
        <v>2338</v>
      </c>
      <c r="B748" s="248" t="s">
        <v>2339</v>
      </c>
      <c r="C748" s="40" t="s">
        <v>2327</v>
      </c>
      <c r="D748" s="40">
        <v>2040</v>
      </c>
      <c r="E748" s="86">
        <f>GDPdeflator!$C$32*INDEX(AdditionalVehs!$AA$46:$AK$91,MATCH($C748,AdditionalVehs!$C$46:$C$91,0),MATCH(E$7,AdditionalVehs!$AA$45:$AK$45,0))</f>
        <v>0</v>
      </c>
      <c r="F748" s="86">
        <f>GDPdeflator!$C$36*INDEX(AdditionalVehs!$AA$46:$AK$91,MATCH($C748,AdditionalVehs!$C$46:$C$91,0),MATCH(F$7,AdditionalVehs!$AA$45:$AK$45,0))</f>
        <v>28.014631948824217</v>
      </c>
      <c r="G748" s="86">
        <f>GDPdeflator!$C$38*INDEX(AdditionalVehs!$AA$46:$AK$91,MATCH($C748,AdditionalVehs!$C$46:$C$91,0),MATCH(G$7,AdditionalVehs!$AA$45:$AK$45,0))</f>
        <v>28.84264167615855</v>
      </c>
      <c r="H748" s="86">
        <f>GDPdeflator!$C$38*INDEX(AdditionalVehs!$AA$46:$AK$91,MATCH($C748,AdditionalVehs!$C$46:$C$91,0),MATCH(H$7,AdditionalVehs!$AA$45:$AK$45,0))</f>
        <v>29.408752268147268</v>
      </c>
      <c r="I748" s="86">
        <f>GDPdeflator!$C$38*INDEX(AdditionalVehs!$AA$46:$AK$91,MATCH($C748,AdditionalVehs!$C$46:$C$91,0),MATCH(I$7,AdditionalVehs!$AA$45:$AK$45,0))</f>
        <v>30.071179983047941</v>
      </c>
      <c r="J748" s="86">
        <f>GDPdeflator!$C$38*INDEX(AdditionalVehs!$AA$46:$AK$91,MATCH($C748,AdditionalVehs!$C$46:$C$91,0),MATCH(J$7,AdditionalVehs!$AA$45:$AK$45,0))</f>
        <v>29.962790366469211</v>
      </c>
      <c r="K748" s="86">
        <f>GDPdeflator!$C$38*INDEX(AdditionalVehs!$AA$46:$AK$91,MATCH($C748,AdditionalVehs!$C$46:$C$91,0),MATCH(K$7,AdditionalVehs!$AA$45:$AK$45,0))</f>
        <v>29.942254862002628</v>
      </c>
      <c r="L748" s="86">
        <f>GDPdeflator!$C$38*INDEX(AdditionalVehs!$AA$46:$AK$91,MATCH($C748,AdditionalVehs!$C$46:$C$91,0),MATCH(L$7,AdditionalVehs!$AA$45:$AK$45,0))</f>
        <v>29.948072086817398</v>
      </c>
      <c r="M748" s="86">
        <f>GDPdeflator!$C$38*INDEX(AdditionalVehs!$AA$46:$AK$91,MATCH($C748,AdditionalVehs!$C$46:$C$91,0),MATCH(M$7,AdditionalVehs!$AA$45:$AK$45,0))</f>
        <v>29.948072086817398</v>
      </c>
      <c r="N748" s="86">
        <f>GDPdeflator!$C$38*INDEX(AdditionalVehs!$AA$46:$AK$91,MATCH($C748,AdditionalVehs!$C$46:$C$91,0),MATCH(N$7,AdditionalVehs!$AA$45:$AK$45,0))</f>
        <v>29.948072086817398</v>
      </c>
      <c r="O748" s="86">
        <f>GDPdeflator!$C$38*INDEX(AdditionalVehs!$AA$46:$AK$91,MATCH($C748,AdditionalVehs!$C$46:$C$91,0),MATCH(O$7,AdditionalVehs!$AA$45:$AK$45,0))</f>
        <v>29.948072086817398</v>
      </c>
      <c r="P748" s="87">
        <f t="shared" si="315"/>
        <v>0</v>
      </c>
      <c r="Q748" s="87">
        <f t="shared" si="310"/>
        <v>2339.1698711755084</v>
      </c>
      <c r="R748" s="87">
        <f t="shared" si="309"/>
        <v>2408.3071495362901</v>
      </c>
      <c r="S748" s="87">
        <f t="shared" si="298"/>
        <v>2455.5763352586791</v>
      </c>
      <c r="T748" s="87">
        <f t="shared" si="299"/>
        <v>2510.8878223186516</v>
      </c>
      <c r="U748" s="87">
        <f t="shared" si="300"/>
        <v>2501.8374901239476</v>
      </c>
      <c r="V748" s="87">
        <f t="shared" si="301"/>
        <v>2500.122813542604</v>
      </c>
      <c r="W748" s="87">
        <f t="shared" si="302"/>
        <v>2500.608541038343</v>
      </c>
      <c r="X748" s="87">
        <f t="shared" si="303"/>
        <v>2500.608541038343</v>
      </c>
      <c r="Y748" s="87">
        <f t="shared" si="304"/>
        <v>2500.608541038343</v>
      </c>
      <c r="Z748" s="87">
        <f t="shared" si="305"/>
        <v>2500.608541038343</v>
      </c>
      <c r="AA748" s="40">
        <v>473</v>
      </c>
      <c r="AB748" s="89">
        <f>AA748*GDPdeflator!$C$25/$AI$18*10^3</f>
        <v>45.478712808157368</v>
      </c>
      <c r="AC748" s="90" t="e">
        <f>INDEX(AdditionalVehs!$E$46:$N$91,MATCH(C748,AdditionalVehs!$C$46:$C$91),MATCH(D748,AdditionalVehs!$E$45:$N$45))</f>
        <v>#REF!</v>
      </c>
      <c r="AD748" s="90" t="e">
        <f t="shared" si="307"/>
        <v>#REF!</v>
      </c>
      <c r="AE748" s="90" t="e">
        <f>INDEX(AdditionalVehs!$P$46:$Y$91,MATCH(C748,AdditionalVehs!$C$46:$C$91),MATCH(D748,AdditionalVehs!$AA$45:$AJ$45))</f>
        <v>#REF!</v>
      </c>
      <c r="AF748" s="90" t="e">
        <f t="shared" si="312"/>
        <v>#REF!</v>
      </c>
      <c r="AG748" s="90" t="e">
        <f>AdditionalVehs!$C$27</f>
        <v>#REF!</v>
      </c>
    </row>
    <row r="749" spans="1:33" x14ac:dyDescent="0.2">
      <c r="A749" s="92" t="s">
        <v>2340</v>
      </c>
      <c r="B749" s="248" t="s">
        <v>2341</v>
      </c>
      <c r="C749" s="40" t="s">
        <v>2327</v>
      </c>
      <c r="D749" s="40">
        <v>2045</v>
      </c>
      <c r="E749" s="86">
        <f>GDPdeflator!$C$32*INDEX(AdditionalVehs!$AA$46:$AK$91,MATCH($C749,AdditionalVehs!$C$46:$C$91,0),MATCH(E$7,AdditionalVehs!$AA$45:$AK$45,0))</f>
        <v>0</v>
      </c>
      <c r="F749" s="86">
        <f>GDPdeflator!$C$36*INDEX(AdditionalVehs!$AA$46:$AK$91,MATCH($C749,AdditionalVehs!$C$46:$C$91,0),MATCH(F$7,AdditionalVehs!$AA$45:$AK$45,0))</f>
        <v>28.014631948824217</v>
      </c>
      <c r="G749" s="86">
        <f>GDPdeflator!$C$38*INDEX(AdditionalVehs!$AA$46:$AK$91,MATCH($C749,AdditionalVehs!$C$46:$C$91,0),MATCH(G$7,AdditionalVehs!$AA$45:$AK$45,0))</f>
        <v>28.84264167615855</v>
      </c>
      <c r="H749" s="86">
        <f>GDPdeflator!$C$38*INDEX(AdditionalVehs!$AA$46:$AK$91,MATCH($C749,AdditionalVehs!$C$46:$C$91,0),MATCH(H$7,AdditionalVehs!$AA$45:$AK$45,0))</f>
        <v>29.408752268147268</v>
      </c>
      <c r="I749" s="86">
        <f>GDPdeflator!$C$38*INDEX(AdditionalVehs!$AA$46:$AK$91,MATCH($C749,AdditionalVehs!$C$46:$C$91,0),MATCH(I$7,AdditionalVehs!$AA$45:$AK$45,0))</f>
        <v>30.071179983047941</v>
      </c>
      <c r="J749" s="86">
        <f>GDPdeflator!$C$38*INDEX(AdditionalVehs!$AA$46:$AK$91,MATCH($C749,AdditionalVehs!$C$46:$C$91,0),MATCH(J$7,AdditionalVehs!$AA$45:$AK$45,0))</f>
        <v>29.962790366469211</v>
      </c>
      <c r="K749" s="86">
        <f>GDPdeflator!$C$38*INDEX(AdditionalVehs!$AA$46:$AK$91,MATCH($C749,AdditionalVehs!$C$46:$C$91,0),MATCH(K$7,AdditionalVehs!$AA$45:$AK$45,0))</f>
        <v>29.942254862002628</v>
      </c>
      <c r="L749" s="86">
        <f>GDPdeflator!$C$38*INDEX(AdditionalVehs!$AA$46:$AK$91,MATCH($C749,AdditionalVehs!$C$46:$C$91,0),MATCH(L$7,AdditionalVehs!$AA$45:$AK$45,0))</f>
        <v>29.948072086817398</v>
      </c>
      <c r="M749" s="86">
        <f>GDPdeflator!$C$38*INDEX(AdditionalVehs!$AA$46:$AK$91,MATCH($C749,AdditionalVehs!$C$46:$C$91,0),MATCH(M$7,AdditionalVehs!$AA$45:$AK$45,0))</f>
        <v>29.948072086817398</v>
      </c>
      <c r="N749" s="86">
        <f>GDPdeflator!$C$38*INDEX(AdditionalVehs!$AA$46:$AK$91,MATCH($C749,AdditionalVehs!$C$46:$C$91,0),MATCH(N$7,AdditionalVehs!$AA$45:$AK$45,0))</f>
        <v>29.948072086817398</v>
      </c>
      <c r="O749" s="86">
        <f>GDPdeflator!$C$38*INDEX(AdditionalVehs!$AA$46:$AK$91,MATCH($C749,AdditionalVehs!$C$46:$C$91,0),MATCH(O$7,AdditionalVehs!$AA$45:$AK$45,0))</f>
        <v>29.948072086817398</v>
      </c>
      <c r="P749" s="87">
        <f t="shared" si="315"/>
        <v>0</v>
      </c>
      <c r="Q749" s="87">
        <f t="shared" si="310"/>
        <v>2339.1698711755084</v>
      </c>
      <c r="R749" s="87">
        <f t="shared" si="309"/>
        <v>2408.3071495362901</v>
      </c>
      <c r="S749" s="87">
        <f t="shared" si="298"/>
        <v>2455.5763352586791</v>
      </c>
      <c r="T749" s="87">
        <f t="shared" si="299"/>
        <v>2510.8878223186516</v>
      </c>
      <c r="U749" s="87">
        <f t="shared" si="300"/>
        <v>2501.8374901239476</v>
      </c>
      <c r="V749" s="87">
        <f t="shared" si="301"/>
        <v>2500.122813542604</v>
      </c>
      <c r="W749" s="87">
        <f t="shared" si="302"/>
        <v>2500.608541038343</v>
      </c>
      <c r="X749" s="87">
        <f t="shared" si="303"/>
        <v>2500.608541038343</v>
      </c>
      <c r="Y749" s="87">
        <f t="shared" si="304"/>
        <v>2500.608541038343</v>
      </c>
      <c r="Z749" s="87">
        <f t="shared" si="305"/>
        <v>2500.608541038343</v>
      </c>
      <c r="AA749" s="40">
        <v>473</v>
      </c>
      <c r="AB749" s="89">
        <f>AA749*GDPdeflator!$C$25/$AI$18*10^3</f>
        <v>45.478712808157368</v>
      </c>
      <c r="AC749" s="90" t="e">
        <f>INDEX(AdditionalVehs!$E$46:$N$91,MATCH(C749,AdditionalVehs!$C$46:$C$91),MATCH(D749,AdditionalVehs!$E$45:$N$45))</f>
        <v>#REF!</v>
      </c>
      <c r="AD749" s="90" t="e">
        <f t="shared" si="307"/>
        <v>#REF!</v>
      </c>
      <c r="AE749" s="90" t="e">
        <f>INDEX(AdditionalVehs!$P$46:$Y$91,MATCH(C749,AdditionalVehs!$C$46:$C$91),MATCH(D749,AdditionalVehs!$AA$45:$AJ$45))</f>
        <v>#REF!</v>
      </c>
      <c r="AF749" s="90" t="e">
        <f t="shared" si="312"/>
        <v>#REF!</v>
      </c>
      <c r="AG749" s="90" t="e">
        <f>AdditionalVehs!$C$27</f>
        <v>#REF!</v>
      </c>
    </row>
    <row r="750" spans="1:33" x14ac:dyDescent="0.2">
      <c r="A750" s="92" t="s">
        <v>2342</v>
      </c>
      <c r="B750" s="248" t="s">
        <v>2343</v>
      </c>
      <c r="C750" s="40" t="s">
        <v>2327</v>
      </c>
      <c r="D750" s="40">
        <v>2050</v>
      </c>
      <c r="E750" s="86">
        <f>GDPdeflator!$C$32*INDEX(AdditionalVehs!$AA$46:$AK$91,MATCH($C750,AdditionalVehs!$C$46:$C$91,0),MATCH(E$7,AdditionalVehs!$AA$45:$AK$45,0))</f>
        <v>0</v>
      </c>
      <c r="F750" s="86">
        <f>GDPdeflator!$C$36*INDEX(AdditionalVehs!$AA$46:$AK$91,MATCH($C750,AdditionalVehs!$C$46:$C$91,0),MATCH(F$7,AdditionalVehs!$AA$45:$AK$45,0))</f>
        <v>28.014631948824217</v>
      </c>
      <c r="G750" s="86">
        <f>GDPdeflator!$C$38*INDEX(AdditionalVehs!$AA$46:$AK$91,MATCH($C750,AdditionalVehs!$C$46:$C$91,0),MATCH(G$7,AdditionalVehs!$AA$45:$AK$45,0))</f>
        <v>28.84264167615855</v>
      </c>
      <c r="H750" s="86">
        <f>GDPdeflator!$C$38*INDEX(AdditionalVehs!$AA$46:$AK$91,MATCH($C750,AdditionalVehs!$C$46:$C$91,0),MATCH(H$7,AdditionalVehs!$AA$45:$AK$45,0))</f>
        <v>29.408752268147268</v>
      </c>
      <c r="I750" s="86">
        <f>GDPdeflator!$C$38*INDEX(AdditionalVehs!$AA$46:$AK$91,MATCH($C750,AdditionalVehs!$C$46:$C$91,0),MATCH(I$7,AdditionalVehs!$AA$45:$AK$45,0))</f>
        <v>30.071179983047941</v>
      </c>
      <c r="J750" s="86">
        <f>GDPdeflator!$C$38*INDEX(AdditionalVehs!$AA$46:$AK$91,MATCH($C750,AdditionalVehs!$C$46:$C$91,0),MATCH(J$7,AdditionalVehs!$AA$45:$AK$45,0))</f>
        <v>29.962790366469211</v>
      </c>
      <c r="K750" s="86">
        <f>GDPdeflator!$C$38*INDEX(AdditionalVehs!$AA$46:$AK$91,MATCH($C750,AdditionalVehs!$C$46:$C$91,0),MATCH(K$7,AdditionalVehs!$AA$45:$AK$45,0))</f>
        <v>29.942254862002628</v>
      </c>
      <c r="L750" s="86">
        <f>GDPdeflator!$C$38*INDEX(AdditionalVehs!$AA$46:$AK$91,MATCH($C750,AdditionalVehs!$C$46:$C$91,0),MATCH(L$7,AdditionalVehs!$AA$45:$AK$45,0))</f>
        <v>29.948072086817398</v>
      </c>
      <c r="M750" s="86">
        <f>GDPdeflator!$C$38*INDEX(AdditionalVehs!$AA$46:$AK$91,MATCH($C750,AdditionalVehs!$C$46:$C$91,0),MATCH(M$7,AdditionalVehs!$AA$45:$AK$45,0))</f>
        <v>29.948072086817398</v>
      </c>
      <c r="N750" s="86">
        <f>GDPdeflator!$C$38*INDEX(AdditionalVehs!$AA$46:$AK$91,MATCH($C750,AdditionalVehs!$C$46:$C$91,0),MATCH(N$7,AdditionalVehs!$AA$45:$AK$45,0))</f>
        <v>29.948072086817398</v>
      </c>
      <c r="O750" s="86">
        <f>GDPdeflator!$C$38*INDEX(AdditionalVehs!$AA$46:$AK$91,MATCH($C750,AdditionalVehs!$C$46:$C$91,0),MATCH(O$7,AdditionalVehs!$AA$45:$AK$45,0))</f>
        <v>29.948072086817398</v>
      </c>
      <c r="P750" s="87">
        <f t="shared" si="315"/>
        <v>0</v>
      </c>
      <c r="Q750" s="87">
        <f t="shared" si="310"/>
        <v>2339.1698711755084</v>
      </c>
      <c r="R750" s="87">
        <f t="shared" si="309"/>
        <v>2408.3071495362901</v>
      </c>
      <c r="S750" s="87">
        <f t="shared" si="298"/>
        <v>2455.5763352586791</v>
      </c>
      <c r="T750" s="87">
        <f t="shared" si="299"/>
        <v>2510.8878223186516</v>
      </c>
      <c r="U750" s="87">
        <f t="shared" si="300"/>
        <v>2501.8374901239476</v>
      </c>
      <c r="V750" s="87">
        <f t="shared" si="301"/>
        <v>2500.122813542604</v>
      </c>
      <c r="W750" s="87">
        <f t="shared" si="302"/>
        <v>2500.608541038343</v>
      </c>
      <c r="X750" s="87">
        <f t="shared" si="303"/>
        <v>2500.608541038343</v>
      </c>
      <c r="Y750" s="87">
        <f t="shared" si="304"/>
        <v>2500.608541038343</v>
      </c>
      <c r="Z750" s="87">
        <f t="shared" si="305"/>
        <v>2500.608541038343</v>
      </c>
      <c r="AA750" s="40">
        <v>473</v>
      </c>
      <c r="AB750" s="89">
        <f>AA750*GDPdeflator!$C$25/$AI$18*10^3</f>
        <v>45.478712808157368</v>
      </c>
      <c r="AC750" s="90" t="e">
        <f>INDEX(AdditionalVehs!$E$46:$N$91,MATCH(C750,AdditionalVehs!$C$46:$C$91),MATCH(D750,AdditionalVehs!$E$45:$N$45))</f>
        <v>#REF!</v>
      </c>
      <c r="AD750" s="90" t="e">
        <f t="shared" si="307"/>
        <v>#REF!</v>
      </c>
      <c r="AE750" s="90" t="e">
        <f>INDEX(AdditionalVehs!$P$46:$Y$91,MATCH(C750,AdditionalVehs!$C$46:$C$91),MATCH(D750,AdditionalVehs!$AA$45:$AJ$45))</f>
        <v>#REF!</v>
      </c>
      <c r="AF750" s="90" t="e">
        <f t="shared" si="312"/>
        <v>#REF!</v>
      </c>
      <c r="AG750" s="90" t="e">
        <f>AdditionalVehs!$C$27</f>
        <v>#REF!</v>
      </c>
    </row>
    <row r="751" spans="1:33" x14ac:dyDescent="0.2">
      <c r="A751" s="92" t="s">
        <v>2344</v>
      </c>
      <c r="B751" s="248" t="s">
        <v>2345</v>
      </c>
      <c r="C751" s="40" t="s">
        <v>2346</v>
      </c>
      <c r="D751" s="40">
        <v>2010</v>
      </c>
      <c r="E751" s="86">
        <f>GDPdeflator!$C$32*INDEX(AdditionalVehs!$AA$46:$AK$91,MATCH($C751,AdditionalVehs!$C$46:$C$91,0),MATCH(E$7,AdditionalVehs!$AA$45:$AK$45,0))</f>
        <v>0</v>
      </c>
      <c r="F751" s="86" t="e">
        <f>GDPdeflator!$C$36*INDEX(AdditionalVehs!$AA$46:$AK$91,MATCH($C751,AdditionalVehs!$C$46:$C$91,0),MATCH(F$7,AdditionalVehs!$AA$45:$AK$45,0))</f>
        <v>#REF!</v>
      </c>
      <c r="G751" s="86" t="e">
        <f>GDPdeflator!$C$38*INDEX(AdditionalVehs!$AA$46:$AK$91,MATCH($C751,AdditionalVehs!$C$46:$C$91,0),MATCH(G$7,AdditionalVehs!$AA$45:$AK$45,0))</f>
        <v>#REF!</v>
      </c>
      <c r="H751" s="86" t="e">
        <f>GDPdeflator!$C$38*INDEX(AdditionalVehs!$AA$46:$AK$91,MATCH($C751,AdditionalVehs!$C$46:$C$91,0),MATCH(H$7,AdditionalVehs!$AA$45:$AK$45,0))</f>
        <v>#REF!</v>
      </c>
      <c r="I751" s="86" t="e">
        <f>GDPdeflator!$C$38*INDEX(AdditionalVehs!$AA$46:$AK$91,MATCH($C751,AdditionalVehs!$C$46:$C$91,0),MATCH(I$7,AdditionalVehs!$AA$45:$AK$45,0))</f>
        <v>#REF!</v>
      </c>
      <c r="J751" s="86" t="e">
        <f>GDPdeflator!$C$38*INDEX(AdditionalVehs!$AA$46:$AK$91,MATCH($C751,AdditionalVehs!$C$46:$C$91,0),MATCH(J$7,AdditionalVehs!$AA$45:$AK$45,0))</f>
        <v>#REF!</v>
      </c>
      <c r="K751" s="86" t="e">
        <f>GDPdeflator!$C$38*INDEX(AdditionalVehs!$AA$46:$AK$91,MATCH($C751,AdditionalVehs!$C$46:$C$91,0),MATCH(K$7,AdditionalVehs!$AA$45:$AK$45,0))</f>
        <v>#REF!</v>
      </c>
      <c r="L751" s="86" t="e">
        <f>GDPdeflator!$C$38*INDEX(AdditionalVehs!$AA$46:$AK$91,MATCH($C751,AdditionalVehs!$C$46:$C$91,0),MATCH(L$7,AdditionalVehs!$AA$45:$AK$45,0))</f>
        <v>#REF!</v>
      </c>
      <c r="M751" s="86" t="e">
        <f>GDPdeflator!$C$38*INDEX(AdditionalVehs!$AA$46:$AK$91,MATCH($C751,AdditionalVehs!$C$46:$C$91,0),MATCH(M$7,AdditionalVehs!$AA$45:$AK$45,0))</f>
        <v>#REF!</v>
      </c>
      <c r="N751" s="86" t="e">
        <f>GDPdeflator!$C$38*INDEX(AdditionalVehs!$AA$46:$AK$91,MATCH($C751,AdditionalVehs!$C$46:$C$91,0),MATCH(N$7,AdditionalVehs!$AA$45:$AK$45,0))</f>
        <v>#REF!</v>
      </c>
      <c r="O751" s="86" t="e">
        <f>GDPdeflator!$C$38*INDEX(AdditionalVehs!$AA$46:$AK$91,MATCH($C751,AdditionalVehs!$C$46:$C$91,0),MATCH(O$7,AdditionalVehs!$AA$45:$AK$45,0))</f>
        <v>#REF!</v>
      </c>
      <c r="P751" s="87">
        <f>E751/$AI$18*10^6</f>
        <v>0</v>
      </c>
      <c r="Q751" s="87" t="e">
        <f t="shared" si="310"/>
        <v>#REF!</v>
      </c>
      <c r="R751" s="87" t="e">
        <f t="shared" si="309"/>
        <v>#REF!</v>
      </c>
      <c r="S751" s="87" t="e">
        <f t="shared" si="298"/>
        <v>#REF!</v>
      </c>
      <c r="T751" s="87" t="e">
        <f t="shared" si="299"/>
        <v>#REF!</v>
      </c>
      <c r="U751" s="87" t="e">
        <f t="shared" si="300"/>
        <v>#REF!</v>
      </c>
      <c r="V751" s="87" t="e">
        <f t="shared" si="301"/>
        <v>#REF!</v>
      </c>
      <c r="W751" s="87" t="e">
        <f t="shared" si="302"/>
        <v>#REF!</v>
      </c>
      <c r="X751" s="87" t="e">
        <f t="shared" si="303"/>
        <v>#REF!</v>
      </c>
      <c r="Y751" s="87" t="e">
        <f t="shared" si="304"/>
        <v>#REF!</v>
      </c>
      <c r="Z751" s="87" t="e">
        <f t="shared" si="305"/>
        <v>#REF!</v>
      </c>
      <c r="AA751" s="40">
        <v>420</v>
      </c>
      <c r="AB751" s="89">
        <f>AA751*GDPdeflator!$C$25/$AI$18*10^3</f>
        <v>40.382789385678855</v>
      </c>
      <c r="AC751" s="90" t="e">
        <f>INDEX(AdditionalVehs!$E$46:$N$91,MATCH(C751,AdditionalVehs!$C$46:$C$91),MATCH(D751,AdditionalVehs!$E$45:$N$45))</f>
        <v>#REF!</v>
      </c>
      <c r="AD751" s="90" t="e">
        <f t="shared" si="307"/>
        <v>#REF!</v>
      </c>
      <c r="AE751" s="90" t="e">
        <f>INDEX(AdditionalVehs!$P$46:$Y$91,MATCH(C751,AdditionalVehs!$C$46:$C$91),MATCH(D751,AdditionalVehs!$AA$45:$AJ$45))</f>
        <v>#REF!</v>
      </c>
      <c r="AF751" s="90" t="e">
        <f t="shared" si="312"/>
        <v>#REF!</v>
      </c>
      <c r="AG751" s="90" t="e">
        <f>AdditionalVehs!$C$27</f>
        <v>#REF!</v>
      </c>
    </row>
    <row r="752" spans="1:33" x14ac:dyDescent="0.2">
      <c r="A752" s="92" t="s">
        <v>2347</v>
      </c>
      <c r="B752" s="248" t="s">
        <v>2348</v>
      </c>
      <c r="C752" s="40" t="s">
        <v>2346</v>
      </c>
      <c r="D752" s="40">
        <v>2015</v>
      </c>
      <c r="E752" s="86">
        <f>GDPdeflator!$C$32*INDEX(AdditionalVehs!$AA$46:$AK$91,MATCH($C752,AdditionalVehs!$C$46:$C$91,0),MATCH(E$7,AdditionalVehs!$AA$45:$AK$45,0))</f>
        <v>0</v>
      </c>
      <c r="F752" s="86" t="e">
        <f>GDPdeflator!$C$36*INDEX(AdditionalVehs!$AA$46:$AK$91,MATCH($C752,AdditionalVehs!$C$46:$C$91,0),MATCH(F$7,AdditionalVehs!$AA$45:$AK$45,0))</f>
        <v>#REF!</v>
      </c>
      <c r="G752" s="86" t="e">
        <f>GDPdeflator!$C$38*INDEX(AdditionalVehs!$AA$46:$AK$91,MATCH($C752,AdditionalVehs!$C$46:$C$91,0),MATCH(G$7,AdditionalVehs!$AA$45:$AK$45,0))</f>
        <v>#REF!</v>
      </c>
      <c r="H752" s="86" t="e">
        <f>GDPdeflator!$C$38*INDEX(AdditionalVehs!$AA$46:$AK$91,MATCH($C752,AdditionalVehs!$C$46:$C$91,0),MATCH(H$7,AdditionalVehs!$AA$45:$AK$45,0))</f>
        <v>#REF!</v>
      </c>
      <c r="I752" s="86" t="e">
        <f>GDPdeflator!$C$38*INDEX(AdditionalVehs!$AA$46:$AK$91,MATCH($C752,AdditionalVehs!$C$46:$C$91,0),MATCH(I$7,AdditionalVehs!$AA$45:$AK$45,0))</f>
        <v>#REF!</v>
      </c>
      <c r="J752" s="86" t="e">
        <f>GDPdeflator!$C$38*INDEX(AdditionalVehs!$AA$46:$AK$91,MATCH($C752,AdditionalVehs!$C$46:$C$91,0),MATCH(J$7,AdditionalVehs!$AA$45:$AK$45,0))</f>
        <v>#REF!</v>
      </c>
      <c r="K752" s="86" t="e">
        <f>GDPdeflator!$C$38*INDEX(AdditionalVehs!$AA$46:$AK$91,MATCH($C752,AdditionalVehs!$C$46:$C$91,0),MATCH(K$7,AdditionalVehs!$AA$45:$AK$45,0))</f>
        <v>#REF!</v>
      </c>
      <c r="L752" s="86" t="e">
        <f>GDPdeflator!$C$38*INDEX(AdditionalVehs!$AA$46:$AK$91,MATCH($C752,AdditionalVehs!$C$46:$C$91,0),MATCH(L$7,AdditionalVehs!$AA$45:$AK$45,0))</f>
        <v>#REF!</v>
      </c>
      <c r="M752" s="86" t="e">
        <f>GDPdeflator!$C$38*INDEX(AdditionalVehs!$AA$46:$AK$91,MATCH($C752,AdditionalVehs!$C$46:$C$91,0),MATCH(M$7,AdditionalVehs!$AA$45:$AK$45,0))</f>
        <v>#REF!</v>
      </c>
      <c r="N752" s="86" t="e">
        <f>GDPdeflator!$C$38*INDEX(AdditionalVehs!$AA$46:$AK$91,MATCH($C752,AdditionalVehs!$C$46:$C$91,0),MATCH(N$7,AdditionalVehs!$AA$45:$AK$45,0))</f>
        <v>#REF!</v>
      </c>
      <c r="O752" s="86" t="e">
        <f>GDPdeflator!$C$38*INDEX(AdditionalVehs!$AA$46:$AK$91,MATCH($C752,AdditionalVehs!$C$46:$C$91,0),MATCH(O$7,AdditionalVehs!$AA$45:$AK$45,0))</f>
        <v>#REF!</v>
      </c>
      <c r="P752" s="87">
        <f t="shared" ref="P752:P759" si="316">E752/$AI$18*10^6</f>
        <v>0</v>
      </c>
      <c r="Q752" s="87" t="e">
        <f t="shared" si="310"/>
        <v>#REF!</v>
      </c>
      <c r="R752" s="87" t="e">
        <f t="shared" si="309"/>
        <v>#REF!</v>
      </c>
      <c r="S752" s="87" t="e">
        <f t="shared" si="298"/>
        <v>#REF!</v>
      </c>
      <c r="T752" s="87" t="e">
        <f t="shared" si="299"/>
        <v>#REF!</v>
      </c>
      <c r="U752" s="87" t="e">
        <f t="shared" si="300"/>
        <v>#REF!</v>
      </c>
      <c r="V752" s="87" t="e">
        <f t="shared" si="301"/>
        <v>#REF!</v>
      </c>
      <c r="W752" s="87" t="e">
        <f t="shared" si="302"/>
        <v>#REF!</v>
      </c>
      <c r="X752" s="87" t="e">
        <f t="shared" si="303"/>
        <v>#REF!</v>
      </c>
      <c r="Y752" s="87" t="e">
        <f t="shared" si="304"/>
        <v>#REF!</v>
      </c>
      <c r="Z752" s="87" t="e">
        <f t="shared" si="305"/>
        <v>#REF!</v>
      </c>
      <c r="AA752" s="40">
        <v>420</v>
      </c>
      <c r="AB752" s="89">
        <f>AA752*GDPdeflator!$C$25/$AI$18*10^3</f>
        <v>40.382789385678855</v>
      </c>
      <c r="AC752" s="90" t="e">
        <f>INDEX(AdditionalVehs!$E$46:$N$91,MATCH(C752,AdditionalVehs!$C$46:$C$91),MATCH(D752,AdditionalVehs!$E$45:$N$45))</f>
        <v>#REF!</v>
      </c>
      <c r="AD752" s="90" t="e">
        <f t="shared" si="307"/>
        <v>#REF!</v>
      </c>
      <c r="AE752" s="90" t="e">
        <f>INDEX(AdditionalVehs!$P$46:$Y$91,MATCH(C752,AdditionalVehs!$C$46:$C$91),MATCH(D752,AdditionalVehs!$AA$45:$AJ$45))</f>
        <v>#REF!</v>
      </c>
      <c r="AF752" s="90" t="e">
        <f t="shared" si="312"/>
        <v>#REF!</v>
      </c>
      <c r="AG752" s="90" t="e">
        <f>AdditionalVehs!$C$27</f>
        <v>#REF!</v>
      </c>
    </row>
    <row r="753" spans="1:33" x14ac:dyDescent="0.2">
      <c r="A753" s="92" t="s">
        <v>2349</v>
      </c>
      <c r="B753" s="248" t="s">
        <v>2350</v>
      </c>
      <c r="C753" s="40" t="s">
        <v>2346</v>
      </c>
      <c r="D753" s="40">
        <v>2020</v>
      </c>
      <c r="E753" s="86">
        <f>GDPdeflator!$C$32*INDEX(AdditionalVehs!$AA$46:$AK$91,MATCH($C753,AdditionalVehs!$C$46:$C$91,0),MATCH(E$7,AdditionalVehs!$AA$45:$AK$45,0))</f>
        <v>0</v>
      </c>
      <c r="F753" s="86" t="e">
        <f>GDPdeflator!$C$36*INDEX(AdditionalVehs!$AA$46:$AK$91,MATCH($C753,AdditionalVehs!$C$46:$C$91,0),MATCH(F$7,AdditionalVehs!$AA$45:$AK$45,0))</f>
        <v>#REF!</v>
      </c>
      <c r="G753" s="86" t="e">
        <f>GDPdeflator!$C$38*INDEX(AdditionalVehs!$AA$46:$AK$91,MATCH($C753,AdditionalVehs!$C$46:$C$91,0),MATCH(G$7,AdditionalVehs!$AA$45:$AK$45,0))</f>
        <v>#REF!</v>
      </c>
      <c r="H753" s="86" t="e">
        <f>GDPdeflator!$C$38*INDEX(AdditionalVehs!$AA$46:$AK$91,MATCH($C753,AdditionalVehs!$C$46:$C$91,0),MATCH(H$7,AdditionalVehs!$AA$45:$AK$45,0))</f>
        <v>#REF!</v>
      </c>
      <c r="I753" s="86" t="e">
        <f>GDPdeflator!$C$38*INDEX(AdditionalVehs!$AA$46:$AK$91,MATCH($C753,AdditionalVehs!$C$46:$C$91,0),MATCH(I$7,AdditionalVehs!$AA$45:$AK$45,0))</f>
        <v>#REF!</v>
      </c>
      <c r="J753" s="86" t="e">
        <f>GDPdeflator!$C$38*INDEX(AdditionalVehs!$AA$46:$AK$91,MATCH($C753,AdditionalVehs!$C$46:$C$91,0),MATCH(J$7,AdditionalVehs!$AA$45:$AK$45,0))</f>
        <v>#REF!</v>
      </c>
      <c r="K753" s="86" t="e">
        <f>GDPdeflator!$C$38*INDEX(AdditionalVehs!$AA$46:$AK$91,MATCH($C753,AdditionalVehs!$C$46:$C$91,0),MATCH(K$7,AdditionalVehs!$AA$45:$AK$45,0))</f>
        <v>#REF!</v>
      </c>
      <c r="L753" s="86" t="e">
        <f>GDPdeflator!$C$38*INDEX(AdditionalVehs!$AA$46:$AK$91,MATCH($C753,AdditionalVehs!$C$46:$C$91,0),MATCH(L$7,AdditionalVehs!$AA$45:$AK$45,0))</f>
        <v>#REF!</v>
      </c>
      <c r="M753" s="86" t="e">
        <f>GDPdeflator!$C$38*INDEX(AdditionalVehs!$AA$46:$AK$91,MATCH($C753,AdditionalVehs!$C$46:$C$91,0),MATCH(M$7,AdditionalVehs!$AA$45:$AK$45,0))</f>
        <v>#REF!</v>
      </c>
      <c r="N753" s="86" t="e">
        <f>GDPdeflator!$C$38*INDEX(AdditionalVehs!$AA$46:$AK$91,MATCH($C753,AdditionalVehs!$C$46:$C$91,0),MATCH(N$7,AdditionalVehs!$AA$45:$AK$45,0))</f>
        <v>#REF!</v>
      </c>
      <c r="O753" s="86" t="e">
        <f>GDPdeflator!$C$38*INDEX(AdditionalVehs!$AA$46:$AK$91,MATCH($C753,AdditionalVehs!$C$46:$C$91,0),MATCH(O$7,AdditionalVehs!$AA$45:$AK$45,0))</f>
        <v>#REF!</v>
      </c>
      <c r="P753" s="87">
        <f t="shared" si="316"/>
        <v>0</v>
      </c>
      <c r="Q753" s="87" t="e">
        <f t="shared" si="310"/>
        <v>#REF!</v>
      </c>
      <c r="R753" s="87" t="e">
        <f t="shared" si="309"/>
        <v>#REF!</v>
      </c>
      <c r="S753" s="87" t="e">
        <f t="shared" si="298"/>
        <v>#REF!</v>
      </c>
      <c r="T753" s="87" t="e">
        <f t="shared" si="299"/>
        <v>#REF!</v>
      </c>
      <c r="U753" s="87" t="e">
        <f t="shared" si="300"/>
        <v>#REF!</v>
      </c>
      <c r="V753" s="87" t="e">
        <f t="shared" si="301"/>
        <v>#REF!</v>
      </c>
      <c r="W753" s="87" t="e">
        <f t="shared" si="302"/>
        <v>#REF!</v>
      </c>
      <c r="X753" s="87" t="e">
        <f t="shared" si="303"/>
        <v>#REF!</v>
      </c>
      <c r="Y753" s="87" t="e">
        <f t="shared" si="304"/>
        <v>#REF!</v>
      </c>
      <c r="Z753" s="87" t="e">
        <f t="shared" si="305"/>
        <v>#REF!</v>
      </c>
      <c r="AA753" s="40">
        <v>420</v>
      </c>
      <c r="AB753" s="89">
        <f>AA753*GDPdeflator!$C$25/$AI$18*10^3</f>
        <v>40.382789385678855</v>
      </c>
      <c r="AC753" s="90" t="e">
        <f>INDEX(AdditionalVehs!$E$46:$N$91,MATCH(C753,AdditionalVehs!$C$46:$C$91),MATCH(D753,AdditionalVehs!$E$45:$N$45))</f>
        <v>#REF!</v>
      </c>
      <c r="AD753" s="90" t="e">
        <f t="shared" si="307"/>
        <v>#REF!</v>
      </c>
      <c r="AE753" s="90" t="e">
        <f>INDEX(AdditionalVehs!$P$46:$Y$91,MATCH(C753,AdditionalVehs!$C$46:$C$91),MATCH(D753,AdditionalVehs!$AA$45:$AJ$45))</f>
        <v>#REF!</v>
      </c>
      <c r="AF753" s="90" t="e">
        <f t="shared" si="312"/>
        <v>#REF!</v>
      </c>
      <c r="AG753" s="90" t="e">
        <f>AdditionalVehs!$C$27</f>
        <v>#REF!</v>
      </c>
    </row>
    <row r="754" spans="1:33" x14ac:dyDescent="0.2">
      <c r="A754" s="92" t="s">
        <v>2351</v>
      </c>
      <c r="B754" s="248" t="s">
        <v>2352</v>
      </c>
      <c r="C754" s="40" t="s">
        <v>2346</v>
      </c>
      <c r="D754" s="40">
        <v>2025</v>
      </c>
      <c r="E754" s="86">
        <f>GDPdeflator!$C$32*INDEX(AdditionalVehs!$AA$46:$AK$91,MATCH($C754,AdditionalVehs!$C$46:$C$91,0),MATCH(E$7,AdditionalVehs!$AA$45:$AK$45,0))</f>
        <v>0</v>
      </c>
      <c r="F754" s="86" t="e">
        <f>GDPdeflator!$C$36*INDEX(AdditionalVehs!$AA$46:$AK$91,MATCH($C754,AdditionalVehs!$C$46:$C$91,0),MATCH(F$7,AdditionalVehs!$AA$45:$AK$45,0))</f>
        <v>#REF!</v>
      </c>
      <c r="G754" s="86" t="e">
        <f>GDPdeflator!$C$38*INDEX(AdditionalVehs!$AA$46:$AK$91,MATCH($C754,AdditionalVehs!$C$46:$C$91,0),MATCH(G$7,AdditionalVehs!$AA$45:$AK$45,0))</f>
        <v>#REF!</v>
      </c>
      <c r="H754" s="86" t="e">
        <f>GDPdeflator!$C$38*INDEX(AdditionalVehs!$AA$46:$AK$91,MATCH($C754,AdditionalVehs!$C$46:$C$91,0),MATCH(H$7,AdditionalVehs!$AA$45:$AK$45,0))</f>
        <v>#REF!</v>
      </c>
      <c r="I754" s="86" t="e">
        <f>GDPdeflator!$C$38*INDEX(AdditionalVehs!$AA$46:$AK$91,MATCH($C754,AdditionalVehs!$C$46:$C$91,0),MATCH(I$7,AdditionalVehs!$AA$45:$AK$45,0))</f>
        <v>#REF!</v>
      </c>
      <c r="J754" s="86" t="e">
        <f>GDPdeflator!$C$38*INDEX(AdditionalVehs!$AA$46:$AK$91,MATCH($C754,AdditionalVehs!$C$46:$C$91,0),MATCH(J$7,AdditionalVehs!$AA$45:$AK$45,0))</f>
        <v>#REF!</v>
      </c>
      <c r="K754" s="86" t="e">
        <f>GDPdeflator!$C$38*INDEX(AdditionalVehs!$AA$46:$AK$91,MATCH($C754,AdditionalVehs!$C$46:$C$91,0),MATCH(K$7,AdditionalVehs!$AA$45:$AK$45,0))</f>
        <v>#REF!</v>
      </c>
      <c r="L754" s="86" t="e">
        <f>GDPdeflator!$C$38*INDEX(AdditionalVehs!$AA$46:$AK$91,MATCH($C754,AdditionalVehs!$C$46:$C$91,0),MATCH(L$7,AdditionalVehs!$AA$45:$AK$45,0))</f>
        <v>#REF!</v>
      </c>
      <c r="M754" s="86" t="e">
        <f>GDPdeflator!$C$38*INDEX(AdditionalVehs!$AA$46:$AK$91,MATCH($C754,AdditionalVehs!$C$46:$C$91,0),MATCH(M$7,AdditionalVehs!$AA$45:$AK$45,0))</f>
        <v>#REF!</v>
      </c>
      <c r="N754" s="86" t="e">
        <f>GDPdeflator!$C$38*INDEX(AdditionalVehs!$AA$46:$AK$91,MATCH($C754,AdditionalVehs!$C$46:$C$91,0),MATCH(N$7,AdditionalVehs!$AA$45:$AK$45,0))</f>
        <v>#REF!</v>
      </c>
      <c r="O754" s="86" t="e">
        <f>GDPdeflator!$C$38*INDEX(AdditionalVehs!$AA$46:$AK$91,MATCH($C754,AdditionalVehs!$C$46:$C$91,0),MATCH(O$7,AdditionalVehs!$AA$45:$AK$45,0))</f>
        <v>#REF!</v>
      </c>
      <c r="P754" s="87">
        <f t="shared" si="316"/>
        <v>0</v>
      </c>
      <c r="Q754" s="87" t="e">
        <f t="shared" si="310"/>
        <v>#REF!</v>
      </c>
      <c r="R754" s="87" t="e">
        <f t="shared" si="309"/>
        <v>#REF!</v>
      </c>
      <c r="S754" s="87" t="e">
        <f t="shared" si="298"/>
        <v>#REF!</v>
      </c>
      <c r="T754" s="87" t="e">
        <f t="shared" si="299"/>
        <v>#REF!</v>
      </c>
      <c r="U754" s="87" t="e">
        <f t="shared" si="300"/>
        <v>#REF!</v>
      </c>
      <c r="V754" s="87" t="e">
        <f t="shared" si="301"/>
        <v>#REF!</v>
      </c>
      <c r="W754" s="87" t="e">
        <f t="shared" si="302"/>
        <v>#REF!</v>
      </c>
      <c r="X754" s="87" t="e">
        <f t="shared" si="303"/>
        <v>#REF!</v>
      </c>
      <c r="Y754" s="87" t="e">
        <f t="shared" si="304"/>
        <v>#REF!</v>
      </c>
      <c r="Z754" s="87" t="e">
        <f t="shared" si="305"/>
        <v>#REF!</v>
      </c>
      <c r="AA754" s="40">
        <v>420</v>
      </c>
      <c r="AB754" s="89">
        <f>AA754*GDPdeflator!$C$25/$AI$18*10^3</f>
        <v>40.382789385678855</v>
      </c>
      <c r="AC754" s="90" t="e">
        <f>INDEX(AdditionalVehs!$E$46:$N$91,MATCH(C754,AdditionalVehs!$C$46:$C$91),MATCH(D754,AdditionalVehs!$E$45:$N$45))</f>
        <v>#REF!</v>
      </c>
      <c r="AD754" s="90" t="e">
        <f t="shared" si="307"/>
        <v>#REF!</v>
      </c>
      <c r="AE754" s="90" t="e">
        <f>INDEX(AdditionalVehs!$P$46:$Y$91,MATCH(C754,AdditionalVehs!$C$46:$C$91),MATCH(D754,AdditionalVehs!$AA$45:$AJ$45))</f>
        <v>#REF!</v>
      </c>
      <c r="AF754" s="90" t="e">
        <f t="shared" si="312"/>
        <v>#REF!</v>
      </c>
      <c r="AG754" s="90" t="e">
        <f>AdditionalVehs!$C$27</f>
        <v>#REF!</v>
      </c>
    </row>
    <row r="755" spans="1:33" x14ac:dyDescent="0.2">
      <c r="A755" s="92" t="s">
        <v>2353</v>
      </c>
      <c r="B755" s="248" t="s">
        <v>2354</v>
      </c>
      <c r="C755" s="40" t="s">
        <v>2346</v>
      </c>
      <c r="D755" s="40">
        <v>2030</v>
      </c>
      <c r="E755" s="86">
        <f>GDPdeflator!$C$32*INDEX(AdditionalVehs!$AA$46:$AK$91,MATCH($C755,AdditionalVehs!$C$46:$C$91,0),MATCH(E$7,AdditionalVehs!$AA$45:$AK$45,0))</f>
        <v>0</v>
      </c>
      <c r="F755" s="86" t="e">
        <f>GDPdeflator!$C$36*INDEX(AdditionalVehs!$AA$46:$AK$91,MATCH($C755,AdditionalVehs!$C$46:$C$91,0),MATCH(F$7,AdditionalVehs!$AA$45:$AK$45,0))</f>
        <v>#REF!</v>
      </c>
      <c r="G755" s="86" t="e">
        <f>GDPdeflator!$C$38*INDEX(AdditionalVehs!$AA$46:$AK$91,MATCH($C755,AdditionalVehs!$C$46:$C$91,0),MATCH(G$7,AdditionalVehs!$AA$45:$AK$45,0))</f>
        <v>#REF!</v>
      </c>
      <c r="H755" s="86" t="e">
        <f>GDPdeflator!$C$38*INDEX(AdditionalVehs!$AA$46:$AK$91,MATCH($C755,AdditionalVehs!$C$46:$C$91,0),MATCH(H$7,AdditionalVehs!$AA$45:$AK$45,0))</f>
        <v>#REF!</v>
      </c>
      <c r="I755" s="86" t="e">
        <f>GDPdeflator!$C$38*INDEX(AdditionalVehs!$AA$46:$AK$91,MATCH($C755,AdditionalVehs!$C$46:$C$91,0),MATCH(I$7,AdditionalVehs!$AA$45:$AK$45,0))</f>
        <v>#REF!</v>
      </c>
      <c r="J755" s="86" t="e">
        <f>GDPdeflator!$C$38*INDEX(AdditionalVehs!$AA$46:$AK$91,MATCH($C755,AdditionalVehs!$C$46:$C$91,0),MATCH(J$7,AdditionalVehs!$AA$45:$AK$45,0))</f>
        <v>#REF!</v>
      </c>
      <c r="K755" s="86" t="e">
        <f>GDPdeflator!$C$38*INDEX(AdditionalVehs!$AA$46:$AK$91,MATCH($C755,AdditionalVehs!$C$46:$C$91,0),MATCH(K$7,AdditionalVehs!$AA$45:$AK$45,0))</f>
        <v>#REF!</v>
      </c>
      <c r="L755" s="86" t="e">
        <f>GDPdeflator!$C$38*INDEX(AdditionalVehs!$AA$46:$AK$91,MATCH($C755,AdditionalVehs!$C$46:$C$91,0),MATCH(L$7,AdditionalVehs!$AA$45:$AK$45,0))</f>
        <v>#REF!</v>
      </c>
      <c r="M755" s="86" t="e">
        <f>GDPdeflator!$C$38*INDEX(AdditionalVehs!$AA$46:$AK$91,MATCH($C755,AdditionalVehs!$C$46:$C$91,0),MATCH(M$7,AdditionalVehs!$AA$45:$AK$45,0))</f>
        <v>#REF!</v>
      </c>
      <c r="N755" s="86" t="e">
        <f>GDPdeflator!$C$38*INDEX(AdditionalVehs!$AA$46:$AK$91,MATCH($C755,AdditionalVehs!$C$46:$C$91,0),MATCH(N$7,AdditionalVehs!$AA$45:$AK$45,0))</f>
        <v>#REF!</v>
      </c>
      <c r="O755" s="86" t="e">
        <f>GDPdeflator!$C$38*INDEX(AdditionalVehs!$AA$46:$AK$91,MATCH($C755,AdditionalVehs!$C$46:$C$91,0),MATCH(O$7,AdditionalVehs!$AA$45:$AK$45,0))</f>
        <v>#REF!</v>
      </c>
      <c r="P755" s="87">
        <f t="shared" si="316"/>
        <v>0</v>
      </c>
      <c r="Q755" s="87" t="e">
        <f t="shared" si="310"/>
        <v>#REF!</v>
      </c>
      <c r="R755" s="87" t="e">
        <f t="shared" si="309"/>
        <v>#REF!</v>
      </c>
      <c r="S755" s="87" t="e">
        <f t="shared" si="298"/>
        <v>#REF!</v>
      </c>
      <c r="T755" s="87" t="e">
        <f t="shared" si="299"/>
        <v>#REF!</v>
      </c>
      <c r="U755" s="87" t="e">
        <f t="shared" si="300"/>
        <v>#REF!</v>
      </c>
      <c r="V755" s="87" t="e">
        <f t="shared" si="301"/>
        <v>#REF!</v>
      </c>
      <c r="W755" s="87" t="e">
        <f t="shared" si="302"/>
        <v>#REF!</v>
      </c>
      <c r="X755" s="87" t="e">
        <f t="shared" si="303"/>
        <v>#REF!</v>
      </c>
      <c r="Y755" s="87" t="e">
        <f t="shared" si="304"/>
        <v>#REF!</v>
      </c>
      <c r="Z755" s="87" t="e">
        <f t="shared" si="305"/>
        <v>#REF!</v>
      </c>
      <c r="AA755" s="40">
        <v>420</v>
      </c>
      <c r="AB755" s="89">
        <f>AA755*GDPdeflator!$C$25/$AI$18*10^3</f>
        <v>40.382789385678855</v>
      </c>
      <c r="AC755" s="90" t="e">
        <f>INDEX(AdditionalVehs!$E$46:$N$91,MATCH(C755,AdditionalVehs!$C$46:$C$91),MATCH(D755,AdditionalVehs!$E$45:$N$45))</f>
        <v>#REF!</v>
      </c>
      <c r="AD755" s="90" t="e">
        <f t="shared" si="307"/>
        <v>#REF!</v>
      </c>
      <c r="AE755" s="90" t="e">
        <f>INDEX(AdditionalVehs!$P$46:$Y$91,MATCH(C755,AdditionalVehs!$C$46:$C$91),MATCH(D755,AdditionalVehs!$AA$45:$AJ$45))</f>
        <v>#REF!</v>
      </c>
      <c r="AF755" s="90" t="e">
        <f t="shared" si="312"/>
        <v>#REF!</v>
      </c>
      <c r="AG755" s="90" t="e">
        <f>AdditionalVehs!$C$27</f>
        <v>#REF!</v>
      </c>
    </row>
    <row r="756" spans="1:33" x14ac:dyDescent="0.2">
      <c r="A756" s="92" t="s">
        <v>2355</v>
      </c>
      <c r="B756" s="248" t="s">
        <v>2356</v>
      </c>
      <c r="C756" s="40" t="s">
        <v>2346</v>
      </c>
      <c r="D756" s="40">
        <v>2035</v>
      </c>
      <c r="E756" s="86">
        <f>GDPdeflator!$C$32*INDEX(AdditionalVehs!$AA$46:$AK$91,MATCH($C756,AdditionalVehs!$C$46:$C$91,0),MATCH(E$7,AdditionalVehs!$AA$45:$AK$45,0))</f>
        <v>0</v>
      </c>
      <c r="F756" s="86" t="e">
        <f>GDPdeflator!$C$36*INDEX(AdditionalVehs!$AA$46:$AK$91,MATCH($C756,AdditionalVehs!$C$46:$C$91,0),MATCH(F$7,AdditionalVehs!$AA$45:$AK$45,0))</f>
        <v>#REF!</v>
      </c>
      <c r="G756" s="86" t="e">
        <f>GDPdeflator!$C$38*INDEX(AdditionalVehs!$AA$46:$AK$91,MATCH($C756,AdditionalVehs!$C$46:$C$91,0),MATCH(G$7,AdditionalVehs!$AA$45:$AK$45,0))</f>
        <v>#REF!</v>
      </c>
      <c r="H756" s="86" t="e">
        <f>GDPdeflator!$C$38*INDEX(AdditionalVehs!$AA$46:$AK$91,MATCH($C756,AdditionalVehs!$C$46:$C$91,0),MATCH(H$7,AdditionalVehs!$AA$45:$AK$45,0))</f>
        <v>#REF!</v>
      </c>
      <c r="I756" s="86" t="e">
        <f>GDPdeflator!$C$38*INDEX(AdditionalVehs!$AA$46:$AK$91,MATCH($C756,AdditionalVehs!$C$46:$C$91,0),MATCH(I$7,AdditionalVehs!$AA$45:$AK$45,0))</f>
        <v>#REF!</v>
      </c>
      <c r="J756" s="86" t="e">
        <f>GDPdeflator!$C$38*INDEX(AdditionalVehs!$AA$46:$AK$91,MATCH($C756,AdditionalVehs!$C$46:$C$91,0),MATCH(J$7,AdditionalVehs!$AA$45:$AK$45,0))</f>
        <v>#REF!</v>
      </c>
      <c r="K756" s="86" t="e">
        <f>GDPdeflator!$C$38*INDEX(AdditionalVehs!$AA$46:$AK$91,MATCH($C756,AdditionalVehs!$C$46:$C$91,0),MATCH(K$7,AdditionalVehs!$AA$45:$AK$45,0))</f>
        <v>#REF!</v>
      </c>
      <c r="L756" s="86" t="e">
        <f>GDPdeflator!$C$38*INDEX(AdditionalVehs!$AA$46:$AK$91,MATCH($C756,AdditionalVehs!$C$46:$C$91,0),MATCH(L$7,AdditionalVehs!$AA$45:$AK$45,0))</f>
        <v>#REF!</v>
      </c>
      <c r="M756" s="86" t="e">
        <f>GDPdeflator!$C$38*INDEX(AdditionalVehs!$AA$46:$AK$91,MATCH($C756,AdditionalVehs!$C$46:$C$91,0),MATCH(M$7,AdditionalVehs!$AA$45:$AK$45,0))</f>
        <v>#REF!</v>
      </c>
      <c r="N756" s="86" t="e">
        <f>GDPdeflator!$C$38*INDEX(AdditionalVehs!$AA$46:$AK$91,MATCH($C756,AdditionalVehs!$C$46:$C$91,0),MATCH(N$7,AdditionalVehs!$AA$45:$AK$45,0))</f>
        <v>#REF!</v>
      </c>
      <c r="O756" s="86" t="e">
        <f>GDPdeflator!$C$38*INDEX(AdditionalVehs!$AA$46:$AK$91,MATCH($C756,AdditionalVehs!$C$46:$C$91,0),MATCH(O$7,AdditionalVehs!$AA$45:$AK$45,0))</f>
        <v>#REF!</v>
      </c>
      <c r="P756" s="87">
        <f t="shared" si="316"/>
        <v>0</v>
      </c>
      <c r="Q756" s="87" t="e">
        <f t="shared" si="310"/>
        <v>#REF!</v>
      </c>
      <c r="R756" s="87" t="e">
        <f t="shared" si="309"/>
        <v>#REF!</v>
      </c>
      <c r="S756" s="87" t="e">
        <f t="shared" si="298"/>
        <v>#REF!</v>
      </c>
      <c r="T756" s="87" t="e">
        <f t="shared" si="299"/>
        <v>#REF!</v>
      </c>
      <c r="U756" s="87" t="e">
        <f t="shared" si="300"/>
        <v>#REF!</v>
      </c>
      <c r="V756" s="87" t="e">
        <f t="shared" si="301"/>
        <v>#REF!</v>
      </c>
      <c r="W756" s="87" t="e">
        <f t="shared" si="302"/>
        <v>#REF!</v>
      </c>
      <c r="X756" s="87" t="e">
        <f t="shared" si="303"/>
        <v>#REF!</v>
      </c>
      <c r="Y756" s="87" t="e">
        <f t="shared" si="304"/>
        <v>#REF!</v>
      </c>
      <c r="Z756" s="87" t="e">
        <f t="shared" si="305"/>
        <v>#REF!</v>
      </c>
      <c r="AA756" s="40">
        <v>420</v>
      </c>
      <c r="AB756" s="89">
        <f>AA756*GDPdeflator!$C$25/$AI$18*10^3</f>
        <v>40.382789385678855</v>
      </c>
      <c r="AC756" s="90" t="e">
        <f>INDEX(AdditionalVehs!$E$46:$N$91,MATCH(C756,AdditionalVehs!$C$46:$C$91),MATCH(D756,AdditionalVehs!$E$45:$N$45))</f>
        <v>#REF!</v>
      </c>
      <c r="AD756" s="90" t="e">
        <f t="shared" si="307"/>
        <v>#REF!</v>
      </c>
      <c r="AE756" s="90" t="e">
        <f>INDEX(AdditionalVehs!$P$46:$Y$91,MATCH(C756,AdditionalVehs!$C$46:$C$91),MATCH(D756,AdditionalVehs!$AA$45:$AJ$45))</f>
        <v>#REF!</v>
      </c>
      <c r="AF756" s="90" t="e">
        <f t="shared" si="312"/>
        <v>#REF!</v>
      </c>
      <c r="AG756" s="90" t="e">
        <f>AdditionalVehs!$C$27</f>
        <v>#REF!</v>
      </c>
    </row>
    <row r="757" spans="1:33" x14ac:dyDescent="0.2">
      <c r="A757" s="92" t="s">
        <v>2357</v>
      </c>
      <c r="B757" s="248" t="s">
        <v>2358</v>
      </c>
      <c r="C757" s="40" t="s">
        <v>2346</v>
      </c>
      <c r="D757" s="40">
        <v>2040</v>
      </c>
      <c r="E757" s="86">
        <f>GDPdeflator!$C$32*INDEX(AdditionalVehs!$AA$46:$AK$91,MATCH($C757,AdditionalVehs!$C$46:$C$91,0),MATCH(E$7,AdditionalVehs!$AA$45:$AK$45,0))</f>
        <v>0</v>
      </c>
      <c r="F757" s="86" t="e">
        <f>GDPdeflator!$C$36*INDEX(AdditionalVehs!$AA$46:$AK$91,MATCH($C757,AdditionalVehs!$C$46:$C$91,0),MATCH(F$7,AdditionalVehs!$AA$45:$AK$45,0))</f>
        <v>#REF!</v>
      </c>
      <c r="G757" s="86" t="e">
        <f>GDPdeflator!$C$38*INDEX(AdditionalVehs!$AA$46:$AK$91,MATCH($C757,AdditionalVehs!$C$46:$C$91,0),MATCH(G$7,AdditionalVehs!$AA$45:$AK$45,0))</f>
        <v>#REF!</v>
      </c>
      <c r="H757" s="86" t="e">
        <f>GDPdeflator!$C$38*INDEX(AdditionalVehs!$AA$46:$AK$91,MATCH($C757,AdditionalVehs!$C$46:$C$91,0),MATCH(H$7,AdditionalVehs!$AA$45:$AK$45,0))</f>
        <v>#REF!</v>
      </c>
      <c r="I757" s="86" t="e">
        <f>GDPdeflator!$C$38*INDEX(AdditionalVehs!$AA$46:$AK$91,MATCH($C757,AdditionalVehs!$C$46:$C$91,0),MATCH(I$7,AdditionalVehs!$AA$45:$AK$45,0))</f>
        <v>#REF!</v>
      </c>
      <c r="J757" s="86" t="e">
        <f>GDPdeflator!$C$38*INDEX(AdditionalVehs!$AA$46:$AK$91,MATCH($C757,AdditionalVehs!$C$46:$C$91,0),MATCH(J$7,AdditionalVehs!$AA$45:$AK$45,0))</f>
        <v>#REF!</v>
      </c>
      <c r="K757" s="86" t="e">
        <f>GDPdeflator!$C$38*INDEX(AdditionalVehs!$AA$46:$AK$91,MATCH($C757,AdditionalVehs!$C$46:$C$91,0),MATCH(K$7,AdditionalVehs!$AA$45:$AK$45,0))</f>
        <v>#REF!</v>
      </c>
      <c r="L757" s="86" t="e">
        <f>GDPdeflator!$C$38*INDEX(AdditionalVehs!$AA$46:$AK$91,MATCH($C757,AdditionalVehs!$C$46:$C$91,0),MATCH(L$7,AdditionalVehs!$AA$45:$AK$45,0))</f>
        <v>#REF!</v>
      </c>
      <c r="M757" s="86" t="e">
        <f>GDPdeflator!$C$38*INDEX(AdditionalVehs!$AA$46:$AK$91,MATCH($C757,AdditionalVehs!$C$46:$C$91,0),MATCH(M$7,AdditionalVehs!$AA$45:$AK$45,0))</f>
        <v>#REF!</v>
      </c>
      <c r="N757" s="86" t="e">
        <f>GDPdeflator!$C$38*INDEX(AdditionalVehs!$AA$46:$AK$91,MATCH($C757,AdditionalVehs!$C$46:$C$91,0),MATCH(N$7,AdditionalVehs!$AA$45:$AK$45,0))</f>
        <v>#REF!</v>
      </c>
      <c r="O757" s="86" t="e">
        <f>GDPdeflator!$C$38*INDEX(AdditionalVehs!$AA$46:$AK$91,MATCH($C757,AdditionalVehs!$C$46:$C$91,0),MATCH(O$7,AdditionalVehs!$AA$45:$AK$45,0))</f>
        <v>#REF!</v>
      </c>
      <c r="P757" s="87">
        <f t="shared" si="316"/>
        <v>0</v>
      </c>
      <c r="Q757" s="87" t="e">
        <f t="shared" si="310"/>
        <v>#REF!</v>
      </c>
      <c r="R757" s="87" t="e">
        <f t="shared" si="309"/>
        <v>#REF!</v>
      </c>
      <c r="S757" s="87" t="e">
        <f t="shared" si="298"/>
        <v>#REF!</v>
      </c>
      <c r="T757" s="87" t="e">
        <f t="shared" si="299"/>
        <v>#REF!</v>
      </c>
      <c r="U757" s="87" t="e">
        <f t="shared" si="300"/>
        <v>#REF!</v>
      </c>
      <c r="V757" s="87" t="e">
        <f t="shared" si="301"/>
        <v>#REF!</v>
      </c>
      <c r="W757" s="87" t="e">
        <f t="shared" si="302"/>
        <v>#REF!</v>
      </c>
      <c r="X757" s="87" t="e">
        <f t="shared" si="303"/>
        <v>#REF!</v>
      </c>
      <c r="Y757" s="87" t="e">
        <f t="shared" si="304"/>
        <v>#REF!</v>
      </c>
      <c r="Z757" s="87" t="e">
        <f t="shared" si="305"/>
        <v>#REF!</v>
      </c>
      <c r="AA757" s="40">
        <v>420</v>
      </c>
      <c r="AB757" s="89">
        <f>AA757*GDPdeflator!$C$25/$AI$18*10^3</f>
        <v>40.382789385678855</v>
      </c>
      <c r="AC757" s="90" t="e">
        <f>INDEX(AdditionalVehs!$E$46:$N$91,MATCH(C757,AdditionalVehs!$C$46:$C$91),MATCH(D757,AdditionalVehs!$E$45:$N$45))</f>
        <v>#REF!</v>
      </c>
      <c r="AD757" s="90" t="e">
        <f t="shared" si="307"/>
        <v>#REF!</v>
      </c>
      <c r="AE757" s="90" t="e">
        <f>INDEX(AdditionalVehs!$P$46:$Y$91,MATCH(C757,AdditionalVehs!$C$46:$C$91),MATCH(D757,AdditionalVehs!$AA$45:$AJ$45))</f>
        <v>#REF!</v>
      </c>
      <c r="AF757" s="90" t="e">
        <f t="shared" si="312"/>
        <v>#REF!</v>
      </c>
      <c r="AG757" s="90" t="e">
        <f>AdditionalVehs!$C$27</f>
        <v>#REF!</v>
      </c>
    </row>
    <row r="758" spans="1:33" x14ac:dyDescent="0.2">
      <c r="A758" s="92" t="s">
        <v>2359</v>
      </c>
      <c r="B758" s="248" t="s">
        <v>2360</v>
      </c>
      <c r="C758" s="40" t="s">
        <v>2346</v>
      </c>
      <c r="D758" s="40">
        <v>2045</v>
      </c>
      <c r="E758" s="86">
        <f>GDPdeflator!$C$32*INDEX(AdditionalVehs!$AA$46:$AK$91,MATCH($C758,AdditionalVehs!$C$46:$C$91,0),MATCH(E$7,AdditionalVehs!$AA$45:$AK$45,0))</f>
        <v>0</v>
      </c>
      <c r="F758" s="86" t="e">
        <f>GDPdeflator!$C$36*INDEX(AdditionalVehs!$AA$46:$AK$91,MATCH($C758,AdditionalVehs!$C$46:$C$91,0),MATCH(F$7,AdditionalVehs!$AA$45:$AK$45,0))</f>
        <v>#REF!</v>
      </c>
      <c r="G758" s="86" t="e">
        <f>GDPdeflator!$C$38*INDEX(AdditionalVehs!$AA$46:$AK$91,MATCH($C758,AdditionalVehs!$C$46:$C$91,0),MATCH(G$7,AdditionalVehs!$AA$45:$AK$45,0))</f>
        <v>#REF!</v>
      </c>
      <c r="H758" s="86" t="e">
        <f>GDPdeflator!$C$38*INDEX(AdditionalVehs!$AA$46:$AK$91,MATCH($C758,AdditionalVehs!$C$46:$C$91,0),MATCH(H$7,AdditionalVehs!$AA$45:$AK$45,0))</f>
        <v>#REF!</v>
      </c>
      <c r="I758" s="86" t="e">
        <f>GDPdeflator!$C$38*INDEX(AdditionalVehs!$AA$46:$AK$91,MATCH($C758,AdditionalVehs!$C$46:$C$91,0),MATCH(I$7,AdditionalVehs!$AA$45:$AK$45,0))</f>
        <v>#REF!</v>
      </c>
      <c r="J758" s="86" t="e">
        <f>GDPdeflator!$C$38*INDEX(AdditionalVehs!$AA$46:$AK$91,MATCH($C758,AdditionalVehs!$C$46:$C$91,0),MATCH(J$7,AdditionalVehs!$AA$45:$AK$45,0))</f>
        <v>#REF!</v>
      </c>
      <c r="K758" s="86" t="e">
        <f>GDPdeflator!$C$38*INDEX(AdditionalVehs!$AA$46:$AK$91,MATCH($C758,AdditionalVehs!$C$46:$C$91,0),MATCH(K$7,AdditionalVehs!$AA$45:$AK$45,0))</f>
        <v>#REF!</v>
      </c>
      <c r="L758" s="86" t="e">
        <f>GDPdeflator!$C$38*INDEX(AdditionalVehs!$AA$46:$AK$91,MATCH($C758,AdditionalVehs!$C$46:$C$91,0),MATCH(L$7,AdditionalVehs!$AA$45:$AK$45,0))</f>
        <v>#REF!</v>
      </c>
      <c r="M758" s="86" t="e">
        <f>GDPdeflator!$C$38*INDEX(AdditionalVehs!$AA$46:$AK$91,MATCH($C758,AdditionalVehs!$C$46:$C$91,0),MATCH(M$7,AdditionalVehs!$AA$45:$AK$45,0))</f>
        <v>#REF!</v>
      </c>
      <c r="N758" s="86" t="e">
        <f>GDPdeflator!$C$38*INDEX(AdditionalVehs!$AA$46:$AK$91,MATCH($C758,AdditionalVehs!$C$46:$C$91,0),MATCH(N$7,AdditionalVehs!$AA$45:$AK$45,0))</f>
        <v>#REF!</v>
      </c>
      <c r="O758" s="86" t="e">
        <f>GDPdeflator!$C$38*INDEX(AdditionalVehs!$AA$46:$AK$91,MATCH($C758,AdditionalVehs!$C$46:$C$91,0),MATCH(O$7,AdditionalVehs!$AA$45:$AK$45,0))</f>
        <v>#REF!</v>
      </c>
      <c r="P758" s="87">
        <f t="shared" si="316"/>
        <v>0</v>
      </c>
      <c r="Q758" s="87" t="e">
        <f t="shared" si="310"/>
        <v>#REF!</v>
      </c>
      <c r="R758" s="87" t="e">
        <f t="shared" si="309"/>
        <v>#REF!</v>
      </c>
      <c r="S758" s="87" t="e">
        <f t="shared" si="298"/>
        <v>#REF!</v>
      </c>
      <c r="T758" s="87" t="e">
        <f t="shared" si="299"/>
        <v>#REF!</v>
      </c>
      <c r="U758" s="87" t="e">
        <f t="shared" si="300"/>
        <v>#REF!</v>
      </c>
      <c r="V758" s="87" t="e">
        <f t="shared" si="301"/>
        <v>#REF!</v>
      </c>
      <c r="W758" s="87" t="e">
        <f t="shared" si="302"/>
        <v>#REF!</v>
      </c>
      <c r="X758" s="87" t="e">
        <f t="shared" si="303"/>
        <v>#REF!</v>
      </c>
      <c r="Y758" s="87" t="e">
        <f t="shared" si="304"/>
        <v>#REF!</v>
      </c>
      <c r="Z758" s="87" t="e">
        <f t="shared" si="305"/>
        <v>#REF!</v>
      </c>
      <c r="AA758" s="40">
        <v>420</v>
      </c>
      <c r="AB758" s="89">
        <f>AA758*GDPdeflator!$C$25/$AI$18*10^3</f>
        <v>40.382789385678855</v>
      </c>
      <c r="AC758" s="90" t="e">
        <f>INDEX(AdditionalVehs!$E$46:$N$91,MATCH(C758,AdditionalVehs!$C$46:$C$91),MATCH(D758,AdditionalVehs!$E$45:$N$45))</f>
        <v>#REF!</v>
      </c>
      <c r="AD758" s="90" t="e">
        <f t="shared" si="307"/>
        <v>#REF!</v>
      </c>
      <c r="AE758" s="90" t="e">
        <f>INDEX(AdditionalVehs!$P$46:$Y$91,MATCH(C758,AdditionalVehs!$C$46:$C$91),MATCH(D758,AdditionalVehs!$AA$45:$AJ$45))</f>
        <v>#REF!</v>
      </c>
      <c r="AF758" s="90" t="e">
        <f t="shared" si="312"/>
        <v>#REF!</v>
      </c>
      <c r="AG758" s="90" t="e">
        <f>AdditionalVehs!$C$27</f>
        <v>#REF!</v>
      </c>
    </row>
    <row r="759" spans="1:33" x14ac:dyDescent="0.2">
      <c r="A759" s="92" t="s">
        <v>2361</v>
      </c>
      <c r="B759" s="248" t="s">
        <v>2362</v>
      </c>
      <c r="C759" s="40" t="s">
        <v>2346</v>
      </c>
      <c r="D759" s="40">
        <v>2050</v>
      </c>
      <c r="E759" s="86">
        <f>GDPdeflator!$C$32*INDEX(AdditionalVehs!$AA$46:$AK$91,MATCH($C759,AdditionalVehs!$C$46:$C$91,0),MATCH(E$7,AdditionalVehs!$AA$45:$AK$45,0))</f>
        <v>0</v>
      </c>
      <c r="F759" s="86" t="e">
        <f>GDPdeflator!$C$36*INDEX(AdditionalVehs!$AA$46:$AK$91,MATCH($C759,AdditionalVehs!$C$46:$C$91,0),MATCH(F$7,AdditionalVehs!$AA$45:$AK$45,0))</f>
        <v>#REF!</v>
      </c>
      <c r="G759" s="86" t="e">
        <f>GDPdeflator!$C$38*INDEX(AdditionalVehs!$AA$46:$AK$91,MATCH($C759,AdditionalVehs!$C$46:$C$91,0),MATCH(G$7,AdditionalVehs!$AA$45:$AK$45,0))</f>
        <v>#REF!</v>
      </c>
      <c r="H759" s="86" t="e">
        <f>GDPdeflator!$C$38*INDEX(AdditionalVehs!$AA$46:$AK$91,MATCH($C759,AdditionalVehs!$C$46:$C$91,0),MATCH(H$7,AdditionalVehs!$AA$45:$AK$45,0))</f>
        <v>#REF!</v>
      </c>
      <c r="I759" s="86" t="e">
        <f>GDPdeflator!$C$38*INDEX(AdditionalVehs!$AA$46:$AK$91,MATCH($C759,AdditionalVehs!$C$46:$C$91,0),MATCH(I$7,AdditionalVehs!$AA$45:$AK$45,0))</f>
        <v>#REF!</v>
      </c>
      <c r="J759" s="86" t="e">
        <f>GDPdeflator!$C$38*INDEX(AdditionalVehs!$AA$46:$AK$91,MATCH($C759,AdditionalVehs!$C$46:$C$91,0),MATCH(J$7,AdditionalVehs!$AA$45:$AK$45,0))</f>
        <v>#REF!</v>
      </c>
      <c r="K759" s="86" t="e">
        <f>GDPdeflator!$C$38*INDEX(AdditionalVehs!$AA$46:$AK$91,MATCH($C759,AdditionalVehs!$C$46:$C$91,0),MATCH(K$7,AdditionalVehs!$AA$45:$AK$45,0))</f>
        <v>#REF!</v>
      </c>
      <c r="L759" s="86" t="e">
        <f>GDPdeflator!$C$38*INDEX(AdditionalVehs!$AA$46:$AK$91,MATCH($C759,AdditionalVehs!$C$46:$C$91,0),MATCH(L$7,AdditionalVehs!$AA$45:$AK$45,0))</f>
        <v>#REF!</v>
      </c>
      <c r="M759" s="86" t="e">
        <f>GDPdeflator!$C$38*INDEX(AdditionalVehs!$AA$46:$AK$91,MATCH($C759,AdditionalVehs!$C$46:$C$91,0),MATCH(M$7,AdditionalVehs!$AA$45:$AK$45,0))</f>
        <v>#REF!</v>
      </c>
      <c r="N759" s="86" t="e">
        <f>GDPdeflator!$C$38*INDEX(AdditionalVehs!$AA$46:$AK$91,MATCH($C759,AdditionalVehs!$C$46:$C$91,0),MATCH(N$7,AdditionalVehs!$AA$45:$AK$45,0))</f>
        <v>#REF!</v>
      </c>
      <c r="O759" s="86" t="e">
        <f>GDPdeflator!$C$38*INDEX(AdditionalVehs!$AA$46:$AK$91,MATCH($C759,AdditionalVehs!$C$46:$C$91,0),MATCH(O$7,AdditionalVehs!$AA$45:$AK$45,0))</f>
        <v>#REF!</v>
      </c>
      <c r="P759" s="87">
        <f t="shared" si="316"/>
        <v>0</v>
      </c>
      <c r="Q759" s="87" t="e">
        <f t="shared" si="310"/>
        <v>#REF!</v>
      </c>
      <c r="R759" s="87" t="e">
        <f t="shared" si="309"/>
        <v>#REF!</v>
      </c>
      <c r="S759" s="87" t="e">
        <f t="shared" ref="S759:S822" si="317">H759/$AI$18*10^6</f>
        <v>#REF!</v>
      </c>
      <c r="T759" s="87" t="e">
        <f t="shared" ref="T759:T822" si="318">I759/$AI$18*10^6</f>
        <v>#REF!</v>
      </c>
      <c r="U759" s="87" t="e">
        <f t="shared" ref="U759:U822" si="319">J759/$AI$18*10^6</f>
        <v>#REF!</v>
      </c>
      <c r="V759" s="87" t="e">
        <f t="shared" ref="V759:V822" si="320">K759/$AI$18*10^6</f>
        <v>#REF!</v>
      </c>
      <c r="W759" s="87" t="e">
        <f t="shared" ref="W759:W822" si="321">L759/$AI$18*10^6</f>
        <v>#REF!</v>
      </c>
      <c r="X759" s="87" t="e">
        <f t="shared" ref="X759:X822" si="322">M759/$AI$18*10^6</f>
        <v>#REF!</v>
      </c>
      <c r="Y759" s="87" t="e">
        <f t="shared" ref="Y759:Y822" si="323">N759/$AI$18*10^6</f>
        <v>#REF!</v>
      </c>
      <c r="Z759" s="87" t="e">
        <f t="shared" ref="Z759:Z822" si="324">O759/$AI$18*10^6</f>
        <v>#REF!</v>
      </c>
      <c r="AA759" s="40">
        <v>420</v>
      </c>
      <c r="AB759" s="89">
        <f>AA759*GDPdeflator!$C$25/$AI$18*10^3</f>
        <v>40.382789385678855</v>
      </c>
      <c r="AC759" s="90" t="e">
        <f>INDEX(AdditionalVehs!$E$46:$N$91,MATCH(C759,AdditionalVehs!$C$46:$C$91),MATCH(D759,AdditionalVehs!$E$45:$N$45))</f>
        <v>#REF!</v>
      </c>
      <c r="AD759" s="90" t="e">
        <f t="shared" si="307"/>
        <v>#REF!</v>
      </c>
      <c r="AE759" s="90" t="e">
        <f>INDEX(AdditionalVehs!$P$46:$Y$91,MATCH(C759,AdditionalVehs!$C$46:$C$91),MATCH(D759,AdditionalVehs!$AA$45:$AJ$45))</f>
        <v>#REF!</v>
      </c>
      <c r="AF759" s="90" t="e">
        <f t="shared" si="312"/>
        <v>#REF!</v>
      </c>
      <c r="AG759" s="90" t="e">
        <f>AdditionalVehs!$C$27</f>
        <v>#REF!</v>
      </c>
    </row>
    <row r="760" spans="1:33" x14ac:dyDescent="0.2">
      <c r="A760" s="92" t="s">
        <v>2363</v>
      </c>
      <c r="B760" s="248" t="s">
        <v>2364</v>
      </c>
      <c r="C760" s="40" t="s">
        <v>2365</v>
      </c>
      <c r="D760" s="40">
        <v>2010</v>
      </c>
      <c r="E760" s="86">
        <f>GDPdeflator!$C$32*INDEX(AdditionalVehs!$AA$46:$AK$91,MATCH($C760,AdditionalVehs!$C$46:$C$91,0),MATCH(E$7,AdditionalVehs!$AA$45:$AK$45,0))</f>
        <v>0</v>
      </c>
      <c r="F760" s="86" t="e">
        <f>GDPdeflator!$C$36*INDEX(AdditionalVehs!$AA$46:$AK$91,MATCH($C760,AdditionalVehs!$C$46:$C$91,0),MATCH(F$7,AdditionalVehs!$AA$45:$AK$45,0))</f>
        <v>#REF!</v>
      </c>
      <c r="G760" s="86" t="e">
        <f>GDPdeflator!$C$38*INDEX(AdditionalVehs!$AA$46:$AK$91,MATCH($C760,AdditionalVehs!$C$46:$C$91,0),MATCH(G$7,AdditionalVehs!$AA$45:$AK$45,0))</f>
        <v>#REF!</v>
      </c>
      <c r="H760" s="86" t="e">
        <f>GDPdeflator!$C$38*INDEX(AdditionalVehs!$AA$46:$AK$91,MATCH($C760,AdditionalVehs!$C$46:$C$91,0),MATCH(H$7,AdditionalVehs!$AA$45:$AK$45,0))</f>
        <v>#REF!</v>
      </c>
      <c r="I760" s="86" t="e">
        <f>GDPdeflator!$C$38*INDEX(AdditionalVehs!$AA$46:$AK$91,MATCH($C760,AdditionalVehs!$C$46:$C$91,0),MATCH(I$7,AdditionalVehs!$AA$45:$AK$45,0))</f>
        <v>#REF!</v>
      </c>
      <c r="J760" s="86" t="e">
        <f>GDPdeflator!$C$38*INDEX(AdditionalVehs!$AA$46:$AK$91,MATCH($C760,AdditionalVehs!$C$46:$C$91,0),MATCH(J$7,AdditionalVehs!$AA$45:$AK$45,0))</f>
        <v>#REF!</v>
      </c>
      <c r="K760" s="86" t="e">
        <f>GDPdeflator!$C$38*INDEX(AdditionalVehs!$AA$46:$AK$91,MATCH($C760,AdditionalVehs!$C$46:$C$91,0),MATCH(K$7,AdditionalVehs!$AA$45:$AK$45,0))</f>
        <v>#REF!</v>
      </c>
      <c r="L760" s="86" t="e">
        <f>GDPdeflator!$C$38*INDEX(AdditionalVehs!$AA$46:$AK$91,MATCH($C760,AdditionalVehs!$C$46:$C$91,0),MATCH(L$7,AdditionalVehs!$AA$45:$AK$45,0))</f>
        <v>#REF!</v>
      </c>
      <c r="M760" s="86" t="e">
        <f>GDPdeflator!$C$38*INDEX(AdditionalVehs!$AA$46:$AK$91,MATCH($C760,AdditionalVehs!$C$46:$C$91,0),MATCH(M$7,AdditionalVehs!$AA$45:$AK$45,0))</f>
        <v>#REF!</v>
      </c>
      <c r="N760" s="86" t="e">
        <f>GDPdeflator!$C$38*INDEX(AdditionalVehs!$AA$46:$AK$91,MATCH($C760,AdditionalVehs!$C$46:$C$91,0),MATCH(N$7,AdditionalVehs!$AA$45:$AK$45,0))</f>
        <v>#REF!</v>
      </c>
      <c r="O760" s="86" t="e">
        <f>GDPdeflator!$C$38*INDEX(AdditionalVehs!$AA$46:$AK$91,MATCH($C760,AdditionalVehs!$C$46:$C$91,0),MATCH(O$7,AdditionalVehs!$AA$45:$AK$45,0))</f>
        <v>#REF!</v>
      </c>
      <c r="P760" s="87">
        <f>E760/$AI$18*10^6</f>
        <v>0</v>
      </c>
      <c r="Q760" s="87" t="e">
        <f t="shared" si="310"/>
        <v>#REF!</v>
      </c>
      <c r="R760" s="87" t="e">
        <f t="shared" si="309"/>
        <v>#REF!</v>
      </c>
      <c r="S760" s="87" t="e">
        <f t="shared" si="317"/>
        <v>#REF!</v>
      </c>
      <c r="T760" s="87" t="e">
        <f t="shared" si="318"/>
        <v>#REF!</v>
      </c>
      <c r="U760" s="87" t="e">
        <f t="shared" si="319"/>
        <v>#REF!</v>
      </c>
      <c r="V760" s="87" t="e">
        <f t="shared" si="320"/>
        <v>#REF!</v>
      </c>
      <c r="W760" s="87" t="e">
        <f t="shared" si="321"/>
        <v>#REF!</v>
      </c>
      <c r="X760" s="87" t="e">
        <f t="shared" si="322"/>
        <v>#REF!</v>
      </c>
      <c r="Y760" s="87" t="e">
        <f t="shared" si="323"/>
        <v>#REF!</v>
      </c>
      <c r="Z760" s="87" t="e">
        <f t="shared" si="324"/>
        <v>#REF!</v>
      </c>
      <c r="AA760" s="40">
        <v>473</v>
      </c>
      <c r="AB760" s="89">
        <f>AA760*GDPdeflator!$C$25/$AI$18*10^3</f>
        <v>45.478712808157368</v>
      </c>
      <c r="AC760" s="90" t="e">
        <f>INDEX(AdditionalVehs!$E$46:$N$91,MATCH(C760,AdditionalVehs!$C$46:$C$91),MATCH(D760,AdditionalVehs!$E$45:$N$45))</f>
        <v>#REF!</v>
      </c>
      <c r="AD760" s="90" t="e">
        <f t="shared" si="307"/>
        <v>#REF!</v>
      </c>
      <c r="AE760" s="90" t="e">
        <f>INDEX(AdditionalVehs!$P$46:$Y$91,MATCH(C760,AdditionalVehs!$C$46:$C$91),MATCH(D760,AdditionalVehs!$AA$45:$AJ$45))</f>
        <v>#REF!</v>
      </c>
      <c r="AF760" s="90" t="e">
        <f t="shared" si="312"/>
        <v>#REF!</v>
      </c>
      <c r="AG760" s="90" t="e">
        <f>AdditionalVehs!$C$27</f>
        <v>#REF!</v>
      </c>
    </row>
    <row r="761" spans="1:33" x14ac:dyDescent="0.2">
      <c r="A761" s="92" t="s">
        <v>2366</v>
      </c>
      <c r="B761" s="248" t="s">
        <v>2367</v>
      </c>
      <c r="C761" s="40" t="s">
        <v>2365</v>
      </c>
      <c r="D761" s="40">
        <v>2015</v>
      </c>
      <c r="E761" s="86">
        <f>GDPdeflator!$C$32*INDEX(AdditionalVehs!$AA$46:$AK$91,MATCH($C761,AdditionalVehs!$C$46:$C$91,0),MATCH(E$7,AdditionalVehs!$AA$45:$AK$45,0))</f>
        <v>0</v>
      </c>
      <c r="F761" s="86" t="e">
        <f>GDPdeflator!$C$36*INDEX(AdditionalVehs!$AA$46:$AK$91,MATCH($C761,AdditionalVehs!$C$46:$C$91,0),MATCH(F$7,AdditionalVehs!$AA$45:$AK$45,0))</f>
        <v>#REF!</v>
      </c>
      <c r="G761" s="86" t="e">
        <f>GDPdeflator!$C$38*INDEX(AdditionalVehs!$AA$46:$AK$91,MATCH($C761,AdditionalVehs!$C$46:$C$91,0),MATCH(G$7,AdditionalVehs!$AA$45:$AK$45,0))</f>
        <v>#REF!</v>
      </c>
      <c r="H761" s="86" t="e">
        <f>GDPdeflator!$C$38*INDEX(AdditionalVehs!$AA$46:$AK$91,MATCH($C761,AdditionalVehs!$C$46:$C$91,0),MATCH(H$7,AdditionalVehs!$AA$45:$AK$45,0))</f>
        <v>#REF!</v>
      </c>
      <c r="I761" s="86" t="e">
        <f>GDPdeflator!$C$38*INDEX(AdditionalVehs!$AA$46:$AK$91,MATCH($C761,AdditionalVehs!$C$46:$C$91,0),MATCH(I$7,AdditionalVehs!$AA$45:$AK$45,0))</f>
        <v>#REF!</v>
      </c>
      <c r="J761" s="86" t="e">
        <f>GDPdeflator!$C$38*INDEX(AdditionalVehs!$AA$46:$AK$91,MATCH($C761,AdditionalVehs!$C$46:$C$91,0),MATCH(J$7,AdditionalVehs!$AA$45:$AK$45,0))</f>
        <v>#REF!</v>
      </c>
      <c r="K761" s="86" t="e">
        <f>GDPdeflator!$C$38*INDEX(AdditionalVehs!$AA$46:$AK$91,MATCH($C761,AdditionalVehs!$C$46:$C$91,0),MATCH(K$7,AdditionalVehs!$AA$45:$AK$45,0))</f>
        <v>#REF!</v>
      </c>
      <c r="L761" s="86" t="e">
        <f>GDPdeflator!$C$38*INDEX(AdditionalVehs!$AA$46:$AK$91,MATCH($C761,AdditionalVehs!$C$46:$C$91,0),MATCH(L$7,AdditionalVehs!$AA$45:$AK$45,0))</f>
        <v>#REF!</v>
      </c>
      <c r="M761" s="86" t="e">
        <f>GDPdeflator!$C$38*INDEX(AdditionalVehs!$AA$46:$AK$91,MATCH($C761,AdditionalVehs!$C$46:$C$91,0),MATCH(M$7,AdditionalVehs!$AA$45:$AK$45,0))</f>
        <v>#REF!</v>
      </c>
      <c r="N761" s="86" t="e">
        <f>GDPdeflator!$C$38*INDEX(AdditionalVehs!$AA$46:$AK$91,MATCH($C761,AdditionalVehs!$C$46:$C$91,0),MATCH(N$7,AdditionalVehs!$AA$45:$AK$45,0))</f>
        <v>#REF!</v>
      </c>
      <c r="O761" s="86" t="e">
        <f>GDPdeflator!$C$38*INDEX(AdditionalVehs!$AA$46:$AK$91,MATCH($C761,AdditionalVehs!$C$46:$C$91,0),MATCH(O$7,AdditionalVehs!$AA$45:$AK$45,0))</f>
        <v>#REF!</v>
      </c>
      <c r="P761" s="87">
        <f t="shared" ref="P761:P768" si="325">E761/$AI$18*10^6</f>
        <v>0</v>
      </c>
      <c r="Q761" s="87" t="e">
        <f t="shared" si="310"/>
        <v>#REF!</v>
      </c>
      <c r="R761" s="87" t="e">
        <f t="shared" si="309"/>
        <v>#REF!</v>
      </c>
      <c r="S761" s="87" t="e">
        <f t="shared" si="317"/>
        <v>#REF!</v>
      </c>
      <c r="T761" s="87" t="e">
        <f t="shared" si="318"/>
        <v>#REF!</v>
      </c>
      <c r="U761" s="87" t="e">
        <f t="shared" si="319"/>
        <v>#REF!</v>
      </c>
      <c r="V761" s="87" t="e">
        <f t="shared" si="320"/>
        <v>#REF!</v>
      </c>
      <c r="W761" s="87" t="e">
        <f t="shared" si="321"/>
        <v>#REF!</v>
      </c>
      <c r="X761" s="87" t="e">
        <f t="shared" si="322"/>
        <v>#REF!</v>
      </c>
      <c r="Y761" s="87" t="e">
        <f t="shared" si="323"/>
        <v>#REF!</v>
      </c>
      <c r="Z761" s="87" t="e">
        <f t="shared" si="324"/>
        <v>#REF!</v>
      </c>
      <c r="AA761" s="40">
        <v>473</v>
      </c>
      <c r="AB761" s="89">
        <f>AA761*GDPdeflator!$C$25/$AI$18*10^3</f>
        <v>45.478712808157368</v>
      </c>
      <c r="AC761" s="90" t="e">
        <f>INDEX(AdditionalVehs!$E$46:$N$91,MATCH(C761,AdditionalVehs!$C$46:$C$91),MATCH(D761,AdditionalVehs!$E$45:$N$45))</f>
        <v>#REF!</v>
      </c>
      <c r="AD761" s="90" t="e">
        <f t="shared" si="307"/>
        <v>#REF!</v>
      </c>
      <c r="AE761" s="90" t="e">
        <f>INDEX(AdditionalVehs!$P$46:$Y$91,MATCH(C761,AdditionalVehs!$C$46:$C$91),MATCH(D761,AdditionalVehs!$AA$45:$AJ$45))</f>
        <v>#REF!</v>
      </c>
      <c r="AF761" s="90" t="e">
        <f t="shared" si="312"/>
        <v>#REF!</v>
      </c>
      <c r="AG761" s="90" t="e">
        <f>AdditionalVehs!$C$27</f>
        <v>#REF!</v>
      </c>
    </row>
    <row r="762" spans="1:33" x14ac:dyDescent="0.2">
      <c r="A762" s="92" t="s">
        <v>2368</v>
      </c>
      <c r="B762" s="248" t="s">
        <v>2369</v>
      </c>
      <c r="C762" s="40" t="s">
        <v>2365</v>
      </c>
      <c r="D762" s="40">
        <v>2020</v>
      </c>
      <c r="E762" s="86">
        <f>GDPdeflator!$C$32*INDEX(AdditionalVehs!$AA$46:$AK$91,MATCH($C762,AdditionalVehs!$C$46:$C$91,0),MATCH(E$7,AdditionalVehs!$AA$45:$AK$45,0))</f>
        <v>0</v>
      </c>
      <c r="F762" s="86" t="e">
        <f>GDPdeflator!$C$36*INDEX(AdditionalVehs!$AA$46:$AK$91,MATCH($C762,AdditionalVehs!$C$46:$C$91,0),MATCH(F$7,AdditionalVehs!$AA$45:$AK$45,0))</f>
        <v>#REF!</v>
      </c>
      <c r="G762" s="86" t="e">
        <f>GDPdeflator!$C$38*INDEX(AdditionalVehs!$AA$46:$AK$91,MATCH($C762,AdditionalVehs!$C$46:$C$91,0),MATCH(G$7,AdditionalVehs!$AA$45:$AK$45,0))</f>
        <v>#REF!</v>
      </c>
      <c r="H762" s="86" t="e">
        <f>GDPdeflator!$C$38*INDEX(AdditionalVehs!$AA$46:$AK$91,MATCH($C762,AdditionalVehs!$C$46:$C$91,0),MATCH(H$7,AdditionalVehs!$AA$45:$AK$45,0))</f>
        <v>#REF!</v>
      </c>
      <c r="I762" s="86" t="e">
        <f>GDPdeflator!$C$38*INDEX(AdditionalVehs!$AA$46:$AK$91,MATCH($C762,AdditionalVehs!$C$46:$C$91,0),MATCH(I$7,AdditionalVehs!$AA$45:$AK$45,0))</f>
        <v>#REF!</v>
      </c>
      <c r="J762" s="86" t="e">
        <f>GDPdeflator!$C$38*INDEX(AdditionalVehs!$AA$46:$AK$91,MATCH($C762,AdditionalVehs!$C$46:$C$91,0),MATCH(J$7,AdditionalVehs!$AA$45:$AK$45,0))</f>
        <v>#REF!</v>
      </c>
      <c r="K762" s="86" t="e">
        <f>GDPdeflator!$C$38*INDEX(AdditionalVehs!$AA$46:$AK$91,MATCH($C762,AdditionalVehs!$C$46:$C$91,0),MATCH(K$7,AdditionalVehs!$AA$45:$AK$45,0))</f>
        <v>#REF!</v>
      </c>
      <c r="L762" s="86" t="e">
        <f>GDPdeflator!$C$38*INDEX(AdditionalVehs!$AA$46:$AK$91,MATCH($C762,AdditionalVehs!$C$46:$C$91,0),MATCH(L$7,AdditionalVehs!$AA$45:$AK$45,0))</f>
        <v>#REF!</v>
      </c>
      <c r="M762" s="86" t="e">
        <f>GDPdeflator!$C$38*INDEX(AdditionalVehs!$AA$46:$AK$91,MATCH($C762,AdditionalVehs!$C$46:$C$91,0),MATCH(M$7,AdditionalVehs!$AA$45:$AK$45,0))</f>
        <v>#REF!</v>
      </c>
      <c r="N762" s="86" t="e">
        <f>GDPdeflator!$C$38*INDEX(AdditionalVehs!$AA$46:$AK$91,MATCH($C762,AdditionalVehs!$C$46:$C$91,0),MATCH(N$7,AdditionalVehs!$AA$45:$AK$45,0))</f>
        <v>#REF!</v>
      </c>
      <c r="O762" s="86" t="e">
        <f>GDPdeflator!$C$38*INDEX(AdditionalVehs!$AA$46:$AK$91,MATCH($C762,AdditionalVehs!$C$46:$C$91,0),MATCH(O$7,AdditionalVehs!$AA$45:$AK$45,0))</f>
        <v>#REF!</v>
      </c>
      <c r="P762" s="87">
        <f t="shared" si="325"/>
        <v>0</v>
      </c>
      <c r="Q762" s="87" t="e">
        <f t="shared" si="310"/>
        <v>#REF!</v>
      </c>
      <c r="R762" s="87" t="e">
        <f t="shared" si="309"/>
        <v>#REF!</v>
      </c>
      <c r="S762" s="87" t="e">
        <f t="shared" si="317"/>
        <v>#REF!</v>
      </c>
      <c r="T762" s="87" t="e">
        <f t="shared" si="318"/>
        <v>#REF!</v>
      </c>
      <c r="U762" s="87" t="e">
        <f t="shared" si="319"/>
        <v>#REF!</v>
      </c>
      <c r="V762" s="87" t="e">
        <f t="shared" si="320"/>
        <v>#REF!</v>
      </c>
      <c r="W762" s="87" t="e">
        <f t="shared" si="321"/>
        <v>#REF!</v>
      </c>
      <c r="X762" s="87" t="e">
        <f t="shared" si="322"/>
        <v>#REF!</v>
      </c>
      <c r="Y762" s="87" t="e">
        <f t="shared" si="323"/>
        <v>#REF!</v>
      </c>
      <c r="Z762" s="87" t="e">
        <f t="shared" si="324"/>
        <v>#REF!</v>
      </c>
      <c r="AA762" s="40">
        <v>473</v>
      </c>
      <c r="AB762" s="89">
        <f>AA762*GDPdeflator!$C$25/$AI$18*10^3</f>
        <v>45.478712808157368</v>
      </c>
      <c r="AC762" s="90" t="e">
        <f>INDEX(AdditionalVehs!$E$46:$N$91,MATCH(C762,AdditionalVehs!$C$46:$C$91),MATCH(D762,AdditionalVehs!$E$45:$N$45))</f>
        <v>#REF!</v>
      </c>
      <c r="AD762" s="90" t="e">
        <f t="shared" si="307"/>
        <v>#REF!</v>
      </c>
      <c r="AE762" s="90" t="e">
        <f>INDEX(AdditionalVehs!$P$46:$Y$91,MATCH(C762,AdditionalVehs!$C$46:$C$91),MATCH(D762,AdditionalVehs!$AA$45:$AJ$45))</f>
        <v>#REF!</v>
      </c>
      <c r="AF762" s="90" t="e">
        <f t="shared" si="312"/>
        <v>#REF!</v>
      </c>
      <c r="AG762" s="90" t="e">
        <f>AdditionalVehs!$C$27</f>
        <v>#REF!</v>
      </c>
    </row>
    <row r="763" spans="1:33" x14ac:dyDescent="0.2">
      <c r="A763" s="92" t="s">
        <v>2370</v>
      </c>
      <c r="B763" s="248" t="s">
        <v>2371</v>
      </c>
      <c r="C763" s="40" t="s">
        <v>2365</v>
      </c>
      <c r="D763" s="40">
        <v>2025</v>
      </c>
      <c r="E763" s="86">
        <f>GDPdeflator!$C$32*INDEX(AdditionalVehs!$AA$46:$AK$91,MATCH($C763,AdditionalVehs!$C$46:$C$91,0),MATCH(E$7,AdditionalVehs!$AA$45:$AK$45,0))</f>
        <v>0</v>
      </c>
      <c r="F763" s="86" t="e">
        <f>GDPdeflator!$C$36*INDEX(AdditionalVehs!$AA$46:$AK$91,MATCH($C763,AdditionalVehs!$C$46:$C$91,0),MATCH(F$7,AdditionalVehs!$AA$45:$AK$45,0))</f>
        <v>#REF!</v>
      </c>
      <c r="G763" s="86" t="e">
        <f>GDPdeflator!$C$38*INDEX(AdditionalVehs!$AA$46:$AK$91,MATCH($C763,AdditionalVehs!$C$46:$C$91,0),MATCH(G$7,AdditionalVehs!$AA$45:$AK$45,0))</f>
        <v>#REF!</v>
      </c>
      <c r="H763" s="86" t="e">
        <f>GDPdeflator!$C$38*INDEX(AdditionalVehs!$AA$46:$AK$91,MATCH($C763,AdditionalVehs!$C$46:$C$91,0),MATCH(H$7,AdditionalVehs!$AA$45:$AK$45,0))</f>
        <v>#REF!</v>
      </c>
      <c r="I763" s="86" t="e">
        <f>GDPdeflator!$C$38*INDEX(AdditionalVehs!$AA$46:$AK$91,MATCH($C763,AdditionalVehs!$C$46:$C$91,0),MATCH(I$7,AdditionalVehs!$AA$45:$AK$45,0))</f>
        <v>#REF!</v>
      </c>
      <c r="J763" s="86" t="e">
        <f>GDPdeflator!$C$38*INDEX(AdditionalVehs!$AA$46:$AK$91,MATCH($C763,AdditionalVehs!$C$46:$C$91,0),MATCH(J$7,AdditionalVehs!$AA$45:$AK$45,0))</f>
        <v>#REF!</v>
      </c>
      <c r="K763" s="86" t="e">
        <f>GDPdeflator!$C$38*INDEX(AdditionalVehs!$AA$46:$AK$91,MATCH($C763,AdditionalVehs!$C$46:$C$91,0),MATCH(K$7,AdditionalVehs!$AA$45:$AK$45,0))</f>
        <v>#REF!</v>
      </c>
      <c r="L763" s="86" t="e">
        <f>GDPdeflator!$C$38*INDEX(AdditionalVehs!$AA$46:$AK$91,MATCH($C763,AdditionalVehs!$C$46:$C$91,0),MATCH(L$7,AdditionalVehs!$AA$45:$AK$45,0))</f>
        <v>#REF!</v>
      </c>
      <c r="M763" s="86" t="e">
        <f>GDPdeflator!$C$38*INDEX(AdditionalVehs!$AA$46:$AK$91,MATCH($C763,AdditionalVehs!$C$46:$C$91,0),MATCH(M$7,AdditionalVehs!$AA$45:$AK$45,0))</f>
        <v>#REF!</v>
      </c>
      <c r="N763" s="86" t="e">
        <f>GDPdeflator!$C$38*INDEX(AdditionalVehs!$AA$46:$AK$91,MATCH($C763,AdditionalVehs!$C$46:$C$91,0),MATCH(N$7,AdditionalVehs!$AA$45:$AK$45,0))</f>
        <v>#REF!</v>
      </c>
      <c r="O763" s="86" t="e">
        <f>GDPdeflator!$C$38*INDEX(AdditionalVehs!$AA$46:$AK$91,MATCH($C763,AdditionalVehs!$C$46:$C$91,0),MATCH(O$7,AdditionalVehs!$AA$45:$AK$45,0))</f>
        <v>#REF!</v>
      </c>
      <c r="P763" s="87">
        <f t="shared" si="325"/>
        <v>0</v>
      </c>
      <c r="Q763" s="87" t="e">
        <f t="shared" si="310"/>
        <v>#REF!</v>
      </c>
      <c r="R763" s="87" t="e">
        <f t="shared" si="309"/>
        <v>#REF!</v>
      </c>
      <c r="S763" s="87" t="e">
        <f t="shared" si="317"/>
        <v>#REF!</v>
      </c>
      <c r="T763" s="87" t="e">
        <f t="shared" si="318"/>
        <v>#REF!</v>
      </c>
      <c r="U763" s="87" t="e">
        <f t="shared" si="319"/>
        <v>#REF!</v>
      </c>
      <c r="V763" s="87" t="e">
        <f t="shared" si="320"/>
        <v>#REF!</v>
      </c>
      <c r="W763" s="87" t="e">
        <f t="shared" si="321"/>
        <v>#REF!</v>
      </c>
      <c r="X763" s="87" t="e">
        <f t="shared" si="322"/>
        <v>#REF!</v>
      </c>
      <c r="Y763" s="87" t="e">
        <f t="shared" si="323"/>
        <v>#REF!</v>
      </c>
      <c r="Z763" s="87" t="e">
        <f t="shared" si="324"/>
        <v>#REF!</v>
      </c>
      <c r="AA763" s="40">
        <v>473</v>
      </c>
      <c r="AB763" s="89">
        <f>AA763*GDPdeflator!$C$25/$AI$18*10^3</f>
        <v>45.478712808157368</v>
      </c>
      <c r="AC763" s="90" t="e">
        <f>INDEX(AdditionalVehs!$E$46:$N$91,MATCH(C763,AdditionalVehs!$C$46:$C$91),MATCH(D763,AdditionalVehs!$E$45:$N$45))</f>
        <v>#REF!</v>
      </c>
      <c r="AD763" s="90" t="e">
        <f t="shared" si="307"/>
        <v>#REF!</v>
      </c>
      <c r="AE763" s="90" t="e">
        <f>INDEX(AdditionalVehs!$P$46:$Y$91,MATCH(C763,AdditionalVehs!$C$46:$C$91),MATCH(D763,AdditionalVehs!$AA$45:$AJ$45))</f>
        <v>#REF!</v>
      </c>
      <c r="AF763" s="90" t="e">
        <f t="shared" si="312"/>
        <v>#REF!</v>
      </c>
      <c r="AG763" s="90" t="e">
        <f>AdditionalVehs!$C$27</f>
        <v>#REF!</v>
      </c>
    </row>
    <row r="764" spans="1:33" x14ac:dyDescent="0.2">
      <c r="A764" s="92" t="s">
        <v>2372</v>
      </c>
      <c r="B764" s="248" t="s">
        <v>2373</v>
      </c>
      <c r="C764" s="40" t="s">
        <v>2365</v>
      </c>
      <c r="D764" s="40">
        <v>2030</v>
      </c>
      <c r="E764" s="86">
        <f>GDPdeflator!$C$32*INDEX(AdditionalVehs!$AA$46:$AK$91,MATCH($C764,AdditionalVehs!$C$46:$C$91,0),MATCH(E$7,AdditionalVehs!$AA$45:$AK$45,0))</f>
        <v>0</v>
      </c>
      <c r="F764" s="86" t="e">
        <f>GDPdeflator!$C$36*INDEX(AdditionalVehs!$AA$46:$AK$91,MATCH($C764,AdditionalVehs!$C$46:$C$91,0),MATCH(F$7,AdditionalVehs!$AA$45:$AK$45,0))</f>
        <v>#REF!</v>
      </c>
      <c r="G764" s="86" t="e">
        <f>GDPdeflator!$C$38*INDEX(AdditionalVehs!$AA$46:$AK$91,MATCH($C764,AdditionalVehs!$C$46:$C$91,0),MATCH(G$7,AdditionalVehs!$AA$45:$AK$45,0))</f>
        <v>#REF!</v>
      </c>
      <c r="H764" s="86" t="e">
        <f>GDPdeflator!$C$38*INDEX(AdditionalVehs!$AA$46:$AK$91,MATCH($C764,AdditionalVehs!$C$46:$C$91,0),MATCH(H$7,AdditionalVehs!$AA$45:$AK$45,0))</f>
        <v>#REF!</v>
      </c>
      <c r="I764" s="86" t="e">
        <f>GDPdeflator!$C$38*INDEX(AdditionalVehs!$AA$46:$AK$91,MATCH($C764,AdditionalVehs!$C$46:$C$91,0),MATCH(I$7,AdditionalVehs!$AA$45:$AK$45,0))</f>
        <v>#REF!</v>
      </c>
      <c r="J764" s="86" t="e">
        <f>GDPdeflator!$C$38*INDEX(AdditionalVehs!$AA$46:$AK$91,MATCH($C764,AdditionalVehs!$C$46:$C$91,0),MATCH(J$7,AdditionalVehs!$AA$45:$AK$45,0))</f>
        <v>#REF!</v>
      </c>
      <c r="K764" s="86" t="e">
        <f>GDPdeflator!$C$38*INDEX(AdditionalVehs!$AA$46:$AK$91,MATCH($C764,AdditionalVehs!$C$46:$C$91,0),MATCH(K$7,AdditionalVehs!$AA$45:$AK$45,0))</f>
        <v>#REF!</v>
      </c>
      <c r="L764" s="86" t="e">
        <f>GDPdeflator!$C$38*INDEX(AdditionalVehs!$AA$46:$AK$91,MATCH($C764,AdditionalVehs!$C$46:$C$91,0),MATCH(L$7,AdditionalVehs!$AA$45:$AK$45,0))</f>
        <v>#REF!</v>
      </c>
      <c r="M764" s="86" t="e">
        <f>GDPdeflator!$C$38*INDEX(AdditionalVehs!$AA$46:$AK$91,MATCH($C764,AdditionalVehs!$C$46:$C$91,0),MATCH(M$7,AdditionalVehs!$AA$45:$AK$45,0))</f>
        <v>#REF!</v>
      </c>
      <c r="N764" s="86" t="e">
        <f>GDPdeflator!$C$38*INDEX(AdditionalVehs!$AA$46:$AK$91,MATCH($C764,AdditionalVehs!$C$46:$C$91,0),MATCH(N$7,AdditionalVehs!$AA$45:$AK$45,0))</f>
        <v>#REF!</v>
      </c>
      <c r="O764" s="86" t="e">
        <f>GDPdeflator!$C$38*INDEX(AdditionalVehs!$AA$46:$AK$91,MATCH($C764,AdditionalVehs!$C$46:$C$91,0),MATCH(O$7,AdditionalVehs!$AA$45:$AK$45,0))</f>
        <v>#REF!</v>
      </c>
      <c r="P764" s="87">
        <f t="shared" si="325"/>
        <v>0</v>
      </c>
      <c r="Q764" s="87" t="e">
        <f t="shared" si="310"/>
        <v>#REF!</v>
      </c>
      <c r="R764" s="87" t="e">
        <f t="shared" si="309"/>
        <v>#REF!</v>
      </c>
      <c r="S764" s="87" t="e">
        <f t="shared" si="317"/>
        <v>#REF!</v>
      </c>
      <c r="T764" s="87" t="e">
        <f t="shared" si="318"/>
        <v>#REF!</v>
      </c>
      <c r="U764" s="87" t="e">
        <f t="shared" si="319"/>
        <v>#REF!</v>
      </c>
      <c r="V764" s="87" t="e">
        <f t="shared" si="320"/>
        <v>#REF!</v>
      </c>
      <c r="W764" s="87" t="e">
        <f t="shared" si="321"/>
        <v>#REF!</v>
      </c>
      <c r="X764" s="87" t="e">
        <f t="shared" si="322"/>
        <v>#REF!</v>
      </c>
      <c r="Y764" s="87" t="e">
        <f t="shared" si="323"/>
        <v>#REF!</v>
      </c>
      <c r="Z764" s="87" t="e">
        <f t="shared" si="324"/>
        <v>#REF!</v>
      </c>
      <c r="AA764" s="40">
        <v>473</v>
      </c>
      <c r="AB764" s="89">
        <f>AA764*GDPdeflator!$C$25/$AI$18*10^3</f>
        <v>45.478712808157368</v>
      </c>
      <c r="AC764" s="90" t="e">
        <f>INDEX(AdditionalVehs!$E$46:$N$91,MATCH(C764,AdditionalVehs!$C$46:$C$91),MATCH(D764,AdditionalVehs!$E$45:$N$45))</f>
        <v>#REF!</v>
      </c>
      <c r="AD764" s="90" t="e">
        <f t="shared" si="307"/>
        <v>#REF!</v>
      </c>
      <c r="AE764" s="90" t="e">
        <f>INDEX(AdditionalVehs!$P$46:$Y$91,MATCH(C764,AdditionalVehs!$C$46:$C$91),MATCH(D764,AdditionalVehs!$AA$45:$AJ$45))</f>
        <v>#REF!</v>
      </c>
      <c r="AF764" s="90" t="e">
        <f t="shared" si="312"/>
        <v>#REF!</v>
      </c>
      <c r="AG764" s="90" t="e">
        <f>AdditionalVehs!$C$27</f>
        <v>#REF!</v>
      </c>
    </row>
    <row r="765" spans="1:33" x14ac:dyDescent="0.2">
      <c r="A765" s="92" t="s">
        <v>2374</v>
      </c>
      <c r="B765" s="248" t="s">
        <v>2375</v>
      </c>
      <c r="C765" s="40" t="s">
        <v>2365</v>
      </c>
      <c r="D765" s="40">
        <v>2035</v>
      </c>
      <c r="E765" s="86">
        <f>GDPdeflator!$C$32*INDEX(AdditionalVehs!$AA$46:$AK$91,MATCH($C765,AdditionalVehs!$C$46:$C$91,0),MATCH(E$7,AdditionalVehs!$AA$45:$AK$45,0))</f>
        <v>0</v>
      </c>
      <c r="F765" s="86" t="e">
        <f>GDPdeflator!$C$36*INDEX(AdditionalVehs!$AA$46:$AK$91,MATCH($C765,AdditionalVehs!$C$46:$C$91,0),MATCH(F$7,AdditionalVehs!$AA$45:$AK$45,0))</f>
        <v>#REF!</v>
      </c>
      <c r="G765" s="86" t="e">
        <f>GDPdeflator!$C$38*INDEX(AdditionalVehs!$AA$46:$AK$91,MATCH($C765,AdditionalVehs!$C$46:$C$91,0),MATCH(G$7,AdditionalVehs!$AA$45:$AK$45,0))</f>
        <v>#REF!</v>
      </c>
      <c r="H765" s="86" t="e">
        <f>GDPdeflator!$C$38*INDEX(AdditionalVehs!$AA$46:$AK$91,MATCH($C765,AdditionalVehs!$C$46:$C$91,0),MATCH(H$7,AdditionalVehs!$AA$45:$AK$45,0))</f>
        <v>#REF!</v>
      </c>
      <c r="I765" s="86" t="e">
        <f>GDPdeflator!$C$38*INDEX(AdditionalVehs!$AA$46:$AK$91,MATCH($C765,AdditionalVehs!$C$46:$C$91,0),MATCH(I$7,AdditionalVehs!$AA$45:$AK$45,0))</f>
        <v>#REF!</v>
      </c>
      <c r="J765" s="86" t="e">
        <f>GDPdeflator!$C$38*INDEX(AdditionalVehs!$AA$46:$AK$91,MATCH($C765,AdditionalVehs!$C$46:$C$91,0),MATCH(J$7,AdditionalVehs!$AA$45:$AK$45,0))</f>
        <v>#REF!</v>
      </c>
      <c r="K765" s="86" t="e">
        <f>GDPdeflator!$C$38*INDEX(AdditionalVehs!$AA$46:$AK$91,MATCH($C765,AdditionalVehs!$C$46:$C$91,0),MATCH(K$7,AdditionalVehs!$AA$45:$AK$45,0))</f>
        <v>#REF!</v>
      </c>
      <c r="L765" s="86" t="e">
        <f>GDPdeflator!$C$38*INDEX(AdditionalVehs!$AA$46:$AK$91,MATCH($C765,AdditionalVehs!$C$46:$C$91,0),MATCH(L$7,AdditionalVehs!$AA$45:$AK$45,0))</f>
        <v>#REF!</v>
      </c>
      <c r="M765" s="86" t="e">
        <f>GDPdeflator!$C$38*INDEX(AdditionalVehs!$AA$46:$AK$91,MATCH($C765,AdditionalVehs!$C$46:$C$91,0),MATCH(M$7,AdditionalVehs!$AA$45:$AK$45,0))</f>
        <v>#REF!</v>
      </c>
      <c r="N765" s="86" t="e">
        <f>GDPdeflator!$C$38*INDEX(AdditionalVehs!$AA$46:$AK$91,MATCH($C765,AdditionalVehs!$C$46:$C$91,0),MATCH(N$7,AdditionalVehs!$AA$45:$AK$45,0))</f>
        <v>#REF!</v>
      </c>
      <c r="O765" s="86" t="e">
        <f>GDPdeflator!$C$38*INDEX(AdditionalVehs!$AA$46:$AK$91,MATCH($C765,AdditionalVehs!$C$46:$C$91,0),MATCH(O$7,AdditionalVehs!$AA$45:$AK$45,0))</f>
        <v>#REF!</v>
      </c>
      <c r="P765" s="87">
        <f t="shared" si="325"/>
        <v>0</v>
      </c>
      <c r="Q765" s="87" t="e">
        <f t="shared" si="310"/>
        <v>#REF!</v>
      </c>
      <c r="R765" s="87" t="e">
        <f t="shared" si="309"/>
        <v>#REF!</v>
      </c>
      <c r="S765" s="87" t="e">
        <f t="shared" si="317"/>
        <v>#REF!</v>
      </c>
      <c r="T765" s="87" t="e">
        <f t="shared" si="318"/>
        <v>#REF!</v>
      </c>
      <c r="U765" s="87" t="e">
        <f t="shared" si="319"/>
        <v>#REF!</v>
      </c>
      <c r="V765" s="87" t="e">
        <f t="shared" si="320"/>
        <v>#REF!</v>
      </c>
      <c r="W765" s="87" t="e">
        <f t="shared" si="321"/>
        <v>#REF!</v>
      </c>
      <c r="X765" s="87" t="e">
        <f t="shared" si="322"/>
        <v>#REF!</v>
      </c>
      <c r="Y765" s="87" t="e">
        <f t="shared" si="323"/>
        <v>#REF!</v>
      </c>
      <c r="Z765" s="87" t="e">
        <f t="shared" si="324"/>
        <v>#REF!</v>
      </c>
      <c r="AA765" s="40">
        <v>473</v>
      </c>
      <c r="AB765" s="89">
        <f>AA765*GDPdeflator!$C$25/$AI$18*10^3</f>
        <v>45.478712808157368</v>
      </c>
      <c r="AC765" s="90" t="e">
        <f>INDEX(AdditionalVehs!$E$46:$N$91,MATCH(C765,AdditionalVehs!$C$46:$C$91),MATCH(D765,AdditionalVehs!$E$45:$N$45))</f>
        <v>#REF!</v>
      </c>
      <c r="AD765" s="90" t="e">
        <f t="shared" si="307"/>
        <v>#REF!</v>
      </c>
      <c r="AE765" s="90" t="e">
        <f>INDEX(AdditionalVehs!$P$46:$Y$91,MATCH(C765,AdditionalVehs!$C$46:$C$91),MATCH(D765,AdditionalVehs!$AA$45:$AJ$45))</f>
        <v>#REF!</v>
      </c>
      <c r="AF765" s="90" t="e">
        <f t="shared" si="312"/>
        <v>#REF!</v>
      </c>
      <c r="AG765" s="90" t="e">
        <f>AdditionalVehs!$C$27</f>
        <v>#REF!</v>
      </c>
    </row>
    <row r="766" spans="1:33" x14ac:dyDescent="0.2">
      <c r="A766" s="92" t="s">
        <v>2376</v>
      </c>
      <c r="B766" s="248" t="s">
        <v>2377</v>
      </c>
      <c r="C766" s="40" t="s">
        <v>2365</v>
      </c>
      <c r="D766" s="40">
        <v>2040</v>
      </c>
      <c r="E766" s="86">
        <f>GDPdeflator!$C$32*INDEX(AdditionalVehs!$AA$46:$AK$91,MATCH($C766,AdditionalVehs!$C$46:$C$91,0),MATCH(E$7,AdditionalVehs!$AA$45:$AK$45,0))</f>
        <v>0</v>
      </c>
      <c r="F766" s="86" t="e">
        <f>GDPdeflator!$C$36*INDEX(AdditionalVehs!$AA$46:$AK$91,MATCH($C766,AdditionalVehs!$C$46:$C$91,0),MATCH(F$7,AdditionalVehs!$AA$45:$AK$45,0))</f>
        <v>#REF!</v>
      </c>
      <c r="G766" s="86" t="e">
        <f>GDPdeflator!$C$38*INDEX(AdditionalVehs!$AA$46:$AK$91,MATCH($C766,AdditionalVehs!$C$46:$C$91,0),MATCH(G$7,AdditionalVehs!$AA$45:$AK$45,0))</f>
        <v>#REF!</v>
      </c>
      <c r="H766" s="86" t="e">
        <f>GDPdeflator!$C$38*INDEX(AdditionalVehs!$AA$46:$AK$91,MATCH($C766,AdditionalVehs!$C$46:$C$91,0),MATCH(H$7,AdditionalVehs!$AA$45:$AK$45,0))</f>
        <v>#REF!</v>
      </c>
      <c r="I766" s="86" t="e">
        <f>GDPdeflator!$C$38*INDEX(AdditionalVehs!$AA$46:$AK$91,MATCH($C766,AdditionalVehs!$C$46:$C$91,0),MATCH(I$7,AdditionalVehs!$AA$45:$AK$45,0))</f>
        <v>#REF!</v>
      </c>
      <c r="J766" s="86" t="e">
        <f>GDPdeflator!$C$38*INDEX(AdditionalVehs!$AA$46:$AK$91,MATCH($C766,AdditionalVehs!$C$46:$C$91,0),MATCH(J$7,AdditionalVehs!$AA$45:$AK$45,0))</f>
        <v>#REF!</v>
      </c>
      <c r="K766" s="86" t="e">
        <f>GDPdeflator!$C$38*INDEX(AdditionalVehs!$AA$46:$AK$91,MATCH($C766,AdditionalVehs!$C$46:$C$91,0),MATCH(K$7,AdditionalVehs!$AA$45:$AK$45,0))</f>
        <v>#REF!</v>
      </c>
      <c r="L766" s="86" t="e">
        <f>GDPdeflator!$C$38*INDEX(AdditionalVehs!$AA$46:$AK$91,MATCH($C766,AdditionalVehs!$C$46:$C$91,0),MATCH(L$7,AdditionalVehs!$AA$45:$AK$45,0))</f>
        <v>#REF!</v>
      </c>
      <c r="M766" s="86" t="e">
        <f>GDPdeflator!$C$38*INDEX(AdditionalVehs!$AA$46:$AK$91,MATCH($C766,AdditionalVehs!$C$46:$C$91,0),MATCH(M$7,AdditionalVehs!$AA$45:$AK$45,0))</f>
        <v>#REF!</v>
      </c>
      <c r="N766" s="86" t="e">
        <f>GDPdeflator!$C$38*INDEX(AdditionalVehs!$AA$46:$AK$91,MATCH($C766,AdditionalVehs!$C$46:$C$91,0),MATCH(N$7,AdditionalVehs!$AA$45:$AK$45,0))</f>
        <v>#REF!</v>
      </c>
      <c r="O766" s="86" t="e">
        <f>GDPdeflator!$C$38*INDEX(AdditionalVehs!$AA$46:$AK$91,MATCH($C766,AdditionalVehs!$C$46:$C$91,0),MATCH(O$7,AdditionalVehs!$AA$45:$AK$45,0))</f>
        <v>#REF!</v>
      </c>
      <c r="P766" s="87">
        <f t="shared" si="325"/>
        <v>0</v>
      </c>
      <c r="Q766" s="87" t="e">
        <f t="shared" si="310"/>
        <v>#REF!</v>
      </c>
      <c r="R766" s="87" t="e">
        <f t="shared" si="309"/>
        <v>#REF!</v>
      </c>
      <c r="S766" s="87" t="e">
        <f t="shared" si="317"/>
        <v>#REF!</v>
      </c>
      <c r="T766" s="87" t="e">
        <f t="shared" si="318"/>
        <v>#REF!</v>
      </c>
      <c r="U766" s="87" t="e">
        <f t="shared" si="319"/>
        <v>#REF!</v>
      </c>
      <c r="V766" s="87" t="e">
        <f t="shared" si="320"/>
        <v>#REF!</v>
      </c>
      <c r="W766" s="87" t="e">
        <f t="shared" si="321"/>
        <v>#REF!</v>
      </c>
      <c r="X766" s="87" t="e">
        <f t="shared" si="322"/>
        <v>#REF!</v>
      </c>
      <c r="Y766" s="87" t="e">
        <f t="shared" si="323"/>
        <v>#REF!</v>
      </c>
      <c r="Z766" s="87" t="e">
        <f t="shared" si="324"/>
        <v>#REF!</v>
      </c>
      <c r="AA766" s="40">
        <v>473</v>
      </c>
      <c r="AB766" s="89">
        <f>AA766*GDPdeflator!$C$25/$AI$18*10^3</f>
        <v>45.478712808157368</v>
      </c>
      <c r="AC766" s="90" t="e">
        <f>INDEX(AdditionalVehs!$E$46:$N$91,MATCH(C766,AdditionalVehs!$C$46:$C$91),MATCH(D766,AdditionalVehs!$E$45:$N$45))</f>
        <v>#REF!</v>
      </c>
      <c r="AD766" s="90" t="e">
        <f t="shared" si="307"/>
        <v>#REF!</v>
      </c>
      <c r="AE766" s="90" t="e">
        <f>INDEX(AdditionalVehs!$P$46:$Y$91,MATCH(C766,AdditionalVehs!$C$46:$C$91),MATCH(D766,AdditionalVehs!$AA$45:$AJ$45))</f>
        <v>#REF!</v>
      </c>
      <c r="AF766" s="90" t="e">
        <f t="shared" si="312"/>
        <v>#REF!</v>
      </c>
      <c r="AG766" s="90" t="e">
        <f>AdditionalVehs!$C$27</f>
        <v>#REF!</v>
      </c>
    </row>
    <row r="767" spans="1:33" x14ac:dyDescent="0.2">
      <c r="A767" s="92" t="s">
        <v>2378</v>
      </c>
      <c r="B767" s="248" t="s">
        <v>2379</v>
      </c>
      <c r="C767" s="40" t="s">
        <v>2365</v>
      </c>
      <c r="D767" s="40">
        <v>2045</v>
      </c>
      <c r="E767" s="86">
        <f>GDPdeflator!$C$32*INDEX(AdditionalVehs!$AA$46:$AK$91,MATCH($C767,AdditionalVehs!$C$46:$C$91,0),MATCH(E$7,AdditionalVehs!$AA$45:$AK$45,0))</f>
        <v>0</v>
      </c>
      <c r="F767" s="86" t="e">
        <f>GDPdeflator!$C$36*INDEX(AdditionalVehs!$AA$46:$AK$91,MATCH($C767,AdditionalVehs!$C$46:$C$91,0),MATCH(F$7,AdditionalVehs!$AA$45:$AK$45,0))</f>
        <v>#REF!</v>
      </c>
      <c r="G767" s="86" t="e">
        <f>GDPdeflator!$C$38*INDEX(AdditionalVehs!$AA$46:$AK$91,MATCH($C767,AdditionalVehs!$C$46:$C$91,0),MATCH(G$7,AdditionalVehs!$AA$45:$AK$45,0))</f>
        <v>#REF!</v>
      </c>
      <c r="H767" s="86" t="e">
        <f>GDPdeflator!$C$38*INDEX(AdditionalVehs!$AA$46:$AK$91,MATCH($C767,AdditionalVehs!$C$46:$C$91,0),MATCH(H$7,AdditionalVehs!$AA$45:$AK$45,0))</f>
        <v>#REF!</v>
      </c>
      <c r="I767" s="86" t="e">
        <f>GDPdeflator!$C$38*INDEX(AdditionalVehs!$AA$46:$AK$91,MATCH($C767,AdditionalVehs!$C$46:$C$91,0),MATCH(I$7,AdditionalVehs!$AA$45:$AK$45,0))</f>
        <v>#REF!</v>
      </c>
      <c r="J767" s="86" t="e">
        <f>GDPdeflator!$C$38*INDEX(AdditionalVehs!$AA$46:$AK$91,MATCH($C767,AdditionalVehs!$C$46:$C$91,0),MATCH(J$7,AdditionalVehs!$AA$45:$AK$45,0))</f>
        <v>#REF!</v>
      </c>
      <c r="K767" s="86" t="e">
        <f>GDPdeflator!$C$38*INDEX(AdditionalVehs!$AA$46:$AK$91,MATCH($C767,AdditionalVehs!$C$46:$C$91,0),MATCH(K$7,AdditionalVehs!$AA$45:$AK$45,0))</f>
        <v>#REF!</v>
      </c>
      <c r="L767" s="86" t="e">
        <f>GDPdeflator!$C$38*INDEX(AdditionalVehs!$AA$46:$AK$91,MATCH($C767,AdditionalVehs!$C$46:$C$91,0),MATCH(L$7,AdditionalVehs!$AA$45:$AK$45,0))</f>
        <v>#REF!</v>
      </c>
      <c r="M767" s="86" t="e">
        <f>GDPdeflator!$C$38*INDEX(AdditionalVehs!$AA$46:$AK$91,MATCH($C767,AdditionalVehs!$C$46:$C$91,0),MATCH(M$7,AdditionalVehs!$AA$45:$AK$45,0))</f>
        <v>#REF!</v>
      </c>
      <c r="N767" s="86" t="e">
        <f>GDPdeflator!$C$38*INDEX(AdditionalVehs!$AA$46:$AK$91,MATCH($C767,AdditionalVehs!$C$46:$C$91,0),MATCH(N$7,AdditionalVehs!$AA$45:$AK$45,0))</f>
        <v>#REF!</v>
      </c>
      <c r="O767" s="86" t="e">
        <f>GDPdeflator!$C$38*INDEX(AdditionalVehs!$AA$46:$AK$91,MATCH($C767,AdditionalVehs!$C$46:$C$91,0),MATCH(O$7,AdditionalVehs!$AA$45:$AK$45,0))</f>
        <v>#REF!</v>
      </c>
      <c r="P767" s="87">
        <f t="shared" si="325"/>
        <v>0</v>
      </c>
      <c r="Q767" s="87" t="e">
        <f t="shared" si="310"/>
        <v>#REF!</v>
      </c>
      <c r="R767" s="87" t="e">
        <f t="shared" si="309"/>
        <v>#REF!</v>
      </c>
      <c r="S767" s="87" t="e">
        <f t="shared" si="317"/>
        <v>#REF!</v>
      </c>
      <c r="T767" s="87" t="e">
        <f t="shared" si="318"/>
        <v>#REF!</v>
      </c>
      <c r="U767" s="87" t="e">
        <f t="shared" si="319"/>
        <v>#REF!</v>
      </c>
      <c r="V767" s="87" t="e">
        <f t="shared" si="320"/>
        <v>#REF!</v>
      </c>
      <c r="W767" s="87" t="e">
        <f t="shared" si="321"/>
        <v>#REF!</v>
      </c>
      <c r="X767" s="87" t="e">
        <f t="shared" si="322"/>
        <v>#REF!</v>
      </c>
      <c r="Y767" s="87" t="e">
        <f t="shared" si="323"/>
        <v>#REF!</v>
      </c>
      <c r="Z767" s="87" t="e">
        <f t="shared" si="324"/>
        <v>#REF!</v>
      </c>
      <c r="AA767" s="40">
        <v>473</v>
      </c>
      <c r="AB767" s="89">
        <f>AA767*GDPdeflator!$C$25/$AI$18*10^3</f>
        <v>45.478712808157368</v>
      </c>
      <c r="AC767" s="90" t="e">
        <f>INDEX(AdditionalVehs!$E$46:$N$91,MATCH(C767,AdditionalVehs!$C$46:$C$91),MATCH(D767,AdditionalVehs!$E$45:$N$45))</f>
        <v>#REF!</v>
      </c>
      <c r="AD767" s="90" t="e">
        <f t="shared" si="307"/>
        <v>#REF!</v>
      </c>
      <c r="AE767" s="90" t="e">
        <f>INDEX(AdditionalVehs!$P$46:$Y$91,MATCH(C767,AdditionalVehs!$C$46:$C$91),MATCH(D767,AdditionalVehs!$AA$45:$AJ$45))</f>
        <v>#REF!</v>
      </c>
      <c r="AF767" s="90" t="e">
        <f t="shared" si="312"/>
        <v>#REF!</v>
      </c>
      <c r="AG767" s="90" t="e">
        <f>AdditionalVehs!$C$27</f>
        <v>#REF!</v>
      </c>
    </row>
    <row r="768" spans="1:33" x14ac:dyDescent="0.2">
      <c r="A768" s="92" t="s">
        <v>2380</v>
      </c>
      <c r="B768" s="248" t="s">
        <v>2381</v>
      </c>
      <c r="C768" s="40" t="s">
        <v>2365</v>
      </c>
      <c r="D768" s="40">
        <v>2050</v>
      </c>
      <c r="E768" s="86">
        <f>GDPdeflator!$C$32*INDEX(AdditionalVehs!$AA$46:$AK$91,MATCH($C768,AdditionalVehs!$C$46:$C$91,0),MATCH(E$7,AdditionalVehs!$AA$45:$AK$45,0))</f>
        <v>0</v>
      </c>
      <c r="F768" s="86" t="e">
        <f>GDPdeflator!$C$36*INDEX(AdditionalVehs!$AA$46:$AK$91,MATCH($C768,AdditionalVehs!$C$46:$C$91,0),MATCH(F$7,AdditionalVehs!$AA$45:$AK$45,0))</f>
        <v>#REF!</v>
      </c>
      <c r="G768" s="86" t="e">
        <f>GDPdeflator!$C$38*INDEX(AdditionalVehs!$AA$46:$AK$91,MATCH($C768,AdditionalVehs!$C$46:$C$91,0),MATCH(G$7,AdditionalVehs!$AA$45:$AK$45,0))</f>
        <v>#REF!</v>
      </c>
      <c r="H768" s="86" t="e">
        <f>GDPdeflator!$C$38*INDEX(AdditionalVehs!$AA$46:$AK$91,MATCH($C768,AdditionalVehs!$C$46:$C$91,0),MATCH(H$7,AdditionalVehs!$AA$45:$AK$45,0))</f>
        <v>#REF!</v>
      </c>
      <c r="I768" s="86" t="e">
        <f>GDPdeflator!$C$38*INDEX(AdditionalVehs!$AA$46:$AK$91,MATCH($C768,AdditionalVehs!$C$46:$C$91,0),MATCH(I$7,AdditionalVehs!$AA$45:$AK$45,0))</f>
        <v>#REF!</v>
      </c>
      <c r="J768" s="86" t="e">
        <f>GDPdeflator!$C$38*INDEX(AdditionalVehs!$AA$46:$AK$91,MATCH($C768,AdditionalVehs!$C$46:$C$91,0),MATCH(J$7,AdditionalVehs!$AA$45:$AK$45,0))</f>
        <v>#REF!</v>
      </c>
      <c r="K768" s="86" t="e">
        <f>GDPdeflator!$C$38*INDEX(AdditionalVehs!$AA$46:$AK$91,MATCH($C768,AdditionalVehs!$C$46:$C$91,0),MATCH(K$7,AdditionalVehs!$AA$45:$AK$45,0))</f>
        <v>#REF!</v>
      </c>
      <c r="L768" s="86" t="e">
        <f>GDPdeflator!$C$38*INDEX(AdditionalVehs!$AA$46:$AK$91,MATCH($C768,AdditionalVehs!$C$46:$C$91,0),MATCH(L$7,AdditionalVehs!$AA$45:$AK$45,0))</f>
        <v>#REF!</v>
      </c>
      <c r="M768" s="86" t="e">
        <f>GDPdeflator!$C$38*INDEX(AdditionalVehs!$AA$46:$AK$91,MATCH($C768,AdditionalVehs!$C$46:$C$91,0),MATCH(M$7,AdditionalVehs!$AA$45:$AK$45,0))</f>
        <v>#REF!</v>
      </c>
      <c r="N768" s="86" t="e">
        <f>GDPdeflator!$C$38*INDEX(AdditionalVehs!$AA$46:$AK$91,MATCH($C768,AdditionalVehs!$C$46:$C$91,0),MATCH(N$7,AdditionalVehs!$AA$45:$AK$45,0))</f>
        <v>#REF!</v>
      </c>
      <c r="O768" s="86" t="e">
        <f>GDPdeflator!$C$38*INDEX(AdditionalVehs!$AA$46:$AK$91,MATCH($C768,AdditionalVehs!$C$46:$C$91,0),MATCH(O$7,AdditionalVehs!$AA$45:$AK$45,0))</f>
        <v>#REF!</v>
      </c>
      <c r="P768" s="87">
        <f t="shared" si="325"/>
        <v>0</v>
      </c>
      <c r="Q768" s="87" t="e">
        <f t="shared" si="310"/>
        <v>#REF!</v>
      </c>
      <c r="R768" s="87" t="e">
        <f t="shared" si="309"/>
        <v>#REF!</v>
      </c>
      <c r="S768" s="87" t="e">
        <f t="shared" si="317"/>
        <v>#REF!</v>
      </c>
      <c r="T768" s="87" t="e">
        <f t="shared" si="318"/>
        <v>#REF!</v>
      </c>
      <c r="U768" s="87" t="e">
        <f t="shared" si="319"/>
        <v>#REF!</v>
      </c>
      <c r="V768" s="87" t="e">
        <f t="shared" si="320"/>
        <v>#REF!</v>
      </c>
      <c r="W768" s="87" t="e">
        <f t="shared" si="321"/>
        <v>#REF!</v>
      </c>
      <c r="X768" s="87" t="e">
        <f t="shared" si="322"/>
        <v>#REF!</v>
      </c>
      <c r="Y768" s="87" t="e">
        <f t="shared" si="323"/>
        <v>#REF!</v>
      </c>
      <c r="Z768" s="87" t="e">
        <f t="shared" si="324"/>
        <v>#REF!</v>
      </c>
      <c r="AA768" s="40">
        <v>473</v>
      </c>
      <c r="AB768" s="89">
        <f>AA768*GDPdeflator!$C$25/$AI$18*10^3</f>
        <v>45.478712808157368</v>
      </c>
      <c r="AC768" s="90" t="e">
        <f>INDEX(AdditionalVehs!$E$46:$N$91,MATCH(C768,AdditionalVehs!$C$46:$C$91),MATCH(D768,AdditionalVehs!$E$45:$N$45))</f>
        <v>#REF!</v>
      </c>
      <c r="AD768" s="90" t="e">
        <f t="shared" si="307"/>
        <v>#REF!</v>
      </c>
      <c r="AE768" s="90" t="e">
        <f>INDEX(AdditionalVehs!$P$46:$Y$91,MATCH(C768,AdditionalVehs!$C$46:$C$91),MATCH(D768,AdditionalVehs!$AA$45:$AJ$45))</f>
        <v>#REF!</v>
      </c>
      <c r="AF768" s="90" t="e">
        <f t="shared" si="312"/>
        <v>#REF!</v>
      </c>
      <c r="AG768" s="90" t="e">
        <f>AdditionalVehs!$C$27</f>
        <v>#REF!</v>
      </c>
    </row>
    <row r="769" spans="1:33" x14ac:dyDescent="0.2">
      <c r="A769" s="92" t="s">
        <v>2382</v>
      </c>
      <c r="B769" s="248" t="s">
        <v>2383</v>
      </c>
      <c r="C769" s="40" t="s">
        <v>2384</v>
      </c>
      <c r="D769" s="40">
        <v>2010</v>
      </c>
      <c r="E769" s="86">
        <f>GDPdeflator!$C$32*INDEX(AdditionalVehs!$AA$46:$AK$91,MATCH($C769,AdditionalVehs!$C$46:$C$91,0),MATCH(E$7,AdditionalVehs!$AA$45:$AK$45,0))</f>
        <v>0</v>
      </c>
      <c r="F769" s="86" t="e">
        <f>GDPdeflator!$C$36*INDEX(AdditionalVehs!$AA$46:$AK$91,MATCH($C769,AdditionalVehs!$C$46:$C$91,0),MATCH(F$7,AdditionalVehs!$AA$45:$AK$45,0))</f>
        <v>#REF!</v>
      </c>
      <c r="G769" s="86" t="e">
        <f>GDPdeflator!$C$38*INDEX(AdditionalVehs!$AA$46:$AK$91,MATCH($C769,AdditionalVehs!$C$46:$C$91,0),MATCH(G$7,AdditionalVehs!$AA$45:$AK$45,0))</f>
        <v>#REF!</v>
      </c>
      <c r="H769" s="86" t="e">
        <f>GDPdeflator!$C$38*INDEX(AdditionalVehs!$AA$46:$AK$91,MATCH($C769,AdditionalVehs!$C$46:$C$91,0),MATCH(H$7,AdditionalVehs!$AA$45:$AK$45,0))</f>
        <v>#REF!</v>
      </c>
      <c r="I769" s="86" t="e">
        <f>GDPdeflator!$C$38*INDEX(AdditionalVehs!$AA$46:$AK$91,MATCH($C769,AdditionalVehs!$C$46:$C$91,0),MATCH(I$7,AdditionalVehs!$AA$45:$AK$45,0))</f>
        <v>#REF!</v>
      </c>
      <c r="J769" s="86" t="e">
        <f>GDPdeflator!$C$38*INDEX(AdditionalVehs!$AA$46:$AK$91,MATCH($C769,AdditionalVehs!$C$46:$C$91,0),MATCH(J$7,AdditionalVehs!$AA$45:$AK$45,0))</f>
        <v>#REF!</v>
      </c>
      <c r="K769" s="86" t="e">
        <f>GDPdeflator!$C$38*INDEX(AdditionalVehs!$AA$46:$AK$91,MATCH($C769,AdditionalVehs!$C$46:$C$91,0),MATCH(K$7,AdditionalVehs!$AA$45:$AK$45,0))</f>
        <v>#REF!</v>
      </c>
      <c r="L769" s="86" t="e">
        <f>GDPdeflator!$C$38*INDEX(AdditionalVehs!$AA$46:$AK$91,MATCH($C769,AdditionalVehs!$C$46:$C$91,0),MATCH(L$7,AdditionalVehs!$AA$45:$AK$45,0))</f>
        <v>#REF!</v>
      </c>
      <c r="M769" s="86" t="e">
        <f>GDPdeflator!$C$38*INDEX(AdditionalVehs!$AA$46:$AK$91,MATCH($C769,AdditionalVehs!$C$46:$C$91,0),MATCH(M$7,AdditionalVehs!$AA$45:$AK$45,0))</f>
        <v>#REF!</v>
      </c>
      <c r="N769" s="86" t="e">
        <f>GDPdeflator!$C$38*INDEX(AdditionalVehs!$AA$46:$AK$91,MATCH($C769,AdditionalVehs!$C$46:$C$91,0),MATCH(N$7,AdditionalVehs!$AA$45:$AK$45,0))</f>
        <v>#REF!</v>
      </c>
      <c r="O769" s="86" t="e">
        <f>GDPdeflator!$C$38*INDEX(AdditionalVehs!$AA$46:$AK$91,MATCH($C769,AdditionalVehs!$C$46:$C$91,0),MATCH(O$7,AdditionalVehs!$AA$45:$AK$45,0))</f>
        <v>#REF!</v>
      </c>
      <c r="P769" s="87">
        <f>E769/$AI$18*10^6</f>
        <v>0</v>
      </c>
      <c r="Q769" s="87" t="e">
        <f t="shared" si="310"/>
        <v>#REF!</v>
      </c>
      <c r="R769" s="87" t="e">
        <f t="shared" si="309"/>
        <v>#REF!</v>
      </c>
      <c r="S769" s="87" t="e">
        <f t="shared" si="317"/>
        <v>#REF!</v>
      </c>
      <c r="T769" s="87" t="e">
        <f t="shared" si="318"/>
        <v>#REF!</v>
      </c>
      <c r="U769" s="87" t="e">
        <f t="shared" si="319"/>
        <v>#REF!</v>
      </c>
      <c r="V769" s="87" t="e">
        <f t="shared" si="320"/>
        <v>#REF!</v>
      </c>
      <c r="W769" s="87" t="e">
        <f t="shared" si="321"/>
        <v>#REF!</v>
      </c>
      <c r="X769" s="87" t="e">
        <f t="shared" si="322"/>
        <v>#REF!</v>
      </c>
      <c r="Y769" s="87" t="e">
        <f t="shared" si="323"/>
        <v>#REF!</v>
      </c>
      <c r="Z769" s="87" t="e">
        <f t="shared" si="324"/>
        <v>#REF!</v>
      </c>
      <c r="AA769" s="40">
        <v>500</v>
      </c>
      <c r="AB769" s="89">
        <f>AA769*GDPdeflator!$C$25/$AI$18*10^3</f>
        <v>48.0747492686653</v>
      </c>
      <c r="AC769" s="90" t="e">
        <f>INDEX(AdditionalVehs!$E$46:$N$91,MATCH(C769,AdditionalVehs!$C$46:$C$91),MATCH(D769,AdditionalVehs!$E$45:$N$45))</f>
        <v>#REF!</v>
      </c>
      <c r="AD769" s="90" t="e">
        <f t="shared" si="307"/>
        <v>#REF!</v>
      </c>
      <c r="AE769" s="90" t="e">
        <f>INDEX(AdditionalVehs!$P$46:$Y$91,MATCH(C769,AdditionalVehs!$C$46:$C$91),MATCH(D769,AdditionalVehs!$AA$45:$AJ$45))</f>
        <v>#REF!</v>
      </c>
      <c r="AF769" s="90" t="e">
        <f t="shared" si="312"/>
        <v>#REF!</v>
      </c>
      <c r="AG769" s="90" t="e">
        <f>AdditionalVehs!$C$32</f>
        <v>#REF!</v>
      </c>
    </row>
    <row r="770" spans="1:33" x14ac:dyDescent="0.2">
      <c r="A770" s="92" t="s">
        <v>2385</v>
      </c>
      <c r="B770" s="248" t="s">
        <v>2386</v>
      </c>
      <c r="C770" s="40" t="s">
        <v>2384</v>
      </c>
      <c r="D770" s="40">
        <v>2015</v>
      </c>
      <c r="E770" s="86">
        <f>GDPdeflator!$C$32*INDEX(AdditionalVehs!$AA$46:$AK$91,MATCH($C770,AdditionalVehs!$C$46:$C$91,0),MATCH(E$7,AdditionalVehs!$AA$45:$AK$45,0))</f>
        <v>0</v>
      </c>
      <c r="F770" s="86" t="e">
        <f>GDPdeflator!$C$36*INDEX(AdditionalVehs!$AA$46:$AK$91,MATCH($C770,AdditionalVehs!$C$46:$C$91,0),MATCH(F$7,AdditionalVehs!$AA$45:$AK$45,0))</f>
        <v>#REF!</v>
      </c>
      <c r="G770" s="86" t="e">
        <f>GDPdeflator!$C$38*INDEX(AdditionalVehs!$AA$46:$AK$91,MATCH($C770,AdditionalVehs!$C$46:$C$91,0),MATCH(G$7,AdditionalVehs!$AA$45:$AK$45,0))</f>
        <v>#REF!</v>
      </c>
      <c r="H770" s="86" t="e">
        <f>GDPdeflator!$C$38*INDEX(AdditionalVehs!$AA$46:$AK$91,MATCH($C770,AdditionalVehs!$C$46:$C$91,0),MATCH(H$7,AdditionalVehs!$AA$45:$AK$45,0))</f>
        <v>#REF!</v>
      </c>
      <c r="I770" s="86" t="e">
        <f>GDPdeflator!$C$38*INDEX(AdditionalVehs!$AA$46:$AK$91,MATCH($C770,AdditionalVehs!$C$46:$C$91,0),MATCH(I$7,AdditionalVehs!$AA$45:$AK$45,0))</f>
        <v>#REF!</v>
      </c>
      <c r="J770" s="86" t="e">
        <f>GDPdeflator!$C$38*INDEX(AdditionalVehs!$AA$46:$AK$91,MATCH($C770,AdditionalVehs!$C$46:$C$91,0),MATCH(J$7,AdditionalVehs!$AA$45:$AK$45,0))</f>
        <v>#REF!</v>
      </c>
      <c r="K770" s="86" t="e">
        <f>GDPdeflator!$C$38*INDEX(AdditionalVehs!$AA$46:$AK$91,MATCH($C770,AdditionalVehs!$C$46:$C$91,0),MATCH(K$7,AdditionalVehs!$AA$45:$AK$45,0))</f>
        <v>#REF!</v>
      </c>
      <c r="L770" s="86" t="e">
        <f>GDPdeflator!$C$38*INDEX(AdditionalVehs!$AA$46:$AK$91,MATCH($C770,AdditionalVehs!$C$46:$C$91,0),MATCH(L$7,AdditionalVehs!$AA$45:$AK$45,0))</f>
        <v>#REF!</v>
      </c>
      <c r="M770" s="86" t="e">
        <f>GDPdeflator!$C$38*INDEX(AdditionalVehs!$AA$46:$AK$91,MATCH($C770,AdditionalVehs!$C$46:$C$91,0),MATCH(M$7,AdditionalVehs!$AA$45:$AK$45,0))</f>
        <v>#REF!</v>
      </c>
      <c r="N770" s="86" t="e">
        <f>GDPdeflator!$C$38*INDEX(AdditionalVehs!$AA$46:$AK$91,MATCH($C770,AdditionalVehs!$C$46:$C$91,0),MATCH(N$7,AdditionalVehs!$AA$45:$AK$45,0))</f>
        <v>#REF!</v>
      </c>
      <c r="O770" s="86" t="e">
        <f>GDPdeflator!$C$38*INDEX(AdditionalVehs!$AA$46:$AK$91,MATCH($C770,AdditionalVehs!$C$46:$C$91,0),MATCH(O$7,AdditionalVehs!$AA$45:$AK$45,0))</f>
        <v>#REF!</v>
      </c>
      <c r="P770" s="87">
        <f t="shared" ref="P770:P777" si="326">E770/$AI$18*10^6</f>
        <v>0</v>
      </c>
      <c r="Q770" s="87" t="e">
        <f t="shared" si="310"/>
        <v>#REF!</v>
      </c>
      <c r="R770" s="87" t="e">
        <f t="shared" si="309"/>
        <v>#REF!</v>
      </c>
      <c r="S770" s="87" t="e">
        <f t="shared" si="317"/>
        <v>#REF!</v>
      </c>
      <c r="T770" s="87" t="e">
        <f t="shared" si="318"/>
        <v>#REF!</v>
      </c>
      <c r="U770" s="87" t="e">
        <f t="shared" si="319"/>
        <v>#REF!</v>
      </c>
      <c r="V770" s="87" t="e">
        <f t="shared" si="320"/>
        <v>#REF!</v>
      </c>
      <c r="W770" s="87" t="e">
        <f t="shared" si="321"/>
        <v>#REF!</v>
      </c>
      <c r="X770" s="87" t="e">
        <f t="shared" si="322"/>
        <v>#REF!</v>
      </c>
      <c r="Y770" s="87" t="e">
        <f t="shared" si="323"/>
        <v>#REF!</v>
      </c>
      <c r="Z770" s="87" t="e">
        <f t="shared" si="324"/>
        <v>#REF!</v>
      </c>
      <c r="AA770" s="40">
        <v>500</v>
      </c>
      <c r="AB770" s="89">
        <f>AA770*GDPdeflator!$C$25/$AI$18*10^3</f>
        <v>48.0747492686653</v>
      </c>
      <c r="AC770" s="90" t="e">
        <f>INDEX(AdditionalVehs!$E$46:$N$91,MATCH(C770,AdditionalVehs!$C$46:$C$91),MATCH(D770,AdditionalVehs!$E$45:$N$45))</f>
        <v>#REF!</v>
      </c>
      <c r="AD770" s="90" t="e">
        <f t="shared" ref="AD770:AD833" si="327">AC770/($AI$11*$AI$15*10 ^ 9)</f>
        <v>#REF!</v>
      </c>
      <c r="AE770" s="90" t="e">
        <f>INDEX(AdditionalVehs!$P$46:$Y$91,MATCH(C770,AdditionalVehs!$C$46:$C$91),MATCH(D770,AdditionalVehs!$AA$45:$AJ$45))</f>
        <v>#REF!</v>
      </c>
      <c r="AF770" s="90" t="e">
        <f t="shared" si="312"/>
        <v>#REF!</v>
      </c>
      <c r="AG770" s="90" t="e">
        <f>AdditionalVehs!$C$32</f>
        <v>#REF!</v>
      </c>
    </row>
    <row r="771" spans="1:33" x14ac:dyDescent="0.2">
      <c r="A771" s="92" t="s">
        <v>2387</v>
      </c>
      <c r="B771" s="248" t="s">
        <v>2388</v>
      </c>
      <c r="C771" s="40" t="s">
        <v>2384</v>
      </c>
      <c r="D771" s="40">
        <v>2020</v>
      </c>
      <c r="E771" s="86">
        <f>GDPdeflator!$C$32*INDEX(AdditionalVehs!$AA$46:$AK$91,MATCH($C771,AdditionalVehs!$C$46:$C$91,0),MATCH(E$7,AdditionalVehs!$AA$45:$AK$45,0))</f>
        <v>0</v>
      </c>
      <c r="F771" s="86" t="e">
        <f>GDPdeflator!$C$36*INDEX(AdditionalVehs!$AA$46:$AK$91,MATCH($C771,AdditionalVehs!$C$46:$C$91,0),MATCH(F$7,AdditionalVehs!$AA$45:$AK$45,0))</f>
        <v>#REF!</v>
      </c>
      <c r="G771" s="86" t="e">
        <f>GDPdeflator!$C$38*INDEX(AdditionalVehs!$AA$46:$AK$91,MATCH($C771,AdditionalVehs!$C$46:$C$91,0),MATCH(G$7,AdditionalVehs!$AA$45:$AK$45,0))</f>
        <v>#REF!</v>
      </c>
      <c r="H771" s="86" t="e">
        <f>GDPdeflator!$C$38*INDEX(AdditionalVehs!$AA$46:$AK$91,MATCH($C771,AdditionalVehs!$C$46:$C$91,0),MATCH(H$7,AdditionalVehs!$AA$45:$AK$45,0))</f>
        <v>#REF!</v>
      </c>
      <c r="I771" s="86" t="e">
        <f>GDPdeflator!$C$38*INDEX(AdditionalVehs!$AA$46:$AK$91,MATCH($C771,AdditionalVehs!$C$46:$C$91,0),MATCH(I$7,AdditionalVehs!$AA$45:$AK$45,0))</f>
        <v>#REF!</v>
      </c>
      <c r="J771" s="86" t="e">
        <f>GDPdeflator!$C$38*INDEX(AdditionalVehs!$AA$46:$AK$91,MATCH($C771,AdditionalVehs!$C$46:$C$91,0),MATCH(J$7,AdditionalVehs!$AA$45:$AK$45,0))</f>
        <v>#REF!</v>
      </c>
      <c r="K771" s="86" t="e">
        <f>GDPdeflator!$C$38*INDEX(AdditionalVehs!$AA$46:$AK$91,MATCH($C771,AdditionalVehs!$C$46:$C$91,0),MATCH(K$7,AdditionalVehs!$AA$45:$AK$45,0))</f>
        <v>#REF!</v>
      </c>
      <c r="L771" s="86" t="e">
        <f>GDPdeflator!$C$38*INDEX(AdditionalVehs!$AA$46:$AK$91,MATCH($C771,AdditionalVehs!$C$46:$C$91,0),MATCH(L$7,AdditionalVehs!$AA$45:$AK$45,0))</f>
        <v>#REF!</v>
      </c>
      <c r="M771" s="86" t="e">
        <f>GDPdeflator!$C$38*INDEX(AdditionalVehs!$AA$46:$AK$91,MATCH($C771,AdditionalVehs!$C$46:$C$91,0),MATCH(M$7,AdditionalVehs!$AA$45:$AK$45,0))</f>
        <v>#REF!</v>
      </c>
      <c r="N771" s="86" t="e">
        <f>GDPdeflator!$C$38*INDEX(AdditionalVehs!$AA$46:$AK$91,MATCH($C771,AdditionalVehs!$C$46:$C$91,0),MATCH(N$7,AdditionalVehs!$AA$45:$AK$45,0))</f>
        <v>#REF!</v>
      </c>
      <c r="O771" s="86" t="e">
        <f>GDPdeflator!$C$38*INDEX(AdditionalVehs!$AA$46:$AK$91,MATCH($C771,AdditionalVehs!$C$46:$C$91,0),MATCH(O$7,AdditionalVehs!$AA$45:$AK$45,0))</f>
        <v>#REF!</v>
      </c>
      <c r="P771" s="87">
        <f t="shared" si="326"/>
        <v>0</v>
      </c>
      <c r="Q771" s="87" t="e">
        <f t="shared" si="310"/>
        <v>#REF!</v>
      </c>
      <c r="R771" s="87" t="e">
        <f t="shared" si="309"/>
        <v>#REF!</v>
      </c>
      <c r="S771" s="87" t="e">
        <f t="shared" si="317"/>
        <v>#REF!</v>
      </c>
      <c r="T771" s="87" t="e">
        <f t="shared" si="318"/>
        <v>#REF!</v>
      </c>
      <c r="U771" s="87" t="e">
        <f t="shared" si="319"/>
        <v>#REF!</v>
      </c>
      <c r="V771" s="87" t="e">
        <f t="shared" si="320"/>
        <v>#REF!</v>
      </c>
      <c r="W771" s="87" t="e">
        <f t="shared" si="321"/>
        <v>#REF!</v>
      </c>
      <c r="X771" s="87" t="e">
        <f t="shared" si="322"/>
        <v>#REF!</v>
      </c>
      <c r="Y771" s="87" t="e">
        <f t="shared" si="323"/>
        <v>#REF!</v>
      </c>
      <c r="Z771" s="87" t="e">
        <f t="shared" si="324"/>
        <v>#REF!</v>
      </c>
      <c r="AA771" s="40">
        <v>500</v>
      </c>
      <c r="AB771" s="89">
        <f>AA771*GDPdeflator!$C$25/$AI$18*10^3</f>
        <v>48.0747492686653</v>
      </c>
      <c r="AC771" s="90" t="e">
        <f>INDEX(AdditionalVehs!$E$46:$N$91,MATCH(C771,AdditionalVehs!$C$46:$C$91),MATCH(D771,AdditionalVehs!$E$45:$N$45))</f>
        <v>#REF!</v>
      </c>
      <c r="AD771" s="90" t="e">
        <f t="shared" si="327"/>
        <v>#REF!</v>
      </c>
      <c r="AE771" s="90" t="e">
        <f>INDEX(AdditionalVehs!$P$46:$Y$91,MATCH(C771,AdditionalVehs!$C$46:$C$91),MATCH(D771,AdditionalVehs!$AA$45:$AJ$45))</f>
        <v>#REF!</v>
      </c>
      <c r="AF771" s="90" t="e">
        <f t="shared" si="312"/>
        <v>#REF!</v>
      </c>
      <c r="AG771" s="90" t="e">
        <f>AdditionalVehs!$C$32</f>
        <v>#REF!</v>
      </c>
    </row>
    <row r="772" spans="1:33" x14ac:dyDescent="0.2">
      <c r="A772" s="92" t="s">
        <v>2389</v>
      </c>
      <c r="B772" s="248" t="s">
        <v>2390</v>
      </c>
      <c r="C772" s="40" t="s">
        <v>2384</v>
      </c>
      <c r="D772" s="40">
        <v>2025</v>
      </c>
      <c r="E772" s="86">
        <f>GDPdeflator!$C$32*INDEX(AdditionalVehs!$AA$46:$AK$91,MATCH($C772,AdditionalVehs!$C$46:$C$91,0),MATCH(E$7,AdditionalVehs!$AA$45:$AK$45,0))</f>
        <v>0</v>
      </c>
      <c r="F772" s="86" t="e">
        <f>GDPdeflator!$C$36*INDEX(AdditionalVehs!$AA$46:$AK$91,MATCH($C772,AdditionalVehs!$C$46:$C$91,0),MATCH(F$7,AdditionalVehs!$AA$45:$AK$45,0))</f>
        <v>#REF!</v>
      </c>
      <c r="G772" s="86" t="e">
        <f>GDPdeflator!$C$38*INDEX(AdditionalVehs!$AA$46:$AK$91,MATCH($C772,AdditionalVehs!$C$46:$C$91,0),MATCH(G$7,AdditionalVehs!$AA$45:$AK$45,0))</f>
        <v>#REF!</v>
      </c>
      <c r="H772" s="86" t="e">
        <f>GDPdeflator!$C$38*INDEX(AdditionalVehs!$AA$46:$AK$91,MATCH($C772,AdditionalVehs!$C$46:$C$91,0),MATCH(H$7,AdditionalVehs!$AA$45:$AK$45,0))</f>
        <v>#REF!</v>
      </c>
      <c r="I772" s="86" t="e">
        <f>GDPdeflator!$C$38*INDEX(AdditionalVehs!$AA$46:$AK$91,MATCH($C772,AdditionalVehs!$C$46:$C$91,0),MATCH(I$7,AdditionalVehs!$AA$45:$AK$45,0))</f>
        <v>#REF!</v>
      </c>
      <c r="J772" s="86" t="e">
        <f>GDPdeflator!$C$38*INDEX(AdditionalVehs!$AA$46:$AK$91,MATCH($C772,AdditionalVehs!$C$46:$C$91,0),MATCH(J$7,AdditionalVehs!$AA$45:$AK$45,0))</f>
        <v>#REF!</v>
      </c>
      <c r="K772" s="86" t="e">
        <f>GDPdeflator!$C$38*INDEX(AdditionalVehs!$AA$46:$AK$91,MATCH($C772,AdditionalVehs!$C$46:$C$91,0),MATCH(K$7,AdditionalVehs!$AA$45:$AK$45,0))</f>
        <v>#REF!</v>
      </c>
      <c r="L772" s="86" t="e">
        <f>GDPdeflator!$C$38*INDEX(AdditionalVehs!$AA$46:$AK$91,MATCH($C772,AdditionalVehs!$C$46:$C$91,0),MATCH(L$7,AdditionalVehs!$AA$45:$AK$45,0))</f>
        <v>#REF!</v>
      </c>
      <c r="M772" s="86" t="e">
        <f>GDPdeflator!$C$38*INDEX(AdditionalVehs!$AA$46:$AK$91,MATCH($C772,AdditionalVehs!$C$46:$C$91,0),MATCH(M$7,AdditionalVehs!$AA$45:$AK$45,0))</f>
        <v>#REF!</v>
      </c>
      <c r="N772" s="86" t="e">
        <f>GDPdeflator!$C$38*INDEX(AdditionalVehs!$AA$46:$AK$91,MATCH($C772,AdditionalVehs!$C$46:$C$91,0),MATCH(N$7,AdditionalVehs!$AA$45:$AK$45,0))</f>
        <v>#REF!</v>
      </c>
      <c r="O772" s="86" t="e">
        <f>GDPdeflator!$C$38*INDEX(AdditionalVehs!$AA$46:$AK$91,MATCH($C772,AdditionalVehs!$C$46:$C$91,0),MATCH(O$7,AdditionalVehs!$AA$45:$AK$45,0))</f>
        <v>#REF!</v>
      </c>
      <c r="P772" s="87">
        <f t="shared" si="326"/>
        <v>0</v>
      </c>
      <c r="Q772" s="87" t="e">
        <f t="shared" si="310"/>
        <v>#REF!</v>
      </c>
      <c r="R772" s="87" t="e">
        <f t="shared" ref="R772:R835" si="328">G772/$AI$18*10^6</f>
        <v>#REF!</v>
      </c>
      <c r="S772" s="87" t="e">
        <f t="shared" si="317"/>
        <v>#REF!</v>
      </c>
      <c r="T772" s="87" t="e">
        <f t="shared" si="318"/>
        <v>#REF!</v>
      </c>
      <c r="U772" s="87" t="e">
        <f t="shared" si="319"/>
        <v>#REF!</v>
      </c>
      <c r="V772" s="87" t="e">
        <f t="shared" si="320"/>
        <v>#REF!</v>
      </c>
      <c r="W772" s="87" t="e">
        <f t="shared" si="321"/>
        <v>#REF!</v>
      </c>
      <c r="X772" s="87" t="e">
        <f t="shared" si="322"/>
        <v>#REF!</v>
      </c>
      <c r="Y772" s="87" t="e">
        <f t="shared" si="323"/>
        <v>#REF!</v>
      </c>
      <c r="Z772" s="87" t="e">
        <f t="shared" si="324"/>
        <v>#REF!</v>
      </c>
      <c r="AA772" s="40">
        <v>500</v>
      </c>
      <c r="AB772" s="89">
        <f>AA772*GDPdeflator!$C$25/$AI$18*10^3</f>
        <v>48.0747492686653</v>
      </c>
      <c r="AC772" s="90" t="e">
        <f>INDEX(AdditionalVehs!$E$46:$N$91,MATCH(C772,AdditionalVehs!$C$46:$C$91),MATCH(D772,AdditionalVehs!$E$45:$N$45))</f>
        <v>#REF!</v>
      </c>
      <c r="AD772" s="90" t="e">
        <f t="shared" si="327"/>
        <v>#REF!</v>
      </c>
      <c r="AE772" s="90" t="e">
        <f>INDEX(AdditionalVehs!$P$46:$Y$91,MATCH(C772,AdditionalVehs!$C$46:$C$91),MATCH(D772,AdditionalVehs!$AA$45:$AJ$45))</f>
        <v>#REF!</v>
      </c>
      <c r="AF772" s="90" t="e">
        <f t="shared" si="312"/>
        <v>#REF!</v>
      </c>
      <c r="AG772" s="90" t="e">
        <f>AdditionalVehs!$C$32</f>
        <v>#REF!</v>
      </c>
    </row>
    <row r="773" spans="1:33" x14ac:dyDescent="0.2">
      <c r="A773" s="92" t="s">
        <v>2391</v>
      </c>
      <c r="B773" s="248" t="s">
        <v>2392</v>
      </c>
      <c r="C773" s="40" t="s">
        <v>2384</v>
      </c>
      <c r="D773" s="40">
        <v>2030</v>
      </c>
      <c r="E773" s="86">
        <f>GDPdeflator!$C$32*INDEX(AdditionalVehs!$AA$46:$AK$91,MATCH($C773,AdditionalVehs!$C$46:$C$91,0),MATCH(E$7,AdditionalVehs!$AA$45:$AK$45,0))</f>
        <v>0</v>
      </c>
      <c r="F773" s="86" t="e">
        <f>GDPdeflator!$C$36*INDEX(AdditionalVehs!$AA$46:$AK$91,MATCH($C773,AdditionalVehs!$C$46:$C$91,0),MATCH(F$7,AdditionalVehs!$AA$45:$AK$45,0))</f>
        <v>#REF!</v>
      </c>
      <c r="G773" s="86" t="e">
        <f>GDPdeflator!$C$38*INDEX(AdditionalVehs!$AA$46:$AK$91,MATCH($C773,AdditionalVehs!$C$46:$C$91,0),MATCH(G$7,AdditionalVehs!$AA$45:$AK$45,0))</f>
        <v>#REF!</v>
      </c>
      <c r="H773" s="86" t="e">
        <f>GDPdeflator!$C$38*INDEX(AdditionalVehs!$AA$46:$AK$91,MATCH($C773,AdditionalVehs!$C$46:$C$91,0),MATCH(H$7,AdditionalVehs!$AA$45:$AK$45,0))</f>
        <v>#REF!</v>
      </c>
      <c r="I773" s="86" t="e">
        <f>GDPdeflator!$C$38*INDEX(AdditionalVehs!$AA$46:$AK$91,MATCH($C773,AdditionalVehs!$C$46:$C$91,0),MATCH(I$7,AdditionalVehs!$AA$45:$AK$45,0))</f>
        <v>#REF!</v>
      </c>
      <c r="J773" s="86" t="e">
        <f>GDPdeflator!$C$38*INDEX(AdditionalVehs!$AA$46:$AK$91,MATCH($C773,AdditionalVehs!$C$46:$C$91,0),MATCH(J$7,AdditionalVehs!$AA$45:$AK$45,0))</f>
        <v>#REF!</v>
      </c>
      <c r="K773" s="86" t="e">
        <f>GDPdeflator!$C$38*INDEX(AdditionalVehs!$AA$46:$AK$91,MATCH($C773,AdditionalVehs!$C$46:$C$91,0),MATCH(K$7,AdditionalVehs!$AA$45:$AK$45,0))</f>
        <v>#REF!</v>
      </c>
      <c r="L773" s="86" t="e">
        <f>GDPdeflator!$C$38*INDEX(AdditionalVehs!$AA$46:$AK$91,MATCH($C773,AdditionalVehs!$C$46:$C$91,0),MATCH(L$7,AdditionalVehs!$AA$45:$AK$45,0))</f>
        <v>#REF!</v>
      </c>
      <c r="M773" s="86" t="e">
        <f>GDPdeflator!$C$38*INDEX(AdditionalVehs!$AA$46:$AK$91,MATCH($C773,AdditionalVehs!$C$46:$C$91,0),MATCH(M$7,AdditionalVehs!$AA$45:$AK$45,0))</f>
        <v>#REF!</v>
      </c>
      <c r="N773" s="86" t="e">
        <f>GDPdeflator!$C$38*INDEX(AdditionalVehs!$AA$46:$AK$91,MATCH($C773,AdditionalVehs!$C$46:$C$91,0),MATCH(N$7,AdditionalVehs!$AA$45:$AK$45,0))</f>
        <v>#REF!</v>
      </c>
      <c r="O773" s="86" t="e">
        <f>GDPdeflator!$C$38*INDEX(AdditionalVehs!$AA$46:$AK$91,MATCH($C773,AdditionalVehs!$C$46:$C$91,0),MATCH(O$7,AdditionalVehs!$AA$45:$AK$45,0))</f>
        <v>#REF!</v>
      </c>
      <c r="P773" s="87">
        <f t="shared" si="326"/>
        <v>0</v>
      </c>
      <c r="Q773" s="87" t="e">
        <f t="shared" si="310"/>
        <v>#REF!</v>
      </c>
      <c r="R773" s="87" t="e">
        <f t="shared" si="328"/>
        <v>#REF!</v>
      </c>
      <c r="S773" s="87" t="e">
        <f t="shared" si="317"/>
        <v>#REF!</v>
      </c>
      <c r="T773" s="87" t="e">
        <f t="shared" si="318"/>
        <v>#REF!</v>
      </c>
      <c r="U773" s="87" t="e">
        <f t="shared" si="319"/>
        <v>#REF!</v>
      </c>
      <c r="V773" s="87" t="e">
        <f t="shared" si="320"/>
        <v>#REF!</v>
      </c>
      <c r="W773" s="87" t="e">
        <f t="shared" si="321"/>
        <v>#REF!</v>
      </c>
      <c r="X773" s="87" t="e">
        <f t="shared" si="322"/>
        <v>#REF!</v>
      </c>
      <c r="Y773" s="87" t="e">
        <f t="shared" si="323"/>
        <v>#REF!</v>
      </c>
      <c r="Z773" s="87" t="e">
        <f t="shared" si="324"/>
        <v>#REF!</v>
      </c>
      <c r="AA773" s="40">
        <v>500</v>
      </c>
      <c r="AB773" s="89">
        <f>AA773*GDPdeflator!$C$25/$AI$18*10^3</f>
        <v>48.0747492686653</v>
      </c>
      <c r="AC773" s="90" t="e">
        <f>INDEX(AdditionalVehs!$E$46:$N$91,MATCH(C773,AdditionalVehs!$C$46:$C$91),MATCH(D773,AdditionalVehs!$E$45:$N$45))</f>
        <v>#REF!</v>
      </c>
      <c r="AD773" s="90" t="e">
        <f t="shared" si="327"/>
        <v>#REF!</v>
      </c>
      <c r="AE773" s="90" t="e">
        <f>INDEX(AdditionalVehs!$P$46:$Y$91,MATCH(C773,AdditionalVehs!$C$46:$C$91),MATCH(D773,AdditionalVehs!$AA$45:$AJ$45))</f>
        <v>#REF!</v>
      </c>
      <c r="AF773" s="90" t="e">
        <f t="shared" si="312"/>
        <v>#REF!</v>
      </c>
      <c r="AG773" s="90" t="e">
        <f>AdditionalVehs!$C$32</f>
        <v>#REF!</v>
      </c>
    </row>
    <row r="774" spans="1:33" x14ac:dyDescent="0.2">
      <c r="A774" s="92" t="s">
        <v>2393</v>
      </c>
      <c r="B774" s="248" t="s">
        <v>2394</v>
      </c>
      <c r="C774" s="40" t="s">
        <v>2384</v>
      </c>
      <c r="D774" s="40">
        <v>2035</v>
      </c>
      <c r="E774" s="86">
        <f>GDPdeflator!$C$32*INDEX(AdditionalVehs!$AA$46:$AK$91,MATCH($C774,AdditionalVehs!$C$46:$C$91,0),MATCH(E$7,AdditionalVehs!$AA$45:$AK$45,0))</f>
        <v>0</v>
      </c>
      <c r="F774" s="86" t="e">
        <f>GDPdeflator!$C$36*INDEX(AdditionalVehs!$AA$46:$AK$91,MATCH($C774,AdditionalVehs!$C$46:$C$91,0),MATCH(F$7,AdditionalVehs!$AA$45:$AK$45,0))</f>
        <v>#REF!</v>
      </c>
      <c r="G774" s="86" t="e">
        <f>GDPdeflator!$C$38*INDEX(AdditionalVehs!$AA$46:$AK$91,MATCH($C774,AdditionalVehs!$C$46:$C$91,0),MATCH(G$7,AdditionalVehs!$AA$45:$AK$45,0))</f>
        <v>#REF!</v>
      </c>
      <c r="H774" s="86" t="e">
        <f>GDPdeflator!$C$38*INDEX(AdditionalVehs!$AA$46:$AK$91,MATCH($C774,AdditionalVehs!$C$46:$C$91,0),MATCH(H$7,AdditionalVehs!$AA$45:$AK$45,0))</f>
        <v>#REF!</v>
      </c>
      <c r="I774" s="86" t="e">
        <f>GDPdeflator!$C$38*INDEX(AdditionalVehs!$AA$46:$AK$91,MATCH($C774,AdditionalVehs!$C$46:$C$91,0),MATCH(I$7,AdditionalVehs!$AA$45:$AK$45,0))</f>
        <v>#REF!</v>
      </c>
      <c r="J774" s="86" t="e">
        <f>GDPdeflator!$C$38*INDEX(AdditionalVehs!$AA$46:$AK$91,MATCH($C774,AdditionalVehs!$C$46:$C$91,0),MATCH(J$7,AdditionalVehs!$AA$45:$AK$45,0))</f>
        <v>#REF!</v>
      </c>
      <c r="K774" s="86" t="e">
        <f>GDPdeflator!$C$38*INDEX(AdditionalVehs!$AA$46:$AK$91,MATCH($C774,AdditionalVehs!$C$46:$C$91,0),MATCH(K$7,AdditionalVehs!$AA$45:$AK$45,0))</f>
        <v>#REF!</v>
      </c>
      <c r="L774" s="86" t="e">
        <f>GDPdeflator!$C$38*INDEX(AdditionalVehs!$AA$46:$AK$91,MATCH($C774,AdditionalVehs!$C$46:$C$91,0),MATCH(L$7,AdditionalVehs!$AA$45:$AK$45,0))</f>
        <v>#REF!</v>
      </c>
      <c r="M774" s="86" t="e">
        <f>GDPdeflator!$C$38*INDEX(AdditionalVehs!$AA$46:$AK$91,MATCH($C774,AdditionalVehs!$C$46:$C$91,0),MATCH(M$7,AdditionalVehs!$AA$45:$AK$45,0))</f>
        <v>#REF!</v>
      </c>
      <c r="N774" s="86" t="e">
        <f>GDPdeflator!$C$38*INDEX(AdditionalVehs!$AA$46:$AK$91,MATCH($C774,AdditionalVehs!$C$46:$C$91,0),MATCH(N$7,AdditionalVehs!$AA$45:$AK$45,0))</f>
        <v>#REF!</v>
      </c>
      <c r="O774" s="86" t="e">
        <f>GDPdeflator!$C$38*INDEX(AdditionalVehs!$AA$46:$AK$91,MATCH($C774,AdditionalVehs!$C$46:$C$91,0),MATCH(O$7,AdditionalVehs!$AA$45:$AK$45,0))</f>
        <v>#REF!</v>
      </c>
      <c r="P774" s="87">
        <f t="shared" si="326"/>
        <v>0</v>
      </c>
      <c r="Q774" s="87" t="e">
        <f t="shared" si="310"/>
        <v>#REF!</v>
      </c>
      <c r="R774" s="87" t="e">
        <f t="shared" si="328"/>
        <v>#REF!</v>
      </c>
      <c r="S774" s="87" t="e">
        <f t="shared" si="317"/>
        <v>#REF!</v>
      </c>
      <c r="T774" s="87" t="e">
        <f t="shared" si="318"/>
        <v>#REF!</v>
      </c>
      <c r="U774" s="87" t="e">
        <f t="shared" si="319"/>
        <v>#REF!</v>
      </c>
      <c r="V774" s="87" t="e">
        <f t="shared" si="320"/>
        <v>#REF!</v>
      </c>
      <c r="W774" s="87" t="e">
        <f t="shared" si="321"/>
        <v>#REF!</v>
      </c>
      <c r="X774" s="87" t="e">
        <f t="shared" si="322"/>
        <v>#REF!</v>
      </c>
      <c r="Y774" s="87" t="e">
        <f t="shared" si="323"/>
        <v>#REF!</v>
      </c>
      <c r="Z774" s="87" t="e">
        <f t="shared" si="324"/>
        <v>#REF!</v>
      </c>
      <c r="AA774" s="40">
        <v>500</v>
      </c>
      <c r="AB774" s="89">
        <f>AA774*GDPdeflator!$C$25/$AI$18*10^3</f>
        <v>48.0747492686653</v>
      </c>
      <c r="AC774" s="90" t="e">
        <f>INDEX(AdditionalVehs!$E$46:$N$91,MATCH(C774,AdditionalVehs!$C$46:$C$91),MATCH(D774,AdditionalVehs!$E$45:$N$45))</f>
        <v>#REF!</v>
      </c>
      <c r="AD774" s="90" t="e">
        <f t="shared" si="327"/>
        <v>#REF!</v>
      </c>
      <c r="AE774" s="90" t="e">
        <f>INDEX(AdditionalVehs!$P$46:$Y$91,MATCH(C774,AdditionalVehs!$C$46:$C$91),MATCH(D774,AdditionalVehs!$AA$45:$AJ$45))</f>
        <v>#REF!</v>
      </c>
      <c r="AF774" s="90" t="e">
        <f t="shared" si="312"/>
        <v>#REF!</v>
      </c>
      <c r="AG774" s="90" t="e">
        <f>AdditionalVehs!$C$32</f>
        <v>#REF!</v>
      </c>
    </row>
    <row r="775" spans="1:33" x14ac:dyDescent="0.2">
      <c r="A775" s="92" t="s">
        <v>2395</v>
      </c>
      <c r="B775" s="248" t="s">
        <v>2396</v>
      </c>
      <c r="C775" s="40" t="s">
        <v>2384</v>
      </c>
      <c r="D775" s="40">
        <v>2040</v>
      </c>
      <c r="E775" s="86">
        <f>GDPdeflator!$C$32*INDEX(AdditionalVehs!$AA$46:$AK$91,MATCH($C775,AdditionalVehs!$C$46:$C$91,0),MATCH(E$7,AdditionalVehs!$AA$45:$AK$45,0))</f>
        <v>0</v>
      </c>
      <c r="F775" s="86" t="e">
        <f>GDPdeflator!$C$36*INDEX(AdditionalVehs!$AA$46:$AK$91,MATCH($C775,AdditionalVehs!$C$46:$C$91,0),MATCH(F$7,AdditionalVehs!$AA$45:$AK$45,0))</f>
        <v>#REF!</v>
      </c>
      <c r="G775" s="86" t="e">
        <f>GDPdeflator!$C$38*INDEX(AdditionalVehs!$AA$46:$AK$91,MATCH($C775,AdditionalVehs!$C$46:$C$91,0),MATCH(G$7,AdditionalVehs!$AA$45:$AK$45,0))</f>
        <v>#REF!</v>
      </c>
      <c r="H775" s="86" t="e">
        <f>GDPdeflator!$C$38*INDEX(AdditionalVehs!$AA$46:$AK$91,MATCH($C775,AdditionalVehs!$C$46:$C$91,0),MATCH(H$7,AdditionalVehs!$AA$45:$AK$45,0))</f>
        <v>#REF!</v>
      </c>
      <c r="I775" s="86" t="e">
        <f>GDPdeflator!$C$38*INDEX(AdditionalVehs!$AA$46:$AK$91,MATCH($C775,AdditionalVehs!$C$46:$C$91,0),MATCH(I$7,AdditionalVehs!$AA$45:$AK$45,0))</f>
        <v>#REF!</v>
      </c>
      <c r="J775" s="86" t="e">
        <f>GDPdeflator!$C$38*INDEX(AdditionalVehs!$AA$46:$AK$91,MATCH($C775,AdditionalVehs!$C$46:$C$91,0),MATCH(J$7,AdditionalVehs!$AA$45:$AK$45,0))</f>
        <v>#REF!</v>
      </c>
      <c r="K775" s="86" t="e">
        <f>GDPdeflator!$C$38*INDEX(AdditionalVehs!$AA$46:$AK$91,MATCH($C775,AdditionalVehs!$C$46:$C$91,0),MATCH(K$7,AdditionalVehs!$AA$45:$AK$45,0))</f>
        <v>#REF!</v>
      </c>
      <c r="L775" s="86" t="e">
        <f>GDPdeflator!$C$38*INDEX(AdditionalVehs!$AA$46:$AK$91,MATCH($C775,AdditionalVehs!$C$46:$C$91,0),MATCH(L$7,AdditionalVehs!$AA$45:$AK$45,0))</f>
        <v>#REF!</v>
      </c>
      <c r="M775" s="86" t="e">
        <f>GDPdeflator!$C$38*INDEX(AdditionalVehs!$AA$46:$AK$91,MATCH($C775,AdditionalVehs!$C$46:$C$91,0),MATCH(M$7,AdditionalVehs!$AA$45:$AK$45,0))</f>
        <v>#REF!</v>
      </c>
      <c r="N775" s="86" t="e">
        <f>GDPdeflator!$C$38*INDEX(AdditionalVehs!$AA$46:$AK$91,MATCH($C775,AdditionalVehs!$C$46:$C$91,0),MATCH(N$7,AdditionalVehs!$AA$45:$AK$45,0))</f>
        <v>#REF!</v>
      </c>
      <c r="O775" s="86" t="e">
        <f>GDPdeflator!$C$38*INDEX(AdditionalVehs!$AA$46:$AK$91,MATCH($C775,AdditionalVehs!$C$46:$C$91,0),MATCH(O$7,AdditionalVehs!$AA$45:$AK$45,0))</f>
        <v>#REF!</v>
      </c>
      <c r="P775" s="87">
        <f t="shared" si="326"/>
        <v>0</v>
      </c>
      <c r="Q775" s="87" t="e">
        <f t="shared" si="310"/>
        <v>#REF!</v>
      </c>
      <c r="R775" s="87" t="e">
        <f t="shared" si="328"/>
        <v>#REF!</v>
      </c>
      <c r="S775" s="87" t="e">
        <f t="shared" si="317"/>
        <v>#REF!</v>
      </c>
      <c r="T775" s="87" t="e">
        <f t="shared" si="318"/>
        <v>#REF!</v>
      </c>
      <c r="U775" s="87" t="e">
        <f t="shared" si="319"/>
        <v>#REF!</v>
      </c>
      <c r="V775" s="87" t="e">
        <f t="shared" si="320"/>
        <v>#REF!</v>
      </c>
      <c r="W775" s="87" t="e">
        <f t="shared" si="321"/>
        <v>#REF!</v>
      </c>
      <c r="X775" s="87" t="e">
        <f t="shared" si="322"/>
        <v>#REF!</v>
      </c>
      <c r="Y775" s="87" t="e">
        <f t="shared" si="323"/>
        <v>#REF!</v>
      </c>
      <c r="Z775" s="87" t="e">
        <f t="shared" si="324"/>
        <v>#REF!</v>
      </c>
      <c r="AA775" s="40">
        <v>500</v>
      </c>
      <c r="AB775" s="89">
        <f>AA775*GDPdeflator!$C$25/$AI$18*10^3</f>
        <v>48.0747492686653</v>
      </c>
      <c r="AC775" s="90" t="e">
        <f>INDEX(AdditionalVehs!$E$46:$N$91,MATCH(C775,AdditionalVehs!$C$46:$C$91),MATCH(D775,AdditionalVehs!$E$45:$N$45))</f>
        <v>#REF!</v>
      </c>
      <c r="AD775" s="90" t="e">
        <f t="shared" si="327"/>
        <v>#REF!</v>
      </c>
      <c r="AE775" s="90" t="e">
        <f>INDEX(AdditionalVehs!$P$46:$Y$91,MATCH(C775,AdditionalVehs!$C$46:$C$91),MATCH(D775,AdditionalVehs!$AA$45:$AJ$45))</f>
        <v>#REF!</v>
      </c>
      <c r="AF775" s="90" t="e">
        <f t="shared" si="312"/>
        <v>#REF!</v>
      </c>
      <c r="AG775" s="90" t="e">
        <f>AdditionalVehs!$C$32</f>
        <v>#REF!</v>
      </c>
    </row>
    <row r="776" spans="1:33" x14ac:dyDescent="0.2">
      <c r="A776" s="92" t="s">
        <v>2397</v>
      </c>
      <c r="B776" s="248" t="s">
        <v>2398</v>
      </c>
      <c r="C776" s="40" t="s">
        <v>2384</v>
      </c>
      <c r="D776" s="40">
        <v>2045</v>
      </c>
      <c r="E776" s="86">
        <f>GDPdeflator!$C$32*INDEX(AdditionalVehs!$AA$46:$AK$91,MATCH($C776,AdditionalVehs!$C$46:$C$91,0),MATCH(E$7,AdditionalVehs!$AA$45:$AK$45,0))</f>
        <v>0</v>
      </c>
      <c r="F776" s="86" t="e">
        <f>GDPdeflator!$C$36*INDEX(AdditionalVehs!$AA$46:$AK$91,MATCH($C776,AdditionalVehs!$C$46:$C$91,0),MATCH(F$7,AdditionalVehs!$AA$45:$AK$45,0))</f>
        <v>#REF!</v>
      </c>
      <c r="G776" s="86" t="e">
        <f>GDPdeflator!$C$38*INDEX(AdditionalVehs!$AA$46:$AK$91,MATCH($C776,AdditionalVehs!$C$46:$C$91,0),MATCH(G$7,AdditionalVehs!$AA$45:$AK$45,0))</f>
        <v>#REF!</v>
      </c>
      <c r="H776" s="86" t="e">
        <f>GDPdeflator!$C$38*INDEX(AdditionalVehs!$AA$46:$AK$91,MATCH($C776,AdditionalVehs!$C$46:$C$91,0),MATCH(H$7,AdditionalVehs!$AA$45:$AK$45,0))</f>
        <v>#REF!</v>
      </c>
      <c r="I776" s="86" t="e">
        <f>GDPdeflator!$C$38*INDEX(AdditionalVehs!$AA$46:$AK$91,MATCH($C776,AdditionalVehs!$C$46:$C$91,0),MATCH(I$7,AdditionalVehs!$AA$45:$AK$45,0))</f>
        <v>#REF!</v>
      </c>
      <c r="J776" s="86" t="e">
        <f>GDPdeflator!$C$38*INDEX(AdditionalVehs!$AA$46:$AK$91,MATCH($C776,AdditionalVehs!$C$46:$C$91,0),MATCH(J$7,AdditionalVehs!$AA$45:$AK$45,0))</f>
        <v>#REF!</v>
      </c>
      <c r="K776" s="86" t="e">
        <f>GDPdeflator!$C$38*INDEX(AdditionalVehs!$AA$46:$AK$91,MATCH($C776,AdditionalVehs!$C$46:$C$91,0),MATCH(K$7,AdditionalVehs!$AA$45:$AK$45,0))</f>
        <v>#REF!</v>
      </c>
      <c r="L776" s="86" t="e">
        <f>GDPdeflator!$C$38*INDEX(AdditionalVehs!$AA$46:$AK$91,MATCH($C776,AdditionalVehs!$C$46:$C$91,0),MATCH(L$7,AdditionalVehs!$AA$45:$AK$45,0))</f>
        <v>#REF!</v>
      </c>
      <c r="M776" s="86" t="e">
        <f>GDPdeflator!$C$38*INDEX(AdditionalVehs!$AA$46:$AK$91,MATCH($C776,AdditionalVehs!$C$46:$C$91,0),MATCH(M$7,AdditionalVehs!$AA$45:$AK$45,0))</f>
        <v>#REF!</v>
      </c>
      <c r="N776" s="86" t="e">
        <f>GDPdeflator!$C$38*INDEX(AdditionalVehs!$AA$46:$AK$91,MATCH($C776,AdditionalVehs!$C$46:$C$91,0),MATCH(N$7,AdditionalVehs!$AA$45:$AK$45,0))</f>
        <v>#REF!</v>
      </c>
      <c r="O776" s="86" t="e">
        <f>GDPdeflator!$C$38*INDEX(AdditionalVehs!$AA$46:$AK$91,MATCH($C776,AdditionalVehs!$C$46:$C$91,0),MATCH(O$7,AdditionalVehs!$AA$45:$AK$45,0))</f>
        <v>#REF!</v>
      </c>
      <c r="P776" s="87">
        <f t="shared" si="326"/>
        <v>0</v>
      </c>
      <c r="Q776" s="87" t="e">
        <f t="shared" si="310"/>
        <v>#REF!</v>
      </c>
      <c r="R776" s="87" t="e">
        <f t="shared" si="328"/>
        <v>#REF!</v>
      </c>
      <c r="S776" s="87" t="e">
        <f t="shared" si="317"/>
        <v>#REF!</v>
      </c>
      <c r="T776" s="87" t="e">
        <f t="shared" si="318"/>
        <v>#REF!</v>
      </c>
      <c r="U776" s="87" t="e">
        <f t="shared" si="319"/>
        <v>#REF!</v>
      </c>
      <c r="V776" s="87" t="e">
        <f t="shared" si="320"/>
        <v>#REF!</v>
      </c>
      <c r="W776" s="87" t="e">
        <f t="shared" si="321"/>
        <v>#REF!</v>
      </c>
      <c r="X776" s="87" t="e">
        <f t="shared" si="322"/>
        <v>#REF!</v>
      </c>
      <c r="Y776" s="87" t="e">
        <f t="shared" si="323"/>
        <v>#REF!</v>
      </c>
      <c r="Z776" s="87" t="e">
        <f t="shared" si="324"/>
        <v>#REF!</v>
      </c>
      <c r="AA776" s="40">
        <v>500</v>
      </c>
      <c r="AB776" s="89">
        <f>AA776*GDPdeflator!$C$25/$AI$18*10^3</f>
        <v>48.0747492686653</v>
      </c>
      <c r="AC776" s="90" t="e">
        <f>INDEX(AdditionalVehs!$E$46:$N$91,MATCH(C776,AdditionalVehs!$C$46:$C$91),MATCH(D776,AdditionalVehs!$E$45:$N$45))</f>
        <v>#REF!</v>
      </c>
      <c r="AD776" s="90" t="e">
        <f t="shared" si="327"/>
        <v>#REF!</v>
      </c>
      <c r="AE776" s="90" t="e">
        <f>INDEX(AdditionalVehs!$P$46:$Y$91,MATCH(C776,AdditionalVehs!$C$46:$C$91),MATCH(D776,AdditionalVehs!$AA$45:$AJ$45))</f>
        <v>#REF!</v>
      </c>
      <c r="AF776" s="90" t="e">
        <f t="shared" si="312"/>
        <v>#REF!</v>
      </c>
      <c r="AG776" s="90" t="e">
        <f>AdditionalVehs!$C$32</f>
        <v>#REF!</v>
      </c>
    </row>
    <row r="777" spans="1:33" x14ac:dyDescent="0.2">
      <c r="A777" s="92" t="s">
        <v>2399</v>
      </c>
      <c r="B777" s="248" t="s">
        <v>2400</v>
      </c>
      <c r="C777" s="40" t="s">
        <v>2384</v>
      </c>
      <c r="D777" s="40">
        <v>2050</v>
      </c>
      <c r="E777" s="86">
        <f>GDPdeflator!$C$32*INDEX(AdditionalVehs!$AA$46:$AK$91,MATCH($C777,AdditionalVehs!$C$46:$C$91,0),MATCH(E$7,AdditionalVehs!$AA$45:$AK$45,0))</f>
        <v>0</v>
      </c>
      <c r="F777" s="86" t="e">
        <f>GDPdeflator!$C$36*INDEX(AdditionalVehs!$AA$46:$AK$91,MATCH($C777,AdditionalVehs!$C$46:$C$91,0),MATCH(F$7,AdditionalVehs!$AA$45:$AK$45,0))</f>
        <v>#REF!</v>
      </c>
      <c r="G777" s="86" t="e">
        <f>GDPdeflator!$C$38*INDEX(AdditionalVehs!$AA$46:$AK$91,MATCH($C777,AdditionalVehs!$C$46:$C$91,0),MATCH(G$7,AdditionalVehs!$AA$45:$AK$45,0))</f>
        <v>#REF!</v>
      </c>
      <c r="H777" s="86" t="e">
        <f>GDPdeflator!$C$38*INDEX(AdditionalVehs!$AA$46:$AK$91,MATCH($C777,AdditionalVehs!$C$46:$C$91,0),MATCH(H$7,AdditionalVehs!$AA$45:$AK$45,0))</f>
        <v>#REF!</v>
      </c>
      <c r="I777" s="86" t="e">
        <f>GDPdeflator!$C$38*INDEX(AdditionalVehs!$AA$46:$AK$91,MATCH($C777,AdditionalVehs!$C$46:$C$91,0),MATCH(I$7,AdditionalVehs!$AA$45:$AK$45,0))</f>
        <v>#REF!</v>
      </c>
      <c r="J777" s="86" t="e">
        <f>GDPdeflator!$C$38*INDEX(AdditionalVehs!$AA$46:$AK$91,MATCH($C777,AdditionalVehs!$C$46:$C$91,0),MATCH(J$7,AdditionalVehs!$AA$45:$AK$45,0))</f>
        <v>#REF!</v>
      </c>
      <c r="K777" s="86" t="e">
        <f>GDPdeflator!$C$38*INDEX(AdditionalVehs!$AA$46:$AK$91,MATCH($C777,AdditionalVehs!$C$46:$C$91,0),MATCH(K$7,AdditionalVehs!$AA$45:$AK$45,0))</f>
        <v>#REF!</v>
      </c>
      <c r="L777" s="86" t="e">
        <f>GDPdeflator!$C$38*INDEX(AdditionalVehs!$AA$46:$AK$91,MATCH($C777,AdditionalVehs!$C$46:$C$91,0),MATCH(L$7,AdditionalVehs!$AA$45:$AK$45,0))</f>
        <v>#REF!</v>
      </c>
      <c r="M777" s="86" t="e">
        <f>GDPdeflator!$C$38*INDEX(AdditionalVehs!$AA$46:$AK$91,MATCH($C777,AdditionalVehs!$C$46:$C$91,0),MATCH(M$7,AdditionalVehs!$AA$45:$AK$45,0))</f>
        <v>#REF!</v>
      </c>
      <c r="N777" s="86" t="e">
        <f>GDPdeflator!$C$38*INDEX(AdditionalVehs!$AA$46:$AK$91,MATCH($C777,AdditionalVehs!$C$46:$C$91,0),MATCH(N$7,AdditionalVehs!$AA$45:$AK$45,0))</f>
        <v>#REF!</v>
      </c>
      <c r="O777" s="86" t="e">
        <f>GDPdeflator!$C$38*INDEX(AdditionalVehs!$AA$46:$AK$91,MATCH($C777,AdditionalVehs!$C$46:$C$91,0),MATCH(O$7,AdditionalVehs!$AA$45:$AK$45,0))</f>
        <v>#REF!</v>
      </c>
      <c r="P777" s="87">
        <f t="shared" si="326"/>
        <v>0</v>
      </c>
      <c r="Q777" s="87" t="e">
        <f t="shared" si="310"/>
        <v>#REF!</v>
      </c>
      <c r="R777" s="87" t="e">
        <f t="shared" si="328"/>
        <v>#REF!</v>
      </c>
      <c r="S777" s="87" t="e">
        <f t="shared" si="317"/>
        <v>#REF!</v>
      </c>
      <c r="T777" s="87" t="e">
        <f t="shared" si="318"/>
        <v>#REF!</v>
      </c>
      <c r="U777" s="87" t="e">
        <f t="shared" si="319"/>
        <v>#REF!</v>
      </c>
      <c r="V777" s="87" t="e">
        <f t="shared" si="320"/>
        <v>#REF!</v>
      </c>
      <c r="W777" s="87" t="e">
        <f t="shared" si="321"/>
        <v>#REF!</v>
      </c>
      <c r="X777" s="87" t="e">
        <f t="shared" si="322"/>
        <v>#REF!</v>
      </c>
      <c r="Y777" s="87" t="e">
        <f t="shared" si="323"/>
        <v>#REF!</v>
      </c>
      <c r="Z777" s="87" t="e">
        <f t="shared" si="324"/>
        <v>#REF!</v>
      </c>
      <c r="AA777" s="40">
        <v>500</v>
      </c>
      <c r="AB777" s="89">
        <f>AA777*GDPdeflator!$C$25/$AI$18*10^3</f>
        <v>48.0747492686653</v>
      </c>
      <c r="AC777" s="90" t="e">
        <f>INDEX(AdditionalVehs!$E$46:$N$91,MATCH(C777,AdditionalVehs!$C$46:$C$91),MATCH(D777,AdditionalVehs!$E$45:$N$45))</f>
        <v>#REF!</v>
      </c>
      <c r="AD777" s="90" t="e">
        <f t="shared" si="327"/>
        <v>#REF!</v>
      </c>
      <c r="AE777" s="90" t="e">
        <f>INDEX(AdditionalVehs!$P$46:$Y$91,MATCH(C777,AdditionalVehs!$C$46:$C$91),MATCH(D777,AdditionalVehs!$AA$45:$AJ$45))</f>
        <v>#REF!</v>
      </c>
      <c r="AF777" s="90" t="e">
        <f t="shared" si="312"/>
        <v>#REF!</v>
      </c>
      <c r="AG777" s="90" t="e">
        <f>AdditionalVehs!$C$32</f>
        <v>#REF!</v>
      </c>
    </row>
    <row r="778" spans="1:33" x14ac:dyDescent="0.2">
      <c r="A778" s="92" t="s">
        <v>2401</v>
      </c>
      <c r="B778" s="248" t="s">
        <v>2402</v>
      </c>
      <c r="C778" s="40" t="s">
        <v>2403</v>
      </c>
      <c r="D778" s="40">
        <v>2010</v>
      </c>
      <c r="E778" s="86">
        <f>GDPdeflator!$C$32*INDEX(AdditionalVehs!$AA$46:$AK$91,MATCH($C778,AdditionalVehs!$C$46:$C$91,0),MATCH(E$7,AdditionalVehs!$AA$45:$AK$45,0))</f>
        <v>0</v>
      </c>
      <c r="F778" s="86" t="e">
        <f>GDPdeflator!$C$36*INDEX(AdditionalVehs!$AA$46:$AK$91,MATCH($C778,AdditionalVehs!$C$46:$C$91,0),MATCH(F$7,AdditionalVehs!$AA$45:$AK$45,0))</f>
        <v>#REF!</v>
      </c>
      <c r="G778" s="86" t="e">
        <f>GDPdeflator!$C$38*INDEX(AdditionalVehs!$AA$46:$AK$91,MATCH($C778,AdditionalVehs!$C$46:$C$91,0),MATCH(G$7,AdditionalVehs!$AA$45:$AK$45,0))</f>
        <v>#REF!</v>
      </c>
      <c r="H778" s="86" t="e">
        <f>GDPdeflator!$C$38*INDEX(AdditionalVehs!$AA$46:$AK$91,MATCH($C778,AdditionalVehs!$C$46:$C$91,0),MATCH(H$7,AdditionalVehs!$AA$45:$AK$45,0))</f>
        <v>#REF!</v>
      </c>
      <c r="I778" s="86" t="e">
        <f>GDPdeflator!$C$38*INDEX(AdditionalVehs!$AA$46:$AK$91,MATCH($C778,AdditionalVehs!$C$46:$C$91,0),MATCH(I$7,AdditionalVehs!$AA$45:$AK$45,0))</f>
        <v>#REF!</v>
      </c>
      <c r="J778" s="86" t="e">
        <f>GDPdeflator!$C$38*INDEX(AdditionalVehs!$AA$46:$AK$91,MATCH($C778,AdditionalVehs!$C$46:$C$91,0),MATCH(J$7,AdditionalVehs!$AA$45:$AK$45,0))</f>
        <v>#REF!</v>
      </c>
      <c r="K778" s="86" t="e">
        <f>GDPdeflator!$C$38*INDEX(AdditionalVehs!$AA$46:$AK$91,MATCH($C778,AdditionalVehs!$C$46:$C$91,0),MATCH(K$7,AdditionalVehs!$AA$45:$AK$45,0))</f>
        <v>#REF!</v>
      </c>
      <c r="L778" s="86" t="e">
        <f>GDPdeflator!$C$38*INDEX(AdditionalVehs!$AA$46:$AK$91,MATCH($C778,AdditionalVehs!$C$46:$C$91,0),MATCH(L$7,AdditionalVehs!$AA$45:$AK$45,0))</f>
        <v>#REF!</v>
      </c>
      <c r="M778" s="86" t="e">
        <f>GDPdeflator!$C$38*INDEX(AdditionalVehs!$AA$46:$AK$91,MATCH($C778,AdditionalVehs!$C$46:$C$91,0),MATCH(M$7,AdditionalVehs!$AA$45:$AK$45,0))</f>
        <v>#REF!</v>
      </c>
      <c r="N778" s="86" t="e">
        <f>GDPdeflator!$C$38*INDEX(AdditionalVehs!$AA$46:$AK$91,MATCH($C778,AdditionalVehs!$C$46:$C$91,0),MATCH(N$7,AdditionalVehs!$AA$45:$AK$45,0))</f>
        <v>#REF!</v>
      </c>
      <c r="O778" s="86" t="e">
        <f>GDPdeflator!$C$38*INDEX(AdditionalVehs!$AA$46:$AK$91,MATCH($C778,AdditionalVehs!$C$46:$C$91,0),MATCH(O$7,AdditionalVehs!$AA$45:$AK$45,0))</f>
        <v>#REF!</v>
      </c>
      <c r="P778" s="87">
        <f>E778/$AI$18*10^6</f>
        <v>0</v>
      </c>
      <c r="Q778" s="87" t="e">
        <f t="shared" ref="Q778:Q841" si="329">F778/$AI$18*10^6</f>
        <v>#REF!</v>
      </c>
      <c r="R778" s="87" t="e">
        <f t="shared" si="328"/>
        <v>#REF!</v>
      </c>
      <c r="S778" s="87" t="e">
        <f t="shared" si="317"/>
        <v>#REF!</v>
      </c>
      <c r="T778" s="87" t="e">
        <f t="shared" si="318"/>
        <v>#REF!</v>
      </c>
      <c r="U778" s="87" t="e">
        <f t="shared" si="319"/>
        <v>#REF!</v>
      </c>
      <c r="V778" s="87" t="e">
        <f t="shared" si="320"/>
        <v>#REF!</v>
      </c>
      <c r="W778" s="87" t="e">
        <f t="shared" si="321"/>
        <v>#REF!</v>
      </c>
      <c r="X778" s="87" t="e">
        <f t="shared" si="322"/>
        <v>#REF!</v>
      </c>
      <c r="Y778" s="87" t="e">
        <f t="shared" si="323"/>
        <v>#REF!</v>
      </c>
      <c r="Z778" s="87" t="e">
        <f t="shared" si="324"/>
        <v>#REF!</v>
      </c>
      <c r="AA778" s="40">
        <v>473</v>
      </c>
      <c r="AB778" s="89">
        <f>AA778*GDPdeflator!$C$25/$AI$18*10^3</f>
        <v>45.478712808157368</v>
      </c>
      <c r="AC778" s="90" t="e">
        <f>INDEX(AdditionalVehs!$E$46:$N$91,MATCH(C778,AdditionalVehs!$C$46:$C$91),MATCH(D778,AdditionalVehs!$E$45:$N$45))</f>
        <v>#REF!</v>
      </c>
      <c r="AD778" s="90" t="e">
        <f t="shared" si="327"/>
        <v>#REF!</v>
      </c>
      <c r="AE778" s="90" t="e">
        <f>INDEX(AdditionalVehs!$P$46:$Y$91,MATCH(C778,AdditionalVehs!$C$46:$C$91),MATCH(D778,AdditionalVehs!$AA$45:$AJ$45))</f>
        <v>#REF!</v>
      </c>
      <c r="AF778" s="90" t="e">
        <f t="shared" si="312"/>
        <v>#REF!</v>
      </c>
      <c r="AG778" s="90" t="e">
        <f>AdditionalVehs!$C$32</f>
        <v>#REF!</v>
      </c>
    </row>
    <row r="779" spans="1:33" x14ac:dyDescent="0.2">
      <c r="A779" s="92" t="s">
        <v>2404</v>
      </c>
      <c r="B779" s="248" t="s">
        <v>2405</v>
      </c>
      <c r="C779" s="40" t="s">
        <v>2403</v>
      </c>
      <c r="D779" s="40">
        <v>2015</v>
      </c>
      <c r="E779" s="86">
        <f>GDPdeflator!$C$32*INDEX(AdditionalVehs!$AA$46:$AK$91,MATCH($C779,AdditionalVehs!$C$46:$C$91,0),MATCH(E$7,AdditionalVehs!$AA$45:$AK$45,0))</f>
        <v>0</v>
      </c>
      <c r="F779" s="86" t="e">
        <f>GDPdeflator!$C$36*INDEX(AdditionalVehs!$AA$46:$AK$91,MATCH($C779,AdditionalVehs!$C$46:$C$91,0),MATCH(F$7,AdditionalVehs!$AA$45:$AK$45,0))</f>
        <v>#REF!</v>
      </c>
      <c r="G779" s="86" t="e">
        <f>GDPdeflator!$C$38*INDEX(AdditionalVehs!$AA$46:$AK$91,MATCH($C779,AdditionalVehs!$C$46:$C$91,0),MATCH(G$7,AdditionalVehs!$AA$45:$AK$45,0))</f>
        <v>#REF!</v>
      </c>
      <c r="H779" s="86" t="e">
        <f>GDPdeflator!$C$38*INDEX(AdditionalVehs!$AA$46:$AK$91,MATCH($C779,AdditionalVehs!$C$46:$C$91,0),MATCH(H$7,AdditionalVehs!$AA$45:$AK$45,0))</f>
        <v>#REF!</v>
      </c>
      <c r="I779" s="86" t="e">
        <f>GDPdeflator!$C$38*INDEX(AdditionalVehs!$AA$46:$AK$91,MATCH($C779,AdditionalVehs!$C$46:$C$91,0),MATCH(I$7,AdditionalVehs!$AA$45:$AK$45,0))</f>
        <v>#REF!</v>
      </c>
      <c r="J779" s="86" t="e">
        <f>GDPdeflator!$C$38*INDEX(AdditionalVehs!$AA$46:$AK$91,MATCH($C779,AdditionalVehs!$C$46:$C$91,0),MATCH(J$7,AdditionalVehs!$AA$45:$AK$45,0))</f>
        <v>#REF!</v>
      </c>
      <c r="K779" s="86" t="e">
        <f>GDPdeflator!$C$38*INDEX(AdditionalVehs!$AA$46:$AK$91,MATCH($C779,AdditionalVehs!$C$46:$C$91,0),MATCH(K$7,AdditionalVehs!$AA$45:$AK$45,0))</f>
        <v>#REF!</v>
      </c>
      <c r="L779" s="86" t="e">
        <f>GDPdeflator!$C$38*INDEX(AdditionalVehs!$AA$46:$AK$91,MATCH($C779,AdditionalVehs!$C$46:$C$91,0),MATCH(L$7,AdditionalVehs!$AA$45:$AK$45,0))</f>
        <v>#REF!</v>
      </c>
      <c r="M779" s="86" t="e">
        <f>GDPdeflator!$C$38*INDEX(AdditionalVehs!$AA$46:$AK$91,MATCH($C779,AdditionalVehs!$C$46:$C$91,0),MATCH(M$7,AdditionalVehs!$AA$45:$AK$45,0))</f>
        <v>#REF!</v>
      </c>
      <c r="N779" s="86" t="e">
        <f>GDPdeflator!$C$38*INDEX(AdditionalVehs!$AA$46:$AK$91,MATCH($C779,AdditionalVehs!$C$46:$C$91,0),MATCH(N$7,AdditionalVehs!$AA$45:$AK$45,0))</f>
        <v>#REF!</v>
      </c>
      <c r="O779" s="86" t="e">
        <f>GDPdeflator!$C$38*INDEX(AdditionalVehs!$AA$46:$AK$91,MATCH($C779,AdditionalVehs!$C$46:$C$91,0),MATCH(O$7,AdditionalVehs!$AA$45:$AK$45,0))</f>
        <v>#REF!</v>
      </c>
      <c r="P779" s="87">
        <f t="shared" ref="P779:P786" si="330">E779/$AI$18*10^6</f>
        <v>0</v>
      </c>
      <c r="Q779" s="87" t="e">
        <f t="shared" si="329"/>
        <v>#REF!</v>
      </c>
      <c r="R779" s="87" t="e">
        <f t="shared" si="328"/>
        <v>#REF!</v>
      </c>
      <c r="S779" s="87" t="e">
        <f t="shared" si="317"/>
        <v>#REF!</v>
      </c>
      <c r="T779" s="87" t="e">
        <f t="shared" si="318"/>
        <v>#REF!</v>
      </c>
      <c r="U779" s="87" t="e">
        <f t="shared" si="319"/>
        <v>#REF!</v>
      </c>
      <c r="V779" s="87" t="e">
        <f t="shared" si="320"/>
        <v>#REF!</v>
      </c>
      <c r="W779" s="87" t="e">
        <f t="shared" si="321"/>
        <v>#REF!</v>
      </c>
      <c r="X779" s="87" t="e">
        <f t="shared" si="322"/>
        <v>#REF!</v>
      </c>
      <c r="Y779" s="87" t="e">
        <f t="shared" si="323"/>
        <v>#REF!</v>
      </c>
      <c r="Z779" s="87" t="e">
        <f t="shared" si="324"/>
        <v>#REF!</v>
      </c>
      <c r="AA779" s="40">
        <v>473</v>
      </c>
      <c r="AB779" s="89">
        <f>AA779*GDPdeflator!$C$25/$AI$18*10^3</f>
        <v>45.478712808157368</v>
      </c>
      <c r="AC779" s="90" t="e">
        <f>INDEX(AdditionalVehs!$E$46:$N$91,MATCH(C779,AdditionalVehs!$C$46:$C$91),MATCH(D779,AdditionalVehs!$E$45:$N$45))</f>
        <v>#REF!</v>
      </c>
      <c r="AD779" s="90" t="e">
        <f t="shared" si="327"/>
        <v>#REF!</v>
      </c>
      <c r="AE779" s="90" t="e">
        <f>INDEX(AdditionalVehs!$P$46:$Y$91,MATCH(C779,AdditionalVehs!$C$46:$C$91),MATCH(D779,AdditionalVehs!$AA$45:$AJ$45))</f>
        <v>#REF!</v>
      </c>
      <c r="AF779" s="90" t="e">
        <f t="shared" si="312"/>
        <v>#REF!</v>
      </c>
      <c r="AG779" s="90" t="e">
        <f>AdditionalVehs!$C$32</f>
        <v>#REF!</v>
      </c>
    </row>
    <row r="780" spans="1:33" x14ac:dyDescent="0.2">
      <c r="A780" s="92" t="s">
        <v>2406</v>
      </c>
      <c r="B780" s="248" t="s">
        <v>2407</v>
      </c>
      <c r="C780" s="40" t="s">
        <v>2403</v>
      </c>
      <c r="D780" s="40">
        <v>2020</v>
      </c>
      <c r="E780" s="86">
        <f>GDPdeflator!$C$32*INDEX(AdditionalVehs!$AA$46:$AK$91,MATCH($C780,AdditionalVehs!$C$46:$C$91,0),MATCH(E$7,AdditionalVehs!$AA$45:$AK$45,0))</f>
        <v>0</v>
      </c>
      <c r="F780" s="86" t="e">
        <f>GDPdeflator!$C$36*INDEX(AdditionalVehs!$AA$46:$AK$91,MATCH($C780,AdditionalVehs!$C$46:$C$91,0),MATCH(F$7,AdditionalVehs!$AA$45:$AK$45,0))</f>
        <v>#REF!</v>
      </c>
      <c r="G780" s="86" t="e">
        <f>GDPdeflator!$C$38*INDEX(AdditionalVehs!$AA$46:$AK$91,MATCH($C780,AdditionalVehs!$C$46:$C$91,0),MATCH(G$7,AdditionalVehs!$AA$45:$AK$45,0))</f>
        <v>#REF!</v>
      </c>
      <c r="H780" s="86" t="e">
        <f>GDPdeflator!$C$38*INDEX(AdditionalVehs!$AA$46:$AK$91,MATCH($C780,AdditionalVehs!$C$46:$C$91,0),MATCH(H$7,AdditionalVehs!$AA$45:$AK$45,0))</f>
        <v>#REF!</v>
      </c>
      <c r="I780" s="86" t="e">
        <f>GDPdeflator!$C$38*INDEX(AdditionalVehs!$AA$46:$AK$91,MATCH($C780,AdditionalVehs!$C$46:$C$91,0),MATCH(I$7,AdditionalVehs!$AA$45:$AK$45,0))</f>
        <v>#REF!</v>
      </c>
      <c r="J780" s="86" t="e">
        <f>GDPdeflator!$C$38*INDEX(AdditionalVehs!$AA$46:$AK$91,MATCH($C780,AdditionalVehs!$C$46:$C$91,0),MATCH(J$7,AdditionalVehs!$AA$45:$AK$45,0))</f>
        <v>#REF!</v>
      </c>
      <c r="K780" s="86" t="e">
        <f>GDPdeflator!$C$38*INDEX(AdditionalVehs!$AA$46:$AK$91,MATCH($C780,AdditionalVehs!$C$46:$C$91,0),MATCH(K$7,AdditionalVehs!$AA$45:$AK$45,0))</f>
        <v>#REF!</v>
      </c>
      <c r="L780" s="86" t="e">
        <f>GDPdeflator!$C$38*INDEX(AdditionalVehs!$AA$46:$AK$91,MATCH($C780,AdditionalVehs!$C$46:$C$91,0),MATCH(L$7,AdditionalVehs!$AA$45:$AK$45,0))</f>
        <v>#REF!</v>
      </c>
      <c r="M780" s="86" t="e">
        <f>GDPdeflator!$C$38*INDEX(AdditionalVehs!$AA$46:$AK$91,MATCH($C780,AdditionalVehs!$C$46:$C$91,0),MATCH(M$7,AdditionalVehs!$AA$45:$AK$45,0))</f>
        <v>#REF!</v>
      </c>
      <c r="N780" s="86" t="e">
        <f>GDPdeflator!$C$38*INDEX(AdditionalVehs!$AA$46:$AK$91,MATCH($C780,AdditionalVehs!$C$46:$C$91,0),MATCH(N$7,AdditionalVehs!$AA$45:$AK$45,0))</f>
        <v>#REF!</v>
      </c>
      <c r="O780" s="86" t="e">
        <f>GDPdeflator!$C$38*INDEX(AdditionalVehs!$AA$46:$AK$91,MATCH($C780,AdditionalVehs!$C$46:$C$91,0),MATCH(O$7,AdditionalVehs!$AA$45:$AK$45,0))</f>
        <v>#REF!</v>
      </c>
      <c r="P780" s="87">
        <f t="shared" si="330"/>
        <v>0</v>
      </c>
      <c r="Q780" s="87" t="e">
        <f t="shared" si="329"/>
        <v>#REF!</v>
      </c>
      <c r="R780" s="87" t="e">
        <f t="shared" si="328"/>
        <v>#REF!</v>
      </c>
      <c r="S780" s="87" t="e">
        <f t="shared" si="317"/>
        <v>#REF!</v>
      </c>
      <c r="T780" s="87" t="e">
        <f t="shared" si="318"/>
        <v>#REF!</v>
      </c>
      <c r="U780" s="87" t="e">
        <f t="shared" si="319"/>
        <v>#REF!</v>
      </c>
      <c r="V780" s="87" t="e">
        <f t="shared" si="320"/>
        <v>#REF!</v>
      </c>
      <c r="W780" s="87" t="e">
        <f t="shared" si="321"/>
        <v>#REF!</v>
      </c>
      <c r="X780" s="87" t="e">
        <f t="shared" si="322"/>
        <v>#REF!</v>
      </c>
      <c r="Y780" s="87" t="e">
        <f t="shared" si="323"/>
        <v>#REF!</v>
      </c>
      <c r="Z780" s="87" t="e">
        <f t="shared" si="324"/>
        <v>#REF!</v>
      </c>
      <c r="AA780" s="40">
        <v>473</v>
      </c>
      <c r="AB780" s="89">
        <f>AA780*GDPdeflator!$C$25/$AI$18*10^3</f>
        <v>45.478712808157368</v>
      </c>
      <c r="AC780" s="90" t="e">
        <f>INDEX(AdditionalVehs!$E$46:$N$91,MATCH(C780,AdditionalVehs!$C$46:$C$91),MATCH(D780,AdditionalVehs!$E$45:$N$45))</f>
        <v>#REF!</v>
      </c>
      <c r="AD780" s="90" t="e">
        <f t="shared" si="327"/>
        <v>#REF!</v>
      </c>
      <c r="AE780" s="90" t="e">
        <f>INDEX(AdditionalVehs!$P$46:$Y$91,MATCH(C780,AdditionalVehs!$C$46:$C$91),MATCH(D780,AdditionalVehs!$AA$45:$AJ$45))</f>
        <v>#REF!</v>
      </c>
      <c r="AF780" s="90" t="e">
        <f t="shared" si="312"/>
        <v>#REF!</v>
      </c>
      <c r="AG780" s="90" t="e">
        <f>AdditionalVehs!$C$32</f>
        <v>#REF!</v>
      </c>
    </row>
    <row r="781" spans="1:33" x14ac:dyDescent="0.2">
      <c r="A781" s="92" t="s">
        <v>2408</v>
      </c>
      <c r="B781" s="248" t="s">
        <v>2409</v>
      </c>
      <c r="C781" s="40" t="s">
        <v>2403</v>
      </c>
      <c r="D781" s="40">
        <v>2025</v>
      </c>
      <c r="E781" s="86">
        <f>GDPdeflator!$C$32*INDEX(AdditionalVehs!$AA$46:$AK$91,MATCH($C781,AdditionalVehs!$C$46:$C$91,0),MATCH(E$7,AdditionalVehs!$AA$45:$AK$45,0))</f>
        <v>0</v>
      </c>
      <c r="F781" s="86" t="e">
        <f>GDPdeflator!$C$36*INDEX(AdditionalVehs!$AA$46:$AK$91,MATCH($C781,AdditionalVehs!$C$46:$C$91,0),MATCH(F$7,AdditionalVehs!$AA$45:$AK$45,0))</f>
        <v>#REF!</v>
      </c>
      <c r="G781" s="86" t="e">
        <f>GDPdeflator!$C$38*INDEX(AdditionalVehs!$AA$46:$AK$91,MATCH($C781,AdditionalVehs!$C$46:$C$91,0),MATCH(G$7,AdditionalVehs!$AA$45:$AK$45,0))</f>
        <v>#REF!</v>
      </c>
      <c r="H781" s="86" t="e">
        <f>GDPdeflator!$C$38*INDEX(AdditionalVehs!$AA$46:$AK$91,MATCH($C781,AdditionalVehs!$C$46:$C$91,0),MATCH(H$7,AdditionalVehs!$AA$45:$AK$45,0))</f>
        <v>#REF!</v>
      </c>
      <c r="I781" s="86" t="e">
        <f>GDPdeflator!$C$38*INDEX(AdditionalVehs!$AA$46:$AK$91,MATCH($C781,AdditionalVehs!$C$46:$C$91,0),MATCH(I$7,AdditionalVehs!$AA$45:$AK$45,0))</f>
        <v>#REF!</v>
      </c>
      <c r="J781" s="86" t="e">
        <f>GDPdeflator!$C$38*INDEX(AdditionalVehs!$AA$46:$AK$91,MATCH($C781,AdditionalVehs!$C$46:$C$91,0),MATCH(J$7,AdditionalVehs!$AA$45:$AK$45,0))</f>
        <v>#REF!</v>
      </c>
      <c r="K781" s="86" t="e">
        <f>GDPdeflator!$C$38*INDEX(AdditionalVehs!$AA$46:$AK$91,MATCH($C781,AdditionalVehs!$C$46:$C$91,0),MATCH(K$7,AdditionalVehs!$AA$45:$AK$45,0))</f>
        <v>#REF!</v>
      </c>
      <c r="L781" s="86" t="e">
        <f>GDPdeflator!$C$38*INDEX(AdditionalVehs!$AA$46:$AK$91,MATCH($C781,AdditionalVehs!$C$46:$C$91,0),MATCH(L$7,AdditionalVehs!$AA$45:$AK$45,0))</f>
        <v>#REF!</v>
      </c>
      <c r="M781" s="86" t="e">
        <f>GDPdeflator!$C$38*INDEX(AdditionalVehs!$AA$46:$AK$91,MATCH($C781,AdditionalVehs!$C$46:$C$91,0),MATCH(M$7,AdditionalVehs!$AA$45:$AK$45,0))</f>
        <v>#REF!</v>
      </c>
      <c r="N781" s="86" t="e">
        <f>GDPdeflator!$C$38*INDEX(AdditionalVehs!$AA$46:$AK$91,MATCH($C781,AdditionalVehs!$C$46:$C$91,0),MATCH(N$7,AdditionalVehs!$AA$45:$AK$45,0))</f>
        <v>#REF!</v>
      </c>
      <c r="O781" s="86" t="e">
        <f>GDPdeflator!$C$38*INDEX(AdditionalVehs!$AA$46:$AK$91,MATCH($C781,AdditionalVehs!$C$46:$C$91,0),MATCH(O$7,AdditionalVehs!$AA$45:$AK$45,0))</f>
        <v>#REF!</v>
      </c>
      <c r="P781" s="87">
        <f t="shared" si="330"/>
        <v>0</v>
      </c>
      <c r="Q781" s="87" t="e">
        <f t="shared" si="329"/>
        <v>#REF!</v>
      </c>
      <c r="R781" s="87" t="e">
        <f t="shared" si="328"/>
        <v>#REF!</v>
      </c>
      <c r="S781" s="87" t="e">
        <f t="shared" si="317"/>
        <v>#REF!</v>
      </c>
      <c r="T781" s="87" t="e">
        <f t="shared" si="318"/>
        <v>#REF!</v>
      </c>
      <c r="U781" s="87" t="e">
        <f t="shared" si="319"/>
        <v>#REF!</v>
      </c>
      <c r="V781" s="87" t="e">
        <f t="shared" si="320"/>
        <v>#REF!</v>
      </c>
      <c r="W781" s="87" t="e">
        <f t="shared" si="321"/>
        <v>#REF!</v>
      </c>
      <c r="X781" s="87" t="e">
        <f t="shared" si="322"/>
        <v>#REF!</v>
      </c>
      <c r="Y781" s="87" t="e">
        <f t="shared" si="323"/>
        <v>#REF!</v>
      </c>
      <c r="Z781" s="87" t="e">
        <f t="shared" si="324"/>
        <v>#REF!</v>
      </c>
      <c r="AA781" s="40">
        <v>473</v>
      </c>
      <c r="AB781" s="89">
        <f>AA781*GDPdeflator!$C$25/$AI$18*10^3</f>
        <v>45.478712808157368</v>
      </c>
      <c r="AC781" s="90" t="e">
        <f>INDEX(AdditionalVehs!$E$46:$N$91,MATCH(C781,AdditionalVehs!$C$46:$C$91),MATCH(D781,AdditionalVehs!$E$45:$N$45))</f>
        <v>#REF!</v>
      </c>
      <c r="AD781" s="90" t="e">
        <f t="shared" si="327"/>
        <v>#REF!</v>
      </c>
      <c r="AE781" s="90" t="e">
        <f>INDEX(AdditionalVehs!$P$46:$Y$91,MATCH(C781,AdditionalVehs!$C$46:$C$91),MATCH(D781,AdditionalVehs!$AA$45:$AJ$45))</f>
        <v>#REF!</v>
      </c>
      <c r="AF781" s="90" t="e">
        <f t="shared" si="312"/>
        <v>#REF!</v>
      </c>
      <c r="AG781" s="90" t="e">
        <f>AdditionalVehs!$C$32</f>
        <v>#REF!</v>
      </c>
    </row>
    <row r="782" spans="1:33" x14ac:dyDescent="0.2">
      <c r="A782" s="92" t="s">
        <v>2410</v>
      </c>
      <c r="B782" s="248" t="s">
        <v>2411</v>
      </c>
      <c r="C782" s="40" t="s">
        <v>2403</v>
      </c>
      <c r="D782" s="40">
        <v>2030</v>
      </c>
      <c r="E782" s="86">
        <f>GDPdeflator!$C$32*INDEX(AdditionalVehs!$AA$46:$AK$91,MATCH($C782,AdditionalVehs!$C$46:$C$91,0),MATCH(E$7,AdditionalVehs!$AA$45:$AK$45,0))</f>
        <v>0</v>
      </c>
      <c r="F782" s="86" t="e">
        <f>GDPdeflator!$C$36*INDEX(AdditionalVehs!$AA$46:$AK$91,MATCH($C782,AdditionalVehs!$C$46:$C$91,0),MATCH(F$7,AdditionalVehs!$AA$45:$AK$45,0))</f>
        <v>#REF!</v>
      </c>
      <c r="G782" s="86" t="e">
        <f>GDPdeflator!$C$38*INDEX(AdditionalVehs!$AA$46:$AK$91,MATCH($C782,AdditionalVehs!$C$46:$C$91,0),MATCH(G$7,AdditionalVehs!$AA$45:$AK$45,0))</f>
        <v>#REF!</v>
      </c>
      <c r="H782" s="86" t="e">
        <f>GDPdeflator!$C$38*INDEX(AdditionalVehs!$AA$46:$AK$91,MATCH($C782,AdditionalVehs!$C$46:$C$91,0),MATCH(H$7,AdditionalVehs!$AA$45:$AK$45,0))</f>
        <v>#REF!</v>
      </c>
      <c r="I782" s="86" t="e">
        <f>GDPdeflator!$C$38*INDEX(AdditionalVehs!$AA$46:$AK$91,MATCH($C782,AdditionalVehs!$C$46:$C$91,0),MATCH(I$7,AdditionalVehs!$AA$45:$AK$45,0))</f>
        <v>#REF!</v>
      </c>
      <c r="J782" s="86" t="e">
        <f>GDPdeflator!$C$38*INDEX(AdditionalVehs!$AA$46:$AK$91,MATCH($C782,AdditionalVehs!$C$46:$C$91,0),MATCH(J$7,AdditionalVehs!$AA$45:$AK$45,0))</f>
        <v>#REF!</v>
      </c>
      <c r="K782" s="86" t="e">
        <f>GDPdeflator!$C$38*INDEX(AdditionalVehs!$AA$46:$AK$91,MATCH($C782,AdditionalVehs!$C$46:$C$91,0),MATCH(K$7,AdditionalVehs!$AA$45:$AK$45,0))</f>
        <v>#REF!</v>
      </c>
      <c r="L782" s="86" t="e">
        <f>GDPdeflator!$C$38*INDEX(AdditionalVehs!$AA$46:$AK$91,MATCH($C782,AdditionalVehs!$C$46:$C$91,0),MATCH(L$7,AdditionalVehs!$AA$45:$AK$45,0))</f>
        <v>#REF!</v>
      </c>
      <c r="M782" s="86" t="e">
        <f>GDPdeflator!$C$38*INDEX(AdditionalVehs!$AA$46:$AK$91,MATCH($C782,AdditionalVehs!$C$46:$C$91,0),MATCH(M$7,AdditionalVehs!$AA$45:$AK$45,0))</f>
        <v>#REF!</v>
      </c>
      <c r="N782" s="86" t="e">
        <f>GDPdeflator!$C$38*INDEX(AdditionalVehs!$AA$46:$AK$91,MATCH($C782,AdditionalVehs!$C$46:$C$91,0),MATCH(N$7,AdditionalVehs!$AA$45:$AK$45,0))</f>
        <v>#REF!</v>
      </c>
      <c r="O782" s="86" t="e">
        <f>GDPdeflator!$C$38*INDEX(AdditionalVehs!$AA$46:$AK$91,MATCH($C782,AdditionalVehs!$C$46:$C$91,0),MATCH(O$7,AdditionalVehs!$AA$45:$AK$45,0))</f>
        <v>#REF!</v>
      </c>
      <c r="P782" s="87">
        <f t="shared" si="330"/>
        <v>0</v>
      </c>
      <c r="Q782" s="87" t="e">
        <f t="shared" si="329"/>
        <v>#REF!</v>
      </c>
      <c r="R782" s="87" t="e">
        <f t="shared" si="328"/>
        <v>#REF!</v>
      </c>
      <c r="S782" s="87" t="e">
        <f t="shared" si="317"/>
        <v>#REF!</v>
      </c>
      <c r="T782" s="87" t="e">
        <f t="shared" si="318"/>
        <v>#REF!</v>
      </c>
      <c r="U782" s="87" t="e">
        <f t="shared" si="319"/>
        <v>#REF!</v>
      </c>
      <c r="V782" s="87" t="e">
        <f t="shared" si="320"/>
        <v>#REF!</v>
      </c>
      <c r="W782" s="87" t="e">
        <f t="shared" si="321"/>
        <v>#REF!</v>
      </c>
      <c r="X782" s="87" t="e">
        <f t="shared" si="322"/>
        <v>#REF!</v>
      </c>
      <c r="Y782" s="87" t="e">
        <f t="shared" si="323"/>
        <v>#REF!</v>
      </c>
      <c r="Z782" s="87" t="e">
        <f t="shared" si="324"/>
        <v>#REF!</v>
      </c>
      <c r="AA782" s="40">
        <v>473</v>
      </c>
      <c r="AB782" s="89">
        <f>AA782*GDPdeflator!$C$25/$AI$18*10^3</f>
        <v>45.478712808157368</v>
      </c>
      <c r="AC782" s="90" t="e">
        <f>INDEX(AdditionalVehs!$E$46:$N$91,MATCH(C782,AdditionalVehs!$C$46:$C$91),MATCH(D782,AdditionalVehs!$E$45:$N$45))</f>
        <v>#REF!</v>
      </c>
      <c r="AD782" s="90" t="e">
        <f t="shared" si="327"/>
        <v>#REF!</v>
      </c>
      <c r="AE782" s="90" t="e">
        <f>INDEX(AdditionalVehs!$P$46:$Y$91,MATCH(C782,AdditionalVehs!$C$46:$C$91),MATCH(D782,AdditionalVehs!$AA$45:$AJ$45))</f>
        <v>#REF!</v>
      </c>
      <c r="AF782" s="90" t="e">
        <f t="shared" si="312"/>
        <v>#REF!</v>
      </c>
      <c r="AG782" s="90" t="e">
        <f>AdditionalVehs!$C$32</f>
        <v>#REF!</v>
      </c>
    </row>
    <row r="783" spans="1:33" x14ac:dyDescent="0.2">
      <c r="A783" s="92" t="s">
        <v>2412</v>
      </c>
      <c r="B783" s="248" t="s">
        <v>2413</v>
      </c>
      <c r="C783" s="40" t="s">
        <v>2403</v>
      </c>
      <c r="D783" s="40">
        <v>2035</v>
      </c>
      <c r="E783" s="86">
        <f>GDPdeflator!$C$32*INDEX(AdditionalVehs!$AA$46:$AK$91,MATCH($C783,AdditionalVehs!$C$46:$C$91,0),MATCH(E$7,AdditionalVehs!$AA$45:$AK$45,0))</f>
        <v>0</v>
      </c>
      <c r="F783" s="86" t="e">
        <f>GDPdeflator!$C$36*INDEX(AdditionalVehs!$AA$46:$AK$91,MATCH($C783,AdditionalVehs!$C$46:$C$91,0),MATCH(F$7,AdditionalVehs!$AA$45:$AK$45,0))</f>
        <v>#REF!</v>
      </c>
      <c r="G783" s="86" t="e">
        <f>GDPdeflator!$C$38*INDEX(AdditionalVehs!$AA$46:$AK$91,MATCH($C783,AdditionalVehs!$C$46:$C$91,0),MATCH(G$7,AdditionalVehs!$AA$45:$AK$45,0))</f>
        <v>#REF!</v>
      </c>
      <c r="H783" s="86" t="e">
        <f>GDPdeflator!$C$38*INDEX(AdditionalVehs!$AA$46:$AK$91,MATCH($C783,AdditionalVehs!$C$46:$C$91,0),MATCH(H$7,AdditionalVehs!$AA$45:$AK$45,0))</f>
        <v>#REF!</v>
      </c>
      <c r="I783" s="86" t="e">
        <f>GDPdeflator!$C$38*INDEX(AdditionalVehs!$AA$46:$AK$91,MATCH($C783,AdditionalVehs!$C$46:$C$91,0),MATCH(I$7,AdditionalVehs!$AA$45:$AK$45,0))</f>
        <v>#REF!</v>
      </c>
      <c r="J783" s="86" t="e">
        <f>GDPdeflator!$C$38*INDEX(AdditionalVehs!$AA$46:$AK$91,MATCH($C783,AdditionalVehs!$C$46:$C$91,0),MATCH(J$7,AdditionalVehs!$AA$45:$AK$45,0))</f>
        <v>#REF!</v>
      </c>
      <c r="K783" s="86" t="e">
        <f>GDPdeflator!$C$38*INDEX(AdditionalVehs!$AA$46:$AK$91,MATCH($C783,AdditionalVehs!$C$46:$C$91,0),MATCH(K$7,AdditionalVehs!$AA$45:$AK$45,0))</f>
        <v>#REF!</v>
      </c>
      <c r="L783" s="86" t="e">
        <f>GDPdeflator!$C$38*INDEX(AdditionalVehs!$AA$46:$AK$91,MATCH($C783,AdditionalVehs!$C$46:$C$91,0),MATCH(L$7,AdditionalVehs!$AA$45:$AK$45,0))</f>
        <v>#REF!</v>
      </c>
      <c r="M783" s="86" t="e">
        <f>GDPdeflator!$C$38*INDEX(AdditionalVehs!$AA$46:$AK$91,MATCH($C783,AdditionalVehs!$C$46:$C$91,0),MATCH(M$7,AdditionalVehs!$AA$45:$AK$45,0))</f>
        <v>#REF!</v>
      </c>
      <c r="N783" s="86" t="e">
        <f>GDPdeflator!$C$38*INDEX(AdditionalVehs!$AA$46:$AK$91,MATCH($C783,AdditionalVehs!$C$46:$C$91,0),MATCH(N$7,AdditionalVehs!$AA$45:$AK$45,0))</f>
        <v>#REF!</v>
      </c>
      <c r="O783" s="86" t="e">
        <f>GDPdeflator!$C$38*INDEX(AdditionalVehs!$AA$46:$AK$91,MATCH($C783,AdditionalVehs!$C$46:$C$91,0),MATCH(O$7,AdditionalVehs!$AA$45:$AK$45,0))</f>
        <v>#REF!</v>
      </c>
      <c r="P783" s="87">
        <f t="shared" si="330"/>
        <v>0</v>
      </c>
      <c r="Q783" s="87" t="e">
        <f t="shared" si="329"/>
        <v>#REF!</v>
      </c>
      <c r="R783" s="87" t="e">
        <f t="shared" si="328"/>
        <v>#REF!</v>
      </c>
      <c r="S783" s="87" t="e">
        <f t="shared" si="317"/>
        <v>#REF!</v>
      </c>
      <c r="T783" s="87" t="e">
        <f t="shared" si="318"/>
        <v>#REF!</v>
      </c>
      <c r="U783" s="87" t="e">
        <f t="shared" si="319"/>
        <v>#REF!</v>
      </c>
      <c r="V783" s="87" t="e">
        <f t="shared" si="320"/>
        <v>#REF!</v>
      </c>
      <c r="W783" s="87" t="e">
        <f t="shared" si="321"/>
        <v>#REF!</v>
      </c>
      <c r="X783" s="87" t="e">
        <f t="shared" si="322"/>
        <v>#REF!</v>
      </c>
      <c r="Y783" s="87" t="e">
        <f t="shared" si="323"/>
        <v>#REF!</v>
      </c>
      <c r="Z783" s="87" t="e">
        <f t="shared" si="324"/>
        <v>#REF!</v>
      </c>
      <c r="AA783" s="40">
        <v>473</v>
      </c>
      <c r="AB783" s="89">
        <f>AA783*GDPdeflator!$C$25/$AI$18*10^3</f>
        <v>45.478712808157368</v>
      </c>
      <c r="AC783" s="90" t="e">
        <f>INDEX(AdditionalVehs!$E$46:$N$91,MATCH(C783,AdditionalVehs!$C$46:$C$91),MATCH(D783,AdditionalVehs!$E$45:$N$45))</f>
        <v>#REF!</v>
      </c>
      <c r="AD783" s="90" t="e">
        <f t="shared" si="327"/>
        <v>#REF!</v>
      </c>
      <c r="AE783" s="90" t="e">
        <f>INDEX(AdditionalVehs!$P$46:$Y$91,MATCH(C783,AdditionalVehs!$C$46:$C$91),MATCH(D783,AdditionalVehs!$AA$45:$AJ$45))</f>
        <v>#REF!</v>
      </c>
      <c r="AF783" s="90" t="e">
        <f t="shared" si="312"/>
        <v>#REF!</v>
      </c>
      <c r="AG783" s="90" t="e">
        <f>AdditionalVehs!$C$32</f>
        <v>#REF!</v>
      </c>
    </row>
    <row r="784" spans="1:33" x14ac:dyDescent="0.2">
      <c r="A784" s="92" t="s">
        <v>2414</v>
      </c>
      <c r="B784" s="248" t="s">
        <v>2415</v>
      </c>
      <c r="C784" s="40" t="s">
        <v>2403</v>
      </c>
      <c r="D784" s="40">
        <v>2040</v>
      </c>
      <c r="E784" s="86">
        <f>GDPdeflator!$C$32*INDEX(AdditionalVehs!$AA$46:$AK$91,MATCH($C784,AdditionalVehs!$C$46:$C$91,0),MATCH(E$7,AdditionalVehs!$AA$45:$AK$45,0))</f>
        <v>0</v>
      </c>
      <c r="F784" s="86" t="e">
        <f>GDPdeflator!$C$36*INDEX(AdditionalVehs!$AA$46:$AK$91,MATCH($C784,AdditionalVehs!$C$46:$C$91,0),MATCH(F$7,AdditionalVehs!$AA$45:$AK$45,0))</f>
        <v>#REF!</v>
      </c>
      <c r="G784" s="86" t="e">
        <f>GDPdeflator!$C$38*INDEX(AdditionalVehs!$AA$46:$AK$91,MATCH($C784,AdditionalVehs!$C$46:$C$91,0),MATCH(G$7,AdditionalVehs!$AA$45:$AK$45,0))</f>
        <v>#REF!</v>
      </c>
      <c r="H784" s="86" t="e">
        <f>GDPdeflator!$C$38*INDEX(AdditionalVehs!$AA$46:$AK$91,MATCH($C784,AdditionalVehs!$C$46:$C$91,0),MATCH(H$7,AdditionalVehs!$AA$45:$AK$45,0))</f>
        <v>#REF!</v>
      </c>
      <c r="I784" s="86" t="e">
        <f>GDPdeflator!$C$38*INDEX(AdditionalVehs!$AA$46:$AK$91,MATCH($C784,AdditionalVehs!$C$46:$C$91,0),MATCH(I$7,AdditionalVehs!$AA$45:$AK$45,0))</f>
        <v>#REF!</v>
      </c>
      <c r="J784" s="86" t="e">
        <f>GDPdeflator!$C$38*INDEX(AdditionalVehs!$AA$46:$AK$91,MATCH($C784,AdditionalVehs!$C$46:$C$91,0),MATCH(J$7,AdditionalVehs!$AA$45:$AK$45,0))</f>
        <v>#REF!</v>
      </c>
      <c r="K784" s="86" t="e">
        <f>GDPdeflator!$C$38*INDEX(AdditionalVehs!$AA$46:$AK$91,MATCH($C784,AdditionalVehs!$C$46:$C$91,0),MATCH(K$7,AdditionalVehs!$AA$45:$AK$45,0))</f>
        <v>#REF!</v>
      </c>
      <c r="L784" s="86" t="e">
        <f>GDPdeflator!$C$38*INDEX(AdditionalVehs!$AA$46:$AK$91,MATCH($C784,AdditionalVehs!$C$46:$C$91,0),MATCH(L$7,AdditionalVehs!$AA$45:$AK$45,0))</f>
        <v>#REF!</v>
      </c>
      <c r="M784" s="86" t="e">
        <f>GDPdeflator!$C$38*INDEX(AdditionalVehs!$AA$46:$AK$91,MATCH($C784,AdditionalVehs!$C$46:$C$91,0),MATCH(M$7,AdditionalVehs!$AA$45:$AK$45,0))</f>
        <v>#REF!</v>
      </c>
      <c r="N784" s="86" t="e">
        <f>GDPdeflator!$C$38*INDEX(AdditionalVehs!$AA$46:$AK$91,MATCH($C784,AdditionalVehs!$C$46:$C$91,0),MATCH(N$7,AdditionalVehs!$AA$45:$AK$45,0))</f>
        <v>#REF!</v>
      </c>
      <c r="O784" s="86" t="e">
        <f>GDPdeflator!$C$38*INDEX(AdditionalVehs!$AA$46:$AK$91,MATCH($C784,AdditionalVehs!$C$46:$C$91,0),MATCH(O$7,AdditionalVehs!$AA$45:$AK$45,0))</f>
        <v>#REF!</v>
      </c>
      <c r="P784" s="87">
        <f t="shared" si="330"/>
        <v>0</v>
      </c>
      <c r="Q784" s="87" t="e">
        <f t="shared" si="329"/>
        <v>#REF!</v>
      </c>
      <c r="R784" s="87" t="e">
        <f t="shared" si="328"/>
        <v>#REF!</v>
      </c>
      <c r="S784" s="87" t="e">
        <f t="shared" si="317"/>
        <v>#REF!</v>
      </c>
      <c r="T784" s="87" t="e">
        <f t="shared" si="318"/>
        <v>#REF!</v>
      </c>
      <c r="U784" s="87" t="e">
        <f t="shared" si="319"/>
        <v>#REF!</v>
      </c>
      <c r="V784" s="87" t="e">
        <f t="shared" si="320"/>
        <v>#REF!</v>
      </c>
      <c r="W784" s="87" t="e">
        <f t="shared" si="321"/>
        <v>#REF!</v>
      </c>
      <c r="X784" s="87" t="e">
        <f t="shared" si="322"/>
        <v>#REF!</v>
      </c>
      <c r="Y784" s="87" t="e">
        <f t="shared" si="323"/>
        <v>#REF!</v>
      </c>
      <c r="Z784" s="87" t="e">
        <f t="shared" si="324"/>
        <v>#REF!</v>
      </c>
      <c r="AA784" s="40">
        <v>473</v>
      </c>
      <c r="AB784" s="89">
        <f>AA784*GDPdeflator!$C$25/$AI$18*10^3</f>
        <v>45.478712808157368</v>
      </c>
      <c r="AC784" s="90" t="e">
        <f>INDEX(AdditionalVehs!$E$46:$N$91,MATCH(C784,AdditionalVehs!$C$46:$C$91),MATCH(D784,AdditionalVehs!$E$45:$N$45))</f>
        <v>#REF!</v>
      </c>
      <c r="AD784" s="90" t="e">
        <f t="shared" si="327"/>
        <v>#REF!</v>
      </c>
      <c r="AE784" s="90" t="e">
        <f>INDEX(AdditionalVehs!$P$46:$Y$91,MATCH(C784,AdditionalVehs!$C$46:$C$91),MATCH(D784,AdditionalVehs!$AA$45:$AJ$45))</f>
        <v>#REF!</v>
      </c>
      <c r="AF784" s="90" t="e">
        <f t="shared" ref="AF784:AF847" si="331">AE784/($AI$11*$AI$15*10 ^ 9)</f>
        <v>#REF!</v>
      </c>
      <c r="AG784" s="90" t="e">
        <f>AdditionalVehs!$C$32</f>
        <v>#REF!</v>
      </c>
    </row>
    <row r="785" spans="1:33" x14ac:dyDescent="0.2">
      <c r="A785" s="92" t="s">
        <v>2416</v>
      </c>
      <c r="B785" s="248" t="s">
        <v>2417</v>
      </c>
      <c r="C785" s="40" t="s">
        <v>2403</v>
      </c>
      <c r="D785" s="40">
        <v>2045</v>
      </c>
      <c r="E785" s="86">
        <f>GDPdeflator!$C$32*INDEX(AdditionalVehs!$AA$46:$AK$91,MATCH($C785,AdditionalVehs!$C$46:$C$91,0),MATCH(E$7,AdditionalVehs!$AA$45:$AK$45,0))</f>
        <v>0</v>
      </c>
      <c r="F785" s="86" t="e">
        <f>GDPdeflator!$C$36*INDEX(AdditionalVehs!$AA$46:$AK$91,MATCH($C785,AdditionalVehs!$C$46:$C$91,0),MATCH(F$7,AdditionalVehs!$AA$45:$AK$45,0))</f>
        <v>#REF!</v>
      </c>
      <c r="G785" s="86" t="e">
        <f>GDPdeflator!$C$38*INDEX(AdditionalVehs!$AA$46:$AK$91,MATCH($C785,AdditionalVehs!$C$46:$C$91,0),MATCH(G$7,AdditionalVehs!$AA$45:$AK$45,0))</f>
        <v>#REF!</v>
      </c>
      <c r="H785" s="86" t="e">
        <f>GDPdeflator!$C$38*INDEX(AdditionalVehs!$AA$46:$AK$91,MATCH($C785,AdditionalVehs!$C$46:$C$91,0),MATCH(H$7,AdditionalVehs!$AA$45:$AK$45,0))</f>
        <v>#REF!</v>
      </c>
      <c r="I785" s="86" t="e">
        <f>GDPdeflator!$C$38*INDEX(AdditionalVehs!$AA$46:$AK$91,MATCH($C785,AdditionalVehs!$C$46:$C$91,0),MATCH(I$7,AdditionalVehs!$AA$45:$AK$45,0))</f>
        <v>#REF!</v>
      </c>
      <c r="J785" s="86" t="e">
        <f>GDPdeflator!$C$38*INDEX(AdditionalVehs!$AA$46:$AK$91,MATCH($C785,AdditionalVehs!$C$46:$C$91,0),MATCH(J$7,AdditionalVehs!$AA$45:$AK$45,0))</f>
        <v>#REF!</v>
      </c>
      <c r="K785" s="86" t="e">
        <f>GDPdeflator!$C$38*INDEX(AdditionalVehs!$AA$46:$AK$91,MATCH($C785,AdditionalVehs!$C$46:$C$91,0),MATCH(K$7,AdditionalVehs!$AA$45:$AK$45,0))</f>
        <v>#REF!</v>
      </c>
      <c r="L785" s="86" t="e">
        <f>GDPdeflator!$C$38*INDEX(AdditionalVehs!$AA$46:$AK$91,MATCH($C785,AdditionalVehs!$C$46:$C$91,0),MATCH(L$7,AdditionalVehs!$AA$45:$AK$45,0))</f>
        <v>#REF!</v>
      </c>
      <c r="M785" s="86" t="e">
        <f>GDPdeflator!$C$38*INDEX(AdditionalVehs!$AA$46:$AK$91,MATCH($C785,AdditionalVehs!$C$46:$C$91,0),MATCH(M$7,AdditionalVehs!$AA$45:$AK$45,0))</f>
        <v>#REF!</v>
      </c>
      <c r="N785" s="86" t="e">
        <f>GDPdeflator!$C$38*INDEX(AdditionalVehs!$AA$46:$AK$91,MATCH($C785,AdditionalVehs!$C$46:$C$91,0),MATCH(N$7,AdditionalVehs!$AA$45:$AK$45,0))</f>
        <v>#REF!</v>
      </c>
      <c r="O785" s="86" t="e">
        <f>GDPdeflator!$C$38*INDEX(AdditionalVehs!$AA$46:$AK$91,MATCH($C785,AdditionalVehs!$C$46:$C$91,0),MATCH(O$7,AdditionalVehs!$AA$45:$AK$45,0))</f>
        <v>#REF!</v>
      </c>
      <c r="P785" s="87">
        <f t="shared" si="330"/>
        <v>0</v>
      </c>
      <c r="Q785" s="87" t="e">
        <f t="shared" si="329"/>
        <v>#REF!</v>
      </c>
      <c r="R785" s="87" t="e">
        <f t="shared" si="328"/>
        <v>#REF!</v>
      </c>
      <c r="S785" s="87" t="e">
        <f t="shared" si="317"/>
        <v>#REF!</v>
      </c>
      <c r="T785" s="87" t="e">
        <f t="shared" si="318"/>
        <v>#REF!</v>
      </c>
      <c r="U785" s="87" t="e">
        <f t="shared" si="319"/>
        <v>#REF!</v>
      </c>
      <c r="V785" s="87" t="e">
        <f t="shared" si="320"/>
        <v>#REF!</v>
      </c>
      <c r="W785" s="87" t="e">
        <f t="shared" si="321"/>
        <v>#REF!</v>
      </c>
      <c r="X785" s="87" t="e">
        <f t="shared" si="322"/>
        <v>#REF!</v>
      </c>
      <c r="Y785" s="87" t="e">
        <f t="shared" si="323"/>
        <v>#REF!</v>
      </c>
      <c r="Z785" s="87" t="e">
        <f t="shared" si="324"/>
        <v>#REF!</v>
      </c>
      <c r="AA785" s="40">
        <v>473</v>
      </c>
      <c r="AB785" s="89">
        <f>AA785*GDPdeflator!$C$25/$AI$18*10^3</f>
        <v>45.478712808157368</v>
      </c>
      <c r="AC785" s="90" t="e">
        <f>INDEX(AdditionalVehs!$E$46:$N$91,MATCH(C785,AdditionalVehs!$C$46:$C$91),MATCH(D785,AdditionalVehs!$E$45:$N$45))</f>
        <v>#REF!</v>
      </c>
      <c r="AD785" s="90" t="e">
        <f t="shared" si="327"/>
        <v>#REF!</v>
      </c>
      <c r="AE785" s="90" t="e">
        <f>INDEX(AdditionalVehs!$P$46:$Y$91,MATCH(C785,AdditionalVehs!$C$46:$C$91),MATCH(D785,AdditionalVehs!$AA$45:$AJ$45))</f>
        <v>#REF!</v>
      </c>
      <c r="AF785" s="90" t="e">
        <f t="shared" si="331"/>
        <v>#REF!</v>
      </c>
      <c r="AG785" s="90" t="e">
        <f>AdditionalVehs!$C$32</f>
        <v>#REF!</v>
      </c>
    </row>
    <row r="786" spans="1:33" x14ac:dyDescent="0.2">
      <c r="A786" s="92" t="s">
        <v>2418</v>
      </c>
      <c r="B786" s="248" t="s">
        <v>2419</v>
      </c>
      <c r="C786" s="40" t="s">
        <v>2403</v>
      </c>
      <c r="D786" s="40">
        <v>2050</v>
      </c>
      <c r="E786" s="86">
        <f>GDPdeflator!$C$32*INDEX(AdditionalVehs!$AA$46:$AK$91,MATCH($C786,AdditionalVehs!$C$46:$C$91,0),MATCH(E$7,AdditionalVehs!$AA$45:$AK$45,0))</f>
        <v>0</v>
      </c>
      <c r="F786" s="86" t="e">
        <f>GDPdeflator!$C$36*INDEX(AdditionalVehs!$AA$46:$AK$91,MATCH($C786,AdditionalVehs!$C$46:$C$91,0),MATCH(F$7,AdditionalVehs!$AA$45:$AK$45,0))</f>
        <v>#REF!</v>
      </c>
      <c r="G786" s="86" t="e">
        <f>GDPdeflator!$C$38*INDEX(AdditionalVehs!$AA$46:$AK$91,MATCH($C786,AdditionalVehs!$C$46:$C$91,0),MATCH(G$7,AdditionalVehs!$AA$45:$AK$45,0))</f>
        <v>#REF!</v>
      </c>
      <c r="H786" s="86" t="e">
        <f>GDPdeflator!$C$38*INDEX(AdditionalVehs!$AA$46:$AK$91,MATCH($C786,AdditionalVehs!$C$46:$C$91,0),MATCH(H$7,AdditionalVehs!$AA$45:$AK$45,0))</f>
        <v>#REF!</v>
      </c>
      <c r="I786" s="86" t="e">
        <f>GDPdeflator!$C$38*INDEX(AdditionalVehs!$AA$46:$AK$91,MATCH($C786,AdditionalVehs!$C$46:$C$91,0),MATCH(I$7,AdditionalVehs!$AA$45:$AK$45,0))</f>
        <v>#REF!</v>
      </c>
      <c r="J786" s="86" t="e">
        <f>GDPdeflator!$C$38*INDEX(AdditionalVehs!$AA$46:$AK$91,MATCH($C786,AdditionalVehs!$C$46:$C$91,0),MATCH(J$7,AdditionalVehs!$AA$45:$AK$45,0))</f>
        <v>#REF!</v>
      </c>
      <c r="K786" s="86" t="e">
        <f>GDPdeflator!$C$38*INDEX(AdditionalVehs!$AA$46:$AK$91,MATCH($C786,AdditionalVehs!$C$46:$C$91,0),MATCH(K$7,AdditionalVehs!$AA$45:$AK$45,0))</f>
        <v>#REF!</v>
      </c>
      <c r="L786" s="86" t="e">
        <f>GDPdeflator!$C$38*INDEX(AdditionalVehs!$AA$46:$AK$91,MATCH($C786,AdditionalVehs!$C$46:$C$91,0),MATCH(L$7,AdditionalVehs!$AA$45:$AK$45,0))</f>
        <v>#REF!</v>
      </c>
      <c r="M786" s="86" t="e">
        <f>GDPdeflator!$C$38*INDEX(AdditionalVehs!$AA$46:$AK$91,MATCH($C786,AdditionalVehs!$C$46:$C$91,0),MATCH(M$7,AdditionalVehs!$AA$45:$AK$45,0))</f>
        <v>#REF!</v>
      </c>
      <c r="N786" s="86" t="e">
        <f>GDPdeflator!$C$38*INDEX(AdditionalVehs!$AA$46:$AK$91,MATCH($C786,AdditionalVehs!$C$46:$C$91,0),MATCH(N$7,AdditionalVehs!$AA$45:$AK$45,0))</f>
        <v>#REF!</v>
      </c>
      <c r="O786" s="86" t="e">
        <f>GDPdeflator!$C$38*INDEX(AdditionalVehs!$AA$46:$AK$91,MATCH($C786,AdditionalVehs!$C$46:$C$91,0),MATCH(O$7,AdditionalVehs!$AA$45:$AK$45,0))</f>
        <v>#REF!</v>
      </c>
      <c r="P786" s="87">
        <f t="shared" si="330"/>
        <v>0</v>
      </c>
      <c r="Q786" s="87" t="e">
        <f t="shared" si="329"/>
        <v>#REF!</v>
      </c>
      <c r="R786" s="87" t="e">
        <f t="shared" si="328"/>
        <v>#REF!</v>
      </c>
      <c r="S786" s="87" t="e">
        <f t="shared" si="317"/>
        <v>#REF!</v>
      </c>
      <c r="T786" s="87" t="e">
        <f t="shared" si="318"/>
        <v>#REF!</v>
      </c>
      <c r="U786" s="87" t="e">
        <f t="shared" si="319"/>
        <v>#REF!</v>
      </c>
      <c r="V786" s="87" t="e">
        <f t="shared" si="320"/>
        <v>#REF!</v>
      </c>
      <c r="W786" s="87" t="e">
        <f t="shared" si="321"/>
        <v>#REF!</v>
      </c>
      <c r="X786" s="87" t="e">
        <f t="shared" si="322"/>
        <v>#REF!</v>
      </c>
      <c r="Y786" s="87" t="e">
        <f t="shared" si="323"/>
        <v>#REF!</v>
      </c>
      <c r="Z786" s="87" t="e">
        <f t="shared" si="324"/>
        <v>#REF!</v>
      </c>
      <c r="AA786" s="40">
        <v>473</v>
      </c>
      <c r="AB786" s="89">
        <f>AA786*GDPdeflator!$C$25/$AI$18*10^3</f>
        <v>45.478712808157368</v>
      </c>
      <c r="AC786" s="90" t="e">
        <f>INDEX(AdditionalVehs!$E$46:$N$91,MATCH(C786,AdditionalVehs!$C$46:$C$91),MATCH(D786,AdditionalVehs!$E$45:$N$45))</f>
        <v>#REF!</v>
      </c>
      <c r="AD786" s="90" t="e">
        <f t="shared" si="327"/>
        <v>#REF!</v>
      </c>
      <c r="AE786" s="90" t="e">
        <f>INDEX(AdditionalVehs!$P$46:$Y$91,MATCH(C786,AdditionalVehs!$C$46:$C$91),MATCH(D786,AdditionalVehs!$AA$45:$AJ$45))</f>
        <v>#REF!</v>
      </c>
      <c r="AF786" s="90" t="e">
        <f t="shared" si="331"/>
        <v>#REF!</v>
      </c>
      <c r="AG786" s="90" t="e">
        <f>AdditionalVehs!$C$32</f>
        <v>#REF!</v>
      </c>
    </row>
    <row r="787" spans="1:33" x14ac:dyDescent="0.2">
      <c r="A787" s="92" t="s">
        <v>2420</v>
      </c>
      <c r="B787" s="248" t="s">
        <v>2421</v>
      </c>
      <c r="C787" s="40" t="s">
        <v>2422</v>
      </c>
      <c r="D787" s="40">
        <v>2010</v>
      </c>
      <c r="E787" s="86">
        <f>GDPdeflator!$C$32*INDEX(AdditionalVehs!$AA$46:$AK$91,MATCH($C787,AdditionalVehs!$C$46:$C$91,0),MATCH(E$7,AdditionalVehs!$AA$45:$AK$45,0))</f>
        <v>0</v>
      </c>
      <c r="F787" s="86" t="e">
        <f>GDPdeflator!$C$36*INDEX(AdditionalVehs!$AA$46:$AK$91,MATCH($C787,AdditionalVehs!$C$46:$C$91,0),MATCH(F$7,AdditionalVehs!$AA$45:$AK$45,0))</f>
        <v>#REF!</v>
      </c>
      <c r="G787" s="86" t="e">
        <f>GDPdeflator!$C$38*INDEX(AdditionalVehs!$AA$46:$AK$91,MATCH($C787,AdditionalVehs!$C$46:$C$91,0),MATCH(G$7,AdditionalVehs!$AA$45:$AK$45,0))</f>
        <v>#REF!</v>
      </c>
      <c r="H787" s="86" t="e">
        <f>GDPdeflator!$C$38*INDEX(AdditionalVehs!$AA$46:$AK$91,MATCH($C787,AdditionalVehs!$C$46:$C$91,0),MATCH(H$7,AdditionalVehs!$AA$45:$AK$45,0))</f>
        <v>#REF!</v>
      </c>
      <c r="I787" s="86" t="e">
        <f>GDPdeflator!$C$38*INDEX(AdditionalVehs!$AA$46:$AK$91,MATCH($C787,AdditionalVehs!$C$46:$C$91,0),MATCH(I$7,AdditionalVehs!$AA$45:$AK$45,0))</f>
        <v>#REF!</v>
      </c>
      <c r="J787" s="86" t="e">
        <f>GDPdeflator!$C$38*INDEX(AdditionalVehs!$AA$46:$AK$91,MATCH($C787,AdditionalVehs!$C$46:$C$91,0),MATCH(J$7,AdditionalVehs!$AA$45:$AK$45,0))</f>
        <v>#REF!</v>
      </c>
      <c r="K787" s="86" t="e">
        <f>GDPdeflator!$C$38*INDEX(AdditionalVehs!$AA$46:$AK$91,MATCH($C787,AdditionalVehs!$C$46:$C$91,0),MATCH(K$7,AdditionalVehs!$AA$45:$AK$45,0))</f>
        <v>#REF!</v>
      </c>
      <c r="L787" s="86" t="e">
        <f>GDPdeflator!$C$38*INDEX(AdditionalVehs!$AA$46:$AK$91,MATCH($C787,AdditionalVehs!$C$46:$C$91,0),MATCH(L$7,AdditionalVehs!$AA$45:$AK$45,0))</f>
        <v>#REF!</v>
      </c>
      <c r="M787" s="86" t="e">
        <f>GDPdeflator!$C$38*INDEX(AdditionalVehs!$AA$46:$AK$91,MATCH($C787,AdditionalVehs!$C$46:$C$91,0),MATCH(M$7,AdditionalVehs!$AA$45:$AK$45,0))</f>
        <v>#REF!</v>
      </c>
      <c r="N787" s="86" t="e">
        <f>GDPdeflator!$C$38*INDEX(AdditionalVehs!$AA$46:$AK$91,MATCH($C787,AdditionalVehs!$C$46:$C$91,0),MATCH(N$7,AdditionalVehs!$AA$45:$AK$45,0))</f>
        <v>#REF!</v>
      </c>
      <c r="O787" s="86" t="e">
        <f>GDPdeflator!$C$38*INDEX(AdditionalVehs!$AA$46:$AK$91,MATCH($C787,AdditionalVehs!$C$46:$C$91,0),MATCH(O$7,AdditionalVehs!$AA$45:$AK$45,0))</f>
        <v>#REF!</v>
      </c>
      <c r="P787" s="87">
        <f>E787/$AI$18*10^6</f>
        <v>0</v>
      </c>
      <c r="Q787" s="87" t="e">
        <f t="shared" si="329"/>
        <v>#REF!</v>
      </c>
      <c r="R787" s="87" t="e">
        <f t="shared" si="328"/>
        <v>#REF!</v>
      </c>
      <c r="S787" s="87" t="e">
        <f t="shared" si="317"/>
        <v>#REF!</v>
      </c>
      <c r="T787" s="87" t="e">
        <f t="shared" si="318"/>
        <v>#REF!</v>
      </c>
      <c r="U787" s="87" t="e">
        <f t="shared" si="319"/>
        <v>#REF!</v>
      </c>
      <c r="V787" s="87" t="e">
        <f t="shared" si="320"/>
        <v>#REF!</v>
      </c>
      <c r="W787" s="87" t="e">
        <f t="shared" si="321"/>
        <v>#REF!</v>
      </c>
      <c r="X787" s="87" t="e">
        <f t="shared" si="322"/>
        <v>#REF!</v>
      </c>
      <c r="Y787" s="87" t="e">
        <f t="shared" si="323"/>
        <v>#REF!</v>
      </c>
      <c r="Z787" s="87" t="e">
        <f t="shared" si="324"/>
        <v>#REF!</v>
      </c>
      <c r="AA787" s="40">
        <v>473</v>
      </c>
      <c r="AB787" s="89">
        <f>AA787*GDPdeflator!$C$25/$AI$18*10^3</f>
        <v>45.478712808157368</v>
      </c>
      <c r="AC787" s="90" t="e">
        <f>INDEX(AdditionalVehs!$E$46:$N$91,MATCH(C787,AdditionalVehs!$C$46:$C$91),MATCH(D787,AdditionalVehs!$E$45:$N$45))</f>
        <v>#REF!</v>
      </c>
      <c r="AD787" s="90" t="e">
        <f t="shared" si="327"/>
        <v>#REF!</v>
      </c>
      <c r="AE787" s="90" t="e">
        <f>INDEX(AdditionalVehs!$P$46:$Y$91,MATCH(C787,AdditionalVehs!$C$46:$C$91),MATCH(D787,AdditionalVehs!$AA$45:$AJ$45))</f>
        <v>#REF!</v>
      </c>
      <c r="AF787" s="90" t="e">
        <f t="shared" si="331"/>
        <v>#REF!</v>
      </c>
      <c r="AG787" s="90" t="e">
        <f>AdditionalVehs!$C$32</f>
        <v>#REF!</v>
      </c>
    </row>
    <row r="788" spans="1:33" x14ac:dyDescent="0.2">
      <c r="A788" s="92" t="s">
        <v>2423</v>
      </c>
      <c r="B788" s="248" t="s">
        <v>2424</v>
      </c>
      <c r="C788" s="40" t="s">
        <v>2422</v>
      </c>
      <c r="D788" s="40">
        <v>2015</v>
      </c>
      <c r="E788" s="86">
        <f>GDPdeflator!$C$32*INDEX(AdditionalVehs!$AA$46:$AK$91,MATCH($C788,AdditionalVehs!$C$46:$C$91,0),MATCH(E$7,AdditionalVehs!$AA$45:$AK$45,0))</f>
        <v>0</v>
      </c>
      <c r="F788" s="86" t="e">
        <f>GDPdeflator!$C$36*INDEX(AdditionalVehs!$AA$46:$AK$91,MATCH($C788,AdditionalVehs!$C$46:$C$91,0),MATCH(F$7,AdditionalVehs!$AA$45:$AK$45,0))</f>
        <v>#REF!</v>
      </c>
      <c r="G788" s="86" t="e">
        <f>GDPdeflator!$C$38*INDEX(AdditionalVehs!$AA$46:$AK$91,MATCH($C788,AdditionalVehs!$C$46:$C$91,0),MATCH(G$7,AdditionalVehs!$AA$45:$AK$45,0))</f>
        <v>#REF!</v>
      </c>
      <c r="H788" s="86" t="e">
        <f>GDPdeflator!$C$38*INDEX(AdditionalVehs!$AA$46:$AK$91,MATCH($C788,AdditionalVehs!$C$46:$C$91,0),MATCH(H$7,AdditionalVehs!$AA$45:$AK$45,0))</f>
        <v>#REF!</v>
      </c>
      <c r="I788" s="86" t="e">
        <f>GDPdeflator!$C$38*INDEX(AdditionalVehs!$AA$46:$AK$91,MATCH($C788,AdditionalVehs!$C$46:$C$91,0),MATCH(I$7,AdditionalVehs!$AA$45:$AK$45,0))</f>
        <v>#REF!</v>
      </c>
      <c r="J788" s="86" t="e">
        <f>GDPdeflator!$C$38*INDEX(AdditionalVehs!$AA$46:$AK$91,MATCH($C788,AdditionalVehs!$C$46:$C$91,0),MATCH(J$7,AdditionalVehs!$AA$45:$AK$45,0))</f>
        <v>#REF!</v>
      </c>
      <c r="K788" s="86" t="e">
        <f>GDPdeflator!$C$38*INDEX(AdditionalVehs!$AA$46:$AK$91,MATCH($C788,AdditionalVehs!$C$46:$C$91,0),MATCH(K$7,AdditionalVehs!$AA$45:$AK$45,0))</f>
        <v>#REF!</v>
      </c>
      <c r="L788" s="86" t="e">
        <f>GDPdeflator!$C$38*INDEX(AdditionalVehs!$AA$46:$AK$91,MATCH($C788,AdditionalVehs!$C$46:$C$91,0),MATCH(L$7,AdditionalVehs!$AA$45:$AK$45,0))</f>
        <v>#REF!</v>
      </c>
      <c r="M788" s="86" t="e">
        <f>GDPdeflator!$C$38*INDEX(AdditionalVehs!$AA$46:$AK$91,MATCH($C788,AdditionalVehs!$C$46:$C$91,0),MATCH(M$7,AdditionalVehs!$AA$45:$AK$45,0))</f>
        <v>#REF!</v>
      </c>
      <c r="N788" s="86" t="e">
        <f>GDPdeflator!$C$38*INDEX(AdditionalVehs!$AA$46:$AK$91,MATCH($C788,AdditionalVehs!$C$46:$C$91,0),MATCH(N$7,AdditionalVehs!$AA$45:$AK$45,0))</f>
        <v>#REF!</v>
      </c>
      <c r="O788" s="86" t="e">
        <f>GDPdeflator!$C$38*INDEX(AdditionalVehs!$AA$46:$AK$91,MATCH($C788,AdditionalVehs!$C$46:$C$91,0),MATCH(O$7,AdditionalVehs!$AA$45:$AK$45,0))</f>
        <v>#REF!</v>
      </c>
      <c r="P788" s="87">
        <f t="shared" ref="P788:P795" si="332">E788/$AI$18*10^6</f>
        <v>0</v>
      </c>
      <c r="Q788" s="87" t="e">
        <f t="shared" si="329"/>
        <v>#REF!</v>
      </c>
      <c r="R788" s="87" t="e">
        <f t="shared" si="328"/>
        <v>#REF!</v>
      </c>
      <c r="S788" s="87" t="e">
        <f t="shared" si="317"/>
        <v>#REF!</v>
      </c>
      <c r="T788" s="87" t="e">
        <f t="shared" si="318"/>
        <v>#REF!</v>
      </c>
      <c r="U788" s="87" t="e">
        <f t="shared" si="319"/>
        <v>#REF!</v>
      </c>
      <c r="V788" s="87" t="e">
        <f t="shared" si="320"/>
        <v>#REF!</v>
      </c>
      <c r="W788" s="87" t="e">
        <f t="shared" si="321"/>
        <v>#REF!</v>
      </c>
      <c r="X788" s="87" t="e">
        <f t="shared" si="322"/>
        <v>#REF!</v>
      </c>
      <c r="Y788" s="87" t="e">
        <f t="shared" si="323"/>
        <v>#REF!</v>
      </c>
      <c r="Z788" s="87" t="e">
        <f t="shared" si="324"/>
        <v>#REF!</v>
      </c>
      <c r="AA788" s="40">
        <v>473</v>
      </c>
      <c r="AB788" s="89">
        <f>AA788*GDPdeflator!$C$25/$AI$18*10^3</f>
        <v>45.478712808157368</v>
      </c>
      <c r="AC788" s="90" t="e">
        <f>INDEX(AdditionalVehs!$E$46:$N$91,MATCH(C788,AdditionalVehs!$C$46:$C$91),MATCH(D788,AdditionalVehs!$E$45:$N$45))</f>
        <v>#REF!</v>
      </c>
      <c r="AD788" s="90" t="e">
        <f t="shared" si="327"/>
        <v>#REF!</v>
      </c>
      <c r="AE788" s="90" t="e">
        <f>INDEX(AdditionalVehs!$P$46:$Y$91,MATCH(C788,AdditionalVehs!$C$46:$C$91),MATCH(D788,AdditionalVehs!$AA$45:$AJ$45))</f>
        <v>#REF!</v>
      </c>
      <c r="AF788" s="90" t="e">
        <f t="shared" si="331"/>
        <v>#REF!</v>
      </c>
      <c r="AG788" s="90" t="e">
        <f>AdditionalVehs!$C$32</f>
        <v>#REF!</v>
      </c>
    </row>
    <row r="789" spans="1:33" x14ac:dyDescent="0.2">
      <c r="A789" s="92" t="s">
        <v>2425</v>
      </c>
      <c r="B789" s="248" t="s">
        <v>2426</v>
      </c>
      <c r="C789" s="40" t="s">
        <v>2422</v>
      </c>
      <c r="D789" s="40">
        <v>2020</v>
      </c>
      <c r="E789" s="86">
        <f>GDPdeflator!$C$32*INDEX(AdditionalVehs!$AA$46:$AK$91,MATCH($C789,AdditionalVehs!$C$46:$C$91,0),MATCH(E$7,AdditionalVehs!$AA$45:$AK$45,0))</f>
        <v>0</v>
      </c>
      <c r="F789" s="86" t="e">
        <f>GDPdeflator!$C$36*INDEX(AdditionalVehs!$AA$46:$AK$91,MATCH($C789,AdditionalVehs!$C$46:$C$91,0),MATCH(F$7,AdditionalVehs!$AA$45:$AK$45,0))</f>
        <v>#REF!</v>
      </c>
      <c r="G789" s="86" t="e">
        <f>GDPdeflator!$C$38*INDEX(AdditionalVehs!$AA$46:$AK$91,MATCH($C789,AdditionalVehs!$C$46:$C$91,0),MATCH(G$7,AdditionalVehs!$AA$45:$AK$45,0))</f>
        <v>#REF!</v>
      </c>
      <c r="H789" s="86" t="e">
        <f>GDPdeflator!$C$38*INDEX(AdditionalVehs!$AA$46:$AK$91,MATCH($C789,AdditionalVehs!$C$46:$C$91,0),MATCH(H$7,AdditionalVehs!$AA$45:$AK$45,0))</f>
        <v>#REF!</v>
      </c>
      <c r="I789" s="86" t="e">
        <f>GDPdeflator!$C$38*INDEX(AdditionalVehs!$AA$46:$AK$91,MATCH($C789,AdditionalVehs!$C$46:$C$91,0),MATCH(I$7,AdditionalVehs!$AA$45:$AK$45,0))</f>
        <v>#REF!</v>
      </c>
      <c r="J789" s="86" t="e">
        <f>GDPdeflator!$C$38*INDEX(AdditionalVehs!$AA$46:$AK$91,MATCH($C789,AdditionalVehs!$C$46:$C$91,0),MATCH(J$7,AdditionalVehs!$AA$45:$AK$45,0))</f>
        <v>#REF!</v>
      </c>
      <c r="K789" s="86" t="e">
        <f>GDPdeflator!$C$38*INDEX(AdditionalVehs!$AA$46:$AK$91,MATCH($C789,AdditionalVehs!$C$46:$C$91,0),MATCH(K$7,AdditionalVehs!$AA$45:$AK$45,0))</f>
        <v>#REF!</v>
      </c>
      <c r="L789" s="86" t="e">
        <f>GDPdeflator!$C$38*INDEX(AdditionalVehs!$AA$46:$AK$91,MATCH($C789,AdditionalVehs!$C$46:$C$91,0),MATCH(L$7,AdditionalVehs!$AA$45:$AK$45,0))</f>
        <v>#REF!</v>
      </c>
      <c r="M789" s="86" t="e">
        <f>GDPdeflator!$C$38*INDEX(AdditionalVehs!$AA$46:$AK$91,MATCH($C789,AdditionalVehs!$C$46:$C$91,0),MATCH(M$7,AdditionalVehs!$AA$45:$AK$45,0))</f>
        <v>#REF!</v>
      </c>
      <c r="N789" s="86" t="e">
        <f>GDPdeflator!$C$38*INDEX(AdditionalVehs!$AA$46:$AK$91,MATCH($C789,AdditionalVehs!$C$46:$C$91,0),MATCH(N$7,AdditionalVehs!$AA$45:$AK$45,0))</f>
        <v>#REF!</v>
      </c>
      <c r="O789" s="86" t="e">
        <f>GDPdeflator!$C$38*INDEX(AdditionalVehs!$AA$46:$AK$91,MATCH($C789,AdditionalVehs!$C$46:$C$91,0),MATCH(O$7,AdditionalVehs!$AA$45:$AK$45,0))</f>
        <v>#REF!</v>
      </c>
      <c r="P789" s="87">
        <f t="shared" si="332"/>
        <v>0</v>
      </c>
      <c r="Q789" s="87" t="e">
        <f t="shared" si="329"/>
        <v>#REF!</v>
      </c>
      <c r="R789" s="87" t="e">
        <f t="shared" si="328"/>
        <v>#REF!</v>
      </c>
      <c r="S789" s="87" t="e">
        <f t="shared" si="317"/>
        <v>#REF!</v>
      </c>
      <c r="T789" s="87" t="e">
        <f t="shared" si="318"/>
        <v>#REF!</v>
      </c>
      <c r="U789" s="87" t="e">
        <f t="shared" si="319"/>
        <v>#REF!</v>
      </c>
      <c r="V789" s="87" t="e">
        <f t="shared" si="320"/>
        <v>#REF!</v>
      </c>
      <c r="W789" s="87" t="e">
        <f t="shared" si="321"/>
        <v>#REF!</v>
      </c>
      <c r="X789" s="87" t="e">
        <f t="shared" si="322"/>
        <v>#REF!</v>
      </c>
      <c r="Y789" s="87" t="e">
        <f t="shared" si="323"/>
        <v>#REF!</v>
      </c>
      <c r="Z789" s="87" t="e">
        <f t="shared" si="324"/>
        <v>#REF!</v>
      </c>
      <c r="AA789" s="40">
        <v>473</v>
      </c>
      <c r="AB789" s="89">
        <f>AA789*GDPdeflator!$C$25/$AI$18*10^3</f>
        <v>45.478712808157368</v>
      </c>
      <c r="AC789" s="90" t="e">
        <f>INDEX(AdditionalVehs!$E$46:$N$91,MATCH(C789,AdditionalVehs!$C$46:$C$91),MATCH(D789,AdditionalVehs!$E$45:$N$45))</f>
        <v>#REF!</v>
      </c>
      <c r="AD789" s="90" t="e">
        <f t="shared" si="327"/>
        <v>#REF!</v>
      </c>
      <c r="AE789" s="90" t="e">
        <f>INDEX(AdditionalVehs!$P$46:$Y$91,MATCH(C789,AdditionalVehs!$C$46:$C$91),MATCH(D789,AdditionalVehs!$AA$45:$AJ$45))</f>
        <v>#REF!</v>
      </c>
      <c r="AF789" s="90" t="e">
        <f t="shared" si="331"/>
        <v>#REF!</v>
      </c>
      <c r="AG789" s="90" t="e">
        <f>AdditionalVehs!$C$32</f>
        <v>#REF!</v>
      </c>
    </row>
    <row r="790" spans="1:33" x14ac:dyDescent="0.2">
      <c r="A790" s="92" t="s">
        <v>2427</v>
      </c>
      <c r="B790" s="248" t="s">
        <v>2428</v>
      </c>
      <c r="C790" s="40" t="s">
        <v>2422</v>
      </c>
      <c r="D790" s="40">
        <v>2025</v>
      </c>
      <c r="E790" s="86">
        <f>GDPdeflator!$C$32*INDEX(AdditionalVehs!$AA$46:$AK$91,MATCH($C790,AdditionalVehs!$C$46:$C$91,0),MATCH(E$7,AdditionalVehs!$AA$45:$AK$45,0))</f>
        <v>0</v>
      </c>
      <c r="F790" s="86" t="e">
        <f>GDPdeflator!$C$36*INDEX(AdditionalVehs!$AA$46:$AK$91,MATCH($C790,AdditionalVehs!$C$46:$C$91,0),MATCH(F$7,AdditionalVehs!$AA$45:$AK$45,0))</f>
        <v>#REF!</v>
      </c>
      <c r="G790" s="86" t="e">
        <f>GDPdeflator!$C$38*INDEX(AdditionalVehs!$AA$46:$AK$91,MATCH($C790,AdditionalVehs!$C$46:$C$91,0),MATCH(G$7,AdditionalVehs!$AA$45:$AK$45,0))</f>
        <v>#REF!</v>
      </c>
      <c r="H790" s="86" t="e">
        <f>GDPdeflator!$C$38*INDEX(AdditionalVehs!$AA$46:$AK$91,MATCH($C790,AdditionalVehs!$C$46:$C$91,0),MATCH(H$7,AdditionalVehs!$AA$45:$AK$45,0))</f>
        <v>#REF!</v>
      </c>
      <c r="I790" s="86" t="e">
        <f>GDPdeflator!$C$38*INDEX(AdditionalVehs!$AA$46:$AK$91,MATCH($C790,AdditionalVehs!$C$46:$C$91,0),MATCH(I$7,AdditionalVehs!$AA$45:$AK$45,0))</f>
        <v>#REF!</v>
      </c>
      <c r="J790" s="86" t="e">
        <f>GDPdeflator!$C$38*INDEX(AdditionalVehs!$AA$46:$AK$91,MATCH($C790,AdditionalVehs!$C$46:$C$91,0),MATCH(J$7,AdditionalVehs!$AA$45:$AK$45,0))</f>
        <v>#REF!</v>
      </c>
      <c r="K790" s="86" t="e">
        <f>GDPdeflator!$C$38*INDEX(AdditionalVehs!$AA$46:$AK$91,MATCH($C790,AdditionalVehs!$C$46:$C$91,0),MATCH(K$7,AdditionalVehs!$AA$45:$AK$45,0))</f>
        <v>#REF!</v>
      </c>
      <c r="L790" s="86" t="e">
        <f>GDPdeflator!$C$38*INDEX(AdditionalVehs!$AA$46:$AK$91,MATCH($C790,AdditionalVehs!$C$46:$C$91,0),MATCH(L$7,AdditionalVehs!$AA$45:$AK$45,0))</f>
        <v>#REF!</v>
      </c>
      <c r="M790" s="86" t="e">
        <f>GDPdeflator!$C$38*INDEX(AdditionalVehs!$AA$46:$AK$91,MATCH($C790,AdditionalVehs!$C$46:$C$91,0),MATCH(M$7,AdditionalVehs!$AA$45:$AK$45,0))</f>
        <v>#REF!</v>
      </c>
      <c r="N790" s="86" t="e">
        <f>GDPdeflator!$C$38*INDEX(AdditionalVehs!$AA$46:$AK$91,MATCH($C790,AdditionalVehs!$C$46:$C$91,0),MATCH(N$7,AdditionalVehs!$AA$45:$AK$45,0))</f>
        <v>#REF!</v>
      </c>
      <c r="O790" s="86" t="e">
        <f>GDPdeflator!$C$38*INDEX(AdditionalVehs!$AA$46:$AK$91,MATCH($C790,AdditionalVehs!$C$46:$C$91,0),MATCH(O$7,AdditionalVehs!$AA$45:$AK$45,0))</f>
        <v>#REF!</v>
      </c>
      <c r="P790" s="87">
        <f t="shared" si="332"/>
        <v>0</v>
      </c>
      <c r="Q790" s="87" t="e">
        <f t="shared" si="329"/>
        <v>#REF!</v>
      </c>
      <c r="R790" s="87" t="e">
        <f t="shared" si="328"/>
        <v>#REF!</v>
      </c>
      <c r="S790" s="87" t="e">
        <f t="shared" si="317"/>
        <v>#REF!</v>
      </c>
      <c r="T790" s="87" t="e">
        <f t="shared" si="318"/>
        <v>#REF!</v>
      </c>
      <c r="U790" s="87" t="e">
        <f t="shared" si="319"/>
        <v>#REF!</v>
      </c>
      <c r="V790" s="87" t="e">
        <f t="shared" si="320"/>
        <v>#REF!</v>
      </c>
      <c r="W790" s="87" t="e">
        <f t="shared" si="321"/>
        <v>#REF!</v>
      </c>
      <c r="X790" s="87" t="e">
        <f t="shared" si="322"/>
        <v>#REF!</v>
      </c>
      <c r="Y790" s="87" t="e">
        <f t="shared" si="323"/>
        <v>#REF!</v>
      </c>
      <c r="Z790" s="87" t="e">
        <f t="shared" si="324"/>
        <v>#REF!</v>
      </c>
      <c r="AA790" s="40">
        <v>473</v>
      </c>
      <c r="AB790" s="89">
        <f>AA790*GDPdeflator!$C$25/$AI$18*10^3</f>
        <v>45.478712808157368</v>
      </c>
      <c r="AC790" s="90" t="e">
        <f>INDEX(AdditionalVehs!$E$46:$N$91,MATCH(C790,AdditionalVehs!$C$46:$C$91),MATCH(D790,AdditionalVehs!$E$45:$N$45))</f>
        <v>#REF!</v>
      </c>
      <c r="AD790" s="90" t="e">
        <f t="shared" si="327"/>
        <v>#REF!</v>
      </c>
      <c r="AE790" s="90" t="e">
        <f>INDEX(AdditionalVehs!$P$46:$Y$91,MATCH(C790,AdditionalVehs!$C$46:$C$91),MATCH(D790,AdditionalVehs!$AA$45:$AJ$45))</f>
        <v>#REF!</v>
      </c>
      <c r="AF790" s="90" t="e">
        <f t="shared" si="331"/>
        <v>#REF!</v>
      </c>
      <c r="AG790" s="90" t="e">
        <f>AdditionalVehs!$C$32</f>
        <v>#REF!</v>
      </c>
    </row>
    <row r="791" spans="1:33" x14ac:dyDescent="0.2">
      <c r="A791" s="92" t="s">
        <v>2429</v>
      </c>
      <c r="B791" s="248" t="s">
        <v>2430</v>
      </c>
      <c r="C791" s="40" t="s">
        <v>2422</v>
      </c>
      <c r="D791" s="40">
        <v>2030</v>
      </c>
      <c r="E791" s="86">
        <f>GDPdeflator!$C$32*INDEX(AdditionalVehs!$AA$46:$AK$91,MATCH($C791,AdditionalVehs!$C$46:$C$91,0),MATCH(E$7,AdditionalVehs!$AA$45:$AK$45,0))</f>
        <v>0</v>
      </c>
      <c r="F791" s="86" t="e">
        <f>GDPdeflator!$C$36*INDEX(AdditionalVehs!$AA$46:$AK$91,MATCH($C791,AdditionalVehs!$C$46:$C$91,0),MATCH(F$7,AdditionalVehs!$AA$45:$AK$45,0))</f>
        <v>#REF!</v>
      </c>
      <c r="G791" s="86" t="e">
        <f>GDPdeflator!$C$38*INDEX(AdditionalVehs!$AA$46:$AK$91,MATCH($C791,AdditionalVehs!$C$46:$C$91,0),MATCH(G$7,AdditionalVehs!$AA$45:$AK$45,0))</f>
        <v>#REF!</v>
      </c>
      <c r="H791" s="86" t="e">
        <f>GDPdeflator!$C$38*INDEX(AdditionalVehs!$AA$46:$AK$91,MATCH($C791,AdditionalVehs!$C$46:$C$91,0),MATCH(H$7,AdditionalVehs!$AA$45:$AK$45,0))</f>
        <v>#REF!</v>
      </c>
      <c r="I791" s="86" t="e">
        <f>GDPdeflator!$C$38*INDEX(AdditionalVehs!$AA$46:$AK$91,MATCH($C791,AdditionalVehs!$C$46:$C$91,0),MATCH(I$7,AdditionalVehs!$AA$45:$AK$45,0))</f>
        <v>#REF!</v>
      </c>
      <c r="J791" s="86" t="e">
        <f>GDPdeflator!$C$38*INDEX(AdditionalVehs!$AA$46:$AK$91,MATCH($C791,AdditionalVehs!$C$46:$C$91,0),MATCH(J$7,AdditionalVehs!$AA$45:$AK$45,0))</f>
        <v>#REF!</v>
      </c>
      <c r="K791" s="86" t="e">
        <f>GDPdeflator!$C$38*INDEX(AdditionalVehs!$AA$46:$AK$91,MATCH($C791,AdditionalVehs!$C$46:$C$91,0),MATCH(K$7,AdditionalVehs!$AA$45:$AK$45,0))</f>
        <v>#REF!</v>
      </c>
      <c r="L791" s="86" t="e">
        <f>GDPdeflator!$C$38*INDEX(AdditionalVehs!$AA$46:$AK$91,MATCH($C791,AdditionalVehs!$C$46:$C$91,0),MATCH(L$7,AdditionalVehs!$AA$45:$AK$45,0))</f>
        <v>#REF!</v>
      </c>
      <c r="M791" s="86" t="e">
        <f>GDPdeflator!$C$38*INDEX(AdditionalVehs!$AA$46:$AK$91,MATCH($C791,AdditionalVehs!$C$46:$C$91,0),MATCH(M$7,AdditionalVehs!$AA$45:$AK$45,0))</f>
        <v>#REF!</v>
      </c>
      <c r="N791" s="86" t="e">
        <f>GDPdeflator!$C$38*INDEX(AdditionalVehs!$AA$46:$AK$91,MATCH($C791,AdditionalVehs!$C$46:$C$91,0),MATCH(N$7,AdditionalVehs!$AA$45:$AK$45,0))</f>
        <v>#REF!</v>
      </c>
      <c r="O791" s="86" t="e">
        <f>GDPdeflator!$C$38*INDEX(AdditionalVehs!$AA$46:$AK$91,MATCH($C791,AdditionalVehs!$C$46:$C$91,0),MATCH(O$7,AdditionalVehs!$AA$45:$AK$45,0))</f>
        <v>#REF!</v>
      </c>
      <c r="P791" s="87">
        <f t="shared" si="332"/>
        <v>0</v>
      </c>
      <c r="Q791" s="87" t="e">
        <f t="shared" si="329"/>
        <v>#REF!</v>
      </c>
      <c r="R791" s="87" t="e">
        <f t="shared" si="328"/>
        <v>#REF!</v>
      </c>
      <c r="S791" s="87" t="e">
        <f t="shared" si="317"/>
        <v>#REF!</v>
      </c>
      <c r="T791" s="87" t="e">
        <f t="shared" si="318"/>
        <v>#REF!</v>
      </c>
      <c r="U791" s="87" t="e">
        <f t="shared" si="319"/>
        <v>#REF!</v>
      </c>
      <c r="V791" s="87" t="e">
        <f t="shared" si="320"/>
        <v>#REF!</v>
      </c>
      <c r="W791" s="87" t="e">
        <f t="shared" si="321"/>
        <v>#REF!</v>
      </c>
      <c r="X791" s="87" t="e">
        <f t="shared" si="322"/>
        <v>#REF!</v>
      </c>
      <c r="Y791" s="87" t="e">
        <f t="shared" si="323"/>
        <v>#REF!</v>
      </c>
      <c r="Z791" s="87" t="e">
        <f t="shared" si="324"/>
        <v>#REF!</v>
      </c>
      <c r="AA791" s="40">
        <v>473</v>
      </c>
      <c r="AB791" s="89">
        <f>AA791*GDPdeflator!$C$25/$AI$18*10^3</f>
        <v>45.478712808157368</v>
      </c>
      <c r="AC791" s="90" t="e">
        <f>INDEX(AdditionalVehs!$E$46:$N$91,MATCH(C791,AdditionalVehs!$C$46:$C$91),MATCH(D791,AdditionalVehs!$E$45:$N$45))</f>
        <v>#REF!</v>
      </c>
      <c r="AD791" s="90" t="e">
        <f t="shared" si="327"/>
        <v>#REF!</v>
      </c>
      <c r="AE791" s="90" t="e">
        <f>INDEX(AdditionalVehs!$P$46:$Y$91,MATCH(C791,AdditionalVehs!$C$46:$C$91),MATCH(D791,AdditionalVehs!$AA$45:$AJ$45))</f>
        <v>#REF!</v>
      </c>
      <c r="AF791" s="90" t="e">
        <f t="shared" si="331"/>
        <v>#REF!</v>
      </c>
      <c r="AG791" s="90" t="e">
        <f>AdditionalVehs!$C$32</f>
        <v>#REF!</v>
      </c>
    </row>
    <row r="792" spans="1:33" x14ac:dyDescent="0.2">
      <c r="A792" s="92" t="s">
        <v>2431</v>
      </c>
      <c r="B792" s="248" t="s">
        <v>2432</v>
      </c>
      <c r="C792" s="40" t="s">
        <v>2422</v>
      </c>
      <c r="D792" s="40">
        <v>2035</v>
      </c>
      <c r="E792" s="86">
        <f>GDPdeflator!$C$32*INDEX(AdditionalVehs!$AA$46:$AK$91,MATCH($C792,AdditionalVehs!$C$46:$C$91,0),MATCH(E$7,AdditionalVehs!$AA$45:$AK$45,0))</f>
        <v>0</v>
      </c>
      <c r="F792" s="86" t="e">
        <f>GDPdeflator!$C$36*INDEX(AdditionalVehs!$AA$46:$AK$91,MATCH($C792,AdditionalVehs!$C$46:$C$91,0),MATCH(F$7,AdditionalVehs!$AA$45:$AK$45,0))</f>
        <v>#REF!</v>
      </c>
      <c r="G792" s="86" t="e">
        <f>GDPdeflator!$C$38*INDEX(AdditionalVehs!$AA$46:$AK$91,MATCH($C792,AdditionalVehs!$C$46:$C$91,0),MATCH(G$7,AdditionalVehs!$AA$45:$AK$45,0))</f>
        <v>#REF!</v>
      </c>
      <c r="H792" s="86" t="e">
        <f>GDPdeflator!$C$38*INDEX(AdditionalVehs!$AA$46:$AK$91,MATCH($C792,AdditionalVehs!$C$46:$C$91,0),MATCH(H$7,AdditionalVehs!$AA$45:$AK$45,0))</f>
        <v>#REF!</v>
      </c>
      <c r="I792" s="86" t="e">
        <f>GDPdeflator!$C$38*INDEX(AdditionalVehs!$AA$46:$AK$91,MATCH($C792,AdditionalVehs!$C$46:$C$91,0),MATCH(I$7,AdditionalVehs!$AA$45:$AK$45,0))</f>
        <v>#REF!</v>
      </c>
      <c r="J792" s="86" t="e">
        <f>GDPdeflator!$C$38*INDEX(AdditionalVehs!$AA$46:$AK$91,MATCH($C792,AdditionalVehs!$C$46:$C$91,0),MATCH(J$7,AdditionalVehs!$AA$45:$AK$45,0))</f>
        <v>#REF!</v>
      </c>
      <c r="K792" s="86" t="e">
        <f>GDPdeflator!$C$38*INDEX(AdditionalVehs!$AA$46:$AK$91,MATCH($C792,AdditionalVehs!$C$46:$C$91,0),MATCH(K$7,AdditionalVehs!$AA$45:$AK$45,0))</f>
        <v>#REF!</v>
      </c>
      <c r="L792" s="86" t="e">
        <f>GDPdeflator!$C$38*INDEX(AdditionalVehs!$AA$46:$AK$91,MATCH($C792,AdditionalVehs!$C$46:$C$91,0),MATCH(L$7,AdditionalVehs!$AA$45:$AK$45,0))</f>
        <v>#REF!</v>
      </c>
      <c r="M792" s="86" t="e">
        <f>GDPdeflator!$C$38*INDEX(AdditionalVehs!$AA$46:$AK$91,MATCH($C792,AdditionalVehs!$C$46:$C$91,0),MATCH(M$7,AdditionalVehs!$AA$45:$AK$45,0))</f>
        <v>#REF!</v>
      </c>
      <c r="N792" s="86" t="e">
        <f>GDPdeflator!$C$38*INDEX(AdditionalVehs!$AA$46:$AK$91,MATCH($C792,AdditionalVehs!$C$46:$C$91,0),MATCH(N$7,AdditionalVehs!$AA$45:$AK$45,0))</f>
        <v>#REF!</v>
      </c>
      <c r="O792" s="86" t="e">
        <f>GDPdeflator!$C$38*INDEX(AdditionalVehs!$AA$46:$AK$91,MATCH($C792,AdditionalVehs!$C$46:$C$91,0),MATCH(O$7,AdditionalVehs!$AA$45:$AK$45,0))</f>
        <v>#REF!</v>
      </c>
      <c r="P792" s="87">
        <f t="shared" si="332"/>
        <v>0</v>
      </c>
      <c r="Q792" s="87" t="e">
        <f t="shared" si="329"/>
        <v>#REF!</v>
      </c>
      <c r="R792" s="87" t="e">
        <f t="shared" si="328"/>
        <v>#REF!</v>
      </c>
      <c r="S792" s="87" t="e">
        <f t="shared" si="317"/>
        <v>#REF!</v>
      </c>
      <c r="T792" s="87" t="e">
        <f t="shared" si="318"/>
        <v>#REF!</v>
      </c>
      <c r="U792" s="87" t="e">
        <f t="shared" si="319"/>
        <v>#REF!</v>
      </c>
      <c r="V792" s="87" t="e">
        <f t="shared" si="320"/>
        <v>#REF!</v>
      </c>
      <c r="W792" s="87" t="e">
        <f t="shared" si="321"/>
        <v>#REF!</v>
      </c>
      <c r="X792" s="87" t="e">
        <f t="shared" si="322"/>
        <v>#REF!</v>
      </c>
      <c r="Y792" s="87" t="e">
        <f t="shared" si="323"/>
        <v>#REF!</v>
      </c>
      <c r="Z792" s="87" t="e">
        <f t="shared" si="324"/>
        <v>#REF!</v>
      </c>
      <c r="AA792" s="40">
        <v>473</v>
      </c>
      <c r="AB792" s="89">
        <f>AA792*GDPdeflator!$C$25/$AI$18*10^3</f>
        <v>45.478712808157368</v>
      </c>
      <c r="AC792" s="90" t="e">
        <f>INDEX(AdditionalVehs!$E$46:$N$91,MATCH(C792,AdditionalVehs!$C$46:$C$91),MATCH(D792,AdditionalVehs!$E$45:$N$45))</f>
        <v>#REF!</v>
      </c>
      <c r="AD792" s="90" t="e">
        <f t="shared" si="327"/>
        <v>#REF!</v>
      </c>
      <c r="AE792" s="90" t="e">
        <f>INDEX(AdditionalVehs!$P$46:$Y$91,MATCH(C792,AdditionalVehs!$C$46:$C$91),MATCH(D792,AdditionalVehs!$AA$45:$AJ$45))</f>
        <v>#REF!</v>
      </c>
      <c r="AF792" s="90" t="e">
        <f t="shared" si="331"/>
        <v>#REF!</v>
      </c>
      <c r="AG792" s="90" t="e">
        <f>AdditionalVehs!$C$32</f>
        <v>#REF!</v>
      </c>
    </row>
    <row r="793" spans="1:33" x14ac:dyDescent="0.2">
      <c r="A793" s="92" t="s">
        <v>2433</v>
      </c>
      <c r="B793" s="248" t="s">
        <v>2434</v>
      </c>
      <c r="C793" s="40" t="s">
        <v>2422</v>
      </c>
      <c r="D793" s="40">
        <v>2040</v>
      </c>
      <c r="E793" s="86">
        <f>GDPdeflator!$C$32*INDEX(AdditionalVehs!$AA$46:$AK$91,MATCH($C793,AdditionalVehs!$C$46:$C$91,0),MATCH(E$7,AdditionalVehs!$AA$45:$AK$45,0))</f>
        <v>0</v>
      </c>
      <c r="F793" s="86" t="e">
        <f>GDPdeflator!$C$36*INDEX(AdditionalVehs!$AA$46:$AK$91,MATCH($C793,AdditionalVehs!$C$46:$C$91,0),MATCH(F$7,AdditionalVehs!$AA$45:$AK$45,0))</f>
        <v>#REF!</v>
      </c>
      <c r="G793" s="86" t="e">
        <f>GDPdeflator!$C$38*INDEX(AdditionalVehs!$AA$46:$AK$91,MATCH($C793,AdditionalVehs!$C$46:$C$91,0),MATCH(G$7,AdditionalVehs!$AA$45:$AK$45,0))</f>
        <v>#REF!</v>
      </c>
      <c r="H793" s="86" t="e">
        <f>GDPdeflator!$C$38*INDEX(AdditionalVehs!$AA$46:$AK$91,MATCH($C793,AdditionalVehs!$C$46:$C$91,0),MATCH(H$7,AdditionalVehs!$AA$45:$AK$45,0))</f>
        <v>#REF!</v>
      </c>
      <c r="I793" s="86" t="e">
        <f>GDPdeflator!$C$38*INDEX(AdditionalVehs!$AA$46:$AK$91,MATCH($C793,AdditionalVehs!$C$46:$C$91,0),MATCH(I$7,AdditionalVehs!$AA$45:$AK$45,0))</f>
        <v>#REF!</v>
      </c>
      <c r="J793" s="86" t="e">
        <f>GDPdeflator!$C$38*INDEX(AdditionalVehs!$AA$46:$AK$91,MATCH($C793,AdditionalVehs!$C$46:$C$91,0),MATCH(J$7,AdditionalVehs!$AA$45:$AK$45,0))</f>
        <v>#REF!</v>
      </c>
      <c r="K793" s="86" t="e">
        <f>GDPdeflator!$C$38*INDEX(AdditionalVehs!$AA$46:$AK$91,MATCH($C793,AdditionalVehs!$C$46:$C$91,0),MATCH(K$7,AdditionalVehs!$AA$45:$AK$45,0))</f>
        <v>#REF!</v>
      </c>
      <c r="L793" s="86" t="e">
        <f>GDPdeflator!$C$38*INDEX(AdditionalVehs!$AA$46:$AK$91,MATCH($C793,AdditionalVehs!$C$46:$C$91,0),MATCH(L$7,AdditionalVehs!$AA$45:$AK$45,0))</f>
        <v>#REF!</v>
      </c>
      <c r="M793" s="86" t="e">
        <f>GDPdeflator!$C$38*INDEX(AdditionalVehs!$AA$46:$AK$91,MATCH($C793,AdditionalVehs!$C$46:$C$91,0),MATCH(M$7,AdditionalVehs!$AA$45:$AK$45,0))</f>
        <v>#REF!</v>
      </c>
      <c r="N793" s="86" t="e">
        <f>GDPdeflator!$C$38*INDEX(AdditionalVehs!$AA$46:$AK$91,MATCH($C793,AdditionalVehs!$C$46:$C$91,0),MATCH(N$7,AdditionalVehs!$AA$45:$AK$45,0))</f>
        <v>#REF!</v>
      </c>
      <c r="O793" s="86" t="e">
        <f>GDPdeflator!$C$38*INDEX(AdditionalVehs!$AA$46:$AK$91,MATCH($C793,AdditionalVehs!$C$46:$C$91,0),MATCH(O$7,AdditionalVehs!$AA$45:$AK$45,0))</f>
        <v>#REF!</v>
      </c>
      <c r="P793" s="87">
        <f t="shared" si="332"/>
        <v>0</v>
      </c>
      <c r="Q793" s="87" t="e">
        <f t="shared" si="329"/>
        <v>#REF!</v>
      </c>
      <c r="R793" s="87" t="e">
        <f t="shared" si="328"/>
        <v>#REF!</v>
      </c>
      <c r="S793" s="87" t="e">
        <f t="shared" si="317"/>
        <v>#REF!</v>
      </c>
      <c r="T793" s="87" t="e">
        <f t="shared" si="318"/>
        <v>#REF!</v>
      </c>
      <c r="U793" s="87" t="e">
        <f t="shared" si="319"/>
        <v>#REF!</v>
      </c>
      <c r="V793" s="87" t="e">
        <f t="shared" si="320"/>
        <v>#REF!</v>
      </c>
      <c r="W793" s="87" t="e">
        <f t="shared" si="321"/>
        <v>#REF!</v>
      </c>
      <c r="X793" s="87" t="e">
        <f t="shared" si="322"/>
        <v>#REF!</v>
      </c>
      <c r="Y793" s="87" t="e">
        <f t="shared" si="323"/>
        <v>#REF!</v>
      </c>
      <c r="Z793" s="87" t="e">
        <f t="shared" si="324"/>
        <v>#REF!</v>
      </c>
      <c r="AA793" s="40">
        <v>473</v>
      </c>
      <c r="AB793" s="89">
        <f>AA793*GDPdeflator!$C$25/$AI$18*10^3</f>
        <v>45.478712808157368</v>
      </c>
      <c r="AC793" s="90" t="e">
        <f>INDEX(AdditionalVehs!$E$46:$N$91,MATCH(C793,AdditionalVehs!$C$46:$C$91),MATCH(D793,AdditionalVehs!$E$45:$N$45))</f>
        <v>#REF!</v>
      </c>
      <c r="AD793" s="90" t="e">
        <f t="shared" si="327"/>
        <v>#REF!</v>
      </c>
      <c r="AE793" s="90" t="e">
        <f>INDEX(AdditionalVehs!$P$46:$Y$91,MATCH(C793,AdditionalVehs!$C$46:$C$91),MATCH(D793,AdditionalVehs!$AA$45:$AJ$45))</f>
        <v>#REF!</v>
      </c>
      <c r="AF793" s="90" t="e">
        <f t="shared" si="331"/>
        <v>#REF!</v>
      </c>
      <c r="AG793" s="90" t="e">
        <f>AdditionalVehs!$C$32</f>
        <v>#REF!</v>
      </c>
    </row>
    <row r="794" spans="1:33" x14ac:dyDescent="0.2">
      <c r="A794" s="92" t="s">
        <v>2435</v>
      </c>
      <c r="B794" s="248" t="s">
        <v>2436</v>
      </c>
      <c r="C794" s="40" t="s">
        <v>2422</v>
      </c>
      <c r="D794" s="40">
        <v>2045</v>
      </c>
      <c r="E794" s="86">
        <f>GDPdeflator!$C$32*INDEX(AdditionalVehs!$AA$46:$AK$91,MATCH($C794,AdditionalVehs!$C$46:$C$91,0),MATCH(E$7,AdditionalVehs!$AA$45:$AK$45,0))</f>
        <v>0</v>
      </c>
      <c r="F794" s="86" t="e">
        <f>GDPdeflator!$C$36*INDEX(AdditionalVehs!$AA$46:$AK$91,MATCH($C794,AdditionalVehs!$C$46:$C$91,0),MATCH(F$7,AdditionalVehs!$AA$45:$AK$45,0))</f>
        <v>#REF!</v>
      </c>
      <c r="G794" s="86" t="e">
        <f>GDPdeflator!$C$38*INDEX(AdditionalVehs!$AA$46:$AK$91,MATCH($C794,AdditionalVehs!$C$46:$C$91,0),MATCH(G$7,AdditionalVehs!$AA$45:$AK$45,0))</f>
        <v>#REF!</v>
      </c>
      <c r="H794" s="86" t="e">
        <f>GDPdeflator!$C$38*INDEX(AdditionalVehs!$AA$46:$AK$91,MATCH($C794,AdditionalVehs!$C$46:$C$91,0),MATCH(H$7,AdditionalVehs!$AA$45:$AK$45,0))</f>
        <v>#REF!</v>
      </c>
      <c r="I794" s="86" t="e">
        <f>GDPdeflator!$C$38*INDEX(AdditionalVehs!$AA$46:$AK$91,MATCH($C794,AdditionalVehs!$C$46:$C$91,0),MATCH(I$7,AdditionalVehs!$AA$45:$AK$45,0))</f>
        <v>#REF!</v>
      </c>
      <c r="J794" s="86" t="e">
        <f>GDPdeflator!$C$38*INDEX(AdditionalVehs!$AA$46:$AK$91,MATCH($C794,AdditionalVehs!$C$46:$C$91,0),MATCH(J$7,AdditionalVehs!$AA$45:$AK$45,0))</f>
        <v>#REF!</v>
      </c>
      <c r="K794" s="86" t="e">
        <f>GDPdeflator!$C$38*INDEX(AdditionalVehs!$AA$46:$AK$91,MATCH($C794,AdditionalVehs!$C$46:$C$91,0),MATCH(K$7,AdditionalVehs!$AA$45:$AK$45,0))</f>
        <v>#REF!</v>
      </c>
      <c r="L794" s="86" t="e">
        <f>GDPdeflator!$C$38*INDEX(AdditionalVehs!$AA$46:$AK$91,MATCH($C794,AdditionalVehs!$C$46:$C$91,0),MATCH(L$7,AdditionalVehs!$AA$45:$AK$45,0))</f>
        <v>#REF!</v>
      </c>
      <c r="M794" s="86" t="e">
        <f>GDPdeflator!$C$38*INDEX(AdditionalVehs!$AA$46:$AK$91,MATCH($C794,AdditionalVehs!$C$46:$C$91,0),MATCH(M$7,AdditionalVehs!$AA$45:$AK$45,0))</f>
        <v>#REF!</v>
      </c>
      <c r="N794" s="86" t="e">
        <f>GDPdeflator!$C$38*INDEX(AdditionalVehs!$AA$46:$AK$91,MATCH($C794,AdditionalVehs!$C$46:$C$91,0),MATCH(N$7,AdditionalVehs!$AA$45:$AK$45,0))</f>
        <v>#REF!</v>
      </c>
      <c r="O794" s="86" t="e">
        <f>GDPdeflator!$C$38*INDEX(AdditionalVehs!$AA$46:$AK$91,MATCH($C794,AdditionalVehs!$C$46:$C$91,0),MATCH(O$7,AdditionalVehs!$AA$45:$AK$45,0))</f>
        <v>#REF!</v>
      </c>
      <c r="P794" s="87">
        <f t="shared" si="332"/>
        <v>0</v>
      </c>
      <c r="Q794" s="87" t="e">
        <f t="shared" si="329"/>
        <v>#REF!</v>
      </c>
      <c r="R794" s="87" t="e">
        <f t="shared" si="328"/>
        <v>#REF!</v>
      </c>
      <c r="S794" s="87" t="e">
        <f t="shared" si="317"/>
        <v>#REF!</v>
      </c>
      <c r="T794" s="87" t="e">
        <f t="shared" si="318"/>
        <v>#REF!</v>
      </c>
      <c r="U794" s="87" t="e">
        <f t="shared" si="319"/>
        <v>#REF!</v>
      </c>
      <c r="V794" s="87" t="e">
        <f t="shared" si="320"/>
        <v>#REF!</v>
      </c>
      <c r="W794" s="87" t="e">
        <f t="shared" si="321"/>
        <v>#REF!</v>
      </c>
      <c r="X794" s="87" t="e">
        <f t="shared" si="322"/>
        <v>#REF!</v>
      </c>
      <c r="Y794" s="87" t="e">
        <f t="shared" si="323"/>
        <v>#REF!</v>
      </c>
      <c r="Z794" s="87" t="e">
        <f t="shared" si="324"/>
        <v>#REF!</v>
      </c>
      <c r="AA794" s="40">
        <v>473</v>
      </c>
      <c r="AB794" s="89">
        <f>AA794*GDPdeflator!$C$25/$AI$18*10^3</f>
        <v>45.478712808157368</v>
      </c>
      <c r="AC794" s="90" t="e">
        <f>INDEX(AdditionalVehs!$E$46:$N$91,MATCH(C794,AdditionalVehs!$C$46:$C$91),MATCH(D794,AdditionalVehs!$E$45:$N$45))</f>
        <v>#REF!</v>
      </c>
      <c r="AD794" s="90" t="e">
        <f t="shared" si="327"/>
        <v>#REF!</v>
      </c>
      <c r="AE794" s="90" t="e">
        <f>INDEX(AdditionalVehs!$P$46:$Y$91,MATCH(C794,AdditionalVehs!$C$46:$C$91),MATCH(D794,AdditionalVehs!$AA$45:$AJ$45))</f>
        <v>#REF!</v>
      </c>
      <c r="AF794" s="90" t="e">
        <f t="shared" si="331"/>
        <v>#REF!</v>
      </c>
      <c r="AG794" s="90" t="e">
        <f>AdditionalVehs!$C$32</f>
        <v>#REF!</v>
      </c>
    </row>
    <row r="795" spans="1:33" x14ac:dyDescent="0.2">
      <c r="A795" s="92" t="s">
        <v>2437</v>
      </c>
      <c r="B795" s="248" t="s">
        <v>2438</v>
      </c>
      <c r="C795" s="40" t="s">
        <v>2422</v>
      </c>
      <c r="D795" s="40">
        <v>2050</v>
      </c>
      <c r="E795" s="86">
        <f>GDPdeflator!$C$32*INDEX(AdditionalVehs!$AA$46:$AK$91,MATCH($C795,AdditionalVehs!$C$46:$C$91,0),MATCH(E$7,AdditionalVehs!$AA$45:$AK$45,0))</f>
        <v>0</v>
      </c>
      <c r="F795" s="86" t="e">
        <f>GDPdeflator!$C$36*INDEX(AdditionalVehs!$AA$46:$AK$91,MATCH($C795,AdditionalVehs!$C$46:$C$91,0),MATCH(F$7,AdditionalVehs!$AA$45:$AK$45,0))</f>
        <v>#REF!</v>
      </c>
      <c r="G795" s="86" t="e">
        <f>GDPdeflator!$C$38*INDEX(AdditionalVehs!$AA$46:$AK$91,MATCH($C795,AdditionalVehs!$C$46:$C$91,0),MATCH(G$7,AdditionalVehs!$AA$45:$AK$45,0))</f>
        <v>#REF!</v>
      </c>
      <c r="H795" s="86" t="e">
        <f>GDPdeflator!$C$38*INDEX(AdditionalVehs!$AA$46:$AK$91,MATCH($C795,AdditionalVehs!$C$46:$C$91,0),MATCH(H$7,AdditionalVehs!$AA$45:$AK$45,0))</f>
        <v>#REF!</v>
      </c>
      <c r="I795" s="86" t="e">
        <f>GDPdeflator!$C$38*INDEX(AdditionalVehs!$AA$46:$AK$91,MATCH($C795,AdditionalVehs!$C$46:$C$91,0),MATCH(I$7,AdditionalVehs!$AA$45:$AK$45,0))</f>
        <v>#REF!</v>
      </c>
      <c r="J795" s="86" t="e">
        <f>GDPdeflator!$C$38*INDEX(AdditionalVehs!$AA$46:$AK$91,MATCH($C795,AdditionalVehs!$C$46:$C$91,0),MATCH(J$7,AdditionalVehs!$AA$45:$AK$45,0))</f>
        <v>#REF!</v>
      </c>
      <c r="K795" s="86" t="e">
        <f>GDPdeflator!$C$38*INDEX(AdditionalVehs!$AA$46:$AK$91,MATCH($C795,AdditionalVehs!$C$46:$C$91,0),MATCH(K$7,AdditionalVehs!$AA$45:$AK$45,0))</f>
        <v>#REF!</v>
      </c>
      <c r="L795" s="86" t="e">
        <f>GDPdeflator!$C$38*INDEX(AdditionalVehs!$AA$46:$AK$91,MATCH($C795,AdditionalVehs!$C$46:$C$91,0),MATCH(L$7,AdditionalVehs!$AA$45:$AK$45,0))</f>
        <v>#REF!</v>
      </c>
      <c r="M795" s="86" t="e">
        <f>GDPdeflator!$C$38*INDEX(AdditionalVehs!$AA$46:$AK$91,MATCH($C795,AdditionalVehs!$C$46:$C$91,0),MATCH(M$7,AdditionalVehs!$AA$45:$AK$45,0))</f>
        <v>#REF!</v>
      </c>
      <c r="N795" s="86" t="e">
        <f>GDPdeflator!$C$38*INDEX(AdditionalVehs!$AA$46:$AK$91,MATCH($C795,AdditionalVehs!$C$46:$C$91,0),MATCH(N$7,AdditionalVehs!$AA$45:$AK$45,0))</f>
        <v>#REF!</v>
      </c>
      <c r="O795" s="86" t="e">
        <f>GDPdeflator!$C$38*INDEX(AdditionalVehs!$AA$46:$AK$91,MATCH($C795,AdditionalVehs!$C$46:$C$91,0),MATCH(O$7,AdditionalVehs!$AA$45:$AK$45,0))</f>
        <v>#REF!</v>
      </c>
      <c r="P795" s="87">
        <f t="shared" si="332"/>
        <v>0</v>
      </c>
      <c r="Q795" s="87" t="e">
        <f t="shared" si="329"/>
        <v>#REF!</v>
      </c>
      <c r="R795" s="87" t="e">
        <f t="shared" si="328"/>
        <v>#REF!</v>
      </c>
      <c r="S795" s="87" t="e">
        <f t="shared" si="317"/>
        <v>#REF!</v>
      </c>
      <c r="T795" s="87" t="e">
        <f t="shared" si="318"/>
        <v>#REF!</v>
      </c>
      <c r="U795" s="87" t="e">
        <f t="shared" si="319"/>
        <v>#REF!</v>
      </c>
      <c r="V795" s="87" t="e">
        <f t="shared" si="320"/>
        <v>#REF!</v>
      </c>
      <c r="W795" s="87" t="e">
        <f t="shared" si="321"/>
        <v>#REF!</v>
      </c>
      <c r="X795" s="87" t="e">
        <f t="shared" si="322"/>
        <v>#REF!</v>
      </c>
      <c r="Y795" s="87" t="e">
        <f t="shared" si="323"/>
        <v>#REF!</v>
      </c>
      <c r="Z795" s="87" t="e">
        <f t="shared" si="324"/>
        <v>#REF!</v>
      </c>
      <c r="AA795" s="40">
        <v>473</v>
      </c>
      <c r="AB795" s="89">
        <f>AA795*GDPdeflator!$C$25/$AI$18*10^3</f>
        <v>45.478712808157368</v>
      </c>
      <c r="AC795" s="90" t="e">
        <f>INDEX(AdditionalVehs!$E$46:$N$91,MATCH(C795,AdditionalVehs!$C$46:$C$91),MATCH(D795,AdditionalVehs!$E$45:$N$45))</f>
        <v>#REF!</v>
      </c>
      <c r="AD795" s="90" t="e">
        <f t="shared" si="327"/>
        <v>#REF!</v>
      </c>
      <c r="AE795" s="90" t="e">
        <f>INDEX(AdditionalVehs!$P$46:$Y$91,MATCH(C795,AdditionalVehs!$C$46:$C$91),MATCH(D795,AdditionalVehs!$AA$45:$AJ$45))</f>
        <v>#REF!</v>
      </c>
      <c r="AF795" s="90" t="e">
        <f t="shared" si="331"/>
        <v>#REF!</v>
      </c>
      <c r="AG795" s="90" t="e">
        <f>AdditionalVehs!$C$32</f>
        <v>#REF!</v>
      </c>
    </row>
    <row r="796" spans="1:33" x14ac:dyDescent="0.2">
      <c r="A796" s="92" t="s">
        <v>2439</v>
      </c>
      <c r="B796" s="248" t="s">
        <v>2440</v>
      </c>
      <c r="C796" s="40" t="s">
        <v>2441</v>
      </c>
      <c r="D796" s="40">
        <v>2010</v>
      </c>
      <c r="E796" s="86">
        <f>GDPdeflator!$C$32*INDEX(AdditionalVehs!$AA$46:$AK$91,MATCH($C796,AdditionalVehs!$C$46:$C$91,0),MATCH(E$7,AdditionalVehs!$AA$45:$AK$45,0))</f>
        <v>0</v>
      </c>
      <c r="F796" s="86" t="e">
        <f>GDPdeflator!$C$36*INDEX(AdditionalVehs!$AA$46:$AK$91,MATCH($C796,AdditionalVehs!$C$46:$C$91,0),MATCH(F$7,AdditionalVehs!$AA$45:$AK$45,0))</f>
        <v>#REF!</v>
      </c>
      <c r="G796" s="86" t="e">
        <f>GDPdeflator!$C$38*INDEX(AdditionalVehs!$AA$46:$AK$91,MATCH($C796,AdditionalVehs!$C$46:$C$91,0),MATCH(G$7,AdditionalVehs!$AA$45:$AK$45,0))</f>
        <v>#REF!</v>
      </c>
      <c r="H796" s="86" t="e">
        <f>GDPdeflator!$C$38*INDEX(AdditionalVehs!$AA$46:$AK$91,MATCH($C796,AdditionalVehs!$C$46:$C$91,0),MATCH(H$7,AdditionalVehs!$AA$45:$AK$45,0))</f>
        <v>#REF!</v>
      </c>
      <c r="I796" s="86" t="e">
        <f>GDPdeflator!$C$38*INDEX(AdditionalVehs!$AA$46:$AK$91,MATCH($C796,AdditionalVehs!$C$46:$C$91,0),MATCH(I$7,AdditionalVehs!$AA$45:$AK$45,0))</f>
        <v>#REF!</v>
      </c>
      <c r="J796" s="86" t="e">
        <f>GDPdeflator!$C$38*INDEX(AdditionalVehs!$AA$46:$AK$91,MATCH($C796,AdditionalVehs!$C$46:$C$91,0),MATCH(J$7,AdditionalVehs!$AA$45:$AK$45,0))</f>
        <v>#REF!</v>
      </c>
      <c r="K796" s="86" t="e">
        <f>GDPdeflator!$C$38*INDEX(AdditionalVehs!$AA$46:$AK$91,MATCH($C796,AdditionalVehs!$C$46:$C$91,0),MATCH(K$7,AdditionalVehs!$AA$45:$AK$45,0))</f>
        <v>#REF!</v>
      </c>
      <c r="L796" s="86" t="e">
        <f>GDPdeflator!$C$38*INDEX(AdditionalVehs!$AA$46:$AK$91,MATCH($C796,AdditionalVehs!$C$46:$C$91,0),MATCH(L$7,AdditionalVehs!$AA$45:$AK$45,0))</f>
        <v>#REF!</v>
      </c>
      <c r="M796" s="86" t="e">
        <f>GDPdeflator!$C$38*INDEX(AdditionalVehs!$AA$46:$AK$91,MATCH($C796,AdditionalVehs!$C$46:$C$91,0),MATCH(M$7,AdditionalVehs!$AA$45:$AK$45,0))</f>
        <v>#REF!</v>
      </c>
      <c r="N796" s="86" t="e">
        <f>GDPdeflator!$C$38*INDEX(AdditionalVehs!$AA$46:$AK$91,MATCH($C796,AdditionalVehs!$C$46:$C$91,0),MATCH(N$7,AdditionalVehs!$AA$45:$AK$45,0))</f>
        <v>#REF!</v>
      </c>
      <c r="O796" s="86" t="e">
        <f>GDPdeflator!$C$38*INDEX(AdditionalVehs!$AA$46:$AK$91,MATCH($C796,AdditionalVehs!$C$46:$C$91,0),MATCH(O$7,AdditionalVehs!$AA$45:$AK$45,0))</f>
        <v>#REF!</v>
      </c>
      <c r="P796" s="87">
        <f>E796/$AI$18*10^6</f>
        <v>0</v>
      </c>
      <c r="Q796" s="87" t="e">
        <f t="shared" si="329"/>
        <v>#REF!</v>
      </c>
      <c r="R796" s="87" t="e">
        <f t="shared" si="328"/>
        <v>#REF!</v>
      </c>
      <c r="S796" s="87" t="e">
        <f t="shared" si="317"/>
        <v>#REF!</v>
      </c>
      <c r="T796" s="87" t="e">
        <f t="shared" si="318"/>
        <v>#REF!</v>
      </c>
      <c r="U796" s="87" t="e">
        <f t="shared" si="319"/>
        <v>#REF!</v>
      </c>
      <c r="V796" s="87" t="e">
        <f t="shared" si="320"/>
        <v>#REF!</v>
      </c>
      <c r="W796" s="87" t="e">
        <f t="shared" si="321"/>
        <v>#REF!</v>
      </c>
      <c r="X796" s="87" t="e">
        <f t="shared" si="322"/>
        <v>#REF!</v>
      </c>
      <c r="Y796" s="87" t="e">
        <f t="shared" si="323"/>
        <v>#REF!</v>
      </c>
      <c r="Z796" s="87" t="e">
        <f t="shared" si="324"/>
        <v>#REF!</v>
      </c>
      <c r="AA796" s="40">
        <v>473</v>
      </c>
      <c r="AB796" s="89">
        <f>AA796*GDPdeflator!$C$25/$AI$18*10^3</f>
        <v>45.478712808157368</v>
      </c>
      <c r="AC796" s="90">
        <f>INDEX(AdditionalVehs!$E$46:$N$91,MATCH(C796,AdditionalVehs!$C$46:$C$91),MATCH(D796,AdditionalVehs!$E$45:$N$45))</f>
        <v>0</v>
      </c>
      <c r="AD796" s="90">
        <f t="shared" si="327"/>
        <v>0</v>
      </c>
      <c r="AE796" s="90">
        <f>INDEX(AdditionalVehs!$P$46:$Y$91,MATCH(C796,AdditionalVehs!$C$46:$C$91),MATCH(D796,AdditionalVehs!$AA$45:$AJ$45))</f>
        <v>0</v>
      </c>
      <c r="AF796" s="90">
        <f t="shared" si="331"/>
        <v>0</v>
      </c>
      <c r="AG796" s="90" t="e">
        <f>AdditionalVehs!$C$32</f>
        <v>#REF!</v>
      </c>
    </row>
    <row r="797" spans="1:33" x14ac:dyDescent="0.2">
      <c r="A797" s="92" t="s">
        <v>2442</v>
      </c>
      <c r="B797" s="248" t="s">
        <v>2443</v>
      </c>
      <c r="C797" s="40" t="s">
        <v>2441</v>
      </c>
      <c r="D797" s="40">
        <v>2015</v>
      </c>
      <c r="E797" s="86">
        <f>GDPdeflator!$C$32*INDEX(AdditionalVehs!$AA$46:$AK$91,MATCH($C797,AdditionalVehs!$C$46:$C$91,0),MATCH(E$7,AdditionalVehs!$AA$45:$AK$45,0))</f>
        <v>0</v>
      </c>
      <c r="F797" s="86" t="e">
        <f>GDPdeflator!$C$36*INDEX(AdditionalVehs!$AA$46:$AK$91,MATCH($C797,AdditionalVehs!$C$46:$C$91,0),MATCH(F$7,AdditionalVehs!$AA$45:$AK$45,0))</f>
        <v>#REF!</v>
      </c>
      <c r="G797" s="86" t="e">
        <f>GDPdeflator!$C$38*INDEX(AdditionalVehs!$AA$46:$AK$91,MATCH($C797,AdditionalVehs!$C$46:$C$91,0),MATCH(G$7,AdditionalVehs!$AA$45:$AK$45,0))</f>
        <v>#REF!</v>
      </c>
      <c r="H797" s="86" t="e">
        <f>GDPdeflator!$C$38*INDEX(AdditionalVehs!$AA$46:$AK$91,MATCH($C797,AdditionalVehs!$C$46:$C$91,0),MATCH(H$7,AdditionalVehs!$AA$45:$AK$45,0))</f>
        <v>#REF!</v>
      </c>
      <c r="I797" s="86" t="e">
        <f>GDPdeflator!$C$38*INDEX(AdditionalVehs!$AA$46:$AK$91,MATCH($C797,AdditionalVehs!$C$46:$C$91,0),MATCH(I$7,AdditionalVehs!$AA$45:$AK$45,0))</f>
        <v>#REF!</v>
      </c>
      <c r="J797" s="86" t="e">
        <f>GDPdeflator!$C$38*INDEX(AdditionalVehs!$AA$46:$AK$91,MATCH($C797,AdditionalVehs!$C$46:$C$91,0),MATCH(J$7,AdditionalVehs!$AA$45:$AK$45,0))</f>
        <v>#REF!</v>
      </c>
      <c r="K797" s="86" t="e">
        <f>GDPdeflator!$C$38*INDEX(AdditionalVehs!$AA$46:$AK$91,MATCH($C797,AdditionalVehs!$C$46:$C$91,0),MATCH(K$7,AdditionalVehs!$AA$45:$AK$45,0))</f>
        <v>#REF!</v>
      </c>
      <c r="L797" s="86" t="e">
        <f>GDPdeflator!$C$38*INDEX(AdditionalVehs!$AA$46:$AK$91,MATCH($C797,AdditionalVehs!$C$46:$C$91,0),MATCH(L$7,AdditionalVehs!$AA$45:$AK$45,0))</f>
        <v>#REF!</v>
      </c>
      <c r="M797" s="86" t="e">
        <f>GDPdeflator!$C$38*INDEX(AdditionalVehs!$AA$46:$AK$91,MATCH($C797,AdditionalVehs!$C$46:$C$91,0),MATCH(M$7,AdditionalVehs!$AA$45:$AK$45,0))</f>
        <v>#REF!</v>
      </c>
      <c r="N797" s="86" t="e">
        <f>GDPdeflator!$C$38*INDEX(AdditionalVehs!$AA$46:$AK$91,MATCH($C797,AdditionalVehs!$C$46:$C$91,0),MATCH(N$7,AdditionalVehs!$AA$45:$AK$45,0))</f>
        <v>#REF!</v>
      </c>
      <c r="O797" s="86" t="e">
        <f>GDPdeflator!$C$38*INDEX(AdditionalVehs!$AA$46:$AK$91,MATCH($C797,AdditionalVehs!$C$46:$C$91,0),MATCH(O$7,AdditionalVehs!$AA$45:$AK$45,0))</f>
        <v>#REF!</v>
      </c>
      <c r="P797" s="87">
        <f t="shared" ref="P797:P804" si="333">E797/$AI$18*10^6</f>
        <v>0</v>
      </c>
      <c r="Q797" s="87" t="e">
        <f t="shared" si="329"/>
        <v>#REF!</v>
      </c>
      <c r="R797" s="87" t="e">
        <f t="shared" si="328"/>
        <v>#REF!</v>
      </c>
      <c r="S797" s="87" t="e">
        <f t="shared" si="317"/>
        <v>#REF!</v>
      </c>
      <c r="T797" s="87" t="e">
        <f t="shared" si="318"/>
        <v>#REF!</v>
      </c>
      <c r="U797" s="87" t="e">
        <f t="shared" si="319"/>
        <v>#REF!</v>
      </c>
      <c r="V797" s="87" t="e">
        <f t="shared" si="320"/>
        <v>#REF!</v>
      </c>
      <c r="W797" s="87" t="e">
        <f t="shared" si="321"/>
        <v>#REF!</v>
      </c>
      <c r="X797" s="87" t="e">
        <f t="shared" si="322"/>
        <v>#REF!</v>
      </c>
      <c r="Y797" s="87" t="e">
        <f t="shared" si="323"/>
        <v>#REF!</v>
      </c>
      <c r="Z797" s="87" t="e">
        <f t="shared" si="324"/>
        <v>#REF!</v>
      </c>
      <c r="AA797" s="40">
        <v>473</v>
      </c>
      <c r="AB797" s="89">
        <f>AA797*GDPdeflator!$C$25/$AI$18*10^3</f>
        <v>45.478712808157368</v>
      </c>
      <c r="AC797" s="90" t="e">
        <f>INDEX(AdditionalVehs!$E$46:$N$91,MATCH(C797,AdditionalVehs!$C$46:$C$91),MATCH(D797,AdditionalVehs!$E$45:$N$45))</f>
        <v>#REF!</v>
      </c>
      <c r="AD797" s="90" t="e">
        <f t="shared" si="327"/>
        <v>#REF!</v>
      </c>
      <c r="AE797" s="90" t="e">
        <f>INDEX(AdditionalVehs!$P$46:$Y$91,MATCH(C797,AdditionalVehs!$C$46:$C$91),MATCH(D797,AdditionalVehs!$AA$45:$AJ$45))</f>
        <v>#REF!</v>
      </c>
      <c r="AF797" s="90" t="e">
        <f t="shared" si="331"/>
        <v>#REF!</v>
      </c>
      <c r="AG797" s="90" t="e">
        <f>AdditionalVehs!$C$32</f>
        <v>#REF!</v>
      </c>
    </row>
    <row r="798" spans="1:33" x14ac:dyDescent="0.2">
      <c r="A798" s="92" t="s">
        <v>2444</v>
      </c>
      <c r="B798" s="248" t="s">
        <v>2445</v>
      </c>
      <c r="C798" s="40" t="s">
        <v>2441</v>
      </c>
      <c r="D798" s="40">
        <v>2020</v>
      </c>
      <c r="E798" s="86">
        <f>GDPdeflator!$C$32*INDEX(AdditionalVehs!$AA$46:$AK$91,MATCH($C798,AdditionalVehs!$C$46:$C$91,0),MATCH(E$7,AdditionalVehs!$AA$45:$AK$45,0))</f>
        <v>0</v>
      </c>
      <c r="F798" s="86" t="e">
        <f>GDPdeflator!$C$36*INDEX(AdditionalVehs!$AA$46:$AK$91,MATCH($C798,AdditionalVehs!$C$46:$C$91,0),MATCH(F$7,AdditionalVehs!$AA$45:$AK$45,0))</f>
        <v>#REF!</v>
      </c>
      <c r="G798" s="86" t="e">
        <f>GDPdeflator!$C$38*INDEX(AdditionalVehs!$AA$46:$AK$91,MATCH($C798,AdditionalVehs!$C$46:$C$91,0),MATCH(G$7,AdditionalVehs!$AA$45:$AK$45,0))</f>
        <v>#REF!</v>
      </c>
      <c r="H798" s="86" t="e">
        <f>GDPdeflator!$C$38*INDEX(AdditionalVehs!$AA$46:$AK$91,MATCH($C798,AdditionalVehs!$C$46:$C$91,0),MATCH(H$7,AdditionalVehs!$AA$45:$AK$45,0))</f>
        <v>#REF!</v>
      </c>
      <c r="I798" s="86" t="e">
        <f>GDPdeflator!$C$38*INDEX(AdditionalVehs!$AA$46:$AK$91,MATCH($C798,AdditionalVehs!$C$46:$C$91,0),MATCH(I$7,AdditionalVehs!$AA$45:$AK$45,0))</f>
        <v>#REF!</v>
      </c>
      <c r="J798" s="86" t="e">
        <f>GDPdeflator!$C$38*INDEX(AdditionalVehs!$AA$46:$AK$91,MATCH($C798,AdditionalVehs!$C$46:$C$91,0),MATCH(J$7,AdditionalVehs!$AA$45:$AK$45,0))</f>
        <v>#REF!</v>
      </c>
      <c r="K798" s="86" t="e">
        <f>GDPdeflator!$C$38*INDEX(AdditionalVehs!$AA$46:$AK$91,MATCH($C798,AdditionalVehs!$C$46:$C$91,0),MATCH(K$7,AdditionalVehs!$AA$45:$AK$45,0))</f>
        <v>#REF!</v>
      </c>
      <c r="L798" s="86" t="e">
        <f>GDPdeflator!$C$38*INDEX(AdditionalVehs!$AA$46:$AK$91,MATCH($C798,AdditionalVehs!$C$46:$C$91,0),MATCH(L$7,AdditionalVehs!$AA$45:$AK$45,0))</f>
        <v>#REF!</v>
      </c>
      <c r="M798" s="86" t="e">
        <f>GDPdeflator!$C$38*INDEX(AdditionalVehs!$AA$46:$AK$91,MATCH($C798,AdditionalVehs!$C$46:$C$91,0),MATCH(M$7,AdditionalVehs!$AA$45:$AK$45,0))</f>
        <v>#REF!</v>
      </c>
      <c r="N798" s="86" t="e">
        <f>GDPdeflator!$C$38*INDEX(AdditionalVehs!$AA$46:$AK$91,MATCH($C798,AdditionalVehs!$C$46:$C$91,0),MATCH(N$7,AdditionalVehs!$AA$45:$AK$45,0))</f>
        <v>#REF!</v>
      </c>
      <c r="O798" s="86" t="e">
        <f>GDPdeflator!$C$38*INDEX(AdditionalVehs!$AA$46:$AK$91,MATCH($C798,AdditionalVehs!$C$46:$C$91,0),MATCH(O$7,AdditionalVehs!$AA$45:$AK$45,0))</f>
        <v>#REF!</v>
      </c>
      <c r="P798" s="87">
        <f t="shared" si="333"/>
        <v>0</v>
      </c>
      <c r="Q798" s="87" t="e">
        <f t="shared" si="329"/>
        <v>#REF!</v>
      </c>
      <c r="R798" s="87" t="e">
        <f t="shared" si="328"/>
        <v>#REF!</v>
      </c>
      <c r="S798" s="87" t="e">
        <f t="shared" si="317"/>
        <v>#REF!</v>
      </c>
      <c r="T798" s="87" t="e">
        <f t="shared" si="318"/>
        <v>#REF!</v>
      </c>
      <c r="U798" s="87" t="e">
        <f t="shared" si="319"/>
        <v>#REF!</v>
      </c>
      <c r="V798" s="87" t="e">
        <f t="shared" si="320"/>
        <v>#REF!</v>
      </c>
      <c r="W798" s="87" t="e">
        <f t="shared" si="321"/>
        <v>#REF!</v>
      </c>
      <c r="X798" s="87" t="e">
        <f t="shared" si="322"/>
        <v>#REF!</v>
      </c>
      <c r="Y798" s="87" t="e">
        <f t="shared" si="323"/>
        <v>#REF!</v>
      </c>
      <c r="Z798" s="87" t="e">
        <f t="shared" si="324"/>
        <v>#REF!</v>
      </c>
      <c r="AA798" s="40">
        <v>473</v>
      </c>
      <c r="AB798" s="89">
        <f>AA798*GDPdeflator!$C$25/$AI$18*10^3</f>
        <v>45.478712808157368</v>
      </c>
      <c r="AC798" s="90" t="e">
        <f>INDEX(AdditionalVehs!$E$46:$N$91,MATCH(C798,AdditionalVehs!$C$46:$C$91),MATCH(D798,AdditionalVehs!$E$45:$N$45))</f>
        <v>#REF!</v>
      </c>
      <c r="AD798" s="90" t="e">
        <f t="shared" si="327"/>
        <v>#REF!</v>
      </c>
      <c r="AE798" s="90" t="e">
        <f>INDEX(AdditionalVehs!$P$46:$Y$91,MATCH(C798,AdditionalVehs!$C$46:$C$91),MATCH(D798,AdditionalVehs!$AA$45:$AJ$45))</f>
        <v>#REF!</v>
      </c>
      <c r="AF798" s="90" t="e">
        <f t="shared" si="331"/>
        <v>#REF!</v>
      </c>
      <c r="AG798" s="90" t="e">
        <f>AdditionalVehs!$C$32</f>
        <v>#REF!</v>
      </c>
    </row>
    <row r="799" spans="1:33" x14ac:dyDescent="0.2">
      <c r="A799" s="92" t="s">
        <v>2446</v>
      </c>
      <c r="B799" s="248" t="s">
        <v>2447</v>
      </c>
      <c r="C799" s="40" t="s">
        <v>2441</v>
      </c>
      <c r="D799" s="40">
        <v>2025</v>
      </c>
      <c r="E799" s="86">
        <f>GDPdeflator!$C$32*INDEX(AdditionalVehs!$AA$46:$AK$91,MATCH($C799,AdditionalVehs!$C$46:$C$91,0),MATCH(E$7,AdditionalVehs!$AA$45:$AK$45,0))</f>
        <v>0</v>
      </c>
      <c r="F799" s="86" t="e">
        <f>GDPdeflator!$C$36*INDEX(AdditionalVehs!$AA$46:$AK$91,MATCH($C799,AdditionalVehs!$C$46:$C$91,0),MATCH(F$7,AdditionalVehs!$AA$45:$AK$45,0))</f>
        <v>#REF!</v>
      </c>
      <c r="G799" s="86" t="e">
        <f>GDPdeflator!$C$38*INDEX(AdditionalVehs!$AA$46:$AK$91,MATCH($C799,AdditionalVehs!$C$46:$C$91,0),MATCH(G$7,AdditionalVehs!$AA$45:$AK$45,0))</f>
        <v>#REF!</v>
      </c>
      <c r="H799" s="86" t="e">
        <f>GDPdeflator!$C$38*INDEX(AdditionalVehs!$AA$46:$AK$91,MATCH($C799,AdditionalVehs!$C$46:$C$91,0),MATCH(H$7,AdditionalVehs!$AA$45:$AK$45,0))</f>
        <v>#REF!</v>
      </c>
      <c r="I799" s="86" t="e">
        <f>GDPdeflator!$C$38*INDEX(AdditionalVehs!$AA$46:$AK$91,MATCH($C799,AdditionalVehs!$C$46:$C$91,0),MATCH(I$7,AdditionalVehs!$AA$45:$AK$45,0))</f>
        <v>#REF!</v>
      </c>
      <c r="J799" s="86" t="e">
        <f>GDPdeflator!$C$38*INDEX(AdditionalVehs!$AA$46:$AK$91,MATCH($C799,AdditionalVehs!$C$46:$C$91,0),MATCH(J$7,AdditionalVehs!$AA$45:$AK$45,0))</f>
        <v>#REF!</v>
      </c>
      <c r="K799" s="86" t="e">
        <f>GDPdeflator!$C$38*INDEX(AdditionalVehs!$AA$46:$AK$91,MATCH($C799,AdditionalVehs!$C$46:$C$91,0),MATCH(K$7,AdditionalVehs!$AA$45:$AK$45,0))</f>
        <v>#REF!</v>
      </c>
      <c r="L799" s="86" t="e">
        <f>GDPdeflator!$C$38*INDEX(AdditionalVehs!$AA$46:$AK$91,MATCH($C799,AdditionalVehs!$C$46:$C$91,0),MATCH(L$7,AdditionalVehs!$AA$45:$AK$45,0))</f>
        <v>#REF!</v>
      </c>
      <c r="M799" s="86" t="e">
        <f>GDPdeflator!$C$38*INDEX(AdditionalVehs!$AA$46:$AK$91,MATCH($C799,AdditionalVehs!$C$46:$C$91,0),MATCH(M$7,AdditionalVehs!$AA$45:$AK$45,0))</f>
        <v>#REF!</v>
      </c>
      <c r="N799" s="86" t="e">
        <f>GDPdeflator!$C$38*INDEX(AdditionalVehs!$AA$46:$AK$91,MATCH($C799,AdditionalVehs!$C$46:$C$91,0),MATCH(N$7,AdditionalVehs!$AA$45:$AK$45,0))</f>
        <v>#REF!</v>
      </c>
      <c r="O799" s="86" t="e">
        <f>GDPdeflator!$C$38*INDEX(AdditionalVehs!$AA$46:$AK$91,MATCH($C799,AdditionalVehs!$C$46:$C$91,0),MATCH(O$7,AdditionalVehs!$AA$45:$AK$45,0))</f>
        <v>#REF!</v>
      </c>
      <c r="P799" s="87">
        <f t="shared" si="333"/>
        <v>0</v>
      </c>
      <c r="Q799" s="87" t="e">
        <f t="shared" si="329"/>
        <v>#REF!</v>
      </c>
      <c r="R799" s="87" t="e">
        <f t="shared" si="328"/>
        <v>#REF!</v>
      </c>
      <c r="S799" s="87" t="e">
        <f t="shared" si="317"/>
        <v>#REF!</v>
      </c>
      <c r="T799" s="87" t="e">
        <f t="shared" si="318"/>
        <v>#REF!</v>
      </c>
      <c r="U799" s="87" t="e">
        <f t="shared" si="319"/>
        <v>#REF!</v>
      </c>
      <c r="V799" s="87" t="e">
        <f t="shared" si="320"/>
        <v>#REF!</v>
      </c>
      <c r="W799" s="87" t="e">
        <f t="shared" si="321"/>
        <v>#REF!</v>
      </c>
      <c r="X799" s="87" t="e">
        <f t="shared" si="322"/>
        <v>#REF!</v>
      </c>
      <c r="Y799" s="87" t="e">
        <f t="shared" si="323"/>
        <v>#REF!</v>
      </c>
      <c r="Z799" s="87" t="e">
        <f t="shared" si="324"/>
        <v>#REF!</v>
      </c>
      <c r="AA799" s="40">
        <v>473</v>
      </c>
      <c r="AB799" s="89">
        <f>AA799*GDPdeflator!$C$25/$AI$18*10^3</f>
        <v>45.478712808157368</v>
      </c>
      <c r="AC799" s="90" t="e">
        <f>INDEX(AdditionalVehs!$E$46:$N$91,MATCH(C799,AdditionalVehs!$C$46:$C$91),MATCH(D799,AdditionalVehs!$E$45:$N$45))</f>
        <v>#REF!</v>
      </c>
      <c r="AD799" s="90" t="e">
        <f t="shared" si="327"/>
        <v>#REF!</v>
      </c>
      <c r="AE799" s="90" t="e">
        <f>INDEX(AdditionalVehs!$P$46:$Y$91,MATCH(C799,AdditionalVehs!$C$46:$C$91),MATCH(D799,AdditionalVehs!$AA$45:$AJ$45))</f>
        <v>#REF!</v>
      </c>
      <c r="AF799" s="90" t="e">
        <f t="shared" si="331"/>
        <v>#REF!</v>
      </c>
      <c r="AG799" s="90" t="e">
        <f>AdditionalVehs!$C$32</f>
        <v>#REF!</v>
      </c>
    </row>
    <row r="800" spans="1:33" x14ac:dyDescent="0.2">
      <c r="A800" s="92" t="s">
        <v>2448</v>
      </c>
      <c r="B800" s="248" t="s">
        <v>2449</v>
      </c>
      <c r="C800" s="40" t="s">
        <v>2441</v>
      </c>
      <c r="D800" s="40">
        <v>2030</v>
      </c>
      <c r="E800" s="86">
        <f>GDPdeflator!$C$32*INDEX(AdditionalVehs!$AA$46:$AK$91,MATCH($C800,AdditionalVehs!$C$46:$C$91,0),MATCH(E$7,AdditionalVehs!$AA$45:$AK$45,0))</f>
        <v>0</v>
      </c>
      <c r="F800" s="86" t="e">
        <f>GDPdeflator!$C$36*INDEX(AdditionalVehs!$AA$46:$AK$91,MATCH($C800,AdditionalVehs!$C$46:$C$91,0),MATCH(F$7,AdditionalVehs!$AA$45:$AK$45,0))</f>
        <v>#REF!</v>
      </c>
      <c r="G800" s="86" t="e">
        <f>GDPdeflator!$C$38*INDEX(AdditionalVehs!$AA$46:$AK$91,MATCH($C800,AdditionalVehs!$C$46:$C$91,0),MATCH(G$7,AdditionalVehs!$AA$45:$AK$45,0))</f>
        <v>#REF!</v>
      </c>
      <c r="H800" s="86" t="e">
        <f>GDPdeflator!$C$38*INDEX(AdditionalVehs!$AA$46:$AK$91,MATCH($C800,AdditionalVehs!$C$46:$C$91,0),MATCH(H$7,AdditionalVehs!$AA$45:$AK$45,0))</f>
        <v>#REF!</v>
      </c>
      <c r="I800" s="86" t="e">
        <f>GDPdeflator!$C$38*INDEX(AdditionalVehs!$AA$46:$AK$91,MATCH($C800,AdditionalVehs!$C$46:$C$91,0),MATCH(I$7,AdditionalVehs!$AA$45:$AK$45,0))</f>
        <v>#REF!</v>
      </c>
      <c r="J800" s="86" t="e">
        <f>GDPdeflator!$C$38*INDEX(AdditionalVehs!$AA$46:$AK$91,MATCH($C800,AdditionalVehs!$C$46:$C$91,0),MATCH(J$7,AdditionalVehs!$AA$45:$AK$45,0))</f>
        <v>#REF!</v>
      </c>
      <c r="K800" s="86" t="e">
        <f>GDPdeflator!$C$38*INDEX(AdditionalVehs!$AA$46:$AK$91,MATCH($C800,AdditionalVehs!$C$46:$C$91,0),MATCH(K$7,AdditionalVehs!$AA$45:$AK$45,0))</f>
        <v>#REF!</v>
      </c>
      <c r="L800" s="86" t="e">
        <f>GDPdeflator!$C$38*INDEX(AdditionalVehs!$AA$46:$AK$91,MATCH($C800,AdditionalVehs!$C$46:$C$91,0),MATCH(L$7,AdditionalVehs!$AA$45:$AK$45,0))</f>
        <v>#REF!</v>
      </c>
      <c r="M800" s="86" t="e">
        <f>GDPdeflator!$C$38*INDEX(AdditionalVehs!$AA$46:$AK$91,MATCH($C800,AdditionalVehs!$C$46:$C$91,0),MATCH(M$7,AdditionalVehs!$AA$45:$AK$45,0))</f>
        <v>#REF!</v>
      </c>
      <c r="N800" s="86" t="e">
        <f>GDPdeflator!$C$38*INDEX(AdditionalVehs!$AA$46:$AK$91,MATCH($C800,AdditionalVehs!$C$46:$C$91,0),MATCH(N$7,AdditionalVehs!$AA$45:$AK$45,0))</f>
        <v>#REF!</v>
      </c>
      <c r="O800" s="86" t="e">
        <f>GDPdeflator!$C$38*INDEX(AdditionalVehs!$AA$46:$AK$91,MATCH($C800,AdditionalVehs!$C$46:$C$91,0),MATCH(O$7,AdditionalVehs!$AA$45:$AK$45,0))</f>
        <v>#REF!</v>
      </c>
      <c r="P800" s="87">
        <f t="shared" si="333"/>
        <v>0</v>
      </c>
      <c r="Q800" s="87" t="e">
        <f t="shared" si="329"/>
        <v>#REF!</v>
      </c>
      <c r="R800" s="87" t="e">
        <f t="shared" si="328"/>
        <v>#REF!</v>
      </c>
      <c r="S800" s="87" t="e">
        <f t="shared" si="317"/>
        <v>#REF!</v>
      </c>
      <c r="T800" s="87" t="e">
        <f t="shared" si="318"/>
        <v>#REF!</v>
      </c>
      <c r="U800" s="87" t="e">
        <f t="shared" si="319"/>
        <v>#REF!</v>
      </c>
      <c r="V800" s="87" t="e">
        <f t="shared" si="320"/>
        <v>#REF!</v>
      </c>
      <c r="W800" s="87" t="e">
        <f t="shared" si="321"/>
        <v>#REF!</v>
      </c>
      <c r="X800" s="87" t="e">
        <f t="shared" si="322"/>
        <v>#REF!</v>
      </c>
      <c r="Y800" s="87" t="e">
        <f t="shared" si="323"/>
        <v>#REF!</v>
      </c>
      <c r="Z800" s="87" t="e">
        <f t="shared" si="324"/>
        <v>#REF!</v>
      </c>
      <c r="AA800" s="40">
        <v>473</v>
      </c>
      <c r="AB800" s="89">
        <f>AA800*GDPdeflator!$C$25/$AI$18*10^3</f>
        <v>45.478712808157368</v>
      </c>
      <c r="AC800" s="90" t="e">
        <f>INDEX(AdditionalVehs!$E$46:$N$91,MATCH(C800,AdditionalVehs!$C$46:$C$91),MATCH(D800,AdditionalVehs!$E$45:$N$45))</f>
        <v>#REF!</v>
      </c>
      <c r="AD800" s="90" t="e">
        <f t="shared" si="327"/>
        <v>#REF!</v>
      </c>
      <c r="AE800" s="90" t="e">
        <f>INDEX(AdditionalVehs!$P$46:$Y$91,MATCH(C800,AdditionalVehs!$C$46:$C$91),MATCH(D800,AdditionalVehs!$AA$45:$AJ$45))</f>
        <v>#REF!</v>
      </c>
      <c r="AF800" s="90" t="e">
        <f t="shared" si="331"/>
        <v>#REF!</v>
      </c>
      <c r="AG800" s="90" t="e">
        <f>AdditionalVehs!$C$32</f>
        <v>#REF!</v>
      </c>
    </row>
    <row r="801" spans="1:33" x14ac:dyDescent="0.2">
      <c r="A801" s="92" t="s">
        <v>2450</v>
      </c>
      <c r="B801" s="248" t="s">
        <v>2451</v>
      </c>
      <c r="C801" s="40" t="s">
        <v>2441</v>
      </c>
      <c r="D801" s="40">
        <v>2035</v>
      </c>
      <c r="E801" s="86">
        <f>GDPdeflator!$C$32*INDEX(AdditionalVehs!$AA$46:$AK$91,MATCH($C801,AdditionalVehs!$C$46:$C$91,0),MATCH(E$7,AdditionalVehs!$AA$45:$AK$45,0))</f>
        <v>0</v>
      </c>
      <c r="F801" s="86" t="e">
        <f>GDPdeflator!$C$36*INDEX(AdditionalVehs!$AA$46:$AK$91,MATCH($C801,AdditionalVehs!$C$46:$C$91,0),MATCH(F$7,AdditionalVehs!$AA$45:$AK$45,0))</f>
        <v>#REF!</v>
      </c>
      <c r="G801" s="86" t="e">
        <f>GDPdeflator!$C$38*INDEX(AdditionalVehs!$AA$46:$AK$91,MATCH($C801,AdditionalVehs!$C$46:$C$91,0),MATCH(G$7,AdditionalVehs!$AA$45:$AK$45,0))</f>
        <v>#REF!</v>
      </c>
      <c r="H801" s="86" t="e">
        <f>GDPdeflator!$C$38*INDEX(AdditionalVehs!$AA$46:$AK$91,MATCH($C801,AdditionalVehs!$C$46:$C$91,0),MATCH(H$7,AdditionalVehs!$AA$45:$AK$45,0))</f>
        <v>#REF!</v>
      </c>
      <c r="I801" s="86" t="e">
        <f>GDPdeflator!$C$38*INDEX(AdditionalVehs!$AA$46:$AK$91,MATCH($C801,AdditionalVehs!$C$46:$C$91,0),MATCH(I$7,AdditionalVehs!$AA$45:$AK$45,0))</f>
        <v>#REF!</v>
      </c>
      <c r="J801" s="86" t="e">
        <f>GDPdeflator!$C$38*INDEX(AdditionalVehs!$AA$46:$AK$91,MATCH($C801,AdditionalVehs!$C$46:$C$91,0),MATCH(J$7,AdditionalVehs!$AA$45:$AK$45,0))</f>
        <v>#REF!</v>
      </c>
      <c r="K801" s="86" t="e">
        <f>GDPdeflator!$C$38*INDEX(AdditionalVehs!$AA$46:$AK$91,MATCH($C801,AdditionalVehs!$C$46:$C$91,0),MATCH(K$7,AdditionalVehs!$AA$45:$AK$45,0))</f>
        <v>#REF!</v>
      </c>
      <c r="L801" s="86" t="e">
        <f>GDPdeflator!$C$38*INDEX(AdditionalVehs!$AA$46:$AK$91,MATCH($C801,AdditionalVehs!$C$46:$C$91,0),MATCH(L$7,AdditionalVehs!$AA$45:$AK$45,0))</f>
        <v>#REF!</v>
      </c>
      <c r="M801" s="86" t="e">
        <f>GDPdeflator!$C$38*INDEX(AdditionalVehs!$AA$46:$AK$91,MATCH($C801,AdditionalVehs!$C$46:$C$91,0),MATCH(M$7,AdditionalVehs!$AA$45:$AK$45,0))</f>
        <v>#REF!</v>
      </c>
      <c r="N801" s="86" t="e">
        <f>GDPdeflator!$C$38*INDEX(AdditionalVehs!$AA$46:$AK$91,MATCH($C801,AdditionalVehs!$C$46:$C$91,0),MATCH(N$7,AdditionalVehs!$AA$45:$AK$45,0))</f>
        <v>#REF!</v>
      </c>
      <c r="O801" s="86" t="e">
        <f>GDPdeflator!$C$38*INDEX(AdditionalVehs!$AA$46:$AK$91,MATCH($C801,AdditionalVehs!$C$46:$C$91,0),MATCH(O$7,AdditionalVehs!$AA$45:$AK$45,0))</f>
        <v>#REF!</v>
      </c>
      <c r="P801" s="87">
        <f t="shared" si="333"/>
        <v>0</v>
      </c>
      <c r="Q801" s="87" t="e">
        <f t="shared" si="329"/>
        <v>#REF!</v>
      </c>
      <c r="R801" s="87" t="e">
        <f t="shared" si="328"/>
        <v>#REF!</v>
      </c>
      <c r="S801" s="87" t="e">
        <f t="shared" si="317"/>
        <v>#REF!</v>
      </c>
      <c r="T801" s="87" t="e">
        <f t="shared" si="318"/>
        <v>#REF!</v>
      </c>
      <c r="U801" s="87" t="e">
        <f t="shared" si="319"/>
        <v>#REF!</v>
      </c>
      <c r="V801" s="87" t="e">
        <f t="shared" si="320"/>
        <v>#REF!</v>
      </c>
      <c r="W801" s="87" t="e">
        <f t="shared" si="321"/>
        <v>#REF!</v>
      </c>
      <c r="X801" s="87" t="e">
        <f t="shared" si="322"/>
        <v>#REF!</v>
      </c>
      <c r="Y801" s="87" t="e">
        <f t="shared" si="323"/>
        <v>#REF!</v>
      </c>
      <c r="Z801" s="87" t="e">
        <f t="shared" si="324"/>
        <v>#REF!</v>
      </c>
      <c r="AA801" s="40">
        <v>473</v>
      </c>
      <c r="AB801" s="89">
        <f>AA801*GDPdeflator!$C$25/$AI$18*10^3</f>
        <v>45.478712808157368</v>
      </c>
      <c r="AC801" s="90" t="e">
        <f>INDEX(AdditionalVehs!$E$46:$N$91,MATCH(C801,AdditionalVehs!$C$46:$C$91),MATCH(D801,AdditionalVehs!$E$45:$N$45))</f>
        <v>#REF!</v>
      </c>
      <c r="AD801" s="90" t="e">
        <f t="shared" si="327"/>
        <v>#REF!</v>
      </c>
      <c r="AE801" s="90" t="e">
        <f>INDEX(AdditionalVehs!$P$46:$Y$91,MATCH(C801,AdditionalVehs!$C$46:$C$91),MATCH(D801,AdditionalVehs!$AA$45:$AJ$45))</f>
        <v>#REF!</v>
      </c>
      <c r="AF801" s="90" t="e">
        <f t="shared" si="331"/>
        <v>#REF!</v>
      </c>
      <c r="AG801" s="90" t="e">
        <f>AdditionalVehs!$C$32</f>
        <v>#REF!</v>
      </c>
    </row>
    <row r="802" spans="1:33" x14ac:dyDescent="0.2">
      <c r="A802" s="92" t="s">
        <v>2452</v>
      </c>
      <c r="B802" s="248" t="s">
        <v>2453</v>
      </c>
      <c r="C802" s="40" t="s">
        <v>2441</v>
      </c>
      <c r="D802" s="40">
        <v>2040</v>
      </c>
      <c r="E802" s="86">
        <f>GDPdeflator!$C$32*INDEX(AdditionalVehs!$AA$46:$AK$91,MATCH($C802,AdditionalVehs!$C$46:$C$91,0),MATCH(E$7,AdditionalVehs!$AA$45:$AK$45,0))</f>
        <v>0</v>
      </c>
      <c r="F802" s="86" t="e">
        <f>GDPdeflator!$C$36*INDEX(AdditionalVehs!$AA$46:$AK$91,MATCH($C802,AdditionalVehs!$C$46:$C$91,0),MATCH(F$7,AdditionalVehs!$AA$45:$AK$45,0))</f>
        <v>#REF!</v>
      </c>
      <c r="G802" s="86" t="e">
        <f>GDPdeflator!$C$38*INDEX(AdditionalVehs!$AA$46:$AK$91,MATCH($C802,AdditionalVehs!$C$46:$C$91,0),MATCH(G$7,AdditionalVehs!$AA$45:$AK$45,0))</f>
        <v>#REF!</v>
      </c>
      <c r="H802" s="86" t="e">
        <f>GDPdeflator!$C$38*INDEX(AdditionalVehs!$AA$46:$AK$91,MATCH($C802,AdditionalVehs!$C$46:$C$91,0),MATCH(H$7,AdditionalVehs!$AA$45:$AK$45,0))</f>
        <v>#REF!</v>
      </c>
      <c r="I802" s="86" t="e">
        <f>GDPdeflator!$C$38*INDEX(AdditionalVehs!$AA$46:$AK$91,MATCH($C802,AdditionalVehs!$C$46:$C$91,0),MATCH(I$7,AdditionalVehs!$AA$45:$AK$45,0))</f>
        <v>#REF!</v>
      </c>
      <c r="J802" s="86" t="e">
        <f>GDPdeflator!$C$38*INDEX(AdditionalVehs!$AA$46:$AK$91,MATCH($C802,AdditionalVehs!$C$46:$C$91,0),MATCH(J$7,AdditionalVehs!$AA$45:$AK$45,0))</f>
        <v>#REF!</v>
      </c>
      <c r="K802" s="86" t="e">
        <f>GDPdeflator!$C$38*INDEX(AdditionalVehs!$AA$46:$AK$91,MATCH($C802,AdditionalVehs!$C$46:$C$91,0),MATCH(K$7,AdditionalVehs!$AA$45:$AK$45,0))</f>
        <v>#REF!</v>
      </c>
      <c r="L802" s="86" t="e">
        <f>GDPdeflator!$C$38*INDEX(AdditionalVehs!$AA$46:$AK$91,MATCH($C802,AdditionalVehs!$C$46:$C$91,0),MATCH(L$7,AdditionalVehs!$AA$45:$AK$45,0))</f>
        <v>#REF!</v>
      </c>
      <c r="M802" s="86" t="e">
        <f>GDPdeflator!$C$38*INDEX(AdditionalVehs!$AA$46:$AK$91,MATCH($C802,AdditionalVehs!$C$46:$C$91,0),MATCH(M$7,AdditionalVehs!$AA$45:$AK$45,0))</f>
        <v>#REF!</v>
      </c>
      <c r="N802" s="86" t="e">
        <f>GDPdeflator!$C$38*INDEX(AdditionalVehs!$AA$46:$AK$91,MATCH($C802,AdditionalVehs!$C$46:$C$91,0),MATCH(N$7,AdditionalVehs!$AA$45:$AK$45,0))</f>
        <v>#REF!</v>
      </c>
      <c r="O802" s="86" t="e">
        <f>GDPdeflator!$C$38*INDEX(AdditionalVehs!$AA$46:$AK$91,MATCH($C802,AdditionalVehs!$C$46:$C$91,0),MATCH(O$7,AdditionalVehs!$AA$45:$AK$45,0))</f>
        <v>#REF!</v>
      </c>
      <c r="P802" s="87">
        <f t="shared" si="333"/>
        <v>0</v>
      </c>
      <c r="Q802" s="87" t="e">
        <f t="shared" si="329"/>
        <v>#REF!</v>
      </c>
      <c r="R802" s="87" t="e">
        <f t="shared" si="328"/>
        <v>#REF!</v>
      </c>
      <c r="S802" s="87" t="e">
        <f t="shared" si="317"/>
        <v>#REF!</v>
      </c>
      <c r="T802" s="87" t="e">
        <f t="shared" si="318"/>
        <v>#REF!</v>
      </c>
      <c r="U802" s="87" t="e">
        <f t="shared" si="319"/>
        <v>#REF!</v>
      </c>
      <c r="V802" s="87" t="e">
        <f t="shared" si="320"/>
        <v>#REF!</v>
      </c>
      <c r="W802" s="87" t="e">
        <f t="shared" si="321"/>
        <v>#REF!</v>
      </c>
      <c r="X802" s="87" t="e">
        <f t="shared" si="322"/>
        <v>#REF!</v>
      </c>
      <c r="Y802" s="87" t="e">
        <f t="shared" si="323"/>
        <v>#REF!</v>
      </c>
      <c r="Z802" s="87" t="e">
        <f t="shared" si="324"/>
        <v>#REF!</v>
      </c>
      <c r="AA802" s="40">
        <v>473</v>
      </c>
      <c r="AB802" s="89">
        <f>AA802*GDPdeflator!$C$25/$AI$18*10^3</f>
        <v>45.478712808157368</v>
      </c>
      <c r="AC802" s="90" t="e">
        <f>INDEX(AdditionalVehs!$E$46:$N$91,MATCH(C802,AdditionalVehs!$C$46:$C$91),MATCH(D802,AdditionalVehs!$E$45:$N$45))</f>
        <v>#REF!</v>
      </c>
      <c r="AD802" s="90" t="e">
        <f t="shared" si="327"/>
        <v>#REF!</v>
      </c>
      <c r="AE802" s="90" t="e">
        <f>INDEX(AdditionalVehs!$P$46:$Y$91,MATCH(C802,AdditionalVehs!$C$46:$C$91),MATCH(D802,AdditionalVehs!$AA$45:$AJ$45))</f>
        <v>#REF!</v>
      </c>
      <c r="AF802" s="90" t="e">
        <f t="shared" si="331"/>
        <v>#REF!</v>
      </c>
      <c r="AG802" s="90" t="e">
        <f>AdditionalVehs!$C$32</f>
        <v>#REF!</v>
      </c>
    </row>
    <row r="803" spans="1:33" x14ac:dyDescent="0.2">
      <c r="A803" s="92" t="s">
        <v>2454</v>
      </c>
      <c r="B803" s="248" t="s">
        <v>2455</v>
      </c>
      <c r="C803" s="40" t="s">
        <v>2441</v>
      </c>
      <c r="D803" s="40">
        <v>2045</v>
      </c>
      <c r="E803" s="86">
        <f>GDPdeflator!$C$32*INDEX(AdditionalVehs!$AA$46:$AK$91,MATCH($C803,AdditionalVehs!$C$46:$C$91,0),MATCH(E$7,AdditionalVehs!$AA$45:$AK$45,0))</f>
        <v>0</v>
      </c>
      <c r="F803" s="86" t="e">
        <f>GDPdeflator!$C$36*INDEX(AdditionalVehs!$AA$46:$AK$91,MATCH($C803,AdditionalVehs!$C$46:$C$91,0),MATCH(F$7,AdditionalVehs!$AA$45:$AK$45,0))</f>
        <v>#REF!</v>
      </c>
      <c r="G803" s="86" t="e">
        <f>GDPdeflator!$C$38*INDEX(AdditionalVehs!$AA$46:$AK$91,MATCH($C803,AdditionalVehs!$C$46:$C$91,0),MATCH(G$7,AdditionalVehs!$AA$45:$AK$45,0))</f>
        <v>#REF!</v>
      </c>
      <c r="H803" s="86" t="e">
        <f>GDPdeflator!$C$38*INDEX(AdditionalVehs!$AA$46:$AK$91,MATCH($C803,AdditionalVehs!$C$46:$C$91,0),MATCH(H$7,AdditionalVehs!$AA$45:$AK$45,0))</f>
        <v>#REF!</v>
      </c>
      <c r="I803" s="86" t="e">
        <f>GDPdeflator!$C$38*INDEX(AdditionalVehs!$AA$46:$AK$91,MATCH($C803,AdditionalVehs!$C$46:$C$91,0),MATCH(I$7,AdditionalVehs!$AA$45:$AK$45,0))</f>
        <v>#REF!</v>
      </c>
      <c r="J803" s="86" t="e">
        <f>GDPdeflator!$C$38*INDEX(AdditionalVehs!$AA$46:$AK$91,MATCH($C803,AdditionalVehs!$C$46:$C$91,0),MATCH(J$7,AdditionalVehs!$AA$45:$AK$45,0))</f>
        <v>#REF!</v>
      </c>
      <c r="K803" s="86" t="e">
        <f>GDPdeflator!$C$38*INDEX(AdditionalVehs!$AA$46:$AK$91,MATCH($C803,AdditionalVehs!$C$46:$C$91,0),MATCH(K$7,AdditionalVehs!$AA$45:$AK$45,0))</f>
        <v>#REF!</v>
      </c>
      <c r="L803" s="86" t="e">
        <f>GDPdeflator!$C$38*INDEX(AdditionalVehs!$AA$46:$AK$91,MATCH($C803,AdditionalVehs!$C$46:$C$91,0),MATCH(L$7,AdditionalVehs!$AA$45:$AK$45,0))</f>
        <v>#REF!</v>
      </c>
      <c r="M803" s="86" t="e">
        <f>GDPdeflator!$C$38*INDEX(AdditionalVehs!$AA$46:$AK$91,MATCH($C803,AdditionalVehs!$C$46:$C$91,0),MATCH(M$7,AdditionalVehs!$AA$45:$AK$45,0))</f>
        <v>#REF!</v>
      </c>
      <c r="N803" s="86" t="e">
        <f>GDPdeflator!$C$38*INDEX(AdditionalVehs!$AA$46:$AK$91,MATCH($C803,AdditionalVehs!$C$46:$C$91,0),MATCH(N$7,AdditionalVehs!$AA$45:$AK$45,0))</f>
        <v>#REF!</v>
      </c>
      <c r="O803" s="86" t="e">
        <f>GDPdeflator!$C$38*INDEX(AdditionalVehs!$AA$46:$AK$91,MATCH($C803,AdditionalVehs!$C$46:$C$91,0),MATCH(O$7,AdditionalVehs!$AA$45:$AK$45,0))</f>
        <v>#REF!</v>
      </c>
      <c r="P803" s="87">
        <f t="shared" si="333"/>
        <v>0</v>
      </c>
      <c r="Q803" s="87" t="e">
        <f t="shared" si="329"/>
        <v>#REF!</v>
      </c>
      <c r="R803" s="87" t="e">
        <f t="shared" si="328"/>
        <v>#REF!</v>
      </c>
      <c r="S803" s="87" t="e">
        <f t="shared" si="317"/>
        <v>#REF!</v>
      </c>
      <c r="T803" s="87" t="e">
        <f t="shared" si="318"/>
        <v>#REF!</v>
      </c>
      <c r="U803" s="87" t="e">
        <f t="shared" si="319"/>
        <v>#REF!</v>
      </c>
      <c r="V803" s="87" t="e">
        <f t="shared" si="320"/>
        <v>#REF!</v>
      </c>
      <c r="W803" s="87" t="e">
        <f t="shared" si="321"/>
        <v>#REF!</v>
      </c>
      <c r="X803" s="87" t="e">
        <f t="shared" si="322"/>
        <v>#REF!</v>
      </c>
      <c r="Y803" s="87" t="e">
        <f t="shared" si="323"/>
        <v>#REF!</v>
      </c>
      <c r="Z803" s="87" t="e">
        <f t="shared" si="324"/>
        <v>#REF!</v>
      </c>
      <c r="AA803" s="40">
        <v>473</v>
      </c>
      <c r="AB803" s="89">
        <f>AA803*GDPdeflator!$C$25/$AI$18*10^3</f>
        <v>45.478712808157368</v>
      </c>
      <c r="AC803" s="90" t="e">
        <f>INDEX(AdditionalVehs!$E$46:$N$91,MATCH(C803,AdditionalVehs!$C$46:$C$91),MATCH(D803,AdditionalVehs!$E$45:$N$45))</f>
        <v>#REF!</v>
      </c>
      <c r="AD803" s="90" t="e">
        <f t="shared" si="327"/>
        <v>#REF!</v>
      </c>
      <c r="AE803" s="90" t="e">
        <f>INDEX(AdditionalVehs!$P$46:$Y$91,MATCH(C803,AdditionalVehs!$C$46:$C$91),MATCH(D803,AdditionalVehs!$AA$45:$AJ$45))</f>
        <v>#REF!</v>
      </c>
      <c r="AF803" s="90" t="e">
        <f t="shared" si="331"/>
        <v>#REF!</v>
      </c>
      <c r="AG803" s="90" t="e">
        <f>AdditionalVehs!$C$32</f>
        <v>#REF!</v>
      </c>
    </row>
    <row r="804" spans="1:33" x14ac:dyDescent="0.2">
      <c r="A804" s="92" t="s">
        <v>2456</v>
      </c>
      <c r="B804" s="248" t="s">
        <v>2457</v>
      </c>
      <c r="C804" s="40" t="s">
        <v>2441</v>
      </c>
      <c r="D804" s="40">
        <v>2050</v>
      </c>
      <c r="E804" s="86">
        <f>GDPdeflator!$C$32*INDEX(AdditionalVehs!$AA$46:$AK$91,MATCH($C804,AdditionalVehs!$C$46:$C$91,0),MATCH(E$7,AdditionalVehs!$AA$45:$AK$45,0))</f>
        <v>0</v>
      </c>
      <c r="F804" s="86" t="e">
        <f>GDPdeflator!$C$36*INDEX(AdditionalVehs!$AA$46:$AK$91,MATCH($C804,AdditionalVehs!$C$46:$C$91,0),MATCH(F$7,AdditionalVehs!$AA$45:$AK$45,0))</f>
        <v>#REF!</v>
      </c>
      <c r="G804" s="86" t="e">
        <f>GDPdeflator!$C$38*INDEX(AdditionalVehs!$AA$46:$AK$91,MATCH($C804,AdditionalVehs!$C$46:$C$91,0),MATCH(G$7,AdditionalVehs!$AA$45:$AK$45,0))</f>
        <v>#REF!</v>
      </c>
      <c r="H804" s="86" t="e">
        <f>GDPdeflator!$C$38*INDEX(AdditionalVehs!$AA$46:$AK$91,MATCH($C804,AdditionalVehs!$C$46:$C$91,0),MATCH(H$7,AdditionalVehs!$AA$45:$AK$45,0))</f>
        <v>#REF!</v>
      </c>
      <c r="I804" s="86" t="e">
        <f>GDPdeflator!$C$38*INDEX(AdditionalVehs!$AA$46:$AK$91,MATCH($C804,AdditionalVehs!$C$46:$C$91,0),MATCH(I$7,AdditionalVehs!$AA$45:$AK$45,0))</f>
        <v>#REF!</v>
      </c>
      <c r="J804" s="86" t="e">
        <f>GDPdeflator!$C$38*INDEX(AdditionalVehs!$AA$46:$AK$91,MATCH($C804,AdditionalVehs!$C$46:$C$91,0),MATCH(J$7,AdditionalVehs!$AA$45:$AK$45,0))</f>
        <v>#REF!</v>
      </c>
      <c r="K804" s="86" t="e">
        <f>GDPdeflator!$C$38*INDEX(AdditionalVehs!$AA$46:$AK$91,MATCH($C804,AdditionalVehs!$C$46:$C$91,0),MATCH(K$7,AdditionalVehs!$AA$45:$AK$45,0))</f>
        <v>#REF!</v>
      </c>
      <c r="L804" s="86" t="e">
        <f>GDPdeflator!$C$38*INDEX(AdditionalVehs!$AA$46:$AK$91,MATCH($C804,AdditionalVehs!$C$46:$C$91,0),MATCH(L$7,AdditionalVehs!$AA$45:$AK$45,0))</f>
        <v>#REF!</v>
      </c>
      <c r="M804" s="86" t="e">
        <f>GDPdeflator!$C$38*INDEX(AdditionalVehs!$AA$46:$AK$91,MATCH($C804,AdditionalVehs!$C$46:$C$91,0),MATCH(M$7,AdditionalVehs!$AA$45:$AK$45,0))</f>
        <v>#REF!</v>
      </c>
      <c r="N804" s="86" t="e">
        <f>GDPdeflator!$C$38*INDEX(AdditionalVehs!$AA$46:$AK$91,MATCH($C804,AdditionalVehs!$C$46:$C$91,0),MATCH(N$7,AdditionalVehs!$AA$45:$AK$45,0))</f>
        <v>#REF!</v>
      </c>
      <c r="O804" s="86" t="e">
        <f>GDPdeflator!$C$38*INDEX(AdditionalVehs!$AA$46:$AK$91,MATCH($C804,AdditionalVehs!$C$46:$C$91,0),MATCH(O$7,AdditionalVehs!$AA$45:$AK$45,0))</f>
        <v>#REF!</v>
      </c>
      <c r="P804" s="87">
        <f t="shared" si="333"/>
        <v>0</v>
      </c>
      <c r="Q804" s="87" t="e">
        <f t="shared" si="329"/>
        <v>#REF!</v>
      </c>
      <c r="R804" s="87" t="e">
        <f t="shared" si="328"/>
        <v>#REF!</v>
      </c>
      <c r="S804" s="87" t="e">
        <f t="shared" si="317"/>
        <v>#REF!</v>
      </c>
      <c r="T804" s="87" t="e">
        <f t="shared" si="318"/>
        <v>#REF!</v>
      </c>
      <c r="U804" s="87" t="e">
        <f t="shared" si="319"/>
        <v>#REF!</v>
      </c>
      <c r="V804" s="87" t="e">
        <f t="shared" si="320"/>
        <v>#REF!</v>
      </c>
      <c r="W804" s="87" t="e">
        <f t="shared" si="321"/>
        <v>#REF!</v>
      </c>
      <c r="X804" s="87" t="e">
        <f t="shared" si="322"/>
        <v>#REF!</v>
      </c>
      <c r="Y804" s="87" t="e">
        <f t="shared" si="323"/>
        <v>#REF!</v>
      </c>
      <c r="Z804" s="87" t="e">
        <f t="shared" si="324"/>
        <v>#REF!</v>
      </c>
      <c r="AA804" s="40">
        <v>473</v>
      </c>
      <c r="AB804" s="89">
        <f>AA804*GDPdeflator!$C$25/$AI$18*10^3</f>
        <v>45.478712808157368</v>
      </c>
      <c r="AC804" s="90" t="e">
        <f>INDEX(AdditionalVehs!$E$46:$N$91,MATCH(C804,AdditionalVehs!$C$46:$C$91),MATCH(D804,AdditionalVehs!$E$45:$N$45))</f>
        <v>#REF!</v>
      </c>
      <c r="AD804" s="90" t="e">
        <f t="shared" si="327"/>
        <v>#REF!</v>
      </c>
      <c r="AE804" s="90" t="e">
        <f>INDEX(AdditionalVehs!$P$46:$Y$91,MATCH(C804,AdditionalVehs!$C$46:$C$91),MATCH(D804,AdditionalVehs!$AA$45:$AJ$45))</f>
        <v>#REF!</v>
      </c>
      <c r="AF804" s="90" t="e">
        <f t="shared" si="331"/>
        <v>#REF!</v>
      </c>
      <c r="AG804" s="90" t="e">
        <f>AdditionalVehs!$C$32</f>
        <v>#REF!</v>
      </c>
    </row>
    <row r="805" spans="1:33" x14ac:dyDescent="0.2">
      <c r="A805" s="92" t="s">
        <v>2458</v>
      </c>
      <c r="B805" s="248" t="s">
        <v>2459</v>
      </c>
      <c r="C805" s="40" t="s">
        <v>2460</v>
      </c>
      <c r="D805" s="40">
        <v>2010</v>
      </c>
      <c r="E805" s="86">
        <f>GDPdeflator!$C$32*INDEX(AdditionalVehs!$AA$46:$AK$91,MATCH($C805,AdditionalVehs!$C$46:$C$91,0),MATCH(E$7,AdditionalVehs!$AA$45:$AK$45,0))</f>
        <v>0</v>
      </c>
      <c r="F805" s="86" t="e">
        <f>GDPdeflator!$C$36*INDEX(AdditionalVehs!$AA$46:$AK$91,MATCH($C805,AdditionalVehs!$C$46:$C$91,0),MATCH(F$7,AdditionalVehs!$AA$45:$AK$45,0))</f>
        <v>#REF!</v>
      </c>
      <c r="G805" s="86" t="e">
        <f>GDPdeflator!$C$38*INDEX(AdditionalVehs!$AA$46:$AK$91,MATCH($C805,AdditionalVehs!$C$46:$C$91,0),MATCH(G$7,AdditionalVehs!$AA$45:$AK$45,0))</f>
        <v>#REF!</v>
      </c>
      <c r="H805" s="86" t="e">
        <f>GDPdeflator!$C$38*INDEX(AdditionalVehs!$AA$46:$AK$91,MATCH($C805,AdditionalVehs!$C$46:$C$91,0),MATCH(H$7,AdditionalVehs!$AA$45:$AK$45,0))</f>
        <v>#REF!</v>
      </c>
      <c r="I805" s="86" t="e">
        <f>GDPdeflator!$C$38*INDEX(AdditionalVehs!$AA$46:$AK$91,MATCH($C805,AdditionalVehs!$C$46:$C$91,0),MATCH(I$7,AdditionalVehs!$AA$45:$AK$45,0))</f>
        <v>#REF!</v>
      </c>
      <c r="J805" s="86" t="e">
        <f>GDPdeflator!$C$38*INDEX(AdditionalVehs!$AA$46:$AK$91,MATCH($C805,AdditionalVehs!$C$46:$C$91,0),MATCH(J$7,AdditionalVehs!$AA$45:$AK$45,0))</f>
        <v>#REF!</v>
      </c>
      <c r="K805" s="86" t="e">
        <f>GDPdeflator!$C$38*INDEX(AdditionalVehs!$AA$46:$AK$91,MATCH($C805,AdditionalVehs!$C$46:$C$91,0),MATCH(K$7,AdditionalVehs!$AA$45:$AK$45,0))</f>
        <v>#REF!</v>
      </c>
      <c r="L805" s="86" t="e">
        <f>GDPdeflator!$C$38*INDEX(AdditionalVehs!$AA$46:$AK$91,MATCH($C805,AdditionalVehs!$C$46:$C$91,0),MATCH(L$7,AdditionalVehs!$AA$45:$AK$45,0))</f>
        <v>#REF!</v>
      </c>
      <c r="M805" s="86" t="e">
        <f>GDPdeflator!$C$38*INDEX(AdditionalVehs!$AA$46:$AK$91,MATCH($C805,AdditionalVehs!$C$46:$C$91,0),MATCH(M$7,AdditionalVehs!$AA$45:$AK$45,0))</f>
        <v>#REF!</v>
      </c>
      <c r="N805" s="86" t="e">
        <f>GDPdeflator!$C$38*INDEX(AdditionalVehs!$AA$46:$AK$91,MATCH($C805,AdditionalVehs!$C$46:$C$91,0),MATCH(N$7,AdditionalVehs!$AA$45:$AK$45,0))</f>
        <v>#REF!</v>
      </c>
      <c r="O805" s="86" t="e">
        <f>GDPdeflator!$C$38*INDEX(AdditionalVehs!$AA$46:$AK$91,MATCH($C805,AdditionalVehs!$C$46:$C$91,0),MATCH(O$7,AdditionalVehs!$AA$45:$AK$45,0))</f>
        <v>#REF!</v>
      </c>
      <c r="P805" s="87">
        <f>E805/$AI$18*10^6</f>
        <v>0</v>
      </c>
      <c r="Q805" s="87" t="e">
        <f t="shared" si="329"/>
        <v>#REF!</v>
      </c>
      <c r="R805" s="87" t="e">
        <f t="shared" si="328"/>
        <v>#REF!</v>
      </c>
      <c r="S805" s="87" t="e">
        <f t="shared" si="317"/>
        <v>#REF!</v>
      </c>
      <c r="T805" s="87" t="e">
        <f t="shared" si="318"/>
        <v>#REF!</v>
      </c>
      <c r="U805" s="87" t="e">
        <f t="shared" si="319"/>
        <v>#REF!</v>
      </c>
      <c r="V805" s="87" t="e">
        <f t="shared" si="320"/>
        <v>#REF!</v>
      </c>
      <c r="W805" s="87" t="e">
        <f t="shared" si="321"/>
        <v>#REF!</v>
      </c>
      <c r="X805" s="87" t="e">
        <f t="shared" si="322"/>
        <v>#REF!</v>
      </c>
      <c r="Y805" s="87" t="e">
        <f t="shared" si="323"/>
        <v>#REF!</v>
      </c>
      <c r="Z805" s="87" t="e">
        <f t="shared" si="324"/>
        <v>#REF!</v>
      </c>
      <c r="AA805" s="40">
        <v>420</v>
      </c>
      <c r="AB805" s="89">
        <f>AA805*GDPdeflator!$C$25/$AI$18*10^3</f>
        <v>40.382789385678855</v>
      </c>
      <c r="AC805" s="90" t="e">
        <f>INDEX(AdditionalVehs!$E$46:$N$91,MATCH(C805,AdditionalVehs!$C$46:$C$91),MATCH(D805,AdditionalVehs!$E$45:$N$45))</f>
        <v>#REF!</v>
      </c>
      <c r="AD805" s="90" t="e">
        <f t="shared" si="327"/>
        <v>#REF!</v>
      </c>
      <c r="AE805" s="90" t="e">
        <f>INDEX(AdditionalVehs!$P$46:$Y$91,MATCH(C805,AdditionalVehs!$C$46:$C$91),MATCH(D805,AdditionalVehs!$AA$45:$AJ$45))</f>
        <v>#REF!</v>
      </c>
      <c r="AF805" s="90" t="e">
        <f t="shared" si="331"/>
        <v>#REF!</v>
      </c>
      <c r="AG805" s="90">
        <f>AdditionalVehs!$C$28</f>
        <v>0.26521554647620627</v>
      </c>
    </row>
    <row r="806" spans="1:33" x14ac:dyDescent="0.2">
      <c r="A806" s="92" t="s">
        <v>2461</v>
      </c>
      <c r="B806" s="248" t="s">
        <v>2462</v>
      </c>
      <c r="C806" s="40" t="s">
        <v>2460</v>
      </c>
      <c r="D806" s="40">
        <v>2015</v>
      </c>
      <c r="E806" s="86">
        <f>GDPdeflator!$C$32*INDEX(AdditionalVehs!$AA$46:$AK$91,MATCH($C806,AdditionalVehs!$C$46:$C$91,0),MATCH(E$7,AdditionalVehs!$AA$45:$AK$45,0))</f>
        <v>0</v>
      </c>
      <c r="F806" s="86" t="e">
        <f>GDPdeflator!$C$36*INDEX(AdditionalVehs!$AA$46:$AK$91,MATCH($C806,AdditionalVehs!$C$46:$C$91,0),MATCH(F$7,AdditionalVehs!$AA$45:$AK$45,0))</f>
        <v>#REF!</v>
      </c>
      <c r="G806" s="86" t="e">
        <f>GDPdeflator!$C$38*INDEX(AdditionalVehs!$AA$46:$AK$91,MATCH($C806,AdditionalVehs!$C$46:$C$91,0),MATCH(G$7,AdditionalVehs!$AA$45:$AK$45,0))</f>
        <v>#REF!</v>
      </c>
      <c r="H806" s="86" t="e">
        <f>GDPdeflator!$C$38*INDEX(AdditionalVehs!$AA$46:$AK$91,MATCH($C806,AdditionalVehs!$C$46:$C$91,0),MATCH(H$7,AdditionalVehs!$AA$45:$AK$45,0))</f>
        <v>#REF!</v>
      </c>
      <c r="I806" s="86" t="e">
        <f>GDPdeflator!$C$38*INDEX(AdditionalVehs!$AA$46:$AK$91,MATCH($C806,AdditionalVehs!$C$46:$C$91,0),MATCH(I$7,AdditionalVehs!$AA$45:$AK$45,0))</f>
        <v>#REF!</v>
      </c>
      <c r="J806" s="86" t="e">
        <f>GDPdeflator!$C$38*INDEX(AdditionalVehs!$AA$46:$AK$91,MATCH($C806,AdditionalVehs!$C$46:$C$91,0),MATCH(J$7,AdditionalVehs!$AA$45:$AK$45,0))</f>
        <v>#REF!</v>
      </c>
      <c r="K806" s="86" t="e">
        <f>GDPdeflator!$C$38*INDEX(AdditionalVehs!$AA$46:$AK$91,MATCH($C806,AdditionalVehs!$C$46:$C$91,0),MATCH(K$7,AdditionalVehs!$AA$45:$AK$45,0))</f>
        <v>#REF!</v>
      </c>
      <c r="L806" s="86" t="e">
        <f>GDPdeflator!$C$38*INDEX(AdditionalVehs!$AA$46:$AK$91,MATCH($C806,AdditionalVehs!$C$46:$C$91,0),MATCH(L$7,AdditionalVehs!$AA$45:$AK$45,0))</f>
        <v>#REF!</v>
      </c>
      <c r="M806" s="86" t="e">
        <f>GDPdeflator!$C$38*INDEX(AdditionalVehs!$AA$46:$AK$91,MATCH($C806,AdditionalVehs!$C$46:$C$91,0),MATCH(M$7,AdditionalVehs!$AA$45:$AK$45,0))</f>
        <v>#REF!</v>
      </c>
      <c r="N806" s="86" t="e">
        <f>GDPdeflator!$C$38*INDEX(AdditionalVehs!$AA$46:$AK$91,MATCH($C806,AdditionalVehs!$C$46:$C$91,0),MATCH(N$7,AdditionalVehs!$AA$45:$AK$45,0))</f>
        <v>#REF!</v>
      </c>
      <c r="O806" s="86" t="e">
        <f>GDPdeflator!$C$38*INDEX(AdditionalVehs!$AA$46:$AK$91,MATCH($C806,AdditionalVehs!$C$46:$C$91,0),MATCH(O$7,AdditionalVehs!$AA$45:$AK$45,0))</f>
        <v>#REF!</v>
      </c>
      <c r="P806" s="87">
        <f t="shared" ref="P806:P813" si="334">E806/$AI$18*10^6</f>
        <v>0</v>
      </c>
      <c r="Q806" s="87" t="e">
        <f t="shared" si="329"/>
        <v>#REF!</v>
      </c>
      <c r="R806" s="87" t="e">
        <f t="shared" si="328"/>
        <v>#REF!</v>
      </c>
      <c r="S806" s="87" t="e">
        <f t="shared" si="317"/>
        <v>#REF!</v>
      </c>
      <c r="T806" s="87" t="e">
        <f t="shared" si="318"/>
        <v>#REF!</v>
      </c>
      <c r="U806" s="87" t="e">
        <f t="shared" si="319"/>
        <v>#REF!</v>
      </c>
      <c r="V806" s="87" t="e">
        <f t="shared" si="320"/>
        <v>#REF!</v>
      </c>
      <c r="W806" s="87" t="e">
        <f t="shared" si="321"/>
        <v>#REF!</v>
      </c>
      <c r="X806" s="87" t="e">
        <f t="shared" si="322"/>
        <v>#REF!</v>
      </c>
      <c r="Y806" s="87" t="e">
        <f t="shared" si="323"/>
        <v>#REF!</v>
      </c>
      <c r="Z806" s="87" t="e">
        <f t="shared" si="324"/>
        <v>#REF!</v>
      </c>
      <c r="AA806" s="40">
        <v>420</v>
      </c>
      <c r="AB806" s="89">
        <f>AA806*GDPdeflator!$C$25/$AI$18*10^3</f>
        <v>40.382789385678855</v>
      </c>
      <c r="AC806" s="90" t="e">
        <f>INDEX(AdditionalVehs!$E$46:$N$91,MATCH(C806,AdditionalVehs!$C$46:$C$91),MATCH(D806,AdditionalVehs!$E$45:$N$45))</f>
        <v>#REF!</v>
      </c>
      <c r="AD806" s="90" t="e">
        <f t="shared" si="327"/>
        <v>#REF!</v>
      </c>
      <c r="AE806" s="90" t="e">
        <f>INDEX(AdditionalVehs!$P$46:$Y$91,MATCH(C806,AdditionalVehs!$C$46:$C$91),MATCH(D806,AdditionalVehs!$AA$45:$AJ$45))</f>
        <v>#REF!</v>
      </c>
      <c r="AF806" s="90" t="e">
        <f t="shared" si="331"/>
        <v>#REF!</v>
      </c>
      <c r="AG806" s="90">
        <f>AdditionalVehs!$C$28</f>
        <v>0.26521554647620627</v>
      </c>
    </row>
    <row r="807" spans="1:33" x14ac:dyDescent="0.2">
      <c r="A807" s="92" t="s">
        <v>2463</v>
      </c>
      <c r="B807" s="248" t="s">
        <v>2464</v>
      </c>
      <c r="C807" s="40" t="s">
        <v>2460</v>
      </c>
      <c r="D807" s="40">
        <v>2020</v>
      </c>
      <c r="E807" s="86">
        <f>GDPdeflator!$C$32*INDEX(AdditionalVehs!$AA$46:$AK$91,MATCH($C807,AdditionalVehs!$C$46:$C$91,0),MATCH(E$7,AdditionalVehs!$AA$45:$AK$45,0))</f>
        <v>0</v>
      </c>
      <c r="F807" s="86" t="e">
        <f>GDPdeflator!$C$36*INDEX(AdditionalVehs!$AA$46:$AK$91,MATCH($C807,AdditionalVehs!$C$46:$C$91,0),MATCH(F$7,AdditionalVehs!$AA$45:$AK$45,0))</f>
        <v>#REF!</v>
      </c>
      <c r="G807" s="86" t="e">
        <f>GDPdeflator!$C$38*INDEX(AdditionalVehs!$AA$46:$AK$91,MATCH($C807,AdditionalVehs!$C$46:$C$91,0),MATCH(G$7,AdditionalVehs!$AA$45:$AK$45,0))</f>
        <v>#REF!</v>
      </c>
      <c r="H807" s="86" t="e">
        <f>GDPdeflator!$C$38*INDEX(AdditionalVehs!$AA$46:$AK$91,MATCH($C807,AdditionalVehs!$C$46:$C$91,0),MATCH(H$7,AdditionalVehs!$AA$45:$AK$45,0))</f>
        <v>#REF!</v>
      </c>
      <c r="I807" s="86" t="e">
        <f>GDPdeflator!$C$38*INDEX(AdditionalVehs!$AA$46:$AK$91,MATCH($C807,AdditionalVehs!$C$46:$C$91,0),MATCH(I$7,AdditionalVehs!$AA$45:$AK$45,0))</f>
        <v>#REF!</v>
      </c>
      <c r="J807" s="86" t="e">
        <f>GDPdeflator!$C$38*INDEX(AdditionalVehs!$AA$46:$AK$91,MATCH($C807,AdditionalVehs!$C$46:$C$91,0),MATCH(J$7,AdditionalVehs!$AA$45:$AK$45,0))</f>
        <v>#REF!</v>
      </c>
      <c r="K807" s="86" t="e">
        <f>GDPdeflator!$C$38*INDEX(AdditionalVehs!$AA$46:$AK$91,MATCH($C807,AdditionalVehs!$C$46:$C$91,0),MATCH(K$7,AdditionalVehs!$AA$45:$AK$45,0))</f>
        <v>#REF!</v>
      </c>
      <c r="L807" s="86" t="e">
        <f>GDPdeflator!$C$38*INDEX(AdditionalVehs!$AA$46:$AK$91,MATCH($C807,AdditionalVehs!$C$46:$C$91,0),MATCH(L$7,AdditionalVehs!$AA$45:$AK$45,0))</f>
        <v>#REF!</v>
      </c>
      <c r="M807" s="86" t="e">
        <f>GDPdeflator!$C$38*INDEX(AdditionalVehs!$AA$46:$AK$91,MATCH($C807,AdditionalVehs!$C$46:$C$91,0),MATCH(M$7,AdditionalVehs!$AA$45:$AK$45,0))</f>
        <v>#REF!</v>
      </c>
      <c r="N807" s="86" t="e">
        <f>GDPdeflator!$C$38*INDEX(AdditionalVehs!$AA$46:$AK$91,MATCH($C807,AdditionalVehs!$C$46:$C$91,0),MATCH(N$7,AdditionalVehs!$AA$45:$AK$45,0))</f>
        <v>#REF!</v>
      </c>
      <c r="O807" s="86" t="e">
        <f>GDPdeflator!$C$38*INDEX(AdditionalVehs!$AA$46:$AK$91,MATCH($C807,AdditionalVehs!$C$46:$C$91,0),MATCH(O$7,AdditionalVehs!$AA$45:$AK$45,0))</f>
        <v>#REF!</v>
      </c>
      <c r="P807" s="87">
        <f t="shared" si="334"/>
        <v>0</v>
      </c>
      <c r="Q807" s="87" t="e">
        <f t="shared" si="329"/>
        <v>#REF!</v>
      </c>
      <c r="R807" s="87" t="e">
        <f t="shared" si="328"/>
        <v>#REF!</v>
      </c>
      <c r="S807" s="87" t="e">
        <f t="shared" si="317"/>
        <v>#REF!</v>
      </c>
      <c r="T807" s="87" t="e">
        <f t="shared" si="318"/>
        <v>#REF!</v>
      </c>
      <c r="U807" s="87" t="e">
        <f t="shared" si="319"/>
        <v>#REF!</v>
      </c>
      <c r="V807" s="87" t="e">
        <f t="shared" si="320"/>
        <v>#REF!</v>
      </c>
      <c r="W807" s="87" t="e">
        <f t="shared" si="321"/>
        <v>#REF!</v>
      </c>
      <c r="X807" s="87" t="e">
        <f t="shared" si="322"/>
        <v>#REF!</v>
      </c>
      <c r="Y807" s="87" t="e">
        <f t="shared" si="323"/>
        <v>#REF!</v>
      </c>
      <c r="Z807" s="87" t="e">
        <f t="shared" si="324"/>
        <v>#REF!</v>
      </c>
      <c r="AA807" s="40">
        <v>420</v>
      </c>
      <c r="AB807" s="89">
        <f>AA807*GDPdeflator!$C$25/$AI$18*10^3</f>
        <v>40.382789385678855</v>
      </c>
      <c r="AC807" s="90" t="e">
        <f>INDEX(AdditionalVehs!$E$46:$N$91,MATCH(C807,AdditionalVehs!$C$46:$C$91),MATCH(D807,AdditionalVehs!$E$45:$N$45))</f>
        <v>#REF!</v>
      </c>
      <c r="AD807" s="90" t="e">
        <f t="shared" si="327"/>
        <v>#REF!</v>
      </c>
      <c r="AE807" s="90" t="e">
        <f>INDEX(AdditionalVehs!$P$46:$Y$91,MATCH(C807,AdditionalVehs!$C$46:$C$91),MATCH(D807,AdditionalVehs!$AA$45:$AJ$45))</f>
        <v>#REF!</v>
      </c>
      <c r="AF807" s="90" t="e">
        <f t="shared" si="331"/>
        <v>#REF!</v>
      </c>
      <c r="AG807" s="90">
        <f>AdditionalVehs!$C$28</f>
        <v>0.26521554647620627</v>
      </c>
    </row>
    <row r="808" spans="1:33" x14ac:dyDescent="0.2">
      <c r="A808" s="92" t="s">
        <v>2465</v>
      </c>
      <c r="B808" s="248" t="s">
        <v>2466</v>
      </c>
      <c r="C808" s="40" t="s">
        <v>2460</v>
      </c>
      <c r="D808" s="40">
        <v>2025</v>
      </c>
      <c r="E808" s="86">
        <f>GDPdeflator!$C$32*INDEX(AdditionalVehs!$AA$46:$AK$91,MATCH($C808,AdditionalVehs!$C$46:$C$91,0),MATCH(E$7,AdditionalVehs!$AA$45:$AK$45,0))</f>
        <v>0</v>
      </c>
      <c r="F808" s="86" t="e">
        <f>GDPdeflator!$C$36*INDEX(AdditionalVehs!$AA$46:$AK$91,MATCH($C808,AdditionalVehs!$C$46:$C$91,0),MATCH(F$7,AdditionalVehs!$AA$45:$AK$45,0))</f>
        <v>#REF!</v>
      </c>
      <c r="G808" s="86" t="e">
        <f>GDPdeflator!$C$38*INDEX(AdditionalVehs!$AA$46:$AK$91,MATCH($C808,AdditionalVehs!$C$46:$C$91,0),MATCH(G$7,AdditionalVehs!$AA$45:$AK$45,0))</f>
        <v>#REF!</v>
      </c>
      <c r="H808" s="86" t="e">
        <f>GDPdeflator!$C$38*INDEX(AdditionalVehs!$AA$46:$AK$91,MATCH($C808,AdditionalVehs!$C$46:$C$91,0),MATCH(H$7,AdditionalVehs!$AA$45:$AK$45,0))</f>
        <v>#REF!</v>
      </c>
      <c r="I808" s="86" t="e">
        <f>GDPdeflator!$C$38*INDEX(AdditionalVehs!$AA$46:$AK$91,MATCH($C808,AdditionalVehs!$C$46:$C$91,0),MATCH(I$7,AdditionalVehs!$AA$45:$AK$45,0))</f>
        <v>#REF!</v>
      </c>
      <c r="J808" s="86" t="e">
        <f>GDPdeflator!$C$38*INDEX(AdditionalVehs!$AA$46:$AK$91,MATCH($C808,AdditionalVehs!$C$46:$C$91,0),MATCH(J$7,AdditionalVehs!$AA$45:$AK$45,0))</f>
        <v>#REF!</v>
      </c>
      <c r="K808" s="86" t="e">
        <f>GDPdeflator!$C$38*INDEX(AdditionalVehs!$AA$46:$AK$91,MATCH($C808,AdditionalVehs!$C$46:$C$91,0),MATCH(K$7,AdditionalVehs!$AA$45:$AK$45,0))</f>
        <v>#REF!</v>
      </c>
      <c r="L808" s="86" t="e">
        <f>GDPdeflator!$C$38*INDEX(AdditionalVehs!$AA$46:$AK$91,MATCH($C808,AdditionalVehs!$C$46:$C$91,0),MATCH(L$7,AdditionalVehs!$AA$45:$AK$45,0))</f>
        <v>#REF!</v>
      </c>
      <c r="M808" s="86" t="e">
        <f>GDPdeflator!$C$38*INDEX(AdditionalVehs!$AA$46:$AK$91,MATCH($C808,AdditionalVehs!$C$46:$C$91,0),MATCH(M$7,AdditionalVehs!$AA$45:$AK$45,0))</f>
        <v>#REF!</v>
      </c>
      <c r="N808" s="86" t="e">
        <f>GDPdeflator!$C$38*INDEX(AdditionalVehs!$AA$46:$AK$91,MATCH($C808,AdditionalVehs!$C$46:$C$91,0),MATCH(N$7,AdditionalVehs!$AA$45:$AK$45,0))</f>
        <v>#REF!</v>
      </c>
      <c r="O808" s="86" t="e">
        <f>GDPdeflator!$C$38*INDEX(AdditionalVehs!$AA$46:$AK$91,MATCH($C808,AdditionalVehs!$C$46:$C$91,0),MATCH(O$7,AdditionalVehs!$AA$45:$AK$45,0))</f>
        <v>#REF!</v>
      </c>
      <c r="P808" s="87">
        <f t="shared" si="334"/>
        <v>0</v>
      </c>
      <c r="Q808" s="87" t="e">
        <f t="shared" si="329"/>
        <v>#REF!</v>
      </c>
      <c r="R808" s="87" t="e">
        <f t="shared" si="328"/>
        <v>#REF!</v>
      </c>
      <c r="S808" s="87" t="e">
        <f t="shared" si="317"/>
        <v>#REF!</v>
      </c>
      <c r="T808" s="87" t="e">
        <f t="shared" si="318"/>
        <v>#REF!</v>
      </c>
      <c r="U808" s="87" t="e">
        <f t="shared" si="319"/>
        <v>#REF!</v>
      </c>
      <c r="V808" s="87" t="e">
        <f t="shared" si="320"/>
        <v>#REF!</v>
      </c>
      <c r="W808" s="87" t="e">
        <f t="shared" si="321"/>
        <v>#REF!</v>
      </c>
      <c r="X808" s="87" t="e">
        <f t="shared" si="322"/>
        <v>#REF!</v>
      </c>
      <c r="Y808" s="87" t="e">
        <f t="shared" si="323"/>
        <v>#REF!</v>
      </c>
      <c r="Z808" s="87" t="e">
        <f t="shared" si="324"/>
        <v>#REF!</v>
      </c>
      <c r="AA808" s="40">
        <v>420</v>
      </c>
      <c r="AB808" s="89">
        <f>AA808*GDPdeflator!$C$25/$AI$18*10^3</f>
        <v>40.382789385678855</v>
      </c>
      <c r="AC808" s="90" t="e">
        <f>INDEX(AdditionalVehs!$E$46:$N$91,MATCH(C808,AdditionalVehs!$C$46:$C$91),MATCH(D808,AdditionalVehs!$E$45:$N$45))</f>
        <v>#REF!</v>
      </c>
      <c r="AD808" s="90" t="e">
        <f t="shared" si="327"/>
        <v>#REF!</v>
      </c>
      <c r="AE808" s="90" t="e">
        <f>INDEX(AdditionalVehs!$P$46:$Y$91,MATCH(C808,AdditionalVehs!$C$46:$C$91),MATCH(D808,AdditionalVehs!$AA$45:$AJ$45))</f>
        <v>#REF!</v>
      </c>
      <c r="AF808" s="90" t="e">
        <f t="shared" si="331"/>
        <v>#REF!</v>
      </c>
      <c r="AG808" s="90">
        <f>AdditionalVehs!$C$28</f>
        <v>0.26521554647620627</v>
      </c>
    </row>
    <row r="809" spans="1:33" x14ac:dyDescent="0.2">
      <c r="A809" s="92" t="s">
        <v>2467</v>
      </c>
      <c r="B809" s="248" t="s">
        <v>2468</v>
      </c>
      <c r="C809" s="40" t="s">
        <v>2460</v>
      </c>
      <c r="D809" s="40">
        <v>2030</v>
      </c>
      <c r="E809" s="86">
        <f>GDPdeflator!$C$32*INDEX(AdditionalVehs!$AA$46:$AK$91,MATCH($C809,AdditionalVehs!$C$46:$C$91,0),MATCH(E$7,AdditionalVehs!$AA$45:$AK$45,0))</f>
        <v>0</v>
      </c>
      <c r="F809" s="86" t="e">
        <f>GDPdeflator!$C$36*INDEX(AdditionalVehs!$AA$46:$AK$91,MATCH($C809,AdditionalVehs!$C$46:$C$91,0),MATCH(F$7,AdditionalVehs!$AA$45:$AK$45,0))</f>
        <v>#REF!</v>
      </c>
      <c r="G809" s="86" t="e">
        <f>GDPdeflator!$C$38*INDEX(AdditionalVehs!$AA$46:$AK$91,MATCH($C809,AdditionalVehs!$C$46:$C$91,0),MATCH(G$7,AdditionalVehs!$AA$45:$AK$45,0))</f>
        <v>#REF!</v>
      </c>
      <c r="H809" s="86" t="e">
        <f>GDPdeflator!$C$38*INDEX(AdditionalVehs!$AA$46:$AK$91,MATCH($C809,AdditionalVehs!$C$46:$C$91,0),MATCH(H$7,AdditionalVehs!$AA$45:$AK$45,0))</f>
        <v>#REF!</v>
      </c>
      <c r="I809" s="86" t="e">
        <f>GDPdeflator!$C$38*INDEX(AdditionalVehs!$AA$46:$AK$91,MATCH($C809,AdditionalVehs!$C$46:$C$91,0),MATCH(I$7,AdditionalVehs!$AA$45:$AK$45,0))</f>
        <v>#REF!</v>
      </c>
      <c r="J809" s="86" t="e">
        <f>GDPdeflator!$C$38*INDEX(AdditionalVehs!$AA$46:$AK$91,MATCH($C809,AdditionalVehs!$C$46:$C$91,0),MATCH(J$7,AdditionalVehs!$AA$45:$AK$45,0))</f>
        <v>#REF!</v>
      </c>
      <c r="K809" s="86" t="e">
        <f>GDPdeflator!$C$38*INDEX(AdditionalVehs!$AA$46:$AK$91,MATCH($C809,AdditionalVehs!$C$46:$C$91,0),MATCH(K$7,AdditionalVehs!$AA$45:$AK$45,0))</f>
        <v>#REF!</v>
      </c>
      <c r="L809" s="86" t="e">
        <f>GDPdeflator!$C$38*INDEX(AdditionalVehs!$AA$46:$AK$91,MATCH($C809,AdditionalVehs!$C$46:$C$91,0),MATCH(L$7,AdditionalVehs!$AA$45:$AK$45,0))</f>
        <v>#REF!</v>
      </c>
      <c r="M809" s="86" t="e">
        <f>GDPdeflator!$C$38*INDEX(AdditionalVehs!$AA$46:$AK$91,MATCH($C809,AdditionalVehs!$C$46:$C$91,0),MATCH(M$7,AdditionalVehs!$AA$45:$AK$45,0))</f>
        <v>#REF!</v>
      </c>
      <c r="N809" s="86" t="e">
        <f>GDPdeflator!$C$38*INDEX(AdditionalVehs!$AA$46:$AK$91,MATCH($C809,AdditionalVehs!$C$46:$C$91,0),MATCH(N$7,AdditionalVehs!$AA$45:$AK$45,0))</f>
        <v>#REF!</v>
      </c>
      <c r="O809" s="86" t="e">
        <f>GDPdeflator!$C$38*INDEX(AdditionalVehs!$AA$46:$AK$91,MATCH($C809,AdditionalVehs!$C$46:$C$91,0),MATCH(O$7,AdditionalVehs!$AA$45:$AK$45,0))</f>
        <v>#REF!</v>
      </c>
      <c r="P809" s="87">
        <f t="shared" si="334"/>
        <v>0</v>
      </c>
      <c r="Q809" s="87" t="e">
        <f t="shared" si="329"/>
        <v>#REF!</v>
      </c>
      <c r="R809" s="87" t="e">
        <f t="shared" si="328"/>
        <v>#REF!</v>
      </c>
      <c r="S809" s="87" t="e">
        <f t="shared" si="317"/>
        <v>#REF!</v>
      </c>
      <c r="T809" s="87" t="e">
        <f t="shared" si="318"/>
        <v>#REF!</v>
      </c>
      <c r="U809" s="87" t="e">
        <f t="shared" si="319"/>
        <v>#REF!</v>
      </c>
      <c r="V809" s="87" t="e">
        <f t="shared" si="320"/>
        <v>#REF!</v>
      </c>
      <c r="W809" s="87" t="e">
        <f t="shared" si="321"/>
        <v>#REF!</v>
      </c>
      <c r="X809" s="87" t="e">
        <f t="shared" si="322"/>
        <v>#REF!</v>
      </c>
      <c r="Y809" s="87" t="e">
        <f t="shared" si="323"/>
        <v>#REF!</v>
      </c>
      <c r="Z809" s="87" t="e">
        <f t="shared" si="324"/>
        <v>#REF!</v>
      </c>
      <c r="AA809" s="40">
        <v>420</v>
      </c>
      <c r="AB809" s="89">
        <f>AA809*GDPdeflator!$C$25/$AI$18*10^3</f>
        <v>40.382789385678855</v>
      </c>
      <c r="AC809" s="90" t="e">
        <f>INDEX(AdditionalVehs!$E$46:$N$91,MATCH(C809,AdditionalVehs!$C$46:$C$91),MATCH(D809,AdditionalVehs!$E$45:$N$45))</f>
        <v>#REF!</v>
      </c>
      <c r="AD809" s="90" t="e">
        <f t="shared" si="327"/>
        <v>#REF!</v>
      </c>
      <c r="AE809" s="90" t="e">
        <f>INDEX(AdditionalVehs!$P$46:$Y$91,MATCH(C809,AdditionalVehs!$C$46:$C$91),MATCH(D809,AdditionalVehs!$AA$45:$AJ$45))</f>
        <v>#REF!</v>
      </c>
      <c r="AF809" s="90" t="e">
        <f t="shared" si="331"/>
        <v>#REF!</v>
      </c>
      <c r="AG809" s="90">
        <f>AdditionalVehs!$C$28</f>
        <v>0.26521554647620627</v>
      </c>
    </row>
    <row r="810" spans="1:33" x14ac:dyDescent="0.2">
      <c r="A810" s="92" t="s">
        <v>2469</v>
      </c>
      <c r="B810" s="248" t="s">
        <v>2470</v>
      </c>
      <c r="C810" s="40" t="s">
        <v>2460</v>
      </c>
      <c r="D810" s="40">
        <v>2035</v>
      </c>
      <c r="E810" s="86">
        <f>GDPdeflator!$C$32*INDEX(AdditionalVehs!$AA$46:$AK$91,MATCH($C810,AdditionalVehs!$C$46:$C$91,0),MATCH(E$7,AdditionalVehs!$AA$45:$AK$45,0))</f>
        <v>0</v>
      </c>
      <c r="F810" s="86" t="e">
        <f>GDPdeflator!$C$36*INDEX(AdditionalVehs!$AA$46:$AK$91,MATCH($C810,AdditionalVehs!$C$46:$C$91,0),MATCH(F$7,AdditionalVehs!$AA$45:$AK$45,0))</f>
        <v>#REF!</v>
      </c>
      <c r="G810" s="86" t="e">
        <f>GDPdeflator!$C$38*INDEX(AdditionalVehs!$AA$46:$AK$91,MATCH($C810,AdditionalVehs!$C$46:$C$91,0),MATCH(G$7,AdditionalVehs!$AA$45:$AK$45,0))</f>
        <v>#REF!</v>
      </c>
      <c r="H810" s="86" t="e">
        <f>GDPdeflator!$C$38*INDEX(AdditionalVehs!$AA$46:$AK$91,MATCH($C810,AdditionalVehs!$C$46:$C$91,0),MATCH(H$7,AdditionalVehs!$AA$45:$AK$45,0))</f>
        <v>#REF!</v>
      </c>
      <c r="I810" s="86" t="e">
        <f>GDPdeflator!$C$38*INDEX(AdditionalVehs!$AA$46:$AK$91,MATCH($C810,AdditionalVehs!$C$46:$C$91,0),MATCH(I$7,AdditionalVehs!$AA$45:$AK$45,0))</f>
        <v>#REF!</v>
      </c>
      <c r="J810" s="86" t="e">
        <f>GDPdeflator!$C$38*INDEX(AdditionalVehs!$AA$46:$AK$91,MATCH($C810,AdditionalVehs!$C$46:$C$91,0),MATCH(J$7,AdditionalVehs!$AA$45:$AK$45,0))</f>
        <v>#REF!</v>
      </c>
      <c r="K810" s="86" t="e">
        <f>GDPdeflator!$C$38*INDEX(AdditionalVehs!$AA$46:$AK$91,MATCH($C810,AdditionalVehs!$C$46:$C$91,0),MATCH(K$7,AdditionalVehs!$AA$45:$AK$45,0))</f>
        <v>#REF!</v>
      </c>
      <c r="L810" s="86" t="e">
        <f>GDPdeflator!$C$38*INDEX(AdditionalVehs!$AA$46:$AK$91,MATCH($C810,AdditionalVehs!$C$46:$C$91,0),MATCH(L$7,AdditionalVehs!$AA$45:$AK$45,0))</f>
        <v>#REF!</v>
      </c>
      <c r="M810" s="86" t="e">
        <f>GDPdeflator!$C$38*INDEX(AdditionalVehs!$AA$46:$AK$91,MATCH($C810,AdditionalVehs!$C$46:$C$91,0),MATCH(M$7,AdditionalVehs!$AA$45:$AK$45,0))</f>
        <v>#REF!</v>
      </c>
      <c r="N810" s="86" t="e">
        <f>GDPdeflator!$C$38*INDEX(AdditionalVehs!$AA$46:$AK$91,MATCH($C810,AdditionalVehs!$C$46:$C$91,0),MATCH(N$7,AdditionalVehs!$AA$45:$AK$45,0))</f>
        <v>#REF!</v>
      </c>
      <c r="O810" s="86" t="e">
        <f>GDPdeflator!$C$38*INDEX(AdditionalVehs!$AA$46:$AK$91,MATCH($C810,AdditionalVehs!$C$46:$C$91,0),MATCH(O$7,AdditionalVehs!$AA$45:$AK$45,0))</f>
        <v>#REF!</v>
      </c>
      <c r="P810" s="87">
        <f t="shared" si="334"/>
        <v>0</v>
      </c>
      <c r="Q810" s="87" t="e">
        <f t="shared" si="329"/>
        <v>#REF!</v>
      </c>
      <c r="R810" s="87" t="e">
        <f t="shared" si="328"/>
        <v>#REF!</v>
      </c>
      <c r="S810" s="87" t="e">
        <f t="shared" si="317"/>
        <v>#REF!</v>
      </c>
      <c r="T810" s="87" t="e">
        <f t="shared" si="318"/>
        <v>#REF!</v>
      </c>
      <c r="U810" s="87" t="e">
        <f t="shared" si="319"/>
        <v>#REF!</v>
      </c>
      <c r="V810" s="87" t="e">
        <f t="shared" si="320"/>
        <v>#REF!</v>
      </c>
      <c r="W810" s="87" t="e">
        <f t="shared" si="321"/>
        <v>#REF!</v>
      </c>
      <c r="X810" s="87" t="e">
        <f t="shared" si="322"/>
        <v>#REF!</v>
      </c>
      <c r="Y810" s="87" t="e">
        <f t="shared" si="323"/>
        <v>#REF!</v>
      </c>
      <c r="Z810" s="87" t="e">
        <f t="shared" si="324"/>
        <v>#REF!</v>
      </c>
      <c r="AA810" s="40">
        <v>420</v>
      </c>
      <c r="AB810" s="89">
        <f>AA810*GDPdeflator!$C$25/$AI$18*10^3</f>
        <v>40.382789385678855</v>
      </c>
      <c r="AC810" s="90" t="e">
        <f>INDEX(AdditionalVehs!$E$46:$N$91,MATCH(C810,AdditionalVehs!$C$46:$C$91),MATCH(D810,AdditionalVehs!$E$45:$N$45))</f>
        <v>#REF!</v>
      </c>
      <c r="AD810" s="90" t="e">
        <f t="shared" si="327"/>
        <v>#REF!</v>
      </c>
      <c r="AE810" s="90" t="e">
        <f>INDEX(AdditionalVehs!$P$46:$Y$91,MATCH(C810,AdditionalVehs!$C$46:$C$91),MATCH(D810,AdditionalVehs!$AA$45:$AJ$45))</f>
        <v>#REF!</v>
      </c>
      <c r="AF810" s="90" t="e">
        <f t="shared" si="331"/>
        <v>#REF!</v>
      </c>
      <c r="AG810" s="90">
        <f>AdditionalVehs!$C$28</f>
        <v>0.26521554647620627</v>
      </c>
    </row>
    <row r="811" spans="1:33" x14ac:dyDescent="0.2">
      <c r="A811" s="92" t="s">
        <v>2471</v>
      </c>
      <c r="B811" s="248" t="s">
        <v>2472</v>
      </c>
      <c r="C811" s="40" t="s">
        <v>2460</v>
      </c>
      <c r="D811" s="40">
        <v>2040</v>
      </c>
      <c r="E811" s="86">
        <f>GDPdeflator!$C$32*INDEX(AdditionalVehs!$AA$46:$AK$91,MATCH($C811,AdditionalVehs!$C$46:$C$91,0),MATCH(E$7,AdditionalVehs!$AA$45:$AK$45,0))</f>
        <v>0</v>
      </c>
      <c r="F811" s="86" t="e">
        <f>GDPdeflator!$C$36*INDEX(AdditionalVehs!$AA$46:$AK$91,MATCH($C811,AdditionalVehs!$C$46:$C$91,0),MATCH(F$7,AdditionalVehs!$AA$45:$AK$45,0))</f>
        <v>#REF!</v>
      </c>
      <c r="G811" s="86" t="e">
        <f>GDPdeflator!$C$38*INDEX(AdditionalVehs!$AA$46:$AK$91,MATCH($C811,AdditionalVehs!$C$46:$C$91,0),MATCH(G$7,AdditionalVehs!$AA$45:$AK$45,0))</f>
        <v>#REF!</v>
      </c>
      <c r="H811" s="86" t="e">
        <f>GDPdeflator!$C$38*INDEX(AdditionalVehs!$AA$46:$AK$91,MATCH($C811,AdditionalVehs!$C$46:$C$91,0),MATCH(H$7,AdditionalVehs!$AA$45:$AK$45,0))</f>
        <v>#REF!</v>
      </c>
      <c r="I811" s="86" t="e">
        <f>GDPdeflator!$C$38*INDEX(AdditionalVehs!$AA$46:$AK$91,MATCH($C811,AdditionalVehs!$C$46:$C$91,0),MATCH(I$7,AdditionalVehs!$AA$45:$AK$45,0))</f>
        <v>#REF!</v>
      </c>
      <c r="J811" s="86" t="e">
        <f>GDPdeflator!$C$38*INDEX(AdditionalVehs!$AA$46:$AK$91,MATCH($C811,AdditionalVehs!$C$46:$C$91,0),MATCH(J$7,AdditionalVehs!$AA$45:$AK$45,0))</f>
        <v>#REF!</v>
      </c>
      <c r="K811" s="86" t="e">
        <f>GDPdeflator!$C$38*INDEX(AdditionalVehs!$AA$46:$AK$91,MATCH($C811,AdditionalVehs!$C$46:$C$91,0),MATCH(K$7,AdditionalVehs!$AA$45:$AK$45,0))</f>
        <v>#REF!</v>
      </c>
      <c r="L811" s="86" t="e">
        <f>GDPdeflator!$C$38*INDEX(AdditionalVehs!$AA$46:$AK$91,MATCH($C811,AdditionalVehs!$C$46:$C$91,0),MATCH(L$7,AdditionalVehs!$AA$45:$AK$45,0))</f>
        <v>#REF!</v>
      </c>
      <c r="M811" s="86" t="e">
        <f>GDPdeflator!$C$38*INDEX(AdditionalVehs!$AA$46:$AK$91,MATCH($C811,AdditionalVehs!$C$46:$C$91,0),MATCH(M$7,AdditionalVehs!$AA$45:$AK$45,0))</f>
        <v>#REF!</v>
      </c>
      <c r="N811" s="86" t="e">
        <f>GDPdeflator!$C$38*INDEX(AdditionalVehs!$AA$46:$AK$91,MATCH($C811,AdditionalVehs!$C$46:$C$91,0),MATCH(N$7,AdditionalVehs!$AA$45:$AK$45,0))</f>
        <v>#REF!</v>
      </c>
      <c r="O811" s="86" t="e">
        <f>GDPdeflator!$C$38*INDEX(AdditionalVehs!$AA$46:$AK$91,MATCH($C811,AdditionalVehs!$C$46:$C$91,0),MATCH(O$7,AdditionalVehs!$AA$45:$AK$45,0))</f>
        <v>#REF!</v>
      </c>
      <c r="P811" s="87">
        <f t="shared" si="334"/>
        <v>0</v>
      </c>
      <c r="Q811" s="87" t="e">
        <f t="shared" si="329"/>
        <v>#REF!</v>
      </c>
      <c r="R811" s="87" t="e">
        <f t="shared" si="328"/>
        <v>#REF!</v>
      </c>
      <c r="S811" s="87" t="e">
        <f t="shared" si="317"/>
        <v>#REF!</v>
      </c>
      <c r="T811" s="87" t="e">
        <f t="shared" si="318"/>
        <v>#REF!</v>
      </c>
      <c r="U811" s="87" t="e">
        <f t="shared" si="319"/>
        <v>#REF!</v>
      </c>
      <c r="V811" s="87" t="e">
        <f t="shared" si="320"/>
        <v>#REF!</v>
      </c>
      <c r="W811" s="87" t="e">
        <f t="shared" si="321"/>
        <v>#REF!</v>
      </c>
      <c r="X811" s="87" t="e">
        <f t="shared" si="322"/>
        <v>#REF!</v>
      </c>
      <c r="Y811" s="87" t="e">
        <f t="shared" si="323"/>
        <v>#REF!</v>
      </c>
      <c r="Z811" s="87" t="e">
        <f t="shared" si="324"/>
        <v>#REF!</v>
      </c>
      <c r="AA811" s="40">
        <v>420</v>
      </c>
      <c r="AB811" s="89">
        <f>AA811*GDPdeflator!$C$25/$AI$18*10^3</f>
        <v>40.382789385678855</v>
      </c>
      <c r="AC811" s="90" t="e">
        <f>INDEX(AdditionalVehs!$E$46:$N$91,MATCH(C811,AdditionalVehs!$C$46:$C$91),MATCH(D811,AdditionalVehs!$E$45:$N$45))</f>
        <v>#REF!</v>
      </c>
      <c r="AD811" s="90" t="e">
        <f t="shared" si="327"/>
        <v>#REF!</v>
      </c>
      <c r="AE811" s="90" t="e">
        <f>INDEX(AdditionalVehs!$P$46:$Y$91,MATCH(C811,AdditionalVehs!$C$46:$C$91),MATCH(D811,AdditionalVehs!$AA$45:$AJ$45))</f>
        <v>#REF!</v>
      </c>
      <c r="AF811" s="90" t="e">
        <f t="shared" si="331"/>
        <v>#REF!</v>
      </c>
      <c r="AG811" s="90">
        <f>AdditionalVehs!$C$28</f>
        <v>0.26521554647620627</v>
      </c>
    </row>
    <row r="812" spans="1:33" x14ac:dyDescent="0.2">
      <c r="A812" s="92" t="s">
        <v>2473</v>
      </c>
      <c r="B812" s="248" t="s">
        <v>2474</v>
      </c>
      <c r="C812" s="40" t="s">
        <v>2460</v>
      </c>
      <c r="D812" s="40">
        <v>2045</v>
      </c>
      <c r="E812" s="86">
        <f>GDPdeflator!$C$32*INDEX(AdditionalVehs!$AA$46:$AK$91,MATCH($C812,AdditionalVehs!$C$46:$C$91,0),MATCH(E$7,AdditionalVehs!$AA$45:$AK$45,0))</f>
        <v>0</v>
      </c>
      <c r="F812" s="86" t="e">
        <f>GDPdeflator!$C$36*INDEX(AdditionalVehs!$AA$46:$AK$91,MATCH($C812,AdditionalVehs!$C$46:$C$91,0),MATCH(F$7,AdditionalVehs!$AA$45:$AK$45,0))</f>
        <v>#REF!</v>
      </c>
      <c r="G812" s="86" t="e">
        <f>GDPdeflator!$C$38*INDEX(AdditionalVehs!$AA$46:$AK$91,MATCH($C812,AdditionalVehs!$C$46:$C$91,0),MATCH(G$7,AdditionalVehs!$AA$45:$AK$45,0))</f>
        <v>#REF!</v>
      </c>
      <c r="H812" s="86" t="e">
        <f>GDPdeflator!$C$38*INDEX(AdditionalVehs!$AA$46:$AK$91,MATCH($C812,AdditionalVehs!$C$46:$C$91,0),MATCH(H$7,AdditionalVehs!$AA$45:$AK$45,0))</f>
        <v>#REF!</v>
      </c>
      <c r="I812" s="86" t="e">
        <f>GDPdeflator!$C$38*INDEX(AdditionalVehs!$AA$46:$AK$91,MATCH($C812,AdditionalVehs!$C$46:$C$91,0),MATCH(I$7,AdditionalVehs!$AA$45:$AK$45,0))</f>
        <v>#REF!</v>
      </c>
      <c r="J812" s="86" t="e">
        <f>GDPdeflator!$C$38*INDEX(AdditionalVehs!$AA$46:$AK$91,MATCH($C812,AdditionalVehs!$C$46:$C$91,0),MATCH(J$7,AdditionalVehs!$AA$45:$AK$45,0))</f>
        <v>#REF!</v>
      </c>
      <c r="K812" s="86" t="e">
        <f>GDPdeflator!$C$38*INDEX(AdditionalVehs!$AA$46:$AK$91,MATCH($C812,AdditionalVehs!$C$46:$C$91,0),MATCH(K$7,AdditionalVehs!$AA$45:$AK$45,0))</f>
        <v>#REF!</v>
      </c>
      <c r="L812" s="86" t="e">
        <f>GDPdeflator!$C$38*INDEX(AdditionalVehs!$AA$46:$AK$91,MATCH($C812,AdditionalVehs!$C$46:$C$91,0),MATCH(L$7,AdditionalVehs!$AA$45:$AK$45,0))</f>
        <v>#REF!</v>
      </c>
      <c r="M812" s="86" t="e">
        <f>GDPdeflator!$C$38*INDEX(AdditionalVehs!$AA$46:$AK$91,MATCH($C812,AdditionalVehs!$C$46:$C$91,0),MATCH(M$7,AdditionalVehs!$AA$45:$AK$45,0))</f>
        <v>#REF!</v>
      </c>
      <c r="N812" s="86" t="e">
        <f>GDPdeflator!$C$38*INDEX(AdditionalVehs!$AA$46:$AK$91,MATCH($C812,AdditionalVehs!$C$46:$C$91,0),MATCH(N$7,AdditionalVehs!$AA$45:$AK$45,0))</f>
        <v>#REF!</v>
      </c>
      <c r="O812" s="86" t="e">
        <f>GDPdeflator!$C$38*INDEX(AdditionalVehs!$AA$46:$AK$91,MATCH($C812,AdditionalVehs!$C$46:$C$91,0),MATCH(O$7,AdditionalVehs!$AA$45:$AK$45,0))</f>
        <v>#REF!</v>
      </c>
      <c r="P812" s="87">
        <f t="shared" si="334"/>
        <v>0</v>
      </c>
      <c r="Q812" s="87" t="e">
        <f t="shared" si="329"/>
        <v>#REF!</v>
      </c>
      <c r="R812" s="87" t="e">
        <f t="shared" si="328"/>
        <v>#REF!</v>
      </c>
      <c r="S812" s="87" t="e">
        <f t="shared" si="317"/>
        <v>#REF!</v>
      </c>
      <c r="T812" s="87" t="e">
        <f t="shared" si="318"/>
        <v>#REF!</v>
      </c>
      <c r="U812" s="87" t="e">
        <f t="shared" si="319"/>
        <v>#REF!</v>
      </c>
      <c r="V812" s="87" t="e">
        <f t="shared" si="320"/>
        <v>#REF!</v>
      </c>
      <c r="W812" s="87" t="e">
        <f t="shared" si="321"/>
        <v>#REF!</v>
      </c>
      <c r="X812" s="87" t="e">
        <f t="shared" si="322"/>
        <v>#REF!</v>
      </c>
      <c r="Y812" s="87" t="e">
        <f t="shared" si="323"/>
        <v>#REF!</v>
      </c>
      <c r="Z812" s="87" t="e">
        <f t="shared" si="324"/>
        <v>#REF!</v>
      </c>
      <c r="AA812" s="40">
        <v>420</v>
      </c>
      <c r="AB812" s="89">
        <f>AA812*GDPdeflator!$C$25/$AI$18*10^3</f>
        <v>40.382789385678855</v>
      </c>
      <c r="AC812" s="90" t="e">
        <f>INDEX(AdditionalVehs!$E$46:$N$91,MATCH(C812,AdditionalVehs!$C$46:$C$91),MATCH(D812,AdditionalVehs!$E$45:$N$45))</f>
        <v>#REF!</v>
      </c>
      <c r="AD812" s="90" t="e">
        <f t="shared" si="327"/>
        <v>#REF!</v>
      </c>
      <c r="AE812" s="90" t="e">
        <f>INDEX(AdditionalVehs!$P$46:$Y$91,MATCH(C812,AdditionalVehs!$C$46:$C$91),MATCH(D812,AdditionalVehs!$AA$45:$AJ$45))</f>
        <v>#REF!</v>
      </c>
      <c r="AF812" s="90" t="e">
        <f t="shared" si="331"/>
        <v>#REF!</v>
      </c>
      <c r="AG812" s="90">
        <f>AdditionalVehs!$C$28</f>
        <v>0.26521554647620627</v>
      </c>
    </row>
    <row r="813" spans="1:33" x14ac:dyDescent="0.2">
      <c r="A813" s="92" t="s">
        <v>2475</v>
      </c>
      <c r="B813" s="248" t="s">
        <v>2476</v>
      </c>
      <c r="C813" s="40" t="s">
        <v>2460</v>
      </c>
      <c r="D813" s="40">
        <v>2050</v>
      </c>
      <c r="E813" s="86">
        <f>GDPdeflator!$C$32*INDEX(AdditionalVehs!$AA$46:$AK$91,MATCH($C813,AdditionalVehs!$C$46:$C$91,0),MATCH(E$7,AdditionalVehs!$AA$45:$AK$45,0))</f>
        <v>0</v>
      </c>
      <c r="F813" s="86" t="e">
        <f>GDPdeflator!$C$36*INDEX(AdditionalVehs!$AA$46:$AK$91,MATCH($C813,AdditionalVehs!$C$46:$C$91,0),MATCH(F$7,AdditionalVehs!$AA$45:$AK$45,0))</f>
        <v>#REF!</v>
      </c>
      <c r="G813" s="86" t="e">
        <f>GDPdeflator!$C$38*INDEX(AdditionalVehs!$AA$46:$AK$91,MATCH($C813,AdditionalVehs!$C$46:$C$91,0),MATCH(G$7,AdditionalVehs!$AA$45:$AK$45,0))</f>
        <v>#REF!</v>
      </c>
      <c r="H813" s="86" t="e">
        <f>GDPdeflator!$C$38*INDEX(AdditionalVehs!$AA$46:$AK$91,MATCH($C813,AdditionalVehs!$C$46:$C$91,0),MATCH(H$7,AdditionalVehs!$AA$45:$AK$45,0))</f>
        <v>#REF!</v>
      </c>
      <c r="I813" s="86" t="e">
        <f>GDPdeflator!$C$38*INDEX(AdditionalVehs!$AA$46:$AK$91,MATCH($C813,AdditionalVehs!$C$46:$C$91,0),MATCH(I$7,AdditionalVehs!$AA$45:$AK$45,0))</f>
        <v>#REF!</v>
      </c>
      <c r="J813" s="86" t="e">
        <f>GDPdeflator!$C$38*INDEX(AdditionalVehs!$AA$46:$AK$91,MATCH($C813,AdditionalVehs!$C$46:$C$91,0),MATCH(J$7,AdditionalVehs!$AA$45:$AK$45,0))</f>
        <v>#REF!</v>
      </c>
      <c r="K813" s="86" t="e">
        <f>GDPdeflator!$C$38*INDEX(AdditionalVehs!$AA$46:$AK$91,MATCH($C813,AdditionalVehs!$C$46:$C$91,0),MATCH(K$7,AdditionalVehs!$AA$45:$AK$45,0))</f>
        <v>#REF!</v>
      </c>
      <c r="L813" s="86" t="e">
        <f>GDPdeflator!$C$38*INDEX(AdditionalVehs!$AA$46:$AK$91,MATCH($C813,AdditionalVehs!$C$46:$C$91,0),MATCH(L$7,AdditionalVehs!$AA$45:$AK$45,0))</f>
        <v>#REF!</v>
      </c>
      <c r="M813" s="86" t="e">
        <f>GDPdeflator!$C$38*INDEX(AdditionalVehs!$AA$46:$AK$91,MATCH($C813,AdditionalVehs!$C$46:$C$91,0),MATCH(M$7,AdditionalVehs!$AA$45:$AK$45,0))</f>
        <v>#REF!</v>
      </c>
      <c r="N813" s="86" t="e">
        <f>GDPdeflator!$C$38*INDEX(AdditionalVehs!$AA$46:$AK$91,MATCH($C813,AdditionalVehs!$C$46:$C$91,0),MATCH(N$7,AdditionalVehs!$AA$45:$AK$45,0))</f>
        <v>#REF!</v>
      </c>
      <c r="O813" s="86" t="e">
        <f>GDPdeflator!$C$38*INDEX(AdditionalVehs!$AA$46:$AK$91,MATCH($C813,AdditionalVehs!$C$46:$C$91,0),MATCH(O$7,AdditionalVehs!$AA$45:$AK$45,0))</f>
        <v>#REF!</v>
      </c>
      <c r="P813" s="87">
        <f t="shared" si="334"/>
        <v>0</v>
      </c>
      <c r="Q813" s="87" t="e">
        <f t="shared" si="329"/>
        <v>#REF!</v>
      </c>
      <c r="R813" s="87" t="e">
        <f t="shared" si="328"/>
        <v>#REF!</v>
      </c>
      <c r="S813" s="87" t="e">
        <f t="shared" si="317"/>
        <v>#REF!</v>
      </c>
      <c r="T813" s="87" t="e">
        <f t="shared" si="318"/>
        <v>#REF!</v>
      </c>
      <c r="U813" s="87" t="e">
        <f t="shared" si="319"/>
        <v>#REF!</v>
      </c>
      <c r="V813" s="87" t="e">
        <f t="shared" si="320"/>
        <v>#REF!</v>
      </c>
      <c r="W813" s="87" t="e">
        <f t="shared" si="321"/>
        <v>#REF!</v>
      </c>
      <c r="X813" s="87" t="e">
        <f t="shared" si="322"/>
        <v>#REF!</v>
      </c>
      <c r="Y813" s="87" t="e">
        <f t="shared" si="323"/>
        <v>#REF!</v>
      </c>
      <c r="Z813" s="87" t="e">
        <f t="shared" si="324"/>
        <v>#REF!</v>
      </c>
      <c r="AA813" s="40">
        <v>420</v>
      </c>
      <c r="AB813" s="89">
        <f>AA813*GDPdeflator!$C$25/$AI$18*10^3</f>
        <v>40.382789385678855</v>
      </c>
      <c r="AC813" s="90" t="e">
        <f>INDEX(AdditionalVehs!$E$46:$N$91,MATCH(C813,AdditionalVehs!$C$46:$C$91),MATCH(D813,AdditionalVehs!$E$45:$N$45))</f>
        <v>#REF!</v>
      </c>
      <c r="AD813" s="90" t="e">
        <f t="shared" si="327"/>
        <v>#REF!</v>
      </c>
      <c r="AE813" s="90" t="e">
        <f>INDEX(AdditionalVehs!$P$46:$Y$91,MATCH(C813,AdditionalVehs!$C$46:$C$91),MATCH(D813,AdditionalVehs!$AA$45:$AJ$45))</f>
        <v>#REF!</v>
      </c>
      <c r="AF813" s="90" t="e">
        <f t="shared" si="331"/>
        <v>#REF!</v>
      </c>
      <c r="AG813" s="90">
        <f>AdditionalVehs!$C$28</f>
        <v>0.26521554647620627</v>
      </c>
    </row>
    <row r="814" spans="1:33" x14ac:dyDescent="0.2">
      <c r="A814" s="92" t="s">
        <v>2477</v>
      </c>
      <c r="B814" s="248" t="s">
        <v>2478</v>
      </c>
      <c r="C814" s="40" t="s">
        <v>2479</v>
      </c>
      <c r="D814" s="40">
        <v>2010</v>
      </c>
      <c r="E814" s="86">
        <f>GDPdeflator!$C$32*INDEX(AdditionalVehs!$AA$46:$AK$91,MATCH($C814,AdditionalVehs!$C$46:$C$91,0),MATCH(E$7,AdditionalVehs!$AA$45:$AK$45,0))</f>
        <v>0</v>
      </c>
      <c r="F814" s="86" t="e">
        <f>GDPdeflator!$C$36*INDEX(AdditionalVehs!$AA$46:$AK$91,MATCH($C814,AdditionalVehs!$C$46:$C$91,0),MATCH(F$7,AdditionalVehs!$AA$45:$AK$45,0))</f>
        <v>#REF!</v>
      </c>
      <c r="G814" s="86" t="e">
        <f>GDPdeflator!$C$38*INDEX(AdditionalVehs!$AA$46:$AK$91,MATCH($C814,AdditionalVehs!$C$46:$C$91,0),MATCH(G$7,AdditionalVehs!$AA$45:$AK$45,0))</f>
        <v>#REF!</v>
      </c>
      <c r="H814" s="86" t="e">
        <f>GDPdeflator!$C$38*INDEX(AdditionalVehs!$AA$46:$AK$91,MATCH($C814,AdditionalVehs!$C$46:$C$91,0),MATCH(H$7,AdditionalVehs!$AA$45:$AK$45,0))</f>
        <v>#REF!</v>
      </c>
      <c r="I814" s="86" t="e">
        <f>GDPdeflator!$C$38*INDEX(AdditionalVehs!$AA$46:$AK$91,MATCH($C814,AdditionalVehs!$C$46:$C$91,0),MATCH(I$7,AdditionalVehs!$AA$45:$AK$45,0))</f>
        <v>#REF!</v>
      </c>
      <c r="J814" s="86" t="e">
        <f>GDPdeflator!$C$38*INDEX(AdditionalVehs!$AA$46:$AK$91,MATCH($C814,AdditionalVehs!$C$46:$C$91,0),MATCH(J$7,AdditionalVehs!$AA$45:$AK$45,0))</f>
        <v>#REF!</v>
      </c>
      <c r="K814" s="86" t="e">
        <f>GDPdeflator!$C$38*INDEX(AdditionalVehs!$AA$46:$AK$91,MATCH($C814,AdditionalVehs!$C$46:$C$91,0),MATCH(K$7,AdditionalVehs!$AA$45:$AK$45,0))</f>
        <v>#REF!</v>
      </c>
      <c r="L814" s="86" t="e">
        <f>GDPdeflator!$C$38*INDEX(AdditionalVehs!$AA$46:$AK$91,MATCH($C814,AdditionalVehs!$C$46:$C$91,0),MATCH(L$7,AdditionalVehs!$AA$45:$AK$45,0))</f>
        <v>#REF!</v>
      </c>
      <c r="M814" s="86" t="e">
        <f>GDPdeflator!$C$38*INDEX(AdditionalVehs!$AA$46:$AK$91,MATCH($C814,AdditionalVehs!$C$46:$C$91,0),MATCH(M$7,AdditionalVehs!$AA$45:$AK$45,0))</f>
        <v>#REF!</v>
      </c>
      <c r="N814" s="86" t="e">
        <f>GDPdeflator!$C$38*INDEX(AdditionalVehs!$AA$46:$AK$91,MATCH($C814,AdditionalVehs!$C$46:$C$91,0),MATCH(N$7,AdditionalVehs!$AA$45:$AK$45,0))</f>
        <v>#REF!</v>
      </c>
      <c r="O814" s="86" t="e">
        <f>GDPdeflator!$C$38*INDEX(AdditionalVehs!$AA$46:$AK$91,MATCH($C814,AdditionalVehs!$C$46:$C$91,0),MATCH(O$7,AdditionalVehs!$AA$45:$AK$45,0))</f>
        <v>#REF!</v>
      </c>
      <c r="P814" s="87">
        <f>E814/$AI$18*10^6</f>
        <v>0</v>
      </c>
      <c r="Q814" s="87" t="e">
        <f t="shared" si="329"/>
        <v>#REF!</v>
      </c>
      <c r="R814" s="87" t="e">
        <f t="shared" si="328"/>
        <v>#REF!</v>
      </c>
      <c r="S814" s="87" t="e">
        <f t="shared" si="317"/>
        <v>#REF!</v>
      </c>
      <c r="T814" s="87" t="e">
        <f t="shared" si="318"/>
        <v>#REF!</v>
      </c>
      <c r="U814" s="87" t="e">
        <f t="shared" si="319"/>
        <v>#REF!</v>
      </c>
      <c r="V814" s="87" t="e">
        <f t="shared" si="320"/>
        <v>#REF!</v>
      </c>
      <c r="W814" s="87" t="e">
        <f t="shared" si="321"/>
        <v>#REF!</v>
      </c>
      <c r="X814" s="87" t="e">
        <f t="shared" si="322"/>
        <v>#REF!</v>
      </c>
      <c r="Y814" s="87" t="e">
        <f t="shared" si="323"/>
        <v>#REF!</v>
      </c>
      <c r="Z814" s="87" t="e">
        <f t="shared" si="324"/>
        <v>#REF!</v>
      </c>
      <c r="AA814" s="40">
        <v>473</v>
      </c>
      <c r="AB814" s="89">
        <f>AA814*GDPdeflator!$C$25/$AI$18*10^3</f>
        <v>45.478712808157368</v>
      </c>
      <c r="AC814" s="90" t="e">
        <f>INDEX(AdditionalVehs!$E$46:$N$91,MATCH(C814,AdditionalVehs!$C$46:$C$91),MATCH(D814,AdditionalVehs!$E$45:$N$45))</f>
        <v>#REF!</v>
      </c>
      <c r="AD814" s="90" t="e">
        <f t="shared" si="327"/>
        <v>#REF!</v>
      </c>
      <c r="AE814" s="90" t="e">
        <f>INDEX(AdditionalVehs!$P$46:$Y$91,MATCH(C814,AdditionalVehs!$C$46:$C$91),MATCH(D814,AdditionalVehs!$AA$45:$AJ$45))</f>
        <v>#REF!</v>
      </c>
      <c r="AF814" s="90" t="e">
        <f t="shared" si="331"/>
        <v>#REF!</v>
      </c>
      <c r="AG814" s="90">
        <f>AdditionalVehs!$C$28</f>
        <v>0.26521554647620627</v>
      </c>
    </row>
    <row r="815" spans="1:33" x14ac:dyDescent="0.2">
      <c r="A815" s="92" t="s">
        <v>2480</v>
      </c>
      <c r="B815" s="248" t="s">
        <v>2481</v>
      </c>
      <c r="C815" s="40" t="s">
        <v>2479</v>
      </c>
      <c r="D815" s="40">
        <v>2015</v>
      </c>
      <c r="E815" s="86">
        <f>GDPdeflator!$C$32*INDEX(AdditionalVehs!$AA$46:$AK$91,MATCH($C815,AdditionalVehs!$C$46:$C$91,0),MATCH(E$7,AdditionalVehs!$AA$45:$AK$45,0))</f>
        <v>0</v>
      </c>
      <c r="F815" s="86" t="e">
        <f>GDPdeflator!$C$36*INDEX(AdditionalVehs!$AA$46:$AK$91,MATCH($C815,AdditionalVehs!$C$46:$C$91,0),MATCH(F$7,AdditionalVehs!$AA$45:$AK$45,0))</f>
        <v>#REF!</v>
      </c>
      <c r="G815" s="86" t="e">
        <f>GDPdeflator!$C$38*INDEX(AdditionalVehs!$AA$46:$AK$91,MATCH($C815,AdditionalVehs!$C$46:$C$91,0),MATCH(G$7,AdditionalVehs!$AA$45:$AK$45,0))</f>
        <v>#REF!</v>
      </c>
      <c r="H815" s="86" t="e">
        <f>GDPdeflator!$C$38*INDEX(AdditionalVehs!$AA$46:$AK$91,MATCH($C815,AdditionalVehs!$C$46:$C$91,0),MATCH(H$7,AdditionalVehs!$AA$45:$AK$45,0))</f>
        <v>#REF!</v>
      </c>
      <c r="I815" s="86" t="e">
        <f>GDPdeflator!$C$38*INDEX(AdditionalVehs!$AA$46:$AK$91,MATCH($C815,AdditionalVehs!$C$46:$C$91,0),MATCH(I$7,AdditionalVehs!$AA$45:$AK$45,0))</f>
        <v>#REF!</v>
      </c>
      <c r="J815" s="86" t="e">
        <f>GDPdeflator!$C$38*INDEX(AdditionalVehs!$AA$46:$AK$91,MATCH($C815,AdditionalVehs!$C$46:$C$91,0),MATCH(J$7,AdditionalVehs!$AA$45:$AK$45,0))</f>
        <v>#REF!</v>
      </c>
      <c r="K815" s="86" t="e">
        <f>GDPdeflator!$C$38*INDEX(AdditionalVehs!$AA$46:$AK$91,MATCH($C815,AdditionalVehs!$C$46:$C$91,0),MATCH(K$7,AdditionalVehs!$AA$45:$AK$45,0))</f>
        <v>#REF!</v>
      </c>
      <c r="L815" s="86" t="e">
        <f>GDPdeflator!$C$38*INDEX(AdditionalVehs!$AA$46:$AK$91,MATCH($C815,AdditionalVehs!$C$46:$C$91,0),MATCH(L$7,AdditionalVehs!$AA$45:$AK$45,0))</f>
        <v>#REF!</v>
      </c>
      <c r="M815" s="86" t="e">
        <f>GDPdeflator!$C$38*INDEX(AdditionalVehs!$AA$46:$AK$91,MATCH($C815,AdditionalVehs!$C$46:$C$91,0),MATCH(M$7,AdditionalVehs!$AA$45:$AK$45,0))</f>
        <v>#REF!</v>
      </c>
      <c r="N815" s="86" t="e">
        <f>GDPdeflator!$C$38*INDEX(AdditionalVehs!$AA$46:$AK$91,MATCH($C815,AdditionalVehs!$C$46:$C$91,0),MATCH(N$7,AdditionalVehs!$AA$45:$AK$45,0))</f>
        <v>#REF!</v>
      </c>
      <c r="O815" s="86" t="e">
        <f>GDPdeflator!$C$38*INDEX(AdditionalVehs!$AA$46:$AK$91,MATCH($C815,AdditionalVehs!$C$46:$C$91,0),MATCH(O$7,AdditionalVehs!$AA$45:$AK$45,0))</f>
        <v>#REF!</v>
      </c>
      <c r="P815" s="87">
        <f t="shared" ref="P815:P822" si="335">E815/$AI$18*10^6</f>
        <v>0</v>
      </c>
      <c r="Q815" s="87" t="e">
        <f t="shared" si="329"/>
        <v>#REF!</v>
      </c>
      <c r="R815" s="87" t="e">
        <f t="shared" si="328"/>
        <v>#REF!</v>
      </c>
      <c r="S815" s="87" t="e">
        <f t="shared" si="317"/>
        <v>#REF!</v>
      </c>
      <c r="T815" s="87" t="e">
        <f t="shared" si="318"/>
        <v>#REF!</v>
      </c>
      <c r="U815" s="87" t="e">
        <f t="shared" si="319"/>
        <v>#REF!</v>
      </c>
      <c r="V815" s="87" t="e">
        <f t="shared" si="320"/>
        <v>#REF!</v>
      </c>
      <c r="W815" s="87" t="e">
        <f t="shared" si="321"/>
        <v>#REF!</v>
      </c>
      <c r="X815" s="87" t="e">
        <f t="shared" si="322"/>
        <v>#REF!</v>
      </c>
      <c r="Y815" s="87" t="e">
        <f t="shared" si="323"/>
        <v>#REF!</v>
      </c>
      <c r="Z815" s="87" t="e">
        <f t="shared" si="324"/>
        <v>#REF!</v>
      </c>
      <c r="AA815" s="40">
        <v>473</v>
      </c>
      <c r="AB815" s="89">
        <f>AA815*GDPdeflator!$C$25/$AI$18*10^3</f>
        <v>45.478712808157368</v>
      </c>
      <c r="AC815" s="90" t="e">
        <f>INDEX(AdditionalVehs!$E$46:$N$91,MATCH(C815,AdditionalVehs!$C$46:$C$91),MATCH(D815,AdditionalVehs!$E$45:$N$45))</f>
        <v>#REF!</v>
      </c>
      <c r="AD815" s="90" t="e">
        <f t="shared" si="327"/>
        <v>#REF!</v>
      </c>
      <c r="AE815" s="90" t="e">
        <f>INDEX(AdditionalVehs!$P$46:$Y$91,MATCH(C815,AdditionalVehs!$C$46:$C$91),MATCH(D815,AdditionalVehs!$AA$45:$AJ$45))</f>
        <v>#REF!</v>
      </c>
      <c r="AF815" s="90" t="e">
        <f t="shared" si="331"/>
        <v>#REF!</v>
      </c>
      <c r="AG815" s="90">
        <f>AdditionalVehs!$C$28</f>
        <v>0.26521554647620627</v>
      </c>
    </row>
    <row r="816" spans="1:33" x14ac:dyDescent="0.2">
      <c r="A816" s="92" t="s">
        <v>2482</v>
      </c>
      <c r="B816" s="248" t="s">
        <v>2483</v>
      </c>
      <c r="C816" s="40" t="s">
        <v>2479</v>
      </c>
      <c r="D816" s="40">
        <v>2020</v>
      </c>
      <c r="E816" s="86">
        <f>GDPdeflator!$C$32*INDEX(AdditionalVehs!$AA$46:$AK$91,MATCH($C816,AdditionalVehs!$C$46:$C$91,0),MATCH(E$7,AdditionalVehs!$AA$45:$AK$45,0))</f>
        <v>0</v>
      </c>
      <c r="F816" s="86" t="e">
        <f>GDPdeflator!$C$36*INDEX(AdditionalVehs!$AA$46:$AK$91,MATCH($C816,AdditionalVehs!$C$46:$C$91,0),MATCH(F$7,AdditionalVehs!$AA$45:$AK$45,0))</f>
        <v>#REF!</v>
      </c>
      <c r="G816" s="86" t="e">
        <f>GDPdeflator!$C$38*INDEX(AdditionalVehs!$AA$46:$AK$91,MATCH($C816,AdditionalVehs!$C$46:$C$91,0),MATCH(G$7,AdditionalVehs!$AA$45:$AK$45,0))</f>
        <v>#REF!</v>
      </c>
      <c r="H816" s="86" t="e">
        <f>GDPdeflator!$C$38*INDEX(AdditionalVehs!$AA$46:$AK$91,MATCH($C816,AdditionalVehs!$C$46:$C$91,0),MATCH(H$7,AdditionalVehs!$AA$45:$AK$45,0))</f>
        <v>#REF!</v>
      </c>
      <c r="I816" s="86" t="e">
        <f>GDPdeflator!$C$38*INDEX(AdditionalVehs!$AA$46:$AK$91,MATCH($C816,AdditionalVehs!$C$46:$C$91,0),MATCH(I$7,AdditionalVehs!$AA$45:$AK$45,0))</f>
        <v>#REF!</v>
      </c>
      <c r="J816" s="86" t="e">
        <f>GDPdeflator!$C$38*INDEX(AdditionalVehs!$AA$46:$AK$91,MATCH($C816,AdditionalVehs!$C$46:$C$91,0),MATCH(J$7,AdditionalVehs!$AA$45:$AK$45,0))</f>
        <v>#REF!</v>
      </c>
      <c r="K816" s="86" t="e">
        <f>GDPdeflator!$C$38*INDEX(AdditionalVehs!$AA$46:$AK$91,MATCH($C816,AdditionalVehs!$C$46:$C$91,0),MATCH(K$7,AdditionalVehs!$AA$45:$AK$45,0))</f>
        <v>#REF!</v>
      </c>
      <c r="L816" s="86" t="e">
        <f>GDPdeflator!$C$38*INDEX(AdditionalVehs!$AA$46:$AK$91,MATCH($C816,AdditionalVehs!$C$46:$C$91,0),MATCH(L$7,AdditionalVehs!$AA$45:$AK$45,0))</f>
        <v>#REF!</v>
      </c>
      <c r="M816" s="86" t="e">
        <f>GDPdeflator!$C$38*INDEX(AdditionalVehs!$AA$46:$AK$91,MATCH($C816,AdditionalVehs!$C$46:$C$91,0),MATCH(M$7,AdditionalVehs!$AA$45:$AK$45,0))</f>
        <v>#REF!</v>
      </c>
      <c r="N816" s="86" t="e">
        <f>GDPdeflator!$C$38*INDEX(AdditionalVehs!$AA$46:$AK$91,MATCH($C816,AdditionalVehs!$C$46:$C$91,0),MATCH(N$7,AdditionalVehs!$AA$45:$AK$45,0))</f>
        <v>#REF!</v>
      </c>
      <c r="O816" s="86" t="e">
        <f>GDPdeflator!$C$38*INDEX(AdditionalVehs!$AA$46:$AK$91,MATCH($C816,AdditionalVehs!$C$46:$C$91,0),MATCH(O$7,AdditionalVehs!$AA$45:$AK$45,0))</f>
        <v>#REF!</v>
      </c>
      <c r="P816" s="87">
        <f t="shared" si="335"/>
        <v>0</v>
      </c>
      <c r="Q816" s="87" t="e">
        <f t="shared" si="329"/>
        <v>#REF!</v>
      </c>
      <c r="R816" s="87" t="e">
        <f t="shared" si="328"/>
        <v>#REF!</v>
      </c>
      <c r="S816" s="87" t="e">
        <f t="shared" si="317"/>
        <v>#REF!</v>
      </c>
      <c r="T816" s="87" t="e">
        <f t="shared" si="318"/>
        <v>#REF!</v>
      </c>
      <c r="U816" s="87" t="e">
        <f t="shared" si="319"/>
        <v>#REF!</v>
      </c>
      <c r="V816" s="87" t="e">
        <f t="shared" si="320"/>
        <v>#REF!</v>
      </c>
      <c r="W816" s="87" t="e">
        <f t="shared" si="321"/>
        <v>#REF!</v>
      </c>
      <c r="X816" s="87" t="e">
        <f t="shared" si="322"/>
        <v>#REF!</v>
      </c>
      <c r="Y816" s="87" t="e">
        <f t="shared" si="323"/>
        <v>#REF!</v>
      </c>
      <c r="Z816" s="87" t="e">
        <f t="shared" si="324"/>
        <v>#REF!</v>
      </c>
      <c r="AA816" s="40">
        <v>473</v>
      </c>
      <c r="AB816" s="89">
        <f>AA816*GDPdeflator!$C$25/$AI$18*10^3</f>
        <v>45.478712808157368</v>
      </c>
      <c r="AC816" s="90" t="e">
        <f>INDEX(AdditionalVehs!$E$46:$N$91,MATCH(C816,AdditionalVehs!$C$46:$C$91),MATCH(D816,AdditionalVehs!$E$45:$N$45))</f>
        <v>#REF!</v>
      </c>
      <c r="AD816" s="90" t="e">
        <f t="shared" si="327"/>
        <v>#REF!</v>
      </c>
      <c r="AE816" s="90" t="e">
        <f>INDEX(AdditionalVehs!$P$46:$Y$91,MATCH(C816,AdditionalVehs!$C$46:$C$91),MATCH(D816,AdditionalVehs!$AA$45:$AJ$45))</f>
        <v>#REF!</v>
      </c>
      <c r="AF816" s="90" t="e">
        <f t="shared" si="331"/>
        <v>#REF!</v>
      </c>
      <c r="AG816" s="90">
        <f>AdditionalVehs!$C$28</f>
        <v>0.26521554647620627</v>
      </c>
    </row>
    <row r="817" spans="1:33" x14ac:dyDescent="0.2">
      <c r="A817" s="92" t="s">
        <v>2484</v>
      </c>
      <c r="B817" s="248" t="s">
        <v>2485</v>
      </c>
      <c r="C817" s="40" t="s">
        <v>2479</v>
      </c>
      <c r="D817" s="40">
        <v>2025</v>
      </c>
      <c r="E817" s="86">
        <f>GDPdeflator!$C$32*INDEX(AdditionalVehs!$AA$46:$AK$91,MATCH($C817,AdditionalVehs!$C$46:$C$91,0),MATCH(E$7,AdditionalVehs!$AA$45:$AK$45,0))</f>
        <v>0</v>
      </c>
      <c r="F817" s="86" t="e">
        <f>GDPdeflator!$C$36*INDEX(AdditionalVehs!$AA$46:$AK$91,MATCH($C817,AdditionalVehs!$C$46:$C$91,0),MATCH(F$7,AdditionalVehs!$AA$45:$AK$45,0))</f>
        <v>#REF!</v>
      </c>
      <c r="G817" s="86" t="e">
        <f>GDPdeflator!$C$38*INDEX(AdditionalVehs!$AA$46:$AK$91,MATCH($C817,AdditionalVehs!$C$46:$C$91,0),MATCH(G$7,AdditionalVehs!$AA$45:$AK$45,0))</f>
        <v>#REF!</v>
      </c>
      <c r="H817" s="86" t="e">
        <f>GDPdeflator!$C$38*INDEX(AdditionalVehs!$AA$46:$AK$91,MATCH($C817,AdditionalVehs!$C$46:$C$91,0),MATCH(H$7,AdditionalVehs!$AA$45:$AK$45,0))</f>
        <v>#REF!</v>
      </c>
      <c r="I817" s="86" t="e">
        <f>GDPdeflator!$C$38*INDEX(AdditionalVehs!$AA$46:$AK$91,MATCH($C817,AdditionalVehs!$C$46:$C$91,0),MATCH(I$7,AdditionalVehs!$AA$45:$AK$45,0))</f>
        <v>#REF!</v>
      </c>
      <c r="J817" s="86" t="e">
        <f>GDPdeflator!$C$38*INDEX(AdditionalVehs!$AA$46:$AK$91,MATCH($C817,AdditionalVehs!$C$46:$C$91,0),MATCH(J$7,AdditionalVehs!$AA$45:$AK$45,0))</f>
        <v>#REF!</v>
      </c>
      <c r="K817" s="86" t="e">
        <f>GDPdeflator!$C$38*INDEX(AdditionalVehs!$AA$46:$AK$91,MATCH($C817,AdditionalVehs!$C$46:$C$91,0),MATCH(K$7,AdditionalVehs!$AA$45:$AK$45,0))</f>
        <v>#REF!</v>
      </c>
      <c r="L817" s="86" t="e">
        <f>GDPdeflator!$C$38*INDEX(AdditionalVehs!$AA$46:$AK$91,MATCH($C817,AdditionalVehs!$C$46:$C$91,0),MATCH(L$7,AdditionalVehs!$AA$45:$AK$45,0))</f>
        <v>#REF!</v>
      </c>
      <c r="M817" s="86" t="e">
        <f>GDPdeflator!$C$38*INDEX(AdditionalVehs!$AA$46:$AK$91,MATCH($C817,AdditionalVehs!$C$46:$C$91,0),MATCH(M$7,AdditionalVehs!$AA$45:$AK$45,0))</f>
        <v>#REF!</v>
      </c>
      <c r="N817" s="86" t="e">
        <f>GDPdeflator!$C$38*INDEX(AdditionalVehs!$AA$46:$AK$91,MATCH($C817,AdditionalVehs!$C$46:$C$91,0),MATCH(N$7,AdditionalVehs!$AA$45:$AK$45,0))</f>
        <v>#REF!</v>
      </c>
      <c r="O817" s="86" t="e">
        <f>GDPdeflator!$C$38*INDEX(AdditionalVehs!$AA$46:$AK$91,MATCH($C817,AdditionalVehs!$C$46:$C$91,0),MATCH(O$7,AdditionalVehs!$AA$45:$AK$45,0))</f>
        <v>#REF!</v>
      </c>
      <c r="P817" s="87">
        <f t="shared" si="335"/>
        <v>0</v>
      </c>
      <c r="Q817" s="87" t="e">
        <f t="shared" si="329"/>
        <v>#REF!</v>
      </c>
      <c r="R817" s="87" t="e">
        <f t="shared" si="328"/>
        <v>#REF!</v>
      </c>
      <c r="S817" s="87" t="e">
        <f t="shared" si="317"/>
        <v>#REF!</v>
      </c>
      <c r="T817" s="87" t="e">
        <f t="shared" si="318"/>
        <v>#REF!</v>
      </c>
      <c r="U817" s="87" t="e">
        <f t="shared" si="319"/>
        <v>#REF!</v>
      </c>
      <c r="V817" s="87" t="e">
        <f t="shared" si="320"/>
        <v>#REF!</v>
      </c>
      <c r="W817" s="87" t="e">
        <f t="shared" si="321"/>
        <v>#REF!</v>
      </c>
      <c r="X817" s="87" t="e">
        <f t="shared" si="322"/>
        <v>#REF!</v>
      </c>
      <c r="Y817" s="87" t="e">
        <f t="shared" si="323"/>
        <v>#REF!</v>
      </c>
      <c r="Z817" s="87" t="e">
        <f t="shared" si="324"/>
        <v>#REF!</v>
      </c>
      <c r="AA817" s="40">
        <v>473</v>
      </c>
      <c r="AB817" s="89">
        <f>AA817*GDPdeflator!$C$25/$AI$18*10^3</f>
        <v>45.478712808157368</v>
      </c>
      <c r="AC817" s="90" t="e">
        <f>INDEX(AdditionalVehs!$E$46:$N$91,MATCH(C817,AdditionalVehs!$C$46:$C$91),MATCH(D817,AdditionalVehs!$E$45:$N$45))</f>
        <v>#REF!</v>
      </c>
      <c r="AD817" s="90" t="e">
        <f t="shared" si="327"/>
        <v>#REF!</v>
      </c>
      <c r="AE817" s="90" t="e">
        <f>INDEX(AdditionalVehs!$P$46:$Y$91,MATCH(C817,AdditionalVehs!$C$46:$C$91),MATCH(D817,AdditionalVehs!$AA$45:$AJ$45))</f>
        <v>#REF!</v>
      </c>
      <c r="AF817" s="90" t="e">
        <f t="shared" si="331"/>
        <v>#REF!</v>
      </c>
      <c r="AG817" s="90">
        <f>AdditionalVehs!$C$28</f>
        <v>0.26521554647620627</v>
      </c>
    </row>
    <row r="818" spans="1:33" x14ac:dyDescent="0.2">
      <c r="A818" s="92" t="s">
        <v>2486</v>
      </c>
      <c r="B818" s="248" t="s">
        <v>2487</v>
      </c>
      <c r="C818" s="40" t="s">
        <v>2479</v>
      </c>
      <c r="D818" s="40">
        <v>2030</v>
      </c>
      <c r="E818" s="86">
        <f>GDPdeflator!$C$32*INDEX(AdditionalVehs!$AA$46:$AK$91,MATCH($C818,AdditionalVehs!$C$46:$C$91,0),MATCH(E$7,AdditionalVehs!$AA$45:$AK$45,0))</f>
        <v>0</v>
      </c>
      <c r="F818" s="86" t="e">
        <f>GDPdeflator!$C$36*INDEX(AdditionalVehs!$AA$46:$AK$91,MATCH($C818,AdditionalVehs!$C$46:$C$91,0),MATCH(F$7,AdditionalVehs!$AA$45:$AK$45,0))</f>
        <v>#REF!</v>
      </c>
      <c r="G818" s="86" t="e">
        <f>GDPdeflator!$C$38*INDEX(AdditionalVehs!$AA$46:$AK$91,MATCH($C818,AdditionalVehs!$C$46:$C$91,0),MATCH(G$7,AdditionalVehs!$AA$45:$AK$45,0))</f>
        <v>#REF!</v>
      </c>
      <c r="H818" s="86" t="e">
        <f>GDPdeflator!$C$38*INDEX(AdditionalVehs!$AA$46:$AK$91,MATCH($C818,AdditionalVehs!$C$46:$C$91,0),MATCH(H$7,AdditionalVehs!$AA$45:$AK$45,0))</f>
        <v>#REF!</v>
      </c>
      <c r="I818" s="86" t="e">
        <f>GDPdeflator!$C$38*INDEX(AdditionalVehs!$AA$46:$AK$91,MATCH($C818,AdditionalVehs!$C$46:$C$91,0),MATCH(I$7,AdditionalVehs!$AA$45:$AK$45,0))</f>
        <v>#REF!</v>
      </c>
      <c r="J818" s="86" t="e">
        <f>GDPdeflator!$C$38*INDEX(AdditionalVehs!$AA$46:$AK$91,MATCH($C818,AdditionalVehs!$C$46:$C$91,0),MATCH(J$7,AdditionalVehs!$AA$45:$AK$45,0))</f>
        <v>#REF!</v>
      </c>
      <c r="K818" s="86" t="e">
        <f>GDPdeflator!$C$38*INDEX(AdditionalVehs!$AA$46:$AK$91,MATCH($C818,AdditionalVehs!$C$46:$C$91,0),MATCH(K$7,AdditionalVehs!$AA$45:$AK$45,0))</f>
        <v>#REF!</v>
      </c>
      <c r="L818" s="86" t="e">
        <f>GDPdeflator!$C$38*INDEX(AdditionalVehs!$AA$46:$AK$91,MATCH($C818,AdditionalVehs!$C$46:$C$91,0),MATCH(L$7,AdditionalVehs!$AA$45:$AK$45,0))</f>
        <v>#REF!</v>
      </c>
      <c r="M818" s="86" t="e">
        <f>GDPdeflator!$C$38*INDEX(AdditionalVehs!$AA$46:$AK$91,MATCH($C818,AdditionalVehs!$C$46:$C$91,0),MATCH(M$7,AdditionalVehs!$AA$45:$AK$45,0))</f>
        <v>#REF!</v>
      </c>
      <c r="N818" s="86" t="e">
        <f>GDPdeflator!$C$38*INDEX(AdditionalVehs!$AA$46:$AK$91,MATCH($C818,AdditionalVehs!$C$46:$C$91,0),MATCH(N$7,AdditionalVehs!$AA$45:$AK$45,0))</f>
        <v>#REF!</v>
      </c>
      <c r="O818" s="86" t="e">
        <f>GDPdeflator!$C$38*INDEX(AdditionalVehs!$AA$46:$AK$91,MATCH($C818,AdditionalVehs!$C$46:$C$91,0),MATCH(O$7,AdditionalVehs!$AA$45:$AK$45,0))</f>
        <v>#REF!</v>
      </c>
      <c r="P818" s="87">
        <f t="shared" si="335"/>
        <v>0</v>
      </c>
      <c r="Q818" s="87" t="e">
        <f t="shared" si="329"/>
        <v>#REF!</v>
      </c>
      <c r="R818" s="87" t="e">
        <f t="shared" si="328"/>
        <v>#REF!</v>
      </c>
      <c r="S818" s="87" t="e">
        <f t="shared" si="317"/>
        <v>#REF!</v>
      </c>
      <c r="T818" s="87" t="e">
        <f t="shared" si="318"/>
        <v>#REF!</v>
      </c>
      <c r="U818" s="87" t="e">
        <f t="shared" si="319"/>
        <v>#REF!</v>
      </c>
      <c r="V818" s="87" t="e">
        <f t="shared" si="320"/>
        <v>#REF!</v>
      </c>
      <c r="W818" s="87" t="e">
        <f t="shared" si="321"/>
        <v>#REF!</v>
      </c>
      <c r="X818" s="87" t="e">
        <f t="shared" si="322"/>
        <v>#REF!</v>
      </c>
      <c r="Y818" s="87" t="e">
        <f t="shared" si="323"/>
        <v>#REF!</v>
      </c>
      <c r="Z818" s="87" t="e">
        <f t="shared" si="324"/>
        <v>#REF!</v>
      </c>
      <c r="AA818" s="40">
        <v>473</v>
      </c>
      <c r="AB818" s="89">
        <f>AA818*GDPdeflator!$C$25/$AI$18*10^3</f>
        <v>45.478712808157368</v>
      </c>
      <c r="AC818" s="90" t="e">
        <f>INDEX(AdditionalVehs!$E$46:$N$91,MATCH(C818,AdditionalVehs!$C$46:$C$91),MATCH(D818,AdditionalVehs!$E$45:$N$45))</f>
        <v>#REF!</v>
      </c>
      <c r="AD818" s="90" t="e">
        <f t="shared" si="327"/>
        <v>#REF!</v>
      </c>
      <c r="AE818" s="90" t="e">
        <f>INDEX(AdditionalVehs!$P$46:$Y$91,MATCH(C818,AdditionalVehs!$C$46:$C$91),MATCH(D818,AdditionalVehs!$AA$45:$AJ$45))</f>
        <v>#REF!</v>
      </c>
      <c r="AF818" s="90" t="e">
        <f t="shared" si="331"/>
        <v>#REF!</v>
      </c>
      <c r="AG818" s="90">
        <f>AdditionalVehs!$C$28</f>
        <v>0.26521554647620627</v>
      </c>
    </row>
    <row r="819" spans="1:33" x14ac:dyDescent="0.2">
      <c r="A819" s="92" t="s">
        <v>2488</v>
      </c>
      <c r="B819" s="248" t="s">
        <v>2489</v>
      </c>
      <c r="C819" s="40" t="s">
        <v>2479</v>
      </c>
      <c r="D819" s="40">
        <v>2035</v>
      </c>
      <c r="E819" s="86">
        <f>GDPdeflator!$C$32*INDEX(AdditionalVehs!$AA$46:$AK$91,MATCH($C819,AdditionalVehs!$C$46:$C$91,0),MATCH(E$7,AdditionalVehs!$AA$45:$AK$45,0))</f>
        <v>0</v>
      </c>
      <c r="F819" s="86" t="e">
        <f>GDPdeflator!$C$36*INDEX(AdditionalVehs!$AA$46:$AK$91,MATCH($C819,AdditionalVehs!$C$46:$C$91,0),MATCH(F$7,AdditionalVehs!$AA$45:$AK$45,0))</f>
        <v>#REF!</v>
      </c>
      <c r="G819" s="86" t="e">
        <f>GDPdeflator!$C$38*INDEX(AdditionalVehs!$AA$46:$AK$91,MATCH($C819,AdditionalVehs!$C$46:$C$91,0),MATCH(G$7,AdditionalVehs!$AA$45:$AK$45,0))</f>
        <v>#REF!</v>
      </c>
      <c r="H819" s="86" t="e">
        <f>GDPdeflator!$C$38*INDEX(AdditionalVehs!$AA$46:$AK$91,MATCH($C819,AdditionalVehs!$C$46:$C$91,0),MATCH(H$7,AdditionalVehs!$AA$45:$AK$45,0))</f>
        <v>#REF!</v>
      </c>
      <c r="I819" s="86" t="e">
        <f>GDPdeflator!$C$38*INDEX(AdditionalVehs!$AA$46:$AK$91,MATCH($C819,AdditionalVehs!$C$46:$C$91,0),MATCH(I$7,AdditionalVehs!$AA$45:$AK$45,0))</f>
        <v>#REF!</v>
      </c>
      <c r="J819" s="86" t="e">
        <f>GDPdeflator!$C$38*INDEX(AdditionalVehs!$AA$46:$AK$91,MATCH($C819,AdditionalVehs!$C$46:$C$91,0),MATCH(J$7,AdditionalVehs!$AA$45:$AK$45,0))</f>
        <v>#REF!</v>
      </c>
      <c r="K819" s="86" t="e">
        <f>GDPdeflator!$C$38*INDEX(AdditionalVehs!$AA$46:$AK$91,MATCH($C819,AdditionalVehs!$C$46:$C$91,0),MATCH(K$7,AdditionalVehs!$AA$45:$AK$45,0))</f>
        <v>#REF!</v>
      </c>
      <c r="L819" s="86" t="e">
        <f>GDPdeflator!$C$38*INDEX(AdditionalVehs!$AA$46:$AK$91,MATCH($C819,AdditionalVehs!$C$46:$C$91,0),MATCH(L$7,AdditionalVehs!$AA$45:$AK$45,0))</f>
        <v>#REF!</v>
      </c>
      <c r="M819" s="86" t="e">
        <f>GDPdeflator!$C$38*INDEX(AdditionalVehs!$AA$46:$AK$91,MATCH($C819,AdditionalVehs!$C$46:$C$91,0),MATCH(M$7,AdditionalVehs!$AA$45:$AK$45,0))</f>
        <v>#REF!</v>
      </c>
      <c r="N819" s="86" t="e">
        <f>GDPdeflator!$C$38*INDEX(AdditionalVehs!$AA$46:$AK$91,MATCH($C819,AdditionalVehs!$C$46:$C$91,0),MATCH(N$7,AdditionalVehs!$AA$45:$AK$45,0))</f>
        <v>#REF!</v>
      </c>
      <c r="O819" s="86" t="e">
        <f>GDPdeflator!$C$38*INDEX(AdditionalVehs!$AA$46:$AK$91,MATCH($C819,AdditionalVehs!$C$46:$C$91,0),MATCH(O$7,AdditionalVehs!$AA$45:$AK$45,0))</f>
        <v>#REF!</v>
      </c>
      <c r="P819" s="87">
        <f t="shared" si="335"/>
        <v>0</v>
      </c>
      <c r="Q819" s="87" t="e">
        <f t="shared" si="329"/>
        <v>#REF!</v>
      </c>
      <c r="R819" s="87" t="e">
        <f t="shared" si="328"/>
        <v>#REF!</v>
      </c>
      <c r="S819" s="87" t="e">
        <f t="shared" si="317"/>
        <v>#REF!</v>
      </c>
      <c r="T819" s="87" t="e">
        <f t="shared" si="318"/>
        <v>#REF!</v>
      </c>
      <c r="U819" s="87" t="e">
        <f t="shared" si="319"/>
        <v>#REF!</v>
      </c>
      <c r="V819" s="87" t="e">
        <f t="shared" si="320"/>
        <v>#REF!</v>
      </c>
      <c r="W819" s="87" t="e">
        <f t="shared" si="321"/>
        <v>#REF!</v>
      </c>
      <c r="X819" s="87" t="e">
        <f t="shared" si="322"/>
        <v>#REF!</v>
      </c>
      <c r="Y819" s="87" t="e">
        <f t="shared" si="323"/>
        <v>#REF!</v>
      </c>
      <c r="Z819" s="87" t="e">
        <f t="shared" si="324"/>
        <v>#REF!</v>
      </c>
      <c r="AA819" s="40">
        <v>473</v>
      </c>
      <c r="AB819" s="89">
        <f>AA819*GDPdeflator!$C$25/$AI$18*10^3</f>
        <v>45.478712808157368</v>
      </c>
      <c r="AC819" s="90" t="e">
        <f>INDEX(AdditionalVehs!$E$46:$N$91,MATCH(C819,AdditionalVehs!$C$46:$C$91),MATCH(D819,AdditionalVehs!$E$45:$N$45))</f>
        <v>#REF!</v>
      </c>
      <c r="AD819" s="90" t="e">
        <f t="shared" si="327"/>
        <v>#REF!</v>
      </c>
      <c r="AE819" s="90" t="e">
        <f>INDEX(AdditionalVehs!$P$46:$Y$91,MATCH(C819,AdditionalVehs!$C$46:$C$91),MATCH(D819,AdditionalVehs!$AA$45:$AJ$45))</f>
        <v>#REF!</v>
      </c>
      <c r="AF819" s="90" t="e">
        <f t="shared" si="331"/>
        <v>#REF!</v>
      </c>
      <c r="AG819" s="90">
        <f>AdditionalVehs!$C$28</f>
        <v>0.26521554647620627</v>
      </c>
    </row>
    <row r="820" spans="1:33" x14ac:dyDescent="0.2">
      <c r="A820" s="92" t="s">
        <v>2490</v>
      </c>
      <c r="B820" s="248" t="s">
        <v>2491</v>
      </c>
      <c r="C820" s="40" t="s">
        <v>2479</v>
      </c>
      <c r="D820" s="40">
        <v>2040</v>
      </c>
      <c r="E820" s="86">
        <f>GDPdeflator!$C$32*INDEX(AdditionalVehs!$AA$46:$AK$91,MATCH($C820,AdditionalVehs!$C$46:$C$91,0),MATCH(E$7,AdditionalVehs!$AA$45:$AK$45,0))</f>
        <v>0</v>
      </c>
      <c r="F820" s="86" t="e">
        <f>GDPdeflator!$C$36*INDEX(AdditionalVehs!$AA$46:$AK$91,MATCH($C820,AdditionalVehs!$C$46:$C$91,0),MATCH(F$7,AdditionalVehs!$AA$45:$AK$45,0))</f>
        <v>#REF!</v>
      </c>
      <c r="G820" s="86" t="e">
        <f>GDPdeflator!$C$38*INDEX(AdditionalVehs!$AA$46:$AK$91,MATCH($C820,AdditionalVehs!$C$46:$C$91,0),MATCH(G$7,AdditionalVehs!$AA$45:$AK$45,0))</f>
        <v>#REF!</v>
      </c>
      <c r="H820" s="86" t="e">
        <f>GDPdeflator!$C$38*INDEX(AdditionalVehs!$AA$46:$AK$91,MATCH($C820,AdditionalVehs!$C$46:$C$91,0),MATCH(H$7,AdditionalVehs!$AA$45:$AK$45,0))</f>
        <v>#REF!</v>
      </c>
      <c r="I820" s="86" t="e">
        <f>GDPdeflator!$C$38*INDEX(AdditionalVehs!$AA$46:$AK$91,MATCH($C820,AdditionalVehs!$C$46:$C$91,0),MATCH(I$7,AdditionalVehs!$AA$45:$AK$45,0))</f>
        <v>#REF!</v>
      </c>
      <c r="J820" s="86" t="e">
        <f>GDPdeflator!$C$38*INDEX(AdditionalVehs!$AA$46:$AK$91,MATCH($C820,AdditionalVehs!$C$46:$C$91,0),MATCH(J$7,AdditionalVehs!$AA$45:$AK$45,0))</f>
        <v>#REF!</v>
      </c>
      <c r="K820" s="86" t="e">
        <f>GDPdeflator!$C$38*INDEX(AdditionalVehs!$AA$46:$AK$91,MATCH($C820,AdditionalVehs!$C$46:$C$91,0),MATCH(K$7,AdditionalVehs!$AA$45:$AK$45,0))</f>
        <v>#REF!</v>
      </c>
      <c r="L820" s="86" t="e">
        <f>GDPdeflator!$C$38*INDEX(AdditionalVehs!$AA$46:$AK$91,MATCH($C820,AdditionalVehs!$C$46:$C$91,0),MATCH(L$7,AdditionalVehs!$AA$45:$AK$45,0))</f>
        <v>#REF!</v>
      </c>
      <c r="M820" s="86" t="e">
        <f>GDPdeflator!$C$38*INDEX(AdditionalVehs!$AA$46:$AK$91,MATCH($C820,AdditionalVehs!$C$46:$C$91,0),MATCH(M$7,AdditionalVehs!$AA$45:$AK$45,0))</f>
        <v>#REF!</v>
      </c>
      <c r="N820" s="86" t="e">
        <f>GDPdeflator!$C$38*INDEX(AdditionalVehs!$AA$46:$AK$91,MATCH($C820,AdditionalVehs!$C$46:$C$91,0),MATCH(N$7,AdditionalVehs!$AA$45:$AK$45,0))</f>
        <v>#REF!</v>
      </c>
      <c r="O820" s="86" t="e">
        <f>GDPdeflator!$C$38*INDEX(AdditionalVehs!$AA$46:$AK$91,MATCH($C820,AdditionalVehs!$C$46:$C$91,0),MATCH(O$7,AdditionalVehs!$AA$45:$AK$45,0))</f>
        <v>#REF!</v>
      </c>
      <c r="P820" s="87">
        <f t="shared" si="335"/>
        <v>0</v>
      </c>
      <c r="Q820" s="87" t="e">
        <f t="shared" si="329"/>
        <v>#REF!</v>
      </c>
      <c r="R820" s="87" t="e">
        <f t="shared" si="328"/>
        <v>#REF!</v>
      </c>
      <c r="S820" s="87" t="e">
        <f t="shared" si="317"/>
        <v>#REF!</v>
      </c>
      <c r="T820" s="87" t="e">
        <f t="shared" si="318"/>
        <v>#REF!</v>
      </c>
      <c r="U820" s="87" t="e">
        <f t="shared" si="319"/>
        <v>#REF!</v>
      </c>
      <c r="V820" s="87" t="e">
        <f t="shared" si="320"/>
        <v>#REF!</v>
      </c>
      <c r="W820" s="87" t="e">
        <f t="shared" si="321"/>
        <v>#REF!</v>
      </c>
      <c r="X820" s="87" t="e">
        <f t="shared" si="322"/>
        <v>#REF!</v>
      </c>
      <c r="Y820" s="87" t="e">
        <f t="shared" si="323"/>
        <v>#REF!</v>
      </c>
      <c r="Z820" s="87" t="e">
        <f t="shared" si="324"/>
        <v>#REF!</v>
      </c>
      <c r="AA820" s="40">
        <v>473</v>
      </c>
      <c r="AB820" s="89">
        <f>AA820*GDPdeflator!$C$25/$AI$18*10^3</f>
        <v>45.478712808157368</v>
      </c>
      <c r="AC820" s="90" t="e">
        <f>INDEX(AdditionalVehs!$E$46:$N$91,MATCH(C820,AdditionalVehs!$C$46:$C$91),MATCH(D820,AdditionalVehs!$E$45:$N$45))</f>
        <v>#REF!</v>
      </c>
      <c r="AD820" s="90" t="e">
        <f t="shared" si="327"/>
        <v>#REF!</v>
      </c>
      <c r="AE820" s="90" t="e">
        <f>INDEX(AdditionalVehs!$P$46:$Y$91,MATCH(C820,AdditionalVehs!$C$46:$C$91),MATCH(D820,AdditionalVehs!$AA$45:$AJ$45))</f>
        <v>#REF!</v>
      </c>
      <c r="AF820" s="90" t="e">
        <f t="shared" si="331"/>
        <v>#REF!</v>
      </c>
      <c r="AG820" s="90">
        <f>AdditionalVehs!$C$28</f>
        <v>0.26521554647620627</v>
      </c>
    </row>
    <row r="821" spans="1:33" x14ac:dyDescent="0.2">
      <c r="A821" s="92" t="s">
        <v>2492</v>
      </c>
      <c r="B821" s="248" t="s">
        <v>2493</v>
      </c>
      <c r="C821" s="40" t="s">
        <v>2479</v>
      </c>
      <c r="D821" s="40">
        <v>2045</v>
      </c>
      <c r="E821" s="86">
        <f>GDPdeflator!$C$32*INDEX(AdditionalVehs!$AA$46:$AK$91,MATCH($C821,AdditionalVehs!$C$46:$C$91,0),MATCH(E$7,AdditionalVehs!$AA$45:$AK$45,0))</f>
        <v>0</v>
      </c>
      <c r="F821" s="86" t="e">
        <f>GDPdeflator!$C$36*INDEX(AdditionalVehs!$AA$46:$AK$91,MATCH($C821,AdditionalVehs!$C$46:$C$91,0),MATCH(F$7,AdditionalVehs!$AA$45:$AK$45,0))</f>
        <v>#REF!</v>
      </c>
      <c r="G821" s="86" t="e">
        <f>GDPdeflator!$C$38*INDEX(AdditionalVehs!$AA$46:$AK$91,MATCH($C821,AdditionalVehs!$C$46:$C$91,0),MATCH(G$7,AdditionalVehs!$AA$45:$AK$45,0))</f>
        <v>#REF!</v>
      </c>
      <c r="H821" s="86" t="e">
        <f>GDPdeflator!$C$38*INDEX(AdditionalVehs!$AA$46:$AK$91,MATCH($C821,AdditionalVehs!$C$46:$C$91,0),MATCH(H$7,AdditionalVehs!$AA$45:$AK$45,0))</f>
        <v>#REF!</v>
      </c>
      <c r="I821" s="86" t="e">
        <f>GDPdeflator!$C$38*INDEX(AdditionalVehs!$AA$46:$AK$91,MATCH($C821,AdditionalVehs!$C$46:$C$91,0),MATCH(I$7,AdditionalVehs!$AA$45:$AK$45,0))</f>
        <v>#REF!</v>
      </c>
      <c r="J821" s="86" t="e">
        <f>GDPdeflator!$C$38*INDEX(AdditionalVehs!$AA$46:$AK$91,MATCH($C821,AdditionalVehs!$C$46:$C$91,0),MATCH(J$7,AdditionalVehs!$AA$45:$AK$45,0))</f>
        <v>#REF!</v>
      </c>
      <c r="K821" s="86" t="e">
        <f>GDPdeflator!$C$38*INDEX(AdditionalVehs!$AA$46:$AK$91,MATCH($C821,AdditionalVehs!$C$46:$C$91,0),MATCH(K$7,AdditionalVehs!$AA$45:$AK$45,0))</f>
        <v>#REF!</v>
      </c>
      <c r="L821" s="86" t="e">
        <f>GDPdeflator!$C$38*INDEX(AdditionalVehs!$AA$46:$AK$91,MATCH($C821,AdditionalVehs!$C$46:$C$91,0),MATCH(L$7,AdditionalVehs!$AA$45:$AK$45,0))</f>
        <v>#REF!</v>
      </c>
      <c r="M821" s="86" t="e">
        <f>GDPdeflator!$C$38*INDEX(AdditionalVehs!$AA$46:$AK$91,MATCH($C821,AdditionalVehs!$C$46:$C$91,0),MATCH(M$7,AdditionalVehs!$AA$45:$AK$45,0))</f>
        <v>#REF!</v>
      </c>
      <c r="N821" s="86" t="e">
        <f>GDPdeflator!$C$38*INDEX(AdditionalVehs!$AA$46:$AK$91,MATCH($C821,AdditionalVehs!$C$46:$C$91,0),MATCH(N$7,AdditionalVehs!$AA$45:$AK$45,0))</f>
        <v>#REF!</v>
      </c>
      <c r="O821" s="86" t="e">
        <f>GDPdeflator!$C$38*INDEX(AdditionalVehs!$AA$46:$AK$91,MATCH($C821,AdditionalVehs!$C$46:$C$91,0),MATCH(O$7,AdditionalVehs!$AA$45:$AK$45,0))</f>
        <v>#REF!</v>
      </c>
      <c r="P821" s="87">
        <f t="shared" si="335"/>
        <v>0</v>
      </c>
      <c r="Q821" s="87" t="e">
        <f t="shared" si="329"/>
        <v>#REF!</v>
      </c>
      <c r="R821" s="87" t="e">
        <f t="shared" si="328"/>
        <v>#REF!</v>
      </c>
      <c r="S821" s="87" t="e">
        <f t="shared" si="317"/>
        <v>#REF!</v>
      </c>
      <c r="T821" s="87" t="e">
        <f t="shared" si="318"/>
        <v>#REF!</v>
      </c>
      <c r="U821" s="87" t="e">
        <f t="shared" si="319"/>
        <v>#REF!</v>
      </c>
      <c r="V821" s="87" t="e">
        <f t="shared" si="320"/>
        <v>#REF!</v>
      </c>
      <c r="W821" s="87" t="e">
        <f t="shared" si="321"/>
        <v>#REF!</v>
      </c>
      <c r="X821" s="87" t="e">
        <f t="shared" si="322"/>
        <v>#REF!</v>
      </c>
      <c r="Y821" s="87" t="e">
        <f t="shared" si="323"/>
        <v>#REF!</v>
      </c>
      <c r="Z821" s="87" t="e">
        <f t="shared" si="324"/>
        <v>#REF!</v>
      </c>
      <c r="AA821" s="40">
        <v>473</v>
      </c>
      <c r="AB821" s="89">
        <f>AA821*GDPdeflator!$C$25/$AI$18*10^3</f>
        <v>45.478712808157368</v>
      </c>
      <c r="AC821" s="90" t="e">
        <f>INDEX(AdditionalVehs!$E$46:$N$91,MATCH(C821,AdditionalVehs!$C$46:$C$91),MATCH(D821,AdditionalVehs!$E$45:$N$45))</f>
        <v>#REF!</v>
      </c>
      <c r="AD821" s="90" t="e">
        <f t="shared" si="327"/>
        <v>#REF!</v>
      </c>
      <c r="AE821" s="90" t="e">
        <f>INDEX(AdditionalVehs!$P$46:$Y$91,MATCH(C821,AdditionalVehs!$C$46:$C$91),MATCH(D821,AdditionalVehs!$AA$45:$AJ$45))</f>
        <v>#REF!</v>
      </c>
      <c r="AF821" s="90" t="e">
        <f t="shared" si="331"/>
        <v>#REF!</v>
      </c>
      <c r="AG821" s="90">
        <f>AdditionalVehs!$C$28</f>
        <v>0.26521554647620627</v>
      </c>
    </row>
    <row r="822" spans="1:33" x14ac:dyDescent="0.2">
      <c r="A822" s="92" t="s">
        <v>2494</v>
      </c>
      <c r="B822" s="248" t="s">
        <v>2495</v>
      </c>
      <c r="C822" s="40" t="s">
        <v>2479</v>
      </c>
      <c r="D822" s="40">
        <v>2050</v>
      </c>
      <c r="E822" s="86">
        <f>GDPdeflator!$C$32*INDEX(AdditionalVehs!$AA$46:$AK$91,MATCH($C822,AdditionalVehs!$C$46:$C$91,0),MATCH(E$7,AdditionalVehs!$AA$45:$AK$45,0))</f>
        <v>0</v>
      </c>
      <c r="F822" s="86" t="e">
        <f>GDPdeflator!$C$36*INDEX(AdditionalVehs!$AA$46:$AK$91,MATCH($C822,AdditionalVehs!$C$46:$C$91,0),MATCH(F$7,AdditionalVehs!$AA$45:$AK$45,0))</f>
        <v>#REF!</v>
      </c>
      <c r="G822" s="86" t="e">
        <f>GDPdeflator!$C$38*INDEX(AdditionalVehs!$AA$46:$AK$91,MATCH($C822,AdditionalVehs!$C$46:$C$91,0),MATCH(G$7,AdditionalVehs!$AA$45:$AK$45,0))</f>
        <v>#REF!</v>
      </c>
      <c r="H822" s="86" t="e">
        <f>GDPdeflator!$C$38*INDEX(AdditionalVehs!$AA$46:$AK$91,MATCH($C822,AdditionalVehs!$C$46:$C$91,0),MATCH(H$7,AdditionalVehs!$AA$45:$AK$45,0))</f>
        <v>#REF!</v>
      </c>
      <c r="I822" s="86" t="e">
        <f>GDPdeflator!$C$38*INDEX(AdditionalVehs!$AA$46:$AK$91,MATCH($C822,AdditionalVehs!$C$46:$C$91,0),MATCH(I$7,AdditionalVehs!$AA$45:$AK$45,0))</f>
        <v>#REF!</v>
      </c>
      <c r="J822" s="86" t="e">
        <f>GDPdeflator!$C$38*INDEX(AdditionalVehs!$AA$46:$AK$91,MATCH($C822,AdditionalVehs!$C$46:$C$91,0),MATCH(J$7,AdditionalVehs!$AA$45:$AK$45,0))</f>
        <v>#REF!</v>
      </c>
      <c r="K822" s="86" t="e">
        <f>GDPdeflator!$C$38*INDEX(AdditionalVehs!$AA$46:$AK$91,MATCH($C822,AdditionalVehs!$C$46:$C$91,0),MATCH(K$7,AdditionalVehs!$AA$45:$AK$45,0))</f>
        <v>#REF!</v>
      </c>
      <c r="L822" s="86" t="e">
        <f>GDPdeflator!$C$38*INDEX(AdditionalVehs!$AA$46:$AK$91,MATCH($C822,AdditionalVehs!$C$46:$C$91,0),MATCH(L$7,AdditionalVehs!$AA$45:$AK$45,0))</f>
        <v>#REF!</v>
      </c>
      <c r="M822" s="86" t="e">
        <f>GDPdeflator!$C$38*INDEX(AdditionalVehs!$AA$46:$AK$91,MATCH($C822,AdditionalVehs!$C$46:$C$91,0),MATCH(M$7,AdditionalVehs!$AA$45:$AK$45,0))</f>
        <v>#REF!</v>
      </c>
      <c r="N822" s="86" t="e">
        <f>GDPdeflator!$C$38*INDEX(AdditionalVehs!$AA$46:$AK$91,MATCH($C822,AdditionalVehs!$C$46:$C$91,0),MATCH(N$7,AdditionalVehs!$AA$45:$AK$45,0))</f>
        <v>#REF!</v>
      </c>
      <c r="O822" s="86" t="e">
        <f>GDPdeflator!$C$38*INDEX(AdditionalVehs!$AA$46:$AK$91,MATCH($C822,AdditionalVehs!$C$46:$C$91,0),MATCH(O$7,AdditionalVehs!$AA$45:$AK$45,0))</f>
        <v>#REF!</v>
      </c>
      <c r="P822" s="87">
        <f t="shared" si="335"/>
        <v>0</v>
      </c>
      <c r="Q822" s="87" t="e">
        <f t="shared" si="329"/>
        <v>#REF!</v>
      </c>
      <c r="R822" s="87" t="e">
        <f t="shared" si="328"/>
        <v>#REF!</v>
      </c>
      <c r="S822" s="87" t="e">
        <f t="shared" si="317"/>
        <v>#REF!</v>
      </c>
      <c r="T822" s="87" t="e">
        <f t="shared" si="318"/>
        <v>#REF!</v>
      </c>
      <c r="U822" s="87" t="e">
        <f t="shared" si="319"/>
        <v>#REF!</v>
      </c>
      <c r="V822" s="87" t="e">
        <f t="shared" si="320"/>
        <v>#REF!</v>
      </c>
      <c r="W822" s="87" t="e">
        <f t="shared" si="321"/>
        <v>#REF!</v>
      </c>
      <c r="X822" s="87" t="e">
        <f t="shared" si="322"/>
        <v>#REF!</v>
      </c>
      <c r="Y822" s="87" t="e">
        <f t="shared" si="323"/>
        <v>#REF!</v>
      </c>
      <c r="Z822" s="87" t="e">
        <f t="shared" si="324"/>
        <v>#REF!</v>
      </c>
      <c r="AA822" s="40">
        <v>473</v>
      </c>
      <c r="AB822" s="89">
        <f>AA822*GDPdeflator!$C$25/$AI$18*10^3</f>
        <v>45.478712808157368</v>
      </c>
      <c r="AC822" s="90" t="e">
        <f>INDEX(AdditionalVehs!$E$46:$N$91,MATCH(C822,AdditionalVehs!$C$46:$C$91),MATCH(D822,AdditionalVehs!$E$45:$N$45))</f>
        <v>#REF!</v>
      </c>
      <c r="AD822" s="90" t="e">
        <f t="shared" si="327"/>
        <v>#REF!</v>
      </c>
      <c r="AE822" s="90" t="e">
        <f>INDEX(AdditionalVehs!$P$46:$Y$91,MATCH(C822,AdditionalVehs!$C$46:$C$91),MATCH(D822,AdditionalVehs!$AA$45:$AJ$45))</f>
        <v>#REF!</v>
      </c>
      <c r="AF822" s="90" t="e">
        <f t="shared" si="331"/>
        <v>#REF!</v>
      </c>
      <c r="AG822" s="90">
        <f>AdditionalVehs!$C$28</f>
        <v>0.26521554647620627</v>
      </c>
    </row>
    <row r="823" spans="1:33" x14ac:dyDescent="0.2">
      <c r="A823" s="92" t="s">
        <v>2496</v>
      </c>
      <c r="B823" s="248" t="s">
        <v>2497</v>
      </c>
      <c r="C823" s="40" t="s">
        <v>2498</v>
      </c>
      <c r="D823" s="40">
        <v>2010</v>
      </c>
      <c r="E823" s="86">
        <f>GDPdeflator!$C$32*INDEX(AdditionalVehs!$AA$46:$AK$91,MATCH($C823,AdditionalVehs!$C$46:$C$91,0),MATCH(E$7,AdditionalVehs!$AA$45:$AK$45,0))</f>
        <v>0</v>
      </c>
      <c r="F823" s="86" t="e">
        <f>GDPdeflator!$C$36*INDEX(AdditionalVehs!$AA$46:$AK$91,MATCH($C823,AdditionalVehs!$C$46:$C$91,0),MATCH(F$7,AdditionalVehs!$AA$45:$AK$45,0))</f>
        <v>#REF!</v>
      </c>
      <c r="G823" s="86" t="e">
        <f>GDPdeflator!$C$38*INDEX(AdditionalVehs!$AA$46:$AK$91,MATCH($C823,AdditionalVehs!$C$46:$C$91,0),MATCH(G$7,AdditionalVehs!$AA$45:$AK$45,0))</f>
        <v>#REF!</v>
      </c>
      <c r="H823" s="86" t="e">
        <f>GDPdeflator!$C$38*INDEX(AdditionalVehs!$AA$46:$AK$91,MATCH($C823,AdditionalVehs!$C$46:$C$91,0),MATCH(H$7,AdditionalVehs!$AA$45:$AK$45,0))</f>
        <v>#REF!</v>
      </c>
      <c r="I823" s="86" t="e">
        <f>GDPdeflator!$C$38*INDEX(AdditionalVehs!$AA$46:$AK$91,MATCH($C823,AdditionalVehs!$C$46:$C$91,0),MATCH(I$7,AdditionalVehs!$AA$45:$AK$45,0))</f>
        <v>#REF!</v>
      </c>
      <c r="J823" s="86" t="e">
        <f>GDPdeflator!$C$38*INDEX(AdditionalVehs!$AA$46:$AK$91,MATCH($C823,AdditionalVehs!$C$46:$C$91,0),MATCH(J$7,AdditionalVehs!$AA$45:$AK$45,0))</f>
        <v>#REF!</v>
      </c>
      <c r="K823" s="86" t="e">
        <f>GDPdeflator!$C$38*INDEX(AdditionalVehs!$AA$46:$AK$91,MATCH($C823,AdditionalVehs!$C$46:$C$91,0),MATCH(K$7,AdditionalVehs!$AA$45:$AK$45,0))</f>
        <v>#REF!</v>
      </c>
      <c r="L823" s="86" t="e">
        <f>GDPdeflator!$C$38*INDEX(AdditionalVehs!$AA$46:$AK$91,MATCH($C823,AdditionalVehs!$C$46:$C$91,0),MATCH(L$7,AdditionalVehs!$AA$45:$AK$45,0))</f>
        <v>#REF!</v>
      </c>
      <c r="M823" s="86" t="e">
        <f>GDPdeflator!$C$38*INDEX(AdditionalVehs!$AA$46:$AK$91,MATCH($C823,AdditionalVehs!$C$46:$C$91,0),MATCH(M$7,AdditionalVehs!$AA$45:$AK$45,0))</f>
        <v>#REF!</v>
      </c>
      <c r="N823" s="86" t="e">
        <f>GDPdeflator!$C$38*INDEX(AdditionalVehs!$AA$46:$AK$91,MATCH($C823,AdditionalVehs!$C$46:$C$91,0),MATCH(N$7,AdditionalVehs!$AA$45:$AK$45,0))</f>
        <v>#REF!</v>
      </c>
      <c r="O823" s="86" t="e">
        <f>GDPdeflator!$C$38*INDEX(AdditionalVehs!$AA$46:$AK$91,MATCH($C823,AdditionalVehs!$C$46:$C$91,0),MATCH(O$7,AdditionalVehs!$AA$45:$AK$45,0))</f>
        <v>#REF!</v>
      </c>
      <c r="P823" s="87">
        <f>E823/$AI$18*10^6</f>
        <v>0</v>
      </c>
      <c r="Q823" s="87" t="e">
        <f t="shared" si="329"/>
        <v>#REF!</v>
      </c>
      <c r="R823" s="87" t="e">
        <f t="shared" si="328"/>
        <v>#REF!</v>
      </c>
      <c r="S823" s="87" t="e">
        <f t="shared" ref="S823:Z838" si="336">H823/$AI$18*10^6</f>
        <v>#REF!</v>
      </c>
      <c r="T823" s="87" t="e">
        <f t="shared" si="336"/>
        <v>#REF!</v>
      </c>
      <c r="U823" s="87" t="e">
        <f t="shared" si="336"/>
        <v>#REF!</v>
      </c>
      <c r="V823" s="87" t="e">
        <f t="shared" si="336"/>
        <v>#REF!</v>
      </c>
      <c r="W823" s="87" t="e">
        <f t="shared" si="336"/>
        <v>#REF!</v>
      </c>
      <c r="X823" s="87" t="e">
        <f t="shared" si="336"/>
        <v>#REF!</v>
      </c>
      <c r="Y823" s="87" t="e">
        <f t="shared" si="336"/>
        <v>#REF!</v>
      </c>
      <c r="Z823" s="87" t="e">
        <f t="shared" si="336"/>
        <v>#REF!</v>
      </c>
      <c r="AA823" s="40">
        <v>500</v>
      </c>
      <c r="AB823" s="89">
        <f>AA823*GDPdeflator!$C$25/$AI$18*10^3</f>
        <v>48.0747492686653</v>
      </c>
      <c r="AC823" s="90">
        <f>INDEX(AdditionalVehs!$E$46:$N$91,MATCH(C823,AdditionalVehs!$C$46:$C$91),MATCH(D823,AdditionalVehs!$E$45:$N$45))</f>
        <v>0</v>
      </c>
      <c r="AD823" s="90">
        <f t="shared" si="327"/>
        <v>0</v>
      </c>
      <c r="AE823" s="90">
        <f>INDEX(AdditionalVehs!$P$46:$Y$91,MATCH(C823,AdditionalVehs!$C$46:$C$91),MATCH(D823,AdditionalVehs!$AA$45:$AJ$45))</f>
        <v>0</v>
      </c>
      <c r="AF823" s="90">
        <f t="shared" si="331"/>
        <v>0</v>
      </c>
      <c r="AG823" s="90">
        <f>AdditionalVehs!$C$28</f>
        <v>0.26521554647620627</v>
      </c>
    </row>
    <row r="824" spans="1:33" x14ac:dyDescent="0.2">
      <c r="A824" s="92" t="s">
        <v>2499</v>
      </c>
      <c r="B824" s="248" t="s">
        <v>2500</v>
      </c>
      <c r="C824" s="40" t="s">
        <v>2498</v>
      </c>
      <c r="D824" s="40">
        <v>2015</v>
      </c>
      <c r="E824" s="86">
        <f>GDPdeflator!$C$32*INDEX(AdditionalVehs!$AA$46:$AK$91,MATCH($C824,AdditionalVehs!$C$46:$C$91,0),MATCH(E$7,AdditionalVehs!$AA$45:$AK$45,0))</f>
        <v>0</v>
      </c>
      <c r="F824" s="86" t="e">
        <f>GDPdeflator!$C$36*INDEX(AdditionalVehs!$AA$46:$AK$91,MATCH($C824,AdditionalVehs!$C$46:$C$91,0),MATCH(F$7,AdditionalVehs!$AA$45:$AK$45,0))</f>
        <v>#REF!</v>
      </c>
      <c r="G824" s="86" t="e">
        <f>GDPdeflator!$C$38*INDEX(AdditionalVehs!$AA$46:$AK$91,MATCH($C824,AdditionalVehs!$C$46:$C$91,0),MATCH(G$7,AdditionalVehs!$AA$45:$AK$45,0))</f>
        <v>#REF!</v>
      </c>
      <c r="H824" s="86" t="e">
        <f>GDPdeflator!$C$38*INDEX(AdditionalVehs!$AA$46:$AK$91,MATCH($C824,AdditionalVehs!$C$46:$C$91,0),MATCH(H$7,AdditionalVehs!$AA$45:$AK$45,0))</f>
        <v>#REF!</v>
      </c>
      <c r="I824" s="86" t="e">
        <f>GDPdeflator!$C$38*INDEX(AdditionalVehs!$AA$46:$AK$91,MATCH($C824,AdditionalVehs!$C$46:$C$91,0),MATCH(I$7,AdditionalVehs!$AA$45:$AK$45,0))</f>
        <v>#REF!</v>
      </c>
      <c r="J824" s="86" t="e">
        <f>GDPdeflator!$C$38*INDEX(AdditionalVehs!$AA$46:$AK$91,MATCH($C824,AdditionalVehs!$C$46:$C$91,0),MATCH(J$7,AdditionalVehs!$AA$45:$AK$45,0))</f>
        <v>#REF!</v>
      </c>
      <c r="K824" s="86" t="e">
        <f>GDPdeflator!$C$38*INDEX(AdditionalVehs!$AA$46:$AK$91,MATCH($C824,AdditionalVehs!$C$46:$C$91,0),MATCH(K$7,AdditionalVehs!$AA$45:$AK$45,0))</f>
        <v>#REF!</v>
      </c>
      <c r="L824" s="86" t="e">
        <f>GDPdeflator!$C$38*INDEX(AdditionalVehs!$AA$46:$AK$91,MATCH($C824,AdditionalVehs!$C$46:$C$91,0),MATCH(L$7,AdditionalVehs!$AA$45:$AK$45,0))</f>
        <v>#REF!</v>
      </c>
      <c r="M824" s="86" t="e">
        <f>GDPdeflator!$C$38*INDEX(AdditionalVehs!$AA$46:$AK$91,MATCH($C824,AdditionalVehs!$C$46:$C$91,0),MATCH(M$7,AdditionalVehs!$AA$45:$AK$45,0))</f>
        <v>#REF!</v>
      </c>
      <c r="N824" s="86" t="e">
        <f>GDPdeflator!$C$38*INDEX(AdditionalVehs!$AA$46:$AK$91,MATCH($C824,AdditionalVehs!$C$46:$C$91,0),MATCH(N$7,AdditionalVehs!$AA$45:$AK$45,0))</f>
        <v>#REF!</v>
      </c>
      <c r="O824" s="86" t="e">
        <f>GDPdeflator!$C$38*INDEX(AdditionalVehs!$AA$46:$AK$91,MATCH($C824,AdditionalVehs!$C$46:$C$91,0),MATCH(O$7,AdditionalVehs!$AA$45:$AK$45,0))</f>
        <v>#REF!</v>
      </c>
      <c r="P824" s="87">
        <f t="shared" ref="P824:P831" si="337">E824/$AI$18*10^6</f>
        <v>0</v>
      </c>
      <c r="Q824" s="87" t="e">
        <f t="shared" si="329"/>
        <v>#REF!</v>
      </c>
      <c r="R824" s="87" t="e">
        <f t="shared" si="328"/>
        <v>#REF!</v>
      </c>
      <c r="S824" s="87" t="e">
        <f t="shared" si="336"/>
        <v>#REF!</v>
      </c>
      <c r="T824" s="87" t="e">
        <f t="shared" si="336"/>
        <v>#REF!</v>
      </c>
      <c r="U824" s="87" t="e">
        <f t="shared" si="336"/>
        <v>#REF!</v>
      </c>
      <c r="V824" s="87" t="e">
        <f t="shared" si="336"/>
        <v>#REF!</v>
      </c>
      <c r="W824" s="87" t="e">
        <f t="shared" si="336"/>
        <v>#REF!</v>
      </c>
      <c r="X824" s="87" t="e">
        <f t="shared" si="336"/>
        <v>#REF!</v>
      </c>
      <c r="Y824" s="87" t="e">
        <f t="shared" si="336"/>
        <v>#REF!</v>
      </c>
      <c r="Z824" s="87" t="e">
        <f t="shared" si="336"/>
        <v>#REF!</v>
      </c>
      <c r="AA824" s="40">
        <v>500</v>
      </c>
      <c r="AB824" s="89">
        <f>AA824*GDPdeflator!$C$25/$AI$18*10^3</f>
        <v>48.0747492686653</v>
      </c>
      <c r="AC824" s="90" t="e">
        <f>INDEX(AdditionalVehs!$E$46:$N$91,MATCH(C824,AdditionalVehs!$C$46:$C$91),MATCH(D824,AdditionalVehs!$E$45:$N$45))</f>
        <v>#REF!</v>
      </c>
      <c r="AD824" s="90" t="e">
        <f t="shared" si="327"/>
        <v>#REF!</v>
      </c>
      <c r="AE824" s="90" t="e">
        <f>INDEX(AdditionalVehs!$P$46:$Y$91,MATCH(C824,AdditionalVehs!$C$46:$C$91),MATCH(D824,AdditionalVehs!$AA$45:$AJ$45))</f>
        <v>#REF!</v>
      </c>
      <c r="AF824" s="90" t="e">
        <f t="shared" si="331"/>
        <v>#REF!</v>
      </c>
      <c r="AG824" s="90">
        <f>AdditionalVehs!$C$28</f>
        <v>0.26521554647620627</v>
      </c>
    </row>
    <row r="825" spans="1:33" x14ac:dyDescent="0.2">
      <c r="A825" s="92" t="s">
        <v>2501</v>
      </c>
      <c r="B825" s="248" t="s">
        <v>2502</v>
      </c>
      <c r="C825" s="40" t="s">
        <v>2498</v>
      </c>
      <c r="D825" s="40">
        <v>2020</v>
      </c>
      <c r="E825" s="86">
        <f>GDPdeflator!$C$32*INDEX(AdditionalVehs!$AA$46:$AK$91,MATCH($C825,AdditionalVehs!$C$46:$C$91,0),MATCH(E$7,AdditionalVehs!$AA$45:$AK$45,0))</f>
        <v>0</v>
      </c>
      <c r="F825" s="86" t="e">
        <f>GDPdeflator!$C$36*INDEX(AdditionalVehs!$AA$46:$AK$91,MATCH($C825,AdditionalVehs!$C$46:$C$91,0),MATCH(F$7,AdditionalVehs!$AA$45:$AK$45,0))</f>
        <v>#REF!</v>
      </c>
      <c r="G825" s="86" t="e">
        <f>GDPdeflator!$C$38*INDEX(AdditionalVehs!$AA$46:$AK$91,MATCH($C825,AdditionalVehs!$C$46:$C$91,0),MATCH(G$7,AdditionalVehs!$AA$45:$AK$45,0))</f>
        <v>#REF!</v>
      </c>
      <c r="H825" s="86" t="e">
        <f>GDPdeflator!$C$38*INDEX(AdditionalVehs!$AA$46:$AK$91,MATCH($C825,AdditionalVehs!$C$46:$C$91,0),MATCH(H$7,AdditionalVehs!$AA$45:$AK$45,0))</f>
        <v>#REF!</v>
      </c>
      <c r="I825" s="86" t="e">
        <f>GDPdeflator!$C$38*INDEX(AdditionalVehs!$AA$46:$AK$91,MATCH($C825,AdditionalVehs!$C$46:$C$91,0),MATCH(I$7,AdditionalVehs!$AA$45:$AK$45,0))</f>
        <v>#REF!</v>
      </c>
      <c r="J825" s="86" t="e">
        <f>GDPdeflator!$C$38*INDEX(AdditionalVehs!$AA$46:$AK$91,MATCH($C825,AdditionalVehs!$C$46:$C$91,0),MATCH(J$7,AdditionalVehs!$AA$45:$AK$45,0))</f>
        <v>#REF!</v>
      </c>
      <c r="K825" s="86" t="e">
        <f>GDPdeflator!$C$38*INDEX(AdditionalVehs!$AA$46:$AK$91,MATCH($C825,AdditionalVehs!$C$46:$C$91,0),MATCH(K$7,AdditionalVehs!$AA$45:$AK$45,0))</f>
        <v>#REF!</v>
      </c>
      <c r="L825" s="86" t="e">
        <f>GDPdeflator!$C$38*INDEX(AdditionalVehs!$AA$46:$AK$91,MATCH($C825,AdditionalVehs!$C$46:$C$91,0),MATCH(L$7,AdditionalVehs!$AA$45:$AK$45,0))</f>
        <v>#REF!</v>
      </c>
      <c r="M825" s="86" t="e">
        <f>GDPdeflator!$C$38*INDEX(AdditionalVehs!$AA$46:$AK$91,MATCH($C825,AdditionalVehs!$C$46:$C$91,0),MATCH(M$7,AdditionalVehs!$AA$45:$AK$45,0))</f>
        <v>#REF!</v>
      </c>
      <c r="N825" s="86" t="e">
        <f>GDPdeflator!$C$38*INDEX(AdditionalVehs!$AA$46:$AK$91,MATCH($C825,AdditionalVehs!$C$46:$C$91,0),MATCH(N$7,AdditionalVehs!$AA$45:$AK$45,0))</f>
        <v>#REF!</v>
      </c>
      <c r="O825" s="86" t="e">
        <f>GDPdeflator!$C$38*INDEX(AdditionalVehs!$AA$46:$AK$91,MATCH($C825,AdditionalVehs!$C$46:$C$91,0),MATCH(O$7,AdditionalVehs!$AA$45:$AK$45,0))</f>
        <v>#REF!</v>
      </c>
      <c r="P825" s="87">
        <f t="shared" si="337"/>
        <v>0</v>
      </c>
      <c r="Q825" s="87" t="e">
        <f t="shared" si="329"/>
        <v>#REF!</v>
      </c>
      <c r="R825" s="87" t="e">
        <f t="shared" si="328"/>
        <v>#REF!</v>
      </c>
      <c r="S825" s="87" t="e">
        <f t="shared" si="336"/>
        <v>#REF!</v>
      </c>
      <c r="T825" s="87" t="e">
        <f t="shared" si="336"/>
        <v>#REF!</v>
      </c>
      <c r="U825" s="87" t="e">
        <f t="shared" si="336"/>
        <v>#REF!</v>
      </c>
      <c r="V825" s="87" t="e">
        <f t="shared" si="336"/>
        <v>#REF!</v>
      </c>
      <c r="W825" s="87" t="e">
        <f t="shared" si="336"/>
        <v>#REF!</v>
      </c>
      <c r="X825" s="87" t="e">
        <f t="shared" si="336"/>
        <v>#REF!</v>
      </c>
      <c r="Y825" s="87" t="e">
        <f t="shared" si="336"/>
        <v>#REF!</v>
      </c>
      <c r="Z825" s="87" t="e">
        <f t="shared" si="336"/>
        <v>#REF!</v>
      </c>
      <c r="AA825" s="40">
        <v>500</v>
      </c>
      <c r="AB825" s="89">
        <f>AA825*GDPdeflator!$C$25/$AI$18*10^3</f>
        <v>48.0747492686653</v>
      </c>
      <c r="AC825" s="90" t="e">
        <f>INDEX(AdditionalVehs!$E$46:$N$91,MATCH(C825,AdditionalVehs!$C$46:$C$91),MATCH(D825,AdditionalVehs!$E$45:$N$45))</f>
        <v>#REF!</v>
      </c>
      <c r="AD825" s="90" t="e">
        <f t="shared" si="327"/>
        <v>#REF!</v>
      </c>
      <c r="AE825" s="90" t="e">
        <f>INDEX(AdditionalVehs!$P$46:$Y$91,MATCH(C825,AdditionalVehs!$C$46:$C$91),MATCH(D825,AdditionalVehs!$AA$45:$AJ$45))</f>
        <v>#REF!</v>
      </c>
      <c r="AF825" s="90" t="e">
        <f t="shared" si="331"/>
        <v>#REF!</v>
      </c>
      <c r="AG825" s="90">
        <f>AdditionalVehs!$C$28</f>
        <v>0.26521554647620627</v>
      </c>
    </row>
    <row r="826" spans="1:33" x14ac:dyDescent="0.2">
      <c r="A826" s="92" t="s">
        <v>2503</v>
      </c>
      <c r="B826" s="248" t="s">
        <v>2504</v>
      </c>
      <c r="C826" s="40" t="s">
        <v>2498</v>
      </c>
      <c r="D826" s="40">
        <v>2025</v>
      </c>
      <c r="E826" s="86">
        <f>GDPdeflator!$C$32*INDEX(AdditionalVehs!$AA$46:$AK$91,MATCH($C826,AdditionalVehs!$C$46:$C$91,0),MATCH(E$7,AdditionalVehs!$AA$45:$AK$45,0))</f>
        <v>0</v>
      </c>
      <c r="F826" s="86" t="e">
        <f>GDPdeflator!$C$36*INDEX(AdditionalVehs!$AA$46:$AK$91,MATCH($C826,AdditionalVehs!$C$46:$C$91,0),MATCH(F$7,AdditionalVehs!$AA$45:$AK$45,0))</f>
        <v>#REF!</v>
      </c>
      <c r="G826" s="86" t="e">
        <f>GDPdeflator!$C$38*INDEX(AdditionalVehs!$AA$46:$AK$91,MATCH($C826,AdditionalVehs!$C$46:$C$91,0),MATCH(G$7,AdditionalVehs!$AA$45:$AK$45,0))</f>
        <v>#REF!</v>
      </c>
      <c r="H826" s="86" t="e">
        <f>GDPdeflator!$C$38*INDEX(AdditionalVehs!$AA$46:$AK$91,MATCH($C826,AdditionalVehs!$C$46:$C$91,0),MATCH(H$7,AdditionalVehs!$AA$45:$AK$45,0))</f>
        <v>#REF!</v>
      </c>
      <c r="I826" s="86" t="e">
        <f>GDPdeflator!$C$38*INDEX(AdditionalVehs!$AA$46:$AK$91,MATCH($C826,AdditionalVehs!$C$46:$C$91,0),MATCH(I$7,AdditionalVehs!$AA$45:$AK$45,0))</f>
        <v>#REF!</v>
      </c>
      <c r="J826" s="86" t="e">
        <f>GDPdeflator!$C$38*INDEX(AdditionalVehs!$AA$46:$AK$91,MATCH($C826,AdditionalVehs!$C$46:$C$91,0),MATCH(J$7,AdditionalVehs!$AA$45:$AK$45,0))</f>
        <v>#REF!</v>
      </c>
      <c r="K826" s="86" t="e">
        <f>GDPdeflator!$C$38*INDEX(AdditionalVehs!$AA$46:$AK$91,MATCH($C826,AdditionalVehs!$C$46:$C$91,0),MATCH(K$7,AdditionalVehs!$AA$45:$AK$45,0))</f>
        <v>#REF!</v>
      </c>
      <c r="L826" s="86" t="e">
        <f>GDPdeflator!$C$38*INDEX(AdditionalVehs!$AA$46:$AK$91,MATCH($C826,AdditionalVehs!$C$46:$C$91,0),MATCH(L$7,AdditionalVehs!$AA$45:$AK$45,0))</f>
        <v>#REF!</v>
      </c>
      <c r="M826" s="86" t="e">
        <f>GDPdeflator!$C$38*INDEX(AdditionalVehs!$AA$46:$AK$91,MATCH($C826,AdditionalVehs!$C$46:$C$91,0),MATCH(M$7,AdditionalVehs!$AA$45:$AK$45,0))</f>
        <v>#REF!</v>
      </c>
      <c r="N826" s="86" t="e">
        <f>GDPdeflator!$C$38*INDEX(AdditionalVehs!$AA$46:$AK$91,MATCH($C826,AdditionalVehs!$C$46:$C$91,0),MATCH(N$7,AdditionalVehs!$AA$45:$AK$45,0))</f>
        <v>#REF!</v>
      </c>
      <c r="O826" s="86" t="e">
        <f>GDPdeflator!$C$38*INDEX(AdditionalVehs!$AA$46:$AK$91,MATCH($C826,AdditionalVehs!$C$46:$C$91,0),MATCH(O$7,AdditionalVehs!$AA$45:$AK$45,0))</f>
        <v>#REF!</v>
      </c>
      <c r="P826" s="87">
        <f t="shared" si="337"/>
        <v>0</v>
      </c>
      <c r="Q826" s="87" t="e">
        <f t="shared" si="329"/>
        <v>#REF!</v>
      </c>
      <c r="R826" s="87" t="e">
        <f t="shared" si="328"/>
        <v>#REF!</v>
      </c>
      <c r="S826" s="87" t="e">
        <f t="shared" si="336"/>
        <v>#REF!</v>
      </c>
      <c r="T826" s="87" t="e">
        <f t="shared" si="336"/>
        <v>#REF!</v>
      </c>
      <c r="U826" s="87" t="e">
        <f t="shared" si="336"/>
        <v>#REF!</v>
      </c>
      <c r="V826" s="87" t="e">
        <f t="shared" si="336"/>
        <v>#REF!</v>
      </c>
      <c r="W826" s="87" t="e">
        <f t="shared" si="336"/>
        <v>#REF!</v>
      </c>
      <c r="X826" s="87" t="e">
        <f t="shared" si="336"/>
        <v>#REF!</v>
      </c>
      <c r="Y826" s="87" t="e">
        <f t="shared" si="336"/>
        <v>#REF!</v>
      </c>
      <c r="Z826" s="87" t="e">
        <f t="shared" si="336"/>
        <v>#REF!</v>
      </c>
      <c r="AA826" s="40">
        <v>500</v>
      </c>
      <c r="AB826" s="89">
        <f>AA826*GDPdeflator!$C$25/$AI$18*10^3</f>
        <v>48.0747492686653</v>
      </c>
      <c r="AC826" s="90" t="e">
        <f>INDEX(AdditionalVehs!$E$46:$N$91,MATCH(C826,AdditionalVehs!$C$46:$C$91),MATCH(D826,AdditionalVehs!$E$45:$N$45))</f>
        <v>#REF!</v>
      </c>
      <c r="AD826" s="90" t="e">
        <f t="shared" si="327"/>
        <v>#REF!</v>
      </c>
      <c r="AE826" s="90" t="e">
        <f>INDEX(AdditionalVehs!$P$46:$Y$91,MATCH(C826,AdditionalVehs!$C$46:$C$91),MATCH(D826,AdditionalVehs!$AA$45:$AJ$45))</f>
        <v>#REF!</v>
      </c>
      <c r="AF826" s="90" t="e">
        <f t="shared" si="331"/>
        <v>#REF!</v>
      </c>
      <c r="AG826" s="90">
        <f>AdditionalVehs!$C$28</f>
        <v>0.26521554647620627</v>
      </c>
    </row>
    <row r="827" spans="1:33" x14ac:dyDescent="0.2">
      <c r="A827" s="92" t="s">
        <v>2505</v>
      </c>
      <c r="B827" s="248" t="s">
        <v>2506</v>
      </c>
      <c r="C827" s="40" t="s">
        <v>2498</v>
      </c>
      <c r="D827" s="40">
        <v>2030</v>
      </c>
      <c r="E827" s="86">
        <f>GDPdeflator!$C$32*INDEX(AdditionalVehs!$AA$46:$AK$91,MATCH($C827,AdditionalVehs!$C$46:$C$91,0),MATCH(E$7,AdditionalVehs!$AA$45:$AK$45,0))</f>
        <v>0</v>
      </c>
      <c r="F827" s="86" t="e">
        <f>GDPdeflator!$C$36*INDEX(AdditionalVehs!$AA$46:$AK$91,MATCH($C827,AdditionalVehs!$C$46:$C$91,0),MATCH(F$7,AdditionalVehs!$AA$45:$AK$45,0))</f>
        <v>#REF!</v>
      </c>
      <c r="G827" s="86" t="e">
        <f>GDPdeflator!$C$38*INDEX(AdditionalVehs!$AA$46:$AK$91,MATCH($C827,AdditionalVehs!$C$46:$C$91,0),MATCH(G$7,AdditionalVehs!$AA$45:$AK$45,0))</f>
        <v>#REF!</v>
      </c>
      <c r="H827" s="86" t="e">
        <f>GDPdeflator!$C$38*INDEX(AdditionalVehs!$AA$46:$AK$91,MATCH($C827,AdditionalVehs!$C$46:$C$91,0),MATCH(H$7,AdditionalVehs!$AA$45:$AK$45,0))</f>
        <v>#REF!</v>
      </c>
      <c r="I827" s="86" t="e">
        <f>GDPdeflator!$C$38*INDEX(AdditionalVehs!$AA$46:$AK$91,MATCH($C827,AdditionalVehs!$C$46:$C$91,0),MATCH(I$7,AdditionalVehs!$AA$45:$AK$45,0))</f>
        <v>#REF!</v>
      </c>
      <c r="J827" s="86" t="e">
        <f>GDPdeflator!$C$38*INDEX(AdditionalVehs!$AA$46:$AK$91,MATCH($C827,AdditionalVehs!$C$46:$C$91,0),MATCH(J$7,AdditionalVehs!$AA$45:$AK$45,0))</f>
        <v>#REF!</v>
      </c>
      <c r="K827" s="86" t="e">
        <f>GDPdeflator!$C$38*INDEX(AdditionalVehs!$AA$46:$AK$91,MATCH($C827,AdditionalVehs!$C$46:$C$91,0),MATCH(K$7,AdditionalVehs!$AA$45:$AK$45,0))</f>
        <v>#REF!</v>
      </c>
      <c r="L827" s="86" t="e">
        <f>GDPdeflator!$C$38*INDEX(AdditionalVehs!$AA$46:$AK$91,MATCH($C827,AdditionalVehs!$C$46:$C$91,0),MATCH(L$7,AdditionalVehs!$AA$45:$AK$45,0))</f>
        <v>#REF!</v>
      </c>
      <c r="M827" s="86" t="e">
        <f>GDPdeflator!$C$38*INDEX(AdditionalVehs!$AA$46:$AK$91,MATCH($C827,AdditionalVehs!$C$46:$C$91,0),MATCH(M$7,AdditionalVehs!$AA$45:$AK$45,0))</f>
        <v>#REF!</v>
      </c>
      <c r="N827" s="86" t="e">
        <f>GDPdeflator!$C$38*INDEX(AdditionalVehs!$AA$46:$AK$91,MATCH($C827,AdditionalVehs!$C$46:$C$91,0),MATCH(N$7,AdditionalVehs!$AA$45:$AK$45,0))</f>
        <v>#REF!</v>
      </c>
      <c r="O827" s="86" t="e">
        <f>GDPdeflator!$C$38*INDEX(AdditionalVehs!$AA$46:$AK$91,MATCH($C827,AdditionalVehs!$C$46:$C$91,0),MATCH(O$7,AdditionalVehs!$AA$45:$AK$45,0))</f>
        <v>#REF!</v>
      </c>
      <c r="P827" s="87">
        <f t="shared" si="337"/>
        <v>0</v>
      </c>
      <c r="Q827" s="87" t="e">
        <f t="shared" si="329"/>
        <v>#REF!</v>
      </c>
      <c r="R827" s="87" t="e">
        <f t="shared" si="328"/>
        <v>#REF!</v>
      </c>
      <c r="S827" s="87" t="e">
        <f t="shared" si="336"/>
        <v>#REF!</v>
      </c>
      <c r="T827" s="87" t="e">
        <f t="shared" si="336"/>
        <v>#REF!</v>
      </c>
      <c r="U827" s="87" t="e">
        <f t="shared" si="336"/>
        <v>#REF!</v>
      </c>
      <c r="V827" s="87" t="e">
        <f t="shared" si="336"/>
        <v>#REF!</v>
      </c>
      <c r="W827" s="87" t="e">
        <f t="shared" si="336"/>
        <v>#REF!</v>
      </c>
      <c r="X827" s="87" t="e">
        <f t="shared" si="336"/>
        <v>#REF!</v>
      </c>
      <c r="Y827" s="87" t="e">
        <f t="shared" si="336"/>
        <v>#REF!</v>
      </c>
      <c r="Z827" s="87" t="e">
        <f t="shared" si="336"/>
        <v>#REF!</v>
      </c>
      <c r="AA827" s="40">
        <v>500</v>
      </c>
      <c r="AB827" s="89">
        <f>AA827*GDPdeflator!$C$25/$AI$18*10^3</f>
        <v>48.0747492686653</v>
      </c>
      <c r="AC827" s="90" t="e">
        <f>INDEX(AdditionalVehs!$E$46:$N$91,MATCH(C827,AdditionalVehs!$C$46:$C$91),MATCH(D827,AdditionalVehs!$E$45:$N$45))</f>
        <v>#REF!</v>
      </c>
      <c r="AD827" s="90" t="e">
        <f t="shared" si="327"/>
        <v>#REF!</v>
      </c>
      <c r="AE827" s="90" t="e">
        <f>INDEX(AdditionalVehs!$P$46:$Y$91,MATCH(C827,AdditionalVehs!$C$46:$C$91),MATCH(D827,AdditionalVehs!$AA$45:$AJ$45))</f>
        <v>#REF!</v>
      </c>
      <c r="AF827" s="90" t="e">
        <f t="shared" si="331"/>
        <v>#REF!</v>
      </c>
      <c r="AG827" s="90">
        <f>AdditionalVehs!$C$28</f>
        <v>0.26521554647620627</v>
      </c>
    </row>
    <row r="828" spans="1:33" x14ac:dyDescent="0.2">
      <c r="A828" s="92" t="s">
        <v>2507</v>
      </c>
      <c r="B828" s="248" t="s">
        <v>2508</v>
      </c>
      <c r="C828" s="40" t="s">
        <v>2498</v>
      </c>
      <c r="D828" s="40">
        <v>2035</v>
      </c>
      <c r="E828" s="86">
        <f>GDPdeflator!$C$32*INDEX(AdditionalVehs!$AA$46:$AK$91,MATCH($C828,AdditionalVehs!$C$46:$C$91,0),MATCH(E$7,AdditionalVehs!$AA$45:$AK$45,0))</f>
        <v>0</v>
      </c>
      <c r="F828" s="86" t="e">
        <f>GDPdeflator!$C$36*INDEX(AdditionalVehs!$AA$46:$AK$91,MATCH($C828,AdditionalVehs!$C$46:$C$91,0),MATCH(F$7,AdditionalVehs!$AA$45:$AK$45,0))</f>
        <v>#REF!</v>
      </c>
      <c r="G828" s="86" t="e">
        <f>GDPdeflator!$C$38*INDEX(AdditionalVehs!$AA$46:$AK$91,MATCH($C828,AdditionalVehs!$C$46:$C$91,0),MATCH(G$7,AdditionalVehs!$AA$45:$AK$45,0))</f>
        <v>#REF!</v>
      </c>
      <c r="H828" s="86" t="e">
        <f>GDPdeflator!$C$38*INDEX(AdditionalVehs!$AA$46:$AK$91,MATCH($C828,AdditionalVehs!$C$46:$C$91,0),MATCH(H$7,AdditionalVehs!$AA$45:$AK$45,0))</f>
        <v>#REF!</v>
      </c>
      <c r="I828" s="86" t="e">
        <f>GDPdeflator!$C$38*INDEX(AdditionalVehs!$AA$46:$AK$91,MATCH($C828,AdditionalVehs!$C$46:$C$91,0),MATCH(I$7,AdditionalVehs!$AA$45:$AK$45,0))</f>
        <v>#REF!</v>
      </c>
      <c r="J828" s="86" t="e">
        <f>GDPdeflator!$C$38*INDEX(AdditionalVehs!$AA$46:$AK$91,MATCH($C828,AdditionalVehs!$C$46:$C$91,0),MATCH(J$7,AdditionalVehs!$AA$45:$AK$45,0))</f>
        <v>#REF!</v>
      </c>
      <c r="K828" s="86" t="e">
        <f>GDPdeflator!$C$38*INDEX(AdditionalVehs!$AA$46:$AK$91,MATCH($C828,AdditionalVehs!$C$46:$C$91,0),MATCH(K$7,AdditionalVehs!$AA$45:$AK$45,0))</f>
        <v>#REF!</v>
      </c>
      <c r="L828" s="86" t="e">
        <f>GDPdeflator!$C$38*INDEX(AdditionalVehs!$AA$46:$AK$91,MATCH($C828,AdditionalVehs!$C$46:$C$91,0),MATCH(L$7,AdditionalVehs!$AA$45:$AK$45,0))</f>
        <v>#REF!</v>
      </c>
      <c r="M828" s="86" t="e">
        <f>GDPdeflator!$C$38*INDEX(AdditionalVehs!$AA$46:$AK$91,MATCH($C828,AdditionalVehs!$C$46:$C$91,0),MATCH(M$7,AdditionalVehs!$AA$45:$AK$45,0))</f>
        <v>#REF!</v>
      </c>
      <c r="N828" s="86" t="e">
        <f>GDPdeflator!$C$38*INDEX(AdditionalVehs!$AA$46:$AK$91,MATCH($C828,AdditionalVehs!$C$46:$C$91,0),MATCH(N$7,AdditionalVehs!$AA$45:$AK$45,0))</f>
        <v>#REF!</v>
      </c>
      <c r="O828" s="86" t="e">
        <f>GDPdeflator!$C$38*INDEX(AdditionalVehs!$AA$46:$AK$91,MATCH($C828,AdditionalVehs!$C$46:$C$91,0),MATCH(O$7,AdditionalVehs!$AA$45:$AK$45,0))</f>
        <v>#REF!</v>
      </c>
      <c r="P828" s="87">
        <f t="shared" si="337"/>
        <v>0</v>
      </c>
      <c r="Q828" s="87" t="e">
        <f t="shared" si="329"/>
        <v>#REF!</v>
      </c>
      <c r="R828" s="87" t="e">
        <f t="shared" si="328"/>
        <v>#REF!</v>
      </c>
      <c r="S828" s="87" t="e">
        <f t="shared" si="336"/>
        <v>#REF!</v>
      </c>
      <c r="T828" s="87" t="e">
        <f t="shared" si="336"/>
        <v>#REF!</v>
      </c>
      <c r="U828" s="87" t="e">
        <f t="shared" si="336"/>
        <v>#REF!</v>
      </c>
      <c r="V828" s="87" t="e">
        <f t="shared" si="336"/>
        <v>#REF!</v>
      </c>
      <c r="W828" s="87" t="e">
        <f t="shared" si="336"/>
        <v>#REF!</v>
      </c>
      <c r="X828" s="87" t="e">
        <f t="shared" si="336"/>
        <v>#REF!</v>
      </c>
      <c r="Y828" s="87" t="e">
        <f t="shared" si="336"/>
        <v>#REF!</v>
      </c>
      <c r="Z828" s="87" t="e">
        <f t="shared" si="336"/>
        <v>#REF!</v>
      </c>
      <c r="AA828" s="40">
        <v>500</v>
      </c>
      <c r="AB828" s="89">
        <f>AA828*GDPdeflator!$C$25/$AI$18*10^3</f>
        <v>48.0747492686653</v>
      </c>
      <c r="AC828" s="90" t="e">
        <f>INDEX(AdditionalVehs!$E$46:$N$91,MATCH(C828,AdditionalVehs!$C$46:$C$91),MATCH(D828,AdditionalVehs!$E$45:$N$45))</f>
        <v>#REF!</v>
      </c>
      <c r="AD828" s="90" t="e">
        <f t="shared" si="327"/>
        <v>#REF!</v>
      </c>
      <c r="AE828" s="90" t="e">
        <f>INDEX(AdditionalVehs!$P$46:$Y$91,MATCH(C828,AdditionalVehs!$C$46:$C$91),MATCH(D828,AdditionalVehs!$AA$45:$AJ$45))</f>
        <v>#REF!</v>
      </c>
      <c r="AF828" s="90" t="e">
        <f t="shared" si="331"/>
        <v>#REF!</v>
      </c>
      <c r="AG828" s="90">
        <f>AdditionalVehs!$C$28</f>
        <v>0.26521554647620627</v>
      </c>
    </row>
    <row r="829" spans="1:33" x14ac:dyDescent="0.2">
      <c r="A829" s="92" t="s">
        <v>2509</v>
      </c>
      <c r="B829" s="248" t="s">
        <v>2510</v>
      </c>
      <c r="C829" s="40" t="s">
        <v>2498</v>
      </c>
      <c r="D829" s="40">
        <v>2040</v>
      </c>
      <c r="E829" s="86">
        <f>GDPdeflator!$C$32*INDEX(AdditionalVehs!$AA$46:$AK$91,MATCH($C829,AdditionalVehs!$C$46:$C$91,0),MATCH(E$7,AdditionalVehs!$AA$45:$AK$45,0))</f>
        <v>0</v>
      </c>
      <c r="F829" s="86" t="e">
        <f>GDPdeflator!$C$36*INDEX(AdditionalVehs!$AA$46:$AK$91,MATCH($C829,AdditionalVehs!$C$46:$C$91,0),MATCH(F$7,AdditionalVehs!$AA$45:$AK$45,0))</f>
        <v>#REF!</v>
      </c>
      <c r="G829" s="86" t="e">
        <f>GDPdeflator!$C$38*INDEX(AdditionalVehs!$AA$46:$AK$91,MATCH($C829,AdditionalVehs!$C$46:$C$91,0),MATCH(G$7,AdditionalVehs!$AA$45:$AK$45,0))</f>
        <v>#REF!</v>
      </c>
      <c r="H829" s="86" t="e">
        <f>GDPdeflator!$C$38*INDEX(AdditionalVehs!$AA$46:$AK$91,MATCH($C829,AdditionalVehs!$C$46:$C$91,0),MATCH(H$7,AdditionalVehs!$AA$45:$AK$45,0))</f>
        <v>#REF!</v>
      </c>
      <c r="I829" s="86" t="e">
        <f>GDPdeflator!$C$38*INDEX(AdditionalVehs!$AA$46:$AK$91,MATCH($C829,AdditionalVehs!$C$46:$C$91,0),MATCH(I$7,AdditionalVehs!$AA$45:$AK$45,0))</f>
        <v>#REF!</v>
      </c>
      <c r="J829" s="86" t="e">
        <f>GDPdeflator!$C$38*INDEX(AdditionalVehs!$AA$46:$AK$91,MATCH($C829,AdditionalVehs!$C$46:$C$91,0),MATCH(J$7,AdditionalVehs!$AA$45:$AK$45,0))</f>
        <v>#REF!</v>
      </c>
      <c r="K829" s="86" t="e">
        <f>GDPdeflator!$C$38*INDEX(AdditionalVehs!$AA$46:$AK$91,MATCH($C829,AdditionalVehs!$C$46:$C$91,0),MATCH(K$7,AdditionalVehs!$AA$45:$AK$45,0))</f>
        <v>#REF!</v>
      </c>
      <c r="L829" s="86" t="e">
        <f>GDPdeflator!$C$38*INDEX(AdditionalVehs!$AA$46:$AK$91,MATCH($C829,AdditionalVehs!$C$46:$C$91,0),MATCH(L$7,AdditionalVehs!$AA$45:$AK$45,0))</f>
        <v>#REF!</v>
      </c>
      <c r="M829" s="86" t="e">
        <f>GDPdeflator!$C$38*INDEX(AdditionalVehs!$AA$46:$AK$91,MATCH($C829,AdditionalVehs!$C$46:$C$91,0),MATCH(M$7,AdditionalVehs!$AA$45:$AK$45,0))</f>
        <v>#REF!</v>
      </c>
      <c r="N829" s="86" t="e">
        <f>GDPdeflator!$C$38*INDEX(AdditionalVehs!$AA$46:$AK$91,MATCH($C829,AdditionalVehs!$C$46:$C$91,0),MATCH(N$7,AdditionalVehs!$AA$45:$AK$45,0))</f>
        <v>#REF!</v>
      </c>
      <c r="O829" s="86" t="e">
        <f>GDPdeflator!$C$38*INDEX(AdditionalVehs!$AA$46:$AK$91,MATCH($C829,AdditionalVehs!$C$46:$C$91,0),MATCH(O$7,AdditionalVehs!$AA$45:$AK$45,0))</f>
        <v>#REF!</v>
      </c>
      <c r="P829" s="87">
        <f t="shared" si="337"/>
        <v>0</v>
      </c>
      <c r="Q829" s="87" t="e">
        <f t="shared" si="329"/>
        <v>#REF!</v>
      </c>
      <c r="R829" s="87" t="e">
        <f t="shared" si="328"/>
        <v>#REF!</v>
      </c>
      <c r="S829" s="87" t="e">
        <f t="shared" si="336"/>
        <v>#REF!</v>
      </c>
      <c r="T829" s="87" t="e">
        <f t="shared" si="336"/>
        <v>#REF!</v>
      </c>
      <c r="U829" s="87" t="e">
        <f t="shared" si="336"/>
        <v>#REF!</v>
      </c>
      <c r="V829" s="87" t="e">
        <f t="shared" si="336"/>
        <v>#REF!</v>
      </c>
      <c r="W829" s="87" t="e">
        <f t="shared" si="336"/>
        <v>#REF!</v>
      </c>
      <c r="X829" s="87" t="e">
        <f t="shared" si="336"/>
        <v>#REF!</v>
      </c>
      <c r="Y829" s="87" t="e">
        <f t="shared" si="336"/>
        <v>#REF!</v>
      </c>
      <c r="Z829" s="87" t="e">
        <f t="shared" si="336"/>
        <v>#REF!</v>
      </c>
      <c r="AA829" s="40">
        <v>500</v>
      </c>
      <c r="AB829" s="89">
        <f>AA829*GDPdeflator!$C$25/$AI$18*10^3</f>
        <v>48.0747492686653</v>
      </c>
      <c r="AC829" s="90" t="e">
        <f>INDEX(AdditionalVehs!$E$46:$N$91,MATCH(C829,AdditionalVehs!$C$46:$C$91),MATCH(D829,AdditionalVehs!$E$45:$N$45))</f>
        <v>#REF!</v>
      </c>
      <c r="AD829" s="90" t="e">
        <f t="shared" si="327"/>
        <v>#REF!</v>
      </c>
      <c r="AE829" s="90" t="e">
        <f>INDEX(AdditionalVehs!$P$46:$Y$91,MATCH(C829,AdditionalVehs!$C$46:$C$91),MATCH(D829,AdditionalVehs!$AA$45:$AJ$45))</f>
        <v>#REF!</v>
      </c>
      <c r="AF829" s="90" t="e">
        <f t="shared" si="331"/>
        <v>#REF!</v>
      </c>
      <c r="AG829" s="90">
        <f>AdditionalVehs!$C$28</f>
        <v>0.26521554647620627</v>
      </c>
    </row>
    <row r="830" spans="1:33" x14ac:dyDescent="0.2">
      <c r="A830" s="92" t="s">
        <v>2511</v>
      </c>
      <c r="B830" s="248" t="s">
        <v>2512</v>
      </c>
      <c r="C830" s="40" t="s">
        <v>2498</v>
      </c>
      <c r="D830" s="40">
        <v>2045</v>
      </c>
      <c r="E830" s="86">
        <f>GDPdeflator!$C$32*INDEX(AdditionalVehs!$AA$46:$AK$91,MATCH($C830,AdditionalVehs!$C$46:$C$91,0),MATCH(E$7,AdditionalVehs!$AA$45:$AK$45,0))</f>
        <v>0</v>
      </c>
      <c r="F830" s="86" t="e">
        <f>GDPdeflator!$C$36*INDEX(AdditionalVehs!$AA$46:$AK$91,MATCH($C830,AdditionalVehs!$C$46:$C$91,0),MATCH(F$7,AdditionalVehs!$AA$45:$AK$45,0))</f>
        <v>#REF!</v>
      </c>
      <c r="G830" s="86" t="e">
        <f>GDPdeflator!$C$38*INDEX(AdditionalVehs!$AA$46:$AK$91,MATCH($C830,AdditionalVehs!$C$46:$C$91,0),MATCH(G$7,AdditionalVehs!$AA$45:$AK$45,0))</f>
        <v>#REF!</v>
      </c>
      <c r="H830" s="86" t="e">
        <f>GDPdeflator!$C$38*INDEX(AdditionalVehs!$AA$46:$AK$91,MATCH($C830,AdditionalVehs!$C$46:$C$91,0),MATCH(H$7,AdditionalVehs!$AA$45:$AK$45,0))</f>
        <v>#REF!</v>
      </c>
      <c r="I830" s="86" t="e">
        <f>GDPdeflator!$C$38*INDEX(AdditionalVehs!$AA$46:$AK$91,MATCH($C830,AdditionalVehs!$C$46:$C$91,0),MATCH(I$7,AdditionalVehs!$AA$45:$AK$45,0))</f>
        <v>#REF!</v>
      </c>
      <c r="J830" s="86" t="e">
        <f>GDPdeflator!$C$38*INDEX(AdditionalVehs!$AA$46:$AK$91,MATCH($C830,AdditionalVehs!$C$46:$C$91,0),MATCH(J$7,AdditionalVehs!$AA$45:$AK$45,0))</f>
        <v>#REF!</v>
      </c>
      <c r="K830" s="86" t="e">
        <f>GDPdeflator!$C$38*INDEX(AdditionalVehs!$AA$46:$AK$91,MATCH($C830,AdditionalVehs!$C$46:$C$91,0),MATCH(K$7,AdditionalVehs!$AA$45:$AK$45,0))</f>
        <v>#REF!</v>
      </c>
      <c r="L830" s="86" t="e">
        <f>GDPdeflator!$C$38*INDEX(AdditionalVehs!$AA$46:$AK$91,MATCH($C830,AdditionalVehs!$C$46:$C$91,0),MATCH(L$7,AdditionalVehs!$AA$45:$AK$45,0))</f>
        <v>#REF!</v>
      </c>
      <c r="M830" s="86" t="e">
        <f>GDPdeflator!$C$38*INDEX(AdditionalVehs!$AA$46:$AK$91,MATCH($C830,AdditionalVehs!$C$46:$C$91,0),MATCH(M$7,AdditionalVehs!$AA$45:$AK$45,0))</f>
        <v>#REF!</v>
      </c>
      <c r="N830" s="86" t="e">
        <f>GDPdeflator!$C$38*INDEX(AdditionalVehs!$AA$46:$AK$91,MATCH($C830,AdditionalVehs!$C$46:$C$91,0),MATCH(N$7,AdditionalVehs!$AA$45:$AK$45,0))</f>
        <v>#REF!</v>
      </c>
      <c r="O830" s="86" t="e">
        <f>GDPdeflator!$C$38*INDEX(AdditionalVehs!$AA$46:$AK$91,MATCH($C830,AdditionalVehs!$C$46:$C$91,0),MATCH(O$7,AdditionalVehs!$AA$45:$AK$45,0))</f>
        <v>#REF!</v>
      </c>
      <c r="P830" s="87">
        <f t="shared" si="337"/>
        <v>0</v>
      </c>
      <c r="Q830" s="87" t="e">
        <f t="shared" si="329"/>
        <v>#REF!</v>
      </c>
      <c r="R830" s="87" t="e">
        <f t="shared" si="328"/>
        <v>#REF!</v>
      </c>
      <c r="S830" s="87" t="e">
        <f t="shared" si="336"/>
        <v>#REF!</v>
      </c>
      <c r="T830" s="87" t="e">
        <f t="shared" si="336"/>
        <v>#REF!</v>
      </c>
      <c r="U830" s="87" t="e">
        <f t="shared" si="336"/>
        <v>#REF!</v>
      </c>
      <c r="V830" s="87" t="e">
        <f t="shared" si="336"/>
        <v>#REF!</v>
      </c>
      <c r="W830" s="87" t="e">
        <f t="shared" si="336"/>
        <v>#REF!</v>
      </c>
      <c r="X830" s="87" t="e">
        <f t="shared" si="336"/>
        <v>#REF!</v>
      </c>
      <c r="Y830" s="87" t="e">
        <f t="shared" si="336"/>
        <v>#REF!</v>
      </c>
      <c r="Z830" s="87" t="e">
        <f t="shared" si="336"/>
        <v>#REF!</v>
      </c>
      <c r="AA830" s="40">
        <v>500</v>
      </c>
      <c r="AB830" s="89">
        <f>AA830*GDPdeflator!$C$25/$AI$18*10^3</f>
        <v>48.0747492686653</v>
      </c>
      <c r="AC830" s="90" t="e">
        <f>INDEX(AdditionalVehs!$E$46:$N$91,MATCH(C830,AdditionalVehs!$C$46:$C$91),MATCH(D830,AdditionalVehs!$E$45:$N$45))</f>
        <v>#REF!</v>
      </c>
      <c r="AD830" s="90" t="e">
        <f t="shared" si="327"/>
        <v>#REF!</v>
      </c>
      <c r="AE830" s="90" t="e">
        <f>INDEX(AdditionalVehs!$P$46:$Y$91,MATCH(C830,AdditionalVehs!$C$46:$C$91),MATCH(D830,AdditionalVehs!$AA$45:$AJ$45))</f>
        <v>#REF!</v>
      </c>
      <c r="AF830" s="90" t="e">
        <f t="shared" si="331"/>
        <v>#REF!</v>
      </c>
      <c r="AG830" s="90">
        <f>AdditionalVehs!$C$28</f>
        <v>0.26521554647620627</v>
      </c>
    </row>
    <row r="831" spans="1:33" x14ac:dyDescent="0.2">
      <c r="A831" s="92" t="s">
        <v>2513</v>
      </c>
      <c r="B831" s="248" t="s">
        <v>2514</v>
      </c>
      <c r="C831" s="40" t="s">
        <v>2498</v>
      </c>
      <c r="D831" s="40">
        <v>2050</v>
      </c>
      <c r="E831" s="86">
        <f>GDPdeflator!$C$32*INDEX(AdditionalVehs!$AA$46:$AK$91,MATCH($C831,AdditionalVehs!$C$46:$C$91,0),MATCH(E$7,AdditionalVehs!$AA$45:$AK$45,0))</f>
        <v>0</v>
      </c>
      <c r="F831" s="86" t="e">
        <f>GDPdeflator!$C$36*INDEX(AdditionalVehs!$AA$46:$AK$91,MATCH($C831,AdditionalVehs!$C$46:$C$91,0),MATCH(F$7,AdditionalVehs!$AA$45:$AK$45,0))</f>
        <v>#REF!</v>
      </c>
      <c r="G831" s="86" t="e">
        <f>GDPdeflator!$C$38*INDEX(AdditionalVehs!$AA$46:$AK$91,MATCH($C831,AdditionalVehs!$C$46:$C$91,0),MATCH(G$7,AdditionalVehs!$AA$45:$AK$45,0))</f>
        <v>#REF!</v>
      </c>
      <c r="H831" s="86" t="e">
        <f>GDPdeflator!$C$38*INDEX(AdditionalVehs!$AA$46:$AK$91,MATCH($C831,AdditionalVehs!$C$46:$C$91,0),MATCH(H$7,AdditionalVehs!$AA$45:$AK$45,0))</f>
        <v>#REF!</v>
      </c>
      <c r="I831" s="86" t="e">
        <f>GDPdeflator!$C$38*INDEX(AdditionalVehs!$AA$46:$AK$91,MATCH($C831,AdditionalVehs!$C$46:$C$91,0),MATCH(I$7,AdditionalVehs!$AA$45:$AK$45,0))</f>
        <v>#REF!</v>
      </c>
      <c r="J831" s="86" t="e">
        <f>GDPdeflator!$C$38*INDEX(AdditionalVehs!$AA$46:$AK$91,MATCH($C831,AdditionalVehs!$C$46:$C$91,0),MATCH(J$7,AdditionalVehs!$AA$45:$AK$45,0))</f>
        <v>#REF!</v>
      </c>
      <c r="K831" s="86" t="e">
        <f>GDPdeflator!$C$38*INDEX(AdditionalVehs!$AA$46:$AK$91,MATCH($C831,AdditionalVehs!$C$46:$C$91,0),MATCH(K$7,AdditionalVehs!$AA$45:$AK$45,0))</f>
        <v>#REF!</v>
      </c>
      <c r="L831" s="86" t="e">
        <f>GDPdeflator!$C$38*INDEX(AdditionalVehs!$AA$46:$AK$91,MATCH($C831,AdditionalVehs!$C$46:$C$91,0),MATCH(L$7,AdditionalVehs!$AA$45:$AK$45,0))</f>
        <v>#REF!</v>
      </c>
      <c r="M831" s="86" t="e">
        <f>GDPdeflator!$C$38*INDEX(AdditionalVehs!$AA$46:$AK$91,MATCH($C831,AdditionalVehs!$C$46:$C$91,0),MATCH(M$7,AdditionalVehs!$AA$45:$AK$45,0))</f>
        <v>#REF!</v>
      </c>
      <c r="N831" s="86" t="e">
        <f>GDPdeflator!$C$38*INDEX(AdditionalVehs!$AA$46:$AK$91,MATCH($C831,AdditionalVehs!$C$46:$C$91,0),MATCH(N$7,AdditionalVehs!$AA$45:$AK$45,0))</f>
        <v>#REF!</v>
      </c>
      <c r="O831" s="86" t="e">
        <f>GDPdeflator!$C$38*INDEX(AdditionalVehs!$AA$46:$AK$91,MATCH($C831,AdditionalVehs!$C$46:$C$91,0),MATCH(O$7,AdditionalVehs!$AA$45:$AK$45,0))</f>
        <v>#REF!</v>
      </c>
      <c r="P831" s="87">
        <f t="shared" si="337"/>
        <v>0</v>
      </c>
      <c r="Q831" s="87" t="e">
        <f t="shared" si="329"/>
        <v>#REF!</v>
      </c>
      <c r="R831" s="87" t="e">
        <f t="shared" si="328"/>
        <v>#REF!</v>
      </c>
      <c r="S831" s="87" t="e">
        <f t="shared" si="336"/>
        <v>#REF!</v>
      </c>
      <c r="T831" s="87" t="e">
        <f t="shared" si="336"/>
        <v>#REF!</v>
      </c>
      <c r="U831" s="87" t="e">
        <f t="shared" si="336"/>
        <v>#REF!</v>
      </c>
      <c r="V831" s="87" t="e">
        <f t="shared" si="336"/>
        <v>#REF!</v>
      </c>
      <c r="W831" s="87" t="e">
        <f t="shared" si="336"/>
        <v>#REF!</v>
      </c>
      <c r="X831" s="87" t="e">
        <f t="shared" si="336"/>
        <v>#REF!</v>
      </c>
      <c r="Y831" s="87" t="e">
        <f t="shared" si="336"/>
        <v>#REF!</v>
      </c>
      <c r="Z831" s="87" t="e">
        <f t="shared" si="336"/>
        <v>#REF!</v>
      </c>
      <c r="AA831" s="40">
        <v>500</v>
      </c>
      <c r="AB831" s="89">
        <f>AA831*GDPdeflator!$C$25/$AI$18*10^3</f>
        <v>48.0747492686653</v>
      </c>
      <c r="AC831" s="90" t="e">
        <f>INDEX(AdditionalVehs!$E$46:$N$91,MATCH(C831,AdditionalVehs!$C$46:$C$91),MATCH(D831,AdditionalVehs!$E$45:$N$45))</f>
        <v>#REF!</v>
      </c>
      <c r="AD831" s="90" t="e">
        <f t="shared" si="327"/>
        <v>#REF!</v>
      </c>
      <c r="AE831" s="90" t="e">
        <f>INDEX(AdditionalVehs!$P$46:$Y$91,MATCH(C831,AdditionalVehs!$C$46:$C$91),MATCH(D831,AdditionalVehs!$AA$45:$AJ$45))</f>
        <v>#REF!</v>
      </c>
      <c r="AF831" s="90" t="e">
        <f t="shared" si="331"/>
        <v>#REF!</v>
      </c>
      <c r="AG831" s="90">
        <f>AdditionalVehs!$C$28</f>
        <v>0.26521554647620627</v>
      </c>
    </row>
    <row r="832" spans="1:33" x14ac:dyDescent="0.2">
      <c r="A832" s="92" t="s">
        <v>2515</v>
      </c>
      <c r="B832" s="248" t="s">
        <v>2516</v>
      </c>
      <c r="C832" s="40" t="s">
        <v>2517</v>
      </c>
      <c r="D832" s="40">
        <v>2010</v>
      </c>
      <c r="E832" s="86">
        <f>GDPdeflator!$C$32*INDEX(AdditionalVehs!$AA$46:$AK$91,MATCH($C832,AdditionalVehs!$C$46:$C$91,0),MATCH(E$7,AdditionalVehs!$AA$45:$AK$45,0))</f>
        <v>0</v>
      </c>
      <c r="F832" s="86" t="e">
        <f>GDPdeflator!$C$36*INDEX(AdditionalVehs!$AA$46:$AK$91,MATCH($C832,AdditionalVehs!$C$46:$C$91,0),MATCH(F$7,AdditionalVehs!$AA$45:$AK$45,0))</f>
        <v>#REF!</v>
      </c>
      <c r="G832" s="86" t="e">
        <f>GDPdeflator!$C$38*INDEX(AdditionalVehs!$AA$46:$AK$91,MATCH($C832,AdditionalVehs!$C$46:$C$91,0),MATCH(G$7,AdditionalVehs!$AA$45:$AK$45,0))</f>
        <v>#REF!</v>
      </c>
      <c r="H832" s="86" t="e">
        <f>GDPdeflator!$C$38*INDEX(AdditionalVehs!$AA$46:$AK$91,MATCH($C832,AdditionalVehs!$C$46:$C$91,0),MATCH(H$7,AdditionalVehs!$AA$45:$AK$45,0))</f>
        <v>#REF!</v>
      </c>
      <c r="I832" s="86" t="e">
        <f>GDPdeflator!$C$38*INDEX(AdditionalVehs!$AA$46:$AK$91,MATCH($C832,AdditionalVehs!$C$46:$C$91,0),MATCH(I$7,AdditionalVehs!$AA$45:$AK$45,0))</f>
        <v>#REF!</v>
      </c>
      <c r="J832" s="86" t="e">
        <f>GDPdeflator!$C$38*INDEX(AdditionalVehs!$AA$46:$AK$91,MATCH($C832,AdditionalVehs!$C$46:$C$91,0),MATCH(J$7,AdditionalVehs!$AA$45:$AK$45,0))</f>
        <v>#REF!</v>
      </c>
      <c r="K832" s="86" t="e">
        <f>GDPdeflator!$C$38*INDEX(AdditionalVehs!$AA$46:$AK$91,MATCH($C832,AdditionalVehs!$C$46:$C$91,0),MATCH(K$7,AdditionalVehs!$AA$45:$AK$45,0))</f>
        <v>#REF!</v>
      </c>
      <c r="L832" s="86" t="e">
        <f>GDPdeflator!$C$38*INDEX(AdditionalVehs!$AA$46:$AK$91,MATCH($C832,AdditionalVehs!$C$46:$C$91,0),MATCH(L$7,AdditionalVehs!$AA$45:$AK$45,0))</f>
        <v>#REF!</v>
      </c>
      <c r="M832" s="86" t="e">
        <f>GDPdeflator!$C$38*INDEX(AdditionalVehs!$AA$46:$AK$91,MATCH($C832,AdditionalVehs!$C$46:$C$91,0),MATCH(M$7,AdditionalVehs!$AA$45:$AK$45,0))</f>
        <v>#REF!</v>
      </c>
      <c r="N832" s="86" t="e">
        <f>GDPdeflator!$C$38*INDEX(AdditionalVehs!$AA$46:$AK$91,MATCH($C832,AdditionalVehs!$C$46:$C$91,0),MATCH(N$7,AdditionalVehs!$AA$45:$AK$45,0))</f>
        <v>#REF!</v>
      </c>
      <c r="O832" s="86" t="e">
        <f>GDPdeflator!$C$38*INDEX(AdditionalVehs!$AA$46:$AK$91,MATCH($C832,AdditionalVehs!$C$46:$C$91,0),MATCH(O$7,AdditionalVehs!$AA$45:$AK$45,0))</f>
        <v>#REF!</v>
      </c>
      <c r="P832" s="87">
        <f>E832/$AI$18*10^6</f>
        <v>0</v>
      </c>
      <c r="Q832" s="87" t="e">
        <f t="shared" si="329"/>
        <v>#REF!</v>
      </c>
      <c r="R832" s="87" t="e">
        <f t="shared" si="328"/>
        <v>#REF!</v>
      </c>
      <c r="S832" s="87" t="e">
        <f t="shared" si="336"/>
        <v>#REF!</v>
      </c>
      <c r="T832" s="87" t="e">
        <f t="shared" si="336"/>
        <v>#REF!</v>
      </c>
      <c r="U832" s="87" t="e">
        <f t="shared" si="336"/>
        <v>#REF!</v>
      </c>
      <c r="V832" s="87" t="e">
        <f t="shared" si="336"/>
        <v>#REF!</v>
      </c>
      <c r="W832" s="87" t="e">
        <f t="shared" si="336"/>
        <v>#REF!</v>
      </c>
      <c r="X832" s="87" t="e">
        <f t="shared" si="336"/>
        <v>#REF!</v>
      </c>
      <c r="Y832" s="87" t="e">
        <f t="shared" si="336"/>
        <v>#REF!</v>
      </c>
      <c r="Z832" s="87" t="e">
        <f t="shared" si="336"/>
        <v>#REF!</v>
      </c>
      <c r="AA832" s="40">
        <v>473</v>
      </c>
      <c r="AB832" s="89">
        <f>AA832*GDPdeflator!$C$25/$AI$18*10^3</f>
        <v>45.478712808157368</v>
      </c>
      <c r="AC832" s="90" t="e">
        <f>INDEX(AdditionalVehs!$E$46:$N$91,MATCH(C832,AdditionalVehs!$C$46:$C$91),MATCH(D832,AdditionalVehs!$E$45:$N$45))</f>
        <v>#REF!</v>
      </c>
      <c r="AD832" s="90" t="e">
        <f t="shared" si="327"/>
        <v>#REF!</v>
      </c>
      <c r="AE832" s="90" t="e">
        <f>INDEX(AdditionalVehs!$P$46:$Y$91,MATCH(C832,AdditionalVehs!$C$46:$C$91),MATCH(D832,AdditionalVehs!$AA$45:$AJ$45))</f>
        <v>#REF!</v>
      </c>
      <c r="AF832" s="90" t="e">
        <f t="shared" si="331"/>
        <v>#REF!</v>
      </c>
      <c r="AG832" s="90">
        <f>AdditionalVehs!$C$28</f>
        <v>0.26521554647620627</v>
      </c>
    </row>
    <row r="833" spans="1:33" x14ac:dyDescent="0.2">
      <c r="A833" s="92" t="s">
        <v>2518</v>
      </c>
      <c r="B833" s="248" t="s">
        <v>2519</v>
      </c>
      <c r="C833" s="40" t="s">
        <v>2517</v>
      </c>
      <c r="D833" s="40">
        <v>2015</v>
      </c>
      <c r="E833" s="86">
        <f>GDPdeflator!$C$32*INDEX(AdditionalVehs!$AA$46:$AK$91,MATCH($C833,AdditionalVehs!$C$46:$C$91,0),MATCH(E$7,AdditionalVehs!$AA$45:$AK$45,0))</f>
        <v>0</v>
      </c>
      <c r="F833" s="86" t="e">
        <f>GDPdeflator!$C$36*INDEX(AdditionalVehs!$AA$46:$AK$91,MATCH($C833,AdditionalVehs!$C$46:$C$91,0),MATCH(F$7,AdditionalVehs!$AA$45:$AK$45,0))</f>
        <v>#REF!</v>
      </c>
      <c r="G833" s="86" t="e">
        <f>GDPdeflator!$C$38*INDEX(AdditionalVehs!$AA$46:$AK$91,MATCH($C833,AdditionalVehs!$C$46:$C$91,0),MATCH(G$7,AdditionalVehs!$AA$45:$AK$45,0))</f>
        <v>#REF!</v>
      </c>
      <c r="H833" s="86" t="e">
        <f>GDPdeflator!$C$38*INDEX(AdditionalVehs!$AA$46:$AK$91,MATCH($C833,AdditionalVehs!$C$46:$C$91,0),MATCH(H$7,AdditionalVehs!$AA$45:$AK$45,0))</f>
        <v>#REF!</v>
      </c>
      <c r="I833" s="86" t="e">
        <f>GDPdeflator!$C$38*INDEX(AdditionalVehs!$AA$46:$AK$91,MATCH($C833,AdditionalVehs!$C$46:$C$91,0),MATCH(I$7,AdditionalVehs!$AA$45:$AK$45,0))</f>
        <v>#REF!</v>
      </c>
      <c r="J833" s="86" t="e">
        <f>GDPdeflator!$C$38*INDEX(AdditionalVehs!$AA$46:$AK$91,MATCH($C833,AdditionalVehs!$C$46:$C$91,0),MATCH(J$7,AdditionalVehs!$AA$45:$AK$45,0))</f>
        <v>#REF!</v>
      </c>
      <c r="K833" s="86" t="e">
        <f>GDPdeflator!$C$38*INDEX(AdditionalVehs!$AA$46:$AK$91,MATCH($C833,AdditionalVehs!$C$46:$C$91,0),MATCH(K$7,AdditionalVehs!$AA$45:$AK$45,0))</f>
        <v>#REF!</v>
      </c>
      <c r="L833" s="86" t="e">
        <f>GDPdeflator!$C$38*INDEX(AdditionalVehs!$AA$46:$AK$91,MATCH($C833,AdditionalVehs!$C$46:$C$91,0),MATCH(L$7,AdditionalVehs!$AA$45:$AK$45,0))</f>
        <v>#REF!</v>
      </c>
      <c r="M833" s="86" t="e">
        <f>GDPdeflator!$C$38*INDEX(AdditionalVehs!$AA$46:$AK$91,MATCH($C833,AdditionalVehs!$C$46:$C$91,0),MATCH(M$7,AdditionalVehs!$AA$45:$AK$45,0))</f>
        <v>#REF!</v>
      </c>
      <c r="N833" s="86" t="e">
        <f>GDPdeflator!$C$38*INDEX(AdditionalVehs!$AA$46:$AK$91,MATCH($C833,AdditionalVehs!$C$46:$C$91,0),MATCH(N$7,AdditionalVehs!$AA$45:$AK$45,0))</f>
        <v>#REF!</v>
      </c>
      <c r="O833" s="86" t="e">
        <f>GDPdeflator!$C$38*INDEX(AdditionalVehs!$AA$46:$AK$91,MATCH($C833,AdditionalVehs!$C$46:$C$91,0),MATCH(O$7,AdditionalVehs!$AA$45:$AK$45,0))</f>
        <v>#REF!</v>
      </c>
      <c r="P833" s="87">
        <f t="shared" ref="P833:P840" si="338">E833/$AI$18*10^6</f>
        <v>0</v>
      </c>
      <c r="Q833" s="87" t="e">
        <f t="shared" si="329"/>
        <v>#REF!</v>
      </c>
      <c r="R833" s="87" t="e">
        <f t="shared" si="328"/>
        <v>#REF!</v>
      </c>
      <c r="S833" s="87" t="e">
        <f t="shared" si="336"/>
        <v>#REF!</v>
      </c>
      <c r="T833" s="87" t="e">
        <f t="shared" si="336"/>
        <v>#REF!</v>
      </c>
      <c r="U833" s="87" t="e">
        <f t="shared" si="336"/>
        <v>#REF!</v>
      </c>
      <c r="V833" s="87" t="e">
        <f t="shared" si="336"/>
        <v>#REF!</v>
      </c>
      <c r="W833" s="87" t="e">
        <f t="shared" si="336"/>
        <v>#REF!</v>
      </c>
      <c r="X833" s="87" t="e">
        <f t="shared" si="336"/>
        <v>#REF!</v>
      </c>
      <c r="Y833" s="87" t="e">
        <f t="shared" si="336"/>
        <v>#REF!</v>
      </c>
      <c r="Z833" s="87" t="e">
        <f t="shared" si="336"/>
        <v>#REF!</v>
      </c>
      <c r="AA833" s="40">
        <v>473</v>
      </c>
      <c r="AB833" s="89">
        <f>AA833*GDPdeflator!$C$25/$AI$18*10^3</f>
        <v>45.478712808157368</v>
      </c>
      <c r="AC833" s="90" t="e">
        <f>INDEX(AdditionalVehs!$E$46:$N$91,MATCH(C833,AdditionalVehs!$C$46:$C$91),MATCH(D833,AdditionalVehs!$E$45:$N$45))</f>
        <v>#REF!</v>
      </c>
      <c r="AD833" s="90" t="e">
        <f t="shared" si="327"/>
        <v>#REF!</v>
      </c>
      <c r="AE833" s="90" t="e">
        <f>INDEX(AdditionalVehs!$P$46:$Y$91,MATCH(C833,AdditionalVehs!$C$46:$C$91),MATCH(D833,AdditionalVehs!$AA$45:$AJ$45))</f>
        <v>#REF!</v>
      </c>
      <c r="AF833" s="90" t="e">
        <f t="shared" si="331"/>
        <v>#REF!</v>
      </c>
      <c r="AG833" s="90">
        <f>AdditionalVehs!$C$28</f>
        <v>0.26521554647620627</v>
      </c>
    </row>
    <row r="834" spans="1:33" x14ac:dyDescent="0.2">
      <c r="A834" s="92" t="s">
        <v>2520</v>
      </c>
      <c r="B834" s="248" t="s">
        <v>2521</v>
      </c>
      <c r="C834" s="40" t="s">
        <v>2517</v>
      </c>
      <c r="D834" s="40">
        <v>2020</v>
      </c>
      <c r="E834" s="86">
        <f>GDPdeflator!$C$32*INDEX(AdditionalVehs!$AA$46:$AK$91,MATCH($C834,AdditionalVehs!$C$46:$C$91,0),MATCH(E$7,AdditionalVehs!$AA$45:$AK$45,0))</f>
        <v>0</v>
      </c>
      <c r="F834" s="86" t="e">
        <f>GDPdeflator!$C$36*INDEX(AdditionalVehs!$AA$46:$AK$91,MATCH($C834,AdditionalVehs!$C$46:$C$91,0),MATCH(F$7,AdditionalVehs!$AA$45:$AK$45,0))</f>
        <v>#REF!</v>
      </c>
      <c r="G834" s="86" t="e">
        <f>GDPdeflator!$C$38*INDEX(AdditionalVehs!$AA$46:$AK$91,MATCH($C834,AdditionalVehs!$C$46:$C$91,0),MATCH(G$7,AdditionalVehs!$AA$45:$AK$45,0))</f>
        <v>#REF!</v>
      </c>
      <c r="H834" s="86" t="e">
        <f>GDPdeflator!$C$38*INDEX(AdditionalVehs!$AA$46:$AK$91,MATCH($C834,AdditionalVehs!$C$46:$C$91,0),MATCH(H$7,AdditionalVehs!$AA$45:$AK$45,0))</f>
        <v>#REF!</v>
      </c>
      <c r="I834" s="86" t="e">
        <f>GDPdeflator!$C$38*INDEX(AdditionalVehs!$AA$46:$AK$91,MATCH($C834,AdditionalVehs!$C$46:$C$91,0),MATCH(I$7,AdditionalVehs!$AA$45:$AK$45,0))</f>
        <v>#REF!</v>
      </c>
      <c r="J834" s="86" t="e">
        <f>GDPdeflator!$C$38*INDEX(AdditionalVehs!$AA$46:$AK$91,MATCH($C834,AdditionalVehs!$C$46:$C$91,0),MATCH(J$7,AdditionalVehs!$AA$45:$AK$45,0))</f>
        <v>#REF!</v>
      </c>
      <c r="K834" s="86" t="e">
        <f>GDPdeflator!$C$38*INDEX(AdditionalVehs!$AA$46:$AK$91,MATCH($C834,AdditionalVehs!$C$46:$C$91,0),MATCH(K$7,AdditionalVehs!$AA$45:$AK$45,0))</f>
        <v>#REF!</v>
      </c>
      <c r="L834" s="86" t="e">
        <f>GDPdeflator!$C$38*INDEX(AdditionalVehs!$AA$46:$AK$91,MATCH($C834,AdditionalVehs!$C$46:$C$91,0),MATCH(L$7,AdditionalVehs!$AA$45:$AK$45,0))</f>
        <v>#REF!</v>
      </c>
      <c r="M834" s="86" t="e">
        <f>GDPdeflator!$C$38*INDEX(AdditionalVehs!$AA$46:$AK$91,MATCH($C834,AdditionalVehs!$C$46:$C$91,0),MATCH(M$7,AdditionalVehs!$AA$45:$AK$45,0))</f>
        <v>#REF!</v>
      </c>
      <c r="N834" s="86" t="e">
        <f>GDPdeflator!$C$38*INDEX(AdditionalVehs!$AA$46:$AK$91,MATCH($C834,AdditionalVehs!$C$46:$C$91,0),MATCH(N$7,AdditionalVehs!$AA$45:$AK$45,0))</f>
        <v>#REF!</v>
      </c>
      <c r="O834" s="86" t="e">
        <f>GDPdeflator!$C$38*INDEX(AdditionalVehs!$AA$46:$AK$91,MATCH($C834,AdditionalVehs!$C$46:$C$91,0),MATCH(O$7,AdditionalVehs!$AA$45:$AK$45,0))</f>
        <v>#REF!</v>
      </c>
      <c r="P834" s="87">
        <f t="shared" si="338"/>
        <v>0</v>
      </c>
      <c r="Q834" s="87" t="e">
        <f t="shared" si="329"/>
        <v>#REF!</v>
      </c>
      <c r="R834" s="87" t="e">
        <f t="shared" si="328"/>
        <v>#REF!</v>
      </c>
      <c r="S834" s="87" t="e">
        <f t="shared" si="336"/>
        <v>#REF!</v>
      </c>
      <c r="T834" s="87" t="e">
        <f t="shared" si="336"/>
        <v>#REF!</v>
      </c>
      <c r="U834" s="87" t="e">
        <f t="shared" si="336"/>
        <v>#REF!</v>
      </c>
      <c r="V834" s="87" t="e">
        <f t="shared" si="336"/>
        <v>#REF!</v>
      </c>
      <c r="W834" s="87" t="e">
        <f t="shared" si="336"/>
        <v>#REF!</v>
      </c>
      <c r="X834" s="87" t="e">
        <f t="shared" si="336"/>
        <v>#REF!</v>
      </c>
      <c r="Y834" s="87" t="e">
        <f t="shared" si="336"/>
        <v>#REF!</v>
      </c>
      <c r="Z834" s="87" t="e">
        <f t="shared" si="336"/>
        <v>#REF!</v>
      </c>
      <c r="AA834" s="40">
        <v>473</v>
      </c>
      <c r="AB834" s="89">
        <f>AA834*GDPdeflator!$C$25/$AI$18*10^3</f>
        <v>45.478712808157368</v>
      </c>
      <c r="AC834" s="90" t="e">
        <f>INDEX(AdditionalVehs!$E$46:$N$91,MATCH(C834,AdditionalVehs!$C$46:$C$91),MATCH(D834,AdditionalVehs!$E$45:$N$45))</f>
        <v>#REF!</v>
      </c>
      <c r="AD834" s="90" t="e">
        <f t="shared" ref="AD834:AD858" si="339">AC834/($AI$11*$AI$15*10 ^ 9)</f>
        <v>#REF!</v>
      </c>
      <c r="AE834" s="90" t="e">
        <f>INDEX(AdditionalVehs!$P$46:$Y$91,MATCH(C834,AdditionalVehs!$C$46:$C$91),MATCH(D834,AdditionalVehs!$AA$45:$AJ$45))</f>
        <v>#REF!</v>
      </c>
      <c r="AF834" s="90" t="e">
        <f t="shared" si="331"/>
        <v>#REF!</v>
      </c>
      <c r="AG834" s="90">
        <f>AdditionalVehs!$C$28</f>
        <v>0.26521554647620627</v>
      </c>
    </row>
    <row r="835" spans="1:33" x14ac:dyDescent="0.2">
      <c r="A835" s="92" t="s">
        <v>2522</v>
      </c>
      <c r="B835" s="248" t="s">
        <v>2523</v>
      </c>
      <c r="C835" s="40" t="s">
        <v>2517</v>
      </c>
      <c r="D835" s="40">
        <v>2025</v>
      </c>
      <c r="E835" s="86">
        <f>GDPdeflator!$C$32*INDEX(AdditionalVehs!$AA$46:$AK$91,MATCH($C835,AdditionalVehs!$C$46:$C$91,0),MATCH(E$7,AdditionalVehs!$AA$45:$AK$45,0))</f>
        <v>0</v>
      </c>
      <c r="F835" s="86" t="e">
        <f>GDPdeflator!$C$36*INDEX(AdditionalVehs!$AA$46:$AK$91,MATCH($C835,AdditionalVehs!$C$46:$C$91,0),MATCH(F$7,AdditionalVehs!$AA$45:$AK$45,0))</f>
        <v>#REF!</v>
      </c>
      <c r="G835" s="86" t="e">
        <f>GDPdeflator!$C$38*INDEX(AdditionalVehs!$AA$46:$AK$91,MATCH($C835,AdditionalVehs!$C$46:$C$91,0),MATCH(G$7,AdditionalVehs!$AA$45:$AK$45,0))</f>
        <v>#REF!</v>
      </c>
      <c r="H835" s="86" t="e">
        <f>GDPdeflator!$C$38*INDEX(AdditionalVehs!$AA$46:$AK$91,MATCH($C835,AdditionalVehs!$C$46:$C$91,0),MATCH(H$7,AdditionalVehs!$AA$45:$AK$45,0))</f>
        <v>#REF!</v>
      </c>
      <c r="I835" s="86" t="e">
        <f>GDPdeflator!$C$38*INDEX(AdditionalVehs!$AA$46:$AK$91,MATCH($C835,AdditionalVehs!$C$46:$C$91,0),MATCH(I$7,AdditionalVehs!$AA$45:$AK$45,0))</f>
        <v>#REF!</v>
      </c>
      <c r="J835" s="86" t="e">
        <f>GDPdeflator!$C$38*INDEX(AdditionalVehs!$AA$46:$AK$91,MATCH($C835,AdditionalVehs!$C$46:$C$91,0),MATCH(J$7,AdditionalVehs!$AA$45:$AK$45,0))</f>
        <v>#REF!</v>
      </c>
      <c r="K835" s="86" t="e">
        <f>GDPdeflator!$C$38*INDEX(AdditionalVehs!$AA$46:$AK$91,MATCH($C835,AdditionalVehs!$C$46:$C$91,0),MATCH(K$7,AdditionalVehs!$AA$45:$AK$45,0))</f>
        <v>#REF!</v>
      </c>
      <c r="L835" s="86" t="e">
        <f>GDPdeflator!$C$38*INDEX(AdditionalVehs!$AA$46:$AK$91,MATCH($C835,AdditionalVehs!$C$46:$C$91,0),MATCH(L$7,AdditionalVehs!$AA$45:$AK$45,0))</f>
        <v>#REF!</v>
      </c>
      <c r="M835" s="86" t="e">
        <f>GDPdeflator!$C$38*INDEX(AdditionalVehs!$AA$46:$AK$91,MATCH($C835,AdditionalVehs!$C$46:$C$91,0),MATCH(M$7,AdditionalVehs!$AA$45:$AK$45,0))</f>
        <v>#REF!</v>
      </c>
      <c r="N835" s="86" t="e">
        <f>GDPdeflator!$C$38*INDEX(AdditionalVehs!$AA$46:$AK$91,MATCH($C835,AdditionalVehs!$C$46:$C$91,0),MATCH(N$7,AdditionalVehs!$AA$45:$AK$45,0))</f>
        <v>#REF!</v>
      </c>
      <c r="O835" s="86" t="e">
        <f>GDPdeflator!$C$38*INDEX(AdditionalVehs!$AA$46:$AK$91,MATCH($C835,AdditionalVehs!$C$46:$C$91,0),MATCH(O$7,AdditionalVehs!$AA$45:$AK$45,0))</f>
        <v>#REF!</v>
      </c>
      <c r="P835" s="87">
        <f t="shared" si="338"/>
        <v>0</v>
      </c>
      <c r="Q835" s="87" t="e">
        <f t="shared" si="329"/>
        <v>#REF!</v>
      </c>
      <c r="R835" s="87" t="e">
        <f t="shared" si="328"/>
        <v>#REF!</v>
      </c>
      <c r="S835" s="87" t="e">
        <f t="shared" si="336"/>
        <v>#REF!</v>
      </c>
      <c r="T835" s="87" t="e">
        <f t="shared" si="336"/>
        <v>#REF!</v>
      </c>
      <c r="U835" s="87" t="e">
        <f t="shared" si="336"/>
        <v>#REF!</v>
      </c>
      <c r="V835" s="87" t="e">
        <f t="shared" si="336"/>
        <v>#REF!</v>
      </c>
      <c r="W835" s="87" t="e">
        <f t="shared" si="336"/>
        <v>#REF!</v>
      </c>
      <c r="X835" s="87" t="e">
        <f t="shared" si="336"/>
        <v>#REF!</v>
      </c>
      <c r="Y835" s="87" t="e">
        <f t="shared" si="336"/>
        <v>#REF!</v>
      </c>
      <c r="Z835" s="87" t="e">
        <f t="shared" si="336"/>
        <v>#REF!</v>
      </c>
      <c r="AA835" s="40">
        <v>473</v>
      </c>
      <c r="AB835" s="89">
        <f>AA835*GDPdeflator!$C$25/$AI$18*10^3</f>
        <v>45.478712808157368</v>
      </c>
      <c r="AC835" s="90" t="e">
        <f>INDEX(AdditionalVehs!$E$46:$N$91,MATCH(C835,AdditionalVehs!$C$46:$C$91),MATCH(D835,AdditionalVehs!$E$45:$N$45))</f>
        <v>#REF!</v>
      </c>
      <c r="AD835" s="90" t="e">
        <f t="shared" si="339"/>
        <v>#REF!</v>
      </c>
      <c r="AE835" s="90" t="e">
        <f>INDEX(AdditionalVehs!$P$46:$Y$91,MATCH(C835,AdditionalVehs!$C$46:$C$91),MATCH(D835,AdditionalVehs!$AA$45:$AJ$45))</f>
        <v>#REF!</v>
      </c>
      <c r="AF835" s="90" t="e">
        <f t="shared" si="331"/>
        <v>#REF!</v>
      </c>
      <c r="AG835" s="90">
        <f>AdditionalVehs!$C$28</f>
        <v>0.26521554647620627</v>
      </c>
    </row>
    <row r="836" spans="1:33" x14ac:dyDescent="0.2">
      <c r="A836" s="92" t="s">
        <v>2524</v>
      </c>
      <c r="B836" s="248" t="s">
        <v>2525</v>
      </c>
      <c r="C836" s="40" t="s">
        <v>2517</v>
      </c>
      <c r="D836" s="40">
        <v>2030</v>
      </c>
      <c r="E836" s="86">
        <f>GDPdeflator!$C$32*INDEX(AdditionalVehs!$AA$46:$AK$91,MATCH($C836,AdditionalVehs!$C$46:$C$91,0),MATCH(E$7,AdditionalVehs!$AA$45:$AK$45,0))</f>
        <v>0</v>
      </c>
      <c r="F836" s="86" t="e">
        <f>GDPdeflator!$C$36*INDEX(AdditionalVehs!$AA$46:$AK$91,MATCH($C836,AdditionalVehs!$C$46:$C$91,0),MATCH(F$7,AdditionalVehs!$AA$45:$AK$45,0))</f>
        <v>#REF!</v>
      </c>
      <c r="G836" s="86" t="e">
        <f>GDPdeflator!$C$38*INDEX(AdditionalVehs!$AA$46:$AK$91,MATCH($C836,AdditionalVehs!$C$46:$C$91,0),MATCH(G$7,AdditionalVehs!$AA$45:$AK$45,0))</f>
        <v>#REF!</v>
      </c>
      <c r="H836" s="86" t="e">
        <f>GDPdeflator!$C$38*INDEX(AdditionalVehs!$AA$46:$AK$91,MATCH($C836,AdditionalVehs!$C$46:$C$91,0),MATCH(H$7,AdditionalVehs!$AA$45:$AK$45,0))</f>
        <v>#REF!</v>
      </c>
      <c r="I836" s="86" t="e">
        <f>GDPdeflator!$C$38*INDEX(AdditionalVehs!$AA$46:$AK$91,MATCH($C836,AdditionalVehs!$C$46:$C$91,0),MATCH(I$7,AdditionalVehs!$AA$45:$AK$45,0))</f>
        <v>#REF!</v>
      </c>
      <c r="J836" s="86" t="e">
        <f>GDPdeflator!$C$38*INDEX(AdditionalVehs!$AA$46:$AK$91,MATCH($C836,AdditionalVehs!$C$46:$C$91,0),MATCH(J$7,AdditionalVehs!$AA$45:$AK$45,0))</f>
        <v>#REF!</v>
      </c>
      <c r="K836" s="86" t="e">
        <f>GDPdeflator!$C$38*INDEX(AdditionalVehs!$AA$46:$AK$91,MATCH($C836,AdditionalVehs!$C$46:$C$91,0),MATCH(K$7,AdditionalVehs!$AA$45:$AK$45,0))</f>
        <v>#REF!</v>
      </c>
      <c r="L836" s="86" t="e">
        <f>GDPdeflator!$C$38*INDEX(AdditionalVehs!$AA$46:$AK$91,MATCH($C836,AdditionalVehs!$C$46:$C$91,0),MATCH(L$7,AdditionalVehs!$AA$45:$AK$45,0))</f>
        <v>#REF!</v>
      </c>
      <c r="M836" s="86" t="e">
        <f>GDPdeflator!$C$38*INDEX(AdditionalVehs!$AA$46:$AK$91,MATCH($C836,AdditionalVehs!$C$46:$C$91,0),MATCH(M$7,AdditionalVehs!$AA$45:$AK$45,0))</f>
        <v>#REF!</v>
      </c>
      <c r="N836" s="86" t="e">
        <f>GDPdeflator!$C$38*INDEX(AdditionalVehs!$AA$46:$AK$91,MATCH($C836,AdditionalVehs!$C$46:$C$91,0),MATCH(N$7,AdditionalVehs!$AA$45:$AK$45,0))</f>
        <v>#REF!</v>
      </c>
      <c r="O836" s="86" t="e">
        <f>GDPdeflator!$C$38*INDEX(AdditionalVehs!$AA$46:$AK$91,MATCH($C836,AdditionalVehs!$C$46:$C$91,0),MATCH(O$7,AdditionalVehs!$AA$45:$AK$45,0))</f>
        <v>#REF!</v>
      </c>
      <c r="P836" s="87">
        <f t="shared" si="338"/>
        <v>0</v>
      </c>
      <c r="Q836" s="87" t="e">
        <f t="shared" si="329"/>
        <v>#REF!</v>
      </c>
      <c r="R836" s="87" t="e">
        <f t="shared" ref="R836:R858" si="340">G836/$AI$18*10^6</f>
        <v>#REF!</v>
      </c>
      <c r="S836" s="87" t="e">
        <f t="shared" si="336"/>
        <v>#REF!</v>
      </c>
      <c r="T836" s="87" t="e">
        <f t="shared" si="336"/>
        <v>#REF!</v>
      </c>
      <c r="U836" s="87" t="e">
        <f t="shared" si="336"/>
        <v>#REF!</v>
      </c>
      <c r="V836" s="87" t="e">
        <f t="shared" si="336"/>
        <v>#REF!</v>
      </c>
      <c r="W836" s="87" t="e">
        <f t="shared" si="336"/>
        <v>#REF!</v>
      </c>
      <c r="X836" s="87" t="e">
        <f t="shared" si="336"/>
        <v>#REF!</v>
      </c>
      <c r="Y836" s="87" t="e">
        <f t="shared" si="336"/>
        <v>#REF!</v>
      </c>
      <c r="Z836" s="87" t="e">
        <f t="shared" si="336"/>
        <v>#REF!</v>
      </c>
      <c r="AA836" s="40">
        <v>473</v>
      </c>
      <c r="AB836" s="89">
        <f>AA836*GDPdeflator!$C$25/$AI$18*10^3</f>
        <v>45.478712808157368</v>
      </c>
      <c r="AC836" s="90" t="e">
        <f>INDEX(AdditionalVehs!$E$46:$N$91,MATCH(C836,AdditionalVehs!$C$46:$C$91),MATCH(D836,AdditionalVehs!$E$45:$N$45))</f>
        <v>#REF!</v>
      </c>
      <c r="AD836" s="90" t="e">
        <f t="shared" si="339"/>
        <v>#REF!</v>
      </c>
      <c r="AE836" s="90" t="e">
        <f>INDEX(AdditionalVehs!$P$46:$Y$91,MATCH(C836,AdditionalVehs!$C$46:$C$91),MATCH(D836,AdditionalVehs!$AA$45:$AJ$45))</f>
        <v>#REF!</v>
      </c>
      <c r="AF836" s="90" t="e">
        <f t="shared" si="331"/>
        <v>#REF!</v>
      </c>
      <c r="AG836" s="90">
        <f>AdditionalVehs!$C$28</f>
        <v>0.26521554647620627</v>
      </c>
    </row>
    <row r="837" spans="1:33" x14ac:dyDescent="0.2">
      <c r="A837" s="92" t="s">
        <v>2526</v>
      </c>
      <c r="B837" s="248" t="s">
        <v>2527</v>
      </c>
      <c r="C837" s="40" t="s">
        <v>2517</v>
      </c>
      <c r="D837" s="40">
        <v>2035</v>
      </c>
      <c r="E837" s="86">
        <f>GDPdeflator!$C$32*INDEX(AdditionalVehs!$AA$46:$AK$91,MATCH($C837,AdditionalVehs!$C$46:$C$91,0),MATCH(E$7,AdditionalVehs!$AA$45:$AK$45,0))</f>
        <v>0</v>
      </c>
      <c r="F837" s="86" t="e">
        <f>GDPdeflator!$C$36*INDEX(AdditionalVehs!$AA$46:$AK$91,MATCH($C837,AdditionalVehs!$C$46:$C$91,0),MATCH(F$7,AdditionalVehs!$AA$45:$AK$45,0))</f>
        <v>#REF!</v>
      </c>
      <c r="G837" s="86" t="e">
        <f>GDPdeflator!$C$38*INDEX(AdditionalVehs!$AA$46:$AK$91,MATCH($C837,AdditionalVehs!$C$46:$C$91,0),MATCH(G$7,AdditionalVehs!$AA$45:$AK$45,0))</f>
        <v>#REF!</v>
      </c>
      <c r="H837" s="86" t="e">
        <f>GDPdeflator!$C$38*INDEX(AdditionalVehs!$AA$46:$AK$91,MATCH($C837,AdditionalVehs!$C$46:$C$91,0),MATCH(H$7,AdditionalVehs!$AA$45:$AK$45,0))</f>
        <v>#REF!</v>
      </c>
      <c r="I837" s="86" t="e">
        <f>GDPdeflator!$C$38*INDEX(AdditionalVehs!$AA$46:$AK$91,MATCH($C837,AdditionalVehs!$C$46:$C$91,0),MATCH(I$7,AdditionalVehs!$AA$45:$AK$45,0))</f>
        <v>#REF!</v>
      </c>
      <c r="J837" s="86" t="e">
        <f>GDPdeflator!$C$38*INDEX(AdditionalVehs!$AA$46:$AK$91,MATCH($C837,AdditionalVehs!$C$46:$C$91,0),MATCH(J$7,AdditionalVehs!$AA$45:$AK$45,0))</f>
        <v>#REF!</v>
      </c>
      <c r="K837" s="86" t="e">
        <f>GDPdeflator!$C$38*INDEX(AdditionalVehs!$AA$46:$AK$91,MATCH($C837,AdditionalVehs!$C$46:$C$91,0),MATCH(K$7,AdditionalVehs!$AA$45:$AK$45,0))</f>
        <v>#REF!</v>
      </c>
      <c r="L837" s="86" t="e">
        <f>GDPdeflator!$C$38*INDEX(AdditionalVehs!$AA$46:$AK$91,MATCH($C837,AdditionalVehs!$C$46:$C$91,0),MATCH(L$7,AdditionalVehs!$AA$45:$AK$45,0))</f>
        <v>#REF!</v>
      </c>
      <c r="M837" s="86" t="e">
        <f>GDPdeflator!$C$38*INDEX(AdditionalVehs!$AA$46:$AK$91,MATCH($C837,AdditionalVehs!$C$46:$C$91,0),MATCH(M$7,AdditionalVehs!$AA$45:$AK$45,0))</f>
        <v>#REF!</v>
      </c>
      <c r="N837" s="86" t="e">
        <f>GDPdeflator!$C$38*INDEX(AdditionalVehs!$AA$46:$AK$91,MATCH($C837,AdditionalVehs!$C$46:$C$91,0),MATCH(N$7,AdditionalVehs!$AA$45:$AK$45,0))</f>
        <v>#REF!</v>
      </c>
      <c r="O837" s="86" t="e">
        <f>GDPdeflator!$C$38*INDEX(AdditionalVehs!$AA$46:$AK$91,MATCH($C837,AdditionalVehs!$C$46:$C$91,0),MATCH(O$7,AdditionalVehs!$AA$45:$AK$45,0))</f>
        <v>#REF!</v>
      </c>
      <c r="P837" s="87">
        <f t="shared" si="338"/>
        <v>0</v>
      </c>
      <c r="Q837" s="87" t="e">
        <f t="shared" si="329"/>
        <v>#REF!</v>
      </c>
      <c r="R837" s="87" t="e">
        <f t="shared" si="340"/>
        <v>#REF!</v>
      </c>
      <c r="S837" s="87" t="e">
        <f t="shared" si="336"/>
        <v>#REF!</v>
      </c>
      <c r="T837" s="87" t="e">
        <f t="shared" si="336"/>
        <v>#REF!</v>
      </c>
      <c r="U837" s="87" t="e">
        <f t="shared" si="336"/>
        <v>#REF!</v>
      </c>
      <c r="V837" s="87" t="e">
        <f t="shared" si="336"/>
        <v>#REF!</v>
      </c>
      <c r="W837" s="87" t="e">
        <f t="shared" si="336"/>
        <v>#REF!</v>
      </c>
      <c r="X837" s="87" t="e">
        <f t="shared" si="336"/>
        <v>#REF!</v>
      </c>
      <c r="Y837" s="87" t="e">
        <f t="shared" si="336"/>
        <v>#REF!</v>
      </c>
      <c r="Z837" s="87" t="e">
        <f t="shared" si="336"/>
        <v>#REF!</v>
      </c>
      <c r="AA837" s="40">
        <v>473</v>
      </c>
      <c r="AB837" s="89">
        <f>AA837*GDPdeflator!$C$25/$AI$18*10^3</f>
        <v>45.478712808157368</v>
      </c>
      <c r="AC837" s="90" t="e">
        <f>INDEX(AdditionalVehs!$E$46:$N$91,MATCH(C837,AdditionalVehs!$C$46:$C$91),MATCH(D837,AdditionalVehs!$E$45:$N$45))</f>
        <v>#REF!</v>
      </c>
      <c r="AD837" s="90" t="e">
        <f t="shared" si="339"/>
        <v>#REF!</v>
      </c>
      <c r="AE837" s="90" t="e">
        <f>INDEX(AdditionalVehs!$P$46:$Y$91,MATCH(C837,AdditionalVehs!$C$46:$C$91),MATCH(D837,AdditionalVehs!$AA$45:$AJ$45))</f>
        <v>#REF!</v>
      </c>
      <c r="AF837" s="90" t="e">
        <f t="shared" si="331"/>
        <v>#REF!</v>
      </c>
      <c r="AG837" s="90">
        <f>AdditionalVehs!$C$28</f>
        <v>0.26521554647620627</v>
      </c>
    </row>
    <row r="838" spans="1:33" x14ac:dyDescent="0.2">
      <c r="A838" s="92" t="s">
        <v>2528</v>
      </c>
      <c r="B838" s="248" t="s">
        <v>2529</v>
      </c>
      <c r="C838" s="40" t="s">
        <v>2517</v>
      </c>
      <c r="D838" s="40">
        <v>2040</v>
      </c>
      <c r="E838" s="86">
        <f>GDPdeflator!$C$32*INDEX(AdditionalVehs!$AA$46:$AK$91,MATCH($C838,AdditionalVehs!$C$46:$C$91,0),MATCH(E$7,AdditionalVehs!$AA$45:$AK$45,0))</f>
        <v>0</v>
      </c>
      <c r="F838" s="86" t="e">
        <f>GDPdeflator!$C$36*INDEX(AdditionalVehs!$AA$46:$AK$91,MATCH($C838,AdditionalVehs!$C$46:$C$91,0),MATCH(F$7,AdditionalVehs!$AA$45:$AK$45,0))</f>
        <v>#REF!</v>
      </c>
      <c r="G838" s="86" t="e">
        <f>GDPdeflator!$C$38*INDEX(AdditionalVehs!$AA$46:$AK$91,MATCH($C838,AdditionalVehs!$C$46:$C$91,0),MATCH(G$7,AdditionalVehs!$AA$45:$AK$45,0))</f>
        <v>#REF!</v>
      </c>
      <c r="H838" s="86" t="e">
        <f>GDPdeflator!$C$38*INDEX(AdditionalVehs!$AA$46:$AK$91,MATCH($C838,AdditionalVehs!$C$46:$C$91,0),MATCH(H$7,AdditionalVehs!$AA$45:$AK$45,0))</f>
        <v>#REF!</v>
      </c>
      <c r="I838" s="86" t="e">
        <f>GDPdeflator!$C$38*INDEX(AdditionalVehs!$AA$46:$AK$91,MATCH($C838,AdditionalVehs!$C$46:$C$91,0),MATCH(I$7,AdditionalVehs!$AA$45:$AK$45,0))</f>
        <v>#REF!</v>
      </c>
      <c r="J838" s="86" t="e">
        <f>GDPdeflator!$C$38*INDEX(AdditionalVehs!$AA$46:$AK$91,MATCH($C838,AdditionalVehs!$C$46:$C$91,0),MATCH(J$7,AdditionalVehs!$AA$45:$AK$45,0))</f>
        <v>#REF!</v>
      </c>
      <c r="K838" s="86" t="e">
        <f>GDPdeflator!$C$38*INDEX(AdditionalVehs!$AA$46:$AK$91,MATCH($C838,AdditionalVehs!$C$46:$C$91,0),MATCH(K$7,AdditionalVehs!$AA$45:$AK$45,0))</f>
        <v>#REF!</v>
      </c>
      <c r="L838" s="86" t="e">
        <f>GDPdeflator!$C$38*INDEX(AdditionalVehs!$AA$46:$AK$91,MATCH($C838,AdditionalVehs!$C$46:$C$91,0),MATCH(L$7,AdditionalVehs!$AA$45:$AK$45,0))</f>
        <v>#REF!</v>
      </c>
      <c r="M838" s="86" t="e">
        <f>GDPdeflator!$C$38*INDEX(AdditionalVehs!$AA$46:$AK$91,MATCH($C838,AdditionalVehs!$C$46:$C$91,0),MATCH(M$7,AdditionalVehs!$AA$45:$AK$45,0))</f>
        <v>#REF!</v>
      </c>
      <c r="N838" s="86" t="e">
        <f>GDPdeflator!$C$38*INDEX(AdditionalVehs!$AA$46:$AK$91,MATCH($C838,AdditionalVehs!$C$46:$C$91,0),MATCH(N$7,AdditionalVehs!$AA$45:$AK$45,0))</f>
        <v>#REF!</v>
      </c>
      <c r="O838" s="86" t="e">
        <f>GDPdeflator!$C$38*INDEX(AdditionalVehs!$AA$46:$AK$91,MATCH($C838,AdditionalVehs!$C$46:$C$91,0),MATCH(O$7,AdditionalVehs!$AA$45:$AK$45,0))</f>
        <v>#REF!</v>
      </c>
      <c r="P838" s="87">
        <f t="shared" si="338"/>
        <v>0</v>
      </c>
      <c r="Q838" s="87" t="e">
        <f t="shared" si="329"/>
        <v>#REF!</v>
      </c>
      <c r="R838" s="87" t="e">
        <f t="shared" si="340"/>
        <v>#REF!</v>
      </c>
      <c r="S838" s="87" t="e">
        <f t="shared" si="336"/>
        <v>#REF!</v>
      </c>
      <c r="T838" s="87" t="e">
        <f t="shared" si="336"/>
        <v>#REF!</v>
      </c>
      <c r="U838" s="87" t="e">
        <f t="shared" si="336"/>
        <v>#REF!</v>
      </c>
      <c r="V838" s="87" t="e">
        <f t="shared" si="336"/>
        <v>#REF!</v>
      </c>
      <c r="W838" s="87" t="e">
        <f t="shared" si="336"/>
        <v>#REF!</v>
      </c>
      <c r="X838" s="87" t="e">
        <f t="shared" si="336"/>
        <v>#REF!</v>
      </c>
      <c r="Y838" s="87" t="e">
        <f t="shared" si="336"/>
        <v>#REF!</v>
      </c>
      <c r="Z838" s="87" t="e">
        <f t="shared" si="336"/>
        <v>#REF!</v>
      </c>
      <c r="AA838" s="40">
        <v>473</v>
      </c>
      <c r="AB838" s="89">
        <f>AA838*GDPdeflator!$C$25/$AI$18*10^3</f>
        <v>45.478712808157368</v>
      </c>
      <c r="AC838" s="90" t="e">
        <f>INDEX(AdditionalVehs!$E$46:$N$91,MATCH(C838,AdditionalVehs!$C$46:$C$91),MATCH(D838,AdditionalVehs!$E$45:$N$45))</f>
        <v>#REF!</v>
      </c>
      <c r="AD838" s="90" t="e">
        <f t="shared" si="339"/>
        <v>#REF!</v>
      </c>
      <c r="AE838" s="90" t="e">
        <f>INDEX(AdditionalVehs!$P$46:$Y$91,MATCH(C838,AdditionalVehs!$C$46:$C$91),MATCH(D838,AdditionalVehs!$AA$45:$AJ$45))</f>
        <v>#REF!</v>
      </c>
      <c r="AF838" s="90" t="e">
        <f t="shared" si="331"/>
        <v>#REF!</v>
      </c>
      <c r="AG838" s="90">
        <f>AdditionalVehs!$C$28</f>
        <v>0.26521554647620627</v>
      </c>
    </row>
    <row r="839" spans="1:33" x14ac:dyDescent="0.2">
      <c r="A839" s="92" t="s">
        <v>2530</v>
      </c>
      <c r="B839" s="248" t="s">
        <v>2531</v>
      </c>
      <c r="C839" s="40" t="s">
        <v>2517</v>
      </c>
      <c r="D839" s="40">
        <v>2045</v>
      </c>
      <c r="E839" s="86">
        <f>GDPdeflator!$C$32*INDEX(AdditionalVehs!$AA$46:$AK$91,MATCH($C839,AdditionalVehs!$C$46:$C$91,0),MATCH(E$7,AdditionalVehs!$AA$45:$AK$45,0))</f>
        <v>0</v>
      </c>
      <c r="F839" s="86" t="e">
        <f>GDPdeflator!$C$36*INDEX(AdditionalVehs!$AA$46:$AK$91,MATCH($C839,AdditionalVehs!$C$46:$C$91,0),MATCH(F$7,AdditionalVehs!$AA$45:$AK$45,0))</f>
        <v>#REF!</v>
      </c>
      <c r="G839" s="86" t="e">
        <f>GDPdeflator!$C$38*INDEX(AdditionalVehs!$AA$46:$AK$91,MATCH($C839,AdditionalVehs!$C$46:$C$91,0),MATCH(G$7,AdditionalVehs!$AA$45:$AK$45,0))</f>
        <v>#REF!</v>
      </c>
      <c r="H839" s="86" t="e">
        <f>GDPdeflator!$C$38*INDEX(AdditionalVehs!$AA$46:$AK$91,MATCH($C839,AdditionalVehs!$C$46:$C$91,0),MATCH(H$7,AdditionalVehs!$AA$45:$AK$45,0))</f>
        <v>#REF!</v>
      </c>
      <c r="I839" s="86" t="e">
        <f>GDPdeflator!$C$38*INDEX(AdditionalVehs!$AA$46:$AK$91,MATCH($C839,AdditionalVehs!$C$46:$C$91,0),MATCH(I$7,AdditionalVehs!$AA$45:$AK$45,0))</f>
        <v>#REF!</v>
      </c>
      <c r="J839" s="86" t="e">
        <f>GDPdeflator!$C$38*INDEX(AdditionalVehs!$AA$46:$AK$91,MATCH($C839,AdditionalVehs!$C$46:$C$91,0),MATCH(J$7,AdditionalVehs!$AA$45:$AK$45,0))</f>
        <v>#REF!</v>
      </c>
      <c r="K839" s="86" t="e">
        <f>GDPdeflator!$C$38*INDEX(AdditionalVehs!$AA$46:$AK$91,MATCH($C839,AdditionalVehs!$C$46:$C$91,0),MATCH(K$7,AdditionalVehs!$AA$45:$AK$45,0))</f>
        <v>#REF!</v>
      </c>
      <c r="L839" s="86" t="e">
        <f>GDPdeflator!$C$38*INDEX(AdditionalVehs!$AA$46:$AK$91,MATCH($C839,AdditionalVehs!$C$46:$C$91,0),MATCH(L$7,AdditionalVehs!$AA$45:$AK$45,0))</f>
        <v>#REF!</v>
      </c>
      <c r="M839" s="86" t="e">
        <f>GDPdeflator!$C$38*INDEX(AdditionalVehs!$AA$46:$AK$91,MATCH($C839,AdditionalVehs!$C$46:$C$91,0),MATCH(M$7,AdditionalVehs!$AA$45:$AK$45,0))</f>
        <v>#REF!</v>
      </c>
      <c r="N839" s="86" t="e">
        <f>GDPdeflator!$C$38*INDEX(AdditionalVehs!$AA$46:$AK$91,MATCH($C839,AdditionalVehs!$C$46:$C$91,0),MATCH(N$7,AdditionalVehs!$AA$45:$AK$45,0))</f>
        <v>#REF!</v>
      </c>
      <c r="O839" s="86" t="e">
        <f>GDPdeflator!$C$38*INDEX(AdditionalVehs!$AA$46:$AK$91,MATCH($C839,AdditionalVehs!$C$46:$C$91,0),MATCH(O$7,AdditionalVehs!$AA$45:$AK$45,0))</f>
        <v>#REF!</v>
      </c>
      <c r="P839" s="87">
        <f t="shared" si="338"/>
        <v>0</v>
      </c>
      <c r="Q839" s="87" t="e">
        <f t="shared" si="329"/>
        <v>#REF!</v>
      </c>
      <c r="R839" s="87" t="e">
        <f t="shared" si="340"/>
        <v>#REF!</v>
      </c>
      <c r="S839" s="87" t="e">
        <f t="shared" ref="S839:S858" si="341">H839/$AI$18*10^6</f>
        <v>#REF!</v>
      </c>
      <c r="T839" s="87" t="e">
        <f t="shared" ref="T839:T858" si="342">I839/$AI$18*10^6</f>
        <v>#REF!</v>
      </c>
      <c r="U839" s="87" t="e">
        <f t="shared" ref="U839:U858" si="343">J839/$AI$18*10^6</f>
        <v>#REF!</v>
      </c>
      <c r="V839" s="87" t="e">
        <f t="shared" ref="V839:V858" si="344">K839/$AI$18*10^6</f>
        <v>#REF!</v>
      </c>
      <c r="W839" s="87" t="e">
        <f t="shared" ref="W839:W858" si="345">L839/$AI$18*10^6</f>
        <v>#REF!</v>
      </c>
      <c r="X839" s="87" t="e">
        <f t="shared" ref="X839:X858" si="346">M839/$AI$18*10^6</f>
        <v>#REF!</v>
      </c>
      <c r="Y839" s="87" t="e">
        <f t="shared" ref="Y839:Y858" si="347">N839/$AI$18*10^6</f>
        <v>#REF!</v>
      </c>
      <c r="Z839" s="87" t="e">
        <f t="shared" ref="Z839:Z858" si="348">O839/$AI$18*10^6</f>
        <v>#REF!</v>
      </c>
      <c r="AA839" s="40">
        <v>473</v>
      </c>
      <c r="AB839" s="89">
        <f>AA839*GDPdeflator!$C$25/$AI$18*10^3</f>
        <v>45.478712808157368</v>
      </c>
      <c r="AC839" s="90" t="e">
        <f>INDEX(AdditionalVehs!$E$46:$N$91,MATCH(C839,AdditionalVehs!$C$46:$C$91),MATCH(D839,AdditionalVehs!$E$45:$N$45))</f>
        <v>#REF!</v>
      </c>
      <c r="AD839" s="90" t="e">
        <f t="shared" si="339"/>
        <v>#REF!</v>
      </c>
      <c r="AE839" s="90" t="e">
        <f>INDEX(AdditionalVehs!$P$46:$Y$91,MATCH(C839,AdditionalVehs!$C$46:$C$91),MATCH(D839,AdditionalVehs!$AA$45:$AJ$45))</f>
        <v>#REF!</v>
      </c>
      <c r="AF839" s="90" t="e">
        <f t="shared" si="331"/>
        <v>#REF!</v>
      </c>
      <c r="AG839" s="90">
        <f>AdditionalVehs!$C$28</f>
        <v>0.26521554647620627</v>
      </c>
    </row>
    <row r="840" spans="1:33" x14ac:dyDescent="0.2">
      <c r="A840" s="92" t="s">
        <v>2532</v>
      </c>
      <c r="B840" s="248" t="s">
        <v>2533</v>
      </c>
      <c r="C840" s="40" t="s">
        <v>2517</v>
      </c>
      <c r="D840" s="40">
        <v>2050</v>
      </c>
      <c r="E840" s="86">
        <f>GDPdeflator!$C$32*INDEX(AdditionalVehs!$AA$46:$AK$91,MATCH($C840,AdditionalVehs!$C$46:$C$91,0),MATCH(E$7,AdditionalVehs!$AA$45:$AK$45,0))</f>
        <v>0</v>
      </c>
      <c r="F840" s="86" t="e">
        <f>GDPdeflator!$C$36*INDEX(AdditionalVehs!$AA$46:$AK$91,MATCH($C840,AdditionalVehs!$C$46:$C$91,0),MATCH(F$7,AdditionalVehs!$AA$45:$AK$45,0))</f>
        <v>#REF!</v>
      </c>
      <c r="G840" s="86" t="e">
        <f>GDPdeflator!$C$38*INDEX(AdditionalVehs!$AA$46:$AK$91,MATCH($C840,AdditionalVehs!$C$46:$C$91,0),MATCH(G$7,AdditionalVehs!$AA$45:$AK$45,0))</f>
        <v>#REF!</v>
      </c>
      <c r="H840" s="86" t="e">
        <f>GDPdeflator!$C$38*INDEX(AdditionalVehs!$AA$46:$AK$91,MATCH($C840,AdditionalVehs!$C$46:$C$91,0),MATCH(H$7,AdditionalVehs!$AA$45:$AK$45,0))</f>
        <v>#REF!</v>
      </c>
      <c r="I840" s="86" t="e">
        <f>GDPdeflator!$C$38*INDEX(AdditionalVehs!$AA$46:$AK$91,MATCH($C840,AdditionalVehs!$C$46:$C$91,0),MATCH(I$7,AdditionalVehs!$AA$45:$AK$45,0))</f>
        <v>#REF!</v>
      </c>
      <c r="J840" s="86" t="e">
        <f>GDPdeflator!$C$38*INDEX(AdditionalVehs!$AA$46:$AK$91,MATCH($C840,AdditionalVehs!$C$46:$C$91,0),MATCH(J$7,AdditionalVehs!$AA$45:$AK$45,0))</f>
        <v>#REF!</v>
      </c>
      <c r="K840" s="86" t="e">
        <f>GDPdeflator!$C$38*INDEX(AdditionalVehs!$AA$46:$AK$91,MATCH($C840,AdditionalVehs!$C$46:$C$91,0),MATCH(K$7,AdditionalVehs!$AA$45:$AK$45,0))</f>
        <v>#REF!</v>
      </c>
      <c r="L840" s="86" t="e">
        <f>GDPdeflator!$C$38*INDEX(AdditionalVehs!$AA$46:$AK$91,MATCH($C840,AdditionalVehs!$C$46:$C$91,0),MATCH(L$7,AdditionalVehs!$AA$45:$AK$45,0))</f>
        <v>#REF!</v>
      </c>
      <c r="M840" s="86" t="e">
        <f>GDPdeflator!$C$38*INDEX(AdditionalVehs!$AA$46:$AK$91,MATCH($C840,AdditionalVehs!$C$46:$C$91,0),MATCH(M$7,AdditionalVehs!$AA$45:$AK$45,0))</f>
        <v>#REF!</v>
      </c>
      <c r="N840" s="86" t="e">
        <f>GDPdeflator!$C$38*INDEX(AdditionalVehs!$AA$46:$AK$91,MATCH($C840,AdditionalVehs!$C$46:$C$91,0),MATCH(N$7,AdditionalVehs!$AA$45:$AK$45,0))</f>
        <v>#REF!</v>
      </c>
      <c r="O840" s="86" t="e">
        <f>GDPdeflator!$C$38*INDEX(AdditionalVehs!$AA$46:$AK$91,MATCH($C840,AdditionalVehs!$C$46:$C$91,0),MATCH(O$7,AdditionalVehs!$AA$45:$AK$45,0))</f>
        <v>#REF!</v>
      </c>
      <c r="P840" s="87">
        <f t="shared" si="338"/>
        <v>0</v>
      </c>
      <c r="Q840" s="87" t="e">
        <f t="shared" si="329"/>
        <v>#REF!</v>
      </c>
      <c r="R840" s="87" t="e">
        <f t="shared" si="340"/>
        <v>#REF!</v>
      </c>
      <c r="S840" s="87" t="e">
        <f t="shared" si="341"/>
        <v>#REF!</v>
      </c>
      <c r="T840" s="87" t="e">
        <f t="shared" si="342"/>
        <v>#REF!</v>
      </c>
      <c r="U840" s="87" t="e">
        <f t="shared" si="343"/>
        <v>#REF!</v>
      </c>
      <c r="V840" s="87" t="e">
        <f t="shared" si="344"/>
        <v>#REF!</v>
      </c>
      <c r="W840" s="87" t="e">
        <f t="shared" si="345"/>
        <v>#REF!</v>
      </c>
      <c r="X840" s="87" t="e">
        <f t="shared" si="346"/>
        <v>#REF!</v>
      </c>
      <c r="Y840" s="87" t="e">
        <f t="shared" si="347"/>
        <v>#REF!</v>
      </c>
      <c r="Z840" s="87" t="e">
        <f t="shared" si="348"/>
        <v>#REF!</v>
      </c>
      <c r="AA840" s="40">
        <v>473</v>
      </c>
      <c r="AB840" s="89">
        <f>AA840*GDPdeflator!$C$25/$AI$18*10^3</f>
        <v>45.478712808157368</v>
      </c>
      <c r="AC840" s="90" t="e">
        <f>INDEX(AdditionalVehs!$E$46:$N$91,MATCH(C840,AdditionalVehs!$C$46:$C$91),MATCH(D840,AdditionalVehs!$E$45:$N$45))</f>
        <v>#REF!</v>
      </c>
      <c r="AD840" s="90" t="e">
        <f t="shared" si="339"/>
        <v>#REF!</v>
      </c>
      <c r="AE840" s="90" t="e">
        <f>INDEX(AdditionalVehs!$P$46:$Y$91,MATCH(C840,AdditionalVehs!$C$46:$C$91),MATCH(D840,AdditionalVehs!$AA$45:$AJ$45))</f>
        <v>#REF!</v>
      </c>
      <c r="AF840" s="90" t="e">
        <f t="shared" si="331"/>
        <v>#REF!</v>
      </c>
      <c r="AG840" s="90">
        <f>AdditionalVehs!$C$28</f>
        <v>0.26521554647620627</v>
      </c>
    </row>
    <row r="841" spans="1:33" x14ac:dyDescent="0.2">
      <c r="A841" s="92" t="s">
        <v>2534</v>
      </c>
      <c r="B841" s="248" t="s">
        <v>2535</v>
      </c>
      <c r="C841" s="40" t="s">
        <v>2536</v>
      </c>
      <c r="D841" s="40">
        <v>2010</v>
      </c>
      <c r="E841" s="86">
        <f>GDPdeflator!$C$32*INDEX(AdditionalVehs!$AA$46:$AK$91,MATCH($C841,AdditionalVehs!$C$46:$C$91,0),MATCH(E$7,AdditionalVehs!$AA$45:$AK$45,0))</f>
        <v>0</v>
      </c>
      <c r="F841" s="86" t="e">
        <f>GDPdeflator!$C$36*INDEX(AdditionalVehs!$AA$46:$AK$91,MATCH($C841,AdditionalVehs!$C$46:$C$91,0),MATCH(F$7,AdditionalVehs!$AA$45:$AK$45,0))</f>
        <v>#REF!</v>
      </c>
      <c r="G841" s="86" t="e">
        <f>GDPdeflator!$C$38*INDEX(AdditionalVehs!$AA$46:$AK$91,MATCH($C841,AdditionalVehs!$C$46:$C$91,0),MATCH(G$7,AdditionalVehs!$AA$45:$AK$45,0))</f>
        <v>#REF!</v>
      </c>
      <c r="H841" s="86" t="e">
        <f>GDPdeflator!$C$38*INDEX(AdditionalVehs!$AA$46:$AK$91,MATCH($C841,AdditionalVehs!$C$46:$C$91,0),MATCH(H$7,AdditionalVehs!$AA$45:$AK$45,0))</f>
        <v>#REF!</v>
      </c>
      <c r="I841" s="86" t="e">
        <f>GDPdeflator!$C$38*INDEX(AdditionalVehs!$AA$46:$AK$91,MATCH($C841,AdditionalVehs!$C$46:$C$91,0),MATCH(I$7,AdditionalVehs!$AA$45:$AK$45,0))</f>
        <v>#REF!</v>
      </c>
      <c r="J841" s="86" t="e">
        <f>GDPdeflator!$C$38*INDEX(AdditionalVehs!$AA$46:$AK$91,MATCH($C841,AdditionalVehs!$C$46:$C$91,0),MATCH(J$7,AdditionalVehs!$AA$45:$AK$45,0))</f>
        <v>#REF!</v>
      </c>
      <c r="K841" s="86" t="e">
        <f>GDPdeflator!$C$38*INDEX(AdditionalVehs!$AA$46:$AK$91,MATCH($C841,AdditionalVehs!$C$46:$C$91,0),MATCH(K$7,AdditionalVehs!$AA$45:$AK$45,0))</f>
        <v>#REF!</v>
      </c>
      <c r="L841" s="86" t="e">
        <f>GDPdeflator!$C$38*INDEX(AdditionalVehs!$AA$46:$AK$91,MATCH($C841,AdditionalVehs!$C$46:$C$91,0),MATCH(L$7,AdditionalVehs!$AA$45:$AK$45,0))</f>
        <v>#REF!</v>
      </c>
      <c r="M841" s="86" t="e">
        <f>GDPdeflator!$C$38*INDEX(AdditionalVehs!$AA$46:$AK$91,MATCH($C841,AdditionalVehs!$C$46:$C$91,0),MATCH(M$7,AdditionalVehs!$AA$45:$AK$45,0))</f>
        <v>#REF!</v>
      </c>
      <c r="N841" s="86" t="e">
        <f>GDPdeflator!$C$38*INDEX(AdditionalVehs!$AA$46:$AK$91,MATCH($C841,AdditionalVehs!$C$46:$C$91,0),MATCH(N$7,AdditionalVehs!$AA$45:$AK$45,0))</f>
        <v>#REF!</v>
      </c>
      <c r="O841" s="86" t="e">
        <f>GDPdeflator!$C$38*INDEX(AdditionalVehs!$AA$46:$AK$91,MATCH($C841,AdditionalVehs!$C$46:$C$91,0),MATCH(O$7,AdditionalVehs!$AA$45:$AK$45,0))</f>
        <v>#REF!</v>
      </c>
      <c r="P841" s="87">
        <f>E841/$AI$18*10^6</f>
        <v>0</v>
      </c>
      <c r="Q841" s="87" t="e">
        <f t="shared" si="329"/>
        <v>#REF!</v>
      </c>
      <c r="R841" s="87" t="e">
        <f t="shared" si="340"/>
        <v>#REF!</v>
      </c>
      <c r="S841" s="87" t="e">
        <f t="shared" si="341"/>
        <v>#REF!</v>
      </c>
      <c r="T841" s="87" t="e">
        <f t="shared" si="342"/>
        <v>#REF!</v>
      </c>
      <c r="U841" s="87" t="e">
        <f t="shared" si="343"/>
        <v>#REF!</v>
      </c>
      <c r="V841" s="87" t="e">
        <f t="shared" si="344"/>
        <v>#REF!</v>
      </c>
      <c r="W841" s="87" t="e">
        <f t="shared" si="345"/>
        <v>#REF!</v>
      </c>
      <c r="X841" s="87" t="e">
        <f t="shared" si="346"/>
        <v>#REF!</v>
      </c>
      <c r="Y841" s="87" t="e">
        <f t="shared" si="347"/>
        <v>#REF!</v>
      </c>
      <c r="Z841" s="87" t="e">
        <f t="shared" si="348"/>
        <v>#REF!</v>
      </c>
      <c r="AA841" s="40">
        <v>473</v>
      </c>
      <c r="AB841" s="89">
        <f>AA841*GDPdeflator!$C$25/$AI$18*10^3</f>
        <v>45.478712808157368</v>
      </c>
      <c r="AC841" s="90" t="e">
        <f>INDEX(AdditionalVehs!$E$46:$N$91,MATCH(C841,AdditionalVehs!$C$46:$C$91),MATCH(D841,AdditionalVehs!$E$45:$N$45))</f>
        <v>#REF!</v>
      </c>
      <c r="AD841" s="90" t="e">
        <f t="shared" si="339"/>
        <v>#REF!</v>
      </c>
      <c r="AE841" s="90" t="e">
        <f>INDEX(AdditionalVehs!$P$46:$Y$91,MATCH(C841,AdditionalVehs!$C$46:$C$91),MATCH(D841,AdditionalVehs!$AA$45:$AJ$45))</f>
        <v>#REF!</v>
      </c>
      <c r="AF841" s="90" t="e">
        <f t="shared" si="331"/>
        <v>#REF!</v>
      </c>
      <c r="AG841" s="90">
        <f>AdditionalVehs!$C$28</f>
        <v>0.26521554647620627</v>
      </c>
    </row>
    <row r="842" spans="1:33" x14ac:dyDescent="0.2">
      <c r="A842" s="92" t="s">
        <v>2537</v>
      </c>
      <c r="B842" s="248" t="s">
        <v>2538</v>
      </c>
      <c r="C842" s="40" t="s">
        <v>2536</v>
      </c>
      <c r="D842" s="40">
        <v>2015</v>
      </c>
      <c r="E842" s="86">
        <f>GDPdeflator!$C$32*INDEX(AdditionalVehs!$AA$46:$AK$91,MATCH($C842,AdditionalVehs!$C$46:$C$91,0),MATCH(E$7,AdditionalVehs!$AA$45:$AK$45,0))</f>
        <v>0</v>
      </c>
      <c r="F842" s="86" t="e">
        <f>GDPdeflator!$C$36*INDEX(AdditionalVehs!$AA$46:$AK$91,MATCH($C842,AdditionalVehs!$C$46:$C$91,0),MATCH(F$7,AdditionalVehs!$AA$45:$AK$45,0))</f>
        <v>#REF!</v>
      </c>
      <c r="G842" s="86" t="e">
        <f>GDPdeflator!$C$38*INDEX(AdditionalVehs!$AA$46:$AK$91,MATCH($C842,AdditionalVehs!$C$46:$C$91,0),MATCH(G$7,AdditionalVehs!$AA$45:$AK$45,0))</f>
        <v>#REF!</v>
      </c>
      <c r="H842" s="86" t="e">
        <f>GDPdeflator!$C$38*INDEX(AdditionalVehs!$AA$46:$AK$91,MATCH($C842,AdditionalVehs!$C$46:$C$91,0),MATCH(H$7,AdditionalVehs!$AA$45:$AK$45,0))</f>
        <v>#REF!</v>
      </c>
      <c r="I842" s="86" t="e">
        <f>GDPdeflator!$C$38*INDEX(AdditionalVehs!$AA$46:$AK$91,MATCH($C842,AdditionalVehs!$C$46:$C$91,0),MATCH(I$7,AdditionalVehs!$AA$45:$AK$45,0))</f>
        <v>#REF!</v>
      </c>
      <c r="J842" s="86" t="e">
        <f>GDPdeflator!$C$38*INDEX(AdditionalVehs!$AA$46:$AK$91,MATCH($C842,AdditionalVehs!$C$46:$C$91,0),MATCH(J$7,AdditionalVehs!$AA$45:$AK$45,0))</f>
        <v>#REF!</v>
      </c>
      <c r="K842" s="86" t="e">
        <f>GDPdeflator!$C$38*INDEX(AdditionalVehs!$AA$46:$AK$91,MATCH($C842,AdditionalVehs!$C$46:$C$91,0),MATCH(K$7,AdditionalVehs!$AA$45:$AK$45,0))</f>
        <v>#REF!</v>
      </c>
      <c r="L842" s="86" t="e">
        <f>GDPdeflator!$C$38*INDEX(AdditionalVehs!$AA$46:$AK$91,MATCH($C842,AdditionalVehs!$C$46:$C$91,0),MATCH(L$7,AdditionalVehs!$AA$45:$AK$45,0))</f>
        <v>#REF!</v>
      </c>
      <c r="M842" s="86" t="e">
        <f>GDPdeflator!$C$38*INDEX(AdditionalVehs!$AA$46:$AK$91,MATCH($C842,AdditionalVehs!$C$46:$C$91,0),MATCH(M$7,AdditionalVehs!$AA$45:$AK$45,0))</f>
        <v>#REF!</v>
      </c>
      <c r="N842" s="86" t="e">
        <f>GDPdeflator!$C$38*INDEX(AdditionalVehs!$AA$46:$AK$91,MATCH($C842,AdditionalVehs!$C$46:$C$91,0),MATCH(N$7,AdditionalVehs!$AA$45:$AK$45,0))</f>
        <v>#REF!</v>
      </c>
      <c r="O842" s="86" t="e">
        <f>GDPdeflator!$C$38*INDEX(AdditionalVehs!$AA$46:$AK$91,MATCH($C842,AdditionalVehs!$C$46:$C$91,0),MATCH(O$7,AdditionalVehs!$AA$45:$AK$45,0))</f>
        <v>#REF!</v>
      </c>
      <c r="P842" s="87">
        <f t="shared" ref="P842:P849" si="349">E842/$AI$18*10^6</f>
        <v>0</v>
      </c>
      <c r="Q842" s="87" t="e">
        <f t="shared" ref="Q842:Q858" si="350">F842/$AI$18*10^6</f>
        <v>#REF!</v>
      </c>
      <c r="R842" s="87" t="e">
        <f t="shared" si="340"/>
        <v>#REF!</v>
      </c>
      <c r="S842" s="87" t="e">
        <f t="shared" si="341"/>
        <v>#REF!</v>
      </c>
      <c r="T842" s="87" t="e">
        <f t="shared" si="342"/>
        <v>#REF!</v>
      </c>
      <c r="U842" s="87" t="e">
        <f t="shared" si="343"/>
        <v>#REF!</v>
      </c>
      <c r="V842" s="87" t="e">
        <f t="shared" si="344"/>
        <v>#REF!</v>
      </c>
      <c r="W842" s="87" t="e">
        <f t="shared" si="345"/>
        <v>#REF!</v>
      </c>
      <c r="X842" s="87" t="e">
        <f t="shared" si="346"/>
        <v>#REF!</v>
      </c>
      <c r="Y842" s="87" t="e">
        <f t="shared" si="347"/>
        <v>#REF!</v>
      </c>
      <c r="Z842" s="87" t="e">
        <f t="shared" si="348"/>
        <v>#REF!</v>
      </c>
      <c r="AA842" s="40">
        <v>473</v>
      </c>
      <c r="AB842" s="89">
        <f>AA842*GDPdeflator!$C$25/$AI$18*10^3</f>
        <v>45.478712808157368</v>
      </c>
      <c r="AC842" s="90" t="e">
        <f>INDEX(AdditionalVehs!$E$46:$N$91,MATCH(C842,AdditionalVehs!$C$46:$C$91),MATCH(D842,AdditionalVehs!$E$45:$N$45))</f>
        <v>#REF!</v>
      </c>
      <c r="AD842" s="90" t="e">
        <f t="shared" si="339"/>
        <v>#REF!</v>
      </c>
      <c r="AE842" s="90" t="e">
        <f>INDEX(AdditionalVehs!$P$46:$Y$91,MATCH(C842,AdditionalVehs!$C$46:$C$91),MATCH(D842,AdditionalVehs!$AA$45:$AJ$45))</f>
        <v>#REF!</v>
      </c>
      <c r="AF842" s="90" t="e">
        <f t="shared" si="331"/>
        <v>#REF!</v>
      </c>
      <c r="AG842" s="90">
        <f>AdditionalVehs!$C$28</f>
        <v>0.26521554647620627</v>
      </c>
    </row>
    <row r="843" spans="1:33" x14ac:dyDescent="0.2">
      <c r="A843" s="92" t="s">
        <v>2539</v>
      </c>
      <c r="B843" s="248" t="s">
        <v>2540</v>
      </c>
      <c r="C843" s="40" t="s">
        <v>2536</v>
      </c>
      <c r="D843" s="40">
        <v>2020</v>
      </c>
      <c r="E843" s="86">
        <f>GDPdeflator!$C$32*INDEX(AdditionalVehs!$AA$46:$AK$91,MATCH($C843,AdditionalVehs!$C$46:$C$91,0),MATCH(E$7,AdditionalVehs!$AA$45:$AK$45,0))</f>
        <v>0</v>
      </c>
      <c r="F843" s="86" t="e">
        <f>GDPdeflator!$C$36*INDEX(AdditionalVehs!$AA$46:$AK$91,MATCH($C843,AdditionalVehs!$C$46:$C$91,0),MATCH(F$7,AdditionalVehs!$AA$45:$AK$45,0))</f>
        <v>#REF!</v>
      </c>
      <c r="G843" s="86" t="e">
        <f>GDPdeflator!$C$38*INDEX(AdditionalVehs!$AA$46:$AK$91,MATCH($C843,AdditionalVehs!$C$46:$C$91,0),MATCH(G$7,AdditionalVehs!$AA$45:$AK$45,0))</f>
        <v>#REF!</v>
      </c>
      <c r="H843" s="86" t="e">
        <f>GDPdeflator!$C$38*INDEX(AdditionalVehs!$AA$46:$AK$91,MATCH($C843,AdditionalVehs!$C$46:$C$91,0),MATCH(H$7,AdditionalVehs!$AA$45:$AK$45,0))</f>
        <v>#REF!</v>
      </c>
      <c r="I843" s="86" t="e">
        <f>GDPdeflator!$C$38*INDEX(AdditionalVehs!$AA$46:$AK$91,MATCH($C843,AdditionalVehs!$C$46:$C$91,0),MATCH(I$7,AdditionalVehs!$AA$45:$AK$45,0))</f>
        <v>#REF!</v>
      </c>
      <c r="J843" s="86" t="e">
        <f>GDPdeflator!$C$38*INDEX(AdditionalVehs!$AA$46:$AK$91,MATCH($C843,AdditionalVehs!$C$46:$C$91,0),MATCH(J$7,AdditionalVehs!$AA$45:$AK$45,0))</f>
        <v>#REF!</v>
      </c>
      <c r="K843" s="86" t="e">
        <f>GDPdeflator!$C$38*INDEX(AdditionalVehs!$AA$46:$AK$91,MATCH($C843,AdditionalVehs!$C$46:$C$91,0),MATCH(K$7,AdditionalVehs!$AA$45:$AK$45,0))</f>
        <v>#REF!</v>
      </c>
      <c r="L843" s="86" t="e">
        <f>GDPdeflator!$C$38*INDEX(AdditionalVehs!$AA$46:$AK$91,MATCH($C843,AdditionalVehs!$C$46:$C$91,0),MATCH(L$7,AdditionalVehs!$AA$45:$AK$45,0))</f>
        <v>#REF!</v>
      </c>
      <c r="M843" s="86" t="e">
        <f>GDPdeflator!$C$38*INDEX(AdditionalVehs!$AA$46:$AK$91,MATCH($C843,AdditionalVehs!$C$46:$C$91,0),MATCH(M$7,AdditionalVehs!$AA$45:$AK$45,0))</f>
        <v>#REF!</v>
      </c>
      <c r="N843" s="86" t="e">
        <f>GDPdeflator!$C$38*INDEX(AdditionalVehs!$AA$46:$AK$91,MATCH($C843,AdditionalVehs!$C$46:$C$91,0),MATCH(N$7,AdditionalVehs!$AA$45:$AK$45,0))</f>
        <v>#REF!</v>
      </c>
      <c r="O843" s="86" t="e">
        <f>GDPdeflator!$C$38*INDEX(AdditionalVehs!$AA$46:$AK$91,MATCH($C843,AdditionalVehs!$C$46:$C$91,0),MATCH(O$7,AdditionalVehs!$AA$45:$AK$45,0))</f>
        <v>#REF!</v>
      </c>
      <c r="P843" s="87">
        <f t="shared" si="349"/>
        <v>0</v>
      </c>
      <c r="Q843" s="87" t="e">
        <f t="shared" si="350"/>
        <v>#REF!</v>
      </c>
      <c r="R843" s="87" t="e">
        <f t="shared" si="340"/>
        <v>#REF!</v>
      </c>
      <c r="S843" s="87" t="e">
        <f t="shared" si="341"/>
        <v>#REF!</v>
      </c>
      <c r="T843" s="87" t="e">
        <f t="shared" si="342"/>
        <v>#REF!</v>
      </c>
      <c r="U843" s="87" t="e">
        <f t="shared" si="343"/>
        <v>#REF!</v>
      </c>
      <c r="V843" s="87" t="e">
        <f t="shared" si="344"/>
        <v>#REF!</v>
      </c>
      <c r="W843" s="87" t="e">
        <f t="shared" si="345"/>
        <v>#REF!</v>
      </c>
      <c r="X843" s="87" t="e">
        <f t="shared" si="346"/>
        <v>#REF!</v>
      </c>
      <c r="Y843" s="87" t="e">
        <f t="shared" si="347"/>
        <v>#REF!</v>
      </c>
      <c r="Z843" s="87" t="e">
        <f t="shared" si="348"/>
        <v>#REF!</v>
      </c>
      <c r="AA843" s="40">
        <v>473</v>
      </c>
      <c r="AB843" s="89">
        <f>AA843*GDPdeflator!$C$25/$AI$18*10^3</f>
        <v>45.478712808157368</v>
      </c>
      <c r="AC843" s="90" t="e">
        <f>INDEX(AdditionalVehs!$E$46:$N$91,MATCH(C843,AdditionalVehs!$C$46:$C$91),MATCH(D843,AdditionalVehs!$E$45:$N$45))</f>
        <v>#REF!</v>
      </c>
      <c r="AD843" s="90" t="e">
        <f t="shared" si="339"/>
        <v>#REF!</v>
      </c>
      <c r="AE843" s="90" t="e">
        <f>INDEX(AdditionalVehs!$P$46:$Y$91,MATCH(C843,AdditionalVehs!$C$46:$C$91),MATCH(D843,AdditionalVehs!$AA$45:$AJ$45))</f>
        <v>#REF!</v>
      </c>
      <c r="AF843" s="90" t="e">
        <f t="shared" si="331"/>
        <v>#REF!</v>
      </c>
      <c r="AG843" s="90">
        <f>AdditionalVehs!$C$28</f>
        <v>0.26521554647620627</v>
      </c>
    </row>
    <row r="844" spans="1:33" x14ac:dyDescent="0.2">
      <c r="A844" s="92" t="s">
        <v>2541</v>
      </c>
      <c r="B844" s="248" t="s">
        <v>2542</v>
      </c>
      <c r="C844" s="40" t="s">
        <v>2536</v>
      </c>
      <c r="D844" s="40">
        <v>2025</v>
      </c>
      <c r="E844" s="86">
        <f>GDPdeflator!$C$32*INDEX(AdditionalVehs!$AA$46:$AK$91,MATCH($C844,AdditionalVehs!$C$46:$C$91,0),MATCH(E$7,AdditionalVehs!$AA$45:$AK$45,0))</f>
        <v>0</v>
      </c>
      <c r="F844" s="86" t="e">
        <f>GDPdeflator!$C$36*INDEX(AdditionalVehs!$AA$46:$AK$91,MATCH($C844,AdditionalVehs!$C$46:$C$91,0),MATCH(F$7,AdditionalVehs!$AA$45:$AK$45,0))</f>
        <v>#REF!</v>
      </c>
      <c r="G844" s="86" t="e">
        <f>GDPdeflator!$C$38*INDEX(AdditionalVehs!$AA$46:$AK$91,MATCH($C844,AdditionalVehs!$C$46:$C$91,0),MATCH(G$7,AdditionalVehs!$AA$45:$AK$45,0))</f>
        <v>#REF!</v>
      </c>
      <c r="H844" s="86" t="e">
        <f>GDPdeflator!$C$38*INDEX(AdditionalVehs!$AA$46:$AK$91,MATCH($C844,AdditionalVehs!$C$46:$C$91,0),MATCH(H$7,AdditionalVehs!$AA$45:$AK$45,0))</f>
        <v>#REF!</v>
      </c>
      <c r="I844" s="86" t="e">
        <f>GDPdeflator!$C$38*INDEX(AdditionalVehs!$AA$46:$AK$91,MATCH($C844,AdditionalVehs!$C$46:$C$91,0),MATCH(I$7,AdditionalVehs!$AA$45:$AK$45,0))</f>
        <v>#REF!</v>
      </c>
      <c r="J844" s="86" t="e">
        <f>GDPdeflator!$C$38*INDEX(AdditionalVehs!$AA$46:$AK$91,MATCH($C844,AdditionalVehs!$C$46:$C$91,0),MATCH(J$7,AdditionalVehs!$AA$45:$AK$45,0))</f>
        <v>#REF!</v>
      </c>
      <c r="K844" s="86" t="e">
        <f>GDPdeflator!$C$38*INDEX(AdditionalVehs!$AA$46:$AK$91,MATCH($C844,AdditionalVehs!$C$46:$C$91,0),MATCH(K$7,AdditionalVehs!$AA$45:$AK$45,0))</f>
        <v>#REF!</v>
      </c>
      <c r="L844" s="86" t="e">
        <f>GDPdeflator!$C$38*INDEX(AdditionalVehs!$AA$46:$AK$91,MATCH($C844,AdditionalVehs!$C$46:$C$91,0),MATCH(L$7,AdditionalVehs!$AA$45:$AK$45,0))</f>
        <v>#REF!</v>
      </c>
      <c r="M844" s="86" t="e">
        <f>GDPdeflator!$C$38*INDEX(AdditionalVehs!$AA$46:$AK$91,MATCH($C844,AdditionalVehs!$C$46:$C$91,0),MATCH(M$7,AdditionalVehs!$AA$45:$AK$45,0))</f>
        <v>#REF!</v>
      </c>
      <c r="N844" s="86" t="e">
        <f>GDPdeflator!$C$38*INDEX(AdditionalVehs!$AA$46:$AK$91,MATCH($C844,AdditionalVehs!$C$46:$C$91,0),MATCH(N$7,AdditionalVehs!$AA$45:$AK$45,0))</f>
        <v>#REF!</v>
      </c>
      <c r="O844" s="86" t="e">
        <f>GDPdeflator!$C$38*INDEX(AdditionalVehs!$AA$46:$AK$91,MATCH($C844,AdditionalVehs!$C$46:$C$91,0),MATCH(O$7,AdditionalVehs!$AA$45:$AK$45,0))</f>
        <v>#REF!</v>
      </c>
      <c r="P844" s="87">
        <f t="shared" si="349"/>
        <v>0</v>
      </c>
      <c r="Q844" s="87" t="e">
        <f t="shared" si="350"/>
        <v>#REF!</v>
      </c>
      <c r="R844" s="87" t="e">
        <f t="shared" si="340"/>
        <v>#REF!</v>
      </c>
      <c r="S844" s="87" t="e">
        <f t="shared" si="341"/>
        <v>#REF!</v>
      </c>
      <c r="T844" s="87" t="e">
        <f t="shared" si="342"/>
        <v>#REF!</v>
      </c>
      <c r="U844" s="87" t="e">
        <f t="shared" si="343"/>
        <v>#REF!</v>
      </c>
      <c r="V844" s="87" t="e">
        <f t="shared" si="344"/>
        <v>#REF!</v>
      </c>
      <c r="W844" s="87" t="e">
        <f t="shared" si="345"/>
        <v>#REF!</v>
      </c>
      <c r="X844" s="87" t="e">
        <f t="shared" si="346"/>
        <v>#REF!</v>
      </c>
      <c r="Y844" s="87" t="e">
        <f t="shared" si="347"/>
        <v>#REF!</v>
      </c>
      <c r="Z844" s="87" t="e">
        <f t="shared" si="348"/>
        <v>#REF!</v>
      </c>
      <c r="AA844" s="40">
        <v>473</v>
      </c>
      <c r="AB844" s="89">
        <f>AA844*GDPdeflator!$C$25/$AI$18*10^3</f>
        <v>45.478712808157368</v>
      </c>
      <c r="AC844" s="90" t="e">
        <f>INDEX(AdditionalVehs!$E$46:$N$91,MATCH(C844,AdditionalVehs!$C$46:$C$91),MATCH(D844,AdditionalVehs!$E$45:$N$45))</f>
        <v>#REF!</v>
      </c>
      <c r="AD844" s="90" t="e">
        <f t="shared" si="339"/>
        <v>#REF!</v>
      </c>
      <c r="AE844" s="90" t="e">
        <f>INDEX(AdditionalVehs!$P$46:$Y$91,MATCH(C844,AdditionalVehs!$C$46:$C$91),MATCH(D844,AdditionalVehs!$AA$45:$AJ$45))</f>
        <v>#REF!</v>
      </c>
      <c r="AF844" s="90" t="e">
        <f t="shared" si="331"/>
        <v>#REF!</v>
      </c>
      <c r="AG844" s="90">
        <f>AdditionalVehs!$C$28</f>
        <v>0.26521554647620627</v>
      </c>
    </row>
    <row r="845" spans="1:33" x14ac:dyDescent="0.2">
      <c r="A845" s="92" t="s">
        <v>2543</v>
      </c>
      <c r="B845" s="248" t="s">
        <v>2544</v>
      </c>
      <c r="C845" s="40" t="s">
        <v>2536</v>
      </c>
      <c r="D845" s="40">
        <v>2030</v>
      </c>
      <c r="E845" s="86">
        <f>GDPdeflator!$C$32*INDEX(AdditionalVehs!$AA$46:$AK$91,MATCH($C845,AdditionalVehs!$C$46:$C$91,0),MATCH(E$7,AdditionalVehs!$AA$45:$AK$45,0))</f>
        <v>0</v>
      </c>
      <c r="F845" s="86" t="e">
        <f>GDPdeflator!$C$36*INDEX(AdditionalVehs!$AA$46:$AK$91,MATCH($C845,AdditionalVehs!$C$46:$C$91,0),MATCH(F$7,AdditionalVehs!$AA$45:$AK$45,0))</f>
        <v>#REF!</v>
      </c>
      <c r="G845" s="86" t="e">
        <f>GDPdeflator!$C$38*INDEX(AdditionalVehs!$AA$46:$AK$91,MATCH($C845,AdditionalVehs!$C$46:$C$91,0),MATCH(G$7,AdditionalVehs!$AA$45:$AK$45,0))</f>
        <v>#REF!</v>
      </c>
      <c r="H845" s="86" t="e">
        <f>GDPdeflator!$C$38*INDEX(AdditionalVehs!$AA$46:$AK$91,MATCH($C845,AdditionalVehs!$C$46:$C$91,0),MATCH(H$7,AdditionalVehs!$AA$45:$AK$45,0))</f>
        <v>#REF!</v>
      </c>
      <c r="I845" s="86" t="e">
        <f>GDPdeflator!$C$38*INDEX(AdditionalVehs!$AA$46:$AK$91,MATCH($C845,AdditionalVehs!$C$46:$C$91,0),MATCH(I$7,AdditionalVehs!$AA$45:$AK$45,0))</f>
        <v>#REF!</v>
      </c>
      <c r="J845" s="86" t="e">
        <f>GDPdeflator!$C$38*INDEX(AdditionalVehs!$AA$46:$AK$91,MATCH($C845,AdditionalVehs!$C$46:$C$91,0),MATCH(J$7,AdditionalVehs!$AA$45:$AK$45,0))</f>
        <v>#REF!</v>
      </c>
      <c r="K845" s="86" t="e">
        <f>GDPdeflator!$C$38*INDEX(AdditionalVehs!$AA$46:$AK$91,MATCH($C845,AdditionalVehs!$C$46:$C$91,0),MATCH(K$7,AdditionalVehs!$AA$45:$AK$45,0))</f>
        <v>#REF!</v>
      </c>
      <c r="L845" s="86" t="e">
        <f>GDPdeflator!$C$38*INDEX(AdditionalVehs!$AA$46:$AK$91,MATCH($C845,AdditionalVehs!$C$46:$C$91,0),MATCH(L$7,AdditionalVehs!$AA$45:$AK$45,0))</f>
        <v>#REF!</v>
      </c>
      <c r="M845" s="86" t="e">
        <f>GDPdeflator!$C$38*INDEX(AdditionalVehs!$AA$46:$AK$91,MATCH($C845,AdditionalVehs!$C$46:$C$91,0),MATCH(M$7,AdditionalVehs!$AA$45:$AK$45,0))</f>
        <v>#REF!</v>
      </c>
      <c r="N845" s="86" t="e">
        <f>GDPdeflator!$C$38*INDEX(AdditionalVehs!$AA$46:$AK$91,MATCH($C845,AdditionalVehs!$C$46:$C$91,0),MATCH(N$7,AdditionalVehs!$AA$45:$AK$45,0))</f>
        <v>#REF!</v>
      </c>
      <c r="O845" s="86" t="e">
        <f>GDPdeflator!$C$38*INDEX(AdditionalVehs!$AA$46:$AK$91,MATCH($C845,AdditionalVehs!$C$46:$C$91,0),MATCH(O$7,AdditionalVehs!$AA$45:$AK$45,0))</f>
        <v>#REF!</v>
      </c>
      <c r="P845" s="87">
        <f t="shared" si="349"/>
        <v>0</v>
      </c>
      <c r="Q845" s="87" t="e">
        <f t="shared" si="350"/>
        <v>#REF!</v>
      </c>
      <c r="R845" s="87" t="e">
        <f t="shared" si="340"/>
        <v>#REF!</v>
      </c>
      <c r="S845" s="87" t="e">
        <f t="shared" si="341"/>
        <v>#REF!</v>
      </c>
      <c r="T845" s="87" t="e">
        <f t="shared" si="342"/>
        <v>#REF!</v>
      </c>
      <c r="U845" s="87" t="e">
        <f t="shared" si="343"/>
        <v>#REF!</v>
      </c>
      <c r="V845" s="87" t="e">
        <f t="shared" si="344"/>
        <v>#REF!</v>
      </c>
      <c r="W845" s="87" t="e">
        <f t="shared" si="345"/>
        <v>#REF!</v>
      </c>
      <c r="X845" s="87" t="e">
        <f t="shared" si="346"/>
        <v>#REF!</v>
      </c>
      <c r="Y845" s="87" t="e">
        <f t="shared" si="347"/>
        <v>#REF!</v>
      </c>
      <c r="Z845" s="87" t="e">
        <f t="shared" si="348"/>
        <v>#REF!</v>
      </c>
      <c r="AA845" s="40">
        <v>473</v>
      </c>
      <c r="AB845" s="89">
        <f>AA845*GDPdeflator!$C$25/$AI$18*10^3</f>
        <v>45.478712808157368</v>
      </c>
      <c r="AC845" s="90" t="e">
        <f>INDEX(AdditionalVehs!$E$46:$N$91,MATCH(C845,AdditionalVehs!$C$46:$C$91),MATCH(D845,AdditionalVehs!$E$45:$N$45))</f>
        <v>#REF!</v>
      </c>
      <c r="AD845" s="90" t="e">
        <f t="shared" si="339"/>
        <v>#REF!</v>
      </c>
      <c r="AE845" s="90" t="e">
        <f>INDEX(AdditionalVehs!$P$46:$Y$91,MATCH(C845,AdditionalVehs!$C$46:$C$91),MATCH(D845,AdditionalVehs!$AA$45:$AJ$45))</f>
        <v>#REF!</v>
      </c>
      <c r="AF845" s="90" t="e">
        <f t="shared" si="331"/>
        <v>#REF!</v>
      </c>
      <c r="AG845" s="90">
        <f>AdditionalVehs!$C$28</f>
        <v>0.26521554647620627</v>
      </c>
    </row>
    <row r="846" spans="1:33" x14ac:dyDescent="0.2">
      <c r="A846" s="92" t="s">
        <v>2545</v>
      </c>
      <c r="B846" s="248" t="s">
        <v>2546</v>
      </c>
      <c r="C846" s="40" t="s">
        <v>2536</v>
      </c>
      <c r="D846" s="40">
        <v>2035</v>
      </c>
      <c r="E846" s="86">
        <f>GDPdeflator!$C$32*INDEX(AdditionalVehs!$AA$46:$AK$91,MATCH($C846,AdditionalVehs!$C$46:$C$91,0),MATCH(E$7,AdditionalVehs!$AA$45:$AK$45,0))</f>
        <v>0</v>
      </c>
      <c r="F846" s="86" t="e">
        <f>GDPdeflator!$C$36*INDEX(AdditionalVehs!$AA$46:$AK$91,MATCH($C846,AdditionalVehs!$C$46:$C$91,0),MATCH(F$7,AdditionalVehs!$AA$45:$AK$45,0))</f>
        <v>#REF!</v>
      </c>
      <c r="G846" s="86" t="e">
        <f>GDPdeflator!$C$38*INDEX(AdditionalVehs!$AA$46:$AK$91,MATCH($C846,AdditionalVehs!$C$46:$C$91,0),MATCH(G$7,AdditionalVehs!$AA$45:$AK$45,0))</f>
        <v>#REF!</v>
      </c>
      <c r="H846" s="86" t="e">
        <f>GDPdeflator!$C$38*INDEX(AdditionalVehs!$AA$46:$AK$91,MATCH($C846,AdditionalVehs!$C$46:$C$91,0),MATCH(H$7,AdditionalVehs!$AA$45:$AK$45,0))</f>
        <v>#REF!</v>
      </c>
      <c r="I846" s="86" t="e">
        <f>GDPdeflator!$C$38*INDEX(AdditionalVehs!$AA$46:$AK$91,MATCH($C846,AdditionalVehs!$C$46:$C$91,0),MATCH(I$7,AdditionalVehs!$AA$45:$AK$45,0))</f>
        <v>#REF!</v>
      </c>
      <c r="J846" s="86" t="e">
        <f>GDPdeflator!$C$38*INDEX(AdditionalVehs!$AA$46:$AK$91,MATCH($C846,AdditionalVehs!$C$46:$C$91,0),MATCH(J$7,AdditionalVehs!$AA$45:$AK$45,0))</f>
        <v>#REF!</v>
      </c>
      <c r="K846" s="86" t="e">
        <f>GDPdeflator!$C$38*INDEX(AdditionalVehs!$AA$46:$AK$91,MATCH($C846,AdditionalVehs!$C$46:$C$91,0),MATCH(K$7,AdditionalVehs!$AA$45:$AK$45,0))</f>
        <v>#REF!</v>
      </c>
      <c r="L846" s="86" t="e">
        <f>GDPdeflator!$C$38*INDEX(AdditionalVehs!$AA$46:$AK$91,MATCH($C846,AdditionalVehs!$C$46:$C$91,0),MATCH(L$7,AdditionalVehs!$AA$45:$AK$45,0))</f>
        <v>#REF!</v>
      </c>
      <c r="M846" s="86" t="e">
        <f>GDPdeflator!$C$38*INDEX(AdditionalVehs!$AA$46:$AK$91,MATCH($C846,AdditionalVehs!$C$46:$C$91,0),MATCH(M$7,AdditionalVehs!$AA$45:$AK$45,0))</f>
        <v>#REF!</v>
      </c>
      <c r="N846" s="86" t="e">
        <f>GDPdeflator!$C$38*INDEX(AdditionalVehs!$AA$46:$AK$91,MATCH($C846,AdditionalVehs!$C$46:$C$91,0),MATCH(N$7,AdditionalVehs!$AA$45:$AK$45,0))</f>
        <v>#REF!</v>
      </c>
      <c r="O846" s="86" t="e">
        <f>GDPdeflator!$C$38*INDEX(AdditionalVehs!$AA$46:$AK$91,MATCH($C846,AdditionalVehs!$C$46:$C$91,0),MATCH(O$7,AdditionalVehs!$AA$45:$AK$45,0))</f>
        <v>#REF!</v>
      </c>
      <c r="P846" s="87">
        <f t="shared" si="349"/>
        <v>0</v>
      </c>
      <c r="Q846" s="87" t="e">
        <f t="shared" si="350"/>
        <v>#REF!</v>
      </c>
      <c r="R846" s="87" t="e">
        <f t="shared" si="340"/>
        <v>#REF!</v>
      </c>
      <c r="S846" s="87" t="e">
        <f t="shared" si="341"/>
        <v>#REF!</v>
      </c>
      <c r="T846" s="87" t="e">
        <f t="shared" si="342"/>
        <v>#REF!</v>
      </c>
      <c r="U846" s="87" t="e">
        <f t="shared" si="343"/>
        <v>#REF!</v>
      </c>
      <c r="V846" s="87" t="e">
        <f t="shared" si="344"/>
        <v>#REF!</v>
      </c>
      <c r="W846" s="87" t="e">
        <f t="shared" si="345"/>
        <v>#REF!</v>
      </c>
      <c r="X846" s="87" t="e">
        <f t="shared" si="346"/>
        <v>#REF!</v>
      </c>
      <c r="Y846" s="87" t="e">
        <f t="shared" si="347"/>
        <v>#REF!</v>
      </c>
      <c r="Z846" s="87" t="e">
        <f t="shared" si="348"/>
        <v>#REF!</v>
      </c>
      <c r="AA846" s="40">
        <v>473</v>
      </c>
      <c r="AB846" s="89">
        <f>AA846*GDPdeflator!$C$25/$AI$18*10^3</f>
        <v>45.478712808157368</v>
      </c>
      <c r="AC846" s="90" t="e">
        <f>INDEX(AdditionalVehs!$E$46:$N$91,MATCH(C846,AdditionalVehs!$C$46:$C$91),MATCH(D846,AdditionalVehs!$E$45:$N$45))</f>
        <v>#REF!</v>
      </c>
      <c r="AD846" s="90" t="e">
        <f t="shared" si="339"/>
        <v>#REF!</v>
      </c>
      <c r="AE846" s="90" t="e">
        <f>INDEX(AdditionalVehs!$P$46:$Y$91,MATCH(C846,AdditionalVehs!$C$46:$C$91),MATCH(D846,AdditionalVehs!$AA$45:$AJ$45))</f>
        <v>#REF!</v>
      </c>
      <c r="AF846" s="90" t="e">
        <f t="shared" si="331"/>
        <v>#REF!</v>
      </c>
      <c r="AG846" s="90">
        <f>AdditionalVehs!$C$28</f>
        <v>0.26521554647620627</v>
      </c>
    </row>
    <row r="847" spans="1:33" x14ac:dyDescent="0.2">
      <c r="A847" s="92" t="s">
        <v>2547</v>
      </c>
      <c r="B847" s="248" t="s">
        <v>2548</v>
      </c>
      <c r="C847" s="40" t="s">
        <v>2536</v>
      </c>
      <c r="D847" s="40">
        <v>2040</v>
      </c>
      <c r="E847" s="86">
        <f>GDPdeflator!$C$32*INDEX(AdditionalVehs!$AA$46:$AK$91,MATCH($C847,AdditionalVehs!$C$46:$C$91,0),MATCH(E$7,AdditionalVehs!$AA$45:$AK$45,0))</f>
        <v>0</v>
      </c>
      <c r="F847" s="86" t="e">
        <f>GDPdeflator!$C$36*INDEX(AdditionalVehs!$AA$46:$AK$91,MATCH($C847,AdditionalVehs!$C$46:$C$91,0),MATCH(F$7,AdditionalVehs!$AA$45:$AK$45,0))</f>
        <v>#REF!</v>
      </c>
      <c r="G847" s="86" t="e">
        <f>GDPdeflator!$C$38*INDEX(AdditionalVehs!$AA$46:$AK$91,MATCH($C847,AdditionalVehs!$C$46:$C$91,0),MATCH(G$7,AdditionalVehs!$AA$45:$AK$45,0))</f>
        <v>#REF!</v>
      </c>
      <c r="H847" s="86" t="e">
        <f>GDPdeflator!$C$38*INDEX(AdditionalVehs!$AA$46:$AK$91,MATCH($C847,AdditionalVehs!$C$46:$C$91,0),MATCH(H$7,AdditionalVehs!$AA$45:$AK$45,0))</f>
        <v>#REF!</v>
      </c>
      <c r="I847" s="86" t="e">
        <f>GDPdeflator!$C$38*INDEX(AdditionalVehs!$AA$46:$AK$91,MATCH($C847,AdditionalVehs!$C$46:$C$91,0),MATCH(I$7,AdditionalVehs!$AA$45:$AK$45,0))</f>
        <v>#REF!</v>
      </c>
      <c r="J847" s="86" t="e">
        <f>GDPdeflator!$C$38*INDEX(AdditionalVehs!$AA$46:$AK$91,MATCH($C847,AdditionalVehs!$C$46:$C$91,0),MATCH(J$7,AdditionalVehs!$AA$45:$AK$45,0))</f>
        <v>#REF!</v>
      </c>
      <c r="K847" s="86" t="e">
        <f>GDPdeflator!$C$38*INDEX(AdditionalVehs!$AA$46:$AK$91,MATCH($C847,AdditionalVehs!$C$46:$C$91,0),MATCH(K$7,AdditionalVehs!$AA$45:$AK$45,0))</f>
        <v>#REF!</v>
      </c>
      <c r="L847" s="86" t="e">
        <f>GDPdeflator!$C$38*INDEX(AdditionalVehs!$AA$46:$AK$91,MATCH($C847,AdditionalVehs!$C$46:$C$91,0),MATCH(L$7,AdditionalVehs!$AA$45:$AK$45,0))</f>
        <v>#REF!</v>
      </c>
      <c r="M847" s="86" t="e">
        <f>GDPdeflator!$C$38*INDEX(AdditionalVehs!$AA$46:$AK$91,MATCH($C847,AdditionalVehs!$C$46:$C$91,0),MATCH(M$7,AdditionalVehs!$AA$45:$AK$45,0))</f>
        <v>#REF!</v>
      </c>
      <c r="N847" s="86" t="e">
        <f>GDPdeflator!$C$38*INDEX(AdditionalVehs!$AA$46:$AK$91,MATCH($C847,AdditionalVehs!$C$46:$C$91,0),MATCH(N$7,AdditionalVehs!$AA$45:$AK$45,0))</f>
        <v>#REF!</v>
      </c>
      <c r="O847" s="86" t="e">
        <f>GDPdeflator!$C$38*INDEX(AdditionalVehs!$AA$46:$AK$91,MATCH($C847,AdditionalVehs!$C$46:$C$91,0),MATCH(O$7,AdditionalVehs!$AA$45:$AK$45,0))</f>
        <v>#REF!</v>
      </c>
      <c r="P847" s="87">
        <f t="shared" si="349"/>
        <v>0</v>
      </c>
      <c r="Q847" s="87" t="e">
        <f t="shared" si="350"/>
        <v>#REF!</v>
      </c>
      <c r="R847" s="87" t="e">
        <f t="shared" si="340"/>
        <v>#REF!</v>
      </c>
      <c r="S847" s="87" t="e">
        <f t="shared" si="341"/>
        <v>#REF!</v>
      </c>
      <c r="T847" s="87" t="e">
        <f t="shared" si="342"/>
        <v>#REF!</v>
      </c>
      <c r="U847" s="87" t="e">
        <f t="shared" si="343"/>
        <v>#REF!</v>
      </c>
      <c r="V847" s="87" t="e">
        <f t="shared" si="344"/>
        <v>#REF!</v>
      </c>
      <c r="W847" s="87" t="e">
        <f t="shared" si="345"/>
        <v>#REF!</v>
      </c>
      <c r="X847" s="87" t="e">
        <f t="shared" si="346"/>
        <v>#REF!</v>
      </c>
      <c r="Y847" s="87" t="e">
        <f t="shared" si="347"/>
        <v>#REF!</v>
      </c>
      <c r="Z847" s="87" t="e">
        <f t="shared" si="348"/>
        <v>#REF!</v>
      </c>
      <c r="AA847" s="40">
        <v>473</v>
      </c>
      <c r="AB847" s="89">
        <f>AA847*GDPdeflator!$C$25/$AI$18*10^3</f>
        <v>45.478712808157368</v>
      </c>
      <c r="AC847" s="90" t="e">
        <f>INDEX(AdditionalVehs!$E$46:$N$91,MATCH(C847,AdditionalVehs!$C$46:$C$91),MATCH(D847,AdditionalVehs!$E$45:$N$45))</f>
        <v>#REF!</v>
      </c>
      <c r="AD847" s="90" t="e">
        <f t="shared" si="339"/>
        <v>#REF!</v>
      </c>
      <c r="AE847" s="90" t="e">
        <f>INDEX(AdditionalVehs!$P$46:$Y$91,MATCH(C847,AdditionalVehs!$C$46:$C$91),MATCH(D847,AdditionalVehs!$AA$45:$AJ$45))</f>
        <v>#REF!</v>
      </c>
      <c r="AF847" s="90" t="e">
        <f t="shared" si="331"/>
        <v>#REF!</v>
      </c>
      <c r="AG847" s="90">
        <f>AdditionalVehs!$C$28</f>
        <v>0.26521554647620627</v>
      </c>
    </row>
    <row r="848" spans="1:33" x14ac:dyDescent="0.2">
      <c r="A848" s="92" t="s">
        <v>2549</v>
      </c>
      <c r="B848" s="248" t="s">
        <v>2550</v>
      </c>
      <c r="C848" s="40" t="s">
        <v>2536</v>
      </c>
      <c r="D848" s="40">
        <v>2045</v>
      </c>
      <c r="E848" s="86">
        <f>GDPdeflator!$C$32*INDEX(AdditionalVehs!$AA$46:$AK$91,MATCH($C848,AdditionalVehs!$C$46:$C$91,0),MATCH(E$7,AdditionalVehs!$AA$45:$AK$45,0))</f>
        <v>0</v>
      </c>
      <c r="F848" s="86" t="e">
        <f>GDPdeflator!$C$36*INDEX(AdditionalVehs!$AA$46:$AK$91,MATCH($C848,AdditionalVehs!$C$46:$C$91,0),MATCH(F$7,AdditionalVehs!$AA$45:$AK$45,0))</f>
        <v>#REF!</v>
      </c>
      <c r="G848" s="86" t="e">
        <f>GDPdeflator!$C$38*INDEX(AdditionalVehs!$AA$46:$AK$91,MATCH($C848,AdditionalVehs!$C$46:$C$91,0),MATCH(G$7,AdditionalVehs!$AA$45:$AK$45,0))</f>
        <v>#REF!</v>
      </c>
      <c r="H848" s="86" t="e">
        <f>GDPdeflator!$C$38*INDEX(AdditionalVehs!$AA$46:$AK$91,MATCH($C848,AdditionalVehs!$C$46:$C$91,0),MATCH(H$7,AdditionalVehs!$AA$45:$AK$45,0))</f>
        <v>#REF!</v>
      </c>
      <c r="I848" s="86" t="e">
        <f>GDPdeflator!$C$38*INDEX(AdditionalVehs!$AA$46:$AK$91,MATCH($C848,AdditionalVehs!$C$46:$C$91,0),MATCH(I$7,AdditionalVehs!$AA$45:$AK$45,0))</f>
        <v>#REF!</v>
      </c>
      <c r="J848" s="86" t="e">
        <f>GDPdeflator!$C$38*INDEX(AdditionalVehs!$AA$46:$AK$91,MATCH($C848,AdditionalVehs!$C$46:$C$91,0),MATCH(J$7,AdditionalVehs!$AA$45:$AK$45,0))</f>
        <v>#REF!</v>
      </c>
      <c r="K848" s="86" t="e">
        <f>GDPdeflator!$C$38*INDEX(AdditionalVehs!$AA$46:$AK$91,MATCH($C848,AdditionalVehs!$C$46:$C$91,0),MATCH(K$7,AdditionalVehs!$AA$45:$AK$45,0))</f>
        <v>#REF!</v>
      </c>
      <c r="L848" s="86" t="e">
        <f>GDPdeflator!$C$38*INDEX(AdditionalVehs!$AA$46:$AK$91,MATCH($C848,AdditionalVehs!$C$46:$C$91,0),MATCH(L$7,AdditionalVehs!$AA$45:$AK$45,0))</f>
        <v>#REF!</v>
      </c>
      <c r="M848" s="86" t="e">
        <f>GDPdeflator!$C$38*INDEX(AdditionalVehs!$AA$46:$AK$91,MATCH($C848,AdditionalVehs!$C$46:$C$91,0),MATCH(M$7,AdditionalVehs!$AA$45:$AK$45,0))</f>
        <v>#REF!</v>
      </c>
      <c r="N848" s="86" t="e">
        <f>GDPdeflator!$C$38*INDEX(AdditionalVehs!$AA$46:$AK$91,MATCH($C848,AdditionalVehs!$C$46:$C$91,0),MATCH(N$7,AdditionalVehs!$AA$45:$AK$45,0))</f>
        <v>#REF!</v>
      </c>
      <c r="O848" s="86" t="e">
        <f>GDPdeflator!$C$38*INDEX(AdditionalVehs!$AA$46:$AK$91,MATCH($C848,AdditionalVehs!$C$46:$C$91,0),MATCH(O$7,AdditionalVehs!$AA$45:$AK$45,0))</f>
        <v>#REF!</v>
      </c>
      <c r="P848" s="87">
        <f t="shared" si="349"/>
        <v>0</v>
      </c>
      <c r="Q848" s="87" t="e">
        <f t="shared" si="350"/>
        <v>#REF!</v>
      </c>
      <c r="R848" s="87" t="e">
        <f t="shared" si="340"/>
        <v>#REF!</v>
      </c>
      <c r="S848" s="87" t="e">
        <f t="shared" si="341"/>
        <v>#REF!</v>
      </c>
      <c r="T848" s="87" t="e">
        <f t="shared" si="342"/>
        <v>#REF!</v>
      </c>
      <c r="U848" s="87" t="e">
        <f t="shared" si="343"/>
        <v>#REF!</v>
      </c>
      <c r="V848" s="87" t="e">
        <f t="shared" si="344"/>
        <v>#REF!</v>
      </c>
      <c r="W848" s="87" t="e">
        <f t="shared" si="345"/>
        <v>#REF!</v>
      </c>
      <c r="X848" s="87" t="e">
        <f t="shared" si="346"/>
        <v>#REF!</v>
      </c>
      <c r="Y848" s="87" t="e">
        <f t="shared" si="347"/>
        <v>#REF!</v>
      </c>
      <c r="Z848" s="87" t="e">
        <f t="shared" si="348"/>
        <v>#REF!</v>
      </c>
      <c r="AA848" s="40">
        <v>473</v>
      </c>
      <c r="AB848" s="89">
        <f>AA848*GDPdeflator!$C$25/$AI$18*10^3</f>
        <v>45.478712808157368</v>
      </c>
      <c r="AC848" s="90" t="e">
        <f>INDEX(AdditionalVehs!$E$46:$N$91,MATCH(C848,AdditionalVehs!$C$46:$C$91),MATCH(D848,AdditionalVehs!$E$45:$N$45))</f>
        <v>#REF!</v>
      </c>
      <c r="AD848" s="90" t="e">
        <f t="shared" si="339"/>
        <v>#REF!</v>
      </c>
      <c r="AE848" s="90" t="e">
        <f>INDEX(AdditionalVehs!$P$46:$Y$91,MATCH(C848,AdditionalVehs!$C$46:$C$91),MATCH(D848,AdditionalVehs!$AA$45:$AJ$45))</f>
        <v>#REF!</v>
      </c>
      <c r="AF848" s="90" t="e">
        <f t="shared" ref="AF848:AF858" si="351">AE848/($AI$11*$AI$15*10 ^ 9)</f>
        <v>#REF!</v>
      </c>
      <c r="AG848" s="90">
        <f>AdditionalVehs!$C$28</f>
        <v>0.26521554647620627</v>
      </c>
    </row>
    <row r="849" spans="1:33" x14ac:dyDescent="0.2">
      <c r="A849" s="92" t="s">
        <v>2551</v>
      </c>
      <c r="B849" s="248" t="s">
        <v>2552</v>
      </c>
      <c r="C849" s="40" t="s">
        <v>2536</v>
      </c>
      <c r="D849" s="40">
        <v>2050</v>
      </c>
      <c r="E849" s="86">
        <f>GDPdeflator!$C$32*INDEX(AdditionalVehs!$AA$46:$AK$91,MATCH($C849,AdditionalVehs!$C$46:$C$91,0),MATCH(E$7,AdditionalVehs!$AA$45:$AK$45,0))</f>
        <v>0</v>
      </c>
      <c r="F849" s="86" t="e">
        <f>GDPdeflator!$C$36*INDEX(AdditionalVehs!$AA$46:$AK$91,MATCH($C849,AdditionalVehs!$C$46:$C$91,0),MATCH(F$7,AdditionalVehs!$AA$45:$AK$45,0))</f>
        <v>#REF!</v>
      </c>
      <c r="G849" s="86" t="e">
        <f>GDPdeflator!$C$38*INDEX(AdditionalVehs!$AA$46:$AK$91,MATCH($C849,AdditionalVehs!$C$46:$C$91,0),MATCH(G$7,AdditionalVehs!$AA$45:$AK$45,0))</f>
        <v>#REF!</v>
      </c>
      <c r="H849" s="86" t="e">
        <f>GDPdeflator!$C$38*INDEX(AdditionalVehs!$AA$46:$AK$91,MATCH($C849,AdditionalVehs!$C$46:$C$91,0),MATCH(H$7,AdditionalVehs!$AA$45:$AK$45,0))</f>
        <v>#REF!</v>
      </c>
      <c r="I849" s="86" t="e">
        <f>GDPdeflator!$C$38*INDEX(AdditionalVehs!$AA$46:$AK$91,MATCH($C849,AdditionalVehs!$C$46:$C$91,0),MATCH(I$7,AdditionalVehs!$AA$45:$AK$45,0))</f>
        <v>#REF!</v>
      </c>
      <c r="J849" s="86" t="e">
        <f>GDPdeflator!$C$38*INDEX(AdditionalVehs!$AA$46:$AK$91,MATCH($C849,AdditionalVehs!$C$46:$C$91,0),MATCH(J$7,AdditionalVehs!$AA$45:$AK$45,0))</f>
        <v>#REF!</v>
      </c>
      <c r="K849" s="86" t="e">
        <f>GDPdeflator!$C$38*INDEX(AdditionalVehs!$AA$46:$AK$91,MATCH($C849,AdditionalVehs!$C$46:$C$91,0),MATCH(K$7,AdditionalVehs!$AA$45:$AK$45,0))</f>
        <v>#REF!</v>
      </c>
      <c r="L849" s="86" t="e">
        <f>GDPdeflator!$C$38*INDEX(AdditionalVehs!$AA$46:$AK$91,MATCH($C849,AdditionalVehs!$C$46:$C$91,0),MATCH(L$7,AdditionalVehs!$AA$45:$AK$45,0))</f>
        <v>#REF!</v>
      </c>
      <c r="M849" s="86" t="e">
        <f>GDPdeflator!$C$38*INDEX(AdditionalVehs!$AA$46:$AK$91,MATCH($C849,AdditionalVehs!$C$46:$C$91,0),MATCH(M$7,AdditionalVehs!$AA$45:$AK$45,0))</f>
        <v>#REF!</v>
      </c>
      <c r="N849" s="86" t="e">
        <f>GDPdeflator!$C$38*INDEX(AdditionalVehs!$AA$46:$AK$91,MATCH($C849,AdditionalVehs!$C$46:$C$91,0),MATCH(N$7,AdditionalVehs!$AA$45:$AK$45,0))</f>
        <v>#REF!</v>
      </c>
      <c r="O849" s="86" t="e">
        <f>GDPdeflator!$C$38*INDEX(AdditionalVehs!$AA$46:$AK$91,MATCH($C849,AdditionalVehs!$C$46:$C$91,0),MATCH(O$7,AdditionalVehs!$AA$45:$AK$45,0))</f>
        <v>#REF!</v>
      </c>
      <c r="P849" s="87">
        <f t="shared" si="349"/>
        <v>0</v>
      </c>
      <c r="Q849" s="87" t="e">
        <f t="shared" si="350"/>
        <v>#REF!</v>
      </c>
      <c r="R849" s="87" t="e">
        <f t="shared" si="340"/>
        <v>#REF!</v>
      </c>
      <c r="S849" s="87" t="e">
        <f t="shared" si="341"/>
        <v>#REF!</v>
      </c>
      <c r="T849" s="87" t="e">
        <f t="shared" si="342"/>
        <v>#REF!</v>
      </c>
      <c r="U849" s="87" t="e">
        <f t="shared" si="343"/>
        <v>#REF!</v>
      </c>
      <c r="V849" s="87" t="e">
        <f t="shared" si="344"/>
        <v>#REF!</v>
      </c>
      <c r="W849" s="87" t="e">
        <f t="shared" si="345"/>
        <v>#REF!</v>
      </c>
      <c r="X849" s="87" t="e">
        <f t="shared" si="346"/>
        <v>#REF!</v>
      </c>
      <c r="Y849" s="87" t="e">
        <f t="shared" si="347"/>
        <v>#REF!</v>
      </c>
      <c r="Z849" s="87" t="e">
        <f t="shared" si="348"/>
        <v>#REF!</v>
      </c>
      <c r="AA849" s="40">
        <v>473</v>
      </c>
      <c r="AB849" s="89">
        <f>AA849*GDPdeflator!$C$25/$AI$18*10^3</f>
        <v>45.478712808157368</v>
      </c>
      <c r="AC849" s="90" t="e">
        <f>INDEX(AdditionalVehs!$E$46:$N$91,MATCH(C849,AdditionalVehs!$C$46:$C$91),MATCH(D849,AdditionalVehs!$E$45:$N$45))</f>
        <v>#REF!</v>
      </c>
      <c r="AD849" s="90" t="e">
        <f t="shared" si="339"/>
        <v>#REF!</v>
      </c>
      <c r="AE849" s="90" t="e">
        <f>INDEX(AdditionalVehs!$P$46:$Y$91,MATCH(C849,AdditionalVehs!$C$46:$C$91),MATCH(D849,AdditionalVehs!$AA$45:$AJ$45))</f>
        <v>#REF!</v>
      </c>
      <c r="AF849" s="90" t="e">
        <f t="shared" si="351"/>
        <v>#REF!</v>
      </c>
      <c r="AG849" s="90">
        <f>AdditionalVehs!$C$28</f>
        <v>0.26521554647620627</v>
      </c>
    </row>
    <row r="850" spans="1:33" x14ac:dyDescent="0.2">
      <c r="A850" s="92" t="s">
        <v>2553</v>
      </c>
      <c r="B850" s="248" t="s">
        <v>2554</v>
      </c>
      <c r="C850" s="40" t="s">
        <v>2555</v>
      </c>
      <c r="D850" s="40">
        <v>2010</v>
      </c>
      <c r="E850" s="86">
        <f>GDPdeflator!$C$32*INDEX(AdditionalVehs!$AA$46:$AK$91,MATCH($C850,AdditionalVehs!$C$46:$C$91,0),MATCH(E$7,AdditionalVehs!$AA$45:$AK$45,0))</f>
        <v>0</v>
      </c>
      <c r="F850" s="86" t="e">
        <f>GDPdeflator!$C$36*INDEX(AdditionalVehs!$AA$46:$AK$91,MATCH($C850,AdditionalVehs!$C$46:$C$91,0),MATCH(F$7,AdditionalVehs!$AA$45:$AK$45,0))</f>
        <v>#REF!</v>
      </c>
      <c r="G850" s="86" t="e">
        <f>GDPdeflator!$C$38*INDEX(AdditionalVehs!$AA$46:$AK$91,MATCH($C850,AdditionalVehs!$C$46:$C$91,0),MATCH(G$7,AdditionalVehs!$AA$45:$AK$45,0))</f>
        <v>#REF!</v>
      </c>
      <c r="H850" s="86" t="e">
        <f>GDPdeflator!$C$38*INDEX(AdditionalVehs!$AA$46:$AK$91,MATCH($C850,AdditionalVehs!$C$46:$C$91,0),MATCH(H$7,AdditionalVehs!$AA$45:$AK$45,0))</f>
        <v>#REF!</v>
      </c>
      <c r="I850" s="86" t="e">
        <f>GDPdeflator!$C$38*INDEX(AdditionalVehs!$AA$46:$AK$91,MATCH($C850,AdditionalVehs!$C$46:$C$91,0),MATCH(I$7,AdditionalVehs!$AA$45:$AK$45,0))</f>
        <v>#REF!</v>
      </c>
      <c r="J850" s="86" t="e">
        <f>GDPdeflator!$C$38*INDEX(AdditionalVehs!$AA$46:$AK$91,MATCH($C850,AdditionalVehs!$C$46:$C$91,0),MATCH(J$7,AdditionalVehs!$AA$45:$AK$45,0))</f>
        <v>#REF!</v>
      </c>
      <c r="K850" s="86" t="e">
        <f>GDPdeflator!$C$38*INDEX(AdditionalVehs!$AA$46:$AK$91,MATCH($C850,AdditionalVehs!$C$46:$C$91,0),MATCH(K$7,AdditionalVehs!$AA$45:$AK$45,0))</f>
        <v>#REF!</v>
      </c>
      <c r="L850" s="86" t="e">
        <f>GDPdeflator!$C$38*INDEX(AdditionalVehs!$AA$46:$AK$91,MATCH($C850,AdditionalVehs!$C$46:$C$91,0),MATCH(L$7,AdditionalVehs!$AA$45:$AK$45,0))</f>
        <v>#REF!</v>
      </c>
      <c r="M850" s="86" t="e">
        <f>GDPdeflator!$C$38*INDEX(AdditionalVehs!$AA$46:$AK$91,MATCH($C850,AdditionalVehs!$C$46:$C$91,0),MATCH(M$7,AdditionalVehs!$AA$45:$AK$45,0))</f>
        <v>#REF!</v>
      </c>
      <c r="N850" s="86" t="e">
        <f>GDPdeflator!$C$38*INDEX(AdditionalVehs!$AA$46:$AK$91,MATCH($C850,AdditionalVehs!$C$46:$C$91,0),MATCH(N$7,AdditionalVehs!$AA$45:$AK$45,0))</f>
        <v>#REF!</v>
      </c>
      <c r="O850" s="86" t="e">
        <f>GDPdeflator!$C$38*INDEX(AdditionalVehs!$AA$46:$AK$91,MATCH($C850,AdditionalVehs!$C$46:$C$91,0),MATCH(O$7,AdditionalVehs!$AA$45:$AK$45,0))</f>
        <v>#REF!</v>
      </c>
      <c r="P850" s="87">
        <f>E850/$AI$18*10^6</f>
        <v>0</v>
      </c>
      <c r="Q850" s="87" t="e">
        <f t="shared" si="350"/>
        <v>#REF!</v>
      </c>
      <c r="R850" s="87" t="e">
        <f t="shared" si="340"/>
        <v>#REF!</v>
      </c>
      <c r="S850" s="87" t="e">
        <f t="shared" si="341"/>
        <v>#REF!</v>
      </c>
      <c r="T850" s="87" t="e">
        <f t="shared" si="342"/>
        <v>#REF!</v>
      </c>
      <c r="U850" s="87" t="e">
        <f t="shared" si="343"/>
        <v>#REF!</v>
      </c>
      <c r="V850" s="87" t="e">
        <f t="shared" si="344"/>
        <v>#REF!</v>
      </c>
      <c r="W850" s="87" t="e">
        <f t="shared" si="345"/>
        <v>#REF!</v>
      </c>
      <c r="X850" s="87" t="e">
        <f t="shared" si="346"/>
        <v>#REF!</v>
      </c>
      <c r="Y850" s="87" t="e">
        <f t="shared" si="347"/>
        <v>#REF!</v>
      </c>
      <c r="Z850" s="87" t="e">
        <f t="shared" si="348"/>
        <v>#REF!</v>
      </c>
      <c r="AA850" s="40">
        <v>473</v>
      </c>
      <c r="AB850" s="89">
        <f>AA850*GDPdeflator!$C$25/$AI$18*10^3</f>
        <v>45.478712808157368</v>
      </c>
      <c r="AC850" s="90" t="e">
        <f>INDEX(AdditionalVehs!$E$46:$N$91,MATCH(C850,AdditionalVehs!$C$46:$C$91),MATCH(D850,AdditionalVehs!$E$45:$N$45))</f>
        <v>#REF!</v>
      </c>
      <c r="AD850" s="90" t="e">
        <f t="shared" si="339"/>
        <v>#REF!</v>
      </c>
      <c r="AE850" s="90" t="e">
        <f>INDEX(AdditionalVehs!$P$46:$Y$91,MATCH(C850,AdditionalVehs!$C$46:$C$91),MATCH(D850,AdditionalVehs!$AA$45:$AJ$45))</f>
        <v>#REF!</v>
      </c>
      <c r="AF850" s="90" t="e">
        <f t="shared" si="351"/>
        <v>#REF!</v>
      </c>
      <c r="AG850" s="90">
        <f>AdditionalVehs!$C$28</f>
        <v>0.26521554647620627</v>
      </c>
    </row>
    <row r="851" spans="1:33" x14ac:dyDescent="0.2">
      <c r="A851" s="92" t="s">
        <v>2556</v>
      </c>
      <c r="B851" s="248" t="s">
        <v>2557</v>
      </c>
      <c r="C851" s="40" t="s">
        <v>2555</v>
      </c>
      <c r="D851" s="40">
        <v>2015</v>
      </c>
      <c r="E851" s="86">
        <f>GDPdeflator!$C$32*INDEX(AdditionalVehs!$AA$46:$AK$91,MATCH($C851,AdditionalVehs!$C$46:$C$91,0),MATCH(E$7,AdditionalVehs!$AA$45:$AK$45,0))</f>
        <v>0</v>
      </c>
      <c r="F851" s="86" t="e">
        <f>GDPdeflator!$C$36*INDEX(AdditionalVehs!$AA$46:$AK$91,MATCH($C851,AdditionalVehs!$C$46:$C$91,0),MATCH(F$7,AdditionalVehs!$AA$45:$AK$45,0))</f>
        <v>#REF!</v>
      </c>
      <c r="G851" s="86" t="e">
        <f>GDPdeflator!$C$38*INDEX(AdditionalVehs!$AA$46:$AK$91,MATCH($C851,AdditionalVehs!$C$46:$C$91,0),MATCH(G$7,AdditionalVehs!$AA$45:$AK$45,0))</f>
        <v>#REF!</v>
      </c>
      <c r="H851" s="86" t="e">
        <f>GDPdeflator!$C$38*INDEX(AdditionalVehs!$AA$46:$AK$91,MATCH($C851,AdditionalVehs!$C$46:$C$91,0),MATCH(H$7,AdditionalVehs!$AA$45:$AK$45,0))</f>
        <v>#REF!</v>
      </c>
      <c r="I851" s="86" t="e">
        <f>GDPdeflator!$C$38*INDEX(AdditionalVehs!$AA$46:$AK$91,MATCH($C851,AdditionalVehs!$C$46:$C$91,0),MATCH(I$7,AdditionalVehs!$AA$45:$AK$45,0))</f>
        <v>#REF!</v>
      </c>
      <c r="J851" s="86" t="e">
        <f>GDPdeflator!$C$38*INDEX(AdditionalVehs!$AA$46:$AK$91,MATCH($C851,AdditionalVehs!$C$46:$C$91,0),MATCH(J$7,AdditionalVehs!$AA$45:$AK$45,0))</f>
        <v>#REF!</v>
      </c>
      <c r="K851" s="86" t="e">
        <f>GDPdeflator!$C$38*INDEX(AdditionalVehs!$AA$46:$AK$91,MATCH($C851,AdditionalVehs!$C$46:$C$91,0),MATCH(K$7,AdditionalVehs!$AA$45:$AK$45,0))</f>
        <v>#REF!</v>
      </c>
      <c r="L851" s="86" t="e">
        <f>GDPdeflator!$C$38*INDEX(AdditionalVehs!$AA$46:$AK$91,MATCH($C851,AdditionalVehs!$C$46:$C$91,0),MATCH(L$7,AdditionalVehs!$AA$45:$AK$45,0))</f>
        <v>#REF!</v>
      </c>
      <c r="M851" s="86" t="e">
        <f>GDPdeflator!$C$38*INDEX(AdditionalVehs!$AA$46:$AK$91,MATCH($C851,AdditionalVehs!$C$46:$C$91,0),MATCH(M$7,AdditionalVehs!$AA$45:$AK$45,0))</f>
        <v>#REF!</v>
      </c>
      <c r="N851" s="86" t="e">
        <f>GDPdeflator!$C$38*INDEX(AdditionalVehs!$AA$46:$AK$91,MATCH($C851,AdditionalVehs!$C$46:$C$91,0),MATCH(N$7,AdditionalVehs!$AA$45:$AK$45,0))</f>
        <v>#REF!</v>
      </c>
      <c r="O851" s="86" t="e">
        <f>GDPdeflator!$C$38*INDEX(AdditionalVehs!$AA$46:$AK$91,MATCH($C851,AdditionalVehs!$C$46:$C$91,0),MATCH(O$7,AdditionalVehs!$AA$45:$AK$45,0))</f>
        <v>#REF!</v>
      </c>
      <c r="P851" s="87">
        <f t="shared" ref="P851:P858" si="352">E851/$AI$18*10^6</f>
        <v>0</v>
      </c>
      <c r="Q851" s="87" t="e">
        <f t="shared" si="350"/>
        <v>#REF!</v>
      </c>
      <c r="R851" s="87" t="e">
        <f t="shared" si="340"/>
        <v>#REF!</v>
      </c>
      <c r="S851" s="87" t="e">
        <f t="shared" si="341"/>
        <v>#REF!</v>
      </c>
      <c r="T851" s="87" t="e">
        <f t="shared" si="342"/>
        <v>#REF!</v>
      </c>
      <c r="U851" s="87" t="e">
        <f t="shared" si="343"/>
        <v>#REF!</v>
      </c>
      <c r="V851" s="87" t="e">
        <f t="shared" si="344"/>
        <v>#REF!</v>
      </c>
      <c r="W851" s="87" t="e">
        <f t="shared" si="345"/>
        <v>#REF!</v>
      </c>
      <c r="X851" s="87" t="e">
        <f t="shared" si="346"/>
        <v>#REF!</v>
      </c>
      <c r="Y851" s="87" t="e">
        <f t="shared" si="347"/>
        <v>#REF!</v>
      </c>
      <c r="Z851" s="87" t="e">
        <f t="shared" si="348"/>
        <v>#REF!</v>
      </c>
      <c r="AA851" s="40">
        <v>473</v>
      </c>
      <c r="AB851" s="89">
        <f>AA851*GDPdeflator!$C$25/$AI$18*10^3</f>
        <v>45.478712808157368</v>
      </c>
      <c r="AC851" s="90" t="e">
        <f>INDEX(AdditionalVehs!$E$46:$N$91,MATCH(C851,AdditionalVehs!$C$46:$C$91),MATCH(D851,AdditionalVehs!$E$45:$N$45))</f>
        <v>#REF!</v>
      </c>
      <c r="AD851" s="90" t="e">
        <f t="shared" si="339"/>
        <v>#REF!</v>
      </c>
      <c r="AE851" s="90" t="e">
        <f>INDEX(AdditionalVehs!$P$46:$Y$91,MATCH(C851,AdditionalVehs!$C$46:$C$91),MATCH(D851,AdditionalVehs!$AA$45:$AJ$45))</f>
        <v>#REF!</v>
      </c>
      <c r="AF851" s="90" t="e">
        <f t="shared" si="351"/>
        <v>#REF!</v>
      </c>
      <c r="AG851" s="90">
        <f>AdditionalVehs!$C$28</f>
        <v>0.26521554647620627</v>
      </c>
    </row>
    <row r="852" spans="1:33" x14ac:dyDescent="0.2">
      <c r="A852" s="92" t="s">
        <v>2558</v>
      </c>
      <c r="B852" s="248" t="s">
        <v>2559</v>
      </c>
      <c r="C852" s="40" t="s">
        <v>2555</v>
      </c>
      <c r="D852" s="40">
        <v>2020</v>
      </c>
      <c r="E852" s="86">
        <f>GDPdeflator!$C$32*INDEX(AdditionalVehs!$AA$46:$AK$91,MATCH($C852,AdditionalVehs!$C$46:$C$91,0),MATCH(E$7,AdditionalVehs!$AA$45:$AK$45,0))</f>
        <v>0</v>
      </c>
      <c r="F852" s="86" t="e">
        <f>GDPdeflator!$C$36*INDEX(AdditionalVehs!$AA$46:$AK$91,MATCH($C852,AdditionalVehs!$C$46:$C$91,0),MATCH(F$7,AdditionalVehs!$AA$45:$AK$45,0))</f>
        <v>#REF!</v>
      </c>
      <c r="G852" s="86" t="e">
        <f>GDPdeflator!$C$38*INDEX(AdditionalVehs!$AA$46:$AK$91,MATCH($C852,AdditionalVehs!$C$46:$C$91,0),MATCH(G$7,AdditionalVehs!$AA$45:$AK$45,0))</f>
        <v>#REF!</v>
      </c>
      <c r="H852" s="86" t="e">
        <f>GDPdeflator!$C$38*INDEX(AdditionalVehs!$AA$46:$AK$91,MATCH($C852,AdditionalVehs!$C$46:$C$91,0),MATCH(H$7,AdditionalVehs!$AA$45:$AK$45,0))</f>
        <v>#REF!</v>
      </c>
      <c r="I852" s="86" t="e">
        <f>GDPdeflator!$C$38*INDEX(AdditionalVehs!$AA$46:$AK$91,MATCH($C852,AdditionalVehs!$C$46:$C$91,0),MATCH(I$7,AdditionalVehs!$AA$45:$AK$45,0))</f>
        <v>#REF!</v>
      </c>
      <c r="J852" s="86" t="e">
        <f>GDPdeflator!$C$38*INDEX(AdditionalVehs!$AA$46:$AK$91,MATCH($C852,AdditionalVehs!$C$46:$C$91,0),MATCH(J$7,AdditionalVehs!$AA$45:$AK$45,0))</f>
        <v>#REF!</v>
      </c>
      <c r="K852" s="86" t="e">
        <f>GDPdeflator!$C$38*INDEX(AdditionalVehs!$AA$46:$AK$91,MATCH($C852,AdditionalVehs!$C$46:$C$91,0),MATCH(K$7,AdditionalVehs!$AA$45:$AK$45,0))</f>
        <v>#REF!</v>
      </c>
      <c r="L852" s="86" t="e">
        <f>GDPdeflator!$C$38*INDEX(AdditionalVehs!$AA$46:$AK$91,MATCH($C852,AdditionalVehs!$C$46:$C$91,0),MATCH(L$7,AdditionalVehs!$AA$45:$AK$45,0))</f>
        <v>#REF!</v>
      </c>
      <c r="M852" s="86" t="e">
        <f>GDPdeflator!$C$38*INDEX(AdditionalVehs!$AA$46:$AK$91,MATCH($C852,AdditionalVehs!$C$46:$C$91,0),MATCH(M$7,AdditionalVehs!$AA$45:$AK$45,0))</f>
        <v>#REF!</v>
      </c>
      <c r="N852" s="86" t="e">
        <f>GDPdeflator!$C$38*INDEX(AdditionalVehs!$AA$46:$AK$91,MATCH($C852,AdditionalVehs!$C$46:$C$91,0),MATCH(N$7,AdditionalVehs!$AA$45:$AK$45,0))</f>
        <v>#REF!</v>
      </c>
      <c r="O852" s="86" t="e">
        <f>GDPdeflator!$C$38*INDEX(AdditionalVehs!$AA$46:$AK$91,MATCH($C852,AdditionalVehs!$C$46:$C$91,0),MATCH(O$7,AdditionalVehs!$AA$45:$AK$45,0))</f>
        <v>#REF!</v>
      </c>
      <c r="P852" s="87">
        <f t="shared" si="352"/>
        <v>0</v>
      </c>
      <c r="Q852" s="87" t="e">
        <f t="shared" si="350"/>
        <v>#REF!</v>
      </c>
      <c r="R852" s="87" t="e">
        <f t="shared" si="340"/>
        <v>#REF!</v>
      </c>
      <c r="S852" s="87" t="e">
        <f t="shared" si="341"/>
        <v>#REF!</v>
      </c>
      <c r="T852" s="87" t="e">
        <f t="shared" si="342"/>
        <v>#REF!</v>
      </c>
      <c r="U852" s="87" t="e">
        <f t="shared" si="343"/>
        <v>#REF!</v>
      </c>
      <c r="V852" s="87" t="e">
        <f t="shared" si="344"/>
        <v>#REF!</v>
      </c>
      <c r="W852" s="87" t="e">
        <f t="shared" si="345"/>
        <v>#REF!</v>
      </c>
      <c r="X852" s="87" t="e">
        <f t="shared" si="346"/>
        <v>#REF!</v>
      </c>
      <c r="Y852" s="87" t="e">
        <f t="shared" si="347"/>
        <v>#REF!</v>
      </c>
      <c r="Z852" s="87" t="e">
        <f t="shared" si="348"/>
        <v>#REF!</v>
      </c>
      <c r="AA852" s="40">
        <v>473</v>
      </c>
      <c r="AB852" s="89">
        <f>AA852*GDPdeflator!$C$25/$AI$18*10^3</f>
        <v>45.478712808157368</v>
      </c>
      <c r="AC852" s="90" t="e">
        <f>INDEX(AdditionalVehs!$E$46:$N$91,MATCH(C852,AdditionalVehs!$C$46:$C$91),MATCH(D852,AdditionalVehs!$E$45:$N$45))</f>
        <v>#REF!</v>
      </c>
      <c r="AD852" s="90" t="e">
        <f t="shared" si="339"/>
        <v>#REF!</v>
      </c>
      <c r="AE852" s="90" t="e">
        <f>INDEX(AdditionalVehs!$P$46:$Y$91,MATCH(C852,AdditionalVehs!$C$46:$C$91),MATCH(D852,AdditionalVehs!$AA$45:$AJ$45))</f>
        <v>#REF!</v>
      </c>
      <c r="AF852" s="90" t="e">
        <f t="shared" si="351"/>
        <v>#REF!</v>
      </c>
      <c r="AG852" s="90">
        <f>AdditionalVehs!$C$28</f>
        <v>0.26521554647620627</v>
      </c>
    </row>
    <row r="853" spans="1:33" x14ac:dyDescent="0.2">
      <c r="A853" s="92" t="s">
        <v>2560</v>
      </c>
      <c r="B853" s="248" t="s">
        <v>2561</v>
      </c>
      <c r="C853" s="40" t="s">
        <v>2555</v>
      </c>
      <c r="D853" s="40">
        <v>2025</v>
      </c>
      <c r="E853" s="86">
        <f>GDPdeflator!$C$32*INDEX(AdditionalVehs!$AA$46:$AK$91,MATCH($C853,AdditionalVehs!$C$46:$C$91,0),MATCH(E$7,AdditionalVehs!$AA$45:$AK$45,0))</f>
        <v>0</v>
      </c>
      <c r="F853" s="86" t="e">
        <f>GDPdeflator!$C$36*INDEX(AdditionalVehs!$AA$46:$AK$91,MATCH($C853,AdditionalVehs!$C$46:$C$91,0),MATCH(F$7,AdditionalVehs!$AA$45:$AK$45,0))</f>
        <v>#REF!</v>
      </c>
      <c r="G853" s="86" t="e">
        <f>GDPdeflator!$C$38*INDEX(AdditionalVehs!$AA$46:$AK$91,MATCH($C853,AdditionalVehs!$C$46:$C$91,0),MATCH(G$7,AdditionalVehs!$AA$45:$AK$45,0))</f>
        <v>#REF!</v>
      </c>
      <c r="H853" s="86" t="e">
        <f>GDPdeflator!$C$38*INDEX(AdditionalVehs!$AA$46:$AK$91,MATCH($C853,AdditionalVehs!$C$46:$C$91,0),MATCH(H$7,AdditionalVehs!$AA$45:$AK$45,0))</f>
        <v>#REF!</v>
      </c>
      <c r="I853" s="86" t="e">
        <f>GDPdeflator!$C$38*INDEX(AdditionalVehs!$AA$46:$AK$91,MATCH($C853,AdditionalVehs!$C$46:$C$91,0),MATCH(I$7,AdditionalVehs!$AA$45:$AK$45,0))</f>
        <v>#REF!</v>
      </c>
      <c r="J853" s="86" t="e">
        <f>GDPdeflator!$C$38*INDEX(AdditionalVehs!$AA$46:$AK$91,MATCH($C853,AdditionalVehs!$C$46:$C$91,0),MATCH(J$7,AdditionalVehs!$AA$45:$AK$45,0))</f>
        <v>#REF!</v>
      </c>
      <c r="K853" s="86" t="e">
        <f>GDPdeflator!$C$38*INDEX(AdditionalVehs!$AA$46:$AK$91,MATCH($C853,AdditionalVehs!$C$46:$C$91,0),MATCH(K$7,AdditionalVehs!$AA$45:$AK$45,0))</f>
        <v>#REF!</v>
      </c>
      <c r="L853" s="86" t="e">
        <f>GDPdeflator!$C$38*INDEX(AdditionalVehs!$AA$46:$AK$91,MATCH($C853,AdditionalVehs!$C$46:$C$91,0),MATCH(L$7,AdditionalVehs!$AA$45:$AK$45,0))</f>
        <v>#REF!</v>
      </c>
      <c r="M853" s="86" t="e">
        <f>GDPdeflator!$C$38*INDEX(AdditionalVehs!$AA$46:$AK$91,MATCH($C853,AdditionalVehs!$C$46:$C$91,0),MATCH(M$7,AdditionalVehs!$AA$45:$AK$45,0))</f>
        <v>#REF!</v>
      </c>
      <c r="N853" s="86" t="e">
        <f>GDPdeflator!$C$38*INDEX(AdditionalVehs!$AA$46:$AK$91,MATCH($C853,AdditionalVehs!$C$46:$C$91,0),MATCH(N$7,AdditionalVehs!$AA$45:$AK$45,0))</f>
        <v>#REF!</v>
      </c>
      <c r="O853" s="86" t="e">
        <f>GDPdeflator!$C$38*INDEX(AdditionalVehs!$AA$46:$AK$91,MATCH($C853,AdditionalVehs!$C$46:$C$91,0),MATCH(O$7,AdditionalVehs!$AA$45:$AK$45,0))</f>
        <v>#REF!</v>
      </c>
      <c r="P853" s="87">
        <f t="shared" si="352"/>
        <v>0</v>
      </c>
      <c r="Q853" s="87" t="e">
        <f t="shared" si="350"/>
        <v>#REF!</v>
      </c>
      <c r="R853" s="87" t="e">
        <f t="shared" si="340"/>
        <v>#REF!</v>
      </c>
      <c r="S853" s="87" t="e">
        <f t="shared" si="341"/>
        <v>#REF!</v>
      </c>
      <c r="T853" s="87" t="e">
        <f t="shared" si="342"/>
        <v>#REF!</v>
      </c>
      <c r="U853" s="87" t="e">
        <f t="shared" si="343"/>
        <v>#REF!</v>
      </c>
      <c r="V853" s="87" t="e">
        <f t="shared" si="344"/>
        <v>#REF!</v>
      </c>
      <c r="W853" s="87" t="e">
        <f t="shared" si="345"/>
        <v>#REF!</v>
      </c>
      <c r="X853" s="87" t="e">
        <f t="shared" si="346"/>
        <v>#REF!</v>
      </c>
      <c r="Y853" s="87" t="e">
        <f t="shared" si="347"/>
        <v>#REF!</v>
      </c>
      <c r="Z853" s="87" t="e">
        <f t="shared" si="348"/>
        <v>#REF!</v>
      </c>
      <c r="AA853" s="40">
        <v>473</v>
      </c>
      <c r="AB853" s="89">
        <f>AA853*GDPdeflator!$C$25/$AI$18*10^3</f>
        <v>45.478712808157368</v>
      </c>
      <c r="AC853" s="90" t="e">
        <f>INDEX(AdditionalVehs!$E$46:$N$91,MATCH(C853,AdditionalVehs!$C$46:$C$91),MATCH(D853,AdditionalVehs!$E$45:$N$45))</f>
        <v>#REF!</v>
      </c>
      <c r="AD853" s="90" t="e">
        <f t="shared" si="339"/>
        <v>#REF!</v>
      </c>
      <c r="AE853" s="90" t="e">
        <f>INDEX(AdditionalVehs!$P$46:$Y$91,MATCH(C853,AdditionalVehs!$C$46:$C$91),MATCH(D853,AdditionalVehs!$AA$45:$AJ$45))</f>
        <v>#REF!</v>
      </c>
      <c r="AF853" s="90" t="e">
        <f t="shared" si="351"/>
        <v>#REF!</v>
      </c>
      <c r="AG853" s="90">
        <f>AdditionalVehs!$C$28</f>
        <v>0.26521554647620627</v>
      </c>
    </row>
    <row r="854" spans="1:33" x14ac:dyDescent="0.2">
      <c r="A854" s="92" t="s">
        <v>2562</v>
      </c>
      <c r="B854" s="248" t="s">
        <v>2563</v>
      </c>
      <c r="C854" s="40" t="s">
        <v>2555</v>
      </c>
      <c r="D854" s="40">
        <v>2030</v>
      </c>
      <c r="E854" s="86">
        <f>GDPdeflator!$C$32*INDEX(AdditionalVehs!$AA$46:$AK$91,MATCH($C854,AdditionalVehs!$C$46:$C$91,0),MATCH(E$7,AdditionalVehs!$AA$45:$AK$45,0))</f>
        <v>0</v>
      </c>
      <c r="F854" s="86" t="e">
        <f>GDPdeflator!$C$36*INDEX(AdditionalVehs!$AA$46:$AK$91,MATCH($C854,AdditionalVehs!$C$46:$C$91,0),MATCH(F$7,AdditionalVehs!$AA$45:$AK$45,0))</f>
        <v>#REF!</v>
      </c>
      <c r="G854" s="86" t="e">
        <f>GDPdeflator!$C$38*INDEX(AdditionalVehs!$AA$46:$AK$91,MATCH($C854,AdditionalVehs!$C$46:$C$91,0),MATCH(G$7,AdditionalVehs!$AA$45:$AK$45,0))</f>
        <v>#REF!</v>
      </c>
      <c r="H854" s="86" t="e">
        <f>GDPdeflator!$C$38*INDEX(AdditionalVehs!$AA$46:$AK$91,MATCH($C854,AdditionalVehs!$C$46:$C$91,0),MATCH(H$7,AdditionalVehs!$AA$45:$AK$45,0))</f>
        <v>#REF!</v>
      </c>
      <c r="I854" s="86" t="e">
        <f>GDPdeflator!$C$38*INDEX(AdditionalVehs!$AA$46:$AK$91,MATCH($C854,AdditionalVehs!$C$46:$C$91,0),MATCH(I$7,AdditionalVehs!$AA$45:$AK$45,0))</f>
        <v>#REF!</v>
      </c>
      <c r="J854" s="86" t="e">
        <f>GDPdeflator!$C$38*INDEX(AdditionalVehs!$AA$46:$AK$91,MATCH($C854,AdditionalVehs!$C$46:$C$91,0),MATCH(J$7,AdditionalVehs!$AA$45:$AK$45,0))</f>
        <v>#REF!</v>
      </c>
      <c r="K854" s="86" t="e">
        <f>GDPdeflator!$C$38*INDEX(AdditionalVehs!$AA$46:$AK$91,MATCH($C854,AdditionalVehs!$C$46:$C$91,0),MATCH(K$7,AdditionalVehs!$AA$45:$AK$45,0))</f>
        <v>#REF!</v>
      </c>
      <c r="L854" s="86" t="e">
        <f>GDPdeflator!$C$38*INDEX(AdditionalVehs!$AA$46:$AK$91,MATCH($C854,AdditionalVehs!$C$46:$C$91,0),MATCH(L$7,AdditionalVehs!$AA$45:$AK$45,0))</f>
        <v>#REF!</v>
      </c>
      <c r="M854" s="86" t="e">
        <f>GDPdeflator!$C$38*INDEX(AdditionalVehs!$AA$46:$AK$91,MATCH($C854,AdditionalVehs!$C$46:$C$91,0),MATCH(M$7,AdditionalVehs!$AA$45:$AK$45,0))</f>
        <v>#REF!</v>
      </c>
      <c r="N854" s="86" t="e">
        <f>GDPdeflator!$C$38*INDEX(AdditionalVehs!$AA$46:$AK$91,MATCH($C854,AdditionalVehs!$C$46:$C$91,0),MATCH(N$7,AdditionalVehs!$AA$45:$AK$45,0))</f>
        <v>#REF!</v>
      </c>
      <c r="O854" s="86" t="e">
        <f>GDPdeflator!$C$38*INDEX(AdditionalVehs!$AA$46:$AK$91,MATCH($C854,AdditionalVehs!$C$46:$C$91,0),MATCH(O$7,AdditionalVehs!$AA$45:$AK$45,0))</f>
        <v>#REF!</v>
      </c>
      <c r="P854" s="87">
        <f t="shared" si="352"/>
        <v>0</v>
      </c>
      <c r="Q854" s="87" t="e">
        <f t="shared" si="350"/>
        <v>#REF!</v>
      </c>
      <c r="R854" s="87" t="e">
        <f t="shared" si="340"/>
        <v>#REF!</v>
      </c>
      <c r="S854" s="87" t="e">
        <f t="shared" si="341"/>
        <v>#REF!</v>
      </c>
      <c r="T854" s="87" t="e">
        <f t="shared" si="342"/>
        <v>#REF!</v>
      </c>
      <c r="U854" s="87" t="e">
        <f t="shared" si="343"/>
        <v>#REF!</v>
      </c>
      <c r="V854" s="87" t="e">
        <f t="shared" si="344"/>
        <v>#REF!</v>
      </c>
      <c r="W854" s="87" t="e">
        <f t="shared" si="345"/>
        <v>#REF!</v>
      </c>
      <c r="X854" s="87" t="e">
        <f t="shared" si="346"/>
        <v>#REF!</v>
      </c>
      <c r="Y854" s="87" t="e">
        <f t="shared" si="347"/>
        <v>#REF!</v>
      </c>
      <c r="Z854" s="87" t="e">
        <f t="shared" si="348"/>
        <v>#REF!</v>
      </c>
      <c r="AA854" s="40">
        <v>473</v>
      </c>
      <c r="AB854" s="89">
        <f>AA854*GDPdeflator!$C$25/$AI$18*10^3</f>
        <v>45.478712808157368</v>
      </c>
      <c r="AC854" s="90" t="e">
        <f>INDEX(AdditionalVehs!$E$46:$N$91,MATCH(C854,AdditionalVehs!$C$46:$C$91),MATCH(D854,AdditionalVehs!$E$45:$N$45))</f>
        <v>#REF!</v>
      </c>
      <c r="AD854" s="90" t="e">
        <f t="shared" si="339"/>
        <v>#REF!</v>
      </c>
      <c r="AE854" s="90" t="e">
        <f>INDEX(AdditionalVehs!$P$46:$Y$91,MATCH(C854,AdditionalVehs!$C$46:$C$91),MATCH(D854,AdditionalVehs!$AA$45:$AJ$45))</f>
        <v>#REF!</v>
      </c>
      <c r="AF854" s="90" t="e">
        <f t="shared" si="351"/>
        <v>#REF!</v>
      </c>
      <c r="AG854" s="90">
        <f>AdditionalVehs!$C$28</f>
        <v>0.26521554647620627</v>
      </c>
    </row>
    <row r="855" spans="1:33" x14ac:dyDescent="0.2">
      <c r="A855" s="92" t="s">
        <v>2564</v>
      </c>
      <c r="B855" s="248" t="s">
        <v>2565</v>
      </c>
      <c r="C855" s="40" t="s">
        <v>2555</v>
      </c>
      <c r="D855" s="40">
        <v>2035</v>
      </c>
      <c r="E855" s="86">
        <f>GDPdeflator!$C$32*INDEX(AdditionalVehs!$AA$46:$AK$91,MATCH($C855,AdditionalVehs!$C$46:$C$91,0),MATCH(E$7,AdditionalVehs!$AA$45:$AK$45,0))</f>
        <v>0</v>
      </c>
      <c r="F855" s="86" t="e">
        <f>GDPdeflator!$C$36*INDEX(AdditionalVehs!$AA$46:$AK$91,MATCH($C855,AdditionalVehs!$C$46:$C$91,0),MATCH(F$7,AdditionalVehs!$AA$45:$AK$45,0))</f>
        <v>#REF!</v>
      </c>
      <c r="G855" s="86" t="e">
        <f>GDPdeflator!$C$38*INDEX(AdditionalVehs!$AA$46:$AK$91,MATCH($C855,AdditionalVehs!$C$46:$C$91,0),MATCH(G$7,AdditionalVehs!$AA$45:$AK$45,0))</f>
        <v>#REF!</v>
      </c>
      <c r="H855" s="86" t="e">
        <f>GDPdeflator!$C$38*INDEX(AdditionalVehs!$AA$46:$AK$91,MATCH($C855,AdditionalVehs!$C$46:$C$91,0),MATCH(H$7,AdditionalVehs!$AA$45:$AK$45,0))</f>
        <v>#REF!</v>
      </c>
      <c r="I855" s="86" t="e">
        <f>GDPdeflator!$C$38*INDEX(AdditionalVehs!$AA$46:$AK$91,MATCH($C855,AdditionalVehs!$C$46:$C$91,0),MATCH(I$7,AdditionalVehs!$AA$45:$AK$45,0))</f>
        <v>#REF!</v>
      </c>
      <c r="J855" s="86" t="e">
        <f>GDPdeflator!$C$38*INDEX(AdditionalVehs!$AA$46:$AK$91,MATCH($C855,AdditionalVehs!$C$46:$C$91,0),MATCH(J$7,AdditionalVehs!$AA$45:$AK$45,0))</f>
        <v>#REF!</v>
      </c>
      <c r="K855" s="86" t="e">
        <f>GDPdeflator!$C$38*INDEX(AdditionalVehs!$AA$46:$AK$91,MATCH($C855,AdditionalVehs!$C$46:$C$91,0),MATCH(K$7,AdditionalVehs!$AA$45:$AK$45,0))</f>
        <v>#REF!</v>
      </c>
      <c r="L855" s="86" t="e">
        <f>GDPdeflator!$C$38*INDEX(AdditionalVehs!$AA$46:$AK$91,MATCH($C855,AdditionalVehs!$C$46:$C$91,0),MATCH(L$7,AdditionalVehs!$AA$45:$AK$45,0))</f>
        <v>#REF!</v>
      </c>
      <c r="M855" s="86" t="e">
        <f>GDPdeflator!$C$38*INDEX(AdditionalVehs!$AA$46:$AK$91,MATCH($C855,AdditionalVehs!$C$46:$C$91,0),MATCH(M$7,AdditionalVehs!$AA$45:$AK$45,0))</f>
        <v>#REF!</v>
      </c>
      <c r="N855" s="86" t="e">
        <f>GDPdeflator!$C$38*INDEX(AdditionalVehs!$AA$46:$AK$91,MATCH($C855,AdditionalVehs!$C$46:$C$91,0),MATCH(N$7,AdditionalVehs!$AA$45:$AK$45,0))</f>
        <v>#REF!</v>
      </c>
      <c r="O855" s="86" t="e">
        <f>GDPdeflator!$C$38*INDEX(AdditionalVehs!$AA$46:$AK$91,MATCH($C855,AdditionalVehs!$C$46:$C$91,0),MATCH(O$7,AdditionalVehs!$AA$45:$AK$45,0))</f>
        <v>#REF!</v>
      </c>
      <c r="P855" s="87">
        <f t="shared" si="352"/>
        <v>0</v>
      </c>
      <c r="Q855" s="87" t="e">
        <f t="shared" si="350"/>
        <v>#REF!</v>
      </c>
      <c r="R855" s="87" t="e">
        <f t="shared" si="340"/>
        <v>#REF!</v>
      </c>
      <c r="S855" s="87" t="e">
        <f t="shared" si="341"/>
        <v>#REF!</v>
      </c>
      <c r="T855" s="87" t="e">
        <f t="shared" si="342"/>
        <v>#REF!</v>
      </c>
      <c r="U855" s="87" t="e">
        <f t="shared" si="343"/>
        <v>#REF!</v>
      </c>
      <c r="V855" s="87" t="e">
        <f t="shared" si="344"/>
        <v>#REF!</v>
      </c>
      <c r="W855" s="87" t="e">
        <f t="shared" si="345"/>
        <v>#REF!</v>
      </c>
      <c r="X855" s="87" t="e">
        <f t="shared" si="346"/>
        <v>#REF!</v>
      </c>
      <c r="Y855" s="87" t="e">
        <f t="shared" si="347"/>
        <v>#REF!</v>
      </c>
      <c r="Z855" s="87" t="e">
        <f t="shared" si="348"/>
        <v>#REF!</v>
      </c>
      <c r="AA855" s="40">
        <v>473</v>
      </c>
      <c r="AB855" s="89">
        <f>AA855*GDPdeflator!$C$25/$AI$18*10^3</f>
        <v>45.478712808157368</v>
      </c>
      <c r="AC855" s="90" t="e">
        <f>INDEX(AdditionalVehs!$E$46:$N$91,MATCH(C855,AdditionalVehs!$C$46:$C$91),MATCH(D855,AdditionalVehs!$E$45:$N$45))</f>
        <v>#REF!</v>
      </c>
      <c r="AD855" s="90" t="e">
        <f t="shared" si="339"/>
        <v>#REF!</v>
      </c>
      <c r="AE855" s="90" t="e">
        <f>INDEX(AdditionalVehs!$P$46:$Y$91,MATCH(C855,AdditionalVehs!$C$46:$C$91),MATCH(D855,AdditionalVehs!$AA$45:$AJ$45))</f>
        <v>#REF!</v>
      </c>
      <c r="AF855" s="90" t="e">
        <f t="shared" si="351"/>
        <v>#REF!</v>
      </c>
      <c r="AG855" s="90">
        <f>AdditionalVehs!$C$28</f>
        <v>0.26521554647620627</v>
      </c>
    </row>
    <row r="856" spans="1:33" x14ac:dyDescent="0.2">
      <c r="A856" s="92" t="s">
        <v>2566</v>
      </c>
      <c r="B856" s="248" t="s">
        <v>2567</v>
      </c>
      <c r="C856" s="40" t="s">
        <v>2555</v>
      </c>
      <c r="D856" s="40">
        <v>2040</v>
      </c>
      <c r="E856" s="86">
        <f>GDPdeflator!$C$32*INDEX(AdditionalVehs!$AA$46:$AK$91,MATCH($C856,AdditionalVehs!$C$46:$C$91,0),MATCH(E$7,AdditionalVehs!$AA$45:$AK$45,0))</f>
        <v>0</v>
      </c>
      <c r="F856" s="86" t="e">
        <f>GDPdeflator!$C$36*INDEX(AdditionalVehs!$AA$46:$AK$91,MATCH($C856,AdditionalVehs!$C$46:$C$91,0),MATCH(F$7,AdditionalVehs!$AA$45:$AK$45,0))</f>
        <v>#REF!</v>
      </c>
      <c r="G856" s="86" t="e">
        <f>GDPdeflator!$C$38*INDEX(AdditionalVehs!$AA$46:$AK$91,MATCH($C856,AdditionalVehs!$C$46:$C$91,0),MATCH(G$7,AdditionalVehs!$AA$45:$AK$45,0))</f>
        <v>#REF!</v>
      </c>
      <c r="H856" s="86" t="e">
        <f>GDPdeflator!$C$38*INDEX(AdditionalVehs!$AA$46:$AK$91,MATCH($C856,AdditionalVehs!$C$46:$C$91,0),MATCH(H$7,AdditionalVehs!$AA$45:$AK$45,0))</f>
        <v>#REF!</v>
      </c>
      <c r="I856" s="86" t="e">
        <f>GDPdeflator!$C$38*INDEX(AdditionalVehs!$AA$46:$AK$91,MATCH($C856,AdditionalVehs!$C$46:$C$91,0),MATCH(I$7,AdditionalVehs!$AA$45:$AK$45,0))</f>
        <v>#REF!</v>
      </c>
      <c r="J856" s="86" t="e">
        <f>GDPdeflator!$C$38*INDEX(AdditionalVehs!$AA$46:$AK$91,MATCH($C856,AdditionalVehs!$C$46:$C$91,0),MATCH(J$7,AdditionalVehs!$AA$45:$AK$45,0))</f>
        <v>#REF!</v>
      </c>
      <c r="K856" s="86" t="e">
        <f>GDPdeflator!$C$38*INDEX(AdditionalVehs!$AA$46:$AK$91,MATCH($C856,AdditionalVehs!$C$46:$C$91,0),MATCH(K$7,AdditionalVehs!$AA$45:$AK$45,0))</f>
        <v>#REF!</v>
      </c>
      <c r="L856" s="86" t="e">
        <f>GDPdeflator!$C$38*INDEX(AdditionalVehs!$AA$46:$AK$91,MATCH($C856,AdditionalVehs!$C$46:$C$91,0),MATCH(L$7,AdditionalVehs!$AA$45:$AK$45,0))</f>
        <v>#REF!</v>
      </c>
      <c r="M856" s="86" t="e">
        <f>GDPdeflator!$C$38*INDEX(AdditionalVehs!$AA$46:$AK$91,MATCH($C856,AdditionalVehs!$C$46:$C$91,0),MATCH(M$7,AdditionalVehs!$AA$45:$AK$45,0))</f>
        <v>#REF!</v>
      </c>
      <c r="N856" s="86" t="e">
        <f>GDPdeflator!$C$38*INDEX(AdditionalVehs!$AA$46:$AK$91,MATCH($C856,AdditionalVehs!$C$46:$C$91,0),MATCH(N$7,AdditionalVehs!$AA$45:$AK$45,0))</f>
        <v>#REF!</v>
      </c>
      <c r="O856" s="86" t="e">
        <f>GDPdeflator!$C$38*INDEX(AdditionalVehs!$AA$46:$AK$91,MATCH($C856,AdditionalVehs!$C$46:$C$91,0),MATCH(O$7,AdditionalVehs!$AA$45:$AK$45,0))</f>
        <v>#REF!</v>
      </c>
      <c r="P856" s="87">
        <f t="shared" si="352"/>
        <v>0</v>
      </c>
      <c r="Q856" s="87" t="e">
        <f t="shared" si="350"/>
        <v>#REF!</v>
      </c>
      <c r="R856" s="87" t="e">
        <f t="shared" si="340"/>
        <v>#REF!</v>
      </c>
      <c r="S856" s="87" t="e">
        <f t="shared" si="341"/>
        <v>#REF!</v>
      </c>
      <c r="T856" s="87" t="e">
        <f t="shared" si="342"/>
        <v>#REF!</v>
      </c>
      <c r="U856" s="87" t="e">
        <f t="shared" si="343"/>
        <v>#REF!</v>
      </c>
      <c r="V856" s="87" t="e">
        <f t="shared" si="344"/>
        <v>#REF!</v>
      </c>
      <c r="W856" s="87" t="e">
        <f t="shared" si="345"/>
        <v>#REF!</v>
      </c>
      <c r="X856" s="87" t="e">
        <f t="shared" si="346"/>
        <v>#REF!</v>
      </c>
      <c r="Y856" s="87" t="e">
        <f t="shared" si="347"/>
        <v>#REF!</v>
      </c>
      <c r="Z856" s="87" t="e">
        <f t="shared" si="348"/>
        <v>#REF!</v>
      </c>
      <c r="AA856" s="40">
        <v>473</v>
      </c>
      <c r="AB856" s="89">
        <f>AA856*GDPdeflator!$C$25/$AI$18*10^3</f>
        <v>45.478712808157368</v>
      </c>
      <c r="AC856" s="90" t="e">
        <f>INDEX(AdditionalVehs!$E$46:$N$91,MATCH(C856,AdditionalVehs!$C$46:$C$91),MATCH(D856,AdditionalVehs!$E$45:$N$45))</f>
        <v>#REF!</v>
      </c>
      <c r="AD856" s="90" t="e">
        <f t="shared" si="339"/>
        <v>#REF!</v>
      </c>
      <c r="AE856" s="90" t="e">
        <f>INDEX(AdditionalVehs!$P$46:$Y$91,MATCH(C856,AdditionalVehs!$C$46:$C$91),MATCH(D856,AdditionalVehs!$AA$45:$AJ$45))</f>
        <v>#REF!</v>
      </c>
      <c r="AF856" s="90" t="e">
        <f t="shared" si="351"/>
        <v>#REF!</v>
      </c>
      <c r="AG856" s="90">
        <f>AdditionalVehs!$C$28</f>
        <v>0.26521554647620627</v>
      </c>
    </row>
    <row r="857" spans="1:33" x14ac:dyDescent="0.2">
      <c r="A857" s="92" t="s">
        <v>2568</v>
      </c>
      <c r="B857" s="248" t="s">
        <v>2569</v>
      </c>
      <c r="C857" s="40" t="s">
        <v>2555</v>
      </c>
      <c r="D857" s="40">
        <v>2045</v>
      </c>
      <c r="E857" s="86">
        <f>GDPdeflator!$C$32*INDEX(AdditionalVehs!$AA$46:$AK$91,MATCH($C857,AdditionalVehs!$C$46:$C$91,0),MATCH(E$7,AdditionalVehs!$AA$45:$AK$45,0))</f>
        <v>0</v>
      </c>
      <c r="F857" s="86" t="e">
        <f>GDPdeflator!$C$36*INDEX(AdditionalVehs!$AA$46:$AK$91,MATCH($C857,AdditionalVehs!$C$46:$C$91,0),MATCH(F$7,AdditionalVehs!$AA$45:$AK$45,0))</f>
        <v>#REF!</v>
      </c>
      <c r="G857" s="86" t="e">
        <f>GDPdeflator!$C$38*INDEX(AdditionalVehs!$AA$46:$AK$91,MATCH($C857,AdditionalVehs!$C$46:$C$91,0),MATCH(G$7,AdditionalVehs!$AA$45:$AK$45,0))</f>
        <v>#REF!</v>
      </c>
      <c r="H857" s="86" t="e">
        <f>GDPdeflator!$C$38*INDEX(AdditionalVehs!$AA$46:$AK$91,MATCH($C857,AdditionalVehs!$C$46:$C$91,0),MATCH(H$7,AdditionalVehs!$AA$45:$AK$45,0))</f>
        <v>#REF!</v>
      </c>
      <c r="I857" s="86" t="e">
        <f>GDPdeflator!$C$38*INDEX(AdditionalVehs!$AA$46:$AK$91,MATCH($C857,AdditionalVehs!$C$46:$C$91,0),MATCH(I$7,AdditionalVehs!$AA$45:$AK$45,0))</f>
        <v>#REF!</v>
      </c>
      <c r="J857" s="86" t="e">
        <f>GDPdeflator!$C$38*INDEX(AdditionalVehs!$AA$46:$AK$91,MATCH($C857,AdditionalVehs!$C$46:$C$91,0),MATCH(J$7,AdditionalVehs!$AA$45:$AK$45,0))</f>
        <v>#REF!</v>
      </c>
      <c r="K857" s="86" t="e">
        <f>GDPdeflator!$C$38*INDEX(AdditionalVehs!$AA$46:$AK$91,MATCH($C857,AdditionalVehs!$C$46:$C$91,0),MATCH(K$7,AdditionalVehs!$AA$45:$AK$45,0))</f>
        <v>#REF!</v>
      </c>
      <c r="L857" s="86" t="e">
        <f>GDPdeflator!$C$38*INDEX(AdditionalVehs!$AA$46:$AK$91,MATCH($C857,AdditionalVehs!$C$46:$C$91,0),MATCH(L$7,AdditionalVehs!$AA$45:$AK$45,0))</f>
        <v>#REF!</v>
      </c>
      <c r="M857" s="86" t="e">
        <f>GDPdeflator!$C$38*INDEX(AdditionalVehs!$AA$46:$AK$91,MATCH($C857,AdditionalVehs!$C$46:$C$91,0),MATCH(M$7,AdditionalVehs!$AA$45:$AK$45,0))</f>
        <v>#REF!</v>
      </c>
      <c r="N857" s="86" t="e">
        <f>GDPdeflator!$C$38*INDEX(AdditionalVehs!$AA$46:$AK$91,MATCH($C857,AdditionalVehs!$C$46:$C$91,0),MATCH(N$7,AdditionalVehs!$AA$45:$AK$45,0))</f>
        <v>#REF!</v>
      </c>
      <c r="O857" s="86" t="e">
        <f>GDPdeflator!$C$38*INDEX(AdditionalVehs!$AA$46:$AK$91,MATCH($C857,AdditionalVehs!$C$46:$C$91,0),MATCH(O$7,AdditionalVehs!$AA$45:$AK$45,0))</f>
        <v>#REF!</v>
      </c>
      <c r="P857" s="87">
        <f t="shared" si="352"/>
        <v>0</v>
      </c>
      <c r="Q857" s="87" t="e">
        <f t="shared" si="350"/>
        <v>#REF!</v>
      </c>
      <c r="R857" s="87" t="e">
        <f t="shared" si="340"/>
        <v>#REF!</v>
      </c>
      <c r="S857" s="87" t="e">
        <f t="shared" si="341"/>
        <v>#REF!</v>
      </c>
      <c r="T857" s="87" t="e">
        <f t="shared" si="342"/>
        <v>#REF!</v>
      </c>
      <c r="U857" s="87" t="e">
        <f t="shared" si="343"/>
        <v>#REF!</v>
      </c>
      <c r="V857" s="87" t="e">
        <f t="shared" si="344"/>
        <v>#REF!</v>
      </c>
      <c r="W857" s="87" t="e">
        <f t="shared" si="345"/>
        <v>#REF!</v>
      </c>
      <c r="X857" s="87" t="e">
        <f t="shared" si="346"/>
        <v>#REF!</v>
      </c>
      <c r="Y857" s="87" t="e">
        <f t="shared" si="347"/>
        <v>#REF!</v>
      </c>
      <c r="Z857" s="87" t="e">
        <f t="shared" si="348"/>
        <v>#REF!</v>
      </c>
      <c r="AA857" s="40">
        <v>473</v>
      </c>
      <c r="AB857" s="89">
        <f>AA857*GDPdeflator!$C$25/$AI$18*10^3</f>
        <v>45.478712808157368</v>
      </c>
      <c r="AC857" s="90" t="e">
        <f>INDEX(AdditionalVehs!$E$46:$N$91,MATCH(C857,AdditionalVehs!$C$46:$C$91),MATCH(D857,AdditionalVehs!$E$45:$N$45))</f>
        <v>#REF!</v>
      </c>
      <c r="AD857" s="90" t="e">
        <f t="shared" si="339"/>
        <v>#REF!</v>
      </c>
      <c r="AE857" s="90" t="e">
        <f>INDEX(AdditionalVehs!$P$46:$Y$91,MATCH(C857,AdditionalVehs!$C$46:$C$91),MATCH(D857,AdditionalVehs!$AA$45:$AJ$45))</f>
        <v>#REF!</v>
      </c>
      <c r="AF857" s="90" t="e">
        <f t="shared" si="351"/>
        <v>#REF!</v>
      </c>
      <c r="AG857" s="90">
        <f>AdditionalVehs!$C$28</f>
        <v>0.26521554647620627</v>
      </c>
    </row>
    <row r="858" spans="1:33" x14ac:dyDescent="0.2">
      <c r="A858" s="92" t="s">
        <v>2570</v>
      </c>
      <c r="B858" s="248" t="s">
        <v>2571</v>
      </c>
      <c r="C858" s="40" t="s">
        <v>2555</v>
      </c>
      <c r="D858" s="40">
        <v>2050</v>
      </c>
      <c r="E858" s="86">
        <f>GDPdeflator!$C$32*INDEX(AdditionalVehs!$AA$46:$AK$91,MATCH($C858,AdditionalVehs!$C$46:$C$91,0),MATCH(E$7,AdditionalVehs!$AA$45:$AK$45,0))</f>
        <v>0</v>
      </c>
      <c r="F858" s="86" t="e">
        <f>GDPdeflator!$C$36*INDEX(AdditionalVehs!$AA$46:$AK$91,MATCH($C858,AdditionalVehs!$C$46:$C$91,0),MATCH(F$7,AdditionalVehs!$AA$45:$AK$45,0))</f>
        <v>#REF!</v>
      </c>
      <c r="G858" s="86" t="e">
        <f>GDPdeflator!$C$38*INDEX(AdditionalVehs!$AA$46:$AK$91,MATCH($C858,AdditionalVehs!$C$46:$C$91,0),MATCH(G$7,AdditionalVehs!$AA$45:$AK$45,0))</f>
        <v>#REF!</v>
      </c>
      <c r="H858" s="86" t="e">
        <f>GDPdeflator!$C$38*INDEX(AdditionalVehs!$AA$46:$AK$91,MATCH($C858,AdditionalVehs!$C$46:$C$91,0),MATCH(H$7,AdditionalVehs!$AA$45:$AK$45,0))</f>
        <v>#REF!</v>
      </c>
      <c r="I858" s="86" t="e">
        <f>GDPdeflator!$C$38*INDEX(AdditionalVehs!$AA$46:$AK$91,MATCH($C858,AdditionalVehs!$C$46:$C$91,0),MATCH(I$7,AdditionalVehs!$AA$45:$AK$45,0))</f>
        <v>#REF!</v>
      </c>
      <c r="J858" s="86" t="e">
        <f>GDPdeflator!$C$38*INDEX(AdditionalVehs!$AA$46:$AK$91,MATCH($C858,AdditionalVehs!$C$46:$C$91,0),MATCH(J$7,AdditionalVehs!$AA$45:$AK$45,0))</f>
        <v>#REF!</v>
      </c>
      <c r="K858" s="86" t="e">
        <f>GDPdeflator!$C$38*INDEX(AdditionalVehs!$AA$46:$AK$91,MATCH($C858,AdditionalVehs!$C$46:$C$91,0),MATCH(K$7,AdditionalVehs!$AA$45:$AK$45,0))</f>
        <v>#REF!</v>
      </c>
      <c r="L858" s="86" t="e">
        <f>GDPdeflator!$C$38*INDEX(AdditionalVehs!$AA$46:$AK$91,MATCH($C858,AdditionalVehs!$C$46:$C$91,0),MATCH(L$7,AdditionalVehs!$AA$45:$AK$45,0))</f>
        <v>#REF!</v>
      </c>
      <c r="M858" s="86" t="e">
        <f>GDPdeflator!$C$38*INDEX(AdditionalVehs!$AA$46:$AK$91,MATCH($C858,AdditionalVehs!$C$46:$C$91,0),MATCH(M$7,AdditionalVehs!$AA$45:$AK$45,0))</f>
        <v>#REF!</v>
      </c>
      <c r="N858" s="86" t="e">
        <f>GDPdeflator!$C$38*INDEX(AdditionalVehs!$AA$46:$AK$91,MATCH($C858,AdditionalVehs!$C$46:$C$91,0),MATCH(N$7,AdditionalVehs!$AA$45:$AK$45,0))</f>
        <v>#REF!</v>
      </c>
      <c r="O858" s="86" t="e">
        <f>GDPdeflator!$C$38*INDEX(AdditionalVehs!$AA$46:$AK$91,MATCH($C858,AdditionalVehs!$C$46:$C$91,0),MATCH(O$7,AdditionalVehs!$AA$45:$AK$45,0))</f>
        <v>#REF!</v>
      </c>
      <c r="P858" s="87">
        <f t="shared" si="352"/>
        <v>0</v>
      </c>
      <c r="Q858" s="87" t="e">
        <f t="shared" si="350"/>
        <v>#REF!</v>
      </c>
      <c r="R858" s="87" t="e">
        <f t="shared" si="340"/>
        <v>#REF!</v>
      </c>
      <c r="S858" s="87" t="e">
        <f t="shared" si="341"/>
        <v>#REF!</v>
      </c>
      <c r="T858" s="87" t="e">
        <f t="shared" si="342"/>
        <v>#REF!</v>
      </c>
      <c r="U858" s="87" t="e">
        <f t="shared" si="343"/>
        <v>#REF!</v>
      </c>
      <c r="V858" s="87" t="e">
        <f t="shared" si="344"/>
        <v>#REF!</v>
      </c>
      <c r="W858" s="87" t="e">
        <f t="shared" si="345"/>
        <v>#REF!</v>
      </c>
      <c r="X858" s="87" t="e">
        <f t="shared" si="346"/>
        <v>#REF!</v>
      </c>
      <c r="Y858" s="87" t="e">
        <f t="shared" si="347"/>
        <v>#REF!</v>
      </c>
      <c r="Z858" s="87" t="e">
        <f t="shared" si="348"/>
        <v>#REF!</v>
      </c>
      <c r="AA858" s="40">
        <v>473</v>
      </c>
      <c r="AB858" s="89">
        <f>AA858*GDPdeflator!$C$25/$AI$18*10^3</f>
        <v>45.478712808157368</v>
      </c>
      <c r="AC858" s="90" t="e">
        <f>INDEX(AdditionalVehs!$E$46:$N$91,MATCH(C858,AdditionalVehs!$C$46:$C$91),MATCH(D858,AdditionalVehs!$E$45:$N$45))</f>
        <v>#REF!</v>
      </c>
      <c r="AD858" s="90" t="e">
        <f t="shared" si="339"/>
        <v>#REF!</v>
      </c>
      <c r="AE858" s="90" t="e">
        <f>INDEX(AdditionalVehs!$P$46:$Y$91,MATCH(C858,AdditionalVehs!$C$46:$C$91),MATCH(D858,AdditionalVehs!$AA$45:$AJ$45))</f>
        <v>#REF!</v>
      </c>
      <c r="AF858" s="90" t="e">
        <f t="shared" si="351"/>
        <v>#REF!</v>
      </c>
      <c r="AG858" s="90">
        <f>AdditionalVehs!$C$28</f>
        <v>0.26521554647620627</v>
      </c>
    </row>
  </sheetData>
  <mergeCells count="4">
    <mergeCell ref="P5:V5"/>
    <mergeCell ref="E5:K5"/>
    <mergeCell ref="E6:O6"/>
    <mergeCell ref="P6:Z6"/>
  </mergeCells>
  <phoneticPr fontId="0" type="noConversion"/>
  <pageMargins left="0" right="0" top="1" bottom="1" header="0.5" footer="0.5"/>
  <pageSetup scale="16" fitToWidth="0" fitToHeight="0" orientation="landscape" horizontalDpi="4294967293"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8884-1DCE-473E-BA20-E992666E6AA2}">
  <sheetPr filterMode="1"/>
  <dimension ref="A1:X404"/>
  <sheetViews>
    <sheetView workbookViewId="0">
      <selection activeCell="T344" sqref="T344"/>
    </sheetView>
  </sheetViews>
  <sheetFormatPr defaultRowHeight="12.75" x14ac:dyDescent="0.2"/>
  <cols>
    <col min="5" max="13" width="12" bestFit="1" customWidth="1"/>
  </cols>
  <sheetData>
    <row r="1" spans="1:24" x14ac:dyDescent="0.2">
      <c r="A1" t="s">
        <v>3255</v>
      </c>
      <c r="O1">
        <v>67.2</v>
      </c>
      <c r="P1" t="s">
        <v>3256</v>
      </c>
      <c r="Q1" t="s">
        <v>3257</v>
      </c>
    </row>
    <row r="2" spans="1:24" x14ac:dyDescent="0.2">
      <c r="A2" t="s">
        <v>3042</v>
      </c>
      <c r="O2">
        <v>69.400000000000006</v>
      </c>
      <c r="P2" t="s">
        <v>3256</v>
      </c>
      <c r="Q2" t="s">
        <v>2784</v>
      </c>
    </row>
    <row r="3" spans="1:24" x14ac:dyDescent="0.2">
      <c r="A3" t="s">
        <v>3041</v>
      </c>
      <c r="O3">
        <v>50.3</v>
      </c>
      <c r="P3" t="s">
        <v>3256</v>
      </c>
      <c r="Q3" t="s">
        <v>334</v>
      </c>
    </row>
    <row r="4" spans="1:24" x14ac:dyDescent="0.2">
      <c r="A4" t="s">
        <v>3036</v>
      </c>
      <c r="B4" t="s">
        <v>3037</v>
      </c>
      <c r="C4" t="s">
        <v>3038</v>
      </c>
      <c r="D4" t="s">
        <v>3039</v>
      </c>
      <c r="E4">
        <v>2010</v>
      </c>
      <c r="F4">
        <v>2015</v>
      </c>
      <c r="G4">
        <v>2020</v>
      </c>
      <c r="H4">
        <v>2025</v>
      </c>
      <c r="I4">
        <v>2030</v>
      </c>
      <c r="J4">
        <v>2035</v>
      </c>
      <c r="K4">
        <v>2040</v>
      </c>
      <c r="L4">
        <v>2045</v>
      </c>
      <c r="M4">
        <v>2050</v>
      </c>
      <c r="P4">
        <f t="shared" ref="P4:X4" si="0">E4</f>
        <v>2010</v>
      </c>
      <c r="Q4">
        <f t="shared" si="0"/>
        <v>2015</v>
      </c>
      <c r="R4">
        <f t="shared" si="0"/>
        <v>2020</v>
      </c>
      <c r="S4">
        <f t="shared" si="0"/>
        <v>2025</v>
      </c>
      <c r="T4">
        <f t="shared" si="0"/>
        <v>2030</v>
      </c>
      <c r="U4">
        <f t="shared" si="0"/>
        <v>2035</v>
      </c>
      <c r="V4">
        <f t="shared" si="0"/>
        <v>2040</v>
      </c>
      <c r="W4">
        <f t="shared" si="0"/>
        <v>2045</v>
      </c>
      <c r="X4">
        <f t="shared" si="0"/>
        <v>2050</v>
      </c>
    </row>
    <row r="5" spans="1:24" hidden="1" x14ac:dyDescent="0.2">
      <c r="A5" t="s">
        <v>3040</v>
      </c>
      <c r="B5" t="s">
        <v>275</v>
      </c>
      <c r="C5" t="s">
        <v>477</v>
      </c>
      <c r="D5" t="s">
        <v>160</v>
      </c>
      <c r="E5">
        <v>39.775858774743803</v>
      </c>
      <c r="F5">
        <v>10.678234156384899</v>
      </c>
      <c r="G5">
        <v>1.86758643046957</v>
      </c>
      <c r="H5">
        <v>1.42362076026303</v>
      </c>
      <c r="I5">
        <v>1.22553039938669</v>
      </c>
      <c r="J5">
        <v>1.16750761763039</v>
      </c>
      <c r="K5">
        <v>1.1062247677672601</v>
      </c>
      <c r="L5">
        <v>1.0761548737814799</v>
      </c>
      <c r="M5">
        <v>1.0829580064973601</v>
      </c>
      <c r="O5">
        <f>IF(C5="DSL",$O$2,IF(C5="GSL",$O$1,IF(C5="CNG",$O$3,0)))</f>
        <v>69.400000000000006</v>
      </c>
      <c r="P5">
        <f>IF($D5="CO2",$O5/E5, 0)</f>
        <v>0</v>
      </c>
      <c r="Q5">
        <f t="shared" ref="Q5:X5" si="1">IF($D5="CO2",$O5/F5, 0)</f>
        <v>0</v>
      </c>
      <c r="R5">
        <f t="shared" si="1"/>
        <v>0</v>
      </c>
      <c r="S5">
        <f t="shared" si="1"/>
        <v>0</v>
      </c>
      <c r="T5">
        <f t="shared" si="1"/>
        <v>0</v>
      </c>
      <c r="U5">
        <f t="shared" si="1"/>
        <v>0</v>
      </c>
      <c r="V5">
        <f t="shared" si="1"/>
        <v>0</v>
      </c>
      <c r="W5">
        <f t="shared" si="1"/>
        <v>0</v>
      </c>
      <c r="X5">
        <f t="shared" si="1"/>
        <v>0</v>
      </c>
    </row>
    <row r="6" spans="1:24" hidden="1" x14ac:dyDescent="0.2">
      <c r="A6" t="s">
        <v>3040</v>
      </c>
      <c r="B6" t="s">
        <v>275</v>
      </c>
      <c r="C6" t="s">
        <v>477</v>
      </c>
      <c r="D6" t="s">
        <v>151</v>
      </c>
      <c r="E6">
        <v>2.0049311260151099</v>
      </c>
      <c r="F6">
        <v>0.760827545002146</v>
      </c>
      <c r="G6">
        <v>0.12767197241808201</v>
      </c>
      <c r="H6">
        <v>7.2512734058825107E-2</v>
      </c>
      <c r="I6">
        <v>4.5465409268618202E-2</v>
      </c>
      <c r="J6">
        <v>4.03828422132856E-2</v>
      </c>
      <c r="K6">
        <v>3.69457071662685E-2</v>
      </c>
      <c r="L6">
        <v>3.54479042046821E-2</v>
      </c>
      <c r="M6">
        <v>3.5796031702760897E-2</v>
      </c>
      <c r="O6">
        <f t="shared" ref="O6:O69" si="2">IF(C6="DSL",$O$2,IF(C6="GSL",$O$1,IF(C6="CNG",$O$3,0)))</f>
        <v>69.400000000000006</v>
      </c>
      <c r="P6">
        <f t="shared" ref="P6:P27" si="3">IF($D6="CO2",$O6/E6, 0)</f>
        <v>0</v>
      </c>
      <c r="Q6">
        <f t="shared" ref="Q6:Q27" si="4">IF($D6="CO2",$O6/F6, 0)</f>
        <v>0</v>
      </c>
      <c r="R6">
        <f t="shared" ref="R6:R27" si="5">IF($D6="CO2",$O6/G6, 0)</f>
        <v>0</v>
      </c>
      <c r="S6">
        <f t="shared" ref="S6:S27" si="6">IF($D6="CO2",$O6/H6, 0)</f>
        <v>0</v>
      </c>
      <c r="T6">
        <f t="shared" ref="T6:T27" si="7">IF($D6="CO2",$O6/I6, 0)</f>
        <v>0</v>
      </c>
      <c r="U6">
        <f t="shared" ref="U6:U27" si="8">IF($D6="CO2",$O6/J6, 0)</f>
        <v>0</v>
      </c>
      <c r="V6">
        <f t="shared" ref="V6:V27" si="9">IF($D6="CO2",$O6/K6, 0)</f>
        <v>0</v>
      </c>
      <c r="W6">
        <f t="shared" ref="W6:W27" si="10">IF($D6="CO2",$O6/L6, 0)</f>
        <v>0</v>
      </c>
      <c r="X6">
        <f t="shared" ref="X6:X27" si="11">IF($D6="CO2",$O6/M6, 0)</f>
        <v>0</v>
      </c>
    </row>
    <row r="7" spans="1:24" hidden="1" x14ac:dyDescent="0.2">
      <c r="A7" t="s">
        <v>3040</v>
      </c>
      <c r="B7" t="s">
        <v>275</v>
      </c>
      <c r="C7" t="s">
        <v>477</v>
      </c>
      <c r="D7" t="s">
        <v>164</v>
      </c>
      <c r="E7">
        <v>1.9307833533596701E-2</v>
      </c>
      <c r="F7">
        <v>6.4114835319069405E-2</v>
      </c>
      <c r="G7">
        <v>7.1713130585949997E-2</v>
      </c>
      <c r="H7">
        <v>7.3171737716537094E-2</v>
      </c>
      <c r="I7">
        <v>7.5270293642568403E-2</v>
      </c>
      <c r="J7">
        <v>7.5445547537672006E-2</v>
      </c>
      <c r="K7">
        <v>7.4712089162185497E-2</v>
      </c>
      <c r="L7">
        <v>7.3717251656777796E-2</v>
      </c>
      <c r="M7">
        <v>7.44731750120151E-2</v>
      </c>
      <c r="O7">
        <f t="shared" si="2"/>
        <v>69.400000000000006</v>
      </c>
      <c r="P7">
        <f t="shared" si="3"/>
        <v>0</v>
      </c>
      <c r="Q7">
        <f t="shared" si="4"/>
        <v>0</v>
      </c>
      <c r="R7">
        <f t="shared" si="5"/>
        <v>0</v>
      </c>
      <c r="S7">
        <f t="shared" si="6"/>
        <v>0</v>
      </c>
      <c r="T7">
        <f t="shared" si="7"/>
        <v>0</v>
      </c>
      <c r="U7">
        <f t="shared" si="8"/>
        <v>0</v>
      </c>
      <c r="V7">
        <f t="shared" si="9"/>
        <v>0</v>
      </c>
      <c r="W7">
        <f t="shared" si="10"/>
        <v>0</v>
      </c>
      <c r="X7">
        <f t="shared" si="11"/>
        <v>0</v>
      </c>
    </row>
    <row r="8" spans="1:24" hidden="1" x14ac:dyDescent="0.2">
      <c r="A8" t="s">
        <v>3040</v>
      </c>
      <c r="B8" t="s">
        <v>275</v>
      </c>
      <c r="C8" t="s">
        <v>477</v>
      </c>
      <c r="D8" t="s">
        <v>162</v>
      </c>
      <c r="E8">
        <v>1.3172159507331401E-3</v>
      </c>
      <c r="F8">
        <v>1.1497778914898601E-3</v>
      </c>
      <c r="G8">
        <v>1.3280335233953799E-3</v>
      </c>
      <c r="H8">
        <v>1.3300403953936701E-3</v>
      </c>
      <c r="I8">
        <v>1.3373192652413001E-3</v>
      </c>
      <c r="J8">
        <v>1.34682925218304E-3</v>
      </c>
      <c r="K8">
        <v>1.35165887255797E-3</v>
      </c>
      <c r="L8">
        <v>1.35319494580264E-3</v>
      </c>
      <c r="M8">
        <v>1.35559121182894E-3</v>
      </c>
      <c r="O8">
        <f t="shared" si="2"/>
        <v>69.400000000000006</v>
      </c>
      <c r="P8">
        <f t="shared" si="3"/>
        <v>0</v>
      </c>
      <c r="Q8">
        <f t="shared" si="4"/>
        <v>0</v>
      </c>
      <c r="R8">
        <f t="shared" si="5"/>
        <v>0</v>
      </c>
      <c r="S8">
        <f t="shared" si="6"/>
        <v>0</v>
      </c>
      <c r="T8">
        <f t="shared" si="7"/>
        <v>0</v>
      </c>
      <c r="U8">
        <f t="shared" si="8"/>
        <v>0</v>
      </c>
      <c r="V8">
        <f t="shared" si="9"/>
        <v>0</v>
      </c>
      <c r="W8">
        <f t="shared" si="10"/>
        <v>0</v>
      </c>
      <c r="X8">
        <f t="shared" si="11"/>
        <v>0</v>
      </c>
    </row>
    <row r="9" spans="1:24" hidden="1" x14ac:dyDescent="0.2">
      <c r="A9" t="s">
        <v>3040</v>
      </c>
      <c r="B9" t="s">
        <v>275</v>
      </c>
      <c r="C9" t="s">
        <v>477</v>
      </c>
      <c r="D9" t="s">
        <v>168</v>
      </c>
      <c r="E9">
        <v>8.3015807662600808E-3</v>
      </c>
      <c r="F9">
        <v>8.3015814353979093E-3</v>
      </c>
      <c r="G9">
        <v>9.7776409238937295E-3</v>
      </c>
      <c r="H9">
        <v>9.7776508210115302E-3</v>
      </c>
      <c r="I9">
        <v>9.7776494795757396E-3</v>
      </c>
      <c r="J9">
        <v>9.7776493269548497E-3</v>
      </c>
      <c r="K9">
        <v>9.7776510939597203E-3</v>
      </c>
      <c r="L9">
        <v>9.7776462712922899E-3</v>
      </c>
      <c r="M9">
        <v>9.7776422060059202E-3</v>
      </c>
      <c r="O9">
        <f t="shared" si="2"/>
        <v>69.400000000000006</v>
      </c>
      <c r="P9">
        <f t="shared" si="3"/>
        <v>0</v>
      </c>
      <c r="Q9">
        <f t="shared" si="4"/>
        <v>0</v>
      </c>
      <c r="R9">
        <f t="shared" si="5"/>
        <v>0</v>
      </c>
      <c r="S9">
        <f t="shared" si="6"/>
        <v>0</v>
      </c>
      <c r="T9">
        <f t="shared" si="7"/>
        <v>0</v>
      </c>
      <c r="U9">
        <f t="shared" si="8"/>
        <v>0</v>
      </c>
      <c r="V9">
        <f t="shared" si="9"/>
        <v>0</v>
      </c>
      <c r="W9">
        <f t="shared" si="10"/>
        <v>0</v>
      </c>
      <c r="X9">
        <f t="shared" si="11"/>
        <v>0</v>
      </c>
    </row>
    <row r="10" spans="1:24" hidden="1" x14ac:dyDescent="0.2">
      <c r="A10" t="s">
        <v>3040</v>
      </c>
      <c r="B10" t="s">
        <v>275</v>
      </c>
      <c r="C10" t="s">
        <v>477</v>
      </c>
      <c r="D10" t="s">
        <v>154</v>
      </c>
      <c r="E10">
        <v>1.1835152385958499E-2</v>
      </c>
      <c r="F10">
        <v>1.02303341802871E-2</v>
      </c>
      <c r="G10">
        <v>3.28141775067963E-3</v>
      </c>
      <c r="H10">
        <v>2.7429174181074199E-3</v>
      </c>
      <c r="I10">
        <v>2.4986761140543901E-3</v>
      </c>
      <c r="J10">
        <v>2.3977288527187398E-3</v>
      </c>
      <c r="K10">
        <v>2.3363239635992802E-3</v>
      </c>
      <c r="L10">
        <v>2.3139342639780401E-3</v>
      </c>
      <c r="M10">
        <v>2.31353960902861E-3</v>
      </c>
      <c r="O10">
        <f t="shared" si="2"/>
        <v>69.400000000000006</v>
      </c>
      <c r="P10">
        <f t="shared" si="3"/>
        <v>0</v>
      </c>
      <c r="Q10">
        <f t="shared" si="4"/>
        <v>0</v>
      </c>
      <c r="R10">
        <f t="shared" si="5"/>
        <v>0</v>
      </c>
      <c r="S10">
        <f t="shared" si="6"/>
        <v>0</v>
      </c>
      <c r="T10">
        <f t="shared" si="7"/>
        <v>0</v>
      </c>
      <c r="U10">
        <f t="shared" si="8"/>
        <v>0</v>
      </c>
      <c r="V10">
        <f t="shared" si="9"/>
        <v>0</v>
      </c>
      <c r="W10">
        <f t="shared" si="10"/>
        <v>0</v>
      </c>
      <c r="X10">
        <f t="shared" si="11"/>
        <v>0</v>
      </c>
    </row>
    <row r="11" spans="1:24" hidden="1" x14ac:dyDescent="0.2">
      <c r="A11" t="s">
        <v>3040</v>
      </c>
      <c r="B11" t="s">
        <v>275</v>
      </c>
      <c r="C11" t="s">
        <v>477</v>
      </c>
      <c r="D11" t="s">
        <v>166</v>
      </c>
      <c r="E11">
        <v>3.6839474572804698</v>
      </c>
      <c r="F11">
        <v>0.98577392935792796</v>
      </c>
      <c r="G11">
        <v>0.13920001825041101</v>
      </c>
      <c r="H11">
        <v>9.6471078701038201E-2</v>
      </c>
      <c r="I11">
        <v>7.5191537396481406E-2</v>
      </c>
      <c r="J11">
        <v>7.3750498912982104E-2</v>
      </c>
      <c r="K11">
        <v>7.1596726073612907E-2</v>
      </c>
      <c r="L11">
        <v>7.0651840302643099E-2</v>
      </c>
      <c r="M11">
        <v>7.1352883539201301E-2</v>
      </c>
      <c r="O11">
        <f t="shared" si="2"/>
        <v>69.400000000000006</v>
      </c>
      <c r="P11">
        <f t="shared" si="3"/>
        <v>0</v>
      </c>
      <c r="Q11">
        <f t="shared" si="4"/>
        <v>0</v>
      </c>
      <c r="R11">
        <f t="shared" si="5"/>
        <v>0</v>
      </c>
      <c r="S11">
        <f t="shared" si="6"/>
        <v>0</v>
      </c>
      <c r="T11">
        <f t="shared" si="7"/>
        <v>0</v>
      </c>
      <c r="U11">
        <f t="shared" si="8"/>
        <v>0</v>
      </c>
      <c r="V11">
        <f t="shared" si="9"/>
        <v>0</v>
      </c>
      <c r="W11">
        <f t="shared" si="10"/>
        <v>0</v>
      </c>
      <c r="X11">
        <f t="shared" si="11"/>
        <v>0</v>
      </c>
    </row>
    <row r="12" spans="1:24" x14ac:dyDescent="0.2">
      <c r="A12" t="s">
        <v>3040</v>
      </c>
      <c r="B12" t="s">
        <v>275</v>
      </c>
      <c r="C12" t="s">
        <v>477</v>
      </c>
      <c r="D12" t="s">
        <v>147</v>
      </c>
      <c r="E12">
        <v>476.09443428903302</v>
      </c>
      <c r="F12">
        <v>429.18807065940501</v>
      </c>
      <c r="G12">
        <v>391.319233082962</v>
      </c>
      <c r="H12">
        <v>328.42956729245498</v>
      </c>
      <c r="I12">
        <v>299.62284839363502</v>
      </c>
      <c r="J12">
        <v>287.52510197421901</v>
      </c>
      <c r="K12">
        <v>280.23148169863998</v>
      </c>
      <c r="L12">
        <v>277.54586040118801</v>
      </c>
      <c r="M12">
        <v>277.49863288375599</v>
      </c>
      <c r="O12">
        <f t="shared" si="2"/>
        <v>69.400000000000006</v>
      </c>
      <c r="P12">
        <f t="shared" si="3"/>
        <v>0.14576939993771873</v>
      </c>
      <c r="Q12">
        <f t="shared" si="4"/>
        <v>0.1617006733047677</v>
      </c>
      <c r="R12">
        <f t="shared" si="5"/>
        <v>0.17734880918895901</v>
      </c>
      <c r="S12">
        <f t="shared" si="6"/>
        <v>0.21130862416598975</v>
      </c>
      <c r="T12">
        <f t="shared" si="7"/>
        <v>0.23162452520584972</v>
      </c>
      <c r="U12">
        <f t="shared" si="8"/>
        <v>0.24137023001985672</v>
      </c>
      <c r="V12">
        <f t="shared" si="9"/>
        <v>0.24765240357481511</v>
      </c>
      <c r="W12">
        <f t="shared" si="10"/>
        <v>0.25004876635408446</v>
      </c>
      <c r="X12">
        <f t="shared" si="11"/>
        <v>0.2500913221762488</v>
      </c>
    </row>
    <row r="13" spans="1:24" hidden="1" x14ac:dyDescent="0.2">
      <c r="A13" t="s">
        <v>3040</v>
      </c>
      <c r="B13" t="s">
        <v>275</v>
      </c>
      <c r="C13" t="s">
        <v>477</v>
      </c>
      <c r="D13" t="s">
        <v>156</v>
      </c>
      <c r="E13">
        <v>0.14754888588672199</v>
      </c>
      <c r="F13">
        <v>8.9170669812866296E-2</v>
      </c>
      <c r="G13">
        <v>7.8105554369183802E-2</v>
      </c>
      <c r="H13">
        <v>7.6972409553025797E-2</v>
      </c>
      <c r="I13">
        <v>7.6836875081772907E-2</v>
      </c>
      <c r="J13">
        <v>7.69074432910445E-2</v>
      </c>
      <c r="K13">
        <v>7.6900843368497895E-2</v>
      </c>
      <c r="L13">
        <v>7.6888545887976001E-2</v>
      </c>
      <c r="M13">
        <v>7.6936569612579206E-2</v>
      </c>
      <c r="O13">
        <f t="shared" si="2"/>
        <v>69.400000000000006</v>
      </c>
      <c r="P13">
        <f t="shared" si="3"/>
        <v>0</v>
      </c>
      <c r="Q13">
        <f t="shared" si="4"/>
        <v>0</v>
      </c>
      <c r="R13">
        <f t="shared" si="5"/>
        <v>0</v>
      </c>
      <c r="S13">
        <f t="shared" si="6"/>
        <v>0</v>
      </c>
      <c r="T13">
        <f t="shared" si="7"/>
        <v>0</v>
      </c>
      <c r="U13">
        <f t="shared" si="8"/>
        <v>0</v>
      </c>
      <c r="V13">
        <f t="shared" si="9"/>
        <v>0</v>
      </c>
      <c r="W13">
        <f t="shared" si="10"/>
        <v>0</v>
      </c>
      <c r="X13">
        <f t="shared" si="11"/>
        <v>0</v>
      </c>
    </row>
    <row r="14" spans="1:24" x14ac:dyDescent="0.2">
      <c r="A14" t="s">
        <v>3040</v>
      </c>
      <c r="B14" t="s">
        <v>275</v>
      </c>
      <c r="C14" t="s">
        <v>332</v>
      </c>
      <c r="D14" t="s">
        <v>147</v>
      </c>
      <c r="E14">
        <v>429.196687290726</v>
      </c>
      <c r="F14">
        <v>413.92588742451602</v>
      </c>
      <c r="G14">
        <v>357.54354908822597</v>
      </c>
      <c r="H14">
        <v>312.70443872824399</v>
      </c>
      <c r="I14">
        <v>295.131332198753</v>
      </c>
      <c r="J14">
        <v>287.00250507201002</v>
      </c>
      <c r="K14">
        <v>280.70349092905099</v>
      </c>
      <c r="L14">
        <v>278.51705728958802</v>
      </c>
      <c r="M14">
        <v>278.75188774863398</v>
      </c>
      <c r="O14">
        <f t="shared" si="2"/>
        <v>0</v>
      </c>
      <c r="P14">
        <f t="shared" si="3"/>
        <v>0</v>
      </c>
      <c r="Q14">
        <f t="shared" si="4"/>
        <v>0</v>
      </c>
      <c r="R14">
        <f t="shared" si="5"/>
        <v>0</v>
      </c>
      <c r="S14">
        <f t="shared" si="6"/>
        <v>0</v>
      </c>
      <c r="T14">
        <f t="shared" si="7"/>
        <v>0</v>
      </c>
      <c r="U14">
        <f t="shared" si="8"/>
        <v>0</v>
      </c>
      <c r="V14">
        <f t="shared" si="9"/>
        <v>0</v>
      </c>
      <c r="W14">
        <f t="shared" si="10"/>
        <v>0</v>
      </c>
      <c r="X14">
        <f t="shared" si="11"/>
        <v>0</v>
      </c>
    </row>
    <row r="15" spans="1:24" hidden="1" x14ac:dyDescent="0.2">
      <c r="A15" t="s">
        <v>3040</v>
      </c>
      <c r="B15" t="s">
        <v>276</v>
      </c>
      <c r="C15" t="s">
        <v>477</v>
      </c>
      <c r="D15" t="s">
        <v>160</v>
      </c>
      <c r="E15">
        <v>25.7359255125963</v>
      </c>
      <c r="F15">
        <v>9.6608254694220292</v>
      </c>
      <c r="G15">
        <v>1.5868606265345599</v>
      </c>
      <c r="H15">
        <v>1.2176793673039601</v>
      </c>
      <c r="I15">
        <v>1.0510354041170999</v>
      </c>
      <c r="J15">
        <v>1.00292244742092</v>
      </c>
      <c r="K15">
        <v>0.95159033350268696</v>
      </c>
      <c r="L15">
        <v>0.92637431175947205</v>
      </c>
      <c r="M15">
        <v>0.93213232013860903</v>
      </c>
      <c r="O15">
        <f t="shared" si="2"/>
        <v>69.400000000000006</v>
      </c>
      <c r="P15">
        <f t="shared" si="3"/>
        <v>0</v>
      </c>
      <c r="Q15">
        <f t="shared" si="4"/>
        <v>0</v>
      </c>
      <c r="R15">
        <f t="shared" si="5"/>
        <v>0</v>
      </c>
      <c r="S15">
        <f t="shared" si="6"/>
        <v>0</v>
      </c>
      <c r="T15">
        <f t="shared" si="7"/>
        <v>0</v>
      </c>
      <c r="U15">
        <f t="shared" si="8"/>
        <v>0</v>
      </c>
      <c r="V15">
        <f t="shared" si="9"/>
        <v>0</v>
      </c>
      <c r="W15">
        <f t="shared" si="10"/>
        <v>0</v>
      </c>
      <c r="X15">
        <f t="shared" si="11"/>
        <v>0</v>
      </c>
    </row>
    <row r="16" spans="1:24" hidden="1" x14ac:dyDescent="0.2">
      <c r="A16" t="s">
        <v>3040</v>
      </c>
      <c r="B16" t="s">
        <v>276</v>
      </c>
      <c r="C16" t="s">
        <v>477</v>
      </c>
      <c r="D16" t="s">
        <v>151</v>
      </c>
      <c r="E16">
        <v>1.6110129323604601</v>
      </c>
      <c r="F16">
        <v>0.78125490560219701</v>
      </c>
      <c r="G16">
        <v>0.115620473733781</v>
      </c>
      <c r="H16">
        <v>6.6004639352718095E-2</v>
      </c>
      <c r="I16">
        <v>4.1480313552042999E-2</v>
      </c>
      <c r="J16">
        <v>3.67143779351497E-2</v>
      </c>
      <c r="K16">
        <v>3.3512426284448803E-2</v>
      </c>
      <c r="L16">
        <v>3.2134891572290103E-2</v>
      </c>
      <c r="M16">
        <v>3.24152542775758E-2</v>
      </c>
      <c r="O16">
        <f t="shared" si="2"/>
        <v>69.400000000000006</v>
      </c>
      <c r="P16">
        <f t="shared" si="3"/>
        <v>0</v>
      </c>
      <c r="Q16">
        <f t="shared" si="4"/>
        <v>0</v>
      </c>
      <c r="R16">
        <f t="shared" si="5"/>
        <v>0</v>
      </c>
      <c r="S16">
        <f t="shared" si="6"/>
        <v>0</v>
      </c>
      <c r="T16">
        <f t="shared" si="7"/>
        <v>0</v>
      </c>
      <c r="U16">
        <f t="shared" si="8"/>
        <v>0</v>
      </c>
      <c r="V16">
        <f t="shared" si="9"/>
        <v>0</v>
      </c>
      <c r="W16">
        <f t="shared" si="10"/>
        <v>0</v>
      </c>
      <c r="X16">
        <f t="shared" si="11"/>
        <v>0</v>
      </c>
    </row>
    <row r="17" spans="1:24" hidden="1" x14ac:dyDescent="0.2">
      <c r="A17" t="s">
        <v>3040</v>
      </c>
      <c r="B17" t="s">
        <v>276</v>
      </c>
      <c r="C17" t="s">
        <v>477</v>
      </c>
      <c r="D17" t="s">
        <v>164</v>
      </c>
      <c r="E17">
        <v>1.4358371794368901E-2</v>
      </c>
      <c r="F17">
        <v>4.8458502748334797E-2</v>
      </c>
      <c r="G17">
        <v>5.5764331545387298E-2</v>
      </c>
      <c r="H17">
        <v>5.6700089978653001E-2</v>
      </c>
      <c r="I17">
        <v>5.82137428878685E-2</v>
      </c>
      <c r="J17">
        <v>5.8170546586172198E-2</v>
      </c>
      <c r="K17">
        <v>5.7454728055515297E-2</v>
      </c>
      <c r="L17">
        <v>5.6605818902763297E-2</v>
      </c>
      <c r="M17">
        <v>5.7183132180425103E-2</v>
      </c>
      <c r="O17">
        <f t="shared" si="2"/>
        <v>69.400000000000006</v>
      </c>
      <c r="P17">
        <f t="shared" si="3"/>
        <v>0</v>
      </c>
      <c r="Q17">
        <f t="shared" si="4"/>
        <v>0</v>
      </c>
      <c r="R17">
        <f t="shared" si="5"/>
        <v>0</v>
      </c>
      <c r="S17">
        <f t="shared" si="6"/>
        <v>0</v>
      </c>
      <c r="T17">
        <f t="shared" si="7"/>
        <v>0</v>
      </c>
      <c r="U17">
        <f t="shared" si="8"/>
        <v>0</v>
      </c>
      <c r="V17">
        <f t="shared" si="9"/>
        <v>0</v>
      </c>
      <c r="W17">
        <f t="shared" si="10"/>
        <v>0</v>
      </c>
      <c r="X17">
        <f t="shared" si="11"/>
        <v>0</v>
      </c>
    </row>
    <row r="18" spans="1:24" hidden="1" x14ac:dyDescent="0.2">
      <c r="A18" t="s">
        <v>3040</v>
      </c>
      <c r="B18" t="s">
        <v>276</v>
      </c>
      <c r="C18" t="s">
        <v>477</v>
      </c>
      <c r="D18" t="s">
        <v>162</v>
      </c>
      <c r="E18">
        <v>1.06890810544702E-3</v>
      </c>
      <c r="F18">
        <v>9.8276928788775995E-4</v>
      </c>
      <c r="G18">
        <v>1.0388015160064301E-3</v>
      </c>
      <c r="H18">
        <v>1.04042771571272E-3</v>
      </c>
      <c r="I18">
        <v>1.0463302398882599E-3</v>
      </c>
      <c r="J18">
        <v>1.05404632398643E-3</v>
      </c>
      <c r="K18">
        <v>1.05796184016042E-3</v>
      </c>
      <c r="L18">
        <v>1.05921014380327E-3</v>
      </c>
      <c r="M18">
        <v>1.0611530168828901E-3</v>
      </c>
      <c r="O18">
        <f t="shared" si="2"/>
        <v>69.400000000000006</v>
      </c>
      <c r="P18">
        <f t="shared" si="3"/>
        <v>0</v>
      </c>
      <c r="Q18">
        <f t="shared" si="4"/>
        <v>0</v>
      </c>
      <c r="R18">
        <f t="shared" si="5"/>
        <v>0</v>
      </c>
      <c r="S18">
        <f t="shared" si="6"/>
        <v>0</v>
      </c>
      <c r="T18">
        <f t="shared" si="7"/>
        <v>0</v>
      </c>
      <c r="U18">
        <f t="shared" si="8"/>
        <v>0</v>
      </c>
      <c r="V18">
        <f t="shared" si="9"/>
        <v>0</v>
      </c>
      <c r="W18">
        <f t="shared" si="10"/>
        <v>0</v>
      </c>
      <c r="X18">
        <f t="shared" si="11"/>
        <v>0</v>
      </c>
    </row>
    <row r="19" spans="1:24" hidden="1" x14ac:dyDescent="0.2">
      <c r="A19" t="s">
        <v>3040</v>
      </c>
      <c r="B19" t="s">
        <v>276</v>
      </c>
      <c r="C19" t="s">
        <v>477</v>
      </c>
      <c r="D19" t="s">
        <v>168</v>
      </c>
      <c r="E19">
        <v>8.1351723095982893E-3</v>
      </c>
      <c r="F19">
        <v>8.1351745562756508E-3</v>
      </c>
      <c r="G19">
        <v>8.9774038648681997E-3</v>
      </c>
      <c r="H19">
        <v>8.9773869601495193E-3</v>
      </c>
      <c r="I19">
        <v>8.9773911150380793E-3</v>
      </c>
      <c r="J19">
        <v>8.9773892839756404E-3</v>
      </c>
      <c r="K19">
        <v>8.9773894598061902E-3</v>
      </c>
      <c r="L19">
        <v>8.9773849530117907E-3</v>
      </c>
      <c r="M19">
        <v>8.9773771810134195E-3</v>
      </c>
      <c r="O19">
        <f t="shared" si="2"/>
        <v>69.400000000000006</v>
      </c>
      <c r="P19">
        <f t="shared" si="3"/>
        <v>0</v>
      </c>
      <c r="Q19">
        <f t="shared" si="4"/>
        <v>0</v>
      </c>
      <c r="R19">
        <f t="shared" si="5"/>
        <v>0</v>
      </c>
      <c r="S19">
        <f t="shared" si="6"/>
        <v>0</v>
      </c>
      <c r="T19">
        <f t="shared" si="7"/>
        <v>0</v>
      </c>
      <c r="U19">
        <f t="shared" si="8"/>
        <v>0</v>
      </c>
      <c r="V19">
        <f t="shared" si="9"/>
        <v>0</v>
      </c>
      <c r="W19">
        <f t="shared" si="10"/>
        <v>0</v>
      </c>
      <c r="X19">
        <f t="shared" si="11"/>
        <v>0</v>
      </c>
    </row>
    <row r="20" spans="1:24" hidden="1" x14ac:dyDescent="0.2">
      <c r="A20" t="s">
        <v>3040</v>
      </c>
      <c r="B20" t="s">
        <v>276</v>
      </c>
      <c r="C20" t="s">
        <v>477</v>
      </c>
      <c r="D20" t="s">
        <v>154</v>
      </c>
      <c r="E20">
        <v>1.1303261097433201E-2</v>
      </c>
      <c r="F20">
        <v>9.9952440902568301E-3</v>
      </c>
      <c r="G20">
        <v>2.8615465413590799E-3</v>
      </c>
      <c r="H20">
        <v>2.3897731636762301E-3</v>
      </c>
      <c r="I20">
        <v>2.1757621427749502E-3</v>
      </c>
      <c r="J20">
        <v>2.0872445644692299E-3</v>
      </c>
      <c r="K20">
        <v>2.03348692070508E-3</v>
      </c>
      <c r="L20">
        <v>2.0138761843932198E-3</v>
      </c>
      <c r="M20">
        <v>2.0134431442024002E-3</v>
      </c>
      <c r="O20">
        <f t="shared" si="2"/>
        <v>69.400000000000006</v>
      </c>
      <c r="P20">
        <f t="shared" si="3"/>
        <v>0</v>
      </c>
      <c r="Q20">
        <f t="shared" si="4"/>
        <v>0</v>
      </c>
      <c r="R20">
        <f t="shared" si="5"/>
        <v>0</v>
      </c>
      <c r="S20">
        <f t="shared" si="6"/>
        <v>0</v>
      </c>
      <c r="T20">
        <f t="shared" si="7"/>
        <v>0</v>
      </c>
      <c r="U20">
        <f t="shared" si="8"/>
        <v>0</v>
      </c>
      <c r="V20">
        <f t="shared" si="9"/>
        <v>0</v>
      </c>
      <c r="W20">
        <f t="shared" si="10"/>
        <v>0</v>
      </c>
      <c r="X20">
        <f t="shared" si="11"/>
        <v>0</v>
      </c>
    </row>
    <row r="21" spans="1:24" hidden="1" x14ac:dyDescent="0.2">
      <c r="A21" t="s">
        <v>3040</v>
      </c>
      <c r="B21" t="s">
        <v>276</v>
      </c>
      <c r="C21" t="s">
        <v>477</v>
      </c>
      <c r="D21" t="s">
        <v>166</v>
      </c>
      <c r="E21">
        <v>2.3600316803923498</v>
      </c>
      <c r="F21">
        <v>0.86729043326035704</v>
      </c>
      <c r="G21">
        <v>0.110736526137932</v>
      </c>
      <c r="H21">
        <v>7.5901512222891696E-2</v>
      </c>
      <c r="I21">
        <v>5.8492240477683803E-2</v>
      </c>
      <c r="J21">
        <v>5.7141032113164097E-2</v>
      </c>
      <c r="K21">
        <v>5.5289104211044299E-2</v>
      </c>
      <c r="L21">
        <v>5.4482372037083497E-2</v>
      </c>
      <c r="M21">
        <v>5.5017621362252002E-2</v>
      </c>
      <c r="O21">
        <f t="shared" si="2"/>
        <v>69.400000000000006</v>
      </c>
      <c r="P21">
        <f t="shared" si="3"/>
        <v>0</v>
      </c>
      <c r="Q21">
        <f t="shared" si="4"/>
        <v>0</v>
      </c>
      <c r="R21">
        <f t="shared" si="5"/>
        <v>0</v>
      </c>
      <c r="S21">
        <f t="shared" si="6"/>
        <v>0</v>
      </c>
      <c r="T21">
        <f t="shared" si="7"/>
        <v>0</v>
      </c>
      <c r="U21">
        <f t="shared" si="8"/>
        <v>0</v>
      </c>
      <c r="V21">
        <f t="shared" si="9"/>
        <v>0</v>
      </c>
      <c r="W21">
        <f t="shared" si="10"/>
        <v>0</v>
      </c>
      <c r="X21">
        <f t="shared" si="11"/>
        <v>0</v>
      </c>
    </row>
    <row r="22" spans="1:24" x14ac:dyDescent="0.2">
      <c r="A22" t="s">
        <v>3040</v>
      </c>
      <c r="B22" t="s">
        <v>275</v>
      </c>
      <c r="C22" t="s">
        <v>69</v>
      </c>
      <c r="D22" t="s">
        <v>147</v>
      </c>
      <c r="E22">
        <v>0</v>
      </c>
      <c r="F22">
        <v>0</v>
      </c>
      <c r="G22">
        <v>0</v>
      </c>
      <c r="H22">
        <v>0</v>
      </c>
      <c r="I22">
        <v>0</v>
      </c>
      <c r="J22">
        <v>0</v>
      </c>
      <c r="K22">
        <v>0</v>
      </c>
      <c r="L22">
        <v>0</v>
      </c>
      <c r="M22">
        <v>0</v>
      </c>
      <c r="O22">
        <f t="shared" si="2"/>
        <v>0</v>
      </c>
      <c r="P22" t="e">
        <f t="shared" si="3"/>
        <v>#DIV/0!</v>
      </c>
      <c r="Q22" t="e">
        <f t="shared" si="4"/>
        <v>#DIV/0!</v>
      </c>
      <c r="R22" t="e">
        <f t="shared" si="5"/>
        <v>#DIV/0!</v>
      </c>
      <c r="S22" t="e">
        <f t="shared" si="6"/>
        <v>#DIV/0!</v>
      </c>
      <c r="T22" t="e">
        <f t="shared" si="7"/>
        <v>#DIV/0!</v>
      </c>
      <c r="U22" t="e">
        <f t="shared" si="8"/>
        <v>#DIV/0!</v>
      </c>
      <c r="V22" t="e">
        <f t="shared" si="9"/>
        <v>#DIV/0!</v>
      </c>
      <c r="W22" t="e">
        <f t="shared" si="10"/>
        <v>#DIV/0!</v>
      </c>
      <c r="X22" t="e">
        <f t="shared" si="11"/>
        <v>#DIV/0!</v>
      </c>
    </row>
    <row r="23" spans="1:24" hidden="1" x14ac:dyDescent="0.2">
      <c r="A23" t="s">
        <v>3040</v>
      </c>
      <c r="B23" t="s">
        <v>276</v>
      </c>
      <c r="C23" t="s">
        <v>477</v>
      </c>
      <c r="D23" t="s">
        <v>156</v>
      </c>
      <c r="E23">
        <v>0.10831971626595401</v>
      </c>
      <c r="F23">
        <v>7.51921551228555E-2</v>
      </c>
      <c r="G23">
        <v>6.01393435807746E-2</v>
      </c>
      <c r="H23">
        <v>5.915482339026E-2</v>
      </c>
      <c r="I23">
        <v>5.90367985492673E-2</v>
      </c>
      <c r="J23">
        <v>5.9096852542489697E-2</v>
      </c>
      <c r="K23">
        <v>5.9090238154649199E-2</v>
      </c>
      <c r="L23">
        <v>5.90796096133216E-2</v>
      </c>
      <c r="M23">
        <v>5.9120090191233099E-2</v>
      </c>
      <c r="O23">
        <f t="shared" si="2"/>
        <v>69.400000000000006</v>
      </c>
      <c r="P23">
        <f t="shared" si="3"/>
        <v>0</v>
      </c>
      <c r="Q23">
        <f t="shared" si="4"/>
        <v>0</v>
      </c>
      <c r="R23">
        <f t="shared" si="5"/>
        <v>0</v>
      </c>
      <c r="S23">
        <f t="shared" si="6"/>
        <v>0</v>
      </c>
      <c r="T23">
        <f t="shared" si="7"/>
        <v>0</v>
      </c>
      <c r="U23">
        <f t="shared" si="8"/>
        <v>0</v>
      </c>
      <c r="V23">
        <f t="shared" si="9"/>
        <v>0</v>
      </c>
      <c r="W23">
        <f t="shared" si="10"/>
        <v>0</v>
      </c>
      <c r="X23">
        <f t="shared" si="11"/>
        <v>0</v>
      </c>
    </row>
    <row r="24" spans="1:24" x14ac:dyDescent="0.2">
      <c r="A24" t="s">
        <v>3040</v>
      </c>
      <c r="B24" t="s">
        <v>275</v>
      </c>
      <c r="C24" t="s">
        <v>474</v>
      </c>
      <c r="D24" t="s">
        <v>147</v>
      </c>
      <c r="E24">
        <v>477.08587282575797</v>
      </c>
      <c r="F24">
        <v>459.34104292251902</v>
      </c>
      <c r="G24">
        <v>447.45896927637102</v>
      </c>
      <c r="H24">
        <v>380.72392677964001</v>
      </c>
      <c r="I24">
        <v>329.54737069801098</v>
      </c>
      <c r="J24">
        <v>300.69829568412598</v>
      </c>
      <c r="K24">
        <v>287.83799703632701</v>
      </c>
      <c r="L24">
        <v>283.26610797837998</v>
      </c>
      <c r="M24">
        <v>281.57834098528099</v>
      </c>
      <c r="O24">
        <f t="shared" si="2"/>
        <v>67.2</v>
      </c>
      <c r="P24">
        <f t="shared" si="3"/>
        <v>0.14085514543110961</v>
      </c>
      <c r="Q24">
        <f t="shared" si="4"/>
        <v>0.14629652854977995</v>
      </c>
      <c r="R24">
        <f t="shared" si="5"/>
        <v>0.15018136770992788</v>
      </c>
      <c r="S24">
        <f t="shared" si="6"/>
        <v>0.17650584918161666</v>
      </c>
      <c r="T24">
        <f t="shared" si="7"/>
        <v>0.2039160557029005</v>
      </c>
      <c r="U24">
        <f t="shared" si="8"/>
        <v>0.22347981669504197</v>
      </c>
      <c r="V24">
        <f t="shared" si="9"/>
        <v>0.23346465960683754</v>
      </c>
      <c r="W24">
        <f t="shared" si="10"/>
        <v>0.23723275784595091</v>
      </c>
      <c r="X24">
        <f t="shared" si="11"/>
        <v>0.23865471955285356</v>
      </c>
    </row>
    <row r="25" spans="1:24" hidden="1" x14ac:dyDescent="0.2">
      <c r="A25" t="s">
        <v>3040</v>
      </c>
      <c r="B25" t="s">
        <v>277</v>
      </c>
      <c r="C25" t="s">
        <v>477</v>
      </c>
      <c r="D25" t="s">
        <v>160</v>
      </c>
      <c r="E25">
        <v>49.942593724607804</v>
      </c>
      <c r="F25">
        <v>17.1751766119061</v>
      </c>
      <c r="G25">
        <v>1.67462319555107</v>
      </c>
      <c r="H25">
        <v>1.26760437401165</v>
      </c>
      <c r="I25">
        <v>1.08719262122484</v>
      </c>
      <c r="J25">
        <v>1.03306214032615</v>
      </c>
      <c r="K25">
        <v>0.97748556720189805</v>
      </c>
      <c r="L25">
        <v>0.95066903824572802</v>
      </c>
      <c r="M25">
        <v>0.95613361285599596</v>
      </c>
      <c r="O25">
        <f t="shared" si="2"/>
        <v>69.400000000000006</v>
      </c>
      <c r="P25">
        <f t="shared" si="3"/>
        <v>0</v>
      </c>
      <c r="Q25">
        <f t="shared" si="4"/>
        <v>0</v>
      </c>
      <c r="R25">
        <f t="shared" si="5"/>
        <v>0</v>
      </c>
      <c r="S25">
        <f t="shared" si="6"/>
        <v>0</v>
      </c>
      <c r="T25">
        <f t="shared" si="7"/>
        <v>0</v>
      </c>
      <c r="U25">
        <f t="shared" si="8"/>
        <v>0</v>
      </c>
      <c r="V25">
        <f t="shared" si="9"/>
        <v>0</v>
      </c>
      <c r="W25">
        <f t="shared" si="10"/>
        <v>0</v>
      </c>
      <c r="X25">
        <f t="shared" si="11"/>
        <v>0</v>
      </c>
    </row>
    <row r="26" spans="1:24" hidden="1" x14ac:dyDescent="0.2">
      <c r="A26" t="s">
        <v>3040</v>
      </c>
      <c r="B26" t="s">
        <v>277</v>
      </c>
      <c r="C26" t="s">
        <v>477</v>
      </c>
      <c r="D26" t="s">
        <v>151</v>
      </c>
      <c r="E26">
        <v>2.08663122036549</v>
      </c>
      <c r="F26">
        <v>1.1128303318127599</v>
      </c>
      <c r="G26">
        <v>0.11394310174486701</v>
      </c>
      <c r="H26">
        <v>6.3630631458402698E-2</v>
      </c>
      <c r="I26">
        <v>3.8490840966433799E-2</v>
      </c>
      <c r="J26">
        <v>3.3570634635262997E-2</v>
      </c>
      <c r="K26">
        <v>3.0366844702511799E-2</v>
      </c>
      <c r="L26">
        <v>2.9009867705627902E-2</v>
      </c>
      <c r="M26">
        <v>2.9252620404293401E-2</v>
      </c>
      <c r="O26">
        <f t="shared" si="2"/>
        <v>69.400000000000006</v>
      </c>
      <c r="P26">
        <f t="shared" si="3"/>
        <v>0</v>
      </c>
      <c r="Q26">
        <f t="shared" si="4"/>
        <v>0</v>
      </c>
      <c r="R26">
        <f t="shared" si="5"/>
        <v>0</v>
      </c>
      <c r="S26">
        <f t="shared" si="6"/>
        <v>0</v>
      </c>
      <c r="T26">
        <f t="shared" si="7"/>
        <v>0</v>
      </c>
      <c r="U26">
        <f t="shared" si="8"/>
        <v>0</v>
      </c>
      <c r="V26">
        <f t="shared" si="9"/>
        <v>0</v>
      </c>
      <c r="W26">
        <f t="shared" si="10"/>
        <v>0</v>
      </c>
      <c r="X26">
        <f t="shared" si="11"/>
        <v>0</v>
      </c>
    </row>
    <row r="27" spans="1:24" hidden="1" x14ac:dyDescent="0.2">
      <c r="A27" t="s">
        <v>3040</v>
      </c>
      <c r="B27" t="s">
        <v>277</v>
      </c>
      <c r="C27" t="s">
        <v>477</v>
      </c>
      <c r="D27" t="s">
        <v>164</v>
      </c>
      <c r="E27">
        <v>1.9303161670488799E-2</v>
      </c>
      <c r="F27">
        <v>4.7314144141929901E-2</v>
      </c>
      <c r="G27">
        <v>5.50276559444281E-2</v>
      </c>
      <c r="H27">
        <v>5.60657162202036E-2</v>
      </c>
      <c r="I27">
        <v>5.7627169931772103E-2</v>
      </c>
      <c r="J27">
        <v>5.7677178087133199E-2</v>
      </c>
      <c r="K27">
        <v>5.7050401423645702E-2</v>
      </c>
      <c r="L27">
        <v>5.6262552008010301E-2</v>
      </c>
      <c r="M27">
        <v>5.6833433433417402E-2</v>
      </c>
      <c r="O27">
        <f t="shared" si="2"/>
        <v>69.400000000000006</v>
      </c>
      <c r="P27">
        <f t="shared" si="3"/>
        <v>0</v>
      </c>
      <c r="Q27">
        <f t="shared" si="4"/>
        <v>0</v>
      </c>
      <c r="R27">
        <f t="shared" si="5"/>
        <v>0</v>
      </c>
      <c r="S27">
        <f t="shared" si="6"/>
        <v>0</v>
      </c>
      <c r="T27">
        <f t="shared" si="7"/>
        <v>0</v>
      </c>
      <c r="U27">
        <f t="shared" si="8"/>
        <v>0</v>
      </c>
      <c r="V27">
        <f t="shared" si="9"/>
        <v>0</v>
      </c>
      <c r="W27">
        <f t="shared" si="10"/>
        <v>0</v>
      </c>
      <c r="X27">
        <f t="shared" si="11"/>
        <v>0</v>
      </c>
    </row>
    <row r="28" spans="1:24" hidden="1" x14ac:dyDescent="0.2">
      <c r="A28" t="s">
        <v>3040</v>
      </c>
      <c r="B28" t="s">
        <v>277</v>
      </c>
      <c r="C28" t="s">
        <v>477</v>
      </c>
      <c r="D28" t="s">
        <v>162</v>
      </c>
      <c r="E28">
        <v>1.87792865540622E-3</v>
      </c>
      <c r="F28">
        <v>1.6568504667175501E-3</v>
      </c>
      <c r="G28">
        <v>1.3142543939014999E-3</v>
      </c>
      <c r="H28">
        <v>1.3157667034520699E-3</v>
      </c>
      <c r="I28">
        <v>1.32125488539157E-3</v>
      </c>
      <c r="J28">
        <v>1.32842640810503E-3</v>
      </c>
      <c r="K28">
        <v>1.3320668635412099E-3</v>
      </c>
      <c r="L28">
        <v>1.33322691408776E-3</v>
      </c>
      <c r="M28">
        <v>1.33503374368802E-3</v>
      </c>
      <c r="O28">
        <f t="shared" si="2"/>
        <v>69.400000000000006</v>
      </c>
      <c r="P28">
        <f t="shared" ref="P28:P91" si="12">IF($D28="CO2",$O28/E28, 0)</f>
        <v>0</v>
      </c>
      <c r="Q28">
        <f t="shared" ref="Q28:Q91" si="13">IF($D28="CO2",$O28/F28, 0)</f>
        <v>0</v>
      </c>
      <c r="R28">
        <f t="shared" ref="R28:R91" si="14">IF($D28="CO2",$O28/G28, 0)</f>
        <v>0</v>
      </c>
      <c r="S28">
        <f t="shared" ref="S28:S91" si="15">IF($D28="CO2",$O28/H28, 0)</f>
        <v>0</v>
      </c>
      <c r="T28">
        <f t="shared" ref="T28:T91" si="16">IF($D28="CO2",$O28/I28, 0)</f>
        <v>0</v>
      </c>
      <c r="U28">
        <f t="shared" ref="U28:U91" si="17">IF($D28="CO2",$O28/J28, 0)</f>
        <v>0</v>
      </c>
      <c r="V28">
        <f t="shared" ref="V28:V91" si="18">IF($D28="CO2",$O28/K28, 0)</f>
        <v>0</v>
      </c>
      <c r="W28">
        <f t="shared" ref="W28:W91" si="19">IF($D28="CO2",$O28/L28, 0)</f>
        <v>0</v>
      </c>
      <c r="X28">
        <f t="shared" ref="X28:X91" si="20">IF($D28="CO2",$O28/M28, 0)</f>
        <v>0</v>
      </c>
    </row>
    <row r="29" spans="1:24" hidden="1" x14ac:dyDescent="0.2">
      <c r="A29" t="s">
        <v>3040</v>
      </c>
      <c r="B29" t="s">
        <v>277</v>
      </c>
      <c r="C29" t="s">
        <v>477</v>
      </c>
      <c r="D29" t="s">
        <v>168</v>
      </c>
      <c r="E29">
        <v>1.08790262626179E-2</v>
      </c>
      <c r="F29">
        <v>1.08790257612396E-2</v>
      </c>
      <c r="G29">
        <v>9.9997509147719595E-3</v>
      </c>
      <c r="H29">
        <v>9.9997574019768005E-3</v>
      </c>
      <c r="I29">
        <v>9.9997562324571007E-3</v>
      </c>
      <c r="J29">
        <v>9.9997599950304907E-3</v>
      </c>
      <c r="K29">
        <v>9.9997577966722193E-3</v>
      </c>
      <c r="L29">
        <v>9.9997621202058198E-3</v>
      </c>
      <c r="M29">
        <v>9.9997558682708692E-3</v>
      </c>
      <c r="O29">
        <f t="shared" si="2"/>
        <v>69.400000000000006</v>
      </c>
      <c r="P29">
        <f t="shared" si="12"/>
        <v>0</v>
      </c>
      <c r="Q29">
        <f t="shared" si="13"/>
        <v>0</v>
      </c>
      <c r="R29">
        <f t="shared" si="14"/>
        <v>0</v>
      </c>
      <c r="S29">
        <f t="shared" si="15"/>
        <v>0</v>
      </c>
      <c r="T29">
        <f t="shared" si="16"/>
        <v>0</v>
      </c>
      <c r="U29">
        <f t="shared" si="17"/>
        <v>0</v>
      </c>
      <c r="V29">
        <f t="shared" si="18"/>
        <v>0</v>
      </c>
      <c r="W29">
        <f t="shared" si="19"/>
        <v>0</v>
      </c>
      <c r="X29">
        <f t="shared" si="20"/>
        <v>0</v>
      </c>
    </row>
    <row r="30" spans="1:24" hidden="1" x14ac:dyDescent="0.2">
      <c r="A30" t="s">
        <v>3040</v>
      </c>
      <c r="B30" t="s">
        <v>277</v>
      </c>
      <c r="C30" t="s">
        <v>477</v>
      </c>
      <c r="D30" t="s">
        <v>154</v>
      </c>
      <c r="E30">
        <v>1.46981412794869E-2</v>
      </c>
      <c r="F30">
        <v>1.2476739354987301E-2</v>
      </c>
      <c r="G30">
        <v>3.2894571305210701E-3</v>
      </c>
      <c r="H30">
        <v>2.7470974713693099E-3</v>
      </c>
      <c r="I30">
        <v>2.5003167567209301E-3</v>
      </c>
      <c r="J30">
        <v>2.3974657531320698E-3</v>
      </c>
      <c r="K30">
        <v>2.3350989902441999E-3</v>
      </c>
      <c r="L30">
        <v>2.3124305204455602E-3</v>
      </c>
      <c r="M30">
        <v>2.3117304258920301E-3</v>
      </c>
      <c r="O30">
        <f t="shared" si="2"/>
        <v>69.400000000000006</v>
      </c>
      <c r="P30">
        <f t="shared" si="12"/>
        <v>0</v>
      </c>
      <c r="Q30">
        <f t="shared" si="13"/>
        <v>0</v>
      </c>
      <c r="R30">
        <f t="shared" si="14"/>
        <v>0</v>
      </c>
      <c r="S30">
        <f t="shared" si="15"/>
        <v>0</v>
      </c>
      <c r="T30">
        <f t="shared" si="16"/>
        <v>0</v>
      </c>
      <c r="U30">
        <f t="shared" si="17"/>
        <v>0</v>
      </c>
      <c r="V30">
        <f t="shared" si="18"/>
        <v>0</v>
      </c>
      <c r="W30">
        <f t="shared" si="19"/>
        <v>0</v>
      </c>
      <c r="X30">
        <f t="shared" si="20"/>
        <v>0</v>
      </c>
    </row>
    <row r="31" spans="1:24" hidden="1" x14ac:dyDescent="0.2">
      <c r="A31" t="s">
        <v>3040</v>
      </c>
      <c r="B31" t="s">
        <v>277</v>
      </c>
      <c r="C31" t="s">
        <v>477</v>
      </c>
      <c r="D31" t="s">
        <v>166</v>
      </c>
      <c r="E31">
        <v>4.7108485656014896</v>
      </c>
      <c r="F31">
        <v>1.56912179890187</v>
      </c>
      <c r="G31">
        <v>0.112211627554133</v>
      </c>
      <c r="H31">
        <v>7.6299784710999505E-2</v>
      </c>
      <c r="I31">
        <v>5.8269000142752103E-2</v>
      </c>
      <c r="J31">
        <v>5.6952552482620898E-2</v>
      </c>
      <c r="K31">
        <v>5.5222958764712303E-2</v>
      </c>
      <c r="L31">
        <v>5.4469756291056E-2</v>
      </c>
      <c r="M31">
        <v>5.4998753123770998E-2</v>
      </c>
      <c r="O31">
        <f t="shared" si="2"/>
        <v>69.400000000000006</v>
      </c>
      <c r="P31">
        <f t="shared" si="12"/>
        <v>0</v>
      </c>
      <c r="Q31">
        <f t="shared" si="13"/>
        <v>0</v>
      </c>
      <c r="R31">
        <f t="shared" si="14"/>
        <v>0</v>
      </c>
      <c r="S31">
        <f t="shared" si="15"/>
        <v>0</v>
      </c>
      <c r="T31">
        <f t="shared" si="16"/>
        <v>0</v>
      </c>
      <c r="U31">
        <f t="shared" si="17"/>
        <v>0</v>
      </c>
      <c r="V31">
        <f t="shared" si="18"/>
        <v>0</v>
      </c>
      <c r="W31">
        <f t="shared" si="19"/>
        <v>0</v>
      </c>
      <c r="X31">
        <f t="shared" si="20"/>
        <v>0</v>
      </c>
    </row>
    <row r="32" spans="1:24" x14ac:dyDescent="0.2">
      <c r="A32" t="s">
        <v>329</v>
      </c>
      <c r="B32" t="s">
        <v>275</v>
      </c>
      <c r="C32" t="s">
        <v>477</v>
      </c>
      <c r="D32" t="s">
        <v>147</v>
      </c>
      <c r="E32">
        <v>838.88682808594103</v>
      </c>
      <c r="F32">
        <v>835.58577398344801</v>
      </c>
      <c r="G32">
        <v>824.78710672923296</v>
      </c>
      <c r="H32">
        <v>759.84126302449499</v>
      </c>
      <c r="I32">
        <v>725.89939540411206</v>
      </c>
      <c r="J32">
        <v>714.02687883828003</v>
      </c>
      <c r="K32">
        <v>709.20083865321601</v>
      </c>
      <c r="L32">
        <v>708.18933454886098</v>
      </c>
      <c r="M32">
        <v>708.02534242603997</v>
      </c>
      <c r="O32">
        <f t="shared" si="2"/>
        <v>69.400000000000006</v>
      </c>
      <c r="P32">
        <f t="shared" si="12"/>
        <v>8.2728680051333714E-2</v>
      </c>
      <c r="Q32">
        <f t="shared" si="13"/>
        <v>8.3055506880104851E-2</v>
      </c>
      <c r="R32">
        <f t="shared" si="14"/>
        <v>8.4142925409214891E-2</v>
      </c>
      <c r="S32">
        <f t="shared" si="15"/>
        <v>9.1334866079473179E-2</v>
      </c>
      <c r="T32">
        <f t="shared" si="16"/>
        <v>9.5605534925903415E-2</v>
      </c>
      <c r="U32">
        <f t="shared" si="17"/>
        <v>9.7195220595775941E-2</v>
      </c>
      <c r="V32">
        <f t="shared" si="18"/>
        <v>9.7856624269920131E-2</v>
      </c>
      <c r="W32">
        <f t="shared" si="19"/>
        <v>9.7996392510217634E-2</v>
      </c>
      <c r="X32">
        <f t="shared" si="20"/>
        <v>9.801909033679751E-2</v>
      </c>
    </row>
    <row r="33" spans="1:24" hidden="1" x14ac:dyDescent="0.2">
      <c r="A33" t="s">
        <v>3040</v>
      </c>
      <c r="B33" t="s">
        <v>277</v>
      </c>
      <c r="C33" t="s">
        <v>477</v>
      </c>
      <c r="D33" t="s">
        <v>156</v>
      </c>
      <c r="E33">
        <v>0.213902040332901</v>
      </c>
      <c r="F33">
        <v>0.122647837671889</v>
      </c>
      <c r="G33">
        <v>7.9090763114665993E-2</v>
      </c>
      <c r="H33">
        <v>7.8058738466237995E-2</v>
      </c>
      <c r="I33">
        <v>7.7935055542061094E-2</v>
      </c>
      <c r="J33">
        <v>7.7996493585570995E-2</v>
      </c>
      <c r="K33">
        <v>7.7986704688815606E-2</v>
      </c>
      <c r="L33">
        <v>7.7974444112608704E-2</v>
      </c>
      <c r="M33">
        <v>7.8017136188401295E-2</v>
      </c>
      <c r="O33">
        <f t="shared" si="2"/>
        <v>69.400000000000006</v>
      </c>
      <c r="P33">
        <f t="shared" si="12"/>
        <v>0</v>
      </c>
      <c r="Q33">
        <f t="shared" si="13"/>
        <v>0</v>
      </c>
      <c r="R33">
        <f t="shared" si="14"/>
        <v>0</v>
      </c>
      <c r="S33">
        <f t="shared" si="15"/>
        <v>0</v>
      </c>
      <c r="T33">
        <f t="shared" si="16"/>
        <v>0</v>
      </c>
      <c r="U33">
        <f t="shared" si="17"/>
        <v>0</v>
      </c>
      <c r="V33">
        <f t="shared" si="18"/>
        <v>0</v>
      </c>
      <c r="W33">
        <f t="shared" si="19"/>
        <v>0</v>
      </c>
      <c r="X33">
        <f t="shared" si="20"/>
        <v>0</v>
      </c>
    </row>
    <row r="34" spans="1:24" x14ac:dyDescent="0.2">
      <c r="A34" t="s">
        <v>329</v>
      </c>
      <c r="B34" t="s">
        <v>275</v>
      </c>
      <c r="C34" t="s">
        <v>332</v>
      </c>
      <c r="D34" t="s">
        <v>147</v>
      </c>
      <c r="E34">
        <v>515.41265401278702</v>
      </c>
      <c r="F34">
        <v>495.72565072683199</v>
      </c>
      <c r="G34">
        <v>466.30284557048498</v>
      </c>
      <c r="H34">
        <v>400.49308832066498</v>
      </c>
      <c r="I34">
        <v>377.62070608234501</v>
      </c>
      <c r="J34">
        <v>366.58198756937298</v>
      </c>
      <c r="K34">
        <v>357.18712420633602</v>
      </c>
      <c r="L34">
        <v>355.11774520420602</v>
      </c>
      <c r="M34">
        <v>355.010802692543</v>
      </c>
      <c r="O34">
        <f t="shared" si="2"/>
        <v>0</v>
      </c>
      <c r="P34">
        <f t="shared" si="12"/>
        <v>0</v>
      </c>
      <c r="Q34">
        <f t="shared" si="13"/>
        <v>0</v>
      </c>
      <c r="R34">
        <f t="shared" si="14"/>
        <v>0</v>
      </c>
      <c r="S34">
        <f t="shared" si="15"/>
        <v>0</v>
      </c>
      <c r="T34">
        <f t="shared" si="16"/>
        <v>0</v>
      </c>
      <c r="U34">
        <f t="shared" si="17"/>
        <v>0</v>
      </c>
      <c r="V34">
        <f t="shared" si="18"/>
        <v>0</v>
      </c>
      <c r="W34">
        <f t="shared" si="19"/>
        <v>0</v>
      </c>
      <c r="X34">
        <f t="shared" si="20"/>
        <v>0</v>
      </c>
    </row>
    <row r="35" spans="1:24" hidden="1" x14ac:dyDescent="0.2">
      <c r="A35" t="s">
        <v>3040</v>
      </c>
      <c r="B35" t="s">
        <v>278</v>
      </c>
      <c r="C35" t="s">
        <v>477</v>
      </c>
      <c r="D35" t="s">
        <v>160</v>
      </c>
      <c r="E35">
        <v>36.638710837531299</v>
      </c>
      <c r="F35">
        <v>13.802289372990799</v>
      </c>
      <c r="G35">
        <v>1.83060951218013</v>
      </c>
      <c r="H35">
        <v>1.42377664163083</v>
      </c>
      <c r="I35">
        <v>1.2352882876489999</v>
      </c>
      <c r="J35">
        <v>1.18410876380537</v>
      </c>
      <c r="K35">
        <v>1.12620209678128</v>
      </c>
      <c r="L35">
        <v>1.0967918402460499</v>
      </c>
      <c r="M35">
        <v>1.1047881286346199</v>
      </c>
      <c r="O35">
        <f t="shared" si="2"/>
        <v>69.400000000000006</v>
      </c>
      <c r="P35">
        <f t="shared" si="12"/>
        <v>0</v>
      </c>
      <c r="Q35">
        <f t="shared" si="13"/>
        <v>0</v>
      </c>
      <c r="R35">
        <f t="shared" si="14"/>
        <v>0</v>
      </c>
      <c r="S35">
        <f t="shared" si="15"/>
        <v>0</v>
      </c>
      <c r="T35">
        <f t="shared" si="16"/>
        <v>0</v>
      </c>
      <c r="U35">
        <f t="shared" si="17"/>
        <v>0</v>
      </c>
      <c r="V35">
        <f t="shared" si="18"/>
        <v>0</v>
      </c>
      <c r="W35">
        <f t="shared" si="19"/>
        <v>0</v>
      </c>
      <c r="X35">
        <f t="shared" si="20"/>
        <v>0</v>
      </c>
    </row>
    <row r="36" spans="1:24" hidden="1" x14ac:dyDescent="0.2">
      <c r="A36" t="s">
        <v>3040</v>
      </c>
      <c r="B36" t="s">
        <v>278</v>
      </c>
      <c r="C36" t="s">
        <v>477</v>
      </c>
      <c r="D36" t="s">
        <v>151</v>
      </c>
      <c r="E36">
        <v>1.95668713494791</v>
      </c>
      <c r="F36">
        <v>1.03408849531611</v>
      </c>
      <c r="G36">
        <v>0.13937953634174</v>
      </c>
      <c r="H36">
        <v>8.1975438007071702E-2</v>
      </c>
      <c r="I36">
        <v>5.4488345369794799E-2</v>
      </c>
      <c r="J36">
        <v>4.9514749087093503E-2</v>
      </c>
      <c r="K36">
        <v>4.5924427698312099E-2</v>
      </c>
      <c r="L36">
        <v>4.4303138009832502E-2</v>
      </c>
      <c r="M36">
        <v>4.4775258868072099E-2</v>
      </c>
      <c r="O36">
        <f t="shared" si="2"/>
        <v>69.400000000000006</v>
      </c>
      <c r="P36">
        <f t="shared" si="12"/>
        <v>0</v>
      </c>
      <c r="Q36">
        <f t="shared" si="13"/>
        <v>0</v>
      </c>
      <c r="R36">
        <f t="shared" si="14"/>
        <v>0</v>
      </c>
      <c r="S36">
        <f t="shared" si="15"/>
        <v>0</v>
      </c>
      <c r="T36">
        <f t="shared" si="16"/>
        <v>0</v>
      </c>
      <c r="U36">
        <f t="shared" si="17"/>
        <v>0</v>
      </c>
      <c r="V36">
        <f t="shared" si="18"/>
        <v>0</v>
      </c>
      <c r="W36">
        <f t="shared" si="19"/>
        <v>0</v>
      </c>
      <c r="X36">
        <f t="shared" si="20"/>
        <v>0</v>
      </c>
    </row>
    <row r="37" spans="1:24" hidden="1" x14ac:dyDescent="0.2">
      <c r="A37" t="s">
        <v>3040</v>
      </c>
      <c r="B37" t="s">
        <v>278</v>
      </c>
      <c r="C37" t="s">
        <v>477</v>
      </c>
      <c r="D37" t="s">
        <v>164</v>
      </c>
      <c r="E37">
        <v>2.1427437388803601E-2</v>
      </c>
      <c r="F37">
        <v>6.8123810851615701E-2</v>
      </c>
      <c r="G37">
        <v>8.4114282979682597E-2</v>
      </c>
      <c r="H37">
        <v>8.5739970566574605E-2</v>
      </c>
      <c r="I37">
        <v>8.8151775783847697E-2</v>
      </c>
      <c r="J37">
        <v>8.8303165081313403E-2</v>
      </c>
      <c r="K37">
        <v>8.7389438008873596E-2</v>
      </c>
      <c r="L37">
        <v>8.6177018251102494E-2</v>
      </c>
      <c r="M37">
        <v>8.7069443437911398E-2</v>
      </c>
      <c r="O37">
        <f t="shared" si="2"/>
        <v>69.400000000000006</v>
      </c>
      <c r="P37">
        <f t="shared" si="12"/>
        <v>0</v>
      </c>
      <c r="Q37">
        <f t="shared" si="13"/>
        <v>0</v>
      </c>
      <c r="R37">
        <f t="shared" si="14"/>
        <v>0</v>
      </c>
      <c r="S37">
        <f t="shared" si="15"/>
        <v>0</v>
      </c>
      <c r="T37">
        <f t="shared" si="16"/>
        <v>0</v>
      </c>
      <c r="U37">
        <f t="shared" si="17"/>
        <v>0</v>
      </c>
      <c r="V37">
        <f t="shared" si="18"/>
        <v>0</v>
      </c>
      <c r="W37">
        <f t="shared" si="19"/>
        <v>0</v>
      </c>
      <c r="X37">
        <f t="shared" si="20"/>
        <v>0</v>
      </c>
    </row>
    <row r="38" spans="1:24" hidden="1" x14ac:dyDescent="0.2">
      <c r="A38" t="s">
        <v>3040</v>
      </c>
      <c r="B38" t="s">
        <v>278</v>
      </c>
      <c r="C38" t="s">
        <v>477</v>
      </c>
      <c r="D38" t="s">
        <v>162</v>
      </c>
      <c r="E38">
        <v>1.3603114579099601E-3</v>
      </c>
      <c r="F38">
        <v>1.2207380016465801E-3</v>
      </c>
      <c r="G38">
        <v>9.3236224679539895E-4</v>
      </c>
      <c r="H38">
        <v>9.3485838545814197E-4</v>
      </c>
      <c r="I38">
        <v>9.4390894833491995E-4</v>
      </c>
      <c r="J38">
        <v>9.55738731182473E-4</v>
      </c>
      <c r="K38">
        <v>9.6174235704452298E-4</v>
      </c>
      <c r="L38">
        <v>9.6365485009094001E-4</v>
      </c>
      <c r="M38">
        <v>9.6663636454146504E-4</v>
      </c>
      <c r="O38">
        <f t="shared" si="2"/>
        <v>69.400000000000006</v>
      </c>
      <c r="P38">
        <f t="shared" si="12"/>
        <v>0</v>
      </c>
      <c r="Q38">
        <f t="shared" si="13"/>
        <v>0</v>
      </c>
      <c r="R38">
        <f t="shared" si="14"/>
        <v>0</v>
      </c>
      <c r="S38">
        <f t="shared" si="15"/>
        <v>0</v>
      </c>
      <c r="T38">
        <f t="shared" si="16"/>
        <v>0</v>
      </c>
      <c r="U38">
        <f t="shared" si="17"/>
        <v>0</v>
      </c>
      <c r="V38">
        <f t="shared" si="18"/>
        <v>0</v>
      </c>
      <c r="W38">
        <f t="shared" si="19"/>
        <v>0</v>
      </c>
      <c r="X38">
        <f t="shared" si="20"/>
        <v>0</v>
      </c>
    </row>
    <row r="39" spans="1:24" hidden="1" x14ac:dyDescent="0.2">
      <c r="A39" t="s">
        <v>3040</v>
      </c>
      <c r="B39" t="s">
        <v>278</v>
      </c>
      <c r="C39" t="s">
        <v>477</v>
      </c>
      <c r="D39" t="s">
        <v>168</v>
      </c>
      <c r="E39">
        <v>8.3475144055890696E-3</v>
      </c>
      <c r="F39">
        <v>8.3475050021309897E-3</v>
      </c>
      <c r="G39">
        <v>8.08244701774582E-3</v>
      </c>
      <c r="H39">
        <v>8.0824466744851501E-3</v>
      </c>
      <c r="I39">
        <v>8.0824532011126195E-3</v>
      </c>
      <c r="J39">
        <v>8.0824503228617596E-3</v>
      </c>
      <c r="K39">
        <v>8.0824460840520501E-3</v>
      </c>
      <c r="L39">
        <v>8.0824422769742409E-3</v>
      </c>
      <c r="M39">
        <v>8.0824509340592203E-3</v>
      </c>
      <c r="O39">
        <f t="shared" si="2"/>
        <v>69.400000000000006</v>
      </c>
      <c r="P39">
        <f t="shared" si="12"/>
        <v>0</v>
      </c>
      <c r="Q39">
        <f t="shared" si="13"/>
        <v>0</v>
      </c>
      <c r="R39">
        <f t="shared" si="14"/>
        <v>0</v>
      </c>
      <c r="S39">
        <f t="shared" si="15"/>
        <v>0</v>
      </c>
      <c r="T39">
        <f t="shared" si="16"/>
        <v>0</v>
      </c>
      <c r="U39">
        <f t="shared" si="17"/>
        <v>0</v>
      </c>
      <c r="V39">
        <f t="shared" si="18"/>
        <v>0</v>
      </c>
      <c r="W39">
        <f t="shared" si="19"/>
        <v>0</v>
      </c>
      <c r="X39">
        <f t="shared" si="20"/>
        <v>0</v>
      </c>
    </row>
    <row r="40" spans="1:24" hidden="1" x14ac:dyDescent="0.2">
      <c r="A40" t="s">
        <v>3040</v>
      </c>
      <c r="B40" t="s">
        <v>278</v>
      </c>
      <c r="C40" t="s">
        <v>477</v>
      </c>
      <c r="D40" t="s">
        <v>154</v>
      </c>
      <c r="E40">
        <v>1.2408455682624201E-2</v>
      </c>
      <c r="F40">
        <v>1.0276019938438199E-2</v>
      </c>
      <c r="G40">
        <v>2.6298327304881399E-3</v>
      </c>
      <c r="H40">
        <v>2.2006244414905498E-3</v>
      </c>
      <c r="I40">
        <v>2.00758155548776E-3</v>
      </c>
      <c r="J40">
        <v>1.9295264605228199E-3</v>
      </c>
      <c r="K40">
        <v>1.8817456818101699E-3</v>
      </c>
      <c r="L40">
        <v>1.86416072801446E-3</v>
      </c>
      <c r="M40">
        <v>1.86436908040036E-3</v>
      </c>
      <c r="O40">
        <f t="shared" si="2"/>
        <v>69.400000000000006</v>
      </c>
      <c r="P40">
        <f t="shared" si="12"/>
        <v>0</v>
      </c>
      <c r="Q40">
        <f t="shared" si="13"/>
        <v>0</v>
      </c>
      <c r="R40">
        <f t="shared" si="14"/>
        <v>0</v>
      </c>
      <c r="S40">
        <f t="shared" si="15"/>
        <v>0</v>
      </c>
      <c r="T40">
        <f t="shared" si="16"/>
        <v>0</v>
      </c>
      <c r="U40">
        <f t="shared" si="17"/>
        <v>0</v>
      </c>
      <c r="V40">
        <f t="shared" si="18"/>
        <v>0</v>
      </c>
      <c r="W40">
        <f t="shared" si="19"/>
        <v>0</v>
      </c>
      <c r="X40">
        <f t="shared" si="20"/>
        <v>0</v>
      </c>
    </row>
    <row r="41" spans="1:24" hidden="1" x14ac:dyDescent="0.2">
      <c r="A41" t="s">
        <v>3040</v>
      </c>
      <c r="B41" t="s">
        <v>278</v>
      </c>
      <c r="C41" t="s">
        <v>477</v>
      </c>
      <c r="D41" t="s">
        <v>166</v>
      </c>
      <c r="E41">
        <v>3.5770772878155999</v>
      </c>
      <c r="F41">
        <v>1.39023847476319</v>
      </c>
      <c r="G41">
        <v>0.155020009940218</v>
      </c>
      <c r="H41">
        <v>0.109490423329199</v>
      </c>
      <c r="I41">
        <v>8.7047254389929593E-2</v>
      </c>
      <c r="J41">
        <v>8.5505036729246905E-2</v>
      </c>
      <c r="K41">
        <v>8.29112788035897E-2</v>
      </c>
      <c r="L41">
        <v>8.1769325094706399E-2</v>
      </c>
      <c r="M41">
        <v>8.2597604585349302E-2</v>
      </c>
      <c r="O41">
        <f t="shared" si="2"/>
        <v>69.400000000000006</v>
      </c>
      <c r="P41">
        <f t="shared" si="12"/>
        <v>0</v>
      </c>
      <c r="Q41">
        <f t="shared" si="13"/>
        <v>0</v>
      </c>
      <c r="R41">
        <f t="shared" si="14"/>
        <v>0</v>
      </c>
      <c r="S41">
        <f t="shared" si="15"/>
        <v>0</v>
      </c>
      <c r="T41">
        <f t="shared" si="16"/>
        <v>0</v>
      </c>
      <c r="U41">
        <f t="shared" si="17"/>
        <v>0</v>
      </c>
      <c r="V41">
        <f t="shared" si="18"/>
        <v>0</v>
      </c>
      <c r="W41">
        <f t="shared" si="19"/>
        <v>0</v>
      </c>
      <c r="X41">
        <f t="shared" si="20"/>
        <v>0</v>
      </c>
    </row>
    <row r="42" spans="1:24" x14ac:dyDescent="0.2">
      <c r="A42" t="s">
        <v>329</v>
      </c>
      <c r="B42" t="s">
        <v>275</v>
      </c>
      <c r="C42" t="s">
        <v>69</v>
      </c>
      <c r="D42" t="s">
        <v>147</v>
      </c>
      <c r="E42">
        <v>0</v>
      </c>
      <c r="F42">
        <v>0</v>
      </c>
      <c r="G42">
        <v>0</v>
      </c>
      <c r="H42">
        <v>0</v>
      </c>
      <c r="I42">
        <v>0</v>
      </c>
      <c r="J42">
        <v>0</v>
      </c>
      <c r="K42">
        <v>0</v>
      </c>
      <c r="L42">
        <v>0</v>
      </c>
      <c r="M42">
        <v>0</v>
      </c>
      <c r="O42">
        <f t="shared" si="2"/>
        <v>0</v>
      </c>
      <c r="P42" t="e">
        <f t="shared" si="12"/>
        <v>#DIV/0!</v>
      </c>
      <c r="Q42" t="e">
        <f t="shared" si="13"/>
        <v>#DIV/0!</v>
      </c>
      <c r="R42" t="e">
        <f t="shared" si="14"/>
        <v>#DIV/0!</v>
      </c>
      <c r="S42" t="e">
        <f t="shared" si="15"/>
        <v>#DIV/0!</v>
      </c>
      <c r="T42" t="e">
        <f t="shared" si="16"/>
        <v>#DIV/0!</v>
      </c>
      <c r="U42" t="e">
        <f t="shared" si="17"/>
        <v>#DIV/0!</v>
      </c>
      <c r="V42" t="e">
        <f t="shared" si="18"/>
        <v>#DIV/0!</v>
      </c>
      <c r="W42" t="e">
        <f t="shared" si="19"/>
        <v>#DIV/0!</v>
      </c>
      <c r="X42" t="e">
        <f t="shared" si="20"/>
        <v>#DIV/0!</v>
      </c>
    </row>
    <row r="43" spans="1:24" hidden="1" x14ac:dyDescent="0.2">
      <c r="A43" t="s">
        <v>3040</v>
      </c>
      <c r="B43" t="s">
        <v>278</v>
      </c>
      <c r="C43" t="s">
        <v>477</v>
      </c>
      <c r="D43" t="s">
        <v>156</v>
      </c>
      <c r="E43">
        <v>0.13590431504000899</v>
      </c>
      <c r="F43">
        <v>9.19661609908244E-2</v>
      </c>
      <c r="G43">
        <v>5.0104052009984502E-2</v>
      </c>
      <c r="H43">
        <v>4.9014806290740898E-2</v>
      </c>
      <c r="I43">
        <v>4.8883022727650001E-2</v>
      </c>
      <c r="J43">
        <v>4.8958613624750798E-2</v>
      </c>
      <c r="K43">
        <v>4.8958938451988898E-2</v>
      </c>
      <c r="L43">
        <v>4.8949340858878199E-2</v>
      </c>
      <c r="M43">
        <v>4.8997116084640698E-2</v>
      </c>
      <c r="O43">
        <f t="shared" si="2"/>
        <v>69.400000000000006</v>
      </c>
      <c r="P43">
        <f t="shared" si="12"/>
        <v>0</v>
      </c>
      <c r="Q43">
        <f t="shared" si="13"/>
        <v>0</v>
      </c>
      <c r="R43">
        <f t="shared" si="14"/>
        <v>0</v>
      </c>
      <c r="S43">
        <f t="shared" si="15"/>
        <v>0</v>
      </c>
      <c r="T43">
        <f t="shared" si="16"/>
        <v>0</v>
      </c>
      <c r="U43">
        <f t="shared" si="17"/>
        <v>0</v>
      </c>
      <c r="V43">
        <f t="shared" si="18"/>
        <v>0</v>
      </c>
      <c r="W43">
        <f t="shared" si="19"/>
        <v>0</v>
      </c>
      <c r="X43">
        <f t="shared" si="20"/>
        <v>0</v>
      </c>
    </row>
    <row r="44" spans="1:24" x14ac:dyDescent="0.2">
      <c r="A44" t="s">
        <v>329</v>
      </c>
      <c r="B44" t="s">
        <v>275</v>
      </c>
      <c r="C44" t="s">
        <v>474</v>
      </c>
      <c r="D44" t="s">
        <v>147</v>
      </c>
      <c r="E44">
        <v>643.29881695558004</v>
      </c>
      <c r="F44">
        <v>583.43082633307301</v>
      </c>
      <c r="G44">
        <v>563.26223885442596</v>
      </c>
      <c r="H44">
        <v>471.244671967888</v>
      </c>
      <c r="I44">
        <v>412.13992934500197</v>
      </c>
      <c r="J44">
        <v>382.15841850216998</v>
      </c>
      <c r="K44">
        <v>369.00588961547999</v>
      </c>
      <c r="L44">
        <v>366.289622530256</v>
      </c>
      <c r="M44">
        <v>365.86844674955302</v>
      </c>
      <c r="O44">
        <f t="shared" si="2"/>
        <v>67.2</v>
      </c>
      <c r="P44">
        <f t="shared" si="12"/>
        <v>0.10446156316286244</v>
      </c>
      <c r="Q44">
        <f t="shared" si="13"/>
        <v>0.11518074974262056</v>
      </c>
      <c r="R44">
        <f t="shared" si="14"/>
        <v>0.11930499750289086</v>
      </c>
      <c r="S44">
        <f t="shared" si="15"/>
        <v>0.14260108176794242</v>
      </c>
      <c r="T44">
        <f t="shared" si="16"/>
        <v>0.16305141825689726</v>
      </c>
      <c r="U44">
        <f t="shared" si="17"/>
        <v>0.17584330671919615</v>
      </c>
      <c r="V44">
        <f t="shared" si="18"/>
        <v>0.18211091446270761</v>
      </c>
      <c r="W44">
        <f t="shared" si="19"/>
        <v>0.1834613810126417</v>
      </c>
      <c r="X44">
        <f t="shared" si="20"/>
        <v>0.18367257574961157</v>
      </c>
    </row>
    <row r="45" spans="1:24" hidden="1" x14ac:dyDescent="0.2">
      <c r="A45" t="s">
        <v>3040</v>
      </c>
      <c r="B45" t="s">
        <v>279</v>
      </c>
      <c r="C45" t="s">
        <v>477</v>
      </c>
      <c r="D45" t="s">
        <v>160</v>
      </c>
      <c r="E45">
        <v>33.959001432178802</v>
      </c>
      <c r="F45">
        <v>17.778024994622601</v>
      </c>
      <c r="G45">
        <v>1.7295202019801801</v>
      </c>
      <c r="H45">
        <v>1.3358179965764401</v>
      </c>
      <c r="I45">
        <v>1.1549056869468599</v>
      </c>
      <c r="J45">
        <v>1.1045170638742099</v>
      </c>
      <c r="K45">
        <v>1.0490196067897199</v>
      </c>
      <c r="L45">
        <v>1.0211744003843299</v>
      </c>
      <c r="M45">
        <v>1.0282980778986399</v>
      </c>
      <c r="O45">
        <f t="shared" si="2"/>
        <v>69.400000000000006</v>
      </c>
      <c r="P45">
        <f t="shared" si="12"/>
        <v>0</v>
      </c>
      <c r="Q45">
        <f t="shared" si="13"/>
        <v>0</v>
      </c>
      <c r="R45">
        <f t="shared" si="14"/>
        <v>0</v>
      </c>
      <c r="S45">
        <f t="shared" si="15"/>
        <v>0</v>
      </c>
      <c r="T45">
        <f t="shared" si="16"/>
        <v>0</v>
      </c>
      <c r="U45">
        <f t="shared" si="17"/>
        <v>0</v>
      </c>
      <c r="V45">
        <f t="shared" si="18"/>
        <v>0</v>
      </c>
      <c r="W45">
        <f t="shared" si="19"/>
        <v>0</v>
      </c>
      <c r="X45">
        <f t="shared" si="20"/>
        <v>0</v>
      </c>
    </row>
    <row r="46" spans="1:24" hidden="1" x14ac:dyDescent="0.2">
      <c r="A46" t="s">
        <v>3040</v>
      </c>
      <c r="B46" t="s">
        <v>279</v>
      </c>
      <c r="C46" t="s">
        <v>477</v>
      </c>
      <c r="D46" t="s">
        <v>151</v>
      </c>
      <c r="E46">
        <v>1.9631552344971901</v>
      </c>
      <c r="F46">
        <v>1.3806125660772399</v>
      </c>
      <c r="G46">
        <v>0.129337211025188</v>
      </c>
      <c r="H46">
        <v>7.5114199181629995E-2</v>
      </c>
      <c r="I46">
        <v>4.8850819053097599E-2</v>
      </c>
      <c r="J46">
        <v>4.4000904465129997E-2</v>
      </c>
      <c r="K46">
        <v>4.0593055376388902E-2</v>
      </c>
      <c r="L46">
        <v>3.90779505535142E-2</v>
      </c>
      <c r="M46">
        <v>3.9479948858560501E-2</v>
      </c>
      <c r="O46">
        <f t="shared" si="2"/>
        <v>69.400000000000006</v>
      </c>
      <c r="P46">
        <f t="shared" si="12"/>
        <v>0</v>
      </c>
      <c r="Q46">
        <f t="shared" si="13"/>
        <v>0</v>
      </c>
      <c r="R46">
        <f t="shared" si="14"/>
        <v>0</v>
      </c>
      <c r="S46">
        <f t="shared" si="15"/>
        <v>0</v>
      </c>
      <c r="T46">
        <f t="shared" si="16"/>
        <v>0</v>
      </c>
      <c r="U46">
        <f t="shared" si="17"/>
        <v>0</v>
      </c>
      <c r="V46">
        <f t="shared" si="18"/>
        <v>0</v>
      </c>
      <c r="W46">
        <f t="shared" si="19"/>
        <v>0</v>
      </c>
      <c r="X46">
        <f t="shared" si="20"/>
        <v>0</v>
      </c>
    </row>
    <row r="47" spans="1:24" hidden="1" x14ac:dyDescent="0.2">
      <c r="A47" t="s">
        <v>3040</v>
      </c>
      <c r="B47" t="s">
        <v>279</v>
      </c>
      <c r="C47" t="s">
        <v>477</v>
      </c>
      <c r="D47" t="s">
        <v>164</v>
      </c>
      <c r="E47">
        <v>2.07649753376518E-2</v>
      </c>
      <c r="F47">
        <v>5.3879064536849403E-2</v>
      </c>
      <c r="G47">
        <v>7.3574274011771801E-2</v>
      </c>
      <c r="H47">
        <v>7.4922688966295406E-2</v>
      </c>
      <c r="I47">
        <v>7.6988260998407304E-2</v>
      </c>
      <c r="J47">
        <v>7.7052943379972205E-2</v>
      </c>
      <c r="K47">
        <v>7.6200385446793903E-2</v>
      </c>
      <c r="L47">
        <v>7.5114204897389E-2</v>
      </c>
      <c r="M47">
        <v>7.5889863393422893E-2</v>
      </c>
      <c r="O47">
        <f t="shared" si="2"/>
        <v>69.400000000000006</v>
      </c>
      <c r="P47">
        <f t="shared" si="12"/>
        <v>0</v>
      </c>
      <c r="Q47">
        <f t="shared" si="13"/>
        <v>0</v>
      </c>
      <c r="R47">
        <f t="shared" si="14"/>
        <v>0</v>
      </c>
      <c r="S47">
        <f t="shared" si="15"/>
        <v>0</v>
      </c>
      <c r="T47">
        <f t="shared" si="16"/>
        <v>0</v>
      </c>
      <c r="U47">
        <f t="shared" si="17"/>
        <v>0</v>
      </c>
      <c r="V47">
        <f t="shared" si="18"/>
        <v>0</v>
      </c>
      <c r="W47">
        <f t="shared" si="19"/>
        <v>0</v>
      </c>
      <c r="X47">
        <f t="shared" si="20"/>
        <v>0</v>
      </c>
    </row>
    <row r="48" spans="1:24" hidden="1" x14ac:dyDescent="0.2">
      <c r="A48" t="s">
        <v>3040</v>
      </c>
      <c r="B48" t="s">
        <v>279</v>
      </c>
      <c r="C48" t="s">
        <v>477</v>
      </c>
      <c r="D48" t="s">
        <v>162</v>
      </c>
      <c r="E48">
        <v>1.2624475864433399E-3</v>
      </c>
      <c r="F48">
        <v>1.1883690990758501E-3</v>
      </c>
      <c r="G48">
        <v>9.8928202519836398E-4</v>
      </c>
      <c r="H48">
        <v>9.9147743903602492E-4</v>
      </c>
      <c r="I48">
        <v>9.9943438475981992E-4</v>
      </c>
      <c r="J48">
        <v>1.0098354224096599E-3</v>
      </c>
      <c r="K48">
        <v>1.0151158608519401E-3</v>
      </c>
      <c r="L48">
        <v>1.0167974693840801E-3</v>
      </c>
      <c r="M48">
        <v>1.0194184187444001E-3</v>
      </c>
      <c r="O48">
        <f t="shared" si="2"/>
        <v>69.400000000000006</v>
      </c>
      <c r="P48">
        <f t="shared" si="12"/>
        <v>0</v>
      </c>
      <c r="Q48">
        <f t="shared" si="13"/>
        <v>0</v>
      </c>
      <c r="R48">
        <f t="shared" si="14"/>
        <v>0</v>
      </c>
      <c r="S48">
        <f t="shared" si="15"/>
        <v>0</v>
      </c>
      <c r="T48">
        <f t="shared" si="16"/>
        <v>0</v>
      </c>
      <c r="U48">
        <f t="shared" si="17"/>
        <v>0</v>
      </c>
      <c r="V48">
        <f t="shared" si="18"/>
        <v>0</v>
      </c>
      <c r="W48">
        <f t="shared" si="19"/>
        <v>0</v>
      </c>
      <c r="X48">
        <f t="shared" si="20"/>
        <v>0</v>
      </c>
    </row>
    <row r="49" spans="1:24" hidden="1" x14ac:dyDescent="0.2">
      <c r="A49" t="s">
        <v>3040</v>
      </c>
      <c r="B49" t="s">
        <v>279</v>
      </c>
      <c r="C49" t="s">
        <v>477</v>
      </c>
      <c r="D49" t="s">
        <v>168</v>
      </c>
      <c r="E49">
        <v>8.2888175961369805E-3</v>
      </c>
      <c r="F49">
        <v>8.28884638169404E-3</v>
      </c>
      <c r="G49">
        <v>8.3870365446471907E-3</v>
      </c>
      <c r="H49">
        <v>8.3870179266945406E-3</v>
      </c>
      <c r="I49">
        <v>8.3870204918642492E-3</v>
      </c>
      <c r="J49">
        <v>8.3870196916870903E-3</v>
      </c>
      <c r="K49">
        <v>8.3870281553093604E-3</v>
      </c>
      <c r="L49">
        <v>8.38702098948578E-3</v>
      </c>
      <c r="M49">
        <v>8.3870243591759198E-3</v>
      </c>
      <c r="O49">
        <f t="shared" si="2"/>
        <v>69.400000000000006</v>
      </c>
      <c r="P49">
        <f t="shared" si="12"/>
        <v>0</v>
      </c>
      <c r="Q49">
        <f t="shared" si="13"/>
        <v>0</v>
      </c>
      <c r="R49">
        <f t="shared" si="14"/>
        <v>0</v>
      </c>
      <c r="S49">
        <f t="shared" si="15"/>
        <v>0</v>
      </c>
      <c r="T49">
        <f t="shared" si="16"/>
        <v>0</v>
      </c>
      <c r="U49">
        <f t="shared" si="17"/>
        <v>0</v>
      </c>
      <c r="V49">
        <f t="shared" si="18"/>
        <v>0</v>
      </c>
      <c r="W49">
        <f t="shared" si="19"/>
        <v>0</v>
      </c>
      <c r="X49">
        <f t="shared" si="20"/>
        <v>0</v>
      </c>
    </row>
    <row r="50" spans="1:24" hidden="1" x14ac:dyDescent="0.2">
      <c r="A50" t="s">
        <v>3040</v>
      </c>
      <c r="B50" t="s">
        <v>279</v>
      </c>
      <c r="C50" t="s">
        <v>477</v>
      </c>
      <c r="D50" t="s">
        <v>154</v>
      </c>
      <c r="E50">
        <v>1.17898559151298E-2</v>
      </c>
      <c r="F50">
        <v>1.03183632568031E-2</v>
      </c>
      <c r="G50">
        <v>2.7239955539880398E-3</v>
      </c>
      <c r="H50">
        <v>2.27776189551411E-3</v>
      </c>
      <c r="I50">
        <v>2.0763885131562E-3</v>
      </c>
      <c r="J50">
        <v>1.9942349161768602E-3</v>
      </c>
      <c r="K50">
        <v>1.94410234302206E-3</v>
      </c>
      <c r="L50">
        <v>1.92571555503505E-3</v>
      </c>
      <c r="M50">
        <v>1.92569074305567E-3</v>
      </c>
      <c r="O50">
        <f t="shared" si="2"/>
        <v>69.400000000000006</v>
      </c>
      <c r="P50">
        <f t="shared" si="12"/>
        <v>0</v>
      </c>
      <c r="Q50">
        <f t="shared" si="13"/>
        <v>0</v>
      </c>
      <c r="R50">
        <f t="shared" si="14"/>
        <v>0</v>
      </c>
      <c r="S50">
        <f t="shared" si="15"/>
        <v>0</v>
      </c>
      <c r="T50">
        <f t="shared" si="16"/>
        <v>0</v>
      </c>
      <c r="U50">
        <f t="shared" si="17"/>
        <v>0</v>
      </c>
      <c r="V50">
        <f t="shared" si="18"/>
        <v>0</v>
      </c>
      <c r="W50">
        <f t="shared" si="19"/>
        <v>0</v>
      </c>
      <c r="X50">
        <f t="shared" si="20"/>
        <v>0</v>
      </c>
    </row>
    <row r="51" spans="1:24" hidden="1" x14ac:dyDescent="0.2">
      <c r="A51" t="s">
        <v>3040</v>
      </c>
      <c r="B51" t="s">
        <v>279</v>
      </c>
      <c r="C51" t="s">
        <v>477</v>
      </c>
      <c r="D51" t="s">
        <v>166</v>
      </c>
      <c r="E51">
        <v>3.2030509962261098</v>
      </c>
      <c r="F51">
        <v>1.7608900502990901</v>
      </c>
      <c r="G51">
        <v>0.13903187135480599</v>
      </c>
      <c r="H51">
        <v>9.7185596071446806E-2</v>
      </c>
      <c r="I51">
        <v>7.64351126999782E-2</v>
      </c>
      <c r="J51">
        <v>7.4937225961959994E-2</v>
      </c>
      <c r="K51">
        <v>7.2600271574217695E-2</v>
      </c>
      <c r="L51">
        <v>7.1574457373899197E-2</v>
      </c>
      <c r="M51">
        <v>7.2294112289381193E-2</v>
      </c>
      <c r="O51">
        <f t="shared" si="2"/>
        <v>69.400000000000006</v>
      </c>
      <c r="P51">
        <f t="shared" si="12"/>
        <v>0</v>
      </c>
      <c r="Q51">
        <f t="shared" si="13"/>
        <v>0</v>
      </c>
      <c r="R51">
        <f t="shared" si="14"/>
        <v>0</v>
      </c>
      <c r="S51">
        <f t="shared" si="15"/>
        <v>0</v>
      </c>
      <c r="T51">
        <f t="shared" si="16"/>
        <v>0</v>
      </c>
      <c r="U51">
        <f t="shared" si="17"/>
        <v>0</v>
      </c>
      <c r="V51">
        <f t="shared" si="18"/>
        <v>0</v>
      </c>
      <c r="W51">
        <f t="shared" si="19"/>
        <v>0</v>
      </c>
      <c r="X51">
        <f t="shared" si="20"/>
        <v>0</v>
      </c>
    </row>
    <row r="52" spans="1:24" x14ac:dyDescent="0.2">
      <c r="A52" t="s">
        <v>3040</v>
      </c>
      <c r="B52" t="s">
        <v>276</v>
      </c>
      <c r="C52" t="s">
        <v>477</v>
      </c>
      <c r="D52" t="s">
        <v>147</v>
      </c>
      <c r="E52">
        <v>454.22422332698301</v>
      </c>
      <c r="F52">
        <v>415.98623310718898</v>
      </c>
      <c r="G52">
        <v>341.24154984582401</v>
      </c>
      <c r="H52">
        <v>286.14374563306302</v>
      </c>
      <c r="I52">
        <v>260.90109398597599</v>
      </c>
      <c r="J52">
        <v>250.29294391902499</v>
      </c>
      <c r="K52">
        <v>243.907500195674</v>
      </c>
      <c r="L52">
        <v>241.55525518103801</v>
      </c>
      <c r="M52">
        <v>241.503483186078</v>
      </c>
      <c r="O52">
        <f t="shared" si="2"/>
        <v>69.400000000000006</v>
      </c>
      <c r="P52">
        <f t="shared" si="12"/>
        <v>0.15278797658935273</v>
      </c>
      <c r="Q52">
        <f t="shared" si="13"/>
        <v>0.16683244414513451</v>
      </c>
      <c r="R52">
        <f t="shared" si="14"/>
        <v>0.20337499941421419</v>
      </c>
      <c r="S52">
        <f t="shared" si="15"/>
        <v>0.24253544261979162</v>
      </c>
      <c r="T52">
        <f t="shared" si="16"/>
        <v>0.26600118435582493</v>
      </c>
      <c r="U52">
        <f t="shared" si="17"/>
        <v>0.27727509578716836</v>
      </c>
      <c r="V52">
        <f t="shared" si="18"/>
        <v>0.28453409568924315</v>
      </c>
      <c r="W52">
        <f t="shared" si="19"/>
        <v>0.28730486508350606</v>
      </c>
      <c r="X52">
        <f t="shared" si="20"/>
        <v>0.28736645569011288</v>
      </c>
    </row>
    <row r="53" spans="1:24" hidden="1" x14ac:dyDescent="0.2">
      <c r="A53" t="s">
        <v>3040</v>
      </c>
      <c r="B53" t="s">
        <v>279</v>
      </c>
      <c r="C53" t="s">
        <v>477</v>
      </c>
      <c r="D53" t="s">
        <v>156</v>
      </c>
      <c r="E53">
        <v>0.13169009101509199</v>
      </c>
      <c r="F53">
        <v>9.8083690249445299E-2</v>
      </c>
      <c r="G53">
        <v>5.5514430840345103E-2</v>
      </c>
      <c r="H53">
        <v>5.44794684063677E-2</v>
      </c>
      <c r="I53">
        <v>5.4352731860888202E-2</v>
      </c>
      <c r="J53">
        <v>5.4423278764171301E-2</v>
      </c>
      <c r="K53">
        <v>5.4421339109764703E-2</v>
      </c>
      <c r="L53">
        <v>5.4411460704527799E-2</v>
      </c>
      <c r="M53">
        <v>5.4456547876811902E-2</v>
      </c>
      <c r="O53">
        <f t="shared" si="2"/>
        <v>69.400000000000006</v>
      </c>
      <c r="P53">
        <f t="shared" si="12"/>
        <v>0</v>
      </c>
      <c r="Q53">
        <f t="shared" si="13"/>
        <v>0</v>
      </c>
      <c r="R53">
        <f t="shared" si="14"/>
        <v>0</v>
      </c>
      <c r="S53">
        <f t="shared" si="15"/>
        <v>0</v>
      </c>
      <c r="T53">
        <f t="shared" si="16"/>
        <v>0</v>
      </c>
      <c r="U53">
        <f t="shared" si="17"/>
        <v>0</v>
      </c>
      <c r="V53">
        <f t="shared" si="18"/>
        <v>0</v>
      </c>
      <c r="W53">
        <f t="shared" si="19"/>
        <v>0</v>
      </c>
      <c r="X53">
        <f t="shared" si="20"/>
        <v>0</v>
      </c>
    </row>
    <row r="54" spans="1:24" x14ac:dyDescent="0.2">
      <c r="A54" t="s">
        <v>3040</v>
      </c>
      <c r="B54" t="s">
        <v>276</v>
      </c>
      <c r="C54" t="s">
        <v>332</v>
      </c>
      <c r="D54" t="s">
        <v>147</v>
      </c>
      <c r="E54">
        <v>394.83751183448101</v>
      </c>
      <c r="F54">
        <v>382.24571125104399</v>
      </c>
      <c r="G54">
        <v>311.20898804842699</v>
      </c>
      <c r="H54">
        <v>272.03741746452602</v>
      </c>
      <c r="I54">
        <v>256.63322215887302</v>
      </c>
      <c r="J54">
        <v>249.47351911251101</v>
      </c>
      <c r="K54">
        <v>243.947047715764</v>
      </c>
      <c r="L54">
        <v>242.03087756441701</v>
      </c>
      <c r="M54">
        <v>242.21948488777301</v>
      </c>
      <c r="O54">
        <f t="shared" si="2"/>
        <v>0</v>
      </c>
      <c r="P54">
        <f t="shared" si="12"/>
        <v>0</v>
      </c>
      <c r="Q54">
        <f t="shared" si="13"/>
        <v>0</v>
      </c>
      <c r="R54">
        <f t="shared" si="14"/>
        <v>0</v>
      </c>
      <c r="S54">
        <f t="shared" si="15"/>
        <v>0</v>
      </c>
      <c r="T54">
        <f t="shared" si="16"/>
        <v>0</v>
      </c>
      <c r="U54">
        <f t="shared" si="17"/>
        <v>0</v>
      </c>
      <c r="V54">
        <f t="shared" si="18"/>
        <v>0</v>
      </c>
      <c r="W54">
        <f t="shared" si="19"/>
        <v>0</v>
      </c>
      <c r="X54">
        <f t="shared" si="20"/>
        <v>0</v>
      </c>
    </row>
    <row r="55" spans="1:24" hidden="1" x14ac:dyDescent="0.2">
      <c r="A55" t="s">
        <v>3040</v>
      </c>
      <c r="B55" t="s">
        <v>275</v>
      </c>
      <c r="C55" t="s">
        <v>332</v>
      </c>
      <c r="D55" t="s">
        <v>160</v>
      </c>
      <c r="E55">
        <v>1.32158662771403</v>
      </c>
      <c r="F55">
        <v>1.1051213114887799</v>
      </c>
      <c r="G55">
        <v>0.85699846388005796</v>
      </c>
      <c r="H55">
        <v>0.91971363495352998</v>
      </c>
      <c r="I55">
        <v>1.0081406051919299</v>
      </c>
      <c r="J55">
        <v>1.04990784921702</v>
      </c>
      <c r="K55">
        <v>1.0325958196984799</v>
      </c>
      <c r="L55">
        <v>1.01861793765058</v>
      </c>
      <c r="M55">
        <v>1.03039235154496</v>
      </c>
      <c r="O55">
        <f t="shared" si="2"/>
        <v>0</v>
      </c>
      <c r="P55">
        <f t="shared" si="12"/>
        <v>0</v>
      </c>
      <c r="Q55">
        <f t="shared" si="13"/>
        <v>0</v>
      </c>
      <c r="R55">
        <f t="shared" si="14"/>
        <v>0</v>
      </c>
      <c r="S55">
        <f t="shared" si="15"/>
        <v>0</v>
      </c>
      <c r="T55">
        <f t="shared" si="16"/>
        <v>0</v>
      </c>
      <c r="U55">
        <f t="shared" si="17"/>
        <v>0</v>
      </c>
      <c r="V55">
        <f t="shared" si="18"/>
        <v>0</v>
      </c>
      <c r="W55">
        <f t="shared" si="19"/>
        <v>0</v>
      </c>
      <c r="X55">
        <f t="shared" si="20"/>
        <v>0</v>
      </c>
    </row>
    <row r="56" spans="1:24" hidden="1" x14ac:dyDescent="0.2">
      <c r="A56" t="s">
        <v>3040</v>
      </c>
      <c r="B56" t="s">
        <v>275</v>
      </c>
      <c r="C56" t="s">
        <v>332</v>
      </c>
      <c r="D56" t="s">
        <v>151</v>
      </c>
      <c r="E56">
        <v>4.7739662510445001E-2</v>
      </c>
      <c r="F56">
        <v>4.0222650933890998E-2</v>
      </c>
      <c r="G56">
        <v>3.7026013334327097E-2</v>
      </c>
      <c r="H56">
        <v>3.5721368498802003E-2</v>
      </c>
      <c r="I56">
        <v>3.9556628195455697E-2</v>
      </c>
      <c r="J56">
        <v>4.0892160755087198E-2</v>
      </c>
      <c r="K56">
        <v>3.9809174920499499E-2</v>
      </c>
      <c r="L56">
        <v>3.9117125993598102E-2</v>
      </c>
      <c r="M56">
        <v>3.9686464950090997E-2</v>
      </c>
      <c r="O56">
        <f t="shared" si="2"/>
        <v>0</v>
      </c>
      <c r="P56">
        <f t="shared" si="12"/>
        <v>0</v>
      </c>
      <c r="Q56">
        <f t="shared" si="13"/>
        <v>0</v>
      </c>
      <c r="R56">
        <f t="shared" si="14"/>
        <v>0</v>
      </c>
      <c r="S56">
        <f t="shared" si="15"/>
        <v>0</v>
      </c>
      <c r="T56">
        <f t="shared" si="16"/>
        <v>0</v>
      </c>
      <c r="U56">
        <f t="shared" si="17"/>
        <v>0</v>
      </c>
      <c r="V56">
        <f t="shared" si="18"/>
        <v>0</v>
      </c>
      <c r="W56">
        <f t="shared" si="19"/>
        <v>0</v>
      </c>
      <c r="X56">
        <f t="shared" si="20"/>
        <v>0</v>
      </c>
    </row>
    <row r="57" spans="1:24" hidden="1" x14ac:dyDescent="0.2">
      <c r="A57" t="s">
        <v>3040</v>
      </c>
      <c r="B57" t="s">
        <v>275</v>
      </c>
      <c r="C57" t="s">
        <v>332</v>
      </c>
      <c r="D57" t="s">
        <v>164</v>
      </c>
      <c r="E57">
        <v>1.9861767714788401E-2</v>
      </c>
      <c r="F57">
        <v>1.6826002646991401E-2</v>
      </c>
      <c r="G57">
        <v>1.4540062445343701E-2</v>
      </c>
      <c r="H57">
        <v>1.0889127855739599E-2</v>
      </c>
      <c r="I57">
        <v>9.2771581803737097E-3</v>
      </c>
      <c r="J57">
        <v>8.6157906132964604E-3</v>
      </c>
      <c r="K57">
        <v>8.2603947841698305E-3</v>
      </c>
      <c r="L57">
        <v>8.1602779301112108E-3</v>
      </c>
      <c r="M57">
        <v>8.1861829277557301E-3</v>
      </c>
      <c r="O57">
        <f t="shared" si="2"/>
        <v>0</v>
      </c>
      <c r="P57">
        <f t="shared" si="12"/>
        <v>0</v>
      </c>
      <c r="Q57">
        <f t="shared" si="13"/>
        <v>0</v>
      </c>
      <c r="R57">
        <f t="shared" si="14"/>
        <v>0</v>
      </c>
      <c r="S57">
        <f t="shared" si="15"/>
        <v>0</v>
      </c>
      <c r="T57">
        <f t="shared" si="16"/>
        <v>0</v>
      </c>
      <c r="U57">
        <f t="shared" si="17"/>
        <v>0</v>
      </c>
      <c r="V57">
        <f t="shared" si="18"/>
        <v>0</v>
      </c>
      <c r="W57">
        <f t="shared" si="19"/>
        <v>0</v>
      </c>
      <c r="X57">
        <f t="shared" si="20"/>
        <v>0</v>
      </c>
    </row>
    <row r="58" spans="1:24" hidden="1" x14ac:dyDescent="0.2">
      <c r="A58" t="s">
        <v>3040</v>
      </c>
      <c r="B58" t="s">
        <v>275</v>
      </c>
      <c r="C58" t="s">
        <v>332</v>
      </c>
      <c r="D58" t="s">
        <v>162</v>
      </c>
      <c r="E58">
        <v>6.0586256603843902E-3</v>
      </c>
      <c r="F58">
        <v>6.2537513362051298E-3</v>
      </c>
      <c r="G58">
        <v>6.80614663939446E-3</v>
      </c>
      <c r="H58">
        <v>6.9736830779963798E-3</v>
      </c>
      <c r="I58">
        <v>7.2238049352861501E-3</v>
      </c>
      <c r="J58">
        <v>7.4694271682748297E-3</v>
      </c>
      <c r="K58">
        <v>7.5984944292585002E-3</v>
      </c>
      <c r="L58">
        <v>7.6419049905203E-3</v>
      </c>
      <c r="M58">
        <v>7.6983175372303996E-3</v>
      </c>
      <c r="O58">
        <f t="shared" si="2"/>
        <v>0</v>
      </c>
      <c r="P58">
        <f t="shared" si="12"/>
        <v>0</v>
      </c>
      <c r="Q58">
        <f t="shared" si="13"/>
        <v>0</v>
      </c>
      <c r="R58">
        <f t="shared" si="14"/>
        <v>0</v>
      </c>
      <c r="S58">
        <f t="shared" si="15"/>
        <v>0</v>
      </c>
      <c r="T58">
        <f t="shared" si="16"/>
        <v>0</v>
      </c>
      <c r="U58">
        <f t="shared" si="17"/>
        <v>0</v>
      </c>
      <c r="V58">
        <f t="shared" si="18"/>
        <v>0</v>
      </c>
      <c r="W58">
        <f t="shared" si="19"/>
        <v>0</v>
      </c>
      <c r="X58">
        <f t="shared" si="20"/>
        <v>0</v>
      </c>
    </row>
    <row r="59" spans="1:24" hidden="1" x14ac:dyDescent="0.2">
      <c r="A59" t="s">
        <v>3040</v>
      </c>
      <c r="B59" t="s">
        <v>275</v>
      </c>
      <c r="C59" t="s">
        <v>332</v>
      </c>
      <c r="D59" t="s">
        <v>168</v>
      </c>
      <c r="E59">
        <v>1.8744288340151301E-2</v>
      </c>
      <c r="F59">
        <v>1.87443184019199E-2</v>
      </c>
      <c r="G59">
        <v>2.1533410605215301E-2</v>
      </c>
      <c r="H59">
        <v>2.2190394081474701E-2</v>
      </c>
      <c r="I59">
        <v>2.4069890362633298E-2</v>
      </c>
      <c r="J59">
        <v>2.51391279045017E-2</v>
      </c>
      <c r="K59">
        <v>2.5486378596443E-2</v>
      </c>
      <c r="L59">
        <v>2.5555207964834799E-2</v>
      </c>
      <c r="M59">
        <v>2.5589747988834202E-2</v>
      </c>
      <c r="O59">
        <f t="shared" si="2"/>
        <v>0</v>
      </c>
      <c r="P59">
        <f t="shared" si="12"/>
        <v>0</v>
      </c>
      <c r="Q59">
        <f t="shared" si="13"/>
        <v>0</v>
      </c>
      <c r="R59">
        <f t="shared" si="14"/>
        <v>0</v>
      </c>
      <c r="S59">
        <f t="shared" si="15"/>
        <v>0</v>
      </c>
      <c r="T59">
        <f t="shared" si="16"/>
        <v>0</v>
      </c>
      <c r="U59">
        <f t="shared" si="17"/>
        <v>0</v>
      </c>
      <c r="V59">
        <f t="shared" si="18"/>
        <v>0</v>
      </c>
      <c r="W59">
        <f t="shared" si="19"/>
        <v>0</v>
      </c>
      <c r="X59">
        <f t="shared" si="20"/>
        <v>0</v>
      </c>
    </row>
    <row r="60" spans="1:24" hidden="1" x14ac:dyDescent="0.2">
      <c r="A60" t="s">
        <v>3040</v>
      </c>
      <c r="B60" t="s">
        <v>275</v>
      </c>
      <c r="C60" t="s">
        <v>332</v>
      </c>
      <c r="D60" t="s">
        <v>154</v>
      </c>
      <c r="E60">
        <v>4.5442372364522896E-3</v>
      </c>
      <c r="F60">
        <v>4.3825669717421E-3</v>
      </c>
      <c r="G60">
        <v>2.75316137470643E-3</v>
      </c>
      <c r="H60">
        <v>2.4078903553578401E-3</v>
      </c>
      <c r="I60">
        <v>2.27257345888271E-3</v>
      </c>
      <c r="J60">
        <v>2.2099795405175798E-3</v>
      </c>
      <c r="K60">
        <v>2.16147670002603E-3</v>
      </c>
      <c r="L60">
        <v>2.1446401853113602E-3</v>
      </c>
      <c r="M60">
        <v>2.1464475654284099E-3</v>
      </c>
      <c r="O60">
        <f t="shared" si="2"/>
        <v>0</v>
      </c>
      <c r="P60">
        <f t="shared" si="12"/>
        <v>0</v>
      </c>
      <c r="Q60">
        <f t="shared" si="13"/>
        <v>0</v>
      </c>
      <c r="R60">
        <f t="shared" si="14"/>
        <v>0</v>
      </c>
      <c r="S60">
        <f t="shared" si="15"/>
        <v>0</v>
      </c>
      <c r="T60">
        <f t="shared" si="16"/>
        <v>0</v>
      </c>
      <c r="U60">
        <f t="shared" si="17"/>
        <v>0</v>
      </c>
      <c r="V60">
        <f t="shared" si="18"/>
        <v>0</v>
      </c>
      <c r="W60">
        <f t="shared" si="19"/>
        <v>0</v>
      </c>
      <c r="X60">
        <f t="shared" si="20"/>
        <v>0</v>
      </c>
    </row>
    <row r="61" spans="1:24" hidden="1" x14ac:dyDescent="0.2">
      <c r="A61" t="s">
        <v>3040</v>
      </c>
      <c r="B61" t="s">
        <v>275</v>
      </c>
      <c r="C61" t="s">
        <v>332</v>
      </c>
      <c r="D61" t="s">
        <v>166</v>
      </c>
      <c r="E61">
        <v>0.13207489128696501</v>
      </c>
      <c r="F61">
        <v>0.12626925775646</v>
      </c>
      <c r="G61">
        <v>0.100736508526501</v>
      </c>
      <c r="H61">
        <v>9.5423343083205103E-2</v>
      </c>
      <c r="I61">
        <v>0.111625646710618</v>
      </c>
      <c r="J61">
        <v>0.13327231851045501</v>
      </c>
      <c r="K61">
        <v>0.14972574068165501</v>
      </c>
      <c r="L61">
        <v>0.15567917178582799</v>
      </c>
      <c r="M61">
        <v>0.16731991889835501</v>
      </c>
      <c r="O61">
        <f t="shared" si="2"/>
        <v>0</v>
      </c>
      <c r="P61">
        <f t="shared" si="12"/>
        <v>0</v>
      </c>
      <c r="Q61">
        <f t="shared" si="13"/>
        <v>0</v>
      </c>
      <c r="R61">
        <f t="shared" si="14"/>
        <v>0</v>
      </c>
      <c r="S61">
        <f t="shared" si="15"/>
        <v>0</v>
      </c>
      <c r="T61">
        <f t="shared" si="16"/>
        <v>0</v>
      </c>
      <c r="U61">
        <f t="shared" si="17"/>
        <v>0</v>
      </c>
      <c r="V61">
        <f t="shared" si="18"/>
        <v>0</v>
      </c>
      <c r="W61">
        <f t="shared" si="19"/>
        <v>0</v>
      </c>
      <c r="X61">
        <f t="shared" si="20"/>
        <v>0</v>
      </c>
    </row>
    <row r="62" spans="1:24" x14ac:dyDescent="0.2">
      <c r="A62" t="s">
        <v>3040</v>
      </c>
      <c r="B62" t="s">
        <v>276</v>
      </c>
      <c r="C62" t="s">
        <v>69</v>
      </c>
      <c r="D62" t="s">
        <v>147</v>
      </c>
      <c r="E62">
        <v>0</v>
      </c>
      <c r="F62">
        <v>0</v>
      </c>
      <c r="G62">
        <v>0</v>
      </c>
      <c r="H62">
        <v>0</v>
      </c>
      <c r="I62">
        <v>0</v>
      </c>
      <c r="J62">
        <v>0</v>
      </c>
      <c r="K62">
        <v>0</v>
      </c>
      <c r="L62">
        <v>0</v>
      </c>
      <c r="M62">
        <v>0</v>
      </c>
      <c r="O62">
        <f t="shared" si="2"/>
        <v>0</v>
      </c>
      <c r="P62" t="e">
        <f t="shared" si="12"/>
        <v>#DIV/0!</v>
      </c>
      <c r="Q62" t="e">
        <f t="shared" si="13"/>
        <v>#DIV/0!</v>
      </c>
      <c r="R62" t="e">
        <f t="shared" si="14"/>
        <v>#DIV/0!</v>
      </c>
      <c r="S62" t="e">
        <f t="shared" si="15"/>
        <v>#DIV/0!</v>
      </c>
      <c r="T62" t="e">
        <f t="shared" si="16"/>
        <v>#DIV/0!</v>
      </c>
      <c r="U62" t="e">
        <f t="shared" si="17"/>
        <v>#DIV/0!</v>
      </c>
      <c r="V62" t="e">
        <f t="shared" si="18"/>
        <v>#DIV/0!</v>
      </c>
      <c r="W62" t="e">
        <f t="shared" si="19"/>
        <v>#DIV/0!</v>
      </c>
      <c r="X62" t="e">
        <f t="shared" si="20"/>
        <v>#DIV/0!</v>
      </c>
    </row>
    <row r="63" spans="1:24" hidden="1" x14ac:dyDescent="0.2">
      <c r="A63" t="s">
        <v>3040</v>
      </c>
      <c r="B63" t="s">
        <v>275</v>
      </c>
      <c r="C63" t="s">
        <v>332</v>
      </c>
      <c r="D63" t="s">
        <v>156</v>
      </c>
      <c r="E63">
        <v>6.8718020723861406E-2</v>
      </c>
      <c r="F63">
        <v>6.8726817375946297E-2</v>
      </c>
      <c r="G63">
        <v>7.5053777430390503E-2</v>
      </c>
      <c r="H63">
        <v>7.4787483412829606E-2</v>
      </c>
      <c r="I63">
        <v>7.4715797469106393E-2</v>
      </c>
      <c r="J63">
        <v>7.4683474858337304E-2</v>
      </c>
      <c r="K63">
        <v>7.4519830404688694E-2</v>
      </c>
      <c r="L63">
        <v>7.4375705674705195E-2</v>
      </c>
      <c r="M63">
        <v>7.4367996322656102E-2</v>
      </c>
      <c r="O63">
        <f t="shared" si="2"/>
        <v>0</v>
      </c>
      <c r="P63">
        <f t="shared" si="12"/>
        <v>0</v>
      </c>
      <c r="Q63">
        <f t="shared" si="13"/>
        <v>0</v>
      </c>
      <c r="R63">
        <f t="shared" si="14"/>
        <v>0</v>
      </c>
      <c r="S63">
        <f t="shared" si="15"/>
        <v>0</v>
      </c>
      <c r="T63">
        <f t="shared" si="16"/>
        <v>0</v>
      </c>
      <c r="U63">
        <f t="shared" si="17"/>
        <v>0</v>
      </c>
      <c r="V63">
        <f t="shared" si="18"/>
        <v>0</v>
      </c>
      <c r="W63">
        <f t="shared" si="19"/>
        <v>0</v>
      </c>
      <c r="X63">
        <f t="shared" si="20"/>
        <v>0</v>
      </c>
    </row>
    <row r="64" spans="1:24" x14ac:dyDescent="0.2">
      <c r="A64" t="s">
        <v>3040</v>
      </c>
      <c r="B64" t="s">
        <v>276</v>
      </c>
      <c r="C64" t="s">
        <v>474</v>
      </c>
      <c r="D64" t="s">
        <v>147</v>
      </c>
      <c r="E64">
        <v>437.85746964693402</v>
      </c>
      <c r="F64">
        <v>424.609883045034</v>
      </c>
      <c r="G64">
        <v>389.26792072260798</v>
      </c>
      <c r="H64">
        <v>331.09003080375697</v>
      </c>
      <c r="I64">
        <v>286.46929869872997</v>
      </c>
      <c r="J64">
        <v>261.33080310252802</v>
      </c>
      <c r="K64">
        <v>250.12665030232699</v>
      </c>
      <c r="L64">
        <v>246.146486551527</v>
      </c>
      <c r="M64">
        <v>244.677818234341</v>
      </c>
      <c r="O64">
        <f t="shared" si="2"/>
        <v>67.2</v>
      </c>
      <c r="P64">
        <f t="shared" si="12"/>
        <v>0.15347459997470561</v>
      </c>
      <c r="Q64">
        <f t="shared" si="13"/>
        <v>0.15826292011406806</v>
      </c>
      <c r="R64">
        <f t="shared" si="14"/>
        <v>0.17263174390341471</v>
      </c>
      <c r="S64">
        <f t="shared" si="15"/>
        <v>0.20296594203354512</v>
      </c>
      <c r="T64">
        <f t="shared" si="16"/>
        <v>0.23458011139501536</v>
      </c>
      <c r="U64">
        <f t="shared" si="17"/>
        <v>0.25714534682555351</v>
      </c>
      <c r="V64">
        <f t="shared" si="18"/>
        <v>0.26866389454612555</v>
      </c>
      <c r="W64">
        <f t="shared" si="19"/>
        <v>0.27300816250299276</v>
      </c>
      <c r="X64">
        <f t="shared" si="20"/>
        <v>0.27464688252058461</v>
      </c>
    </row>
    <row r="65" spans="1:24" hidden="1" x14ac:dyDescent="0.2">
      <c r="A65" t="s">
        <v>3040</v>
      </c>
      <c r="B65" t="s">
        <v>276</v>
      </c>
      <c r="C65" t="s">
        <v>332</v>
      </c>
      <c r="D65" t="s">
        <v>160</v>
      </c>
      <c r="E65">
        <v>1.1106141710219199</v>
      </c>
      <c r="F65">
        <v>0.92630032120899797</v>
      </c>
      <c r="G65">
        <v>0.70836745128844603</v>
      </c>
      <c r="H65">
        <v>0.76035132822019802</v>
      </c>
      <c r="I65">
        <v>0.83318246308080801</v>
      </c>
      <c r="J65">
        <v>0.86711380928999104</v>
      </c>
      <c r="K65">
        <v>0.85197482629105803</v>
      </c>
      <c r="L65">
        <v>0.84004828138755605</v>
      </c>
      <c r="M65">
        <v>0.84951701993338402</v>
      </c>
      <c r="O65">
        <f t="shared" si="2"/>
        <v>0</v>
      </c>
      <c r="P65">
        <f t="shared" si="12"/>
        <v>0</v>
      </c>
      <c r="Q65">
        <f t="shared" si="13"/>
        <v>0</v>
      </c>
      <c r="R65">
        <f t="shared" si="14"/>
        <v>0</v>
      </c>
      <c r="S65">
        <f t="shared" si="15"/>
        <v>0</v>
      </c>
      <c r="T65">
        <f t="shared" si="16"/>
        <v>0</v>
      </c>
      <c r="U65">
        <f t="shared" si="17"/>
        <v>0</v>
      </c>
      <c r="V65">
        <f t="shared" si="18"/>
        <v>0</v>
      </c>
      <c r="W65">
        <f t="shared" si="19"/>
        <v>0</v>
      </c>
      <c r="X65">
        <f t="shared" si="20"/>
        <v>0</v>
      </c>
    </row>
    <row r="66" spans="1:24" hidden="1" x14ac:dyDescent="0.2">
      <c r="A66" t="s">
        <v>3040</v>
      </c>
      <c r="B66" t="s">
        <v>276</v>
      </c>
      <c r="C66" t="s">
        <v>332</v>
      </c>
      <c r="D66" t="s">
        <v>151</v>
      </c>
      <c r="E66">
        <v>4.1722988994872201E-2</v>
      </c>
      <c r="F66">
        <v>3.46409702122705E-2</v>
      </c>
      <c r="G66">
        <v>3.2406542165289903E-2</v>
      </c>
      <c r="H66">
        <v>3.0987315768082901E-2</v>
      </c>
      <c r="I66">
        <v>3.42812868295745E-2</v>
      </c>
      <c r="J66">
        <v>3.5241041104630097E-2</v>
      </c>
      <c r="K66">
        <v>3.4104926459791303E-2</v>
      </c>
      <c r="L66">
        <v>3.3427882317031102E-2</v>
      </c>
      <c r="M66">
        <v>3.3891475717267E-2</v>
      </c>
      <c r="O66">
        <f t="shared" si="2"/>
        <v>0</v>
      </c>
      <c r="P66">
        <f t="shared" si="12"/>
        <v>0</v>
      </c>
      <c r="Q66">
        <f t="shared" si="13"/>
        <v>0</v>
      </c>
      <c r="R66">
        <f t="shared" si="14"/>
        <v>0</v>
      </c>
      <c r="S66">
        <f t="shared" si="15"/>
        <v>0</v>
      </c>
      <c r="T66">
        <f t="shared" si="16"/>
        <v>0</v>
      </c>
      <c r="U66">
        <f t="shared" si="17"/>
        <v>0</v>
      </c>
      <c r="V66">
        <f t="shared" si="18"/>
        <v>0</v>
      </c>
      <c r="W66">
        <f t="shared" si="19"/>
        <v>0</v>
      </c>
      <c r="X66">
        <f t="shared" si="20"/>
        <v>0</v>
      </c>
    </row>
    <row r="67" spans="1:24" hidden="1" x14ac:dyDescent="0.2">
      <c r="A67" t="s">
        <v>3040</v>
      </c>
      <c r="B67" t="s">
        <v>276</v>
      </c>
      <c r="C67" t="s">
        <v>332</v>
      </c>
      <c r="D67" t="s">
        <v>164</v>
      </c>
      <c r="E67">
        <v>1.6116881071256101E-2</v>
      </c>
      <c r="F67">
        <v>1.35414212486473E-2</v>
      </c>
      <c r="G67">
        <v>1.1491928516569799E-2</v>
      </c>
      <c r="H67">
        <v>8.5314259330267692E-3</v>
      </c>
      <c r="I67">
        <v>7.2620321039548897E-3</v>
      </c>
      <c r="J67">
        <v>6.7394080571002201E-3</v>
      </c>
      <c r="K67">
        <v>6.4494195705351899E-3</v>
      </c>
      <c r="L67">
        <v>6.3649236127540001E-3</v>
      </c>
      <c r="M67">
        <v>6.3855265963559203E-3</v>
      </c>
      <c r="O67">
        <f t="shared" si="2"/>
        <v>0</v>
      </c>
      <c r="P67">
        <f t="shared" si="12"/>
        <v>0</v>
      </c>
      <c r="Q67">
        <f t="shared" si="13"/>
        <v>0</v>
      </c>
      <c r="R67">
        <f t="shared" si="14"/>
        <v>0</v>
      </c>
      <c r="S67">
        <f t="shared" si="15"/>
        <v>0</v>
      </c>
      <c r="T67">
        <f t="shared" si="16"/>
        <v>0</v>
      </c>
      <c r="U67">
        <f t="shared" si="17"/>
        <v>0</v>
      </c>
      <c r="V67">
        <f t="shared" si="18"/>
        <v>0</v>
      </c>
      <c r="W67">
        <f t="shared" si="19"/>
        <v>0</v>
      </c>
      <c r="X67">
        <f t="shared" si="20"/>
        <v>0</v>
      </c>
    </row>
    <row r="68" spans="1:24" hidden="1" x14ac:dyDescent="0.2">
      <c r="A68" t="s">
        <v>3040</v>
      </c>
      <c r="B68" t="s">
        <v>276</v>
      </c>
      <c r="C68" t="s">
        <v>332</v>
      </c>
      <c r="D68" t="s">
        <v>162</v>
      </c>
      <c r="E68">
        <v>4.9899929081567004E-3</v>
      </c>
      <c r="F68">
        <v>5.1404683892156402E-3</v>
      </c>
      <c r="G68">
        <v>5.4300814679314304E-3</v>
      </c>
      <c r="H68">
        <v>5.56595165298921E-3</v>
      </c>
      <c r="I68">
        <v>5.7688384740272897E-3</v>
      </c>
      <c r="J68">
        <v>5.9680796124647701E-3</v>
      </c>
      <c r="K68">
        <v>6.0727800338873598E-3</v>
      </c>
      <c r="L68">
        <v>6.1079950582028798E-3</v>
      </c>
      <c r="M68">
        <v>6.1537553281445197E-3</v>
      </c>
      <c r="O68">
        <f t="shared" si="2"/>
        <v>0</v>
      </c>
      <c r="P68">
        <f t="shared" si="12"/>
        <v>0</v>
      </c>
      <c r="Q68">
        <f t="shared" si="13"/>
        <v>0</v>
      </c>
      <c r="R68">
        <f t="shared" si="14"/>
        <v>0</v>
      </c>
      <c r="S68">
        <f t="shared" si="15"/>
        <v>0</v>
      </c>
      <c r="T68">
        <f t="shared" si="16"/>
        <v>0</v>
      </c>
      <c r="U68">
        <f t="shared" si="17"/>
        <v>0</v>
      </c>
      <c r="V68">
        <f t="shared" si="18"/>
        <v>0</v>
      </c>
      <c r="W68">
        <f t="shared" si="19"/>
        <v>0</v>
      </c>
      <c r="X68">
        <f t="shared" si="20"/>
        <v>0</v>
      </c>
    </row>
    <row r="69" spans="1:24" hidden="1" x14ac:dyDescent="0.2">
      <c r="A69" t="s">
        <v>3040</v>
      </c>
      <c r="B69" t="s">
        <v>276</v>
      </c>
      <c r="C69" t="s">
        <v>332</v>
      </c>
      <c r="D69" t="s">
        <v>168</v>
      </c>
      <c r="E69">
        <v>1.8079570898517701E-2</v>
      </c>
      <c r="F69">
        <v>1.8079636999697599E-2</v>
      </c>
      <c r="G69">
        <v>1.9655113558621502E-2</v>
      </c>
      <c r="H69">
        <v>2.0254758568530099E-2</v>
      </c>
      <c r="I69">
        <v>2.1970309015692E-2</v>
      </c>
      <c r="J69">
        <v>2.2946274997103E-2</v>
      </c>
      <c r="K69">
        <v>2.3263234119917701E-2</v>
      </c>
      <c r="L69">
        <v>2.3326088366215001E-2</v>
      </c>
      <c r="M69">
        <v>2.33575885977713E-2</v>
      </c>
      <c r="O69">
        <f t="shared" si="2"/>
        <v>0</v>
      </c>
      <c r="P69">
        <f t="shared" si="12"/>
        <v>0</v>
      </c>
      <c r="Q69">
        <f t="shared" si="13"/>
        <v>0</v>
      </c>
      <c r="R69">
        <f t="shared" si="14"/>
        <v>0</v>
      </c>
      <c r="S69">
        <f t="shared" si="15"/>
        <v>0</v>
      </c>
      <c r="T69">
        <f t="shared" si="16"/>
        <v>0</v>
      </c>
      <c r="U69">
        <f t="shared" si="17"/>
        <v>0</v>
      </c>
      <c r="V69">
        <f t="shared" si="18"/>
        <v>0</v>
      </c>
      <c r="W69">
        <f t="shared" si="19"/>
        <v>0</v>
      </c>
      <c r="X69">
        <f t="shared" si="20"/>
        <v>0</v>
      </c>
    </row>
    <row r="70" spans="1:24" hidden="1" x14ac:dyDescent="0.2">
      <c r="A70" t="s">
        <v>3040</v>
      </c>
      <c r="B70" t="s">
        <v>276</v>
      </c>
      <c r="C70" t="s">
        <v>332</v>
      </c>
      <c r="D70" t="s">
        <v>154</v>
      </c>
      <c r="E70">
        <v>4.18045875613407E-3</v>
      </c>
      <c r="F70">
        <v>4.0471378457488504E-3</v>
      </c>
      <c r="G70">
        <v>2.3963740356682502E-3</v>
      </c>
      <c r="H70">
        <v>2.0947461612804202E-3</v>
      </c>
      <c r="I70">
        <v>1.9761294738190999E-3</v>
      </c>
      <c r="J70">
        <v>1.9209993079262E-3</v>
      </c>
      <c r="K70">
        <v>1.8784446265214399E-3</v>
      </c>
      <c r="L70">
        <v>1.8636889724050101E-3</v>
      </c>
      <c r="M70">
        <v>1.8651401165369901E-3</v>
      </c>
      <c r="O70">
        <f t="shared" ref="O70:O133" si="21">IF(C70="DSL",$O$2,IF(C70="GSL",$O$1,IF(C70="CNG",$O$3,0)))</f>
        <v>0</v>
      </c>
      <c r="P70">
        <f t="shared" si="12"/>
        <v>0</v>
      </c>
      <c r="Q70">
        <f t="shared" si="13"/>
        <v>0</v>
      </c>
      <c r="R70">
        <f t="shared" si="14"/>
        <v>0</v>
      </c>
      <c r="S70">
        <f t="shared" si="15"/>
        <v>0</v>
      </c>
      <c r="T70">
        <f t="shared" si="16"/>
        <v>0</v>
      </c>
      <c r="U70">
        <f t="shared" si="17"/>
        <v>0</v>
      </c>
      <c r="V70">
        <f t="shared" si="18"/>
        <v>0</v>
      </c>
      <c r="W70">
        <f t="shared" si="19"/>
        <v>0</v>
      </c>
      <c r="X70">
        <f t="shared" si="20"/>
        <v>0</v>
      </c>
    </row>
    <row r="71" spans="1:24" hidden="1" x14ac:dyDescent="0.2">
      <c r="A71" t="s">
        <v>3040</v>
      </c>
      <c r="B71" t="s">
        <v>276</v>
      </c>
      <c r="C71" t="s">
        <v>332</v>
      </c>
      <c r="D71" t="s">
        <v>166</v>
      </c>
      <c r="E71">
        <v>0.108307993552558</v>
      </c>
      <c r="F71">
        <v>0.103525288595275</v>
      </c>
      <c r="G71">
        <v>8.0340497381977904E-2</v>
      </c>
      <c r="H71">
        <v>7.5743596158134405E-2</v>
      </c>
      <c r="I71">
        <v>8.8655261911971206E-2</v>
      </c>
      <c r="J71">
        <v>0.10581706956195</v>
      </c>
      <c r="K71">
        <v>0.118820433465155</v>
      </c>
      <c r="L71">
        <v>0.123526134201004</v>
      </c>
      <c r="M71">
        <v>0.13283469100223899</v>
      </c>
      <c r="O71">
        <f t="shared" si="21"/>
        <v>0</v>
      </c>
      <c r="P71">
        <f t="shared" si="12"/>
        <v>0</v>
      </c>
      <c r="Q71">
        <f t="shared" si="13"/>
        <v>0</v>
      </c>
      <c r="R71">
        <f t="shared" si="14"/>
        <v>0</v>
      </c>
      <c r="S71">
        <f t="shared" si="15"/>
        <v>0</v>
      </c>
      <c r="T71">
        <f t="shared" si="16"/>
        <v>0</v>
      </c>
      <c r="U71">
        <f t="shared" si="17"/>
        <v>0</v>
      </c>
      <c r="V71">
        <f t="shared" si="18"/>
        <v>0</v>
      </c>
      <c r="W71">
        <f t="shared" si="19"/>
        <v>0</v>
      </c>
      <c r="X71">
        <f t="shared" si="20"/>
        <v>0</v>
      </c>
    </row>
    <row r="72" spans="1:24" x14ac:dyDescent="0.2">
      <c r="A72" t="s">
        <v>329</v>
      </c>
      <c r="B72" t="s">
        <v>276</v>
      </c>
      <c r="C72" t="s">
        <v>477</v>
      </c>
      <c r="D72" t="s">
        <v>147</v>
      </c>
      <c r="E72">
        <v>773.00518961697105</v>
      </c>
      <c r="F72">
        <v>777.05831428786598</v>
      </c>
      <c r="G72">
        <v>722.21118061328798</v>
      </c>
      <c r="H72">
        <v>665.78256916046701</v>
      </c>
      <c r="I72">
        <v>636.24145467371295</v>
      </c>
      <c r="J72">
        <v>625.96899503747898</v>
      </c>
      <c r="K72">
        <v>621.74761645766603</v>
      </c>
      <c r="L72">
        <v>620.86049615628997</v>
      </c>
      <c r="M72">
        <v>620.71437714580998</v>
      </c>
      <c r="O72">
        <f t="shared" si="21"/>
        <v>69.400000000000006</v>
      </c>
      <c r="P72">
        <f t="shared" si="12"/>
        <v>8.977947487569668E-2</v>
      </c>
      <c r="Q72">
        <f t="shared" si="13"/>
        <v>8.9311186463015377E-2</v>
      </c>
      <c r="R72">
        <f t="shared" si="14"/>
        <v>9.6093776810637091E-2</v>
      </c>
      <c r="S72">
        <f t="shared" si="15"/>
        <v>0.10423823514561435</v>
      </c>
      <c r="T72">
        <f t="shared" si="16"/>
        <v>0.1090780858276372</v>
      </c>
      <c r="U72">
        <f t="shared" si="17"/>
        <v>0.11086811096106251</v>
      </c>
      <c r="V72">
        <f t="shared" si="18"/>
        <v>0.11162085412630667</v>
      </c>
      <c r="W72">
        <f t="shared" si="19"/>
        <v>0.11178034426356845</v>
      </c>
      <c r="X72">
        <f t="shared" si="20"/>
        <v>0.11180665786914337</v>
      </c>
    </row>
    <row r="73" spans="1:24" hidden="1" x14ac:dyDescent="0.2">
      <c r="A73" t="s">
        <v>3040</v>
      </c>
      <c r="B73" t="s">
        <v>276</v>
      </c>
      <c r="C73" t="s">
        <v>332</v>
      </c>
      <c r="D73" t="s">
        <v>156</v>
      </c>
      <c r="E73">
        <v>5.70149509117601E-2</v>
      </c>
      <c r="F73">
        <v>5.7021889138304603E-2</v>
      </c>
      <c r="G73">
        <v>5.7501606282491798E-2</v>
      </c>
      <c r="H73">
        <v>5.7272335517784601E-2</v>
      </c>
      <c r="I73">
        <v>5.7208750023327502E-2</v>
      </c>
      <c r="J73">
        <v>5.7179082239302903E-2</v>
      </c>
      <c r="K73">
        <v>5.7038376882496397E-2</v>
      </c>
      <c r="L73">
        <v>5.6915696785157503E-2</v>
      </c>
      <c r="M73">
        <v>5.6908699033520103E-2</v>
      </c>
      <c r="O73">
        <f t="shared" si="21"/>
        <v>0</v>
      </c>
      <c r="P73">
        <f t="shared" si="12"/>
        <v>0</v>
      </c>
      <c r="Q73">
        <f t="shared" si="13"/>
        <v>0</v>
      </c>
      <c r="R73">
        <f t="shared" si="14"/>
        <v>0</v>
      </c>
      <c r="S73">
        <f t="shared" si="15"/>
        <v>0</v>
      </c>
      <c r="T73">
        <f t="shared" si="16"/>
        <v>0</v>
      </c>
      <c r="U73">
        <f t="shared" si="17"/>
        <v>0</v>
      </c>
      <c r="V73">
        <f t="shared" si="18"/>
        <v>0</v>
      </c>
      <c r="W73">
        <f t="shared" si="19"/>
        <v>0</v>
      </c>
      <c r="X73">
        <f t="shared" si="20"/>
        <v>0</v>
      </c>
    </row>
    <row r="74" spans="1:24" x14ac:dyDescent="0.2">
      <c r="A74" t="s">
        <v>329</v>
      </c>
      <c r="B74" t="s">
        <v>276</v>
      </c>
      <c r="C74" t="s">
        <v>332</v>
      </c>
      <c r="D74" t="s">
        <v>147</v>
      </c>
      <c r="E74">
        <v>477.29917297288603</v>
      </c>
      <c r="F74">
        <v>460.55957717868603</v>
      </c>
      <c r="G74">
        <v>408.87694370824198</v>
      </c>
      <c r="H74">
        <v>351.02836844391902</v>
      </c>
      <c r="I74">
        <v>330.89709505174199</v>
      </c>
      <c r="J74">
        <v>321.177313316165</v>
      </c>
      <c r="K74">
        <v>312.93206588236399</v>
      </c>
      <c r="L74">
        <v>311.11498865348102</v>
      </c>
      <c r="M74">
        <v>311.01868986514103</v>
      </c>
      <c r="O74">
        <f t="shared" si="21"/>
        <v>0</v>
      </c>
      <c r="P74">
        <f t="shared" si="12"/>
        <v>0</v>
      </c>
      <c r="Q74">
        <f t="shared" si="13"/>
        <v>0</v>
      </c>
      <c r="R74">
        <f t="shared" si="14"/>
        <v>0</v>
      </c>
      <c r="S74">
        <f t="shared" si="15"/>
        <v>0</v>
      </c>
      <c r="T74">
        <f t="shared" si="16"/>
        <v>0</v>
      </c>
      <c r="U74">
        <f t="shared" si="17"/>
        <v>0</v>
      </c>
      <c r="V74">
        <f t="shared" si="18"/>
        <v>0</v>
      </c>
      <c r="W74">
        <f t="shared" si="19"/>
        <v>0</v>
      </c>
      <c r="X74">
        <f t="shared" si="20"/>
        <v>0</v>
      </c>
    </row>
    <row r="75" spans="1:24" hidden="1" x14ac:dyDescent="0.2">
      <c r="A75" t="s">
        <v>3040</v>
      </c>
      <c r="B75" t="s">
        <v>277</v>
      </c>
      <c r="C75" t="s">
        <v>332</v>
      </c>
      <c r="D75" t="s">
        <v>160</v>
      </c>
      <c r="E75">
        <v>1.2691960654493</v>
      </c>
      <c r="F75">
        <v>1.0417224074664899</v>
      </c>
      <c r="G75">
        <v>0.71990684431713603</v>
      </c>
      <c r="H75">
        <v>0.77406938341631604</v>
      </c>
      <c r="I75">
        <v>0.850428111115753</v>
      </c>
      <c r="J75">
        <v>0.88398432246613101</v>
      </c>
      <c r="K75">
        <v>0.86746558005476404</v>
      </c>
      <c r="L75">
        <v>0.85493079785318604</v>
      </c>
      <c r="M75">
        <v>0.86425549081219399</v>
      </c>
      <c r="O75">
        <f t="shared" si="21"/>
        <v>0</v>
      </c>
      <c r="P75">
        <f t="shared" si="12"/>
        <v>0</v>
      </c>
      <c r="Q75">
        <f t="shared" si="13"/>
        <v>0</v>
      </c>
      <c r="R75">
        <f t="shared" si="14"/>
        <v>0</v>
      </c>
      <c r="S75">
        <f t="shared" si="15"/>
        <v>0</v>
      </c>
      <c r="T75">
        <f t="shared" si="16"/>
        <v>0</v>
      </c>
      <c r="U75">
        <f t="shared" si="17"/>
        <v>0</v>
      </c>
      <c r="V75">
        <f t="shared" si="18"/>
        <v>0</v>
      </c>
      <c r="W75">
        <f t="shared" si="19"/>
        <v>0</v>
      </c>
      <c r="X75">
        <f t="shared" si="20"/>
        <v>0</v>
      </c>
    </row>
    <row r="76" spans="1:24" hidden="1" x14ac:dyDescent="0.2">
      <c r="A76" t="s">
        <v>3040</v>
      </c>
      <c r="B76" t="s">
        <v>277</v>
      </c>
      <c r="C76" t="s">
        <v>332</v>
      </c>
      <c r="D76" t="s">
        <v>151</v>
      </c>
      <c r="E76">
        <v>4.1591145158291702E-2</v>
      </c>
      <c r="F76">
        <v>3.3567901229069899E-2</v>
      </c>
      <c r="G76">
        <v>3.10903118023543E-2</v>
      </c>
      <c r="H76">
        <v>2.9494448323488E-2</v>
      </c>
      <c r="I76">
        <v>3.24157979138915E-2</v>
      </c>
      <c r="J76">
        <v>3.3172947032470201E-2</v>
      </c>
      <c r="K76">
        <v>3.1994284946783497E-2</v>
      </c>
      <c r="L76">
        <v>3.1321415112152799E-2</v>
      </c>
      <c r="M76">
        <v>3.1760554326411998E-2</v>
      </c>
      <c r="O76">
        <f t="shared" si="21"/>
        <v>0</v>
      </c>
      <c r="P76">
        <f t="shared" si="12"/>
        <v>0</v>
      </c>
      <c r="Q76">
        <f t="shared" si="13"/>
        <v>0</v>
      </c>
      <c r="R76">
        <f t="shared" si="14"/>
        <v>0</v>
      </c>
      <c r="S76">
        <f t="shared" si="15"/>
        <v>0</v>
      </c>
      <c r="T76">
        <f t="shared" si="16"/>
        <v>0</v>
      </c>
      <c r="U76">
        <f t="shared" si="17"/>
        <v>0</v>
      </c>
      <c r="V76">
        <f t="shared" si="18"/>
        <v>0</v>
      </c>
      <c r="W76">
        <f t="shared" si="19"/>
        <v>0</v>
      </c>
      <c r="X76">
        <f t="shared" si="20"/>
        <v>0</v>
      </c>
    </row>
    <row r="77" spans="1:24" hidden="1" x14ac:dyDescent="0.2">
      <c r="A77" t="s">
        <v>3040</v>
      </c>
      <c r="B77" t="s">
        <v>277</v>
      </c>
      <c r="C77" t="s">
        <v>332</v>
      </c>
      <c r="D77" t="s">
        <v>164</v>
      </c>
      <c r="E77">
        <v>1.72060513456559E-2</v>
      </c>
      <c r="F77">
        <v>1.39445975504595E-2</v>
      </c>
      <c r="G77">
        <v>1.1545350421749499E-2</v>
      </c>
      <c r="H77">
        <v>8.6081220221104308E-3</v>
      </c>
      <c r="I77">
        <v>7.3358997295851396E-3</v>
      </c>
      <c r="J77">
        <v>6.80763615470716E-3</v>
      </c>
      <c r="K77">
        <v>6.5187746094924597E-3</v>
      </c>
      <c r="L77">
        <v>6.4360300854497997E-3</v>
      </c>
      <c r="M77">
        <v>6.4555791711704098E-3</v>
      </c>
      <c r="O77">
        <f t="shared" si="21"/>
        <v>0</v>
      </c>
      <c r="P77">
        <f t="shared" si="12"/>
        <v>0</v>
      </c>
      <c r="Q77">
        <f t="shared" si="13"/>
        <v>0</v>
      </c>
      <c r="R77">
        <f t="shared" si="14"/>
        <v>0</v>
      </c>
      <c r="S77">
        <f t="shared" si="15"/>
        <v>0</v>
      </c>
      <c r="T77">
        <f t="shared" si="16"/>
        <v>0</v>
      </c>
      <c r="U77">
        <f t="shared" si="17"/>
        <v>0</v>
      </c>
      <c r="V77">
        <f t="shared" si="18"/>
        <v>0</v>
      </c>
      <c r="W77">
        <f t="shared" si="19"/>
        <v>0</v>
      </c>
      <c r="X77">
        <f t="shared" si="20"/>
        <v>0</v>
      </c>
    </row>
    <row r="78" spans="1:24" hidden="1" x14ac:dyDescent="0.2">
      <c r="A78" t="s">
        <v>3040</v>
      </c>
      <c r="B78" t="s">
        <v>277</v>
      </c>
      <c r="C78" t="s">
        <v>332</v>
      </c>
      <c r="D78" t="s">
        <v>162</v>
      </c>
      <c r="E78">
        <v>6.6247436710222896E-3</v>
      </c>
      <c r="F78">
        <v>6.6281448502966099E-3</v>
      </c>
      <c r="G78">
        <v>5.8722582728920596E-3</v>
      </c>
      <c r="H78">
        <v>5.9987733822495001E-3</v>
      </c>
      <c r="I78">
        <v>6.1874595969005101E-3</v>
      </c>
      <c r="J78">
        <v>6.3726817480412997E-3</v>
      </c>
      <c r="K78">
        <v>6.4700080275717697E-3</v>
      </c>
      <c r="L78">
        <v>6.5027598829567098E-3</v>
      </c>
      <c r="M78">
        <v>6.5452972205059003E-3</v>
      </c>
      <c r="O78">
        <f t="shared" si="21"/>
        <v>0</v>
      </c>
      <c r="P78">
        <f t="shared" si="12"/>
        <v>0</v>
      </c>
      <c r="Q78">
        <f t="shared" si="13"/>
        <v>0</v>
      </c>
      <c r="R78">
        <f t="shared" si="14"/>
        <v>0</v>
      </c>
      <c r="S78">
        <f t="shared" si="15"/>
        <v>0</v>
      </c>
      <c r="T78">
        <f t="shared" si="16"/>
        <v>0</v>
      </c>
      <c r="U78">
        <f t="shared" si="17"/>
        <v>0</v>
      </c>
      <c r="V78">
        <f t="shared" si="18"/>
        <v>0</v>
      </c>
      <c r="W78">
        <f t="shared" si="19"/>
        <v>0</v>
      </c>
      <c r="X78">
        <f t="shared" si="20"/>
        <v>0</v>
      </c>
    </row>
    <row r="79" spans="1:24" hidden="1" x14ac:dyDescent="0.2">
      <c r="A79" t="s">
        <v>3040</v>
      </c>
      <c r="B79" t="s">
        <v>277</v>
      </c>
      <c r="C79" t="s">
        <v>332</v>
      </c>
      <c r="D79" t="s">
        <v>168</v>
      </c>
      <c r="E79">
        <v>2.3959600214614001E-2</v>
      </c>
      <c r="F79">
        <v>2.39595561203313E-2</v>
      </c>
      <c r="G79">
        <v>2.1883978700773001E-2</v>
      </c>
      <c r="H79">
        <v>2.25515751155465E-2</v>
      </c>
      <c r="I79">
        <v>2.4461655004649401E-2</v>
      </c>
      <c r="J79">
        <v>2.55482861436532E-2</v>
      </c>
      <c r="K79">
        <v>2.5901161089235299E-2</v>
      </c>
      <c r="L79">
        <v>2.59711515976483E-2</v>
      </c>
      <c r="M79">
        <v>2.6006232363577901E-2</v>
      </c>
      <c r="O79">
        <f t="shared" si="21"/>
        <v>0</v>
      </c>
      <c r="P79">
        <f t="shared" si="12"/>
        <v>0</v>
      </c>
      <c r="Q79">
        <f t="shared" si="13"/>
        <v>0</v>
      </c>
      <c r="R79">
        <f t="shared" si="14"/>
        <v>0</v>
      </c>
      <c r="S79">
        <f t="shared" si="15"/>
        <v>0</v>
      </c>
      <c r="T79">
        <f t="shared" si="16"/>
        <v>0</v>
      </c>
      <c r="U79">
        <f t="shared" si="17"/>
        <v>0</v>
      </c>
      <c r="V79">
        <f t="shared" si="18"/>
        <v>0</v>
      </c>
      <c r="W79">
        <f t="shared" si="19"/>
        <v>0</v>
      </c>
      <c r="X79">
        <f t="shared" si="20"/>
        <v>0</v>
      </c>
    </row>
    <row r="80" spans="1:24" hidden="1" x14ac:dyDescent="0.2">
      <c r="A80" t="s">
        <v>3040</v>
      </c>
      <c r="B80" t="s">
        <v>277</v>
      </c>
      <c r="C80" t="s">
        <v>332</v>
      </c>
      <c r="D80" t="s">
        <v>154</v>
      </c>
      <c r="E80">
        <v>5.7604083038927199E-3</v>
      </c>
      <c r="F80">
        <v>5.5417937646853798E-3</v>
      </c>
      <c r="G80">
        <v>2.7566082972264299E-3</v>
      </c>
      <c r="H80">
        <v>2.4076004556077501E-3</v>
      </c>
      <c r="I80">
        <v>2.2696033600869301E-3</v>
      </c>
      <c r="J80">
        <v>2.2049736201383199E-3</v>
      </c>
      <c r="K80">
        <v>2.1553953660312102E-3</v>
      </c>
      <c r="L80">
        <v>2.1382282417646901E-3</v>
      </c>
      <c r="M80">
        <v>2.1396749034826201E-3</v>
      </c>
      <c r="O80">
        <f t="shared" si="21"/>
        <v>0</v>
      </c>
      <c r="P80">
        <f t="shared" si="12"/>
        <v>0</v>
      </c>
      <c r="Q80">
        <f t="shared" si="13"/>
        <v>0</v>
      </c>
      <c r="R80">
        <f t="shared" si="14"/>
        <v>0</v>
      </c>
      <c r="S80">
        <f t="shared" si="15"/>
        <v>0</v>
      </c>
      <c r="T80">
        <f t="shared" si="16"/>
        <v>0</v>
      </c>
      <c r="U80">
        <f t="shared" si="17"/>
        <v>0</v>
      </c>
      <c r="V80">
        <f t="shared" si="18"/>
        <v>0</v>
      </c>
      <c r="W80">
        <f t="shared" si="19"/>
        <v>0</v>
      </c>
      <c r="X80">
        <f t="shared" si="20"/>
        <v>0</v>
      </c>
    </row>
    <row r="81" spans="1:24" hidden="1" x14ac:dyDescent="0.2">
      <c r="A81" t="s">
        <v>3040</v>
      </c>
      <c r="B81" t="s">
        <v>277</v>
      </c>
      <c r="C81" t="s">
        <v>332</v>
      </c>
      <c r="D81" t="s">
        <v>166</v>
      </c>
      <c r="E81">
        <v>0.12595175891714899</v>
      </c>
      <c r="F81">
        <v>0.117078419912489</v>
      </c>
      <c r="G81">
        <v>8.2694195367886997E-2</v>
      </c>
      <c r="H81">
        <v>7.8253057541772197E-2</v>
      </c>
      <c r="I81">
        <v>9.1630190121546704E-2</v>
      </c>
      <c r="J81">
        <v>0.11005344876291601</v>
      </c>
      <c r="K81">
        <v>0.124255361832616</v>
      </c>
      <c r="L81">
        <v>0.12937271269558401</v>
      </c>
      <c r="M81">
        <v>0.13909439218126199</v>
      </c>
      <c r="O81">
        <f t="shared" si="21"/>
        <v>0</v>
      </c>
      <c r="P81">
        <f t="shared" si="12"/>
        <v>0</v>
      </c>
      <c r="Q81">
        <f t="shared" si="13"/>
        <v>0</v>
      </c>
      <c r="R81">
        <f t="shared" si="14"/>
        <v>0</v>
      </c>
      <c r="S81">
        <f t="shared" si="15"/>
        <v>0</v>
      </c>
      <c r="T81">
        <f t="shared" si="16"/>
        <v>0</v>
      </c>
      <c r="U81">
        <f t="shared" si="17"/>
        <v>0</v>
      </c>
      <c r="V81">
        <f t="shared" si="18"/>
        <v>0</v>
      </c>
      <c r="W81">
        <f t="shared" si="19"/>
        <v>0</v>
      </c>
      <c r="X81">
        <f t="shared" si="20"/>
        <v>0</v>
      </c>
    </row>
    <row r="82" spans="1:24" x14ac:dyDescent="0.2">
      <c r="A82" t="s">
        <v>329</v>
      </c>
      <c r="B82" t="s">
        <v>276</v>
      </c>
      <c r="C82" t="s">
        <v>69</v>
      </c>
      <c r="D82" t="s">
        <v>147</v>
      </c>
      <c r="E82">
        <v>0</v>
      </c>
      <c r="F82">
        <v>0</v>
      </c>
      <c r="G82">
        <v>0</v>
      </c>
      <c r="H82">
        <v>0</v>
      </c>
      <c r="I82">
        <v>0</v>
      </c>
      <c r="J82">
        <v>0</v>
      </c>
      <c r="K82">
        <v>0</v>
      </c>
      <c r="L82">
        <v>0</v>
      </c>
      <c r="M82">
        <v>0</v>
      </c>
      <c r="O82">
        <f t="shared" si="21"/>
        <v>0</v>
      </c>
      <c r="P82" t="e">
        <f t="shared" si="12"/>
        <v>#DIV/0!</v>
      </c>
      <c r="Q82" t="e">
        <f t="shared" si="13"/>
        <v>#DIV/0!</v>
      </c>
      <c r="R82" t="e">
        <f t="shared" si="14"/>
        <v>#DIV/0!</v>
      </c>
      <c r="S82" t="e">
        <f t="shared" si="15"/>
        <v>#DIV/0!</v>
      </c>
      <c r="T82" t="e">
        <f t="shared" si="16"/>
        <v>#DIV/0!</v>
      </c>
      <c r="U82" t="e">
        <f t="shared" si="17"/>
        <v>#DIV/0!</v>
      </c>
      <c r="V82" t="e">
        <f t="shared" si="18"/>
        <v>#DIV/0!</v>
      </c>
      <c r="W82" t="e">
        <f t="shared" si="19"/>
        <v>#DIV/0!</v>
      </c>
      <c r="X82" t="e">
        <f t="shared" si="20"/>
        <v>#DIV/0!</v>
      </c>
    </row>
    <row r="83" spans="1:24" hidden="1" x14ac:dyDescent="0.2">
      <c r="A83" t="s">
        <v>3040</v>
      </c>
      <c r="B83" t="s">
        <v>277</v>
      </c>
      <c r="C83" t="s">
        <v>332</v>
      </c>
      <c r="D83" t="s">
        <v>156</v>
      </c>
      <c r="E83">
        <v>9.5237657915846596E-2</v>
      </c>
      <c r="F83">
        <v>9.5233803814773199E-2</v>
      </c>
      <c r="G83">
        <v>7.6274845717456005E-2</v>
      </c>
      <c r="H83">
        <v>7.6015147426408802E-2</v>
      </c>
      <c r="I83">
        <v>7.5941173275762303E-2</v>
      </c>
      <c r="J83">
        <v>7.5905318392472401E-2</v>
      </c>
      <c r="K83">
        <v>7.5746506350714102E-2</v>
      </c>
      <c r="L83">
        <v>7.5609197138019502E-2</v>
      </c>
      <c r="M83">
        <v>7.5600977518040596E-2</v>
      </c>
      <c r="O83">
        <f t="shared" si="21"/>
        <v>0</v>
      </c>
      <c r="P83">
        <f t="shared" si="12"/>
        <v>0</v>
      </c>
      <c r="Q83">
        <f t="shared" si="13"/>
        <v>0</v>
      </c>
      <c r="R83">
        <f t="shared" si="14"/>
        <v>0</v>
      </c>
      <c r="S83">
        <f t="shared" si="15"/>
        <v>0</v>
      </c>
      <c r="T83">
        <f t="shared" si="16"/>
        <v>0</v>
      </c>
      <c r="U83">
        <f t="shared" si="17"/>
        <v>0</v>
      </c>
      <c r="V83">
        <f t="shared" si="18"/>
        <v>0</v>
      </c>
      <c r="W83">
        <f t="shared" si="19"/>
        <v>0</v>
      </c>
      <c r="X83">
        <f t="shared" si="20"/>
        <v>0</v>
      </c>
    </row>
    <row r="84" spans="1:24" x14ac:dyDescent="0.2">
      <c r="A84" t="s">
        <v>329</v>
      </c>
      <c r="B84" t="s">
        <v>276</v>
      </c>
      <c r="C84" t="s">
        <v>474</v>
      </c>
      <c r="D84" t="s">
        <v>147</v>
      </c>
      <c r="E84">
        <v>597.33559757265004</v>
      </c>
      <c r="F84">
        <v>553.28127212576896</v>
      </c>
      <c r="G84">
        <v>493.82406756493799</v>
      </c>
      <c r="H84">
        <v>412.98439479110601</v>
      </c>
      <c r="I84">
        <v>361.12439946055099</v>
      </c>
      <c r="J84">
        <v>334.85995891651203</v>
      </c>
      <c r="K84">
        <v>323.34611754862402</v>
      </c>
      <c r="L84">
        <v>320.96738270464499</v>
      </c>
      <c r="M84">
        <v>320.59740368618702</v>
      </c>
      <c r="O84">
        <f t="shared" si="21"/>
        <v>67.2</v>
      </c>
      <c r="P84">
        <f t="shared" si="12"/>
        <v>0.11249957356145496</v>
      </c>
      <c r="Q84">
        <f t="shared" si="13"/>
        <v>0.12145721061876906</v>
      </c>
      <c r="R84">
        <f t="shared" si="14"/>
        <v>0.13608085229900865</v>
      </c>
      <c r="S84">
        <f t="shared" si="15"/>
        <v>0.16271801270842404</v>
      </c>
      <c r="T84">
        <f t="shared" si="16"/>
        <v>0.18608546002536416</v>
      </c>
      <c r="U84">
        <f t="shared" si="17"/>
        <v>0.20068090618369347</v>
      </c>
      <c r="V84">
        <f t="shared" si="18"/>
        <v>0.20782683432063978</v>
      </c>
      <c r="W84">
        <f t="shared" si="19"/>
        <v>0.20936706849691833</v>
      </c>
      <c r="X84">
        <f t="shared" si="20"/>
        <v>0.209608684372809</v>
      </c>
    </row>
    <row r="85" spans="1:24" hidden="1" x14ac:dyDescent="0.2">
      <c r="A85" t="s">
        <v>3040</v>
      </c>
      <c r="B85" t="s">
        <v>278</v>
      </c>
      <c r="C85" t="s">
        <v>332</v>
      </c>
      <c r="D85" t="s">
        <v>160</v>
      </c>
      <c r="E85">
        <v>1.48251124534534</v>
      </c>
      <c r="F85">
        <v>1.22808663434379</v>
      </c>
      <c r="G85">
        <v>0.91807354200382896</v>
      </c>
      <c r="H85">
        <v>0.98238297821727305</v>
      </c>
      <c r="I85">
        <v>1.0725932306113299</v>
      </c>
      <c r="J85">
        <v>1.1199441114408999</v>
      </c>
      <c r="K85">
        <v>1.10453796202271</v>
      </c>
      <c r="L85">
        <v>1.0907612634210799</v>
      </c>
      <c r="M85">
        <v>1.1043108576684499</v>
      </c>
      <c r="O85">
        <f t="shared" si="21"/>
        <v>0</v>
      </c>
      <c r="P85">
        <f t="shared" si="12"/>
        <v>0</v>
      </c>
      <c r="Q85">
        <f t="shared" si="13"/>
        <v>0</v>
      </c>
      <c r="R85">
        <f t="shared" si="14"/>
        <v>0</v>
      </c>
      <c r="S85">
        <f t="shared" si="15"/>
        <v>0</v>
      </c>
      <c r="T85">
        <f t="shared" si="16"/>
        <v>0</v>
      </c>
      <c r="U85">
        <f t="shared" si="17"/>
        <v>0</v>
      </c>
      <c r="V85">
        <f t="shared" si="18"/>
        <v>0</v>
      </c>
      <c r="W85">
        <f t="shared" si="19"/>
        <v>0</v>
      </c>
      <c r="X85">
        <f t="shared" si="20"/>
        <v>0</v>
      </c>
    </row>
    <row r="86" spans="1:24" hidden="1" x14ac:dyDescent="0.2">
      <c r="A86" t="s">
        <v>3040</v>
      </c>
      <c r="B86" t="s">
        <v>278</v>
      </c>
      <c r="C86" t="s">
        <v>332</v>
      </c>
      <c r="D86" t="s">
        <v>151</v>
      </c>
      <c r="E86">
        <v>5.43221938231905E-2</v>
      </c>
      <c r="F86">
        <v>4.5813368539693498E-2</v>
      </c>
      <c r="G86">
        <v>4.3138992375732398E-2</v>
      </c>
      <c r="H86">
        <v>4.22702301498529E-2</v>
      </c>
      <c r="I86">
        <v>4.7266554092845102E-2</v>
      </c>
      <c r="J86">
        <v>4.92796412957313E-2</v>
      </c>
      <c r="K86">
        <v>4.83132390691993E-2</v>
      </c>
      <c r="L86">
        <v>4.7598470704443001E-2</v>
      </c>
      <c r="M86">
        <v>4.8291189756298203E-2</v>
      </c>
      <c r="O86">
        <f t="shared" si="21"/>
        <v>0</v>
      </c>
      <c r="P86">
        <f t="shared" si="12"/>
        <v>0</v>
      </c>
      <c r="Q86">
        <f t="shared" si="13"/>
        <v>0</v>
      </c>
      <c r="R86">
        <f t="shared" si="14"/>
        <v>0</v>
      </c>
      <c r="S86">
        <f t="shared" si="15"/>
        <v>0</v>
      </c>
      <c r="T86">
        <f t="shared" si="16"/>
        <v>0</v>
      </c>
      <c r="U86">
        <f t="shared" si="17"/>
        <v>0</v>
      </c>
      <c r="V86">
        <f t="shared" si="18"/>
        <v>0</v>
      </c>
      <c r="W86">
        <f t="shared" si="19"/>
        <v>0</v>
      </c>
      <c r="X86">
        <f t="shared" si="20"/>
        <v>0</v>
      </c>
    </row>
    <row r="87" spans="1:24" hidden="1" x14ac:dyDescent="0.2">
      <c r="A87" t="s">
        <v>3040</v>
      </c>
      <c r="B87" t="s">
        <v>278</v>
      </c>
      <c r="C87" t="s">
        <v>332</v>
      </c>
      <c r="D87" t="s">
        <v>164</v>
      </c>
      <c r="E87">
        <v>2.33674779731823E-2</v>
      </c>
      <c r="F87">
        <v>1.9525178006445001E-2</v>
      </c>
      <c r="G87">
        <v>1.6477832855323799E-2</v>
      </c>
      <c r="H87">
        <v>1.2323455390398899E-2</v>
      </c>
      <c r="I87">
        <v>1.0486485983059899E-2</v>
      </c>
      <c r="J87">
        <v>9.7436333441081602E-3</v>
      </c>
      <c r="K87">
        <v>9.3430650941362103E-3</v>
      </c>
      <c r="L87">
        <v>9.2294945579063908E-3</v>
      </c>
      <c r="M87">
        <v>9.2611544349932001E-3</v>
      </c>
      <c r="O87">
        <f t="shared" si="21"/>
        <v>0</v>
      </c>
      <c r="P87">
        <f t="shared" si="12"/>
        <v>0</v>
      </c>
      <c r="Q87">
        <f t="shared" si="13"/>
        <v>0</v>
      </c>
      <c r="R87">
        <f t="shared" si="14"/>
        <v>0</v>
      </c>
      <c r="S87">
        <f t="shared" si="15"/>
        <v>0</v>
      </c>
      <c r="T87">
        <f t="shared" si="16"/>
        <v>0</v>
      </c>
      <c r="U87">
        <f t="shared" si="17"/>
        <v>0</v>
      </c>
      <c r="V87">
        <f t="shared" si="18"/>
        <v>0</v>
      </c>
      <c r="W87">
        <f t="shared" si="19"/>
        <v>0</v>
      </c>
      <c r="X87">
        <f t="shared" si="20"/>
        <v>0</v>
      </c>
    </row>
    <row r="88" spans="1:24" hidden="1" x14ac:dyDescent="0.2">
      <c r="A88" t="s">
        <v>3040</v>
      </c>
      <c r="B88" t="s">
        <v>278</v>
      </c>
      <c r="C88" t="s">
        <v>332</v>
      </c>
      <c r="D88" t="s">
        <v>162</v>
      </c>
      <c r="E88">
        <v>7.2287830937431304E-3</v>
      </c>
      <c r="F88">
        <v>7.4146327299102702E-3</v>
      </c>
      <c r="G88">
        <v>6.76375506570253E-3</v>
      </c>
      <c r="H88">
        <v>6.9716691870337104E-3</v>
      </c>
      <c r="I88">
        <v>7.2825939573400002E-3</v>
      </c>
      <c r="J88">
        <v>7.5880838814802402E-3</v>
      </c>
      <c r="K88">
        <v>7.7486002757361496E-3</v>
      </c>
      <c r="L88">
        <v>7.8025827022679597E-3</v>
      </c>
      <c r="M88">
        <v>7.8727516933241991E-3</v>
      </c>
      <c r="O88">
        <f t="shared" si="21"/>
        <v>0</v>
      </c>
      <c r="P88">
        <f t="shared" si="12"/>
        <v>0</v>
      </c>
      <c r="Q88">
        <f t="shared" si="13"/>
        <v>0</v>
      </c>
      <c r="R88">
        <f t="shared" si="14"/>
        <v>0</v>
      </c>
      <c r="S88">
        <f t="shared" si="15"/>
        <v>0</v>
      </c>
      <c r="T88">
        <f t="shared" si="16"/>
        <v>0</v>
      </c>
      <c r="U88">
        <f t="shared" si="17"/>
        <v>0</v>
      </c>
      <c r="V88">
        <f t="shared" si="18"/>
        <v>0</v>
      </c>
      <c r="W88">
        <f t="shared" si="19"/>
        <v>0</v>
      </c>
      <c r="X88">
        <f t="shared" si="20"/>
        <v>0</v>
      </c>
    </row>
    <row r="89" spans="1:24" hidden="1" x14ac:dyDescent="0.2">
      <c r="A89" t="s">
        <v>3040</v>
      </c>
      <c r="B89" t="s">
        <v>278</v>
      </c>
      <c r="C89" t="s">
        <v>332</v>
      </c>
      <c r="D89" t="s">
        <v>168</v>
      </c>
      <c r="E89">
        <v>1.8729600919409201E-2</v>
      </c>
      <c r="F89">
        <v>1.87295992113196E-2</v>
      </c>
      <c r="G89">
        <v>1.7896401271485798E-2</v>
      </c>
      <c r="H89">
        <v>1.8442422202507001E-2</v>
      </c>
      <c r="I89">
        <v>2.00045303285145E-2</v>
      </c>
      <c r="J89">
        <v>2.0893189392550599E-2</v>
      </c>
      <c r="K89">
        <v>2.1181769136144502E-2</v>
      </c>
      <c r="L89">
        <v>2.1238997688836601E-2</v>
      </c>
      <c r="M89">
        <v>2.1267714859422301E-2</v>
      </c>
      <c r="O89">
        <f t="shared" si="21"/>
        <v>0</v>
      </c>
      <c r="P89">
        <f t="shared" si="12"/>
        <v>0</v>
      </c>
      <c r="Q89">
        <f t="shared" si="13"/>
        <v>0</v>
      </c>
      <c r="R89">
        <f t="shared" si="14"/>
        <v>0</v>
      </c>
      <c r="S89">
        <f t="shared" si="15"/>
        <v>0</v>
      </c>
      <c r="T89">
        <f t="shared" si="16"/>
        <v>0</v>
      </c>
      <c r="U89">
        <f t="shared" si="17"/>
        <v>0</v>
      </c>
      <c r="V89">
        <f t="shared" si="18"/>
        <v>0</v>
      </c>
      <c r="W89">
        <f t="shared" si="19"/>
        <v>0</v>
      </c>
      <c r="X89">
        <f t="shared" si="20"/>
        <v>0</v>
      </c>
    </row>
    <row r="90" spans="1:24" hidden="1" x14ac:dyDescent="0.2">
      <c r="A90" t="s">
        <v>3040</v>
      </c>
      <c r="B90" t="s">
        <v>278</v>
      </c>
      <c r="C90" t="s">
        <v>332</v>
      </c>
      <c r="D90" t="s">
        <v>154</v>
      </c>
      <c r="E90">
        <v>4.5233219210783302E-3</v>
      </c>
      <c r="F90">
        <v>4.35150523268109E-3</v>
      </c>
      <c r="G90">
        <v>2.2073239302791599E-3</v>
      </c>
      <c r="H90">
        <v>1.93600769277144E-3</v>
      </c>
      <c r="I90">
        <v>1.83171782200173E-3</v>
      </c>
      <c r="J90">
        <v>1.7848006969164801E-3</v>
      </c>
      <c r="K90">
        <v>1.74760082534328E-3</v>
      </c>
      <c r="L90">
        <v>1.73462764249673E-3</v>
      </c>
      <c r="M90">
        <v>1.7366872463193499E-3</v>
      </c>
      <c r="O90">
        <f t="shared" si="21"/>
        <v>0</v>
      </c>
      <c r="P90">
        <f t="shared" si="12"/>
        <v>0</v>
      </c>
      <c r="Q90">
        <f t="shared" si="13"/>
        <v>0</v>
      </c>
      <c r="R90">
        <f t="shared" si="14"/>
        <v>0</v>
      </c>
      <c r="S90">
        <f t="shared" si="15"/>
        <v>0</v>
      </c>
      <c r="T90">
        <f t="shared" si="16"/>
        <v>0</v>
      </c>
      <c r="U90">
        <f t="shared" si="17"/>
        <v>0</v>
      </c>
      <c r="V90">
        <f t="shared" si="18"/>
        <v>0</v>
      </c>
      <c r="W90">
        <f t="shared" si="19"/>
        <v>0</v>
      </c>
      <c r="X90">
        <f t="shared" si="20"/>
        <v>0</v>
      </c>
    </row>
    <row r="91" spans="1:24" hidden="1" x14ac:dyDescent="0.2">
      <c r="A91" t="s">
        <v>3040</v>
      </c>
      <c r="B91" t="s">
        <v>278</v>
      </c>
      <c r="C91" t="s">
        <v>332</v>
      </c>
      <c r="D91" t="s">
        <v>166</v>
      </c>
      <c r="E91">
        <v>0.16321186757077699</v>
      </c>
      <c r="F91">
        <v>0.154397875969284</v>
      </c>
      <c r="G91">
        <v>0.10925895770364299</v>
      </c>
      <c r="H91">
        <v>0.10320250472907801</v>
      </c>
      <c r="I91">
        <v>0.120586776372786</v>
      </c>
      <c r="J91">
        <v>0.14263504906803201</v>
      </c>
      <c r="K91">
        <v>0.15896719271608001</v>
      </c>
      <c r="L91">
        <v>0.16492550955944399</v>
      </c>
      <c r="M91">
        <v>0.17726949696552699</v>
      </c>
      <c r="O91">
        <f t="shared" si="21"/>
        <v>0</v>
      </c>
      <c r="P91">
        <f t="shared" si="12"/>
        <v>0</v>
      </c>
      <c r="Q91">
        <f t="shared" si="13"/>
        <v>0</v>
      </c>
      <c r="R91">
        <f t="shared" si="14"/>
        <v>0</v>
      </c>
      <c r="S91">
        <f t="shared" si="15"/>
        <v>0</v>
      </c>
      <c r="T91">
        <f t="shared" si="16"/>
        <v>0</v>
      </c>
      <c r="U91">
        <f t="shared" si="17"/>
        <v>0</v>
      </c>
      <c r="V91">
        <f t="shared" si="18"/>
        <v>0</v>
      </c>
      <c r="W91">
        <f t="shared" si="19"/>
        <v>0</v>
      </c>
      <c r="X91">
        <f t="shared" si="20"/>
        <v>0</v>
      </c>
    </row>
    <row r="92" spans="1:24" x14ac:dyDescent="0.2">
      <c r="A92" t="s">
        <v>3040</v>
      </c>
      <c r="B92" t="s">
        <v>277</v>
      </c>
      <c r="C92" t="s">
        <v>477</v>
      </c>
      <c r="D92" t="s">
        <v>147</v>
      </c>
      <c r="E92">
        <v>592.25900902446597</v>
      </c>
      <c r="F92">
        <v>520.64964372058603</v>
      </c>
      <c r="G92">
        <v>392.28875494890798</v>
      </c>
      <c r="H92">
        <v>328.93351567098</v>
      </c>
      <c r="I92">
        <v>299.82015329661198</v>
      </c>
      <c r="J92">
        <v>287.49392836870999</v>
      </c>
      <c r="K92">
        <v>280.08458814076198</v>
      </c>
      <c r="L92">
        <v>277.36555832713299</v>
      </c>
      <c r="M92">
        <v>277.28160240150402</v>
      </c>
      <c r="O92">
        <f t="shared" si="21"/>
        <v>69.400000000000006</v>
      </c>
      <c r="P92">
        <f t="shared" ref="P92:P155" si="22">IF($D92="CO2",$O92/E92, 0)</f>
        <v>0.11717846236617251</v>
      </c>
      <c r="Q92">
        <f t="shared" ref="Q92:Q155" si="23">IF($D92="CO2",$O92/F92, 0)</f>
        <v>0.13329501102519623</v>
      </c>
      <c r="R92">
        <f t="shared" ref="R92:R155" si="24">IF($D92="CO2",$O92/G92, 0)</f>
        <v>0.17691050055472204</v>
      </c>
      <c r="S92">
        <f t="shared" ref="S92:S155" si="25">IF($D92="CO2",$O92/H92, 0)</f>
        <v>0.2109848850714813</v>
      </c>
      <c r="T92">
        <f t="shared" ref="T92:T155" si="26">IF($D92="CO2",$O92/I92, 0)</f>
        <v>0.23147209831269283</v>
      </c>
      <c r="U92">
        <f t="shared" ref="U92:U155" si="27">IF($D92="CO2",$O92/J92, 0)</f>
        <v>0.2413964023302598</v>
      </c>
      <c r="V92">
        <f t="shared" ref="V92:V155" si="28">IF($D92="CO2",$O92/K92, 0)</f>
        <v>0.24778228770346222</v>
      </c>
      <c r="W92">
        <f t="shared" ref="W92:W155" si="29">IF($D92="CO2",$O92/L92, 0)</f>
        <v>0.2502113110891282</v>
      </c>
      <c r="X92">
        <f t="shared" ref="X92:X155" si="30">IF($D92="CO2",$O92/M92, 0)</f>
        <v>0.25028707061317662</v>
      </c>
    </row>
    <row r="93" spans="1:24" hidden="1" x14ac:dyDescent="0.2">
      <c r="A93" t="s">
        <v>3040</v>
      </c>
      <c r="B93" t="s">
        <v>278</v>
      </c>
      <c r="C93" t="s">
        <v>332</v>
      </c>
      <c r="D93" t="s">
        <v>156</v>
      </c>
      <c r="E93">
        <v>6.5525486311907397E-2</v>
      </c>
      <c r="F93">
        <v>6.5532413100286402E-2</v>
      </c>
      <c r="G93">
        <v>4.72274911635963E-2</v>
      </c>
      <c r="H93">
        <v>4.7004553415883499E-2</v>
      </c>
      <c r="I93">
        <v>4.6951187368693102E-2</v>
      </c>
      <c r="J93">
        <v>4.69310774047937E-2</v>
      </c>
      <c r="K93">
        <v>4.6792796731001701E-2</v>
      </c>
      <c r="L93">
        <v>4.6667520898197902E-2</v>
      </c>
      <c r="M93">
        <v>4.6662125786885798E-2</v>
      </c>
      <c r="O93">
        <f t="shared" si="21"/>
        <v>0</v>
      </c>
      <c r="P93">
        <f t="shared" si="22"/>
        <v>0</v>
      </c>
      <c r="Q93">
        <f t="shared" si="23"/>
        <v>0</v>
      </c>
      <c r="R93">
        <f t="shared" si="24"/>
        <v>0</v>
      </c>
      <c r="S93">
        <f t="shared" si="25"/>
        <v>0</v>
      </c>
      <c r="T93">
        <f t="shared" si="26"/>
        <v>0</v>
      </c>
      <c r="U93">
        <f t="shared" si="27"/>
        <v>0</v>
      </c>
      <c r="V93">
        <f t="shared" si="28"/>
        <v>0</v>
      </c>
      <c r="W93">
        <f t="shared" si="29"/>
        <v>0</v>
      </c>
      <c r="X93">
        <f t="shared" si="30"/>
        <v>0</v>
      </c>
    </row>
    <row r="94" spans="1:24" x14ac:dyDescent="0.2">
      <c r="A94" t="s">
        <v>3040</v>
      </c>
      <c r="B94" t="s">
        <v>277</v>
      </c>
      <c r="C94" t="s">
        <v>332</v>
      </c>
      <c r="D94" t="s">
        <v>147</v>
      </c>
      <c r="E94">
        <v>544.06140229978803</v>
      </c>
      <c r="F94">
        <v>523.413327777066</v>
      </c>
      <c r="G94">
        <v>357.99141886123999</v>
      </c>
      <c r="H94">
        <v>312.66678906093301</v>
      </c>
      <c r="I94">
        <v>294.74575835697101</v>
      </c>
      <c r="J94">
        <v>286.352398145763</v>
      </c>
      <c r="K94">
        <v>279.91384153210601</v>
      </c>
      <c r="L94">
        <v>277.68437233076702</v>
      </c>
      <c r="M94">
        <v>277.87214787868902</v>
      </c>
      <c r="O94">
        <f t="shared" si="21"/>
        <v>0</v>
      </c>
      <c r="P94">
        <f t="shared" si="22"/>
        <v>0</v>
      </c>
      <c r="Q94">
        <f t="shared" si="23"/>
        <v>0</v>
      </c>
      <c r="R94">
        <f t="shared" si="24"/>
        <v>0</v>
      </c>
      <c r="S94">
        <f t="shared" si="25"/>
        <v>0</v>
      </c>
      <c r="T94">
        <f t="shared" si="26"/>
        <v>0</v>
      </c>
      <c r="U94">
        <f t="shared" si="27"/>
        <v>0</v>
      </c>
      <c r="V94">
        <f t="shared" si="28"/>
        <v>0</v>
      </c>
      <c r="W94">
        <f t="shared" si="29"/>
        <v>0</v>
      </c>
      <c r="X94">
        <f t="shared" si="30"/>
        <v>0</v>
      </c>
    </row>
    <row r="95" spans="1:24" hidden="1" x14ac:dyDescent="0.2">
      <c r="A95" t="s">
        <v>3040</v>
      </c>
      <c r="B95" t="s">
        <v>279</v>
      </c>
      <c r="C95" t="s">
        <v>332</v>
      </c>
      <c r="D95" t="s">
        <v>160</v>
      </c>
      <c r="E95">
        <v>1.32570056659601</v>
      </c>
      <c r="F95">
        <v>1.1219409270783001</v>
      </c>
      <c r="G95">
        <v>0.83252879315791894</v>
      </c>
      <c r="H95">
        <v>0.89205385808431303</v>
      </c>
      <c r="I95">
        <v>0.97570084220765296</v>
      </c>
      <c r="J95">
        <v>1.01783855429797</v>
      </c>
      <c r="K95">
        <v>1.0024623082797799</v>
      </c>
      <c r="L95">
        <v>0.98935537647268101</v>
      </c>
      <c r="M95">
        <v>1.00140417178715</v>
      </c>
      <c r="O95">
        <f t="shared" si="21"/>
        <v>0</v>
      </c>
      <c r="P95">
        <f t="shared" si="22"/>
        <v>0</v>
      </c>
      <c r="Q95">
        <f t="shared" si="23"/>
        <v>0</v>
      </c>
      <c r="R95">
        <f t="shared" si="24"/>
        <v>0</v>
      </c>
      <c r="S95">
        <f t="shared" si="25"/>
        <v>0</v>
      </c>
      <c r="T95">
        <f t="shared" si="26"/>
        <v>0</v>
      </c>
      <c r="U95">
        <f t="shared" si="27"/>
        <v>0</v>
      </c>
      <c r="V95">
        <f t="shared" si="28"/>
        <v>0</v>
      </c>
      <c r="W95">
        <f t="shared" si="29"/>
        <v>0</v>
      </c>
      <c r="X95">
        <f t="shared" si="30"/>
        <v>0</v>
      </c>
    </row>
    <row r="96" spans="1:24" hidden="1" x14ac:dyDescent="0.2">
      <c r="A96" t="s">
        <v>3040</v>
      </c>
      <c r="B96" t="s">
        <v>279</v>
      </c>
      <c r="C96" t="s">
        <v>332</v>
      </c>
      <c r="D96" t="s">
        <v>151</v>
      </c>
      <c r="E96">
        <v>4.85420613095323E-2</v>
      </c>
      <c r="F96">
        <v>4.1584694059798401E-2</v>
      </c>
      <c r="G96">
        <v>3.8512841866564999E-2</v>
      </c>
      <c r="H96">
        <v>3.7453351076298699E-2</v>
      </c>
      <c r="I96">
        <v>4.17495921494591E-2</v>
      </c>
      <c r="J96">
        <v>4.3363198134277997E-2</v>
      </c>
      <c r="K96">
        <v>4.2354566228836397E-2</v>
      </c>
      <c r="L96">
        <v>4.1664829012930303E-2</v>
      </c>
      <c r="M96">
        <v>4.2271900806735603E-2</v>
      </c>
      <c r="O96">
        <f t="shared" si="21"/>
        <v>0</v>
      </c>
      <c r="P96">
        <f t="shared" si="22"/>
        <v>0</v>
      </c>
      <c r="Q96">
        <f t="shared" si="23"/>
        <v>0</v>
      </c>
      <c r="R96">
        <f t="shared" si="24"/>
        <v>0</v>
      </c>
      <c r="S96">
        <f t="shared" si="25"/>
        <v>0</v>
      </c>
      <c r="T96">
        <f t="shared" si="26"/>
        <v>0</v>
      </c>
      <c r="U96">
        <f t="shared" si="27"/>
        <v>0</v>
      </c>
      <c r="V96">
        <f t="shared" si="28"/>
        <v>0</v>
      </c>
      <c r="W96">
        <f t="shared" si="29"/>
        <v>0</v>
      </c>
      <c r="X96">
        <f t="shared" si="30"/>
        <v>0</v>
      </c>
    </row>
    <row r="97" spans="1:24" hidden="1" x14ac:dyDescent="0.2">
      <c r="A97" t="s">
        <v>3040</v>
      </c>
      <c r="B97" t="s">
        <v>279</v>
      </c>
      <c r="C97" t="s">
        <v>332</v>
      </c>
      <c r="D97" t="s">
        <v>164</v>
      </c>
      <c r="E97">
        <v>2.0264876007702801E-2</v>
      </c>
      <c r="F97">
        <v>1.7476291093061098E-2</v>
      </c>
      <c r="G97">
        <v>1.4556629606467E-2</v>
      </c>
      <c r="H97">
        <v>1.08581575576798E-2</v>
      </c>
      <c r="I97">
        <v>9.2384332224605403E-3</v>
      </c>
      <c r="J97">
        <v>8.5813745880311092E-3</v>
      </c>
      <c r="K97">
        <v>8.2235517706582897E-3</v>
      </c>
      <c r="L97">
        <v>8.1210505303536996E-3</v>
      </c>
      <c r="M97">
        <v>8.1487894013837301E-3</v>
      </c>
      <c r="O97">
        <f t="shared" si="21"/>
        <v>0</v>
      </c>
      <c r="P97">
        <f t="shared" si="22"/>
        <v>0</v>
      </c>
      <c r="Q97">
        <f t="shared" si="23"/>
        <v>0</v>
      </c>
      <c r="R97">
        <f t="shared" si="24"/>
        <v>0</v>
      </c>
      <c r="S97">
        <f t="shared" si="25"/>
        <v>0</v>
      </c>
      <c r="T97">
        <f t="shared" si="26"/>
        <v>0</v>
      </c>
      <c r="U97">
        <f t="shared" si="27"/>
        <v>0</v>
      </c>
      <c r="V97">
        <f t="shared" si="28"/>
        <v>0</v>
      </c>
      <c r="W97">
        <f t="shared" si="29"/>
        <v>0</v>
      </c>
      <c r="X97">
        <f t="shared" si="30"/>
        <v>0</v>
      </c>
    </row>
    <row r="98" spans="1:24" hidden="1" x14ac:dyDescent="0.2">
      <c r="A98" t="s">
        <v>3040</v>
      </c>
      <c r="B98" t="s">
        <v>279</v>
      </c>
      <c r="C98" t="s">
        <v>332</v>
      </c>
      <c r="D98" t="s">
        <v>162</v>
      </c>
      <c r="E98">
        <v>6.2094333887986004E-3</v>
      </c>
      <c r="F98">
        <v>6.5097473575926402E-3</v>
      </c>
      <c r="G98">
        <v>6.3480368759580904E-3</v>
      </c>
      <c r="H98">
        <v>6.5309612269676296E-3</v>
      </c>
      <c r="I98">
        <v>6.80438551567813E-3</v>
      </c>
      <c r="J98">
        <v>7.0729885156519904E-3</v>
      </c>
      <c r="K98">
        <v>7.2141431732336897E-3</v>
      </c>
      <c r="L98">
        <v>7.2616103108278903E-3</v>
      </c>
      <c r="M98">
        <v>7.3233023742548999E-3</v>
      </c>
      <c r="O98">
        <f t="shared" si="21"/>
        <v>0</v>
      </c>
      <c r="P98">
        <f t="shared" si="22"/>
        <v>0</v>
      </c>
      <c r="Q98">
        <f t="shared" si="23"/>
        <v>0</v>
      </c>
      <c r="R98">
        <f t="shared" si="24"/>
        <v>0</v>
      </c>
      <c r="S98">
        <f t="shared" si="25"/>
        <v>0</v>
      </c>
      <c r="T98">
        <f t="shared" si="26"/>
        <v>0</v>
      </c>
      <c r="U98">
        <f t="shared" si="27"/>
        <v>0</v>
      </c>
      <c r="V98">
        <f t="shared" si="28"/>
        <v>0</v>
      </c>
      <c r="W98">
        <f t="shared" si="29"/>
        <v>0</v>
      </c>
      <c r="X98">
        <f t="shared" si="30"/>
        <v>0</v>
      </c>
    </row>
    <row r="99" spans="1:24" hidden="1" x14ac:dyDescent="0.2">
      <c r="A99" t="s">
        <v>3040</v>
      </c>
      <c r="B99" t="s">
        <v>279</v>
      </c>
      <c r="C99" t="s">
        <v>332</v>
      </c>
      <c r="D99" t="s">
        <v>168</v>
      </c>
      <c r="E99">
        <v>1.8547030146358501E-2</v>
      </c>
      <c r="F99">
        <v>1.85469993938937E-2</v>
      </c>
      <c r="G99">
        <v>1.8452398436060301E-2</v>
      </c>
      <c r="H99">
        <v>1.90153795953279E-2</v>
      </c>
      <c r="I99">
        <v>2.06259998538827E-2</v>
      </c>
      <c r="J99">
        <v>2.15422462041495E-2</v>
      </c>
      <c r="K99">
        <v>2.1839816094931099E-2</v>
      </c>
      <c r="L99">
        <v>2.1898815091166601E-2</v>
      </c>
      <c r="M99">
        <v>2.1928414168851499E-2</v>
      </c>
      <c r="O99">
        <f t="shared" si="21"/>
        <v>0</v>
      </c>
      <c r="P99">
        <f t="shared" si="22"/>
        <v>0</v>
      </c>
      <c r="Q99">
        <f t="shared" si="23"/>
        <v>0</v>
      </c>
      <c r="R99">
        <f t="shared" si="24"/>
        <v>0</v>
      </c>
      <c r="S99">
        <f t="shared" si="25"/>
        <v>0</v>
      </c>
      <c r="T99">
        <f t="shared" si="26"/>
        <v>0</v>
      </c>
      <c r="U99">
        <f t="shared" si="27"/>
        <v>0</v>
      </c>
      <c r="V99">
        <f t="shared" si="28"/>
        <v>0</v>
      </c>
      <c r="W99">
        <f t="shared" si="29"/>
        <v>0</v>
      </c>
      <c r="X99">
        <f t="shared" si="30"/>
        <v>0</v>
      </c>
    </row>
    <row r="100" spans="1:24" hidden="1" x14ac:dyDescent="0.2">
      <c r="A100" t="s">
        <v>3040</v>
      </c>
      <c r="B100" t="s">
        <v>279</v>
      </c>
      <c r="C100" t="s">
        <v>332</v>
      </c>
      <c r="D100" t="s">
        <v>154</v>
      </c>
      <c r="E100">
        <v>4.4434403610189698E-3</v>
      </c>
      <c r="F100">
        <v>4.2785778468179296E-3</v>
      </c>
      <c r="G100">
        <v>2.2842291862218301E-3</v>
      </c>
      <c r="H100">
        <v>2.00086557744566E-3</v>
      </c>
      <c r="I100">
        <v>1.8909591105040499E-3</v>
      </c>
      <c r="J100">
        <v>1.84086487691808E-3</v>
      </c>
      <c r="K100">
        <v>1.80157428678178E-3</v>
      </c>
      <c r="L100">
        <v>1.78790186962937E-3</v>
      </c>
      <c r="M100">
        <v>1.7897430443873201E-3</v>
      </c>
      <c r="O100">
        <f t="shared" si="21"/>
        <v>0</v>
      </c>
      <c r="P100">
        <f t="shared" si="22"/>
        <v>0</v>
      </c>
      <c r="Q100">
        <f t="shared" si="23"/>
        <v>0</v>
      </c>
      <c r="R100">
        <f t="shared" si="24"/>
        <v>0</v>
      </c>
      <c r="S100">
        <f t="shared" si="25"/>
        <v>0</v>
      </c>
      <c r="T100">
        <f t="shared" si="26"/>
        <v>0</v>
      </c>
      <c r="U100">
        <f t="shared" si="27"/>
        <v>0</v>
      </c>
      <c r="V100">
        <f t="shared" si="28"/>
        <v>0</v>
      </c>
      <c r="W100">
        <f t="shared" si="29"/>
        <v>0</v>
      </c>
      <c r="X100">
        <f t="shared" si="30"/>
        <v>0</v>
      </c>
    </row>
    <row r="101" spans="1:24" hidden="1" x14ac:dyDescent="0.2">
      <c r="A101" t="s">
        <v>3040</v>
      </c>
      <c r="B101" t="s">
        <v>279</v>
      </c>
      <c r="C101" t="s">
        <v>332</v>
      </c>
      <c r="D101" t="s">
        <v>166</v>
      </c>
      <c r="E101">
        <v>0.137019353780302</v>
      </c>
      <c r="F101">
        <v>0.133250973233911</v>
      </c>
      <c r="G101">
        <v>9.9439295872654807E-2</v>
      </c>
      <c r="H101">
        <v>9.3778372024376805E-2</v>
      </c>
      <c r="I101">
        <v>0.10966688034274</v>
      </c>
      <c r="J101">
        <v>0.130181993771496</v>
      </c>
      <c r="K101">
        <v>0.14551322797611199</v>
      </c>
      <c r="L101">
        <v>0.151092504593482</v>
      </c>
      <c r="M101">
        <v>0.162465752470559</v>
      </c>
      <c r="O101">
        <f t="shared" si="21"/>
        <v>0</v>
      </c>
      <c r="P101">
        <f t="shared" si="22"/>
        <v>0</v>
      </c>
      <c r="Q101">
        <f t="shared" si="23"/>
        <v>0</v>
      </c>
      <c r="R101">
        <f t="shared" si="24"/>
        <v>0</v>
      </c>
      <c r="S101">
        <f t="shared" si="25"/>
        <v>0</v>
      </c>
      <c r="T101">
        <f t="shared" si="26"/>
        <v>0</v>
      </c>
      <c r="U101">
        <f t="shared" si="27"/>
        <v>0</v>
      </c>
      <c r="V101">
        <f t="shared" si="28"/>
        <v>0</v>
      </c>
      <c r="W101">
        <f t="shared" si="29"/>
        <v>0</v>
      </c>
      <c r="X101">
        <f t="shared" si="30"/>
        <v>0</v>
      </c>
    </row>
    <row r="102" spans="1:24" x14ac:dyDescent="0.2">
      <c r="A102" t="s">
        <v>3040</v>
      </c>
      <c r="B102" t="s">
        <v>277</v>
      </c>
      <c r="C102" t="s">
        <v>69</v>
      </c>
      <c r="D102" t="s">
        <v>147</v>
      </c>
      <c r="E102">
        <v>0</v>
      </c>
      <c r="F102">
        <v>0</v>
      </c>
      <c r="G102">
        <v>0</v>
      </c>
      <c r="H102">
        <v>0</v>
      </c>
      <c r="I102">
        <v>0</v>
      </c>
      <c r="J102">
        <v>0</v>
      </c>
      <c r="K102">
        <v>0</v>
      </c>
      <c r="L102">
        <v>0</v>
      </c>
      <c r="M102">
        <v>0</v>
      </c>
      <c r="O102">
        <f t="shared" si="21"/>
        <v>0</v>
      </c>
      <c r="P102" t="e">
        <f t="shared" si="22"/>
        <v>#DIV/0!</v>
      </c>
      <c r="Q102" t="e">
        <f t="shared" si="23"/>
        <v>#DIV/0!</v>
      </c>
      <c r="R102" t="e">
        <f t="shared" si="24"/>
        <v>#DIV/0!</v>
      </c>
      <c r="S102" t="e">
        <f t="shared" si="25"/>
        <v>#DIV/0!</v>
      </c>
      <c r="T102" t="e">
        <f t="shared" si="26"/>
        <v>#DIV/0!</v>
      </c>
      <c r="U102" t="e">
        <f t="shared" si="27"/>
        <v>#DIV/0!</v>
      </c>
      <c r="V102" t="e">
        <f t="shared" si="28"/>
        <v>#DIV/0!</v>
      </c>
      <c r="W102" t="e">
        <f t="shared" si="29"/>
        <v>#DIV/0!</v>
      </c>
      <c r="X102" t="e">
        <f t="shared" si="30"/>
        <v>#DIV/0!</v>
      </c>
    </row>
    <row r="103" spans="1:24" hidden="1" x14ac:dyDescent="0.2">
      <c r="A103" t="s">
        <v>3040</v>
      </c>
      <c r="B103" t="s">
        <v>279</v>
      </c>
      <c r="C103" t="s">
        <v>332</v>
      </c>
      <c r="D103" t="s">
        <v>156</v>
      </c>
      <c r="E103">
        <v>6.4822337358144896E-2</v>
      </c>
      <c r="F103">
        <v>6.4837908765685404E-2</v>
      </c>
      <c r="G103">
        <v>5.2743763590154202E-2</v>
      </c>
      <c r="H103">
        <v>5.2520196198013597E-2</v>
      </c>
      <c r="I103">
        <v>5.2463644304192002E-2</v>
      </c>
      <c r="J103">
        <v>5.2440329646546102E-2</v>
      </c>
      <c r="K103">
        <v>5.23021646581514E-2</v>
      </c>
      <c r="L103">
        <v>5.2178675954472099E-2</v>
      </c>
      <c r="M103">
        <v>5.2172700953765999E-2</v>
      </c>
      <c r="O103">
        <f t="shared" si="21"/>
        <v>0</v>
      </c>
      <c r="P103">
        <f t="shared" si="22"/>
        <v>0</v>
      </c>
      <c r="Q103">
        <f t="shared" si="23"/>
        <v>0</v>
      </c>
      <c r="R103">
        <f t="shared" si="24"/>
        <v>0</v>
      </c>
      <c r="S103">
        <f t="shared" si="25"/>
        <v>0</v>
      </c>
      <c r="T103">
        <f t="shared" si="26"/>
        <v>0</v>
      </c>
      <c r="U103">
        <f t="shared" si="27"/>
        <v>0</v>
      </c>
      <c r="V103">
        <f t="shared" si="28"/>
        <v>0</v>
      </c>
      <c r="W103">
        <f t="shared" si="29"/>
        <v>0</v>
      </c>
      <c r="X103">
        <f t="shared" si="30"/>
        <v>0</v>
      </c>
    </row>
    <row r="104" spans="1:24" x14ac:dyDescent="0.2">
      <c r="A104" t="s">
        <v>3040</v>
      </c>
      <c r="B104" t="s">
        <v>277</v>
      </c>
      <c r="C104" t="s">
        <v>474</v>
      </c>
      <c r="D104" t="s">
        <v>147</v>
      </c>
      <c r="E104">
        <v>605.35194063093002</v>
      </c>
      <c r="F104">
        <v>575.43677827742204</v>
      </c>
      <c r="G104">
        <v>447.50306541281799</v>
      </c>
      <c r="H104">
        <v>380.32748601406797</v>
      </c>
      <c r="I104">
        <v>328.8508655947</v>
      </c>
      <c r="J104">
        <v>299.87343037562698</v>
      </c>
      <c r="K104">
        <v>286.96645721008798</v>
      </c>
      <c r="L104">
        <v>282.38592098475101</v>
      </c>
      <c r="M104">
        <v>280.69816184937503</v>
      </c>
      <c r="O104">
        <f t="shared" si="21"/>
        <v>67.2</v>
      </c>
      <c r="P104">
        <f t="shared" si="22"/>
        <v>0.11100980353670063</v>
      </c>
      <c r="Q104">
        <f t="shared" si="23"/>
        <v>0.11678085679744721</v>
      </c>
      <c r="R104">
        <f t="shared" si="24"/>
        <v>0.15016656911167423</v>
      </c>
      <c r="S104">
        <f t="shared" si="25"/>
        <v>0.17668983302856617</v>
      </c>
      <c r="T104">
        <f t="shared" si="26"/>
        <v>0.20434794927017838</v>
      </c>
      <c r="U104">
        <f t="shared" si="27"/>
        <v>0.22409454520803676</v>
      </c>
      <c r="V104">
        <f t="shared" si="28"/>
        <v>0.23417371024238878</v>
      </c>
      <c r="W104">
        <f t="shared" si="29"/>
        <v>0.23797220401660477</v>
      </c>
      <c r="X104">
        <f t="shared" si="30"/>
        <v>0.23940306397895147</v>
      </c>
    </row>
    <row r="105" spans="1:24" hidden="1" x14ac:dyDescent="0.2">
      <c r="A105" t="s">
        <v>3040</v>
      </c>
      <c r="B105" t="s">
        <v>275</v>
      </c>
      <c r="C105" t="s">
        <v>69</v>
      </c>
      <c r="D105" t="s">
        <v>160</v>
      </c>
      <c r="E105">
        <v>0</v>
      </c>
      <c r="F105">
        <v>0</v>
      </c>
      <c r="G105">
        <v>0</v>
      </c>
      <c r="H105">
        <v>0</v>
      </c>
      <c r="I105">
        <v>0</v>
      </c>
      <c r="J105">
        <v>0</v>
      </c>
      <c r="K105">
        <v>0</v>
      </c>
      <c r="L105">
        <v>0</v>
      </c>
      <c r="M105">
        <v>0</v>
      </c>
      <c r="O105">
        <f t="shared" si="21"/>
        <v>0</v>
      </c>
      <c r="P105">
        <f t="shared" si="22"/>
        <v>0</v>
      </c>
      <c r="Q105">
        <f t="shared" si="23"/>
        <v>0</v>
      </c>
      <c r="R105">
        <f t="shared" si="24"/>
        <v>0</v>
      </c>
      <c r="S105">
        <f t="shared" si="25"/>
        <v>0</v>
      </c>
      <c r="T105">
        <f t="shared" si="26"/>
        <v>0</v>
      </c>
      <c r="U105">
        <f t="shared" si="27"/>
        <v>0</v>
      </c>
      <c r="V105">
        <f t="shared" si="28"/>
        <v>0</v>
      </c>
      <c r="W105">
        <f t="shared" si="29"/>
        <v>0</v>
      </c>
      <c r="X105">
        <f t="shared" si="30"/>
        <v>0</v>
      </c>
    </row>
    <row r="106" spans="1:24" hidden="1" x14ac:dyDescent="0.2">
      <c r="A106" t="s">
        <v>3040</v>
      </c>
      <c r="B106" t="s">
        <v>275</v>
      </c>
      <c r="C106" t="s">
        <v>69</v>
      </c>
      <c r="D106" t="s">
        <v>151</v>
      </c>
      <c r="E106">
        <v>0</v>
      </c>
      <c r="F106">
        <v>0</v>
      </c>
      <c r="G106">
        <v>0</v>
      </c>
      <c r="H106">
        <v>0</v>
      </c>
      <c r="I106">
        <v>0</v>
      </c>
      <c r="J106">
        <v>0</v>
      </c>
      <c r="K106">
        <v>0</v>
      </c>
      <c r="L106">
        <v>0</v>
      </c>
      <c r="M106">
        <v>0</v>
      </c>
      <c r="O106">
        <f t="shared" si="21"/>
        <v>0</v>
      </c>
      <c r="P106">
        <f t="shared" si="22"/>
        <v>0</v>
      </c>
      <c r="Q106">
        <f t="shared" si="23"/>
        <v>0</v>
      </c>
      <c r="R106">
        <f t="shared" si="24"/>
        <v>0</v>
      </c>
      <c r="S106">
        <f t="shared" si="25"/>
        <v>0</v>
      </c>
      <c r="T106">
        <f t="shared" si="26"/>
        <v>0</v>
      </c>
      <c r="U106">
        <f t="shared" si="27"/>
        <v>0</v>
      </c>
      <c r="V106">
        <f t="shared" si="28"/>
        <v>0</v>
      </c>
      <c r="W106">
        <f t="shared" si="29"/>
        <v>0</v>
      </c>
      <c r="X106">
        <f t="shared" si="30"/>
        <v>0</v>
      </c>
    </row>
    <row r="107" spans="1:24" hidden="1" x14ac:dyDescent="0.2">
      <c r="A107" t="s">
        <v>3040</v>
      </c>
      <c r="B107" t="s">
        <v>275</v>
      </c>
      <c r="C107" t="s">
        <v>69</v>
      </c>
      <c r="D107" t="s">
        <v>164</v>
      </c>
      <c r="E107">
        <v>0</v>
      </c>
      <c r="F107">
        <v>0</v>
      </c>
      <c r="G107">
        <v>0</v>
      </c>
      <c r="H107">
        <v>0</v>
      </c>
      <c r="I107">
        <v>0</v>
      </c>
      <c r="J107">
        <v>0</v>
      </c>
      <c r="K107">
        <v>0</v>
      </c>
      <c r="L107">
        <v>0</v>
      </c>
      <c r="M107">
        <v>0</v>
      </c>
      <c r="O107">
        <f t="shared" si="21"/>
        <v>0</v>
      </c>
      <c r="P107">
        <f t="shared" si="22"/>
        <v>0</v>
      </c>
      <c r="Q107">
        <f t="shared" si="23"/>
        <v>0</v>
      </c>
      <c r="R107">
        <f t="shared" si="24"/>
        <v>0</v>
      </c>
      <c r="S107">
        <f t="shared" si="25"/>
        <v>0</v>
      </c>
      <c r="T107">
        <f t="shared" si="26"/>
        <v>0</v>
      </c>
      <c r="U107">
        <f t="shared" si="27"/>
        <v>0</v>
      </c>
      <c r="V107">
        <f t="shared" si="28"/>
        <v>0</v>
      </c>
      <c r="W107">
        <f t="shared" si="29"/>
        <v>0</v>
      </c>
      <c r="X107">
        <f t="shared" si="30"/>
        <v>0</v>
      </c>
    </row>
    <row r="108" spans="1:24" hidden="1" x14ac:dyDescent="0.2">
      <c r="A108" t="s">
        <v>3040</v>
      </c>
      <c r="B108" t="s">
        <v>275</v>
      </c>
      <c r="C108" t="s">
        <v>69</v>
      </c>
      <c r="D108" t="s">
        <v>162</v>
      </c>
      <c r="E108">
        <v>0</v>
      </c>
      <c r="F108">
        <v>0</v>
      </c>
      <c r="G108">
        <v>0</v>
      </c>
      <c r="H108">
        <v>0</v>
      </c>
      <c r="I108">
        <v>0</v>
      </c>
      <c r="J108">
        <v>0</v>
      </c>
      <c r="K108">
        <v>0</v>
      </c>
      <c r="L108">
        <v>0</v>
      </c>
      <c r="M108">
        <v>0</v>
      </c>
      <c r="O108">
        <f t="shared" si="21"/>
        <v>0</v>
      </c>
      <c r="P108">
        <f t="shared" si="22"/>
        <v>0</v>
      </c>
      <c r="Q108">
        <f t="shared" si="23"/>
        <v>0</v>
      </c>
      <c r="R108">
        <f t="shared" si="24"/>
        <v>0</v>
      </c>
      <c r="S108">
        <f t="shared" si="25"/>
        <v>0</v>
      </c>
      <c r="T108">
        <f t="shared" si="26"/>
        <v>0</v>
      </c>
      <c r="U108">
        <f t="shared" si="27"/>
        <v>0</v>
      </c>
      <c r="V108">
        <f t="shared" si="28"/>
        <v>0</v>
      </c>
      <c r="W108">
        <f t="shared" si="29"/>
        <v>0</v>
      </c>
      <c r="X108">
        <f t="shared" si="30"/>
        <v>0</v>
      </c>
    </row>
    <row r="109" spans="1:24" hidden="1" x14ac:dyDescent="0.2">
      <c r="A109" t="s">
        <v>3040</v>
      </c>
      <c r="B109" t="s">
        <v>275</v>
      </c>
      <c r="C109" t="s">
        <v>69</v>
      </c>
      <c r="D109" t="s">
        <v>168</v>
      </c>
      <c r="E109">
        <v>0</v>
      </c>
      <c r="F109">
        <v>0</v>
      </c>
      <c r="G109">
        <v>0</v>
      </c>
      <c r="H109">
        <v>0</v>
      </c>
      <c r="I109">
        <v>0</v>
      </c>
      <c r="J109">
        <v>0</v>
      </c>
      <c r="K109">
        <v>0</v>
      </c>
      <c r="L109">
        <v>0</v>
      </c>
      <c r="M109">
        <v>0</v>
      </c>
      <c r="O109">
        <f t="shared" si="21"/>
        <v>0</v>
      </c>
      <c r="P109">
        <f t="shared" si="22"/>
        <v>0</v>
      </c>
      <c r="Q109">
        <f t="shared" si="23"/>
        <v>0</v>
      </c>
      <c r="R109">
        <f t="shared" si="24"/>
        <v>0</v>
      </c>
      <c r="S109">
        <f t="shared" si="25"/>
        <v>0</v>
      </c>
      <c r="T109">
        <f t="shared" si="26"/>
        <v>0</v>
      </c>
      <c r="U109">
        <f t="shared" si="27"/>
        <v>0</v>
      </c>
      <c r="V109">
        <f t="shared" si="28"/>
        <v>0</v>
      </c>
      <c r="W109">
        <f t="shared" si="29"/>
        <v>0</v>
      </c>
      <c r="X109">
        <f t="shared" si="30"/>
        <v>0</v>
      </c>
    </row>
    <row r="110" spans="1:24" hidden="1" x14ac:dyDescent="0.2">
      <c r="A110" t="s">
        <v>3040</v>
      </c>
      <c r="B110" t="s">
        <v>275</v>
      </c>
      <c r="C110" t="s">
        <v>69</v>
      </c>
      <c r="D110" t="s">
        <v>154</v>
      </c>
      <c r="E110">
        <v>0</v>
      </c>
      <c r="F110">
        <v>0</v>
      </c>
      <c r="G110">
        <v>0</v>
      </c>
      <c r="H110">
        <v>0</v>
      </c>
      <c r="I110">
        <v>0</v>
      </c>
      <c r="J110">
        <v>0</v>
      </c>
      <c r="K110">
        <v>0</v>
      </c>
      <c r="L110">
        <v>0</v>
      </c>
      <c r="M110">
        <v>0</v>
      </c>
      <c r="O110">
        <f t="shared" si="21"/>
        <v>0</v>
      </c>
      <c r="P110">
        <f t="shared" si="22"/>
        <v>0</v>
      </c>
      <c r="Q110">
        <f t="shared" si="23"/>
        <v>0</v>
      </c>
      <c r="R110">
        <f t="shared" si="24"/>
        <v>0</v>
      </c>
      <c r="S110">
        <f t="shared" si="25"/>
        <v>0</v>
      </c>
      <c r="T110">
        <f t="shared" si="26"/>
        <v>0</v>
      </c>
      <c r="U110">
        <f t="shared" si="27"/>
        <v>0</v>
      </c>
      <c r="V110">
        <f t="shared" si="28"/>
        <v>0</v>
      </c>
      <c r="W110">
        <f t="shared" si="29"/>
        <v>0</v>
      </c>
      <c r="X110">
        <f t="shared" si="30"/>
        <v>0</v>
      </c>
    </row>
    <row r="111" spans="1:24" hidden="1" x14ac:dyDescent="0.2">
      <c r="A111" t="s">
        <v>3040</v>
      </c>
      <c r="B111" t="s">
        <v>275</v>
      </c>
      <c r="C111" t="s">
        <v>69</v>
      </c>
      <c r="D111" t="s">
        <v>166</v>
      </c>
      <c r="E111">
        <v>0</v>
      </c>
      <c r="F111">
        <v>0</v>
      </c>
      <c r="G111">
        <v>0</v>
      </c>
      <c r="H111">
        <v>0</v>
      </c>
      <c r="I111">
        <v>0</v>
      </c>
      <c r="J111">
        <v>0</v>
      </c>
      <c r="K111">
        <v>0</v>
      </c>
      <c r="L111">
        <v>0</v>
      </c>
      <c r="M111">
        <v>0</v>
      </c>
      <c r="O111">
        <f t="shared" si="21"/>
        <v>0</v>
      </c>
      <c r="P111">
        <f t="shared" si="22"/>
        <v>0</v>
      </c>
      <c r="Q111">
        <f t="shared" si="23"/>
        <v>0</v>
      </c>
      <c r="R111">
        <f t="shared" si="24"/>
        <v>0</v>
      </c>
      <c r="S111">
        <f t="shared" si="25"/>
        <v>0</v>
      </c>
      <c r="T111">
        <f t="shared" si="26"/>
        <v>0</v>
      </c>
      <c r="U111">
        <f t="shared" si="27"/>
        <v>0</v>
      </c>
      <c r="V111">
        <f t="shared" si="28"/>
        <v>0</v>
      </c>
      <c r="W111">
        <f t="shared" si="29"/>
        <v>0</v>
      </c>
      <c r="X111">
        <f t="shared" si="30"/>
        <v>0</v>
      </c>
    </row>
    <row r="112" spans="1:24" x14ac:dyDescent="0.2">
      <c r="A112" t="s">
        <v>329</v>
      </c>
      <c r="B112" t="s">
        <v>277</v>
      </c>
      <c r="C112" t="s">
        <v>477</v>
      </c>
      <c r="D112" t="s">
        <v>147</v>
      </c>
      <c r="E112">
        <v>1018.96313127451</v>
      </c>
      <c r="F112">
        <v>1003.30348772091</v>
      </c>
      <c r="G112">
        <v>832.60347781241796</v>
      </c>
      <c r="H112">
        <v>765.60951654141104</v>
      </c>
      <c r="I112">
        <v>730.82365882186798</v>
      </c>
      <c r="J112">
        <v>718.59265298434605</v>
      </c>
      <c r="K112">
        <v>713.64358303318795</v>
      </c>
      <c r="L112">
        <v>712.61156314924801</v>
      </c>
      <c r="M112">
        <v>712.44178461058902</v>
      </c>
      <c r="O112">
        <f t="shared" si="21"/>
        <v>69.400000000000006</v>
      </c>
    </row>
    <row r="113" spans="1:24" hidden="1" x14ac:dyDescent="0.2">
      <c r="A113" t="s">
        <v>3040</v>
      </c>
      <c r="B113" t="s">
        <v>275</v>
      </c>
      <c r="C113" t="s">
        <v>69</v>
      </c>
      <c r="D113" t="s">
        <v>156</v>
      </c>
      <c r="E113">
        <v>7.3243110221385299E-2</v>
      </c>
      <c r="F113">
        <v>7.3243110221385299E-2</v>
      </c>
      <c r="G113">
        <v>7.32430660863298E-2</v>
      </c>
      <c r="H113">
        <v>7.3243157465552503E-2</v>
      </c>
      <c r="I113">
        <v>7.3243061950548305E-2</v>
      </c>
      <c r="J113">
        <v>7.3243007522533404E-2</v>
      </c>
      <c r="K113">
        <v>7.3243037508868306E-2</v>
      </c>
      <c r="L113">
        <v>7.3242921236188793E-2</v>
      </c>
      <c r="M113">
        <v>7.3242921236188793E-2</v>
      </c>
      <c r="O113">
        <f t="shared" si="21"/>
        <v>0</v>
      </c>
      <c r="P113">
        <f t="shared" si="22"/>
        <v>0</v>
      </c>
      <c r="Q113">
        <f t="shared" si="23"/>
        <v>0</v>
      </c>
      <c r="R113">
        <f t="shared" si="24"/>
        <v>0</v>
      </c>
      <c r="S113">
        <f t="shared" si="25"/>
        <v>0</v>
      </c>
      <c r="T113">
        <f t="shared" si="26"/>
        <v>0</v>
      </c>
      <c r="U113">
        <f t="shared" si="27"/>
        <v>0</v>
      </c>
      <c r="V113">
        <f t="shared" si="28"/>
        <v>0</v>
      </c>
      <c r="W113">
        <f t="shared" si="29"/>
        <v>0</v>
      </c>
      <c r="X113">
        <f t="shared" si="30"/>
        <v>0</v>
      </c>
    </row>
    <row r="114" spans="1:24" x14ac:dyDescent="0.2">
      <c r="A114" t="s">
        <v>329</v>
      </c>
      <c r="B114" t="s">
        <v>277</v>
      </c>
      <c r="C114" t="s">
        <v>332</v>
      </c>
      <c r="D114" t="s">
        <v>147</v>
      </c>
      <c r="E114">
        <v>646.35955917768695</v>
      </c>
      <c r="F114">
        <v>619.97919050963606</v>
      </c>
      <c r="G114">
        <v>468.65631415217302</v>
      </c>
      <c r="H114">
        <v>401.938986622622</v>
      </c>
      <c r="I114">
        <v>378.480038113322</v>
      </c>
      <c r="J114">
        <v>367.06432227775298</v>
      </c>
      <c r="K114">
        <v>357.53282612461601</v>
      </c>
      <c r="L114">
        <v>355.43918726579602</v>
      </c>
      <c r="M114">
        <v>355.33433724689201</v>
      </c>
      <c r="O114">
        <f t="shared" si="21"/>
        <v>0</v>
      </c>
      <c r="P114">
        <f t="shared" si="22"/>
        <v>0</v>
      </c>
      <c r="Q114">
        <f t="shared" si="23"/>
        <v>0</v>
      </c>
      <c r="R114">
        <f t="shared" si="24"/>
        <v>0</v>
      </c>
      <c r="S114">
        <f t="shared" si="25"/>
        <v>0</v>
      </c>
      <c r="T114">
        <f t="shared" si="26"/>
        <v>0</v>
      </c>
      <c r="U114">
        <f t="shared" si="27"/>
        <v>0</v>
      </c>
      <c r="V114">
        <f t="shared" si="28"/>
        <v>0</v>
      </c>
      <c r="W114">
        <f t="shared" si="29"/>
        <v>0</v>
      </c>
      <c r="X114">
        <f t="shared" si="30"/>
        <v>0</v>
      </c>
    </row>
    <row r="115" spans="1:24" hidden="1" x14ac:dyDescent="0.2">
      <c r="A115" t="s">
        <v>3040</v>
      </c>
      <c r="B115" t="s">
        <v>276</v>
      </c>
      <c r="C115" t="s">
        <v>69</v>
      </c>
      <c r="D115" t="s">
        <v>160</v>
      </c>
      <c r="E115">
        <v>0</v>
      </c>
      <c r="F115">
        <v>0</v>
      </c>
      <c r="G115">
        <v>0</v>
      </c>
      <c r="H115">
        <v>0</v>
      </c>
      <c r="I115">
        <v>0</v>
      </c>
      <c r="J115">
        <v>0</v>
      </c>
      <c r="K115">
        <v>0</v>
      </c>
      <c r="L115">
        <v>0</v>
      </c>
      <c r="M115">
        <v>0</v>
      </c>
      <c r="O115">
        <f t="shared" si="21"/>
        <v>0</v>
      </c>
      <c r="P115">
        <f t="shared" si="22"/>
        <v>0</v>
      </c>
      <c r="Q115">
        <f t="shared" si="23"/>
        <v>0</v>
      </c>
      <c r="R115">
        <f t="shared" si="24"/>
        <v>0</v>
      </c>
      <c r="S115">
        <f t="shared" si="25"/>
        <v>0</v>
      </c>
      <c r="T115">
        <f t="shared" si="26"/>
        <v>0</v>
      </c>
      <c r="U115">
        <f t="shared" si="27"/>
        <v>0</v>
      </c>
      <c r="V115">
        <f t="shared" si="28"/>
        <v>0</v>
      </c>
      <c r="W115">
        <f t="shared" si="29"/>
        <v>0</v>
      </c>
      <c r="X115">
        <f t="shared" si="30"/>
        <v>0</v>
      </c>
    </row>
    <row r="116" spans="1:24" hidden="1" x14ac:dyDescent="0.2">
      <c r="A116" t="s">
        <v>3040</v>
      </c>
      <c r="B116" t="s">
        <v>276</v>
      </c>
      <c r="C116" t="s">
        <v>69</v>
      </c>
      <c r="D116" t="s">
        <v>151</v>
      </c>
      <c r="E116">
        <v>0</v>
      </c>
      <c r="F116">
        <v>0</v>
      </c>
      <c r="G116">
        <v>0</v>
      </c>
      <c r="H116">
        <v>0</v>
      </c>
      <c r="I116">
        <v>0</v>
      </c>
      <c r="J116">
        <v>0</v>
      </c>
      <c r="K116">
        <v>0</v>
      </c>
      <c r="L116">
        <v>0</v>
      </c>
      <c r="M116">
        <v>0</v>
      </c>
      <c r="O116">
        <f t="shared" si="21"/>
        <v>0</v>
      </c>
      <c r="P116">
        <f t="shared" si="22"/>
        <v>0</v>
      </c>
      <c r="Q116">
        <f t="shared" si="23"/>
        <v>0</v>
      </c>
      <c r="R116">
        <f t="shared" si="24"/>
        <v>0</v>
      </c>
      <c r="S116">
        <f t="shared" si="25"/>
        <v>0</v>
      </c>
      <c r="T116">
        <f t="shared" si="26"/>
        <v>0</v>
      </c>
      <c r="U116">
        <f t="shared" si="27"/>
        <v>0</v>
      </c>
      <c r="V116">
        <f t="shared" si="28"/>
        <v>0</v>
      </c>
      <c r="W116">
        <f t="shared" si="29"/>
        <v>0</v>
      </c>
      <c r="X116">
        <f t="shared" si="30"/>
        <v>0</v>
      </c>
    </row>
    <row r="117" spans="1:24" hidden="1" x14ac:dyDescent="0.2">
      <c r="A117" t="s">
        <v>3040</v>
      </c>
      <c r="B117" t="s">
        <v>276</v>
      </c>
      <c r="C117" t="s">
        <v>69</v>
      </c>
      <c r="D117" t="s">
        <v>164</v>
      </c>
      <c r="E117">
        <v>0</v>
      </c>
      <c r="F117">
        <v>0</v>
      </c>
      <c r="G117">
        <v>0</v>
      </c>
      <c r="H117">
        <v>0</v>
      </c>
      <c r="I117">
        <v>0</v>
      </c>
      <c r="J117">
        <v>0</v>
      </c>
      <c r="K117">
        <v>0</v>
      </c>
      <c r="L117">
        <v>0</v>
      </c>
      <c r="M117">
        <v>0</v>
      </c>
      <c r="O117">
        <f t="shared" si="21"/>
        <v>0</v>
      </c>
      <c r="P117">
        <f t="shared" si="22"/>
        <v>0</v>
      </c>
      <c r="Q117">
        <f t="shared" si="23"/>
        <v>0</v>
      </c>
      <c r="R117">
        <f t="shared" si="24"/>
        <v>0</v>
      </c>
      <c r="S117">
        <f t="shared" si="25"/>
        <v>0</v>
      </c>
      <c r="T117">
        <f t="shared" si="26"/>
        <v>0</v>
      </c>
      <c r="U117">
        <f t="shared" si="27"/>
        <v>0</v>
      </c>
      <c r="V117">
        <f t="shared" si="28"/>
        <v>0</v>
      </c>
      <c r="W117">
        <f t="shared" si="29"/>
        <v>0</v>
      </c>
      <c r="X117">
        <f t="shared" si="30"/>
        <v>0</v>
      </c>
    </row>
    <row r="118" spans="1:24" hidden="1" x14ac:dyDescent="0.2">
      <c r="A118" t="s">
        <v>3040</v>
      </c>
      <c r="B118" t="s">
        <v>276</v>
      </c>
      <c r="C118" t="s">
        <v>69</v>
      </c>
      <c r="D118" t="s">
        <v>162</v>
      </c>
      <c r="E118">
        <v>0</v>
      </c>
      <c r="F118">
        <v>0</v>
      </c>
      <c r="G118">
        <v>0</v>
      </c>
      <c r="H118">
        <v>0</v>
      </c>
      <c r="I118">
        <v>0</v>
      </c>
      <c r="J118">
        <v>0</v>
      </c>
      <c r="K118">
        <v>0</v>
      </c>
      <c r="L118">
        <v>0</v>
      </c>
      <c r="M118">
        <v>0</v>
      </c>
      <c r="O118">
        <f t="shared" si="21"/>
        <v>0</v>
      </c>
      <c r="P118">
        <f t="shared" si="22"/>
        <v>0</v>
      </c>
      <c r="Q118">
        <f t="shared" si="23"/>
        <v>0</v>
      </c>
      <c r="R118">
        <f t="shared" si="24"/>
        <v>0</v>
      </c>
      <c r="S118">
        <f t="shared" si="25"/>
        <v>0</v>
      </c>
      <c r="T118">
        <f t="shared" si="26"/>
        <v>0</v>
      </c>
      <c r="U118">
        <f t="shared" si="27"/>
        <v>0</v>
      </c>
      <c r="V118">
        <f t="shared" si="28"/>
        <v>0</v>
      </c>
      <c r="W118">
        <f t="shared" si="29"/>
        <v>0</v>
      </c>
      <c r="X118">
        <f t="shared" si="30"/>
        <v>0</v>
      </c>
    </row>
    <row r="119" spans="1:24" hidden="1" x14ac:dyDescent="0.2">
      <c r="A119" t="s">
        <v>3040</v>
      </c>
      <c r="B119" t="s">
        <v>276</v>
      </c>
      <c r="C119" t="s">
        <v>69</v>
      </c>
      <c r="D119" t="s">
        <v>168</v>
      </c>
      <c r="E119">
        <v>0</v>
      </c>
      <c r="F119">
        <v>0</v>
      </c>
      <c r="G119">
        <v>0</v>
      </c>
      <c r="H119">
        <v>0</v>
      </c>
      <c r="I119">
        <v>0</v>
      </c>
      <c r="J119">
        <v>0</v>
      </c>
      <c r="K119">
        <v>0</v>
      </c>
      <c r="L119">
        <v>0</v>
      </c>
      <c r="M119">
        <v>0</v>
      </c>
      <c r="O119">
        <f t="shared" si="21"/>
        <v>0</v>
      </c>
      <c r="P119">
        <f t="shared" si="22"/>
        <v>0</v>
      </c>
      <c r="Q119">
        <f t="shared" si="23"/>
        <v>0</v>
      </c>
      <c r="R119">
        <f t="shared" si="24"/>
        <v>0</v>
      </c>
      <c r="S119">
        <f t="shared" si="25"/>
        <v>0</v>
      </c>
      <c r="T119">
        <f t="shared" si="26"/>
        <v>0</v>
      </c>
      <c r="U119">
        <f t="shared" si="27"/>
        <v>0</v>
      </c>
      <c r="V119">
        <f t="shared" si="28"/>
        <v>0</v>
      </c>
      <c r="W119">
        <f t="shared" si="29"/>
        <v>0</v>
      </c>
      <c r="X119">
        <f t="shared" si="30"/>
        <v>0</v>
      </c>
    </row>
    <row r="120" spans="1:24" hidden="1" x14ac:dyDescent="0.2">
      <c r="A120" t="s">
        <v>3040</v>
      </c>
      <c r="B120" t="s">
        <v>276</v>
      </c>
      <c r="C120" t="s">
        <v>69</v>
      </c>
      <c r="D120" t="s">
        <v>154</v>
      </c>
      <c r="E120">
        <v>0</v>
      </c>
      <c r="F120">
        <v>0</v>
      </c>
      <c r="G120">
        <v>0</v>
      </c>
      <c r="H120">
        <v>0</v>
      </c>
      <c r="I120">
        <v>0</v>
      </c>
      <c r="J120">
        <v>0</v>
      </c>
      <c r="K120">
        <v>0</v>
      </c>
      <c r="L120">
        <v>0</v>
      </c>
      <c r="M120">
        <v>0</v>
      </c>
      <c r="O120">
        <f t="shared" si="21"/>
        <v>0</v>
      </c>
      <c r="P120">
        <f t="shared" si="22"/>
        <v>0</v>
      </c>
      <c r="Q120">
        <f t="shared" si="23"/>
        <v>0</v>
      </c>
      <c r="R120">
        <f t="shared" si="24"/>
        <v>0</v>
      </c>
      <c r="S120">
        <f t="shared" si="25"/>
        <v>0</v>
      </c>
      <c r="T120">
        <f t="shared" si="26"/>
        <v>0</v>
      </c>
      <c r="U120">
        <f t="shared" si="27"/>
        <v>0</v>
      </c>
      <c r="V120">
        <f t="shared" si="28"/>
        <v>0</v>
      </c>
      <c r="W120">
        <f t="shared" si="29"/>
        <v>0</v>
      </c>
      <c r="X120">
        <f t="shared" si="30"/>
        <v>0</v>
      </c>
    </row>
    <row r="121" spans="1:24" hidden="1" x14ac:dyDescent="0.2">
      <c r="A121" t="s">
        <v>3040</v>
      </c>
      <c r="B121" t="s">
        <v>276</v>
      </c>
      <c r="C121" t="s">
        <v>69</v>
      </c>
      <c r="D121" t="s">
        <v>166</v>
      </c>
      <c r="E121">
        <v>0</v>
      </c>
      <c r="F121">
        <v>0</v>
      </c>
      <c r="G121">
        <v>0</v>
      </c>
      <c r="H121">
        <v>0</v>
      </c>
      <c r="I121">
        <v>0</v>
      </c>
      <c r="J121">
        <v>0</v>
      </c>
      <c r="K121">
        <v>0</v>
      </c>
      <c r="L121">
        <v>0</v>
      </c>
      <c r="M121">
        <v>0</v>
      </c>
      <c r="O121">
        <f t="shared" si="21"/>
        <v>0</v>
      </c>
      <c r="P121">
        <f t="shared" si="22"/>
        <v>0</v>
      </c>
      <c r="Q121">
        <f t="shared" si="23"/>
        <v>0</v>
      </c>
      <c r="R121">
        <f t="shared" si="24"/>
        <v>0</v>
      </c>
      <c r="S121">
        <f t="shared" si="25"/>
        <v>0</v>
      </c>
      <c r="T121">
        <f t="shared" si="26"/>
        <v>0</v>
      </c>
      <c r="U121">
        <f t="shared" si="27"/>
        <v>0</v>
      </c>
      <c r="V121">
        <f t="shared" si="28"/>
        <v>0</v>
      </c>
      <c r="W121">
        <f t="shared" si="29"/>
        <v>0</v>
      </c>
      <c r="X121">
        <f t="shared" si="30"/>
        <v>0</v>
      </c>
    </row>
    <row r="122" spans="1:24" x14ac:dyDescent="0.2">
      <c r="A122" t="s">
        <v>329</v>
      </c>
      <c r="B122" t="s">
        <v>277</v>
      </c>
      <c r="C122" t="s">
        <v>69</v>
      </c>
      <c r="D122" t="s">
        <v>147</v>
      </c>
      <c r="E122">
        <v>0</v>
      </c>
      <c r="F122">
        <v>0</v>
      </c>
      <c r="G122">
        <v>0</v>
      </c>
      <c r="H122">
        <v>0</v>
      </c>
      <c r="I122">
        <v>0</v>
      </c>
      <c r="J122">
        <v>0</v>
      </c>
      <c r="K122">
        <v>0</v>
      </c>
      <c r="L122">
        <v>0</v>
      </c>
      <c r="M122">
        <v>0</v>
      </c>
      <c r="O122">
        <f t="shared" si="21"/>
        <v>0</v>
      </c>
    </row>
    <row r="123" spans="1:24" hidden="1" x14ac:dyDescent="0.2">
      <c r="A123" t="s">
        <v>3040</v>
      </c>
      <c r="B123" t="s">
        <v>276</v>
      </c>
      <c r="C123" t="s">
        <v>69</v>
      </c>
      <c r="D123" t="s">
        <v>156</v>
      </c>
      <c r="E123">
        <v>5.5949189126931899E-2</v>
      </c>
      <c r="F123">
        <v>5.5949189126931899E-2</v>
      </c>
      <c r="G123">
        <v>5.5949131442004002E-2</v>
      </c>
      <c r="H123">
        <v>5.5949145320737102E-2</v>
      </c>
      <c r="I123">
        <v>5.5949118174518898E-2</v>
      </c>
      <c r="J123">
        <v>5.5949046541697099E-2</v>
      </c>
      <c r="K123">
        <v>5.5949120890101497E-2</v>
      </c>
      <c r="L123">
        <v>5.5949175401502099E-2</v>
      </c>
      <c r="M123">
        <v>5.5949175401502099E-2</v>
      </c>
      <c r="O123">
        <f t="shared" si="21"/>
        <v>0</v>
      </c>
      <c r="P123">
        <f t="shared" si="22"/>
        <v>0</v>
      </c>
      <c r="Q123">
        <f t="shared" si="23"/>
        <v>0</v>
      </c>
      <c r="R123">
        <f t="shared" si="24"/>
        <v>0</v>
      </c>
      <c r="S123">
        <f t="shared" si="25"/>
        <v>0</v>
      </c>
      <c r="T123">
        <f t="shared" si="26"/>
        <v>0</v>
      </c>
      <c r="U123">
        <f t="shared" si="27"/>
        <v>0</v>
      </c>
      <c r="V123">
        <f t="shared" si="28"/>
        <v>0</v>
      </c>
      <c r="W123">
        <f t="shared" si="29"/>
        <v>0</v>
      </c>
      <c r="X123">
        <f t="shared" si="30"/>
        <v>0</v>
      </c>
    </row>
    <row r="124" spans="1:24" x14ac:dyDescent="0.2">
      <c r="A124" t="s">
        <v>329</v>
      </c>
      <c r="B124" t="s">
        <v>277</v>
      </c>
      <c r="C124" t="s">
        <v>474</v>
      </c>
      <c r="D124" t="s">
        <v>147</v>
      </c>
      <c r="E124">
        <v>809.18625562190198</v>
      </c>
      <c r="F124">
        <v>717.37917726989394</v>
      </c>
      <c r="G124">
        <v>565.23600524957101</v>
      </c>
      <c r="H124">
        <v>472.41891643346997</v>
      </c>
      <c r="I124">
        <v>412.86398479136801</v>
      </c>
      <c r="J124">
        <v>382.70335541305002</v>
      </c>
      <c r="K124">
        <v>369.486844409941</v>
      </c>
      <c r="L124">
        <v>366.75951772725199</v>
      </c>
      <c r="M124">
        <v>366.33687885587801</v>
      </c>
      <c r="O124">
        <f t="shared" si="21"/>
        <v>67.2</v>
      </c>
      <c r="P124">
        <f t="shared" si="22"/>
        <v>8.3046393253866244E-2</v>
      </c>
      <c r="Q124">
        <f t="shared" si="23"/>
        <v>9.3674310781838979E-2</v>
      </c>
      <c r="R124">
        <f t="shared" si="24"/>
        <v>0.11888839241641888</v>
      </c>
      <c r="S124">
        <f t="shared" si="25"/>
        <v>0.14224663251701877</v>
      </c>
      <c r="T124">
        <f t="shared" si="26"/>
        <v>0.16276546871473443</v>
      </c>
      <c r="U124">
        <f t="shared" si="27"/>
        <v>0.17559292086026093</v>
      </c>
      <c r="V124">
        <f t="shared" si="28"/>
        <v>0.18187386375641146</v>
      </c>
      <c r="W124">
        <f t="shared" si="29"/>
        <v>0.18322632883920034</v>
      </c>
      <c r="X124">
        <f t="shared" si="30"/>
        <v>0.18343771506127127</v>
      </c>
    </row>
    <row r="125" spans="1:24" hidden="1" x14ac:dyDescent="0.2">
      <c r="A125" t="s">
        <v>3040</v>
      </c>
      <c r="B125" t="s">
        <v>277</v>
      </c>
      <c r="C125" t="s">
        <v>69</v>
      </c>
      <c r="D125" t="s">
        <v>160</v>
      </c>
      <c r="E125">
        <v>0</v>
      </c>
      <c r="F125">
        <v>0</v>
      </c>
      <c r="G125">
        <v>0</v>
      </c>
      <c r="H125">
        <v>0</v>
      </c>
      <c r="I125">
        <v>0</v>
      </c>
      <c r="J125">
        <v>0</v>
      </c>
      <c r="K125">
        <v>0</v>
      </c>
      <c r="L125">
        <v>0</v>
      </c>
      <c r="M125">
        <v>0</v>
      </c>
      <c r="O125">
        <f t="shared" si="21"/>
        <v>0</v>
      </c>
      <c r="P125">
        <f t="shared" si="22"/>
        <v>0</v>
      </c>
      <c r="Q125">
        <f t="shared" si="23"/>
        <v>0</v>
      </c>
      <c r="R125">
        <f t="shared" si="24"/>
        <v>0</v>
      </c>
      <c r="S125">
        <f t="shared" si="25"/>
        <v>0</v>
      </c>
      <c r="T125">
        <f t="shared" si="26"/>
        <v>0</v>
      </c>
      <c r="U125">
        <f t="shared" si="27"/>
        <v>0</v>
      </c>
      <c r="V125">
        <f t="shared" si="28"/>
        <v>0</v>
      </c>
      <c r="W125">
        <f t="shared" si="29"/>
        <v>0</v>
      </c>
      <c r="X125">
        <f t="shared" si="30"/>
        <v>0</v>
      </c>
    </row>
    <row r="126" spans="1:24" hidden="1" x14ac:dyDescent="0.2">
      <c r="A126" t="s">
        <v>3040</v>
      </c>
      <c r="B126" t="s">
        <v>277</v>
      </c>
      <c r="C126" t="s">
        <v>69</v>
      </c>
      <c r="D126" t="s">
        <v>151</v>
      </c>
      <c r="E126">
        <v>0</v>
      </c>
      <c r="F126">
        <v>0</v>
      </c>
      <c r="G126">
        <v>0</v>
      </c>
      <c r="H126">
        <v>0</v>
      </c>
      <c r="I126">
        <v>0</v>
      </c>
      <c r="J126">
        <v>0</v>
      </c>
      <c r="K126">
        <v>0</v>
      </c>
      <c r="L126">
        <v>0</v>
      </c>
      <c r="M126">
        <v>0</v>
      </c>
      <c r="O126">
        <f t="shared" si="21"/>
        <v>0</v>
      </c>
      <c r="P126">
        <f t="shared" si="22"/>
        <v>0</v>
      </c>
      <c r="Q126">
        <f t="shared" si="23"/>
        <v>0</v>
      </c>
      <c r="R126">
        <f t="shared" si="24"/>
        <v>0</v>
      </c>
      <c r="S126">
        <f t="shared" si="25"/>
        <v>0</v>
      </c>
      <c r="T126">
        <f t="shared" si="26"/>
        <v>0</v>
      </c>
      <c r="U126">
        <f t="shared" si="27"/>
        <v>0</v>
      </c>
      <c r="V126">
        <f t="shared" si="28"/>
        <v>0</v>
      </c>
      <c r="W126">
        <f t="shared" si="29"/>
        <v>0</v>
      </c>
      <c r="X126">
        <f t="shared" si="30"/>
        <v>0</v>
      </c>
    </row>
    <row r="127" spans="1:24" hidden="1" x14ac:dyDescent="0.2">
      <c r="A127" t="s">
        <v>3040</v>
      </c>
      <c r="B127" t="s">
        <v>277</v>
      </c>
      <c r="C127" t="s">
        <v>69</v>
      </c>
      <c r="D127" t="s">
        <v>164</v>
      </c>
      <c r="E127">
        <v>0</v>
      </c>
      <c r="F127">
        <v>0</v>
      </c>
      <c r="G127">
        <v>0</v>
      </c>
      <c r="H127">
        <v>0</v>
      </c>
      <c r="I127">
        <v>0</v>
      </c>
      <c r="J127">
        <v>0</v>
      </c>
      <c r="K127">
        <v>0</v>
      </c>
      <c r="L127">
        <v>0</v>
      </c>
      <c r="M127">
        <v>0</v>
      </c>
      <c r="O127">
        <f t="shared" si="21"/>
        <v>0</v>
      </c>
      <c r="P127">
        <f t="shared" si="22"/>
        <v>0</v>
      </c>
      <c r="Q127">
        <f t="shared" si="23"/>
        <v>0</v>
      </c>
      <c r="R127">
        <f t="shared" si="24"/>
        <v>0</v>
      </c>
      <c r="S127">
        <f t="shared" si="25"/>
        <v>0</v>
      </c>
      <c r="T127">
        <f t="shared" si="26"/>
        <v>0</v>
      </c>
      <c r="U127">
        <f t="shared" si="27"/>
        <v>0</v>
      </c>
      <c r="V127">
        <f t="shared" si="28"/>
        <v>0</v>
      </c>
      <c r="W127">
        <f t="shared" si="29"/>
        <v>0</v>
      </c>
      <c r="X127">
        <f t="shared" si="30"/>
        <v>0</v>
      </c>
    </row>
    <row r="128" spans="1:24" hidden="1" x14ac:dyDescent="0.2">
      <c r="A128" t="s">
        <v>3040</v>
      </c>
      <c r="B128" t="s">
        <v>277</v>
      </c>
      <c r="C128" t="s">
        <v>69</v>
      </c>
      <c r="D128" t="s">
        <v>162</v>
      </c>
      <c r="E128">
        <v>0</v>
      </c>
      <c r="F128">
        <v>0</v>
      </c>
      <c r="G128">
        <v>0</v>
      </c>
      <c r="H128">
        <v>0</v>
      </c>
      <c r="I128">
        <v>0</v>
      </c>
      <c r="J128">
        <v>0</v>
      </c>
      <c r="K128">
        <v>0</v>
      </c>
      <c r="L128">
        <v>0</v>
      </c>
      <c r="M128">
        <v>0</v>
      </c>
      <c r="O128">
        <f t="shared" si="21"/>
        <v>0</v>
      </c>
      <c r="P128">
        <f t="shared" si="22"/>
        <v>0</v>
      </c>
      <c r="Q128">
        <f t="shared" si="23"/>
        <v>0</v>
      </c>
      <c r="R128">
        <f t="shared" si="24"/>
        <v>0</v>
      </c>
      <c r="S128">
        <f t="shared" si="25"/>
        <v>0</v>
      </c>
      <c r="T128">
        <f t="shared" si="26"/>
        <v>0</v>
      </c>
      <c r="U128">
        <f t="shared" si="27"/>
        <v>0</v>
      </c>
      <c r="V128">
        <f t="shared" si="28"/>
        <v>0</v>
      </c>
      <c r="W128">
        <f t="shared" si="29"/>
        <v>0</v>
      </c>
      <c r="X128">
        <f t="shared" si="30"/>
        <v>0</v>
      </c>
    </row>
    <row r="129" spans="1:24" hidden="1" x14ac:dyDescent="0.2">
      <c r="A129" t="s">
        <v>3040</v>
      </c>
      <c r="B129" t="s">
        <v>277</v>
      </c>
      <c r="C129" t="s">
        <v>69</v>
      </c>
      <c r="D129" t="s">
        <v>168</v>
      </c>
      <c r="E129">
        <v>0</v>
      </c>
      <c r="F129">
        <v>0</v>
      </c>
      <c r="G129">
        <v>0</v>
      </c>
      <c r="H129">
        <v>0</v>
      </c>
      <c r="I129">
        <v>0</v>
      </c>
      <c r="J129">
        <v>0</v>
      </c>
      <c r="K129">
        <v>0</v>
      </c>
      <c r="L129">
        <v>0</v>
      </c>
      <c r="M129">
        <v>0</v>
      </c>
      <c r="O129">
        <f t="shared" si="21"/>
        <v>0</v>
      </c>
      <c r="P129">
        <f t="shared" si="22"/>
        <v>0</v>
      </c>
      <c r="Q129">
        <f t="shared" si="23"/>
        <v>0</v>
      </c>
      <c r="R129">
        <f t="shared" si="24"/>
        <v>0</v>
      </c>
      <c r="S129">
        <f t="shared" si="25"/>
        <v>0</v>
      </c>
      <c r="T129">
        <f t="shared" si="26"/>
        <v>0</v>
      </c>
      <c r="U129">
        <f t="shared" si="27"/>
        <v>0</v>
      </c>
      <c r="V129">
        <f t="shared" si="28"/>
        <v>0</v>
      </c>
      <c r="W129">
        <f t="shared" si="29"/>
        <v>0</v>
      </c>
      <c r="X129">
        <f t="shared" si="30"/>
        <v>0</v>
      </c>
    </row>
    <row r="130" spans="1:24" hidden="1" x14ac:dyDescent="0.2">
      <c r="A130" t="s">
        <v>3040</v>
      </c>
      <c r="B130" t="s">
        <v>277</v>
      </c>
      <c r="C130" t="s">
        <v>69</v>
      </c>
      <c r="D130" t="s">
        <v>154</v>
      </c>
      <c r="E130">
        <v>0</v>
      </c>
      <c r="F130">
        <v>0</v>
      </c>
      <c r="G130">
        <v>0</v>
      </c>
      <c r="H130">
        <v>0</v>
      </c>
      <c r="I130">
        <v>0</v>
      </c>
      <c r="J130">
        <v>0</v>
      </c>
      <c r="K130">
        <v>0</v>
      </c>
      <c r="L130">
        <v>0</v>
      </c>
      <c r="M130">
        <v>0</v>
      </c>
      <c r="O130">
        <f t="shared" si="21"/>
        <v>0</v>
      </c>
      <c r="P130">
        <f t="shared" si="22"/>
        <v>0</v>
      </c>
      <c r="Q130">
        <f t="shared" si="23"/>
        <v>0</v>
      </c>
      <c r="R130">
        <f t="shared" si="24"/>
        <v>0</v>
      </c>
      <c r="S130">
        <f t="shared" si="25"/>
        <v>0</v>
      </c>
      <c r="T130">
        <f t="shared" si="26"/>
        <v>0</v>
      </c>
      <c r="U130">
        <f t="shared" si="27"/>
        <v>0</v>
      </c>
      <c r="V130">
        <f t="shared" si="28"/>
        <v>0</v>
      </c>
      <c r="W130">
        <f t="shared" si="29"/>
        <v>0</v>
      </c>
      <c r="X130">
        <f t="shared" si="30"/>
        <v>0</v>
      </c>
    </row>
    <row r="131" spans="1:24" hidden="1" x14ac:dyDescent="0.2">
      <c r="A131" t="s">
        <v>3040</v>
      </c>
      <c r="B131" t="s">
        <v>277</v>
      </c>
      <c r="C131" t="s">
        <v>69</v>
      </c>
      <c r="D131" t="s">
        <v>166</v>
      </c>
      <c r="E131">
        <v>0</v>
      </c>
      <c r="F131">
        <v>0</v>
      </c>
      <c r="G131">
        <v>0</v>
      </c>
      <c r="H131">
        <v>0</v>
      </c>
      <c r="I131">
        <v>0</v>
      </c>
      <c r="J131">
        <v>0</v>
      </c>
      <c r="K131">
        <v>0</v>
      </c>
      <c r="L131">
        <v>0</v>
      </c>
      <c r="M131">
        <v>0</v>
      </c>
      <c r="O131">
        <f t="shared" si="21"/>
        <v>0</v>
      </c>
      <c r="P131">
        <f t="shared" si="22"/>
        <v>0</v>
      </c>
      <c r="Q131">
        <f t="shared" si="23"/>
        <v>0</v>
      </c>
      <c r="R131">
        <f t="shared" si="24"/>
        <v>0</v>
      </c>
      <c r="S131">
        <f t="shared" si="25"/>
        <v>0</v>
      </c>
      <c r="T131">
        <f t="shared" si="26"/>
        <v>0</v>
      </c>
      <c r="U131">
        <f t="shared" si="27"/>
        <v>0</v>
      </c>
      <c r="V131">
        <f t="shared" si="28"/>
        <v>0</v>
      </c>
      <c r="W131">
        <f t="shared" si="29"/>
        <v>0</v>
      </c>
      <c r="X131">
        <f t="shared" si="30"/>
        <v>0</v>
      </c>
    </row>
    <row r="132" spans="1:24" x14ac:dyDescent="0.2">
      <c r="A132" t="s">
        <v>3040</v>
      </c>
      <c r="B132" t="s">
        <v>278</v>
      </c>
      <c r="C132" t="s">
        <v>477</v>
      </c>
      <c r="D132" t="s">
        <v>147</v>
      </c>
      <c r="E132">
        <v>498.51060445480499</v>
      </c>
      <c r="F132">
        <v>427.96898586055102</v>
      </c>
      <c r="G132">
        <v>313.58403824310199</v>
      </c>
      <c r="H132">
        <v>263.48651447023201</v>
      </c>
      <c r="I132">
        <v>240.732982853072</v>
      </c>
      <c r="J132">
        <v>231.37893577755901</v>
      </c>
      <c r="K132">
        <v>225.706930682983</v>
      </c>
      <c r="L132">
        <v>223.59774894311099</v>
      </c>
      <c r="M132">
        <v>223.62259579940101</v>
      </c>
      <c r="O132">
        <f t="shared" si="21"/>
        <v>69.400000000000006</v>
      </c>
    </row>
    <row r="133" spans="1:24" hidden="1" x14ac:dyDescent="0.2">
      <c r="A133" t="s">
        <v>3040</v>
      </c>
      <c r="B133" t="s">
        <v>277</v>
      </c>
      <c r="C133" t="s">
        <v>69</v>
      </c>
      <c r="D133" t="s">
        <v>156</v>
      </c>
      <c r="E133">
        <v>7.4526067369789506E-2</v>
      </c>
      <c r="F133">
        <v>7.4526067369789506E-2</v>
      </c>
      <c r="G133">
        <v>7.4526039586762793E-2</v>
      </c>
      <c r="H133">
        <v>7.4526082672864202E-2</v>
      </c>
      <c r="I133">
        <v>7.4526031771725496E-2</v>
      </c>
      <c r="J133">
        <v>7.4526070650223306E-2</v>
      </c>
      <c r="K133">
        <v>7.4526042307150001E-2</v>
      </c>
      <c r="L133">
        <v>7.4526038743875506E-2</v>
      </c>
      <c r="M133">
        <v>7.4526038743875506E-2</v>
      </c>
      <c r="O133">
        <f t="shared" si="21"/>
        <v>0</v>
      </c>
      <c r="P133">
        <f t="shared" si="22"/>
        <v>0</v>
      </c>
      <c r="Q133">
        <f t="shared" si="23"/>
        <v>0</v>
      </c>
      <c r="R133">
        <f t="shared" si="24"/>
        <v>0</v>
      </c>
      <c r="S133">
        <f t="shared" si="25"/>
        <v>0</v>
      </c>
      <c r="T133">
        <f t="shared" si="26"/>
        <v>0</v>
      </c>
      <c r="U133">
        <f t="shared" si="27"/>
        <v>0</v>
      </c>
      <c r="V133">
        <f t="shared" si="28"/>
        <v>0</v>
      </c>
      <c r="W133">
        <f t="shared" si="29"/>
        <v>0</v>
      </c>
      <c r="X133">
        <f t="shared" si="30"/>
        <v>0</v>
      </c>
    </row>
    <row r="134" spans="1:24" x14ac:dyDescent="0.2">
      <c r="A134" t="s">
        <v>3040</v>
      </c>
      <c r="B134" t="s">
        <v>278</v>
      </c>
      <c r="C134" t="s">
        <v>332</v>
      </c>
      <c r="D134" t="s">
        <v>147</v>
      </c>
      <c r="E134">
        <v>427.22035607805998</v>
      </c>
      <c r="F134">
        <v>410.99295031887198</v>
      </c>
      <c r="G134">
        <v>286.65796119002903</v>
      </c>
      <c r="H134">
        <v>251.42291340526501</v>
      </c>
      <c r="I134">
        <v>237.879150946539</v>
      </c>
      <c r="J134">
        <v>231.785973261176</v>
      </c>
      <c r="K134">
        <v>226.95489929379499</v>
      </c>
      <c r="L134">
        <v>225.270240547784</v>
      </c>
      <c r="M134">
        <v>225.537595537371</v>
      </c>
      <c r="O134">
        <f t="shared" ref="O134:O197" si="31">IF(C134="DSL",$O$2,IF(C134="GSL",$O$1,IF(C134="CNG",$O$3,0)))</f>
        <v>0</v>
      </c>
      <c r="P134">
        <f t="shared" si="22"/>
        <v>0</v>
      </c>
      <c r="Q134">
        <f t="shared" si="23"/>
        <v>0</v>
      </c>
      <c r="R134">
        <f t="shared" si="24"/>
        <v>0</v>
      </c>
      <c r="S134">
        <f t="shared" si="25"/>
        <v>0</v>
      </c>
      <c r="T134">
        <f t="shared" si="26"/>
        <v>0</v>
      </c>
      <c r="U134">
        <f t="shared" si="27"/>
        <v>0</v>
      </c>
      <c r="V134">
        <f t="shared" si="28"/>
        <v>0</v>
      </c>
      <c r="W134">
        <f t="shared" si="29"/>
        <v>0</v>
      </c>
      <c r="X134">
        <f t="shared" si="30"/>
        <v>0</v>
      </c>
    </row>
    <row r="135" spans="1:24" hidden="1" x14ac:dyDescent="0.2">
      <c r="A135" t="s">
        <v>3040</v>
      </c>
      <c r="B135" t="s">
        <v>278</v>
      </c>
      <c r="C135" t="s">
        <v>69</v>
      </c>
      <c r="D135" t="s">
        <v>160</v>
      </c>
      <c r="E135">
        <v>0</v>
      </c>
      <c r="F135">
        <v>0</v>
      </c>
      <c r="G135">
        <v>0</v>
      </c>
      <c r="H135">
        <v>0</v>
      </c>
      <c r="I135">
        <v>0</v>
      </c>
      <c r="J135">
        <v>0</v>
      </c>
      <c r="K135">
        <v>0</v>
      </c>
      <c r="L135">
        <v>0</v>
      </c>
      <c r="M135">
        <v>0</v>
      </c>
      <c r="O135">
        <f t="shared" si="31"/>
        <v>0</v>
      </c>
      <c r="P135">
        <f t="shared" si="22"/>
        <v>0</v>
      </c>
      <c r="Q135">
        <f t="shared" si="23"/>
        <v>0</v>
      </c>
      <c r="R135">
        <f t="shared" si="24"/>
        <v>0</v>
      </c>
      <c r="S135">
        <f t="shared" si="25"/>
        <v>0</v>
      </c>
      <c r="T135">
        <f t="shared" si="26"/>
        <v>0</v>
      </c>
      <c r="U135">
        <f t="shared" si="27"/>
        <v>0</v>
      </c>
      <c r="V135">
        <f t="shared" si="28"/>
        <v>0</v>
      </c>
      <c r="W135">
        <f t="shared" si="29"/>
        <v>0</v>
      </c>
      <c r="X135">
        <f t="shared" si="30"/>
        <v>0</v>
      </c>
    </row>
    <row r="136" spans="1:24" hidden="1" x14ac:dyDescent="0.2">
      <c r="A136" t="s">
        <v>3040</v>
      </c>
      <c r="B136" t="s">
        <v>278</v>
      </c>
      <c r="C136" t="s">
        <v>69</v>
      </c>
      <c r="D136" t="s">
        <v>151</v>
      </c>
      <c r="E136">
        <v>0</v>
      </c>
      <c r="F136">
        <v>0</v>
      </c>
      <c r="G136">
        <v>0</v>
      </c>
      <c r="H136">
        <v>0</v>
      </c>
      <c r="I136">
        <v>0</v>
      </c>
      <c r="J136">
        <v>0</v>
      </c>
      <c r="K136">
        <v>0</v>
      </c>
      <c r="L136">
        <v>0</v>
      </c>
      <c r="M136">
        <v>0</v>
      </c>
      <c r="O136">
        <f t="shared" si="31"/>
        <v>0</v>
      </c>
      <c r="P136">
        <f t="shared" si="22"/>
        <v>0</v>
      </c>
      <c r="Q136">
        <f t="shared" si="23"/>
        <v>0</v>
      </c>
      <c r="R136">
        <f t="shared" si="24"/>
        <v>0</v>
      </c>
      <c r="S136">
        <f t="shared" si="25"/>
        <v>0</v>
      </c>
      <c r="T136">
        <f t="shared" si="26"/>
        <v>0</v>
      </c>
      <c r="U136">
        <f t="shared" si="27"/>
        <v>0</v>
      </c>
      <c r="V136">
        <f t="shared" si="28"/>
        <v>0</v>
      </c>
      <c r="W136">
        <f t="shared" si="29"/>
        <v>0</v>
      </c>
      <c r="X136">
        <f t="shared" si="30"/>
        <v>0</v>
      </c>
    </row>
    <row r="137" spans="1:24" hidden="1" x14ac:dyDescent="0.2">
      <c r="A137" t="s">
        <v>3040</v>
      </c>
      <c r="B137" t="s">
        <v>278</v>
      </c>
      <c r="C137" t="s">
        <v>69</v>
      </c>
      <c r="D137" t="s">
        <v>164</v>
      </c>
      <c r="E137">
        <v>0</v>
      </c>
      <c r="F137">
        <v>0</v>
      </c>
      <c r="G137">
        <v>0</v>
      </c>
      <c r="H137">
        <v>0</v>
      </c>
      <c r="I137">
        <v>0</v>
      </c>
      <c r="J137">
        <v>0</v>
      </c>
      <c r="K137">
        <v>0</v>
      </c>
      <c r="L137">
        <v>0</v>
      </c>
      <c r="M137">
        <v>0</v>
      </c>
      <c r="O137">
        <f t="shared" si="31"/>
        <v>0</v>
      </c>
      <c r="P137">
        <f t="shared" si="22"/>
        <v>0</v>
      </c>
      <c r="Q137">
        <f t="shared" si="23"/>
        <v>0</v>
      </c>
      <c r="R137">
        <f t="shared" si="24"/>
        <v>0</v>
      </c>
      <c r="S137">
        <f t="shared" si="25"/>
        <v>0</v>
      </c>
      <c r="T137">
        <f t="shared" si="26"/>
        <v>0</v>
      </c>
      <c r="U137">
        <f t="shared" si="27"/>
        <v>0</v>
      </c>
      <c r="V137">
        <f t="shared" si="28"/>
        <v>0</v>
      </c>
      <c r="W137">
        <f t="shared" si="29"/>
        <v>0</v>
      </c>
      <c r="X137">
        <f t="shared" si="30"/>
        <v>0</v>
      </c>
    </row>
    <row r="138" spans="1:24" hidden="1" x14ac:dyDescent="0.2">
      <c r="A138" t="s">
        <v>3040</v>
      </c>
      <c r="B138" t="s">
        <v>278</v>
      </c>
      <c r="C138" t="s">
        <v>69</v>
      </c>
      <c r="D138" t="s">
        <v>162</v>
      </c>
      <c r="E138">
        <v>0</v>
      </c>
      <c r="F138">
        <v>0</v>
      </c>
      <c r="G138">
        <v>0</v>
      </c>
      <c r="H138">
        <v>0</v>
      </c>
      <c r="I138">
        <v>0</v>
      </c>
      <c r="J138">
        <v>0</v>
      </c>
      <c r="K138">
        <v>0</v>
      </c>
      <c r="L138">
        <v>0</v>
      </c>
      <c r="M138">
        <v>0</v>
      </c>
      <c r="O138">
        <f t="shared" si="31"/>
        <v>0</v>
      </c>
      <c r="P138">
        <f t="shared" si="22"/>
        <v>0</v>
      </c>
      <c r="Q138">
        <f t="shared" si="23"/>
        <v>0</v>
      </c>
      <c r="R138">
        <f t="shared" si="24"/>
        <v>0</v>
      </c>
      <c r="S138">
        <f t="shared" si="25"/>
        <v>0</v>
      </c>
      <c r="T138">
        <f t="shared" si="26"/>
        <v>0</v>
      </c>
      <c r="U138">
        <f t="shared" si="27"/>
        <v>0</v>
      </c>
      <c r="V138">
        <f t="shared" si="28"/>
        <v>0</v>
      </c>
      <c r="W138">
        <f t="shared" si="29"/>
        <v>0</v>
      </c>
      <c r="X138">
        <f t="shared" si="30"/>
        <v>0</v>
      </c>
    </row>
    <row r="139" spans="1:24" hidden="1" x14ac:dyDescent="0.2">
      <c r="A139" t="s">
        <v>3040</v>
      </c>
      <c r="B139" t="s">
        <v>278</v>
      </c>
      <c r="C139" t="s">
        <v>69</v>
      </c>
      <c r="D139" t="s">
        <v>168</v>
      </c>
      <c r="E139">
        <v>0</v>
      </c>
      <c r="F139">
        <v>0</v>
      </c>
      <c r="G139">
        <v>0</v>
      </c>
      <c r="H139">
        <v>0</v>
      </c>
      <c r="I139">
        <v>0</v>
      </c>
      <c r="J139">
        <v>0</v>
      </c>
      <c r="K139">
        <v>0</v>
      </c>
      <c r="L139">
        <v>0</v>
      </c>
      <c r="M139">
        <v>0</v>
      </c>
      <c r="O139">
        <f t="shared" si="31"/>
        <v>0</v>
      </c>
      <c r="P139">
        <f t="shared" si="22"/>
        <v>0</v>
      </c>
      <c r="Q139">
        <f t="shared" si="23"/>
        <v>0</v>
      </c>
      <c r="R139">
        <f t="shared" si="24"/>
        <v>0</v>
      </c>
      <c r="S139">
        <f t="shared" si="25"/>
        <v>0</v>
      </c>
      <c r="T139">
        <f t="shared" si="26"/>
        <v>0</v>
      </c>
      <c r="U139">
        <f t="shared" si="27"/>
        <v>0</v>
      </c>
      <c r="V139">
        <f t="shared" si="28"/>
        <v>0</v>
      </c>
      <c r="W139">
        <f t="shared" si="29"/>
        <v>0</v>
      </c>
      <c r="X139">
        <f t="shared" si="30"/>
        <v>0</v>
      </c>
    </row>
    <row r="140" spans="1:24" hidden="1" x14ac:dyDescent="0.2">
      <c r="A140" t="s">
        <v>3040</v>
      </c>
      <c r="B140" t="s">
        <v>278</v>
      </c>
      <c r="C140" t="s">
        <v>69</v>
      </c>
      <c r="D140" t="s">
        <v>154</v>
      </c>
      <c r="E140">
        <v>0</v>
      </c>
      <c r="F140">
        <v>0</v>
      </c>
      <c r="G140">
        <v>0</v>
      </c>
      <c r="H140">
        <v>0</v>
      </c>
      <c r="I140">
        <v>0</v>
      </c>
      <c r="J140">
        <v>0</v>
      </c>
      <c r="K140">
        <v>0</v>
      </c>
      <c r="L140">
        <v>0</v>
      </c>
      <c r="M140">
        <v>0</v>
      </c>
      <c r="O140">
        <f t="shared" si="31"/>
        <v>0</v>
      </c>
      <c r="P140">
        <f t="shared" si="22"/>
        <v>0</v>
      </c>
      <c r="Q140">
        <f t="shared" si="23"/>
        <v>0</v>
      </c>
      <c r="R140">
        <f t="shared" si="24"/>
        <v>0</v>
      </c>
      <c r="S140">
        <f t="shared" si="25"/>
        <v>0</v>
      </c>
      <c r="T140">
        <f t="shared" si="26"/>
        <v>0</v>
      </c>
      <c r="U140">
        <f t="shared" si="27"/>
        <v>0</v>
      </c>
      <c r="V140">
        <f t="shared" si="28"/>
        <v>0</v>
      </c>
      <c r="W140">
        <f t="shared" si="29"/>
        <v>0</v>
      </c>
      <c r="X140">
        <f t="shared" si="30"/>
        <v>0</v>
      </c>
    </row>
    <row r="141" spans="1:24" hidden="1" x14ac:dyDescent="0.2">
      <c r="A141" t="s">
        <v>3040</v>
      </c>
      <c r="B141" t="s">
        <v>278</v>
      </c>
      <c r="C141" t="s">
        <v>69</v>
      </c>
      <c r="D141" t="s">
        <v>166</v>
      </c>
      <c r="E141">
        <v>0</v>
      </c>
      <c r="F141">
        <v>0</v>
      </c>
      <c r="G141">
        <v>0</v>
      </c>
      <c r="H141">
        <v>0</v>
      </c>
      <c r="I141">
        <v>0</v>
      </c>
      <c r="J141">
        <v>0</v>
      </c>
      <c r="K141">
        <v>0</v>
      </c>
      <c r="L141">
        <v>0</v>
      </c>
      <c r="M141">
        <v>0</v>
      </c>
      <c r="O141">
        <f t="shared" si="31"/>
        <v>0</v>
      </c>
      <c r="P141">
        <f t="shared" si="22"/>
        <v>0</v>
      </c>
      <c r="Q141">
        <f t="shared" si="23"/>
        <v>0</v>
      </c>
      <c r="R141">
        <f t="shared" si="24"/>
        <v>0</v>
      </c>
      <c r="S141">
        <f t="shared" si="25"/>
        <v>0</v>
      </c>
      <c r="T141">
        <f t="shared" si="26"/>
        <v>0</v>
      </c>
      <c r="U141">
        <f t="shared" si="27"/>
        <v>0</v>
      </c>
      <c r="V141">
        <f t="shared" si="28"/>
        <v>0</v>
      </c>
      <c r="W141">
        <f t="shared" si="29"/>
        <v>0</v>
      </c>
      <c r="X141">
        <f t="shared" si="30"/>
        <v>0</v>
      </c>
    </row>
    <row r="142" spans="1:24" x14ac:dyDescent="0.2">
      <c r="A142" t="s">
        <v>3040</v>
      </c>
      <c r="B142" t="s">
        <v>278</v>
      </c>
      <c r="C142" t="s">
        <v>69</v>
      </c>
      <c r="D142" t="s">
        <v>147</v>
      </c>
      <c r="E142">
        <v>0</v>
      </c>
      <c r="F142">
        <v>0</v>
      </c>
      <c r="G142">
        <v>0</v>
      </c>
      <c r="H142">
        <v>0</v>
      </c>
      <c r="I142">
        <v>0</v>
      </c>
      <c r="J142">
        <v>0</v>
      </c>
      <c r="K142">
        <v>0</v>
      </c>
      <c r="L142">
        <v>0</v>
      </c>
      <c r="M142">
        <v>0</v>
      </c>
      <c r="O142">
        <f t="shared" si="31"/>
        <v>0</v>
      </c>
    </row>
    <row r="143" spans="1:24" hidden="1" x14ac:dyDescent="0.2">
      <c r="A143" t="s">
        <v>3040</v>
      </c>
      <c r="B143" t="s">
        <v>278</v>
      </c>
      <c r="C143" t="s">
        <v>69</v>
      </c>
      <c r="D143" t="s">
        <v>156</v>
      </c>
      <c r="E143">
        <v>4.56866074514682E-2</v>
      </c>
      <c r="F143">
        <v>4.56866074514682E-2</v>
      </c>
      <c r="G143">
        <v>4.5686595098603698E-2</v>
      </c>
      <c r="H143">
        <v>4.5686567732366602E-2</v>
      </c>
      <c r="I143">
        <v>4.5686639312502303E-2</v>
      </c>
      <c r="J143">
        <v>4.5686507422641499E-2</v>
      </c>
      <c r="K143">
        <v>4.5686552882415202E-2</v>
      </c>
      <c r="L143">
        <v>4.5686619042368502E-2</v>
      </c>
      <c r="M143">
        <v>4.5686619042368502E-2</v>
      </c>
      <c r="O143">
        <f t="shared" si="31"/>
        <v>0</v>
      </c>
      <c r="P143">
        <f t="shared" si="22"/>
        <v>0</v>
      </c>
      <c r="Q143">
        <f t="shared" si="23"/>
        <v>0</v>
      </c>
      <c r="R143">
        <f t="shared" si="24"/>
        <v>0</v>
      </c>
      <c r="S143">
        <f t="shared" si="25"/>
        <v>0</v>
      </c>
      <c r="T143">
        <f t="shared" si="26"/>
        <v>0</v>
      </c>
      <c r="U143">
        <f t="shared" si="27"/>
        <v>0</v>
      </c>
      <c r="V143">
        <f t="shared" si="28"/>
        <v>0</v>
      </c>
      <c r="W143">
        <f t="shared" si="29"/>
        <v>0</v>
      </c>
      <c r="X143">
        <f t="shared" si="30"/>
        <v>0</v>
      </c>
    </row>
    <row r="144" spans="1:24" x14ac:dyDescent="0.2">
      <c r="A144" t="s">
        <v>3040</v>
      </c>
      <c r="B144" t="s">
        <v>278</v>
      </c>
      <c r="C144" t="s">
        <v>474</v>
      </c>
      <c r="D144" t="s">
        <v>147</v>
      </c>
      <c r="E144">
        <v>474.817101058422</v>
      </c>
      <c r="F144">
        <v>451.24703471572099</v>
      </c>
      <c r="G144">
        <v>359.55406391675598</v>
      </c>
      <c r="H144">
        <v>306.68867751853497</v>
      </c>
      <c r="I144">
        <v>266.05693149041099</v>
      </c>
      <c r="J144">
        <v>243.087176828883</v>
      </c>
      <c r="K144">
        <v>232.82718030870799</v>
      </c>
      <c r="L144">
        <v>229.167353178653</v>
      </c>
      <c r="M144">
        <v>227.80956840287899</v>
      </c>
      <c r="O144">
        <f t="shared" si="31"/>
        <v>67.2</v>
      </c>
      <c r="P144">
        <f t="shared" si="22"/>
        <v>0.14152817969319864</v>
      </c>
      <c r="Q144">
        <f t="shared" si="23"/>
        <v>0.14892064618737055</v>
      </c>
      <c r="R144">
        <f t="shared" si="24"/>
        <v>0.18689817956155311</v>
      </c>
      <c r="S144">
        <f t="shared" si="25"/>
        <v>0.21911470793028776</v>
      </c>
      <c r="T144">
        <f t="shared" si="26"/>
        <v>0.25257752024559438</v>
      </c>
      <c r="U144">
        <f t="shared" si="27"/>
        <v>0.27644403492046099</v>
      </c>
      <c r="V144">
        <f t="shared" si="28"/>
        <v>0.28862609559115399</v>
      </c>
      <c r="W144">
        <f t="shared" si="29"/>
        <v>0.29323548519414372</v>
      </c>
      <c r="X144">
        <f t="shared" si="30"/>
        <v>0.29498321984947296</v>
      </c>
    </row>
    <row r="145" spans="1:24" hidden="1" x14ac:dyDescent="0.2">
      <c r="A145" t="s">
        <v>3040</v>
      </c>
      <c r="B145" t="s">
        <v>279</v>
      </c>
      <c r="C145" t="s">
        <v>69</v>
      </c>
      <c r="D145" t="s">
        <v>160</v>
      </c>
      <c r="E145">
        <v>0</v>
      </c>
      <c r="F145">
        <v>0</v>
      </c>
      <c r="G145">
        <v>0</v>
      </c>
      <c r="H145">
        <v>0</v>
      </c>
      <c r="I145">
        <v>0</v>
      </c>
      <c r="J145">
        <v>0</v>
      </c>
      <c r="K145">
        <v>0</v>
      </c>
      <c r="L145">
        <v>0</v>
      </c>
      <c r="M145">
        <v>0</v>
      </c>
      <c r="O145">
        <f t="shared" si="31"/>
        <v>0</v>
      </c>
      <c r="P145">
        <f t="shared" si="22"/>
        <v>0</v>
      </c>
      <c r="Q145">
        <f t="shared" si="23"/>
        <v>0</v>
      </c>
      <c r="R145">
        <f t="shared" si="24"/>
        <v>0</v>
      </c>
      <c r="S145">
        <f t="shared" si="25"/>
        <v>0</v>
      </c>
      <c r="T145">
        <f t="shared" si="26"/>
        <v>0</v>
      </c>
      <c r="U145">
        <f t="shared" si="27"/>
        <v>0</v>
      </c>
      <c r="V145">
        <f t="shared" si="28"/>
        <v>0</v>
      </c>
      <c r="W145">
        <f t="shared" si="29"/>
        <v>0</v>
      </c>
      <c r="X145">
        <f t="shared" si="30"/>
        <v>0</v>
      </c>
    </row>
    <row r="146" spans="1:24" hidden="1" x14ac:dyDescent="0.2">
      <c r="A146" t="s">
        <v>3040</v>
      </c>
      <c r="B146" t="s">
        <v>279</v>
      </c>
      <c r="C146" t="s">
        <v>69</v>
      </c>
      <c r="D146" t="s">
        <v>151</v>
      </c>
      <c r="E146">
        <v>0</v>
      </c>
      <c r="F146">
        <v>0</v>
      </c>
      <c r="G146">
        <v>0</v>
      </c>
      <c r="H146">
        <v>0</v>
      </c>
      <c r="I146">
        <v>0</v>
      </c>
      <c r="J146">
        <v>0</v>
      </c>
      <c r="K146">
        <v>0</v>
      </c>
      <c r="L146">
        <v>0</v>
      </c>
      <c r="M146">
        <v>0</v>
      </c>
      <c r="O146">
        <f t="shared" si="31"/>
        <v>0</v>
      </c>
      <c r="P146">
        <f t="shared" si="22"/>
        <v>0</v>
      </c>
      <c r="Q146">
        <f t="shared" si="23"/>
        <v>0</v>
      </c>
      <c r="R146">
        <f t="shared" si="24"/>
        <v>0</v>
      </c>
      <c r="S146">
        <f t="shared" si="25"/>
        <v>0</v>
      </c>
      <c r="T146">
        <f t="shared" si="26"/>
        <v>0</v>
      </c>
      <c r="U146">
        <f t="shared" si="27"/>
        <v>0</v>
      </c>
      <c r="V146">
        <f t="shared" si="28"/>
        <v>0</v>
      </c>
      <c r="W146">
        <f t="shared" si="29"/>
        <v>0</v>
      </c>
      <c r="X146">
        <f t="shared" si="30"/>
        <v>0</v>
      </c>
    </row>
    <row r="147" spans="1:24" hidden="1" x14ac:dyDescent="0.2">
      <c r="A147" t="s">
        <v>3040</v>
      </c>
      <c r="B147" t="s">
        <v>279</v>
      </c>
      <c r="C147" t="s">
        <v>69</v>
      </c>
      <c r="D147" t="s">
        <v>164</v>
      </c>
      <c r="E147">
        <v>0</v>
      </c>
      <c r="F147">
        <v>0</v>
      </c>
      <c r="G147">
        <v>0</v>
      </c>
      <c r="H147">
        <v>0</v>
      </c>
      <c r="I147">
        <v>0</v>
      </c>
      <c r="J147">
        <v>0</v>
      </c>
      <c r="K147">
        <v>0</v>
      </c>
      <c r="L147">
        <v>0</v>
      </c>
      <c r="M147">
        <v>0</v>
      </c>
      <c r="O147">
        <f t="shared" si="31"/>
        <v>0</v>
      </c>
      <c r="P147">
        <f t="shared" si="22"/>
        <v>0</v>
      </c>
      <c r="Q147">
        <f t="shared" si="23"/>
        <v>0</v>
      </c>
      <c r="R147">
        <f t="shared" si="24"/>
        <v>0</v>
      </c>
      <c r="S147">
        <f t="shared" si="25"/>
        <v>0</v>
      </c>
      <c r="T147">
        <f t="shared" si="26"/>
        <v>0</v>
      </c>
      <c r="U147">
        <f t="shared" si="27"/>
        <v>0</v>
      </c>
      <c r="V147">
        <f t="shared" si="28"/>
        <v>0</v>
      </c>
      <c r="W147">
        <f t="shared" si="29"/>
        <v>0</v>
      </c>
      <c r="X147">
        <f t="shared" si="30"/>
        <v>0</v>
      </c>
    </row>
    <row r="148" spans="1:24" hidden="1" x14ac:dyDescent="0.2">
      <c r="A148" t="s">
        <v>3040</v>
      </c>
      <c r="B148" t="s">
        <v>279</v>
      </c>
      <c r="C148" t="s">
        <v>69</v>
      </c>
      <c r="D148" t="s">
        <v>162</v>
      </c>
      <c r="E148">
        <v>0</v>
      </c>
      <c r="F148">
        <v>0</v>
      </c>
      <c r="G148">
        <v>0</v>
      </c>
      <c r="H148">
        <v>0</v>
      </c>
      <c r="I148">
        <v>0</v>
      </c>
      <c r="J148">
        <v>0</v>
      </c>
      <c r="K148">
        <v>0</v>
      </c>
      <c r="L148">
        <v>0</v>
      </c>
      <c r="M148">
        <v>0</v>
      </c>
      <c r="O148">
        <f t="shared" si="31"/>
        <v>0</v>
      </c>
      <c r="P148">
        <f t="shared" si="22"/>
        <v>0</v>
      </c>
      <c r="Q148">
        <f t="shared" si="23"/>
        <v>0</v>
      </c>
      <c r="R148">
        <f t="shared" si="24"/>
        <v>0</v>
      </c>
      <c r="S148">
        <f t="shared" si="25"/>
        <v>0</v>
      </c>
      <c r="T148">
        <f t="shared" si="26"/>
        <v>0</v>
      </c>
      <c r="U148">
        <f t="shared" si="27"/>
        <v>0</v>
      </c>
      <c r="V148">
        <f t="shared" si="28"/>
        <v>0</v>
      </c>
      <c r="W148">
        <f t="shared" si="29"/>
        <v>0</v>
      </c>
      <c r="X148">
        <f t="shared" si="30"/>
        <v>0</v>
      </c>
    </row>
    <row r="149" spans="1:24" hidden="1" x14ac:dyDescent="0.2">
      <c r="A149" t="s">
        <v>3040</v>
      </c>
      <c r="B149" t="s">
        <v>279</v>
      </c>
      <c r="C149" t="s">
        <v>69</v>
      </c>
      <c r="D149" t="s">
        <v>168</v>
      </c>
      <c r="E149">
        <v>0</v>
      </c>
      <c r="F149">
        <v>0</v>
      </c>
      <c r="G149">
        <v>0</v>
      </c>
      <c r="H149">
        <v>0</v>
      </c>
      <c r="I149">
        <v>0</v>
      </c>
      <c r="J149">
        <v>0</v>
      </c>
      <c r="K149">
        <v>0</v>
      </c>
      <c r="L149">
        <v>0</v>
      </c>
      <c r="M149">
        <v>0</v>
      </c>
      <c r="O149">
        <f t="shared" si="31"/>
        <v>0</v>
      </c>
      <c r="P149">
        <f t="shared" si="22"/>
        <v>0</v>
      </c>
      <c r="Q149">
        <f t="shared" si="23"/>
        <v>0</v>
      </c>
      <c r="R149">
        <f t="shared" si="24"/>
        <v>0</v>
      </c>
      <c r="S149">
        <f t="shared" si="25"/>
        <v>0</v>
      </c>
      <c r="T149">
        <f t="shared" si="26"/>
        <v>0</v>
      </c>
      <c r="U149">
        <f t="shared" si="27"/>
        <v>0</v>
      </c>
      <c r="V149">
        <f t="shared" si="28"/>
        <v>0</v>
      </c>
      <c r="W149">
        <f t="shared" si="29"/>
        <v>0</v>
      </c>
      <c r="X149">
        <f t="shared" si="30"/>
        <v>0</v>
      </c>
    </row>
    <row r="150" spans="1:24" hidden="1" x14ac:dyDescent="0.2">
      <c r="A150" t="s">
        <v>3040</v>
      </c>
      <c r="B150" t="s">
        <v>279</v>
      </c>
      <c r="C150" t="s">
        <v>69</v>
      </c>
      <c r="D150" t="s">
        <v>154</v>
      </c>
      <c r="E150">
        <v>0</v>
      </c>
      <c r="F150">
        <v>0</v>
      </c>
      <c r="G150">
        <v>0</v>
      </c>
      <c r="H150">
        <v>0</v>
      </c>
      <c r="I150">
        <v>0</v>
      </c>
      <c r="J150">
        <v>0</v>
      </c>
      <c r="K150">
        <v>0</v>
      </c>
      <c r="L150">
        <v>0</v>
      </c>
      <c r="M150">
        <v>0</v>
      </c>
      <c r="O150">
        <f t="shared" si="31"/>
        <v>0</v>
      </c>
      <c r="P150">
        <f t="shared" si="22"/>
        <v>0</v>
      </c>
      <c r="Q150">
        <f t="shared" si="23"/>
        <v>0</v>
      </c>
      <c r="R150">
        <f t="shared" si="24"/>
        <v>0</v>
      </c>
      <c r="S150">
        <f t="shared" si="25"/>
        <v>0</v>
      </c>
      <c r="T150">
        <f t="shared" si="26"/>
        <v>0</v>
      </c>
      <c r="U150">
        <f t="shared" si="27"/>
        <v>0</v>
      </c>
      <c r="V150">
        <f t="shared" si="28"/>
        <v>0</v>
      </c>
      <c r="W150">
        <f t="shared" si="29"/>
        <v>0</v>
      </c>
      <c r="X150">
        <f t="shared" si="30"/>
        <v>0</v>
      </c>
    </row>
    <row r="151" spans="1:24" hidden="1" x14ac:dyDescent="0.2">
      <c r="A151" t="s">
        <v>3040</v>
      </c>
      <c r="B151" t="s">
        <v>279</v>
      </c>
      <c r="C151" t="s">
        <v>69</v>
      </c>
      <c r="D151" t="s">
        <v>166</v>
      </c>
      <c r="E151">
        <v>0</v>
      </c>
      <c r="F151">
        <v>0</v>
      </c>
      <c r="G151">
        <v>0</v>
      </c>
      <c r="H151">
        <v>0</v>
      </c>
      <c r="I151">
        <v>0</v>
      </c>
      <c r="J151">
        <v>0</v>
      </c>
      <c r="K151">
        <v>0</v>
      </c>
      <c r="L151">
        <v>0</v>
      </c>
      <c r="M151">
        <v>0</v>
      </c>
      <c r="O151">
        <f t="shared" si="31"/>
        <v>0</v>
      </c>
      <c r="P151">
        <f t="shared" si="22"/>
        <v>0</v>
      </c>
      <c r="Q151">
        <f t="shared" si="23"/>
        <v>0</v>
      </c>
      <c r="R151">
        <f t="shared" si="24"/>
        <v>0</v>
      </c>
      <c r="S151">
        <f t="shared" si="25"/>
        <v>0</v>
      </c>
      <c r="T151">
        <f t="shared" si="26"/>
        <v>0</v>
      </c>
      <c r="U151">
        <f t="shared" si="27"/>
        <v>0</v>
      </c>
      <c r="V151">
        <f t="shared" si="28"/>
        <v>0</v>
      </c>
      <c r="W151">
        <f t="shared" si="29"/>
        <v>0</v>
      </c>
      <c r="X151">
        <f t="shared" si="30"/>
        <v>0</v>
      </c>
    </row>
    <row r="152" spans="1:24" x14ac:dyDescent="0.2">
      <c r="A152" t="s">
        <v>329</v>
      </c>
      <c r="B152" t="s">
        <v>278</v>
      </c>
      <c r="C152" t="s">
        <v>477</v>
      </c>
      <c r="D152" t="s">
        <v>147</v>
      </c>
      <c r="E152">
        <v>841.907590718238</v>
      </c>
      <c r="F152">
        <v>835.87094711822999</v>
      </c>
      <c r="G152">
        <v>659.78667986321</v>
      </c>
      <c r="H152">
        <v>614.56929391911797</v>
      </c>
      <c r="I152">
        <v>589.55955174021699</v>
      </c>
      <c r="J152">
        <v>580.46937338109694</v>
      </c>
      <c r="K152">
        <v>576.90045366686502</v>
      </c>
      <c r="L152">
        <v>576.147005302862</v>
      </c>
      <c r="M152">
        <v>576.03930724044699</v>
      </c>
      <c r="O152">
        <f t="shared" si="31"/>
        <v>69.400000000000006</v>
      </c>
    </row>
    <row r="153" spans="1:24" hidden="1" x14ac:dyDescent="0.2">
      <c r="A153" t="s">
        <v>3040</v>
      </c>
      <c r="B153" t="s">
        <v>279</v>
      </c>
      <c r="C153" t="s">
        <v>69</v>
      </c>
      <c r="D153" t="s">
        <v>156</v>
      </c>
      <c r="E153">
        <v>5.12091740678495E-2</v>
      </c>
      <c r="F153">
        <v>5.12091740678495E-2</v>
      </c>
      <c r="G153">
        <v>5.1209105995627897E-2</v>
      </c>
      <c r="H153">
        <v>5.1209106574509597E-2</v>
      </c>
      <c r="I153">
        <v>5.1209011120713299E-2</v>
      </c>
      <c r="J153">
        <v>5.1209115709399303E-2</v>
      </c>
      <c r="K153">
        <v>5.1209067900781301E-2</v>
      </c>
      <c r="L153">
        <v>5.1209026266060102E-2</v>
      </c>
      <c r="M153">
        <v>5.1209026266060102E-2</v>
      </c>
      <c r="O153">
        <f t="shared" si="31"/>
        <v>0</v>
      </c>
      <c r="P153">
        <f t="shared" si="22"/>
        <v>0</v>
      </c>
      <c r="Q153">
        <f t="shared" si="23"/>
        <v>0</v>
      </c>
      <c r="R153">
        <f t="shared" si="24"/>
        <v>0</v>
      </c>
      <c r="S153">
        <f t="shared" si="25"/>
        <v>0</v>
      </c>
      <c r="T153">
        <f t="shared" si="26"/>
        <v>0</v>
      </c>
      <c r="U153">
        <f t="shared" si="27"/>
        <v>0</v>
      </c>
      <c r="V153">
        <f t="shared" si="28"/>
        <v>0</v>
      </c>
      <c r="W153">
        <f t="shared" si="29"/>
        <v>0</v>
      </c>
      <c r="X153">
        <f t="shared" si="30"/>
        <v>0</v>
      </c>
    </row>
    <row r="154" spans="1:24" x14ac:dyDescent="0.2">
      <c r="A154" t="s">
        <v>329</v>
      </c>
      <c r="B154" t="s">
        <v>278</v>
      </c>
      <c r="C154" t="s">
        <v>332</v>
      </c>
      <c r="D154" t="s">
        <v>147</v>
      </c>
      <c r="E154">
        <v>513.19085687683798</v>
      </c>
      <c r="F154">
        <v>492.43209114380198</v>
      </c>
      <c r="G154">
        <v>376.22936435019699</v>
      </c>
      <c r="H154">
        <v>324.27132106736002</v>
      </c>
      <c r="I154">
        <v>306.73378914527399</v>
      </c>
      <c r="J154">
        <v>298.25406074980401</v>
      </c>
      <c r="K154">
        <v>290.65537069491398</v>
      </c>
      <c r="L154">
        <v>288.980455837242</v>
      </c>
      <c r="M154">
        <v>288.88371332331297</v>
      </c>
      <c r="O154">
        <f t="shared" si="31"/>
        <v>0</v>
      </c>
      <c r="P154">
        <f t="shared" si="22"/>
        <v>0</v>
      </c>
      <c r="Q154">
        <f t="shared" si="23"/>
        <v>0</v>
      </c>
      <c r="R154">
        <f t="shared" si="24"/>
        <v>0</v>
      </c>
      <c r="S154">
        <f t="shared" si="25"/>
        <v>0</v>
      </c>
      <c r="T154">
        <f t="shared" si="26"/>
        <v>0</v>
      </c>
      <c r="U154">
        <f t="shared" si="27"/>
        <v>0</v>
      </c>
      <c r="V154">
        <f t="shared" si="28"/>
        <v>0</v>
      </c>
      <c r="W154">
        <f t="shared" si="29"/>
        <v>0</v>
      </c>
      <c r="X154">
        <f t="shared" si="30"/>
        <v>0</v>
      </c>
    </row>
    <row r="155" spans="1:24" hidden="1" x14ac:dyDescent="0.2">
      <c r="A155" t="s">
        <v>3040</v>
      </c>
      <c r="B155" t="s">
        <v>275</v>
      </c>
      <c r="C155" t="s">
        <v>474</v>
      </c>
      <c r="D155" t="s">
        <v>160</v>
      </c>
      <c r="E155">
        <v>6.6339830086865597</v>
      </c>
      <c r="F155">
        <v>3.9206205551931301</v>
      </c>
      <c r="G155">
        <v>3.0174466275096199</v>
      </c>
      <c r="H155">
        <v>2.3529221673804699</v>
      </c>
      <c r="I155">
        <v>1.70384058027793</v>
      </c>
      <c r="J155">
        <v>1.3463730618004399</v>
      </c>
      <c r="K155">
        <v>1.1858346520835299</v>
      </c>
      <c r="L155">
        <v>1.1335061554616499</v>
      </c>
      <c r="M155">
        <v>1.1009029054349999</v>
      </c>
      <c r="O155">
        <f t="shared" si="31"/>
        <v>67.2</v>
      </c>
      <c r="P155">
        <f t="shared" si="22"/>
        <v>0</v>
      </c>
      <c r="Q155">
        <f t="shared" si="23"/>
        <v>0</v>
      </c>
      <c r="R155">
        <f t="shared" si="24"/>
        <v>0</v>
      </c>
      <c r="S155">
        <f t="shared" si="25"/>
        <v>0</v>
      </c>
      <c r="T155">
        <f t="shared" si="26"/>
        <v>0</v>
      </c>
      <c r="U155">
        <f t="shared" si="27"/>
        <v>0</v>
      </c>
      <c r="V155">
        <f t="shared" si="28"/>
        <v>0</v>
      </c>
      <c r="W155">
        <f t="shared" si="29"/>
        <v>0</v>
      </c>
      <c r="X155">
        <f t="shared" si="30"/>
        <v>0</v>
      </c>
    </row>
    <row r="156" spans="1:24" hidden="1" x14ac:dyDescent="0.2">
      <c r="A156" t="s">
        <v>3040</v>
      </c>
      <c r="B156" t="s">
        <v>275</v>
      </c>
      <c r="C156" t="s">
        <v>474</v>
      </c>
      <c r="D156" t="s">
        <v>151</v>
      </c>
      <c r="E156">
        <v>0.82339103642645395</v>
      </c>
      <c r="F156">
        <v>0.360872733315452</v>
      </c>
      <c r="G156">
        <v>0.21658171178065999</v>
      </c>
      <c r="H156">
        <v>0.14200533002195401</v>
      </c>
      <c r="I156">
        <v>8.8016804659711706E-2</v>
      </c>
      <c r="J156">
        <v>6.5736379947852003E-2</v>
      </c>
      <c r="K156">
        <v>5.6635638117250503E-2</v>
      </c>
      <c r="L156">
        <v>5.4115247223223299E-2</v>
      </c>
      <c r="M156">
        <v>5.2826207223764E-2</v>
      </c>
      <c r="O156">
        <f t="shared" si="31"/>
        <v>67.2</v>
      </c>
      <c r="P156">
        <f t="shared" ref="P156:P219" si="32">IF($D156="CO2",$O156/E156, 0)</f>
        <v>0</v>
      </c>
      <c r="Q156">
        <f t="shared" ref="Q156:Q219" si="33">IF($D156="CO2",$O156/F156, 0)</f>
        <v>0</v>
      </c>
      <c r="R156">
        <f t="shared" ref="R156:R219" si="34">IF($D156="CO2",$O156/G156, 0)</f>
        <v>0</v>
      </c>
      <c r="S156">
        <f t="shared" ref="S156:S219" si="35">IF($D156="CO2",$O156/H156, 0)</f>
        <v>0</v>
      </c>
      <c r="T156">
        <f t="shared" ref="T156:T219" si="36">IF($D156="CO2",$O156/I156, 0)</f>
        <v>0</v>
      </c>
      <c r="U156">
        <f t="shared" ref="U156:U219" si="37">IF($D156="CO2",$O156/J156, 0)</f>
        <v>0</v>
      </c>
      <c r="V156">
        <f t="shared" ref="V156:V219" si="38">IF($D156="CO2",$O156/K156, 0)</f>
        <v>0</v>
      </c>
      <c r="W156">
        <f t="shared" ref="W156:W219" si="39">IF($D156="CO2",$O156/L156, 0)</f>
        <v>0</v>
      </c>
      <c r="X156">
        <f t="shared" ref="X156:X219" si="40">IF($D156="CO2",$O156/M156, 0)</f>
        <v>0</v>
      </c>
    </row>
    <row r="157" spans="1:24" hidden="1" x14ac:dyDescent="0.2">
      <c r="A157" t="s">
        <v>3040</v>
      </c>
      <c r="B157" t="s">
        <v>275</v>
      </c>
      <c r="C157" t="s">
        <v>474</v>
      </c>
      <c r="D157" t="s">
        <v>164</v>
      </c>
      <c r="E157">
        <v>1.53337301393982E-2</v>
      </c>
      <c r="F157">
        <v>8.5791399504283501E-3</v>
      </c>
      <c r="G157">
        <v>6.82614050243104E-3</v>
      </c>
      <c r="H157">
        <v>5.2306090144423403E-3</v>
      </c>
      <c r="I157">
        <v>4.0991034424651901E-3</v>
      </c>
      <c r="J157">
        <v>3.5909983676119801E-3</v>
      </c>
      <c r="K157">
        <v>3.3016556899443999E-3</v>
      </c>
      <c r="L157">
        <v>3.2097040973390598E-3</v>
      </c>
      <c r="M157">
        <v>3.1631494921928599E-3</v>
      </c>
      <c r="O157">
        <f t="shared" si="31"/>
        <v>67.2</v>
      </c>
      <c r="P157">
        <f t="shared" si="32"/>
        <v>0</v>
      </c>
      <c r="Q157">
        <f t="shared" si="33"/>
        <v>0</v>
      </c>
      <c r="R157">
        <f t="shared" si="34"/>
        <v>0</v>
      </c>
      <c r="S157">
        <f t="shared" si="35"/>
        <v>0</v>
      </c>
      <c r="T157">
        <f t="shared" si="36"/>
        <v>0</v>
      </c>
      <c r="U157">
        <f t="shared" si="37"/>
        <v>0</v>
      </c>
      <c r="V157">
        <f t="shared" si="38"/>
        <v>0</v>
      </c>
      <c r="W157">
        <f t="shared" si="39"/>
        <v>0</v>
      </c>
      <c r="X157">
        <f t="shared" si="40"/>
        <v>0</v>
      </c>
    </row>
    <row r="158" spans="1:24" hidden="1" x14ac:dyDescent="0.2">
      <c r="A158" t="s">
        <v>3040</v>
      </c>
      <c r="B158" t="s">
        <v>275</v>
      </c>
      <c r="C158" t="s">
        <v>474</v>
      </c>
      <c r="D158" t="s">
        <v>162</v>
      </c>
      <c r="E158">
        <v>2.2616228111616499E-2</v>
      </c>
      <c r="F158">
        <v>1.37039938381133E-2</v>
      </c>
      <c r="G158">
        <v>1.11279535576189E-2</v>
      </c>
      <c r="H158">
        <v>9.1642249406405796E-3</v>
      </c>
      <c r="I158">
        <v>8.2157407295701708E-3</v>
      </c>
      <c r="J158">
        <v>7.8051702943740097E-3</v>
      </c>
      <c r="K158">
        <v>7.7607552788062101E-3</v>
      </c>
      <c r="L158">
        <v>7.6883348823828098E-3</v>
      </c>
      <c r="M158">
        <v>7.6878848286885603E-3</v>
      </c>
      <c r="O158">
        <f t="shared" si="31"/>
        <v>67.2</v>
      </c>
      <c r="P158">
        <f t="shared" si="32"/>
        <v>0</v>
      </c>
      <c r="Q158">
        <f t="shared" si="33"/>
        <v>0</v>
      </c>
      <c r="R158">
        <f t="shared" si="34"/>
        <v>0</v>
      </c>
      <c r="S158">
        <f t="shared" si="35"/>
        <v>0</v>
      </c>
      <c r="T158">
        <f t="shared" si="36"/>
        <v>0</v>
      </c>
      <c r="U158">
        <f t="shared" si="37"/>
        <v>0</v>
      </c>
      <c r="V158">
        <f t="shared" si="38"/>
        <v>0</v>
      </c>
      <c r="W158">
        <f t="shared" si="39"/>
        <v>0</v>
      </c>
      <c r="X158">
        <f t="shared" si="40"/>
        <v>0</v>
      </c>
    </row>
    <row r="159" spans="1:24" hidden="1" x14ac:dyDescent="0.2">
      <c r="A159" t="s">
        <v>3040</v>
      </c>
      <c r="B159" t="s">
        <v>275</v>
      </c>
      <c r="C159" t="s">
        <v>474</v>
      </c>
      <c r="D159" t="s">
        <v>168</v>
      </c>
      <c r="E159">
        <v>4.52789246362666E-2</v>
      </c>
      <c r="F159">
        <v>3.0659932051567799E-2</v>
      </c>
      <c r="G159">
        <v>2.8386595157116199E-2</v>
      </c>
      <c r="H159">
        <v>2.7093413499500101E-2</v>
      </c>
      <c r="I159">
        <v>2.6239574855980601E-2</v>
      </c>
      <c r="J159">
        <v>2.5564245202349602E-2</v>
      </c>
      <c r="K159">
        <v>2.5562136009582501E-2</v>
      </c>
      <c r="L159">
        <v>2.5561539762266602E-2</v>
      </c>
      <c r="M159">
        <v>2.5560994254839702E-2</v>
      </c>
      <c r="O159">
        <f t="shared" si="31"/>
        <v>67.2</v>
      </c>
      <c r="P159">
        <f t="shared" si="32"/>
        <v>0</v>
      </c>
      <c r="Q159">
        <f t="shared" si="33"/>
        <v>0</v>
      </c>
      <c r="R159">
        <f t="shared" si="34"/>
        <v>0</v>
      </c>
      <c r="S159">
        <f t="shared" si="35"/>
        <v>0</v>
      </c>
      <c r="T159">
        <f t="shared" si="36"/>
        <v>0</v>
      </c>
      <c r="U159">
        <f t="shared" si="37"/>
        <v>0</v>
      </c>
      <c r="V159">
        <f t="shared" si="38"/>
        <v>0</v>
      </c>
      <c r="W159">
        <f t="shared" si="39"/>
        <v>0</v>
      </c>
      <c r="X159">
        <f t="shared" si="40"/>
        <v>0</v>
      </c>
    </row>
    <row r="160" spans="1:24" hidden="1" x14ac:dyDescent="0.2">
      <c r="A160" t="s">
        <v>3040</v>
      </c>
      <c r="B160" t="s">
        <v>275</v>
      </c>
      <c r="C160" t="s">
        <v>474</v>
      </c>
      <c r="D160" t="s">
        <v>154</v>
      </c>
      <c r="E160">
        <v>8.2552586035919695E-3</v>
      </c>
      <c r="F160">
        <v>7.9482131517538395E-3</v>
      </c>
      <c r="G160">
        <v>6.4190305556059996E-3</v>
      </c>
      <c r="H160">
        <v>5.4616828003907899E-3</v>
      </c>
      <c r="I160">
        <v>4.7275285851957304E-3</v>
      </c>
      <c r="J160">
        <v>4.3136734611450098E-3</v>
      </c>
      <c r="K160">
        <v>4.1291858052272803E-3</v>
      </c>
      <c r="L160">
        <v>4.0635983922117898E-3</v>
      </c>
      <c r="M160">
        <v>4.0393864318059199E-3</v>
      </c>
      <c r="O160">
        <f t="shared" si="31"/>
        <v>67.2</v>
      </c>
      <c r="P160">
        <f t="shared" si="32"/>
        <v>0</v>
      </c>
      <c r="Q160">
        <f t="shared" si="33"/>
        <v>0</v>
      </c>
      <c r="R160">
        <f t="shared" si="34"/>
        <v>0</v>
      </c>
      <c r="S160">
        <f t="shared" si="35"/>
        <v>0</v>
      </c>
      <c r="T160">
        <f t="shared" si="36"/>
        <v>0</v>
      </c>
      <c r="U160">
        <f t="shared" si="37"/>
        <v>0</v>
      </c>
      <c r="V160">
        <f t="shared" si="38"/>
        <v>0</v>
      </c>
      <c r="W160">
        <f t="shared" si="39"/>
        <v>0</v>
      </c>
      <c r="X160">
        <f t="shared" si="40"/>
        <v>0</v>
      </c>
    </row>
    <row r="161" spans="1:24" hidden="1" x14ac:dyDescent="0.2">
      <c r="A161" t="s">
        <v>3040</v>
      </c>
      <c r="B161" t="s">
        <v>275</v>
      </c>
      <c r="C161" t="s">
        <v>474</v>
      </c>
      <c r="D161" t="s">
        <v>166</v>
      </c>
      <c r="E161">
        <v>0.77473150733664098</v>
      </c>
      <c r="F161">
        <v>0.41904908416840297</v>
      </c>
      <c r="G161">
        <v>0.30982899515166501</v>
      </c>
      <c r="H161">
        <v>0.25046259079934602</v>
      </c>
      <c r="I161">
        <v>0.18616224227516101</v>
      </c>
      <c r="J161">
        <v>0.15683046751729501</v>
      </c>
      <c r="K161">
        <v>0.14094000257929501</v>
      </c>
      <c r="L161">
        <v>0.134774071356623</v>
      </c>
      <c r="M161">
        <v>0.12984032725640701</v>
      </c>
      <c r="O161">
        <f t="shared" si="31"/>
        <v>67.2</v>
      </c>
      <c r="P161">
        <f t="shared" si="32"/>
        <v>0</v>
      </c>
      <c r="Q161">
        <f t="shared" si="33"/>
        <v>0</v>
      </c>
      <c r="R161">
        <f t="shared" si="34"/>
        <v>0</v>
      </c>
      <c r="S161">
        <f t="shared" si="35"/>
        <v>0</v>
      </c>
      <c r="T161">
        <f t="shared" si="36"/>
        <v>0</v>
      </c>
      <c r="U161">
        <f t="shared" si="37"/>
        <v>0</v>
      </c>
      <c r="V161">
        <f t="shared" si="38"/>
        <v>0</v>
      </c>
      <c r="W161">
        <f t="shared" si="39"/>
        <v>0</v>
      </c>
      <c r="X161">
        <f t="shared" si="40"/>
        <v>0</v>
      </c>
    </row>
    <row r="162" spans="1:24" x14ac:dyDescent="0.2">
      <c r="A162" t="s">
        <v>329</v>
      </c>
      <c r="B162" t="s">
        <v>278</v>
      </c>
      <c r="C162" t="s">
        <v>69</v>
      </c>
      <c r="D162" t="s">
        <v>147</v>
      </c>
      <c r="E162">
        <v>0</v>
      </c>
      <c r="F162">
        <v>0</v>
      </c>
      <c r="G162">
        <v>0</v>
      </c>
      <c r="H162">
        <v>0</v>
      </c>
      <c r="I162">
        <v>0</v>
      </c>
      <c r="J162">
        <v>0</v>
      </c>
      <c r="K162">
        <v>0</v>
      </c>
      <c r="L162">
        <v>0</v>
      </c>
      <c r="M162">
        <v>0</v>
      </c>
      <c r="O162">
        <f t="shared" si="31"/>
        <v>0</v>
      </c>
      <c r="P162" t="e">
        <f t="shared" si="32"/>
        <v>#DIV/0!</v>
      </c>
      <c r="Q162" t="e">
        <f t="shared" si="33"/>
        <v>#DIV/0!</v>
      </c>
      <c r="R162" t="e">
        <f t="shared" si="34"/>
        <v>#DIV/0!</v>
      </c>
      <c r="S162" t="e">
        <f t="shared" si="35"/>
        <v>#DIV/0!</v>
      </c>
      <c r="T162" t="e">
        <f t="shared" si="36"/>
        <v>#DIV/0!</v>
      </c>
      <c r="U162" t="e">
        <f t="shared" si="37"/>
        <v>#DIV/0!</v>
      </c>
      <c r="V162" t="e">
        <f t="shared" si="38"/>
        <v>#DIV/0!</v>
      </c>
      <c r="W162" t="e">
        <f t="shared" si="39"/>
        <v>#DIV/0!</v>
      </c>
      <c r="X162" t="e">
        <f t="shared" si="40"/>
        <v>#DIV/0!</v>
      </c>
    </row>
    <row r="163" spans="1:24" hidden="1" x14ac:dyDescent="0.2">
      <c r="A163" t="s">
        <v>3040</v>
      </c>
      <c r="B163" t="s">
        <v>275</v>
      </c>
      <c r="C163" t="s">
        <v>474</v>
      </c>
      <c r="D163" t="s">
        <v>156</v>
      </c>
      <c r="E163">
        <v>8.1828643727713493E-2</v>
      </c>
      <c r="F163">
        <v>7.6175839057221195E-2</v>
      </c>
      <c r="G163">
        <v>8.1302809072104507E-2</v>
      </c>
      <c r="H163">
        <v>7.9561688690416299E-2</v>
      </c>
      <c r="I163">
        <v>7.7910530261031605E-2</v>
      </c>
      <c r="J163">
        <v>7.6590334474495605E-2</v>
      </c>
      <c r="K163">
        <v>7.5767938917924701E-2</v>
      </c>
      <c r="L163">
        <v>7.5353710070808794E-2</v>
      </c>
      <c r="M163">
        <v>7.5117977052891499E-2</v>
      </c>
      <c r="O163">
        <f t="shared" si="31"/>
        <v>67.2</v>
      </c>
      <c r="P163">
        <f t="shared" si="32"/>
        <v>0</v>
      </c>
      <c r="Q163">
        <f t="shared" si="33"/>
        <v>0</v>
      </c>
      <c r="R163">
        <f t="shared" si="34"/>
        <v>0</v>
      </c>
      <c r="S163">
        <f t="shared" si="35"/>
        <v>0</v>
      </c>
      <c r="T163">
        <f t="shared" si="36"/>
        <v>0</v>
      </c>
      <c r="U163">
        <f t="shared" si="37"/>
        <v>0</v>
      </c>
      <c r="V163">
        <f t="shared" si="38"/>
        <v>0</v>
      </c>
      <c r="W163">
        <f t="shared" si="39"/>
        <v>0</v>
      </c>
      <c r="X163">
        <f t="shared" si="40"/>
        <v>0</v>
      </c>
    </row>
    <row r="164" spans="1:24" x14ac:dyDescent="0.2">
      <c r="A164" t="s">
        <v>329</v>
      </c>
      <c r="B164" t="s">
        <v>278</v>
      </c>
      <c r="C164" t="s">
        <v>474</v>
      </c>
      <c r="D164" t="s">
        <v>147</v>
      </c>
      <c r="E164">
        <v>636.94844021221104</v>
      </c>
      <c r="F164">
        <v>566.99958479862596</v>
      </c>
      <c r="G164">
        <v>456.866446538378</v>
      </c>
      <c r="H164">
        <v>382.95379819743698</v>
      </c>
      <c r="I164">
        <v>335.05122696410302</v>
      </c>
      <c r="J164">
        <v>310.47516282180999</v>
      </c>
      <c r="K164">
        <v>299.643314234321</v>
      </c>
      <c r="L164">
        <v>297.422458601252</v>
      </c>
      <c r="M164">
        <v>297.08495907381399</v>
      </c>
      <c r="O164">
        <f t="shared" si="31"/>
        <v>67.2</v>
      </c>
      <c r="P164">
        <f t="shared" si="32"/>
        <v>0.10550304507788902</v>
      </c>
      <c r="Q164">
        <f t="shared" si="33"/>
        <v>0.11851860530703312</v>
      </c>
      <c r="R164">
        <f t="shared" si="34"/>
        <v>0.14708893706063622</v>
      </c>
      <c r="S164">
        <f t="shared" si="35"/>
        <v>0.17547808721655278</v>
      </c>
      <c r="T164">
        <f t="shared" si="36"/>
        <v>0.20056634505982493</v>
      </c>
      <c r="U164">
        <f t="shared" si="37"/>
        <v>0.21644243420066384</v>
      </c>
      <c r="V164">
        <f t="shared" si="38"/>
        <v>0.22426664239686531</v>
      </c>
      <c r="W164">
        <f t="shared" si="39"/>
        <v>0.2259412430252741</v>
      </c>
      <c r="X164">
        <f t="shared" si="40"/>
        <v>0.22619792065374617</v>
      </c>
    </row>
    <row r="165" spans="1:24" hidden="1" x14ac:dyDescent="0.2">
      <c r="A165" t="s">
        <v>3040</v>
      </c>
      <c r="B165" t="s">
        <v>276</v>
      </c>
      <c r="C165" t="s">
        <v>474</v>
      </c>
      <c r="D165" t="s">
        <v>160</v>
      </c>
      <c r="E165">
        <v>5.6341971782511804</v>
      </c>
      <c r="F165">
        <v>3.2912080717511998</v>
      </c>
      <c r="G165">
        <v>2.5038449092773698</v>
      </c>
      <c r="H165">
        <v>1.9586302072503601</v>
      </c>
      <c r="I165">
        <v>1.4188080704430199</v>
      </c>
      <c r="J165">
        <v>1.12295829909247</v>
      </c>
      <c r="K165">
        <v>0.98917470890575399</v>
      </c>
      <c r="L165">
        <v>0.94587291374607996</v>
      </c>
      <c r="M165">
        <v>0.91886504762322097</v>
      </c>
      <c r="O165">
        <f t="shared" si="31"/>
        <v>67.2</v>
      </c>
      <c r="P165">
        <f t="shared" si="32"/>
        <v>0</v>
      </c>
      <c r="Q165">
        <f t="shared" si="33"/>
        <v>0</v>
      </c>
      <c r="R165">
        <f t="shared" si="34"/>
        <v>0</v>
      </c>
      <c r="S165">
        <f t="shared" si="35"/>
        <v>0</v>
      </c>
      <c r="T165">
        <f t="shared" si="36"/>
        <v>0</v>
      </c>
      <c r="U165">
        <f t="shared" si="37"/>
        <v>0</v>
      </c>
      <c r="V165">
        <f t="shared" si="38"/>
        <v>0</v>
      </c>
      <c r="W165">
        <f t="shared" si="39"/>
        <v>0</v>
      </c>
      <c r="X165">
        <f t="shared" si="40"/>
        <v>0</v>
      </c>
    </row>
    <row r="166" spans="1:24" hidden="1" x14ac:dyDescent="0.2">
      <c r="A166" t="s">
        <v>3040</v>
      </c>
      <c r="B166" t="s">
        <v>276</v>
      </c>
      <c r="C166" t="s">
        <v>474</v>
      </c>
      <c r="D166" t="s">
        <v>151</v>
      </c>
      <c r="E166">
        <v>0.78000130642291299</v>
      </c>
      <c r="F166">
        <v>0.323605278282381</v>
      </c>
      <c r="G166">
        <v>0.19152446532377701</v>
      </c>
      <c r="H166">
        <v>0.12537127832280801</v>
      </c>
      <c r="I166">
        <v>7.6671766649271E-2</v>
      </c>
      <c r="J166">
        <v>5.7019026656941203E-2</v>
      </c>
      <c r="K166">
        <v>4.8823281713844202E-2</v>
      </c>
      <c r="L166">
        <v>4.6542407484685501E-2</v>
      </c>
      <c r="M166">
        <v>4.5415311435121702E-2</v>
      </c>
      <c r="O166">
        <f t="shared" si="31"/>
        <v>67.2</v>
      </c>
      <c r="P166">
        <f t="shared" si="32"/>
        <v>0</v>
      </c>
      <c r="Q166">
        <f t="shared" si="33"/>
        <v>0</v>
      </c>
      <c r="R166">
        <f t="shared" si="34"/>
        <v>0</v>
      </c>
      <c r="S166">
        <f t="shared" si="35"/>
        <v>0</v>
      </c>
      <c r="T166">
        <f t="shared" si="36"/>
        <v>0</v>
      </c>
      <c r="U166">
        <f t="shared" si="37"/>
        <v>0</v>
      </c>
      <c r="V166">
        <f t="shared" si="38"/>
        <v>0</v>
      </c>
      <c r="W166">
        <f t="shared" si="39"/>
        <v>0</v>
      </c>
      <c r="X166">
        <f t="shared" si="40"/>
        <v>0</v>
      </c>
    </row>
    <row r="167" spans="1:24" hidden="1" x14ac:dyDescent="0.2">
      <c r="A167" t="s">
        <v>3040</v>
      </c>
      <c r="B167" t="s">
        <v>276</v>
      </c>
      <c r="C167" t="s">
        <v>474</v>
      </c>
      <c r="D167" t="s">
        <v>164</v>
      </c>
      <c r="E167">
        <v>1.28100272800791E-2</v>
      </c>
      <c r="F167">
        <v>6.9424260700293398E-3</v>
      </c>
      <c r="G167">
        <v>5.5718062948972597E-3</v>
      </c>
      <c r="H167">
        <v>4.2603417623007303E-3</v>
      </c>
      <c r="I167">
        <v>3.31959498333436E-3</v>
      </c>
      <c r="J167">
        <v>2.8901416801040899E-3</v>
      </c>
      <c r="K167">
        <v>2.6480526244027302E-3</v>
      </c>
      <c r="L167">
        <v>2.5707167297103401E-3</v>
      </c>
      <c r="M167">
        <v>2.5319062605993902E-3</v>
      </c>
      <c r="O167">
        <f t="shared" si="31"/>
        <v>67.2</v>
      </c>
      <c r="P167">
        <f t="shared" si="32"/>
        <v>0</v>
      </c>
      <c r="Q167">
        <f t="shared" si="33"/>
        <v>0</v>
      </c>
      <c r="R167">
        <f t="shared" si="34"/>
        <v>0</v>
      </c>
      <c r="S167">
        <f t="shared" si="35"/>
        <v>0</v>
      </c>
      <c r="T167">
        <f t="shared" si="36"/>
        <v>0</v>
      </c>
      <c r="U167">
        <f t="shared" si="37"/>
        <v>0</v>
      </c>
      <c r="V167">
        <f t="shared" si="38"/>
        <v>0</v>
      </c>
      <c r="W167">
        <f t="shared" si="39"/>
        <v>0</v>
      </c>
      <c r="X167">
        <f t="shared" si="40"/>
        <v>0</v>
      </c>
    </row>
    <row r="168" spans="1:24" hidden="1" x14ac:dyDescent="0.2">
      <c r="A168" t="s">
        <v>3040</v>
      </c>
      <c r="B168" t="s">
        <v>276</v>
      </c>
      <c r="C168" t="s">
        <v>474</v>
      </c>
      <c r="D168" t="s">
        <v>162</v>
      </c>
      <c r="E168">
        <v>1.8999640989844298E-2</v>
      </c>
      <c r="F168">
        <v>1.12934038283153E-2</v>
      </c>
      <c r="G168">
        <v>8.9155864809614994E-3</v>
      </c>
      <c r="H168">
        <v>7.3372921922104104E-3</v>
      </c>
      <c r="I168">
        <v>6.5724995115123896E-3</v>
      </c>
      <c r="J168">
        <v>6.2407197852133098E-3</v>
      </c>
      <c r="K168">
        <v>6.20457620974787E-3</v>
      </c>
      <c r="L168">
        <v>6.1456645266433898E-3</v>
      </c>
      <c r="M168">
        <v>6.1452936234844303E-3</v>
      </c>
      <c r="O168">
        <f t="shared" si="31"/>
        <v>67.2</v>
      </c>
      <c r="P168">
        <f t="shared" si="32"/>
        <v>0</v>
      </c>
      <c r="Q168">
        <f t="shared" si="33"/>
        <v>0</v>
      </c>
      <c r="R168">
        <f t="shared" si="34"/>
        <v>0</v>
      </c>
      <c r="S168">
        <f t="shared" si="35"/>
        <v>0</v>
      </c>
      <c r="T168">
        <f t="shared" si="36"/>
        <v>0</v>
      </c>
      <c r="U168">
        <f t="shared" si="37"/>
        <v>0</v>
      </c>
      <c r="V168">
        <f t="shared" si="38"/>
        <v>0</v>
      </c>
      <c r="W168">
        <f t="shared" si="39"/>
        <v>0</v>
      </c>
      <c r="X168">
        <f t="shared" si="40"/>
        <v>0</v>
      </c>
    </row>
    <row r="169" spans="1:24" hidden="1" x14ac:dyDescent="0.2">
      <c r="A169" t="s">
        <v>3040</v>
      </c>
      <c r="B169" t="s">
        <v>276</v>
      </c>
      <c r="C169" t="s">
        <v>474</v>
      </c>
      <c r="D169" t="s">
        <v>168</v>
      </c>
      <c r="E169">
        <v>4.5186599160421101E-2</v>
      </c>
      <c r="F169">
        <v>3.0321042660064499E-2</v>
      </c>
      <c r="G169">
        <v>2.5916716030162101E-2</v>
      </c>
      <c r="H169">
        <v>2.4735955589537201E-2</v>
      </c>
      <c r="I169">
        <v>2.39507418397766E-2</v>
      </c>
      <c r="J169">
        <v>2.33343295652753E-2</v>
      </c>
      <c r="K169">
        <v>2.33323778682475E-2</v>
      </c>
      <c r="L169">
        <v>2.3331868508858E-2</v>
      </c>
      <c r="M169">
        <v>2.3331333840255802E-2</v>
      </c>
      <c r="O169">
        <f t="shared" si="31"/>
        <v>67.2</v>
      </c>
      <c r="P169">
        <f t="shared" si="32"/>
        <v>0</v>
      </c>
      <c r="Q169">
        <f t="shared" si="33"/>
        <v>0</v>
      </c>
      <c r="R169">
        <f t="shared" si="34"/>
        <v>0</v>
      </c>
      <c r="S169">
        <f t="shared" si="35"/>
        <v>0</v>
      </c>
      <c r="T169">
        <f t="shared" si="36"/>
        <v>0</v>
      </c>
      <c r="U169">
        <f t="shared" si="37"/>
        <v>0</v>
      </c>
      <c r="V169">
        <f t="shared" si="38"/>
        <v>0</v>
      </c>
      <c r="W169">
        <f t="shared" si="39"/>
        <v>0</v>
      </c>
      <c r="X169">
        <f t="shared" si="40"/>
        <v>0</v>
      </c>
    </row>
    <row r="170" spans="1:24" hidden="1" x14ac:dyDescent="0.2">
      <c r="A170" t="s">
        <v>3040</v>
      </c>
      <c r="B170" t="s">
        <v>276</v>
      </c>
      <c r="C170" t="s">
        <v>474</v>
      </c>
      <c r="D170" t="s">
        <v>154</v>
      </c>
      <c r="E170">
        <v>7.5764719154140002E-3</v>
      </c>
      <c r="F170">
        <v>7.3472400077695399E-3</v>
      </c>
      <c r="G170">
        <v>5.5842494055705696E-3</v>
      </c>
      <c r="H170">
        <v>4.7496587466809804E-3</v>
      </c>
      <c r="I170">
        <v>4.1095518958717504E-3</v>
      </c>
      <c r="J170">
        <v>3.7489264773323799E-3</v>
      </c>
      <c r="K170">
        <v>3.5881959766524201E-3</v>
      </c>
      <c r="L170">
        <v>3.5311006464952199E-3</v>
      </c>
      <c r="M170">
        <v>3.5100309709840301E-3</v>
      </c>
      <c r="O170">
        <f t="shared" si="31"/>
        <v>67.2</v>
      </c>
      <c r="P170">
        <f t="shared" si="32"/>
        <v>0</v>
      </c>
      <c r="Q170">
        <f t="shared" si="33"/>
        <v>0</v>
      </c>
      <c r="R170">
        <f t="shared" si="34"/>
        <v>0</v>
      </c>
      <c r="S170">
        <f t="shared" si="35"/>
        <v>0</v>
      </c>
      <c r="T170">
        <f t="shared" si="36"/>
        <v>0</v>
      </c>
      <c r="U170">
        <f t="shared" si="37"/>
        <v>0</v>
      </c>
      <c r="V170">
        <f t="shared" si="38"/>
        <v>0</v>
      </c>
      <c r="W170">
        <f t="shared" si="39"/>
        <v>0</v>
      </c>
      <c r="X170">
        <f t="shared" si="40"/>
        <v>0</v>
      </c>
    </row>
    <row r="171" spans="1:24" hidden="1" x14ac:dyDescent="0.2">
      <c r="A171" t="s">
        <v>3040</v>
      </c>
      <c r="B171" t="s">
        <v>276</v>
      </c>
      <c r="C171" t="s">
        <v>474</v>
      </c>
      <c r="D171" t="s">
        <v>166</v>
      </c>
      <c r="E171">
        <v>0.64604041020523395</v>
      </c>
      <c r="F171">
        <v>0.33711601886070303</v>
      </c>
      <c r="G171">
        <v>0.24835485029207899</v>
      </c>
      <c r="H171">
        <v>0.20063726173746699</v>
      </c>
      <c r="I171">
        <v>0.148388069930526</v>
      </c>
      <c r="J171">
        <v>0.12460657527841699</v>
      </c>
      <c r="K171">
        <v>0.11177610097077099</v>
      </c>
      <c r="L171">
        <v>0.10678198489299399</v>
      </c>
      <c r="M171">
        <v>0.102788686456563</v>
      </c>
      <c r="O171">
        <f t="shared" si="31"/>
        <v>67.2</v>
      </c>
      <c r="P171">
        <f t="shared" si="32"/>
        <v>0</v>
      </c>
      <c r="Q171">
        <f t="shared" si="33"/>
        <v>0</v>
      </c>
      <c r="R171">
        <f t="shared" si="34"/>
        <v>0</v>
      </c>
      <c r="S171">
        <f t="shared" si="35"/>
        <v>0</v>
      </c>
      <c r="T171">
        <f t="shared" si="36"/>
        <v>0</v>
      </c>
      <c r="U171">
        <f t="shared" si="37"/>
        <v>0</v>
      </c>
      <c r="V171">
        <f t="shared" si="38"/>
        <v>0</v>
      </c>
      <c r="W171">
        <f t="shared" si="39"/>
        <v>0</v>
      </c>
      <c r="X171">
        <f t="shared" si="40"/>
        <v>0</v>
      </c>
    </row>
    <row r="172" spans="1:24" x14ac:dyDescent="0.2">
      <c r="A172" t="s">
        <v>3040</v>
      </c>
      <c r="B172" t="s">
        <v>279</v>
      </c>
      <c r="C172" t="s">
        <v>477</v>
      </c>
      <c r="D172" t="s">
        <v>147</v>
      </c>
      <c r="E172">
        <v>475.10061950162901</v>
      </c>
      <c r="F172">
        <v>425.759425077473</v>
      </c>
      <c r="G172">
        <v>324.82271634308898</v>
      </c>
      <c r="H172">
        <v>272.72616291819003</v>
      </c>
      <c r="I172">
        <v>248.98422365878099</v>
      </c>
      <c r="J172">
        <v>239.138945196208</v>
      </c>
      <c r="K172">
        <v>233.186205993041</v>
      </c>
      <c r="L172">
        <v>230.98082777732901</v>
      </c>
      <c r="M172">
        <v>230.977797902075</v>
      </c>
      <c r="O172">
        <f t="shared" si="31"/>
        <v>69.400000000000006</v>
      </c>
      <c r="P172">
        <f t="shared" si="32"/>
        <v>0.14607432015727365</v>
      </c>
      <c r="Q172">
        <f t="shared" si="33"/>
        <v>0.1630028506999503</v>
      </c>
      <c r="R172">
        <f t="shared" si="34"/>
        <v>0.21365500781877991</v>
      </c>
      <c r="S172">
        <f t="shared" si="35"/>
        <v>0.25446770217207948</v>
      </c>
      <c r="T172">
        <f t="shared" si="36"/>
        <v>0.27873251959573486</v>
      </c>
      <c r="U172">
        <f t="shared" si="37"/>
        <v>0.29020785361020518</v>
      </c>
      <c r="V172">
        <f t="shared" si="38"/>
        <v>0.29761623207708571</v>
      </c>
      <c r="W172">
        <f t="shared" si="39"/>
        <v>0.30045783742234766</v>
      </c>
      <c r="X172">
        <f t="shared" si="40"/>
        <v>0.30046177870923652</v>
      </c>
    </row>
    <row r="173" spans="1:24" hidden="1" x14ac:dyDescent="0.2">
      <c r="A173" t="s">
        <v>3040</v>
      </c>
      <c r="B173" t="s">
        <v>276</v>
      </c>
      <c r="C173" t="s">
        <v>474</v>
      </c>
      <c r="D173" t="s">
        <v>156</v>
      </c>
      <c r="E173">
        <v>6.7831755328566196E-2</v>
      </c>
      <c r="F173">
        <v>6.3250667156757298E-2</v>
      </c>
      <c r="G173">
        <v>6.2628417187727006E-2</v>
      </c>
      <c r="H173">
        <v>6.1216981125607202E-2</v>
      </c>
      <c r="I173">
        <v>5.9842025439809501E-2</v>
      </c>
      <c r="J173">
        <v>5.8761885691048198E-2</v>
      </c>
      <c r="K173">
        <v>5.8072078083983E-2</v>
      </c>
      <c r="L173">
        <v>5.7726484266030297E-2</v>
      </c>
      <c r="M173">
        <v>5.7530226905323702E-2</v>
      </c>
      <c r="O173">
        <f t="shared" si="31"/>
        <v>67.2</v>
      </c>
      <c r="P173">
        <f t="shared" si="32"/>
        <v>0</v>
      </c>
      <c r="Q173">
        <f t="shared" si="33"/>
        <v>0</v>
      </c>
      <c r="R173">
        <f t="shared" si="34"/>
        <v>0</v>
      </c>
      <c r="S173">
        <f t="shared" si="35"/>
        <v>0</v>
      </c>
      <c r="T173">
        <f t="shared" si="36"/>
        <v>0</v>
      </c>
      <c r="U173">
        <f t="shared" si="37"/>
        <v>0</v>
      </c>
      <c r="V173">
        <f t="shared" si="38"/>
        <v>0</v>
      </c>
      <c r="W173">
        <f t="shared" si="39"/>
        <v>0</v>
      </c>
      <c r="X173">
        <f t="shared" si="40"/>
        <v>0</v>
      </c>
    </row>
    <row r="174" spans="1:24" x14ac:dyDescent="0.2">
      <c r="A174" t="s">
        <v>3040</v>
      </c>
      <c r="B174" t="s">
        <v>279</v>
      </c>
      <c r="C174" t="s">
        <v>332</v>
      </c>
      <c r="D174" t="s">
        <v>147</v>
      </c>
      <c r="E174">
        <v>419.67640551412597</v>
      </c>
      <c r="F174">
        <v>404.10461508813802</v>
      </c>
      <c r="G174">
        <v>296.64497554148397</v>
      </c>
      <c r="H174">
        <v>259.84558529690901</v>
      </c>
      <c r="I174">
        <v>245.572517771138</v>
      </c>
      <c r="J174">
        <v>239.06681409593699</v>
      </c>
      <c r="K174">
        <v>233.96415864234601</v>
      </c>
      <c r="L174">
        <v>232.18870705220701</v>
      </c>
      <c r="M174">
        <v>232.42779835443099</v>
      </c>
      <c r="O174">
        <f t="shared" si="31"/>
        <v>0</v>
      </c>
      <c r="P174">
        <f t="shared" si="32"/>
        <v>0</v>
      </c>
      <c r="Q174">
        <f t="shared" si="33"/>
        <v>0</v>
      </c>
      <c r="R174">
        <f t="shared" si="34"/>
        <v>0</v>
      </c>
      <c r="S174">
        <f t="shared" si="35"/>
        <v>0</v>
      </c>
      <c r="T174">
        <f t="shared" si="36"/>
        <v>0</v>
      </c>
      <c r="U174">
        <f t="shared" si="37"/>
        <v>0</v>
      </c>
      <c r="V174">
        <f t="shared" si="38"/>
        <v>0</v>
      </c>
      <c r="W174">
        <f t="shared" si="39"/>
        <v>0</v>
      </c>
      <c r="X174">
        <f t="shared" si="40"/>
        <v>0</v>
      </c>
    </row>
    <row r="175" spans="1:24" hidden="1" x14ac:dyDescent="0.2">
      <c r="A175" t="s">
        <v>3040</v>
      </c>
      <c r="B175" t="s">
        <v>277</v>
      </c>
      <c r="C175" t="s">
        <v>474</v>
      </c>
      <c r="D175" t="s">
        <v>160</v>
      </c>
      <c r="E175">
        <v>7.7707306410078001</v>
      </c>
      <c r="F175">
        <v>4.4247869376442202</v>
      </c>
      <c r="G175">
        <v>2.6540717659073501</v>
      </c>
      <c r="H175">
        <v>2.0604732381170998</v>
      </c>
      <c r="I175">
        <v>1.4768702583128299</v>
      </c>
      <c r="J175">
        <v>1.1597745551704699</v>
      </c>
      <c r="K175">
        <v>1.01795642585422</v>
      </c>
      <c r="L175">
        <v>0.97243111781319103</v>
      </c>
      <c r="M175">
        <v>0.94396289100680397</v>
      </c>
      <c r="O175">
        <f t="shared" si="31"/>
        <v>67.2</v>
      </c>
      <c r="P175">
        <f t="shared" si="32"/>
        <v>0</v>
      </c>
      <c r="Q175">
        <f t="shared" si="33"/>
        <v>0</v>
      </c>
      <c r="R175">
        <f t="shared" si="34"/>
        <v>0</v>
      </c>
      <c r="S175">
        <f t="shared" si="35"/>
        <v>0</v>
      </c>
      <c r="T175">
        <f t="shared" si="36"/>
        <v>0</v>
      </c>
      <c r="U175">
        <f t="shared" si="37"/>
        <v>0</v>
      </c>
      <c r="V175">
        <f t="shared" si="38"/>
        <v>0</v>
      </c>
      <c r="W175">
        <f t="shared" si="39"/>
        <v>0</v>
      </c>
      <c r="X175">
        <f t="shared" si="40"/>
        <v>0</v>
      </c>
    </row>
    <row r="176" spans="1:24" hidden="1" x14ac:dyDescent="0.2">
      <c r="A176" t="s">
        <v>3040</v>
      </c>
      <c r="B176" t="s">
        <v>277</v>
      </c>
      <c r="C176" t="s">
        <v>474</v>
      </c>
      <c r="D176" t="s">
        <v>151</v>
      </c>
      <c r="E176">
        <v>0.73999493628111201</v>
      </c>
      <c r="F176">
        <v>0.35335240075773999</v>
      </c>
      <c r="G176">
        <v>0.18897755292818599</v>
      </c>
      <c r="H176">
        <v>0.12218817840455801</v>
      </c>
      <c r="I176">
        <v>7.3060825114572805E-2</v>
      </c>
      <c r="J176">
        <v>5.3764321341730301E-2</v>
      </c>
      <c r="K176">
        <v>4.5765873698397498E-2</v>
      </c>
      <c r="L176">
        <v>4.3548109073897001E-2</v>
      </c>
      <c r="M176">
        <v>4.24609775043936E-2</v>
      </c>
      <c r="O176">
        <f t="shared" si="31"/>
        <v>67.2</v>
      </c>
      <c r="P176">
        <f t="shared" si="32"/>
        <v>0</v>
      </c>
      <c r="Q176">
        <f t="shared" si="33"/>
        <v>0</v>
      </c>
      <c r="R176">
        <f t="shared" si="34"/>
        <v>0</v>
      </c>
      <c r="S176">
        <f t="shared" si="35"/>
        <v>0</v>
      </c>
      <c r="T176">
        <f t="shared" si="36"/>
        <v>0</v>
      </c>
      <c r="U176">
        <f t="shared" si="37"/>
        <v>0</v>
      </c>
      <c r="V176">
        <f t="shared" si="38"/>
        <v>0</v>
      </c>
      <c r="W176">
        <f t="shared" si="39"/>
        <v>0</v>
      </c>
      <c r="X176">
        <f t="shared" si="40"/>
        <v>0</v>
      </c>
    </row>
    <row r="177" spans="1:24" hidden="1" x14ac:dyDescent="0.2">
      <c r="A177" t="s">
        <v>3040</v>
      </c>
      <c r="B177" t="s">
        <v>277</v>
      </c>
      <c r="C177" t="s">
        <v>474</v>
      </c>
      <c r="D177" t="s">
        <v>164</v>
      </c>
      <c r="E177">
        <v>1.7231430999334701E-2</v>
      </c>
      <c r="F177">
        <v>8.9963646277585099E-3</v>
      </c>
      <c r="G177">
        <v>5.6961522615022698E-3</v>
      </c>
      <c r="H177">
        <v>4.3151143502781096E-3</v>
      </c>
      <c r="I177">
        <v>3.35028978849721E-3</v>
      </c>
      <c r="J177">
        <v>2.9288858721300301E-3</v>
      </c>
      <c r="K177">
        <v>2.6889748661232601E-3</v>
      </c>
      <c r="L177">
        <v>2.6131014849391301E-3</v>
      </c>
      <c r="M177">
        <v>2.5757099053792102E-3</v>
      </c>
      <c r="O177">
        <f t="shared" si="31"/>
        <v>67.2</v>
      </c>
      <c r="P177">
        <f t="shared" si="32"/>
        <v>0</v>
      </c>
      <c r="Q177">
        <f t="shared" si="33"/>
        <v>0</v>
      </c>
      <c r="R177">
        <f t="shared" si="34"/>
        <v>0</v>
      </c>
      <c r="S177">
        <f t="shared" si="35"/>
        <v>0</v>
      </c>
      <c r="T177">
        <f t="shared" si="36"/>
        <v>0</v>
      </c>
      <c r="U177">
        <f t="shared" si="37"/>
        <v>0</v>
      </c>
      <c r="V177">
        <f t="shared" si="38"/>
        <v>0</v>
      </c>
      <c r="W177">
        <f t="shared" si="39"/>
        <v>0</v>
      </c>
      <c r="X177">
        <f t="shared" si="40"/>
        <v>0</v>
      </c>
    </row>
    <row r="178" spans="1:24" hidden="1" x14ac:dyDescent="0.2">
      <c r="A178" t="s">
        <v>3040</v>
      </c>
      <c r="B178" t="s">
        <v>277</v>
      </c>
      <c r="C178" t="s">
        <v>474</v>
      </c>
      <c r="D178" t="s">
        <v>162</v>
      </c>
      <c r="E178">
        <v>2.2752592498671498E-2</v>
      </c>
      <c r="F178">
        <v>1.4156662086893E-2</v>
      </c>
      <c r="G178">
        <v>9.29628541682684E-3</v>
      </c>
      <c r="H178">
        <v>7.6962231490179996E-3</v>
      </c>
      <c r="I178">
        <v>6.9434858281499498E-3</v>
      </c>
      <c r="J178">
        <v>6.6235501686008101E-3</v>
      </c>
      <c r="K178">
        <v>6.5909545130035602E-3</v>
      </c>
      <c r="L178">
        <v>6.5377802107072303E-3</v>
      </c>
      <c r="M178">
        <v>6.5374275690386098E-3</v>
      </c>
      <c r="O178">
        <f t="shared" si="31"/>
        <v>67.2</v>
      </c>
      <c r="P178">
        <f t="shared" si="32"/>
        <v>0</v>
      </c>
      <c r="Q178">
        <f t="shared" si="33"/>
        <v>0</v>
      </c>
      <c r="R178">
        <f t="shared" si="34"/>
        <v>0</v>
      </c>
      <c r="S178">
        <f t="shared" si="35"/>
        <v>0</v>
      </c>
      <c r="T178">
        <f t="shared" si="36"/>
        <v>0</v>
      </c>
      <c r="U178">
        <f t="shared" si="37"/>
        <v>0</v>
      </c>
      <c r="V178">
        <f t="shared" si="38"/>
        <v>0</v>
      </c>
      <c r="W178">
        <f t="shared" si="39"/>
        <v>0</v>
      </c>
      <c r="X178">
        <f t="shared" si="40"/>
        <v>0</v>
      </c>
    </row>
    <row r="179" spans="1:24" hidden="1" x14ac:dyDescent="0.2">
      <c r="A179" t="s">
        <v>3040</v>
      </c>
      <c r="B179" t="s">
        <v>277</v>
      </c>
      <c r="C179" t="s">
        <v>474</v>
      </c>
      <c r="D179" t="s">
        <v>168</v>
      </c>
      <c r="E179">
        <v>5.1125583760404797E-2</v>
      </c>
      <c r="F179">
        <v>3.7154393856404101E-2</v>
      </c>
      <c r="G179">
        <v>2.8853651309577E-2</v>
      </c>
      <c r="H179">
        <v>2.7537520644524499E-2</v>
      </c>
      <c r="I179">
        <v>2.6666633761740999E-2</v>
      </c>
      <c r="J179">
        <v>2.5980348711507999E-2</v>
      </c>
      <c r="K179">
        <v>2.5978185303944301E-2</v>
      </c>
      <c r="L179">
        <v>2.5977588735828699E-2</v>
      </c>
      <c r="M179">
        <v>2.5976994364069798E-2</v>
      </c>
      <c r="O179">
        <f t="shared" si="31"/>
        <v>67.2</v>
      </c>
      <c r="P179">
        <f t="shared" si="32"/>
        <v>0</v>
      </c>
      <c r="Q179">
        <f t="shared" si="33"/>
        <v>0</v>
      </c>
      <c r="R179">
        <f t="shared" si="34"/>
        <v>0</v>
      </c>
      <c r="S179">
        <f t="shared" si="35"/>
        <v>0</v>
      </c>
      <c r="T179">
        <f t="shared" si="36"/>
        <v>0</v>
      </c>
      <c r="U179">
        <f t="shared" si="37"/>
        <v>0</v>
      </c>
      <c r="V179">
        <f t="shared" si="38"/>
        <v>0</v>
      </c>
      <c r="W179">
        <f t="shared" si="39"/>
        <v>0</v>
      </c>
      <c r="X179">
        <f t="shared" si="40"/>
        <v>0</v>
      </c>
    </row>
    <row r="180" spans="1:24" hidden="1" x14ac:dyDescent="0.2">
      <c r="A180" t="s">
        <v>3040</v>
      </c>
      <c r="B180" t="s">
        <v>277</v>
      </c>
      <c r="C180" t="s">
        <v>474</v>
      </c>
      <c r="D180" t="s">
        <v>154</v>
      </c>
      <c r="E180">
        <v>1.04747160569124E-2</v>
      </c>
      <c r="F180">
        <v>9.9570764799691708E-3</v>
      </c>
      <c r="G180">
        <v>6.4196648888919499E-3</v>
      </c>
      <c r="H180">
        <v>5.45599526494426E-3</v>
      </c>
      <c r="I180">
        <v>4.7175365225731996E-3</v>
      </c>
      <c r="J180">
        <v>4.3018391726363297E-3</v>
      </c>
      <c r="K180">
        <v>4.1166816404986702E-3</v>
      </c>
      <c r="L180">
        <v>4.0509726462172697E-3</v>
      </c>
      <c r="M180">
        <v>4.0267596573162799E-3</v>
      </c>
      <c r="O180">
        <f t="shared" si="31"/>
        <v>67.2</v>
      </c>
      <c r="P180">
        <f t="shared" si="32"/>
        <v>0</v>
      </c>
      <c r="Q180">
        <f t="shared" si="33"/>
        <v>0</v>
      </c>
      <c r="R180">
        <f t="shared" si="34"/>
        <v>0</v>
      </c>
      <c r="S180">
        <f t="shared" si="35"/>
        <v>0</v>
      </c>
      <c r="T180">
        <f t="shared" si="36"/>
        <v>0</v>
      </c>
      <c r="U180">
        <f t="shared" si="37"/>
        <v>0</v>
      </c>
      <c r="V180">
        <f t="shared" si="38"/>
        <v>0</v>
      </c>
      <c r="W180">
        <f t="shared" si="39"/>
        <v>0</v>
      </c>
      <c r="X180">
        <f t="shared" si="40"/>
        <v>0</v>
      </c>
    </row>
    <row r="181" spans="1:24" hidden="1" x14ac:dyDescent="0.2">
      <c r="A181" t="s">
        <v>3040</v>
      </c>
      <c r="B181" t="s">
        <v>277</v>
      </c>
      <c r="C181" t="s">
        <v>474</v>
      </c>
      <c r="D181" t="s">
        <v>166</v>
      </c>
      <c r="E181">
        <v>0.868939523792984</v>
      </c>
      <c r="F181">
        <v>0.46984846516954898</v>
      </c>
      <c r="G181">
        <v>0.25380786816335299</v>
      </c>
      <c r="H181">
        <v>0.20500079484657399</v>
      </c>
      <c r="I181">
        <v>0.15182918417959501</v>
      </c>
      <c r="J181">
        <v>0.12865137268893501</v>
      </c>
      <c r="K181">
        <v>0.11591502454704899</v>
      </c>
      <c r="L181">
        <v>0.110951334785302</v>
      </c>
      <c r="M181">
        <v>0.10699337260583799</v>
      </c>
      <c r="O181">
        <f t="shared" si="31"/>
        <v>67.2</v>
      </c>
      <c r="P181">
        <f t="shared" si="32"/>
        <v>0</v>
      </c>
      <c r="Q181">
        <f t="shared" si="33"/>
        <v>0</v>
      </c>
      <c r="R181">
        <f t="shared" si="34"/>
        <v>0</v>
      </c>
      <c r="S181">
        <f t="shared" si="35"/>
        <v>0</v>
      </c>
      <c r="T181">
        <f t="shared" si="36"/>
        <v>0</v>
      </c>
      <c r="U181">
        <f t="shared" si="37"/>
        <v>0</v>
      </c>
      <c r="V181">
        <f t="shared" si="38"/>
        <v>0</v>
      </c>
      <c r="W181">
        <f t="shared" si="39"/>
        <v>0</v>
      </c>
      <c r="X181">
        <f t="shared" si="40"/>
        <v>0</v>
      </c>
    </row>
    <row r="182" spans="1:24" x14ac:dyDescent="0.2">
      <c r="A182" t="s">
        <v>3040</v>
      </c>
      <c r="B182" t="s">
        <v>279</v>
      </c>
      <c r="C182" t="s">
        <v>69</v>
      </c>
      <c r="D182" t="s">
        <v>147</v>
      </c>
      <c r="E182">
        <v>0</v>
      </c>
      <c r="F182">
        <v>0</v>
      </c>
      <c r="G182">
        <v>0</v>
      </c>
      <c r="H182">
        <v>0</v>
      </c>
      <c r="I182">
        <v>0</v>
      </c>
      <c r="J182">
        <v>0</v>
      </c>
      <c r="K182">
        <v>0</v>
      </c>
      <c r="L182">
        <v>0</v>
      </c>
      <c r="M182">
        <v>0</v>
      </c>
      <c r="O182">
        <f t="shared" si="31"/>
        <v>0</v>
      </c>
      <c r="P182" t="e">
        <f t="shared" si="32"/>
        <v>#DIV/0!</v>
      </c>
      <c r="Q182" t="e">
        <f t="shared" si="33"/>
        <v>#DIV/0!</v>
      </c>
      <c r="R182" t="e">
        <f t="shared" si="34"/>
        <v>#DIV/0!</v>
      </c>
      <c r="S182" t="e">
        <f t="shared" si="35"/>
        <v>#DIV/0!</v>
      </c>
      <c r="T182" t="e">
        <f t="shared" si="36"/>
        <v>#DIV/0!</v>
      </c>
      <c r="U182" t="e">
        <f t="shared" si="37"/>
        <v>#DIV/0!</v>
      </c>
      <c r="V182" t="e">
        <f t="shared" si="38"/>
        <v>#DIV/0!</v>
      </c>
      <c r="W182" t="e">
        <f t="shared" si="39"/>
        <v>#DIV/0!</v>
      </c>
      <c r="X182" t="e">
        <f t="shared" si="40"/>
        <v>#DIV/0!</v>
      </c>
    </row>
    <row r="183" spans="1:24" hidden="1" x14ac:dyDescent="0.2">
      <c r="A183" t="s">
        <v>3040</v>
      </c>
      <c r="B183" t="s">
        <v>277</v>
      </c>
      <c r="C183" t="s">
        <v>474</v>
      </c>
      <c r="D183" t="s">
        <v>156</v>
      </c>
      <c r="E183">
        <v>0.112529836649977</v>
      </c>
      <c r="F183">
        <v>0.103764807432247</v>
      </c>
      <c r="G183">
        <v>8.1904009889209095E-2</v>
      </c>
      <c r="H183">
        <v>8.0372811122020202E-2</v>
      </c>
      <c r="I183">
        <v>7.8826850839141593E-2</v>
      </c>
      <c r="J183">
        <v>7.7629471627150906E-2</v>
      </c>
      <c r="K183">
        <v>7.6869255276324197E-2</v>
      </c>
      <c r="L183">
        <v>7.6489801218608905E-2</v>
      </c>
      <c r="M183">
        <v>7.6275890012832595E-2</v>
      </c>
      <c r="O183">
        <f t="shared" si="31"/>
        <v>67.2</v>
      </c>
      <c r="P183">
        <f t="shared" si="32"/>
        <v>0</v>
      </c>
      <c r="Q183">
        <f t="shared" si="33"/>
        <v>0</v>
      </c>
      <c r="R183">
        <f t="shared" si="34"/>
        <v>0</v>
      </c>
      <c r="S183">
        <f t="shared" si="35"/>
        <v>0</v>
      </c>
      <c r="T183">
        <f t="shared" si="36"/>
        <v>0</v>
      </c>
      <c r="U183">
        <f t="shared" si="37"/>
        <v>0</v>
      </c>
      <c r="V183">
        <f t="shared" si="38"/>
        <v>0</v>
      </c>
      <c r="W183">
        <f t="shared" si="39"/>
        <v>0</v>
      </c>
      <c r="X183">
        <f t="shared" si="40"/>
        <v>0</v>
      </c>
    </row>
    <row r="184" spans="1:24" x14ac:dyDescent="0.2">
      <c r="A184" t="s">
        <v>3040</v>
      </c>
      <c r="B184" t="s">
        <v>279</v>
      </c>
      <c r="C184" t="s">
        <v>474</v>
      </c>
      <c r="D184" t="s">
        <v>147</v>
      </c>
      <c r="E184">
        <v>465.43339574540698</v>
      </c>
      <c r="F184">
        <v>447.45086858043499</v>
      </c>
      <c r="G184">
        <v>371.68579631799702</v>
      </c>
      <c r="H184">
        <v>316.68783468886801</v>
      </c>
      <c r="I184">
        <v>274.45359564691302</v>
      </c>
      <c r="J184">
        <v>250.610452801164</v>
      </c>
      <c r="K184">
        <v>239.96929474207201</v>
      </c>
      <c r="L184">
        <v>236.17949059358199</v>
      </c>
      <c r="M184">
        <v>234.77621268414799</v>
      </c>
      <c r="O184">
        <f t="shared" si="31"/>
        <v>67.2</v>
      </c>
      <c r="P184">
        <f t="shared" si="32"/>
        <v>0.14438156052892806</v>
      </c>
      <c r="Q184">
        <f t="shared" si="33"/>
        <v>0.15018408660865065</v>
      </c>
      <c r="R184">
        <f t="shared" si="34"/>
        <v>0.18079786923713065</v>
      </c>
      <c r="S184">
        <f t="shared" si="35"/>
        <v>0.21219634175724203</v>
      </c>
      <c r="T184">
        <f t="shared" si="36"/>
        <v>0.24485013519900609</v>
      </c>
      <c r="U184">
        <f t="shared" si="37"/>
        <v>0.26814523994861827</v>
      </c>
      <c r="V184">
        <f t="shared" si="38"/>
        <v>0.28003582738462052</v>
      </c>
      <c r="W184">
        <f t="shared" si="39"/>
        <v>0.28452936294810571</v>
      </c>
      <c r="X184">
        <f t="shared" si="40"/>
        <v>0.28623001977805279</v>
      </c>
    </row>
    <row r="185" spans="1:24" hidden="1" x14ac:dyDescent="0.2">
      <c r="A185" t="s">
        <v>3040</v>
      </c>
      <c r="B185" t="s">
        <v>278</v>
      </c>
      <c r="C185" t="s">
        <v>474</v>
      </c>
      <c r="D185" t="s">
        <v>160</v>
      </c>
      <c r="E185">
        <v>6.4220034872518204</v>
      </c>
      <c r="F185">
        <v>3.8479800836345999</v>
      </c>
      <c r="G185">
        <v>2.9970734916117499</v>
      </c>
      <c r="H185">
        <v>2.36472323758924</v>
      </c>
      <c r="I185">
        <v>1.7421472431707099</v>
      </c>
      <c r="J185">
        <v>1.3931539503279999</v>
      </c>
      <c r="K185">
        <v>1.2342051269933401</v>
      </c>
      <c r="L185">
        <v>1.18127069132138</v>
      </c>
      <c r="M185">
        <v>1.1484293714755001</v>
      </c>
      <c r="O185">
        <f t="shared" si="31"/>
        <v>67.2</v>
      </c>
      <c r="P185">
        <f t="shared" si="32"/>
        <v>0</v>
      </c>
      <c r="Q185">
        <f t="shared" si="33"/>
        <v>0</v>
      </c>
      <c r="R185">
        <f t="shared" si="34"/>
        <v>0</v>
      </c>
      <c r="S185">
        <f t="shared" si="35"/>
        <v>0</v>
      </c>
      <c r="T185">
        <f t="shared" si="36"/>
        <v>0</v>
      </c>
      <c r="U185">
        <f t="shared" si="37"/>
        <v>0</v>
      </c>
      <c r="V185">
        <f t="shared" si="38"/>
        <v>0</v>
      </c>
      <c r="W185">
        <f t="shared" si="39"/>
        <v>0</v>
      </c>
      <c r="X185">
        <f t="shared" si="40"/>
        <v>0</v>
      </c>
    </row>
    <row r="186" spans="1:24" hidden="1" x14ac:dyDescent="0.2">
      <c r="A186" t="s">
        <v>3040</v>
      </c>
      <c r="B186" t="s">
        <v>278</v>
      </c>
      <c r="C186" t="s">
        <v>474</v>
      </c>
      <c r="D186" t="s">
        <v>151</v>
      </c>
      <c r="E186">
        <v>0.70973077210402302</v>
      </c>
      <c r="F186">
        <v>0.32036907792622199</v>
      </c>
      <c r="G186">
        <v>0.23974719966536701</v>
      </c>
      <c r="H186">
        <v>0.160612501035788</v>
      </c>
      <c r="I186">
        <v>0.10365613117262901</v>
      </c>
      <c r="J186">
        <v>7.8799994555065797E-2</v>
      </c>
      <c r="K186">
        <v>6.8646939612850705E-2</v>
      </c>
      <c r="L186">
        <v>6.5824398729591893E-2</v>
      </c>
      <c r="M186">
        <v>6.4340803704991095E-2</v>
      </c>
      <c r="O186">
        <f t="shared" si="31"/>
        <v>67.2</v>
      </c>
      <c r="P186">
        <f t="shared" si="32"/>
        <v>0</v>
      </c>
      <c r="Q186">
        <f t="shared" si="33"/>
        <v>0</v>
      </c>
      <c r="R186">
        <f t="shared" si="34"/>
        <v>0</v>
      </c>
      <c r="S186">
        <f t="shared" si="35"/>
        <v>0</v>
      </c>
      <c r="T186">
        <f t="shared" si="36"/>
        <v>0</v>
      </c>
      <c r="U186">
        <f t="shared" si="37"/>
        <v>0</v>
      </c>
      <c r="V186">
        <f t="shared" si="38"/>
        <v>0</v>
      </c>
      <c r="W186">
        <f t="shared" si="39"/>
        <v>0</v>
      </c>
      <c r="X186">
        <f t="shared" si="40"/>
        <v>0</v>
      </c>
    </row>
    <row r="187" spans="1:24" hidden="1" x14ac:dyDescent="0.2">
      <c r="A187" t="s">
        <v>3040</v>
      </c>
      <c r="B187" t="s">
        <v>278</v>
      </c>
      <c r="C187" t="s">
        <v>474</v>
      </c>
      <c r="D187" t="s">
        <v>164</v>
      </c>
      <c r="E187">
        <v>1.5358627671248499E-2</v>
      </c>
      <c r="F187">
        <v>9.2701502330196205E-3</v>
      </c>
      <c r="G187">
        <v>7.3800443468092902E-3</v>
      </c>
      <c r="H187">
        <v>5.7500359883598503E-3</v>
      </c>
      <c r="I187">
        <v>4.5486358185720301E-3</v>
      </c>
      <c r="J187">
        <v>3.9745008012961004E-3</v>
      </c>
      <c r="K187">
        <v>3.6505775807205302E-3</v>
      </c>
      <c r="L187">
        <v>3.5463484367939599E-3</v>
      </c>
      <c r="M187">
        <v>3.4918759359810199E-3</v>
      </c>
      <c r="O187">
        <f t="shared" si="31"/>
        <v>67.2</v>
      </c>
      <c r="P187">
        <f t="shared" si="32"/>
        <v>0</v>
      </c>
      <c r="Q187">
        <f t="shared" si="33"/>
        <v>0</v>
      </c>
      <c r="R187">
        <f t="shared" si="34"/>
        <v>0</v>
      </c>
      <c r="S187">
        <f t="shared" si="35"/>
        <v>0</v>
      </c>
      <c r="T187">
        <f t="shared" si="36"/>
        <v>0</v>
      </c>
      <c r="U187">
        <f t="shared" si="37"/>
        <v>0</v>
      </c>
      <c r="V187">
        <f t="shared" si="38"/>
        <v>0</v>
      </c>
      <c r="W187">
        <f t="shared" si="39"/>
        <v>0</v>
      </c>
      <c r="X187">
        <f t="shared" si="40"/>
        <v>0</v>
      </c>
    </row>
    <row r="188" spans="1:24" hidden="1" x14ac:dyDescent="0.2">
      <c r="A188" t="s">
        <v>3040</v>
      </c>
      <c r="B188" t="s">
        <v>278</v>
      </c>
      <c r="C188" t="s">
        <v>474</v>
      </c>
      <c r="D188" t="s">
        <v>162</v>
      </c>
      <c r="E188">
        <v>2.3400482606005499E-2</v>
      </c>
      <c r="F188">
        <v>1.46264020139097E-2</v>
      </c>
      <c r="G188">
        <v>1.17594755724597E-2</v>
      </c>
      <c r="H188">
        <v>9.5913131178771704E-3</v>
      </c>
      <c r="I188">
        <v>8.49787062067325E-3</v>
      </c>
      <c r="J188">
        <v>8.0109865110152001E-3</v>
      </c>
      <c r="K188">
        <v>7.9536784391849198E-3</v>
      </c>
      <c r="L188">
        <v>7.8603296078806496E-3</v>
      </c>
      <c r="M188">
        <v>7.8597717488691193E-3</v>
      </c>
      <c r="O188">
        <f t="shared" si="31"/>
        <v>67.2</v>
      </c>
      <c r="P188">
        <f t="shared" si="32"/>
        <v>0</v>
      </c>
      <c r="Q188">
        <f t="shared" si="33"/>
        <v>0</v>
      </c>
      <c r="R188">
        <f t="shared" si="34"/>
        <v>0</v>
      </c>
      <c r="S188">
        <f t="shared" si="35"/>
        <v>0</v>
      </c>
      <c r="T188">
        <f t="shared" si="36"/>
        <v>0</v>
      </c>
      <c r="U188">
        <f t="shared" si="37"/>
        <v>0</v>
      </c>
      <c r="V188">
        <f t="shared" si="38"/>
        <v>0</v>
      </c>
      <c r="W188">
        <f t="shared" si="39"/>
        <v>0</v>
      </c>
      <c r="X188">
        <f t="shared" si="40"/>
        <v>0</v>
      </c>
    </row>
    <row r="189" spans="1:24" hidden="1" x14ac:dyDescent="0.2">
      <c r="A189" t="s">
        <v>3040</v>
      </c>
      <c r="B189" t="s">
        <v>278</v>
      </c>
      <c r="C189" t="s">
        <v>474</v>
      </c>
      <c r="D189" t="s">
        <v>168</v>
      </c>
      <c r="E189">
        <v>3.9065075142891502E-2</v>
      </c>
      <c r="F189">
        <v>2.71884075109541E-2</v>
      </c>
      <c r="G189">
        <v>2.35915905182916E-2</v>
      </c>
      <c r="H189">
        <v>2.2519914122574401E-2</v>
      </c>
      <c r="I189">
        <v>2.1807779866682201E-2</v>
      </c>
      <c r="J189">
        <v>2.1246517083751901E-2</v>
      </c>
      <c r="K189">
        <v>2.1244746441372499E-2</v>
      </c>
      <c r="L189">
        <v>2.1244238664552498E-2</v>
      </c>
      <c r="M189">
        <v>2.1243800212783201E-2</v>
      </c>
      <c r="O189">
        <f t="shared" si="31"/>
        <v>67.2</v>
      </c>
      <c r="P189">
        <f t="shared" si="32"/>
        <v>0</v>
      </c>
      <c r="Q189">
        <f t="shared" si="33"/>
        <v>0</v>
      </c>
      <c r="R189">
        <f t="shared" si="34"/>
        <v>0</v>
      </c>
      <c r="S189">
        <f t="shared" si="35"/>
        <v>0</v>
      </c>
      <c r="T189">
        <f t="shared" si="36"/>
        <v>0</v>
      </c>
      <c r="U189">
        <f t="shared" si="37"/>
        <v>0</v>
      </c>
      <c r="V189">
        <f t="shared" si="38"/>
        <v>0</v>
      </c>
      <c r="W189">
        <f t="shared" si="39"/>
        <v>0</v>
      </c>
      <c r="X189">
        <f t="shared" si="40"/>
        <v>0</v>
      </c>
    </row>
    <row r="190" spans="1:24" hidden="1" x14ac:dyDescent="0.2">
      <c r="A190" t="s">
        <v>3040</v>
      </c>
      <c r="B190" t="s">
        <v>278</v>
      </c>
      <c r="C190" t="s">
        <v>474</v>
      </c>
      <c r="D190" t="s">
        <v>154</v>
      </c>
      <c r="E190">
        <v>8.2160020457903906E-3</v>
      </c>
      <c r="F190">
        <v>7.80815598787189E-3</v>
      </c>
      <c r="G190">
        <v>5.1579884513251097E-3</v>
      </c>
      <c r="H190">
        <v>4.3996084263759998E-3</v>
      </c>
      <c r="I190">
        <v>3.81672539575274E-3</v>
      </c>
      <c r="J190">
        <v>3.4872096414849999E-3</v>
      </c>
      <c r="K190">
        <v>3.3400286224750798E-3</v>
      </c>
      <c r="L190">
        <v>3.2875233288682799E-3</v>
      </c>
      <c r="M190">
        <v>3.2680461258744399E-3</v>
      </c>
      <c r="O190">
        <f t="shared" si="31"/>
        <v>67.2</v>
      </c>
      <c r="P190">
        <f t="shared" si="32"/>
        <v>0</v>
      </c>
      <c r="Q190">
        <f t="shared" si="33"/>
        <v>0</v>
      </c>
      <c r="R190">
        <f t="shared" si="34"/>
        <v>0</v>
      </c>
      <c r="S190">
        <f t="shared" si="35"/>
        <v>0</v>
      </c>
      <c r="T190">
        <f t="shared" si="36"/>
        <v>0</v>
      </c>
      <c r="U190">
        <f t="shared" si="37"/>
        <v>0</v>
      </c>
      <c r="V190">
        <f t="shared" si="38"/>
        <v>0</v>
      </c>
      <c r="W190">
        <f t="shared" si="39"/>
        <v>0</v>
      </c>
      <c r="X190">
        <f t="shared" si="40"/>
        <v>0</v>
      </c>
    </row>
    <row r="191" spans="1:24" hidden="1" x14ac:dyDescent="0.2">
      <c r="A191" t="s">
        <v>3040</v>
      </c>
      <c r="B191" t="s">
        <v>278</v>
      </c>
      <c r="C191" t="s">
        <v>474</v>
      </c>
      <c r="D191" t="s">
        <v>166</v>
      </c>
      <c r="E191">
        <v>0.76625314114096599</v>
      </c>
      <c r="F191">
        <v>0.42849019580384201</v>
      </c>
      <c r="G191">
        <v>0.33923869580754101</v>
      </c>
      <c r="H191">
        <v>0.274572609184357</v>
      </c>
      <c r="I191">
        <v>0.20444446873760599</v>
      </c>
      <c r="J191">
        <v>0.170176908378738</v>
      </c>
      <c r="K191">
        <v>0.152045525981331</v>
      </c>
      <c r="L191">
        <v>0.14503696159912</v>
      </c>
      <c r="M191">
        <v>0.139402683427791</v>
      </c>
      <c r="O191">
        <f t="shared" si="31"/>
        <v>67.2</v>
      </c>
      <c r="P191">
        <f t="shared" si="32"/>
        <v>0</v>
      </c>
      <c r="Q191">
        <f t="shared" si="33"/>
        <v>0</v>
      </c>
      <c r="R191">
        <f t="shared" si="34"/>
        <v>0</v>
      </c>
      <c r="S191">
        <f t="shared" si="35"/>
        <v>0</v>
      </c>
      <c r="T191">
        <f t="shared" si="36"/>
        <v>0</v>
      </c>
      <c r="U191">
        <f t="shared" si="37"/>
        <v>0</v>
      </c>
      <c r="V191">
        <f t="shared" si="38"/>
        <v>0</v>
      </c>
      <c r="W191">
        <f t="shared" si="39"/>
        <v>0</v>
      </c>
      <c r="X191">
        <f t="shared" si="40"/>
        <v>0</v>
      </c>
    </row>
    <row r="192" spans="1:24" x14ac:dyDescent="0.2">
      <c r="A192" t="s">
        <v>329</v>
      </c>
      <c r="B192" t="s">
        <v>279</v>
      </c>
      <c r="C192" t="s">
        <v>477</v>
      </c>
      <c r="D192" t="s">
        <v>147</v>
      </c>
      <c r="E192">
        <v>824.08783613849801</v>
      </c>
      <c r="F192">
        <v>839.56905970226001</v>
      </c>
      <c r="G192">
        <v>700.00511881432499</v>
      </c>
      <c r="H192">
        <v>640.42628986700595</v>
      </c>
      <c r="I192">
        <v>610.22294845773899</v>
      </c>
      <c r="J192">
        <v>600.13082932178804</v>
      </c>
      <c r="K192">
        <v>595.91623298286004</v>
      </c>
      <c r="L192">
        <v>595.02405195630899</v>
      </c>
      <c r="M192">
        <v>594.87606348692998</v>
      </c>
      <c r="O192">
        <f t="shared" si="31"/>
        <v>69.400000000000006</v>
      </c>
      <c r="P192">
        <f t="shared" si="32"/>
        <v>8.4214323955069864E-2</v>
      </c>
      <c r="Q192">
        <f t="shared" si="33"/>
        <v>8.2661454942862742E-2</v>
      </c>
      <c r="R192">
        <f t="shared" si="34"/>
        <v>9.9142132156905302E-2</v>
      </c>
      <c r="S192">
        <f t="shared" si="35"/>
        <v>0.1083653202531894</v>
      </c>
      <c r="T192">
        <f t="shared" si="36"/>
        <v>0.11372892510089909</v>
      </c>
      <c r="U192">
        <f t="shared" si="37"/>
        <v>0.1156414511789528</v>
      </c>
      <c r="V192">
        <f t="shared" si="38"/>
        <v>0.11645932122476031</v>
      </c>
      <c r="W192">
        <f t="shared" si="39"/>
        <v>0.11663394071521643</v>
      </c>
      <c r="X192">
        <f t="shared" si="40"/>
        <v>0.11666295596633094</v>
      </c>
    </row>
    <row r="193" spans="1:24" hidden="1" x14ac:dyDescent="0.2">
      <c r="A193" t="s">
        <v>3040</v>
      </c>
      <c r="B193" t="s">
        <v>278</v>
      </c>
      <c r="C193" t="s">
        <v>474</v>
      </c>
      <c r="D193" t="s">
        <v>156</v>
      </c>
      <c r="E193">
        <v>7.6637268565666605E-2</v>
      </c>
      <c r="F193">
        <v>7.17220347655846E-2</v>
      </c>
      <c r="G193">
        <v>5.3063354209187903E-2</v>
      </c>
      <c r="H193">
        <v>5.1413159178765599E-2</v>
      </c>
      <c r="I193">
        <v>4.9937748877796798E-2</v>
      </c>
      <c r="J193">
        <v>4.8737436898882699E-2</v>
      </c>
      <c r="K193">
        <v>4.7984590527250397E-2</v>
      </c>
      <c r="L193">
        <v>4.76005320802948E-2</v>
      </c>
      <c r="M193">
        <v>4.7377866603412998E-2</v>
      </c>
      <c r="O193">
        <f t="shared" si="31"/>
        <v>67.2</v>
      </c>
      <c r="P193">
        <f t="shared" si="32"/>
        <v>0</v>
      </c>
      <c r="Q193">
        <f t="shared" si="33"/>
        <v>0</v>
      </c>
      <c r="R193">
        <f t="shared" si="34"/>
        <v>0</v>
      </c>
      <c r="S193">
        <f t="shared" si="35"/>
        <v>0</v>
      </c>
      <c r="T193">
        <f t="shared" si="36"/>
        <v>0</v>
      </c>
      <c r="U193">
        <f t="shared" si="37"/>
        <v>0</v>
      </c>
      <c r="V193">
        <f t="shared" si="38"/>
        <v>0</v>
      </c>
      <c r="W193">
        <f t="shared" si="39"/>
        <v>0</v>
      </c>
      <c r="X193">
        <f t="shared" si="40"/>
        <v>0</v>
      </c>
    </row>
    <row r="194" spans="1:24" x14ac:dyDescent="0.2">
      <c r="A194" t="s">
        <v>329</v>
      </c>
      <c r="B194" t="s">
        <v>279</v>
      </c>
      <c r="C194" t="s">
        <v>332</v>
      </c>
      <c r="D194" t="s">
        <v>147</v>
      </c>
      <c r="E194">
        <v>504.09032569753299</v>
      </c>
      <c r="F194">
        <v>484.84163291406003</v>
      </c>
      <c r="G194">
        <v>392.21525961868701</v>
      </c>
      <c r="H194">
        <v>337.028180651154</v>
      </c>
      <c r="I194">
        <v>317.89819261081601</v>
      </c>
      <c r="J194">
        <v>308.94507617441297</v>
      </c>
      <c r="K194">
        <v>301.32107769247102</v>
      </c>
      <c r="L194">
        <v>299.62608113620701</v>
      </c>
      <c r="M194">
        <v>299.54964604923703</v>
      </c>
      <c r="O194">
        <f t="shared" si="31"/>
        <v>0</v>
      </c>
      <c r="P194">
        <f t="shared" si="32"/>
        <v>0</v>
      </c>
      <c r="Q194">
        <f t="shared" si="33"/>
        <v>0</v>
      </c>
      <c r="R194">
        <f t="shared" si="34"/>
        <v>0</v>
      </c>
      <c r="S194">
        <f t="shared" si="35"/>
        <v>0</v>
      </c>
      <c r="T194">
        <f t="shared" si="36"/>
        <v>0</v>
      </c>
      <c r="U194">
        <f t="shared" si="37"/>
        <v>0</v>
      </c>
      <c r="V194">
        <f t="shared" si="38"/>
        <v>0</v>
      </c>
      <c r="W194">
        <f t="shared" si="39"/>
        <v>0</v>
      </c>
      <c r="X194">
        <f t="shared" si="40"/>
        <v>0</v>
      </c>
    </row>
    <row r="195" spans="1:24" hidden="1" x14ac:dyDescent="0.2">
      <c r="A195" t="s">
        <v>3040</v>
      </c>
      <c r="B195" t="s">
        <v>279</v>
      </c>
      <c r="C195" t="s">
        <v>474</v>
      </c>
      <c r="D195" t="s">
        <v>160</v>
      </c>
      <c r="E195">
        <v>6.1599528865440298</v>
      </c>
      <c r="F195">
        <v>3.7475170679561298</v>
      </c>
      <c r="G195">
        <v>2.80366463620466</v>
      </c>
      <c r="H195">
        <v>2.2038088113149099</v>
      </c>
      <c r="I195">
        <v>1.6110244723417799</v>
      </c>
      <c r="J195">
        <v>1.2813570878169001</v>
      </c>
      <c r="K195">
        <v>1.1316455644238499</v>
      </c>
      <c r="L195">
        <v>1.0822537615630099</v>
      </c>
      <c r="M195">
        <v>1.05143374218492</v>
      </c>
      <c r="O195">
        <f t="shared" si="31"/>
        <v>67.2</v>
      </c>
      <c r="P195">
        <f t="shared" si="32"/>
        <v>0</v>
      </c>
      <c r="Q195">
        <f t="shared" si="33"/>
        <v>0</v>
      </c>
      <c r="R195">
        <f t="shared" si="34"/>
        <v>0</v>
      </c>
      <c r="S195">
        <f t="shared" si="35"/>
        <v>0</v>
      </c>
      <c r="T195">
        <f t="shared" si="36"/>
        <v>0</v>
      </c>
      <c r="U195">
        <f t="shared" si="37"/>
        <v>0</v>
      </c>
      <c r="V195">
        <f t="shared" si="38"/>
        <v>0</v>
      </c>
      <c r="W195">
        <f t="shared" si="39"/>
        <v>0</v>
      </c>
      <c r="X195">
        <f t="shared" si="40"/>
        <v>0</v>
      </c>
    </row>
    <row r="196" spans="1:24" hidden="1" x14ac:dyDescent="0.2">
      <c r="A196" t="s">
        <v>3040</v>
      </c>
      <c r="B196" t="s">
        <v>279</v>
      </c>
      <c r="C196" t="s">
        <v>474</v>
      </c>
      <c r="D196" t="s">
        <v>151</v>
      </c>
      <c r="E196">
        <v>0.76817370125590101</v>
      </c>
      <c r="F196">
        <v>0.34255400012381199</v>
      </c>
      <c r="G196">
        <v>0.22026197441968301</v>
      </c>
      <c r="H196">
        <v>0.146130223505477</v>
      </c>
      <c r="I196">
        <v>9.25204446820201E-2</v>
      </c>
      <c r="J196">
        <v>6.9646332093205393E-2</v>
      </c>
      <c r="K196">
        <v>6.0285539426727999E-2</v>
      </c>
      <c r="L196">
        <v>5.7685517085836899E-2</v>
      </c>
      <c r="M196">
        <v>5.6336256806388998E-2</v>
      </c>
      <c r="O196">
        <f t="shared" si="31"/>
        <v>67.2</v>
      </c>
      <c r="P196">
        <f t="shared" si="32"/>
        <v>0</v>
      </c>
      <c r="Q196">
        <f t="shared" si="33"/>
        <v>0</v>
      </c>
      <c r="R196">
        <f t="shared" si="34"/>
        <v>0</v>
      </c>
      <c r="S196">
        <f t="shared" si="35"/>
        <v>0</v>
      </c>
      <c r="T196">
        <f t="shared" si="36"/>
        <v>0</v>
      </c>
      <c r="U196">
        <f t="shared" si="37"/>
        <v>0</v>
      </c>
      <c r="V196">
        <f t="shared" si="38"/>
        <v>0</v>
      </c>
      <c r="W196">
        <f t="shared" si="39"/>
        <v>0</v>
      </c>
      <c r="X196">
        <f t="shared" si="40"/>
        <v>0</v>
      </c>
    </row>
    <row r="197" spans="1:24" hidden="1" x14ac:dyDescent="0.2">
      <c r="A197" t="s">
        <v>3040</v>
      </c>
      <c r="B197" t="s">
        <v>279</v>
      </c>
      <c r="C197" t="s">
        <v>474</v>
      </c>
      <c r="D197" t="s">
        <v>164</v>
      </c>
      <c r="E197">
        <v>1.45246052556386E-2</v>
      </c>
      <c r="F197">
        <v>8.5576317868897907E-3</v>
      </c>
      <c r="G197">
        <v>6.6798910124453298E-3</v>
      </c>
      <c r="H197">
        <v>5.1684543516808098E-3</v>
      </c>
      <c r="I197">
        <v>4.0637666627415803E-3</v>
      </c>
      <c r="J197">
        <v>3.5439556352963399E-3</v>
      </c>
      <c r="K197">
        <v>3.25169320270512E-3</v>
      </c>
      <c r="L197">
        <v>3.1576560516429699E-3</v>
      </c>
      <c r="M197">
        <v>3.1088285848124E-3</v>
      </c>
      <c r="O197">
        <f t="shared" si="31"/>
        <v>67.2</v>
      </c>
      <c r="P197">
        <f t="shared" si="32"/>
        <v>0</v>
      </c>
      <c r="Q197">
        <f t="shared" si="33"/>
        <v>0</v>
      </c>
      <c r="R197">
        <f t="shared" si="34"/>
        <v>0</v>
      </c>
      <c r="S197">
        <f t="shared" si="35"/>
        <v>0</v>
      </c>
      <c r="T197">
        <f t="shared" si="36"/>
        <v>0</v>
      </c>
      <c r="U197">
        <f t="shared" si="37"/>
        <v>0</v>
      </c>
      <c r="V197">
        <f t="shared" si="38"/>
        <v>0</v>
      </c>
      <c r="W197">
        <f t="shared" si="39"/>
        <v>0</v>
      </c>
      <c r="X197">
        <f t="shared" si="40"/>
        <v>0</v>
      </c>
    </row>
    <row r="198" spans="1:24" hidden="1" x14ac:dyDescent="0.2">
      <c r="A198" t="s">
        <v>3040</v>
      </c>
      <c r="B198" t="s">
        <v>279</v>
      </c>
      <c r="C198" t="s">
        <v>474</v>
      </c>
      <c r="D198" t="s">
        <v>162</v>
      </c>
      <c r="E198">
        <v>2.1906211645892699E-2</v>
      </c>
      <c r="F198">
        <v>1.38171562279483E-2</v>
      </c>
      <c r="G198">
        <v>1.08300618523644E-2</v>
      </c>
      <c r="H198">
        <v>8.8590497727664592E-3</v>
      </c>
      <c r="I198">
        <v>7.8772882665567503E-3</v>
      </c>
      <c r="J198">
        <v>7.4435823260364103E-3</v>
      </c>
      <c r="K198">
        <v>7.3936885133113802E-3</v>
      </c>
      <c r="L198">
        <v>7.3123849031120399E-3</v>
      </c>
      <c r="M198">
        <v>7.31189121492953E-3</v>
      </c>
      <c r="O198">
        <f t="shared" ref="O198:O261" si="41">IF(C198="DSL",$O$2,IF(C198="GSL",$O$1,IF(C198="CNG",$O$3,0)))</f>
        <v>67.2</v>
      </c>
      <c r="P198">
        <f t="shared" si="32"/>
        <v>0</v>
      </c>
      <c r="Q198">
        <f t="shared" si="33"/>
        <v>0</v>
      </c>
      <c r="R198">
        <f t="shared" si="34"/>
        <v>0</v>
      </c>
      <c r="S198">
        <f t="shared" si="35"/>
        <v>0</v>
      </c>
      <c r="T198">
        <f t="shared" si="36"/>
        <v>0</v>
      </c>
      <c r="U198">
        <f t="shared" si="37"/>
        <v>0</v>
      </c>
      <c r="V198">
        <f t="shared" si="38"/>
        <v>0</v>
      </c>
      <c r="W198">
        <f t="shared" si="39"/>
        <v>0</v>
      </c>
      <c r="X198">
        <f t="shared" si="40"/>
        <v>0</v>
      </c>
    </row>
    <row r="199" spans="1:24" hidden="1" x14ac:dyDescent="0.2">
      <c r="A199" t="s">
        <v>3040</v>
      </c>
      <c r="B199" t="s">
        <v>279</v>
      </c>
      <c r="C199" t="s">
        <v>474</v>
      </c>
      <c r="D199" t="s">
        <v>168</v>
      </c>
      <c r="E199">
        <v>4.3011353420759103E-2</v>
      </c>
      <c r="F199">
        <v>2.94035814612091E-2</v>
      </c>
      <c r="G199">
        <v>2.4328512322630801E-2</v>
      </c>
      <c r="H199">
        <v>2.3221814353353801E-2</v>
      </c>
      <c r="I199">
        <v>2.24852392313552E-2</v>
      </c>
      <c r="J199">
        <v>2.1906542608859401E-2</v>
      </c>
      <c r="K199">
        <v>2.1904736458690802E-2</v>
      </c>
      <c r="L199">
        <v>2.19042402298237E-2</v>
      </c>
      <c r="M199">
        <v>2.1903771981857799E-2</v>
      </c>
      <c r="O199">
        <f t="shared" si="41"/>
        <v>67.2</v>
      </c>
      <c r="P199">
        <f t="shared" si="32"/>
        <v>0</v>
      </c>
      <c r="Q199">
        <f t="shared" si="33"/>
        <v>0</v>
      </c>
      <c r="R199">
        <f t="shared" si="34"/>
        <v>0</v>
      </c>
      <c r="S199">
        <f t="shared" si="35"/>
        <v>0</v>
      </c>
      <c r="T199">
        <f t="shared" si="36"/>
        <v>0</v>
      </c>
      <c r="U199">
        <f t="shared" si="37"/>
        <v>0</v>
      </c>
      <c r="V199">
        <f t="shared" si="38"/>
        <v>0</v>
      </c>
      <c r="W199">
        <f t="shared" si="39"/>
        <v>0</v>
      </c>
      <c r="X199">
        <f t="shared" si="40"/>
        <v>0</v>
      </c>
    </row>
    <row r="200" spans="1:24" hidden="1" x14ac:dyDescent="0.2">
      <c r="A200" t="s">
        <v>3040</v>
      </c>
      <c r="B200" t="s">
        <v>279</v>
      </c>
      <c r="C200" t="s">
        <v>474</v>
      </c>
      <c r="D200" t="s">
        <v>154</v>
      </c>
      <c r="E200">
        <v>8.0536316527093799E-3</v>
      </c>
      <c r="F200">
        <v>7.7424694052717798E-3</v>
      </c>
      <c r="G200">
        <v>5.3320257089092297E-3</v>
      </c>
      <c r="H200">
        <v>4.5430510168157703E-3</v>
      </c>
      <c r="I200">
        <v>3.9371785778053803E-3</v>
      </c>
      <c r="J200">
        <v>3.5951364530025401E-3</v>
      </c>
      <c r="K200">
        <v>3.4424852382502098E-3</v>
      </c>
      <c r="L200">
        <v>3.38811619026995E-3</v>
      </c>
      <c r="M200">
        <v>3.36798790618778E-3</v>
      </c>
      <c r="O200">
        <f t="shared" si="41"/>
        <v>67.2</v>
      </c>
      <c r="P200">
        <f t="shared" si="32"/>
        <v>0</v>
      </c>
      <c r="Q200">
        <f t="shared" si="33"/>
        <v>0</v>
      </c>
      <c r="R200">
        <f t="shared" si="34"/>
        <v>0</v>
      </c>
      <c r="S200">
        <f t="shared" si="35"/>
        <v>0</v>
      </c>
      <c r="T200">
        <f t="shared" si="36"/>
        <v>0</v>
      </c>
      <c r="U200">
        <f t="shared" si="37"/>
        <v>0</v>
      </c>
      <c r="V200">
        <f t="shared" si="38"/>
        <v>0</v>
      </c>
      <c r="W200">
        <f t="shared" si="39"/>
        <v>0</v>
      </c>
      <c r="X200">
        <f t="shared" si="40"/>
        <v>0</v>
      </c>
    </row>
    <row r="201" spans="1:24" hidden="1" x14ac:dyDescent="0.2">
      <c r="A201" t="s">
        <v>3040</v>
      </c>
      <c r="B201" t="s">
        <v>279</v>
      </c>
      <c r="C201" t="s">
        <v>474</v>
      </c>
      <c r="D201" t="s">
        <v>166</v>
      </c>
      <c r="E201">
        <v>0.72787250280402604</v>
      </c>
      <c r="F201">
        <v>0.40987916241045302</v>
      </c>
      <c r="G201">
        <v>0.30765788839279401</v>
      </c>
      <c r="H201">
        <v>0.248891607461663</v>
      </c>
      <c r="I201">
        <v>0.184861723618618</v>
      </c>
      <c r="J201">
        <v>0.15433193284657201</v>
      </c>
      <c r="K201">
        <v>0.138091436876464</v>
      </c>
      <c r="L201">
        <v>0.131790780313154</v>
      </c>
      <c r="M201">
        <v>0.126731765091218</v>
      </c>
      <c r="O201">
        <f t="shared" si="41"/>
        <v>67.2</v>
      </c>
      <c r="P201">
        <f t="shared" si="32"/>
        <v>0</v>
      </c>
      <c r="Q201">
        <f t="shared" si="33"/>
        <v>0</v>
      </c>
      <c r="R201">
        <f t="shared" si="34"/>
        <v>0</v>
      </c>
      <c r="S201">
        <f t="shared" si="35"/>
        <v>0</v>
      </c>
      <c r="T201">
        <f t="shared" si="36"/>
        <v>0</v>
      </c>
      <c r="U201">
        <f t="shared" si="37"/>
        <v>0</v>
      </c>
      <c r="V201">
        <f t="shared" si="38"/>
        <v>0</v>
      </c>
      <c r="W201">
        <f t="shared" si="39"/>
        <v>0</v>
      </c>
      <c r="X201">
        <f t="shared" si="40"/>
        <v>0</v>
      </c>
    </row>
    <row r="202" spans="1:24" x14ac:dyDescent="0.2">
      <c r="A202" t="s">
        <v>329</v>
      </c>
      <c r="B202" t="s">
        <v>279</v>
      </c>
      <c r="C202" t="s">
        <v>69</v>
      </c>
      <c r="D202" t="s">
        <v>147</v>
      </c>
      <c r="E202">
        <v>0</v>
      </c>
      <c r="F202">
        <v>0</v>
      </c>
      <c r="G202">
        <v>0</v>
      </c>
      <c r="H202">
        <v>0</v>
      </c>
      <c r="I202">
        <v>0</v>
      </c>
      <c r="J202">
        <v>0</v>
      </c>
      <c r="K202">
        <v>0</v>
      </c>
      <c r="L202">
        <v>0</v>
      </c>
      <c r="M202">
        <v>0</v>
      </c>
      <c r="O202">
        <f t="shared" si="41"/>
        <v>0</v>
      </c>
      <c r="P202" t="e">
        <f t="shared" si="32"/>
        <v>#DIV/0!</v>
      </c>
      <c r="Q202" t="e">
        <f t="shared" si="33"/>
        <v>#DIV/0!</v>
      </c>
      <c r="R202" t="e">
        <f t="shared" si="34"/>
        <v>#DIV/0!</v>
      </c>
      <c r="S202" t="e">
        <f t="shared" si="35"/>
        <v>#DIV/0!</v>
      </c>
      <c r="T202" t="e">
        <f t="shared" si="36"/>
        <v>#DIV/0!</v>
      </c>
      <c r="U202" t="e">
        <f t="shared" si="37"/>
        <v>#DIV/0!</v>
      </c>
      <c r="V202" t="e">
        <f t="shared" si="38"/>
        <v>#DIV/0!</v>
      </c>
      <c r="W202" t="e">
        <f t="shared" si="39"/>
        <v>#DIV/0!</v>
      </c>
      <c r="X202" t="e">
        <f t="shared" si="40"/>
        <v>#DIV/0!</v>
      </c>
    </row>
    <row r="203" spans="1:24" hidden="1" x14ac:dyDescent="0.2">
      <c r="A203" t="s">
        <v>3040</v>
      </c>
      <c r="B203" t="s">
        <v>279</v>
      </c>
      <c r="C203" t="s">
        <v>474</v>
      </c>
      <c r="D203" t="s">
        <v>156</v>
      </c>
      <c r="E203">
        <v>7.6317156939691294E-2</v>
      </c>
      <c r="F203">
        <v>7.1544642944165196E-2</v>
      </c>
      <c r="G203">
        <v>5.8249743312617203E-2</v>
      </c>
      <c r="H203">
        <v>5.6730049378736901E-2</v>
      </c>
      <c r="I203">
        <v>5.5297861804990203E-2</v>
      </c>
      <c r="J203">
        <v>5.4156352090813403E-2</v>
      </c>
      <c r="K203">
        <v>5.3430662266944498E-2</v>
      </c>
      <c r="L203">
        <v>5.3062743786751999E-2</v>
      </c>
      <c r="M203">
        <v>5.2850768620488903E-2</v>
      </c>
      <c r="O203">
        <f t="shared" si="41"/>
        <v>67.2</v>
      </c>
      <c r="P203">
        <f t="shared" si="32"/>
        <v>0</v>
      </c>
      <c r="Q203">
        <f t="shared" si="33"/>
        <v>0</v>
      </c>
      <c r="R203">
        <f t="shared" si="34"/>
        <v>0</v>
      </c>
      <c r="S203">
        <f t="shared" si="35"/>
        <v>0</v>
      </c>
      <c r="T203">
        <f t="shared" si="36"/>
        <v>0</v>
      </c>
      <c r="U203">
        <f t="shared" si="37"/>
        <v>0</v>
      </c>
      <c r="V203">
        <f t="shared" si="38"/>
        <v>0</v>
      </c>
      <c r="W203">
        <f t="shared" si="39"/>
        <v>0</v>
      </c>
      <c r="X203">
        <f t="shared" si="40"/>
        <v>0</v>
      </c>
    </row>
    <row r="204" spans="1:24" x14ac:dyDescent="0.2">
      <c r="A204" t="s">
        <v>329</v>
      </c>
      <c r="B204" t="s">
        <v>279</v>
      </c>
      <c r="C204" t="s">
        <v>474</v>
      </c>
      <c r="D204" t="s">
        <v>147</v>
      </c>
      <c r="E204">
        <v>629.29035425146799</v>
      </c>
      <c r="F204">
        <v>571.27801846236605</v>
      </c>
      <c r="G204">
        <v>472.87406569534897</v>
      </c>
      <c r="H204">
        <v>396.14659023538701</v>
      </c>
      <c r="I204">
        <v>347.19633179008298</v>
      </c>
      <c r="J204">
        <v>322.55550442882998</v>
      </c>
      <c r="K204">
        <v>311.76534896807402</v>
      </c>
      <c r="L204">
        <v>309.51187360042798</v>
      </c>
      <c r="M204">
        <v>309.154399722184</v>
      </c>
      <c r="O204">
        <f t="shared" si="41"/>
        <v>67.2</v>
      </c>
      <c r="P204">
        <f t="shared" si="32"/>
        <v>0.10678695382187044</v>
      </c>
      <c r="Q204">
        <f t="shared" si="33"/>
        <v>0.11763099196582674</v>
      </c>
      <c r="R204">
        <f t="shared" si="34"/>
        <v>0.14210971773464495</v>
      </c>
      <c r="S204">
        <f t="shared" si="35"/>
        <v>0.16963417496556091</v>
      </c>
      <c r="T204">
        <f t="shared" si="36"/>
        <v>0.19355043198045518</v>
      </c>
      <c r="U204">
        <f t="shared" si="37"/>
        <v>0.20833623694934431</v>
      </c>
      <c r="V204">
        <f t="shared" si="38"/>
        <v>0.21554672519710183</v>
      </c>
      <c r="W204">
        <f t="shared" si="39"/>
        <v>0.21711606478384576</v>
      </c>
      <c r="X204">
        <f t="shared" si="40"/>
        <v>0.21736711513854587</v>
      </c>
    </row>
    <row r="205" spans="1:24" hidden="1" x14ac:dyDescent="0.2">
      <c r="A205" t="s">
        <v>329</v>
      </c>
      <c r="B205" t="s">
        <v>275</v>
      </c>
      <c r="C205" t="s">
        <v>477</v>
      </c>
      <c r="D205" t="s">
        <v>160</v>
      </c>
      <c r="E205">
        <v>12.3205396693374</v>
      </c>
      <c r="F205">
        <v>9.2571814362445597</v>
      </c>
      <c r="G205">
        <v>2.1832113020529902</v>
      </c>
      <c r="H205">
        <v>1.31317061341735</v>
      </c>
      <c r="I205">
        <v>0.97007776813560598</v>
      </c>
      <c r="J205">
        <v>0.82551042308059996</v>
      </c>
      <c r="K205">
        <v>0.76983121625667905</v>
      </c>
      <c r="L205">
        <v>0.75479930007679297</v>
      </c>
      <c r="M205">
        <v>0.75199613449383695</v>
      </c>
      <c r="O205">
        <f t="shared" si="41"/>
        <v>69.400000000000006</v>
      </c>
      <c r="P205">
        <f t="shared" si="32"/>
        <v>0</v>
      </c>
      <c r="Q205">
        <f t="shared" si="33"/>
        <v>0</v>
      </c>
      <c r="R205">
        <f t="shared" si="34"/>
        <v>0</v>
      </c>
      <c r="S205">
        <f t="shared" si="35"/>
        <v>0</v>
      </c>
      <c r="T205">
        <f t="shared" si="36"/>
        <v>0</v>
      </c>
      <c r="U205">
        <f t="shared" si="37"/>
        <v>0</v>
      </c>
      <c r="V205">
        <f t="shared" si="38"/>
        <v>0</v>
      </c>
      <c r="W205">
        <f t="shared" si="39"/>
        <v>0</v>
      </c>
      <c r="X205">
        <f t="shared" si="40"/>
        <v>0</v>
      </c>
    </row>
    <row r="206" spans="1:24" hidden="1" x14ac:dyDescent="0.2">
      <c r="A206" t="s">
        <v>329</v>
      </c>
      <c r="B206" t="s">
        <v>275</v>
      </c>
      <c r="C206" t="s">
        <v>477</v>
      </c>
      <c r="D206" t="s">
        <v>151</v>
      </c>
      <c r="E206">
        <v>3.95273087126834</v>
      </c>
      <c r="F206">
        <v>2.2941854945686102</v>
      </c>
      <c r="G206">
        <v>1.22695526405155</v>
      </c>
      <c r="H206">
        <v>0.69283648769455397</v>
      </c>
      <c r="I206">
        <v>0.52479491557855695</v>
      </c>
      <c r="J206">
        <v>0.45462868472707701</v>
      </c>
      <c r="K206">
        <v>0.43070940050317602</v>
      </c>
      <c r="L206">
        <v>0.42771841419811601</v>
      </c>
      <c r="M206">
        <v>0.42707251649540601</v>
      </c>
      <c r="O206">
        <f t="shared" si="41"/>
        <v>69.400000000000006</v>
      </c>
      <c r="P206">
        <f t="shared" si="32"/>
        <v>0</v>
      </c>
      <c r="Q206">
        <f t="shared" si="33"/>
        <v>0</v>
      </c>
      <c r="R206">
        <f t="shared" si="34"/>
        <v>0</v>
      </c>
      <c r="S206">
        <f t="shared" si="35"/>
        <v>0</v>
      </c>
      <c r="T206">
        <f t="shared" si="36"/>
        <v>0</v>
      </c>
      <c r="U206">
        <f t="shared" si="37"/>
        <v>0</v>
      </c>
      <c r="V206">
        <f t="shared" si="38"/>
        <v>0</v>
      </c>
      <c r="W206">
        <f t="shared" si="39"/>
        <v>0</v>
      </c>
      <c r="X206">
        <f t="shared" si="40"/>
        <v>0</v>
      </c>
    </row>
    <row r="207" spans="1:24" hidden="1" x14ac:dyDescent="0.2">
      <c r="A207" t="s">
        <v>329</v>
      </c>
      <c r="B207" t="s">
        <v>275</v>
      </c>
      <c r="C207" t="s">
        <v>477</v>
      </c>
      <c r="D207" t="s">
        <v>164</v>
      </c>
      <c r="E207">
        <v>2.51410715627058E-2</v>
      </c>
      <c r="F207">
        <v>7.5267141749730704E-2</v>
      </c>
      <c r="G207">
        <v>0.100724652777904</v>
      </c>
      <c r="H207">
        <v>0.104044221698251</v>
      </c>
      <c r="I207">
        <v>0.100371086695388</v>
      </c>
      <c r="J207">
        <v>9.8580874348796393E-2</v>
      </c>
      <c r="K207">
        <v>9.7805613893850105E-2</v>
      </c>
      <c r="L207">
        <v>9.7340940472222207E-2</v>
      </c>
      <c r="M207">
        <v>9.7287516395577006E-2</v>
      </c>
      <c r="O207">
        <f t="shared" si="41"/>
        <v>69.400000000000006</v>
      </c>
      <c r="P207">
        <f t="shared" si="32"/>
        <v>0</v>
      </c>
      <c r="Q207">
        <f t="shared" si="33"/>
        <v>0</v>
      </c>
      <c r="R207">
        <f t="shared" si="34"/>
        <v>0</v>
      </c>
      <c r="S207">
        <f t="shared" si="35"/>
        <v>0</v>
      </c>
      <c r="T207">
        <f t="shared" si="36"/>
        <v>0</v>
      </c>
      <c r="U207">
        <f t="shared" si="37"/>
        <v>0</v>
      </c>
      <c r="V207">
        <f t="shared" si="38"/>
        <v>0</v>
      </c>
      <c r="W207">
        <f t="shared" si="39"/>
        <v>0</v>
      </c>
      <c r="X207">
        <f t="shared" si="40"/>
        <v>0</v>
      </c>
    </row>
    <row r="208" spans="1:24" hidden="1" x14ac:dyDescent="0.2">
      <c r="A208" t="s">
        <v>329</v>
      </c>
      <c r="B208" t="s">
        <v>275</v>
      </c>
      <c r="C208" t="s">
        <v>477</v>
      </c>
      <c r="D208" t="s">
        <v>162</v>
      </c>
      <c r="E208">
        <v>3.6852220443800501E-3</v>
      </c>
      <c r="F208">
        <v>3.79223599913299E-3</v>
      </c>
      <c r="G208">
        <v>4.9662707852649998E-3</v>
      </c>
      <c r="H208">
        <v>4.9872875395543699E-3</v>
      </c>
      <c r="I208">
        <v>5.0064188364986597E-3</v>
      </c>
      <c r="J208">
        <v>5.0231110806513296E-3</v>
      </c>
      <c r="K208">
        <v>5.0272652833407098E-3</v>
      </c>
      <c r="L208">
        <v>5.0289680396992803E-3</v>
      </c>
      <c r="M208">
        <v>5.0296772685444104E-3</v>
      </c>
      <c r="O208">
        <f t="shared" si="41"/>
        <v>69.400000000000006</v>
      </c>
      <c r="P208">
        <f t="shared" si="32"/>
        <v>0</v>
      </c>
      <c r="Q208">
        <f t="shared" si="33"/>
        <v>0</v>
      </c>
      <c r="R208">
        <f t="shared" si="34"/>
        <v>0</v>
      </c>
      <c r="S208">
        <f t="shared" si="35"/>
        <v>0</v>
      </c>
      <c r="T208">
        <f t="shared" si="36"/>
        <v>0</v>
      </c>
      <c r="U208">
        <f t="shared" si="37"/>
        <v>0</v>
      </c>
      <c r="V208">
        <f t="shared" si="38"/>
        <v>0</v>
      </c>
      <c r="W208">
        <f t="shared" si="39"/>
        <v>0</v>
      </c>
      <c r="X208">
        <f t="shared" si="40"/>
        <v>0</v>
      </c>
    </row>
    <row r="209" spans="1:24" hidden="1" x14ac:dyDescent="0.2">
      <c r="A209" t="s">
        <v>329</v>
      </c>
      <c r="B209" t="s">
        <v>275</v>
      </c>
      <c r="C209" t="s">
        <v>477</v>
      </c>
      <c r="D209" t="s">
        <v>168</v>
      </c>
      <c r="E209">
        <v>2.1177722031487399E-2</v>
      </c>
      <c r="F209">
        <v>2.1804029837611101E-2</v>
      </c>
      <c r="G209">
        <v>2.8146597422344301E-2</v>
      </c>
      <c r="H209">
        <v>2.8458619042415E-2</v>
      </c>
      <c r="I209">
        <v>2.8600671034541999E-2</v>
      </c>
      <c r="J209">
        <v>2.86345769934407E-2</v>
      </c>
      <c r="K209">
        <v>2.8633187255627399E-2</v>
      </c>
      <c r="L209">
        <v>2.8639465918611499E-2</v>
      </c>
      <c r="M209">
        <v>2.8639503353743E-2</v>
      </c>
      <c r="O209">
        <f t="shared" si="41"/>
        <v>69.400000000000006</v>
      </c>
      <c r="P209">
        <f t="shared" si="32"/>
        <v>0</v>
      </c>
      <c r="Q209">
        <f t="shared" si="33"/>
        <v>0</v>
      </c>
      <c r="R209">
        <f t="shared" si="34"/>
        <v>0</v>
      </c>
      <c r="S209">
        <f t="shared" si="35"/>
        <v>0</v>
      </c>
      <c r="T209">
        <f t="shared" si="36"/>
        <v>0</v>
      </c>
      <c r="U209">
        <f t="shared" si="37"/>
        <v>0</v>
      </c>
      <c r="V209">
        <f t="shared" si="38"/>
        <v>0</v>
      </c>
      <c r="W209">
        <f t="shared" si="39"/>
        <v>0</v>
      </c>
      <c r="X209">
        <f t="shared" si="40"/>
        <v>0</v>
      </c>
    </row>
    <row r="210" spans="1:24" hidden="1" x14ac:dyDescent="0.2">
      <c r="A210" t="s">
        <v>329</v>
      </c>
      <c r="B210" t="s">
        <v>275</v>
      </c>
      <c r="C210" t="s">
        <v>477</v>
      </c>
      <c r="D210" t="s">
        <v>154</v>
      </c>
      <c r="E210">
        <v>2.0739822854527301E-2</v>
      </c>
      <c r="F210">
        <v>2.0097965537272399E-2</v>
      </c>
      <c r="G210">
        <v>6.9300413242584097E-3</v>
      </c>
      <c r="H210">
        <v>6.3441017545732298E-3</v>
      </c>
      <c r="I210">
        <v>6.0542058275576197E-3</v>
      </c>
      <c r="J210">
        <v>5.9542377031583304E-3</v>
      </c>
      <c r="K210">
        <v>5.91269305727617E-3</v>
      </c>
      <c r="L210">
        <v>5.9042614274829996E-3</v>
      </c>
      <c r="M210">
        <v>5.9028974572565198E-3</v>
      </c>
      <c r="O210">
        <f t="shared" si="41"/>
        <v>69.400000000000006</v>
      </c>
      <c r="P210">
        <f t="shared" si="32"/>
        <v>0</v>
      </c>
      <c r="Q210">
        <f t="shared" si="33"/>
        <v>0</v>
      </c>
      <c r="R210">
        <f t="shared" si="34"/>
        <v>0</v>
      </c>
      <c r="S210">
        <f t="shared" si="35"/>
        <v>0</v>
      </c>
      <c r="T210">
        <f t="shared" si="36"/>
        <v>0</v>
      </c>
      <c r="U210">
        <f t="shared" si="37"/>
        <v>0</v>
      </c>
      <c r="V210">
        <f t="shared" si="38"/>
        <v>0</v>
      </c>
      <c r="W210">
        <f t="shared" si="39"/>
        <v>0</v>
      </c>
      <c r="X210">
        <f t="shared" si="40"/>
        <v>0</v>
      </c>
    </row>
    <row r="211" spans="1:24" hidden="1" x14ac:dyDescent="0.2">
      <c r="A211" t="s">
        <v>329</v>
      </c>
      <c r="B211" t="s">
        <v>275</v>
      </c>
      <c r="C211" t="s">
        <v>477</v>
      </c>
      <c r="D211" t="s">
        <v>166</v>
      </c>
      <c r="E211">
        <v>1.5468317388136801</v>
      </c>
      <c r="F211">
        <v>0.85533038723765498</v>
      </c>
      <c r="G211">
        <v>0.25223814693032098</v>
      </c>
      <c r="H211">
        <v>0.13619567038383301</v>
      </c>
      <c r="I211">
        <v>0.108653184381015</v>
      </c>
      <c r="J211">
        <v>9.9772105505031697E-2</v>
      </c>
      <c r="K211">
        <v>9.6488632124476698E-2</v>
      </c>
      <c r="L211">
        <v>9.6049322052733602E-2</v>
      </c>
      <c r="M211">
        <v>9.5998402213900297E-2</v>
      </c>
      <c r="O211">
        <f t="shared" si="41"/>
        <v>69.400000000000006</v>
      </c>
      <c r="P211">
        <f t="shared" si="32"/>
        <v>0</v>
      </c>
      <c r="Q211">
        <f t="shared" si="33"/>
        <v>0</v>
      </c>
      <c r="R211">
        <f t="shared" si="34"/>
        <v>0</v>
      </c>
      <c r="S211">
        <f t="shared" si="35"/>
        <v>0</v>
      </c>
      <c r="T211">
        <f t="shared" si="36"/>
        <v>0</v>
      </c>
      <c r="U211">
        <f t="shared" si="37"/>
        <v>0</v>
      </c>
      <c r="V211">
        <f t="shared" si="38"/>
        <v>0</v>
      </c>
      <c r="W211">
        <f t="shared" si="39"/>
        <v>0</v>
      </c>
      <c r="X211">
        <f t="shared" si="40"/>
        <v>0</v>
      </c>
    </row>
    <row r="212" spans="1:24" x14ac:dyDescent="0.2">
      <c r="A212" t="s">
        <v>3040</v>
      </c>
      <c r="B212" t="s">
        <v>275</v>
      </c>
      <c r="C212" t="s">
        <v>477</v>
      </c>
      <c r="D212" t="s">
        <v>158</v>
      </c>
      <c r="E212">
        <v>8.2994776464736103E-2</v>
      </c>
      <c r="F212">
        <v>2.9286960169176E-2</v>
      </c>
      <c r="G212">
        <v>1.3924604157418001E-2</v>
      </c>
      <c r="H212">
        <v>1.28820995888716E-2</v>
      </c>
      <c r="I212">
        <v>1.2757306095682401E-2</v>
      </c>
      <c r="J212">
        <v>1.28223162487622E-2</v>
      </c>
      <c r="K212">
        <v>1.28161744328164E-2</v>
      </c>
      <c r="L212">
        <v>1.28049681705815E-2</v>
      </c>
      <c r="M212">
        <v>1.2849092483120999E-2</v>
      </c>
      <c r="O212">
        <f t="shared" si="41"/>
        <v>69.400000000000006</v>
      </c>
      <c r="P212">
        <f t="shared" si="32"/>
        <v>0</v>
      </c>
      <c r="Q212">
        <f t="shared" si="33"/>
        <v>0</v>
      </c>
      <c r="R212">
        <f t="shared" si="34"/>
        <v>0</v>
      </c>
      <c r="S212">
        <f t="shared" si="35"/>
        <v>0</v>
      </c>
      <c r="T212">
        <f t="shared" si="36"/>
        <v>0</v>
      </c>
      <c r="U212">
        <f t="shared" si="37"/>
        <v>0</v>
      </c>
      <c r="V212">
        <f t="shared" si="38"/>
        <v>0</v>
      </c>
      <c r="W212">
        <f t="shared" si="39"/>
        <v>0</v>
      </c>
      <c r="X212">
        <f t="shared" si="40"/>
        <v>0</v>
      </c>
    </row>
    <row r="213" spans="1:24" hidden="1" x14ac:dyDescent="0.2">
      <c r="A213" t="s">
        <v>329</v>
      </c>
      <c r="B213" t="s">
        <v>275</v>
      </c>
      <c r="C213" t="s">
        <v>477</v>
      </c>
      <c r="D213" t="s">
        <v>156</v>
      </c>
      <c r="E213">
        <v>0.32286430335969202</v>
      </c>
      <c r="F213">
        <v>0.19253651488495599</v>
      </c>
      <c r="G213">
        <v>0.13116960814085299</v>
      </c>
      <c r="H213">
        <v>0.107030259666284</v>
      </c>
      <c r="I213">
        <v>0.10159087974839499</v>
      </c>
      <c r="J213">
        <v>0.100744162373078</v>
      </c>
      <c r="K213">
        <v>0.10015056974224</v>
      </c>
      <c r="L213">
        <v>0.10013872413493199</v>
      </c>
      <c r="M213">
        <v>0.100138168711207</v>
      </c>
      <c r="O213">
        <f t="shared" si="41"/>
        <v>69.400000000000006</v>
      </c>
      <c r="P213">
        <f t="shared" si="32"/>
        <v>0</v>
      </c>
      <c r="Q213">
        <f t="shared" si="33"/>
        <v>0</v>
      </c>
      <c r="R213">
        <f t="shared" si="34"/>
        <v>0</v>
      </c>
      <c r="S213">
        <f t="shared" si="35"/>
        <v>0</v>
      </c>
      <c r="T213">
        <f t="shared" si="36"/>
        <v>0</v>
      </c>
      <c r="U213">
        <f t="shared" si="37"/>
        <v>0</v>
      </c>
      <c r="V213">
        <f t="shared" si="38"/>
        <v>0</v>
      </c>
      <c r="W213">
        <f t="shared" si="39"/>
        <v>0</v>
      </c>
      <c r="X213">
        <f t="shared" si="40"/>
        <v>0</v>
      </c>
    </row>
    <row r="214" spans="1:24" x14ac:dyDescent="0.2">
      <c r="A214" t="s">
        <v>3040</v>
      </c>
      <c r="B214" t="s">
        <v>276</v>
      </c>
      <c r="C214" t="s">
        <v>477</v>
      </c>
      <c r="D214" t="s">
        <v>158</v>
      </c>
      <c r="E214">
        <v>5.6019255696326403E-2</v>
      </c>
      <c r="F214">
        <v>2.5542017960839599E-2</v>
      </c>
      <c r="G214">
        <v>1.11121396466055E-2</v>
      </c>
      <c r="H214">
        <v>1.0206481959038401E-2</v>
      </c>
      <c r="I214">
        <v>1.00978805100248E-2</v>
      </c>
      <c r="J214">
        <v>1.01531295733735E-2</v>
      </c>
      <c r="K214">
        <v>1.0147042075548099E-2</v>
      </c>
      <c r="L214">
        <v>1.0137260551364401E-2</v>
      </c>
      <c r="M214">
        <v>1.0174550452384501E-2</v>
      </c>
      <c r="O214">
        <f t="shared" si="41"/>
        <v>69.400000000000006</v>
      </c>
      <c r="P214">
        <f t="shared" si="32"/>
        <v>0</v>
      </c>
      <c r="Q214">
        <f t="shared" si="33"/>
        <v>0</v>
      </c>
      <c r="R214">
        <f t="shared" si="34"/>
        <v>0</v>
      </c>
      <c r="S214">
        <f t="shared" si="35"/>
        <v>0</v>
      </c>
      <c r="T214">
        <f t="shared" si="36"/>
        <v>0</v>
      </c>
      <c r="U214">
        <f t="shared" si="37"/>
        <v>0</v>
      </c>
      <c r="V214">
        <f t="shared" si="38"/>
        <v>0</v>
      </c>
      <c r="W214">
        <f t="shared" si="39"/>
        <v>0</v>
      </c>
      <c r="X214">
        <f t="shared" si="40"/>
        <v>0</v>
      </c>
    </row>
    <row r="215" spans="1:24" hidden="1" x14ac:dyDescent="0.2">
      <c r="A215" t="s">
        <v>329</v>
      </c>
      <c r="B215" t="s">
        <v>276</v>
      </c>
      <c r="C215" t="s">
        <v>477</v>
      </c>
      <c r="D215" t="s">
        <v>160</v>
      </c>
      <c r="E215">
        <v>8.9500901533842292</v>
      </c>
      <c r="F215">
        <v>5.0485103707789998</v>
      </c>
      <c r="G215">
        <v>1.8618517690615399</v>
      </c>
      <c r="H215">
        <v>1.12010649646813</v>
      </c>
      <c r="I215">
        <v>0.82338752266114601</v>
      </c>
      <c r="J215">
        <v>0.69780060217918705</v>
      </c>
      <c r="K215">
        <v>0.64950183333621803</v>
      </c>
      <c r="L215">
        <v>0.63637048826423304</v>
      </c>
      <c r="M215">
        <v>0.63391039295434204</v>
      </c>
      <c r="O215">
        <f t="shared" si="41"/>
        <v>69.400000000000006</v>
      </c>
      <c r="P215">
        <f t="shared" si="32"/>
        <v>0</v>
      </c>
      <c r="Q215">
        <f t="shared" si="33"/>
        <v>0</v>
      </c>
      <c r="R215">
        <f t="shared" si="34"/>
        <v>0</v>
      </c>
      <c r="S215">
        <f t="shared" si="35"/>
        <v>0</v>
      </c>
      <c r="T215">
        <f t="shared" si="36"/>
        <v>0</v>
      </c>
      <c r="U215">
        <f t="shared" si="37"/>
        <v>0</v>
      </c>
      <c r="V215">
        <f t="shared" si="38"/>
        <v>0</v>
      </c>
      <c r="W215">
        <f t="shared" si="39"/>
        <v>0</v>
      </c>
      <c r="X215">
        <f t="shared" si="40"/>
        <v>0</v>
      </c>
    </row>
    <row r="216" spans="1:24" hidden="1" x14ac:dyDescent="0.2">
      <c r="A216" t="s">
        <v>329</v>
      </c>
      <c r="B216" t="s">
        <v>276</v>
      </c>
      <c r="C216" t="s">
        <v>477</v>
      </c>
      <c r="D216" t="s">
        <v>151</v>
      </c>
      <c r="E216">
        <v>3.6092494466574898</v>
      </c>
      <c r="F216">
        <v>2.1550799991450602</v>
      </c>
      <c r="G216">
        <v>1.0436792106220301</v>
      </c>
      <c r="H216">
        <v>0.58249684868569596</v>
      </c>
      <c r="I216">
        <v>0.437359402107109</v>
      </c>
      <c r="J216">
        <v>0.37754269716468403</v>
      </c>
      <c r="K216">
        <v>0.35671080159392998</v>
      </c>
      <c r="L216">
        <v>0.35411462139335698</v>
      </c>
      <c r="M216">
        <v>0.35354569023511601</v>
      </c>
      <c r="O216">
        <f t="shared" si="41"/>
        <v>69.400000000000006</v>
      </c>
      <c r="P216">
        <f t="shared" si="32"/>
        <v>0</v>
      </c>
      <c r="Q216">
        <f t="shared" si="33"/>
        <v>0</v>
      </c>
      <c r="R216">
        <f t="shared" si="34"/>
        <v>0</v>
      </c>
      <c r="S216">
        <f t="shared" si="35"/>
        <v>0</v>
      </c>
      <c r="T216">
        <f t="shared" si="36"/>
        <v>0</v>
      </c>
      <c r="U216">
        <f t="shared" si="37"/>
        <v>0</v>
      </c>
      <c r="V216">
        <f t="shared" si="38"/>
        <v>0</v>
      </c>
      <c r="W216">
        <f t="shared" si="39"/>
        <v>0</v>
      </c>
      <c r="X216">
        <f t="shared" si="40"/>
        <v>0</v>
      </c>
    </row>
    <row r="217" spans="1:24" hidden="1" x14ac:dyDescent="0.2">
      <c r="A217" t="s">
        <v>329</v>
      </c>
      <c r="B217" t="s">
        <v>276</v>
      </c>
      <c r="C217" t="s">
        <v>477</v>
      </c>
      <c r="D217" t="s">
        <v>164</v>
      </c>
      <c r="E217">
        <v>2.3378447923627501E-2</v>
      </c>
      <c r="F217">
        <v>5.9931645629362401E-2</v>
      </c>
      <c r="G217">
        <v>7.9836239798044106E-2</v>
      </c>
      <c r="H217">
        <v>8.2139547099570304E-2</v>
      </c>
      <c r="I217">
        <v>7.8825534949940504E-2</v>
      </c>
      <c r="J217">
        <v>7.7161434111260904E-2</v>
      </c>
      <c r="K217">
        <v>7.6458583896438795E-2</v>
      </c>
      <c r="L217">
        <v>7.6057080955913695E-2</v>
      </c>
      <c r="M217">
        <v>7.6005735255123302E-2</v>
      </c>
      <c r="O217">
        <f t="shared" si="41"/>
        <v>69.400000000000006</v>
      </c>
      <c r="P217">
        <f t="shared" si="32"/>
        <v>0</v>
      </c>
      <c r="Q217">
        <f t="shared" si="33"/>
        <v>0</v>
      </c>
      <c r="R217">
        <f t="shared" si="34"/>
        <v>0</v>
      </c>
      <c r="S217">
        <f t="shared" si="35"/>
        <v>0</v>
      </c>
      <c r="T217">
        <f t="shared" si="36"/>
        <v>0</v>
      </c>
      <c r="U217">
        <f t="shared" si="37"/>
        <v>0</v>
      </c>
      <c r="V217">
        <f t="shared" si="38"/>
        <v>0</v>
      </c>
      <c r="W217">
        <f t="shared" si="39"/>
        <v>0</v>
      </c>
      <c r="X217">
        <f t="shared" si="40"/>
        <v>0</v>
      </c>
    </row>
    <row r="218" spans="1:24" hidden="1" x14ac:dyDescent="0.2">
      <c r="A218" t="s">
        <v>329</v>
      </c>
      <c r="B218" t="s">
        <v>276</v>
      </c>
      <c r="C218" t="s">
        <v>477</v>
      </c>
      <c r="D218" t="s">
        <v>162</v>
      </c>
      <c r="E218">
        <v>3.2365775208456201E-3</v>
      </c>
      <c r="F218">
        <v>3.293368941576E-3</v>
      </c>
      <c r="G218">
        <v>3.8504916290908399E-3</v>
      </c>
      <c r="H218">
        <v>3.8731151501036599E-3</v>
      </c>
      <c r="I218">
        <v>3.8906493325600298E-3</v>
      </c>
      <c r="J218">
        <v>3.90510120662665E-3</v>
      </c>
      <c r="K218">
        <v>3.9086196839243099E-3</v>
      </c>
      <c r="L218">
        <v>3.9100173169225204E-3</v>
      </c>
      <c r="M218">
        <v>3.9105970714047996E-3</v>
      </c>
      <c r="O218">
        <f t="shared" si="41"/>
        <v>69.400000000000006</v>
      </c>
      <c r="P218">
        <f t="shared" si="32"/>
        <v>0</v>
      </c>
      <c r="Q218">
        <f t="shared" si="33"/>
        <v>0</v>
      </c>
      <c r="R218">
        <f t="shared" si="34"/>
        <v>0</v>
      </c>
      <c r="S218">
        <f t="shared" si="35"/>
        <v>0</v>
      </c>
      <c r="T218">
        <f t="shared" si="36"/>
        <v>0</v>
      </c>
      <c r="U218">
        <f t="shared" si="37"/>
        <v>0</v>
      </c>
      <c r="V218">
        <f t="shared" si="38"/>
        <v>0</v>
      </c>
      <c r="W218">
        <f t="shared" si="39"/>
        <v>0</v>
      </c>
      <c r="X218">
        <f t="shared" si="40"/>
        <v>0</v>
      </c>
    </row>
    <row r="219" spans="1:24" hidden="1" x14ac:dyDescent="0.2">
      <c r="A219" t="s">
        <v>329</v>
      </c>
      <c r="B219" t="s">
        <v>276</v>
      </c>
      <c r="C219" t="s">
        <v>477</v>
      </c>
      <c r="D219" t="s">
        <v>168</v>
      </c>
      <c r="E219">
        <v>2.16468318052957E-2</v>
      </c>
      <c r="F219">
        <v>2.1972242613450699E-2</v>
      </c>
      <c r="G219">
        <v>2.5860339526608201E-2</v>
      </c>
      <c r="H219">
        <v>2.6208017246267999E-2</v>
      </c>
      <c r="I219">
        <v>2.63642052010069E-2</v>
      </c>
      <c r="J219">
        <v>2.6406150713610799E-2</v>
      </c>
      <c r="K219">
        <v>2.6406935918658499E-2</v>
      </c>
      <c r="L219">
        <v>2.6413249319123599E-2</v>
      </c>
      <c r="M219">
        <v>2.64133257576398E-2</v>
      </c>
      <c r="O219">
        <f t="shared" si="41"/>
        <v>69.400000000000006</v>
      </c>
      <c r="P219">
        <f t="shared" si="32"/>
        <v>0</v>
      </c>
      <c r="Q219">
        <f t="shared" si="33"/>
        <v>0</v>
      </c>
      <c r="R219">
        <f t="shared" si="34"/>
        <v>0</v>
      </c>
      <c r="S219">
        <f t="shared" si="35"/>
        <v>0</v>
      </c>
      <c r="T219">
        <f t="shared" si="36"/>
        <v>0</v>
      </c>
      <c r="U219">
        <f t="shared" si="37"/>
        <v>0</v>
      </c>
      <c r="V219">
        <f t="shared" si="38"/>
        <v>0</v>
      </c>
      <c r="W219">
        <f t="shared" si="39"/>
        <v>0</v>
      </c>
      <c r="X219">
        <f t="shared" si="40"/>
        <v>0</v>
      </c>
    </row>
    <row r="220" spans="1:24" hidden="1" x14ac:dyDescent="0.2">
      <c r="A220" t="s">
        <v>329</v>
      </c>
      <c r="B220" t="s">
        <v>276</v>
      </c>
      <c r="C220" t="s">
        <v>477</v>
      </c>
      <c r="D220" t="s">
        <v>154</v>
      </c>
      <c r="E220">
        <v>1.9050330768017602E-2</v>
      </c>
      <c r="F220">
        <v>1.8736831962009801E-2</v>
      </c>
      <c r="G220">
        <v>6.0691091383090904E-3</v>
      </c>
      <c r="H220">
        <v>5.5590567053943798E-3</v>
      </c>
      <c r="I220">
        <v>5.30653588670125E-3</v>
      </c>
      <c r="J220">
        <v>5.2199789799785498E-3</v>
      </c>
      <c r="K220">
        <v>5.1835830149830602E-3</v>
      </c>
      <c r="L220">
        <v>5.1761875972578097E-3</v>
      </c>
      <c r="M220">
        <v>5.1749722579466301E-3</v>
      </c>
      <c r="O220">
        <f t="shared" si="41"/>
        <v>69.400000000000006</v>
      </c>
      <c r="P220">
        <f t="shared" ref="P220:P283" si="42">IF($D220="CO2",$O220/E220, 0)</f>
        <v>0</v>
      </c>
      <c r="Q220">
        <f t="shared" ref="Q220:Q283" si="43">IF($D220="CO2",$O220/F220, 0)</f>
        <v>0</v>
      </c>
      <c r="R220">
        <f t="shared" ref="R220:R283" si="44">IF($D220="CO2",$O220/G220, 0)</f>
        <v>0</v>
      </c>
      <c r="S220">
        <f t="shared" ref="S220:S283" si="45">IF($D220="CO2",$O220/H220, 0)</f>
        <v>0</v>
      </c>
      <c r="T220">
        <f t="shared" ref="T220:T283" si="46">IF($D220="CO2",$O220/I220, 0)</f>
        <v>0</v>
      </c>
      <c r="U220">
        <f t="shared" ref="U220:U283" si="47">IF($D220="CO2",$O220/J220, 0)</f>
        <v>0</v>
      </c>
      <c r="V220">
        <f t="shared" ref="V220:V283" si="48">IF($D220="CO2",$O220/K220, 0)</f>
        <v>0</v>
      </c>
      <c r="W220">
        <f t="shared" ref="W220:W283" si="49">IF($D220="CO2",$O220/L220, 0)</f>
        <v>0</v>
      </c>
      <c r="X220">
        <f t="shared" ref="X220:X283" si="50">IF($D220="CO2",$O220/M220, 0)</f>
        <v>0</v>
      </c>
    </row>
    <row r="221" spans="1:24" hidden="1" x14ac:dyDescent="0.2">
      <c r="A221" t="s">
        <v>329</v>
      </c>
      <c r="B221" t="s">
        <v>276</v>
      </c>
      <c r="C221" t="s">
        <v>477</v>
      </c>
      <c r="D221" t="s">
        <v>166</v>
      </c>
      <c r="E221">
        <v>1.2394446693963901</v>
      </c>
      <c r="F221">
        <v>0.61150936227515995</v>
      </c>
      <c r="G221">
        <v>0.20546275452502899</v>
      </c>
      <c r="H221">
        <v>0.10969534337577699</v>
      </c>
      <c r="I221">
        <v>8.6521134713852199E-2</v>
      </c>
      <c r="J221">
        <v>7.8799557271556006E-2</v>
      </c>
      <c r="K221">
        <v>7.5970690016113201E-2</v>
      </c>
      <c r="L221">
        <v>7.5590952804230893E-2</v>
      </c>
      <c r="M221">
        <v>7.5542152779806193E-2</v>
      </c>
      <c r="O221">
        <f t="shared" si="41"/>
        <v>69.400000000000006</v>
      </c>
      <c r="P221">
        <f t="shared" si="42"/>
        <v>0</v>
      </c>
      <c r="Q221">
        <f t="shared" si="43"/>
        <v>0</v>
      </c>
      <c r="R221">
        <f t="shared" si="44"/>
        <v>0</v>
      </c>
      <c r="S221">
        <f t="shared" si="45"/>
        <v>0</v>
      </c>
      <c r="T221">
        <f t="shared" si="46"/>
        <v>0</v>
      </c>
      <c r="U221">
        <f t="shared" si="47"/>
        <v>0</v>
      </c>
      <c r="V221">
        <f t="shared" si="48"/>
        <v>0</v>
      </c>
      <c r="W221">
        <f t="shared" si="49"/>
        <v>0</v>
      </c>
      <c r="X221">
        <f t="shared" si="50"/>
        <v>0</v>
      </c>
    </row>
    <row r="222" spans="1:24" x14ac:dyDescent="0.2">
      <c r="A222" t="s">
        <v>3040</v>
      </c>
      <c r="B222" t="s">
        <v>277</v>
      </c>
      <c r="C222" t="s">
        <v>477</v>
      </c>
      <c r="D222" t="s">
        <v>158</v>
      </c>
      <c r="E222">
        <v>0.123270664576141</v>
      </c>
      <c r="F222">
        <v>3.9317193900440202E-2</v>
      </c>
      <c r="G222">
        <v>1.3808896758142499E-2</v>
      </c>
      <c r="H222">
        <v>1.28594663624491E-2</v>
      </c>
      <c r="I222">
        <v>1.2745675676218799E-2</v>
      </c>
      <c r="J222">
        <v>1.2802226569457301E-2</v>
      </c>
      <c r="K222">
        <v>1.27931973056328E-2</v>
      </c>
      <c r="L222">
        <v>1.27819426840036E-2</v>
      </c>
      <c r="M222">
        <v>1.2821255837742599E-2</v>
      </c>
      <c r="O222">
        <f t="shared" si="41"/>
        <v>69.400000000000006</v>
      </c>
      <c r="P222">
        <f t="shared" si="42"/>
        <v>0</v>
      </c>
      <c r="Q222">
        <f t="shared" si="43"/>
        <v>0</v>
      </c>
      <c r="R222">
        <f t="shared" si="44"/>
        <v>0</v>
      </c>
      <c r="S222">
        <f t="shared" si="45"/>
        <v>0</v>
      </c>
      <c r="T222">
        <f t="shared" si="46"/>
        <v>0</v>
      </c>
      <c r="U222">
        <f t="shared" si="47"/>
        <v>0</v>
      </c>
      <c r="V222">
        <f t="shared" si="48"/>
        <v>0</v>
      </c>
      <c r="W222">
        <f t="shared" si="49"/>
        <v>0</v>
      </c>
      <c r="X222">
        <f t="shared" si="50"/>
        <v>0</v>
      </c>
    </row>
    <row r="223" spans="1:24" hidden="1" x14ac:dyDescent="0.2">
      <c r="A223" t="s">
        <v>329</v>
      </c>
      <c r="B223" t="s">
        <v>276</v>
      </c>
      <c r="C223" t="s">
        <v>477</v>
      </c>
      <c r="D223" t="s">
        <v>156</v>
      </c>
      <c r="E223">
        <v>0.31205278515688301</v>
      </c>
      <c r="F223">
        <v>0.183178492376145</v>
      </c>
      <c r="G223">
        <v>0.10329260621681099</v>
      </c>
      <c r="H223">
        <v>8.2948855249809494E-2</v>
      </c>
      <c r="I223">
        <v>7.8447276389448206E-2</v>
      </c>
      <c r="J223">
        <v>7.7727855866957601E-2</v>
      </c>
      <c r="K223">
        <v>7.7217009381167295E-2</v>
      </c>
      <c r="L223">
        <v>7.7206992070653097E-2</v>
      </c>
      <c r="M223">
        <v>7.7206302805218396E-2</v>
      </c>
      <c r="O223">
        <f t="shared" si="41"/>
        <v>69.400000000000006</v>
      </c>
      <c r="P223">
        <f t="shared" si="42"/>
        <v>0</v>
      </c>
      <c r="Q223">
        <f t="shared" si="43"/>
        <v>0</v>
      </c>
      <c r="R223">
        <f t="shared" si="44"/>
        <v>0</v>
      </c>
      <c r="S223">
        <f t="shared" si="45"/>
        <v>0</v>
      </c>
      <c r="T223">
        <f t="shared" si="46"/>
        <v>0</v>
      </c>
      <c r="U223">
        <f t="shared" si="47"/>
        <v>0</v>
      </c>
      <c r="V223">
        <f t="shared" si="48"/>
        <v>0</v>
      </c>
      <c r="W223">
        <f t="shared" si="49"/>
        <v>0</v>
      </c>
      <c r="X223">
        <f t="shared" si="50"/>
        <v>0</v>
      </c>
    </row>
    <row r="224" spans="1:24" x14ac:dyDescent="0.2">
      <c r="A224" t="s">
        <v>3040</v>
      </c>
      <c r="B224" t="s">
        <v>278</v>
      </c>
      <c r="C224" t="s">
        <v>477</v>
      </c>
      <c r="D224" t="s">
        <v>158</v>
      </c>
      <c r="E224">
        <v>7.4829321328432702E-2</v>
      </c>
      <c r="F224">
        <v>3.4406309924688003E-2</v>
      </c>
      <c r="G224">
        <v>1.00241937308752E-2</v>
      </c>
      <c r="H224">
        <v>9.0221104554758305E-3</v>
      </c>
      <c r="I224">
        <v>8.9008490587291992E-3</v>
      </c>
      <c r="J224">
        <v>8.9704063704956795E-3</v>
      </c>
      <c r="K224">
        <v>8.9707258656393594E-3</v>
      </c>
      <c r="L224">
        <v>8.9618977988404798E-3</v>
      </c>
      <c r="M224">
        <v>9.0058077781541897E-3</v>
      </c>
      <c r="O224">
        <f t="shared" si="41"/>
        <v>69.400000000000006</v>
      </c>
      <c r="P224">
        <f t="shared" si="42"/>
        <v>0</v>
      </c>
      <c r="Q224">
        <f t="shared" si="43"/>
        <v>0</v>
      </c>
      <c r="R224">
        <f t="shared" si="44"/>
        <v>0</v>
      </c>
      <c r="S224">
        <f t="shared" si="45"/>
        <v>0</v>
      </c>
      <c r="T224">
        <f t="shared" si="46"/>
        <v>0</v>
      </c>
      <c r="U224">
        <f t="shared" si="47"/>
        <v>0</v>
      </c>
      <c r="V224">
        <f t="shared" si="48"/>
        <v>0</v>
      </c>
      <c r="W224">
        <f t="shared" si="49"/>
        <v>0</v>
      </c>
      <c r="X224">
        <f t="shared" si="50"/>
        <v>0</v>
      </c>
    </row>
    <row r="225" spans="1:24" hidden="1" x14ac:dyDescent="0.2">
      <c r="A225" t="s">
        <v>329</v>
      </c>
      <c r="B225" t="s">
        <v>277</v>
      </c>
      <c r="C225" t="s">
        <v>477</v>
      </c>
      <c r="D225" t="s">
        <v>160</v>
      </c>
      <c r="E225">
        <v>13.669440788045399</v>
      </c>
      <c r="F225">
        <v>6.2319793694512597</v>
      </c>
      <c r="G225">
        <v>2.0614733013043098</v>
      </c>
      <c r="H225">
        <v>1.2254290803613299</v>
      </c>
      <c r="I225">
        <v>0.90695968794417703</v>
      </c>
      <c r="J225">
        <v>0.77320002471930704</v>
      </c>
      <c r="K225">
        <v>0.72183237297719904</v>
      </c>
      <c r="L225">
        <v>0.70837282942218205</v>
      </c>
      <c r="M225">
        <v>0.70584484258450297</v>
      </c>
      <c r="O225">
        <f t="shared" si="41"/>
        <v>69.400000000000006</v>
      </c>
      <c r="P225">
        <f t="shared" si="42"/>
        <v>0</v>
      </c>
      <c r="Q225">
        <f t="shared" si="43"/>
        <v>0</v>
      </c>
      <c r="R225">
        <f t="shared" si="44"/>
        <v>0</v>
      </c>
      <c r="S225">
        <f t="shared" si="45"/>
        <v>0</v>
      </c>
      <c r="T225">
        <f t="shared" si="46"/>
        <v>0</v>
      </c>
      <c r="U225">
        <f t="shared" si="47"/>
        <v>0</v>
      </c>
      <c r="V225">
        <f t="shared" si="48"/>
        <v>0</v>
      </c>
      <c r="W225">
        <f t="shared" si="49"/>
        <v>0</v>
      </c>
      <c r="X225">
        <f t="shared" si="50"/>
        <v>0</v>
      </c>
    </row>
    <row r="226" spans="1:24" hidden="1" x14ac:dyDescent="0.2">
      <c r="A226" t="s">
        <v>329</v>
      </c>
      <c r="B226" t="s">
        <v>277</v>
      </c>
      <c r="C226" t="s">
        <v>477</v>
      </c>
      <c r="D226" t="s">
        <v>151</v>
      </c>
      <c r="E226">
        <v>3.8609668599878799</v>
      </c>
      <c r="F226">
        <v>1.7384543043107801</v>
      </c>
      <c r="G226">
        <v>1.2103782987071801</v>
      </c>
      <c r="H226">
        <v>0.66770894020689397</v>
      </c>
      <c r="I226">
        <v>0.49784857859244702</v>
      </c>
      <c r="J226">
        <v>0.42701255176701403</v>
      </c>
      <c r="K226">
        <v>0.40301938881553501</v>
      </c>
      <c r="L226">
        <v>0.40008467495929501</v>
      </c>
      <c r="M226">
        <v>0.39942726133663098</v>
      </c>
      <c r="O226">
        <f t="shared" si="41"/>
        <v>69.400000000000006</v>
      </c>
      <c r="P226">
        <f t="shared" si="42"/>
        <v>0</v>
      </c>
      <c r="Q226">
        <f t="shared" si="43"/>
        <v>0</v>
      </c>
      <c r="R226">
        <f t="shared" si="44"/>
        <v>0</v>
      </c>
      <c r="S226">
        <f t="shared" si="45"/>
        <v>0</v>
      </c>
      <c r="T226">
        <f t="shared" si="46"/>
        <v>0</v>
      </c>
      <c r="U226">
        <f t="shared" si="47"/>
        <v>0</v>
      </c>
      <c r="V226">
        <f t="shared" si="48"/>
        <v>0</v>
      </c>
      <c r="W226">
        <f t="shared" si="49"/>
        <v>0</v>
      </c>
      <c r="X226">
        <f t="shared" si="50"/>
        <v>0</v>
      </c>
    </row>
    <row r="227" spans="1:24" hidden="1" x14ac:dyDescent="0.2">
      <c r="A227" t="s">
        <v>329</v>
      </c>
      <c r="B227" t="s">
        <v>277</v>
      </c>
      <c r="C227" t="s">
        <v>477</v>
      </c>
      <c r="D227" t="s">
        <v>164</v>
      </c>
      <c r="E227">
        <v>4.9277076017630497E-2</v>
      </c>
      <c r="F227">
        <v>8.9070764093330507E-2</v>
      </c>
      <c r="G227">
        <v>8.8129793114964397E-2</v>
      </c>
      <c r="H227">
        <v>9.0923734370428805E-2</v>
      </c>
      <c r="I227">
        <v>8.7997497326810503E-2</v>
      </c>
      <c r="J227">
        <v>8.6576344642660896E-2</v>
      </c>
      <c r="K227">
        <v>8.5959353171026598E-2</v>
      </c>
      <c r="L227">
        <v>8.5594870055825001E-2</v>
      </c>
      <c r="M227">
        <v>8.5551880167033495E-2</v>
      </c>
      <c r="O227">
        <f t="shared" si="41"/>
        <v>69.400000000000006</v>
      </c>
      <c r="P227">
        <f t="shared" si="42"/>
        <v>0</v>
      </c>
      <c r="Q227">
        <f t="shared" si="43"/>
        <v>0</v>
      </c>
      <c r="R227">
        <f t="shared" si="44"/>
        <v>0</v>
      </c>
      <c r="S227">
        <f t="shared" si="45"/>
        <v>0</v>
      </c>
      <c r="T227">
        <f t="shared" si="46"/>
        <v>0</v>
      </c>
      <c r="U227">
        <f t="shared" si="47"/>
        <v>0</v>
      </c>
      <c r="V227">
        <f t="shared" si="48"/>
        <v>0</v>
      </c>
      <c r="W227">
        <f t="shared" si="49"/>
        <v>0</v>
      </c>
      <c r="X227">
        <f t="shared" si="50"/>
        <v>0</v>
      </c>
    </row>
    <row r="228" spans="1:24" hidden="1" x14ac:dyDescent="0.2">
      <c r="A228" t="s">
        <v>329</v>
      </c>
      <c r="B228" t="s">
        <v>277</v>
      </c>
      <c r="C228" t="s">
        <v>477</v>
      </c>
      <c r="D228" t="s">
        <v>162</v>
      </c>
      <c r="E228">
        <v>5.4437064537931701E-3</v>
      </c>
      <c r="F228">
        <v>5.7099885497643903E-3</v>
      </c>
      <c r="G228">
        <v>4.9831163513818404E-3</v>
      </c>
      <c r="H228">
        <v>4.99223210529648E-3</v>
      </c>
      <c r="I228">
        <v>5.0048487650355897E-3</v>
      </c>
      <c r="J228">
        <v>5.0155445027106902E-3</v>
      </c>
      <c r="K228">
        <v>5.0179098254809398E-3</v>
      </c>
      <c r="L228">
        <v>5.0193479900696898E-3</v>
      </c>
      <c r="M228">
        <v>5.0198815975100097E-3</v>
      </c>
      <c r="O228">
        <f t="shared" si="41"/>
        <v>69.400000000000006</v>
      </c>
      <c r="P228">
        <f t="shared" si="42"/>
        <v>0</v>
      </c>
      <c r="Q228">
        <f t="shared" si="43"/>
        <v>0</v>
      </c>
      <c r="R228">
        <f t="shared" si="44"/>
        <v>0</v>
      </c>
      <c r="S228">
        <f t="shared" si="45"/>
        <v>0</v>
      </c>
      <c r="T228">
        <f t="shared" si="46"/>
        <v>0</v>
      </c>
      <c r="U228">
        <f t="shared" si="47"/>
        <v>0</v>
      </c>
      <c r="V228">
        <f t="shared" si="48"/>
        <v>0</v>
      </c>
      <c r="W228">
        <f t="shared" si="49"/>
        <v>0</v>
      </c>
      <c r="X228">
        <f t="shared" si="50"/>
        <v>0</v>
      </c>
    </row>
    <row r="229" spans="1:24" hidden="1" x14ac:dyDescent="0.2">
      <c r="A229" t="s">
        <v>329</v>
      </c>
      <c r="B229" t="s">
        <v>277</v>
      </c>
      <c r="C229" t="s">
        <v>477</v>
      </c>
      <c r="D229" t="s">
        <v>168</v>
      </c>
      <c r="E229">
        <v>2.8165949380129899E-2</v>
      </c>
      <c r="F229">
        <v>3.02249021801488E-2</v>
      </c>
      <c r="G229">
        <v>2.9026822770376999E-2</v>
      </c>
      <c r="H229">
        <v>2.92911249658874E-2</v>
      </c>
      <c r="I229">
        <v>2.9415425343037298E-2</v>
      </c>
      <c r="J229">
        <v>2.9440910975783701E-2</v>
      </c>
      <c r="K229">
        <v>2.9437400547559101E-2</v>
      </c>
      <c r="L229">
        <v>2.9443620592142599E-2</v>
      </c>
      <c r="M229">
        <v>2.94436639271515E-2</v>
      </c>
      <c r="O229">
        <f t="shared" si="41"/>
        <v>69.400000000000006</v>
      </c>
      <c r="P229">
        <f t="shared" si="42"/>
        <v>0</v>
      </c>
      <c r="Q229">
        <f t="shared" si="43"/>
        <v>0</v>
      </c>
      <c r="R229">
        <f t="shared" si="44"/>
        <v>0</v>
      </c>
      <c r="S229">
        <f t="shared" si="45"/>
        <v>0</v>
      </c>
      <c r="T229">
        <f t="shared" si="46"/>
        <v>0</v>
      </c>
      <c r="U229">
        <f t="shared" si="47"/>
        <v>0</v>
      </c>
      <c r="V229">
        <f t="shared" si="48"/>
        <v>0</v>
      </c>
      <c r="W229">
        <f t="shared" si="49"/>
        <v>0</v>
      </c>
      <c r="X229">
        <f t="shared" si="50"/>
        <v>0</v>
      </c>
    </row>
    <row r="230" spans="1:24" hidden="1" x14ac:dyDescent="0.2">
      <c r="A230" t="s">
        <v>329</v>
      </c>
      <c r="B230" t="s">
        <v>277</v>
      </c>
      <c r="C230" t="s">
        <v>477</v>
      </c>
      <c r="D230" t="s">
        <v>154</v>
      </c>
      <c r="E230">
        <v>2.4669617448422401E-2</v>
      </c>
      <c r="F230">
        <v>2.3739027735448701E-2</v>
      </c>
      <c r="G230">
        <v>6.9959324879015402E-3</v>
      </c>
      <c r="H230">
        <v>6.3923298658080004E-3</v>
      </c>
      <c r="I230">
        <v>6.0952966022863502E-3</v>
      </c>
      <c r="J230">
        <v>5.9923324338108201E-3</v>
      </c>
      <c r="K230">
        <v>5.9497367252985796E-3</v>
      </c>
      <c r="L230">
        <v>5.9411276438017602E-3</v>
      </c>
      <c r="M230">
        <v>5.9397139594027301E-3</v>
      </c>
      <c r="O230">
        <f t="shared" si="41"/>
        <v>69.400000000000006</v>
      </c>
      <c r="P230">
        <f t="shared" si="42"/>
        <v>0</v>
      </c>
      <c r="Q230">
        <f t="shared" si="43"/>
        <v>0</v>
      </c>
      <c r="R230">
        <f t="shared" si="44"/>
        <v>0</v>
      </c>
      <c r="S230">
        <f t="shared" si="45"/>
        <v>0</v>
      </c>
      <c r="T230">
        <f t="shared" si="46"/>
        <v>0</v>
      </c>
      <c r="U230">
        <f t="shared" si="47"/>
        <v>0</v>
      </c>
      <c r="V230">
        <f t="shared" si="48"/>
        <v>0</v>
      </c>
      <c r="W230">
        <f t="shared" si="49"/>
        <v>0</v>
      </c>
      <c r="X230">
        <f t="shared" si="50"/>
        <v>0</v>
      </c>
    </row>
    <row r="231" spans="1:24" hidden="1" x14ac:dyDescent="0.2">
      <c r="A231" t="s">
        <v>329</v>
      </c>
      <c r="B231" t="s">
        <v>277</v>
      </c>
      <c r="C231" t="s">
        <v>477</v>
      </c>
      <c r="D231" t="s">
        <v>166</v>
      </c>
      <c r="E231">
        <v>1.4812032246307101</v>
      </c>
      <c r="F231">
        <v>0.54792395616724199</v>
      </c>
      <c r="G231">
        <v>0.23446493505254601</v>
      </c>
      <c r="H231">
        <v>0.12187940167113399</v>
      </c>
      <c r="I231">
        <v>9.6647005846271297E-2</v>
      </c>
      <c r="J231">
        <v>8.8618016448605494E-2</v>
      </c>
      <c r="K231">
        <v>8.5561027850342405E-2</v>
      </c>
      <c r="L231">
        <v>8.5214480563201106E-2</v>
      </c>
      <c r="M231">
        <v>8.5173211054719894E-2</v>
      </c>
      <c r="O231">
        <f t="shared" si="41"/>
        <v>69.400000000000006</v>
      </c>
      <c r="P231">
        <f t="shared" si="42"/>
        <v>0</v>
      </c>
      <c r="Q231">
        <f t="shared" si="43"/>
        <v>0</v>
      </c>
      <c r="R231">
        <f t="shared" si="44"/>
        <v>0</v>
      </c>
      <c r="S231">
        <f t="shared" si="45"/>
        <v>0</v>
      </c>
      <c r="T231">
        <f t="shared" si="46"/>
        <v>0</v>
      </c>
      <c r="U231">
        <f t="shared" si="47"/>
        <v>0</v>
      </c>
      <c r="V231">
        <f t="shared" si="48"/>
        <v>0</v>
      </c>
      <c r="W231">
        <f t="shared" si="49"/>
        <v>0</v>
      </c>
      <c r="X231">
        <f t="shared" si="50"/>
        <v>0</v>
      </c>
    </row>
    <row r="232" spans="1:24" x14ac:dyDescent="0.2">
      <c r="A232" t="s">
        <v>3040</v>
      </c>
      <c r="B232" t="s">
        <v>279</v>
      </c>
      <c r="C232" t="s">
        <v>477</v>
      </c>
      <c r="D232" t="s">
        <v>158</v>
      </c>
      <c r="E232">
        <v>7.1455050843798995E-2</v>
      </c>
      <c r="F232">
        <v>4.0537129665560202E-2</v>
      </c>
      <c r="G232">
        <v>1.0621754972012501E-2</v>
      </c>
      <c r="H232">
        <v>9.6696564500787993E-3</v>
      </c>
      <c r="I232">
        <v>9.5530920036255608E-3</v>
      </c>
      <c r="J232">
        <v>9.6179953944107895E-3</v>
      </c>
      <c r="K232">
        <v>9.6161944962219002E-3</v>
      </c>
      <c r="L232">
        <v>9.6070968477667898E-3</v>
      </c>
      <c r="M232">
        <v>9.6485800310463499E-3</v>
      </c>
      <c r="O232">
        <f t="shared" si="41"/>
        <v>69.400000000000006</v>
      </c>
      <c r="P232">
        <f t="shared" si="42"/>
        <v>0</v>
      </c>
      <c r="Q232">
        <f t="shared" si="43"/>
        <v>0</v>
      </c>
      <c r="R232">
        <f t="shared" si="44"/>
        <v>0</v>
      </c>
      <c r="S232">
        <f t="shared" si="45"/>
        <v>0</v>
      </c>
      <c r="T232">
        <f t="shared" si="46"/>
        <v>0</v>
      </c>
      <c r="U232">
        <f t="shared" si="47"/>
        <v>0</v>
      </c>
      <c r="V232">
        <f t="shared" si="48"/>
        <v>0</v>
      </c>
      <c r="W232">
        <f t="shared" si="49"/>
        <v>0</v>
      </c>
      <c r="X232">
        <f t="shared" si="50"/>
        <v>0</v>
      </c>
    </row>
    <row r="233" spans="1:24" hidden="1" x14ac:dyDescent="0.2">
      <c r="A233" t="s">
        <v>329</v>
      </c>
      <c r="B233" t="s">
        <v>277</v>
      </c>
      <c r="C233" t="s">
        <v>477</v>
      </c>
      <c r="D233" t="s">
        <v>156</v>
      </c>
      <c r="E233">
        <v>0.36783761900051698</v>
      </c>
      <c r="F233">
        <v>0.18380908994723399</v>
      </c>
      <c r="G233">
        <v>0.13458028153150201</v>
      </c>
      <c r="H233">
        <v>0.10941693225613</v>
      </c>
      <c r="I233">
        <v>0.10368720194384699</v>
      </c>
      <c r="J233">
        <v>0.102786589329098</v>
      </c>
      <c r="K233">
        <v>0.10216362480144101</v>
      </c>
      <c r="L233">
        <v>0.10215247207365299</v>
      </c>
      <c r="M233">
        <v>0.10215234020502</v>
      </c>
      <c r="O233">
        <f t="shared" si="41"/>
        <v>69.400000000000006</v>
      </c>
      <c r="P233">
        <f t="shared" si="42"/>
        <v>0</v>
      </c>
      <c r="Q233">
        <f t="shared" si="43"/>
        <v>0</v>
      </c>
      <c r="R233">
        <f t="shared" si="44"/>
        <v>0</v>
      </c>
      <c r="S233">
        <f t="shared" si="45"/>
        <v>0</v>
      </c>
      <c r="T233">
        <f t="shared" si="46"/>
        <v>0</v>
      </c>
      <c r="U233">
        <f t="shared" si="47"/>
        <v>0</v>
      </c>
      <c r="V233">
        <f t="shared" si="48"/>
        <v>0</v>
      </c>
      <c r="W233">
        <f t="shared" si="49"/>
        <v>0</v>
      </c>
      <c r="X233">
        <f t="shared" si="50"/>
        <v>0</v>
      </c>
    </row>
    <row r="234" spans="1:24" x14ac:dyDescent="0.2">
      <c r="A234" t="s">
        <v>3040</v>
      </c>
      <c r="B234" t="s">
        <v>275</v>
      </c>
      <c r="C234" t="s">
        <v>332</v>
      </c>
      <c r="D234" t="s">
        <v>158</v>
      </c>
      <c r="E234">
        <v>1.04003337420696E-2</v>
      </c>
      <c r="F234">
        <v>1.04081158830562E-2</v>
      </c>
      <c r="G234">
        <v>1.1052941096405E-2</v>
      </c>
      <c r="H234">
        <v>1.0817163462008301E-2</v>
      </c>
      <c r="I234">
        <v>1.0753769380543701E-2</v>
      </c>
      <c r="J234">
        <v>1.07252399459136E-2</v>
      </c>
      <c r="K234">
        <v>1.05804069130733E-2</v>
      </c>
      <c r="L234">
        <v>1.04530345160975E-2</v>
      </c>
      <c r="M234">
        <v>1.04461903633429E-2</v>
      </c>
      <c r="O234">
        <f t="shared" si="41"/>
        <v>0</v>
      </c>
      <c r="P234">
        <f t="shared" si="42"/>
        <v>0</v>
      </c>
      <c r="Q234">
        <f t="shared" si="43"/>
        <v>0</v>
      </c>
      <c r="R234">
        <f t="shared" si="44"/>
        <v>0</v>
      </c>
      <c r="S234">
        <f t="shared" si="45"/>
        <v>0</v>
      </c>
      <c r="T234">
        <f t="shared" si="46"/>
        <v>0</v>
      </c>
      <c r="U234">
        <f t="shared" si="47"/>
        <v>0</v>
      </c>
      <c r="V234">
        <f t="shared" si="48"/>
        <v>0</v>
      </c>
      <c r="W234">
        <f t="shared" si="49"/>
        <v>0</v>
      </c>
      <c r="X234">
        <f t="shared" si="50"/>
        <v>0</v>
      </c>
    </row>
    <row r="235" spans="1:24" hidden="1" x14ac:dyDescent="0.2">
      <c r="A235" t="s">
        <v>329</v>
      </c>
      <c r="B235" t="s">
        <v>278</v>
      </c>
      <c r="C235" t="s">
        <v>477</v>
      </c>
      <c r="D235" t="s">
        <v>160</v>
      </c>
      <c r="E235">
        <v>8.86269129247483</v>
      </c>
      <c r="F235">
        <v>4.3199287250801799</v>
      </c>
      <c r="G235">
        <v>1.7914388036904501</v>
      </c>
      <c r="H235">
        <v>1.12801094686623</v>
      </c>
      <c r="I235">
        <v>0.85510344792293402</v>
      </c>
      <c r="J235">
        <v>0.73608764479650002</v>
      </c>
      <c r="K235">
        <v>0.68753388684831696</v>
      </c>
      <c r="L235">
        <v>0.67374943714715596</v>
      </c>
      <c r="M235">
        <v>0.67146596433822003</v>
      </c>
      <c r="O235">
        <f t="shared" si="41"/>
        <v>69.400000000000006</v>
      </c>
      <c r="P235">
        <f t="shared" si="42"/>
        <v>0</v>
      </c>
      <c r="Q235">
        <f t="shared" si="43"/>
        <v>0</v>
      </c>
      <c r="R235">
        <f t="shared" si="44"/>
        <v>0</v>
      </c>
      <c r="S235">
        <f t="shared" si="45"/>
        <v>0</v>
      </c>
      <c r="T235">
        <f t="shared" si="46"/>
        <v>0</v>
      </c>
      <c r="U235">
        <f t="shared" si="47"/>
        <v>0</v>
      </c>
      <c r="V235">
        <f t="shared" si="48"/>
        <v>0</v>
      </c>
      <c r="W235">
        <f t="shared" si="49"/>
        <v>0</v>
      </c>
      <c r="X235">
        <f t="shared" si="50"/>
        <v>0</v>
      </c>
    </row>
    <row r="236" spans="1:24" hidden="1" x14ac:dyDescent="0.2">
      <c r="A236" t="s">
        <v>329</v>
      </c>
      <c r="B236" t="s">
        <v>278</v>
      </c>
      <c r="C236" t="s">
        <v>477</v>
      </c>
      <c r="D236" t="s">
        <v>151</v>
      </c>
      <c r="E236">
        <v>4.0571629288934901</v>
      </c>
      <c r="F236">
        <v>2.1079895266671</v>
      </c>
      <c r="G236">
        <v>0.95171972478398204</v>
      </c>
      <c r="H236">
        <v>0.57942204846870504</v>
      </c>
      <c r="I236">
        <v>0.46167885649316898</v>
      </c>
      <c r="J236">
        <v>0.411122834472536</v>
      </c>
      <c r="K236">
        <v>0.39342235040821999</v>
      </c>
      <c r="L236">
        <v>0.39090755745160299</v>
      </c>
      <c r="M236">
        <v>0.390485776903365</v>
      </c>
      <c r="O236">
        <f t="shared" si="41"/>
        <v>69.400000000000006</v>
      </c>
      <c r="P236">
        <f t="shared" si="42"/>
        <v>0</v>
      </c>
      <c r="Q236">
        <f t="shared" si="43"/>
        <v>0</v>
      </c>
      <c r="R236">
        <f t="shared" si="44"/>
        <v>0</v>
      </c>
      <c r="S236">
        <f t="shared" si="45"/>
        <v>0</v>
      </c>
      <c r="T236">
        <f t="shared" si="46"/>
        <v>0</v>
      </c>
      <c r="U236">
        <f t="shared" si="47"/>
        <v>0</v>
      </c>
      <c r="V236">
        <f t="shared" si="48"/>
        <v>0</v>
      </c>
      <c r="W236">
        <f t="shared" si="49"/>
        <v>0</v>
      </c>
      <c r="X236">
        <f t="shared" si="50"/>
        <v>0</v>
      </c>
    </row>
    <row r="237" spans="1:24" hidden="1" x14ac:dyDescent="0.2">
      <c r="A237" t="s">
        <v>329</v>
      </c>
      <c r="B237" t="s">
        <v>278</v>
      </c>
      <c r="C237" t="s">
        <v>477</v>
      </c>
      <c r="D237" t="s">
        <v>164</v>
      </c>
      <c r="E237">
        <v>2.7635018209204099E-2</v>
      </c>
      <c r="F237">
        <v>7.9251945523322806E-2</v>
      </c>
      <c r="G237">
        <v>9.6148153254808605E-2</v>
      </c>
      <c r="H237">
        <v>9.9785175883289098E-2</v>
      </c>
      <c r="I237">
        <v>9.5948328253445195E-2</v>
      </c>
      <c r="J237">
        <v>9.3899906203712996E-2</v>
      </c>
      <c r="K237">
        <v>9.28466060132421E-2</v>
      </c>
      <c r="L237">
        <v>9.2335797735822206E-2</v>
      </c>
      <c r="M237">
        <v>9.2286843881752595E-2</v>
      </c>
      <c r="O237">
        <f t="shared" si="41"/>
        <v>69.400000000000006</v>
      </c>
      <c r="P237">
        <f t="shared" si="42"/>
        <v>0</v>
      </c>
      <c r="Q237">
        <f t="shared" si="43"/>
        <v>0</v>
      </c>
      <c r="R237">
        <f t="shared" si="44"/>
        <v>0</v>
      </c>
      <c r="S237">
        <f t="shared" si="45"/>
        <v>0</v>
      </c>
      <c r="T237">
        <f t="shared" si="46"/>
        <v>0</v>
      </c>
      <c r="U237">
        <f t="shared" si="47"/>
        <v>0</v>
      </c>
      <c r="V237">
        <f t="shared" si="48"/>
        <v>0</v>
      </c>
      <c r="W237">
        <f t="shared" si="49"/>
        <v>0</v>
      </c>
      <c r="X237">
        <f t="shared" si="50"/>
        <v>0</v>
      </c>
    </row>
    <row r="238" spans="1:24" hidden="1" x14ac:dyDescent="0.2">
      <c r="A238" t="s">
        <v>329</v>
      </c>
      <c r="B238" t="s">
        <v>278</v>
      </c>
      <c r="C238" t="s">
        <v>477</v>
      </c>
      <c r="D238" t="s">
        <v>162</v>
      </c>
      <c r="E238">
        <v>4.0183859548857297E-3</v>
      </c>
      <c r="F238">
        <v>4.1166806956555498E-3</v>
      </c>
      <c r="G238">
        <v>3.3999162837760402E-3</v>
      </c>
      <c r="H238">
        <v>3.4343400684857502E-3</v>
      </c>
      <c r="I238">
        <v>3.4601678572763598E-3</v>
      </c>
      <c r="J238">
        <v>3.4849953698967602E-3</v>
      </c>
      <c r="K238">
        <v>3.4925363140416799E-3</v>
      </c>
      <c r="L238">
        <v>3.4942190711013499E-3</v>
      </c>
      <c r="M238">
        <v>3.4951275451317199E-3</v>
      </c>
      <c r="O238">
        <f t="shared" si="41"/>
        <v>69.400000000000006</v>
      </c>
      <c r="P238">
        <f t="shared" si="42"/>
        <v>0</v>
      </c>
      <c r="Q238">
        <f t="shared" si="43"/>
        <v>0</v>
      </c>
      <c r="R238">
        <f t="shared" si="44"/>
        <v>0</v>
      </c>
      <c r="S238">
        <f t="shared" si="45"/>
        <v>0</v>
      </c>
      <c r="T238">
        <f t="shared" si="46"/>
        <v>0</v>
      </c>
      <c r="U238">
        <f t="shared" si="47"/>
        <v>0</v>
      </c>
      <c r="V238">
        <f t="shared" si="48"/>
        <v>0</v>
      </c>
      <c r="W238">
        <f t="shared" si="49"/>
        <v>0</v>
      </c>
      <c r="X238">
        <f t="shared" si="50"/>
        <v>0</v>
      </c>
    </row>
    <row r="239" spans="1:24" hidden="1" x14ac:dyDescent="0.2">
      <c r="A239" t="s">
        <v>329</v>
      </c>
      <c r="B239" t="s">
        <v>278</v>
      </c>
      <c r="C239" t="s">
        <v>477</v>
      </c>
      <c r="D239" t="s">
        <v>168</v>
      </c>
      <c r="E239">
        <v>2.26011364101412E-2</v>
      </c>
      <c r="F239">
        <v>2.3454525550609399E-2</v>
      </c>
      <c r="G239">
        <v>2.3614196677915401E-2</v>
      </c>
      <c r="H239">
        <v>2.3916894990929499E-2</v>
      </c>
      <c r="I239">
        <v>2.40422957945788E-2</v>
      </c>
      <c r="J239">
        <v>2.4074191271757701E-2</v>
      </c>
      <c r="K239">
        <v>2.4075209507305701E-2</v>
      </c>
      <c r="L239">
        <v>2.40793572890616E-2</v>
      </c>
      <c r="M239">
        <v>2.40794499777192E-2</v>
      </c>
      <c r="O239">
        <f t="shared" si="41"/>
        <v>69.400000000000006</v>
      </c>
      <c r="P239">
        <f t="shared" si="42"/>
        <v>0</v>
      </c>
      <c r="Q239">
        <f t="shared" si="43"/>
        <v>0</v>
      </c>
      <c r="R239">
        <f t="shared" si="44"/>
        <v>0</v>
      </c>
      <c r="S239">
        <f t="shared" si="45"/>
        <v>0</v>
      </c>
      <c r="T239">
        <f t="shared" si="46"/>
        <v>0</v>
      </c>
      <c r="U239">
        <f t="shared" si="47"/>
        <v>0</v>
      </c>
      <c r="V239">
        <f t="shared" si="48"/>
        <v>0</v>
      </c>
      <c r="W239">
        <f t="shared" si="49"/>
        <v>0</v>
      </c>
      <c r="X239">
        <f t="shared" si="50"/>
        <v>0</v>
      </c>
    </row>
    <row r="240" spans="1:24" hidden="1" x14ac:dyDescent="0.2">
      <c r="A240" t="s">
        <v>329</v>
      </c>
      <c r="B240" t="s">
        <v>278</v>
      </c>
      <c r="C240" t="s">
        <v>477</v>
      </c>
      <c r="D240" t="s">
        <v>154</v>
      </c>
      <c r="E240">
        <v>2.0811138167889001E-2</v>
      </c>
      <c r="F240">
        <v>2.0069912405094401E-2</v>
      </c>
      <c r="G240">
        <v>5.5371654827597004E-3</v>
      </c>
      <c r="H240">
        <v>5.1293548240660498E-3</v>
      </c>
      <c r="I240">
        <v>4.9164414579809801E-3</v>
      </c>
      <c r="J240">
        <v>4.8400921551360202E-3</v>
      </c>
      <c r="K240">
        <v>4.8096880897375597E-3</v>
      </c>
      <c r="L240">
        <v>4.8034066129064596E-3</v>
      </c>
      <c r="M240">
        <v>4.8025112743097604E-3</v>
      </c>
      <c r="O240">
        <f t="shared" si="41"/>
        <v>69.400000000000006</v>
      </c>
      <c r="P240">
        <f t="shared" si="42"/>
        <v>0</v>
      </c>
      <c r="Q240">
        <f t="shared" si="43"/>
        <v>0</v>
      </c>
      <c r="R240">
        <f t="shared" si="44"/>
        <v>0</v>
      </c>
      <c r="S240">
        <f t="shared" si="45"/>
        <v>0</v>
      </c>
      <c r="T240">
        <f t="shared" si="46"/>
        <v>0</v>
      </c>
      <c r="U240">
        <f t="shared" si="47"/>
        <v>0</v>
      </c>
      <c r="V240">
        <f t="shared" si="48"/>
        <v>0</v>
      </c>
      <c r="W240">
        <f t="shared" si="49"/>
        <v>0</v>
      </c>
      <c r="X240">
        <f t="shared" si="50"/>
        <v>0</v>
      </c>
    </row>
    <row r="241" spans="1:24" hidden="1" x14ac:dyDescent="0.2">
      <c r="A241" t="s">
        <v>329</v>
      </c>
      <c r="B241" t="s">
        <v>278</v>
      </c>
      <c r="C241" t="s">
        <v>477</v>
      </c>
      <c r="D241" t="s">
        <v>166</v>
      </c>
      <c r="E241">
        <v>1.4184736527430899</v>
      </c>
      <c r="F241">
        <v>0.58928018020581696</v>
      </c>
      <c r="G241">
        <v>0.203360302018775</v>
      </c>
      <c r="H241">
        <v>0.11973163158219401</v>
      </c>
      <c r="I241">
        <v>9.92835706264317E-2</v>
      </c>
      <c r="J241">
        <v>9.3099949519855701E-2</v>
      </c>
      <c r="K241">
        <v>9.0800606672097703E-2</v>
      </c>
      <c r="L241">
        <v>9.0320551775312799E-2</v>
      </c>
      <c r="M241">
        <v>9.0274249456638006E-2</v>
      </c>
      <c r="O241">
        <f t="shared" si="41"/>
        <v>69.400000000000006</v>
      </c>
      <c r="P241">
        <f t="shared" si="42"/>
        <v>0</v>
      </c>
      <c r="Q241">
        <f t="shared" si="43"/>
        <v>0</v>
      </c>
      <c r="R241">
        <f t="shared" si="44"/>
        <v>0</v>
      </c>
      <c r="S241">
        <f t="shared" si="45"/>
        <v>0</v>
      </c>
      <c r="T241">
        <f t="shared" si="46"/>
        <v>0</v>
      </c>
      <c r="U241">
        <f t="shared" si="47"/>
        <v>0</v>
      </c>
      <c r="V241">
        <f t="shared" si="48"/>
        <v>0</v>
      </c>
      <c r="W241">
        <f t="shared" si="49"/>
        <v>0</v>
      </c>
      <c r="X241">
        <f t="shared" si="50"/>
        <v>0</v>
      </c>
    </row>
    <row r="242" spans="1:24" x14ac:dyDescent="0.2">
      <c r="A242" t="s">
        <v>3040</v>
      </c>
      <c r="B242" t="s">
        <v>276</v>
      </c>
      <c r="C242" t="s">
        <v>332</v>
      </c>
      <c r="D242" t="s">
        <v>158</v>
      </c>
      <c r="E242">
        <v>8.7560770343190295E-3</v>
      </c>
      <c r="F242">
        <v>8.7622036543780306E-3</v>
      </c>
      <c r="G242">
        <v>8.6304265757909393E-3</v>
      </c>
      <c r="H242">
        <v>8.4275847239737908E-3</v>
      </c>
      <c r="I242">
        <v>8.3714032789610707E-3</v>
      </c>
      <c r="J242">
        <v>8.3451695612363607E-3</v>
      </c>
      <c r="K242">
        <v>8.2207090340707199E-3</v>
      </c>
      <c r="L242">
        <v>8.1121785136203401E-3</v>
      </c>
      <c r="M242">
        <v>8.1060201670228992E-3</v>
      </c>
      <c r="O242">
        <f t="shared" si="41"/>
        <v>0</v>
      </c>
      <c r="P242">
        <f t="shared" si="42"/>
        <v>0</v>
      </c>
      <c r="Q242">
        <f t="shared" si="43"/>
        <v>0</v>
      </c>
      <c r="R242">
        <f t="shared" si="44"/>
        <v>0</v>
      </c>
      <c r="S242">
        <f t="shared" si="45"/>
        <v>0</v>
      </c>
      <c r="T242">
        <f t="shared" si="46"/>
        <v>0</v>
      </c>
      <c r="U242">
        <f t="shared" si="47"/>
        <v>0</v>
      </c>
      <c r="V242">
        <f t="shared" si="48"/>
        <v>0</v>
      </c>
      <c r="W242">
        <f t="shared" si="49"/>
        <v>0</v>
      </c>
      <c r="X242">
        <f t="shared" si="50"/>
        <v>0</v>
      </c>
    </row>
    <row r="243" spans="1:24" hidden="1" x14ac:dyDescent="0.2">
      <c r="A243" t="s">
        <v>329</v>
      </c>
      <c r="B243" t="s">
        <v>278</v>
      </c>
      <c r="C243" t="s">
        <v>477</v>
      </c>
      <c r="D243" t="s">
        <v>156</v>
      </c>
      <c r="E243">
        <v>0.33805168547668302</v>
      </c>
      <c r="F243">
        <v>0.17896489479042399</v>
      </c>
      <c r="G243">
        <v>7.9890938416736806E-2</v>
      </c>
      <c r="H243">
        <v>6.62511849411654E-2</v>
      </c>
      <c r="I243">
        <v>6.38433895930966E-2</v>
      </c>
      <c r="J243">
        <v>6.3517512192534306E-2</v>
      </c>
      <c r="K243">
        <v>6.3258841749161396E-2</v>
      </c>
      <c r="L243">
        <v>6.32502892090826E-2</v>
      </c>
      <c r="M243">
        <v>6.3250224011279194E-2</v>
      </c>
      <c r="O243">
        <f t="shared" si="41"/>
        <v>69.400000000000006</v>
      </c>
      <c r="P243">
        <f t="shared" si="42"/>
        <v>0</v>
      </c>
      <c r="Q243">
        <f t="shared" si="43"/>
        <v>0</v>
      </c>
      <c r="R243">
        <f t="shared" si="44"/>
        <v>0</v>
      </c>
      <c r="S243">
        <f t="shared" si="45"/>
        <v>0</v>
      </c>
      <c r="T243">
        <f t="shared" si="46"/>
        <v>0</v>
      </c>
      <c r="U243">
        <f t="shared" si="47"/>
        <v>0</v>
      </c>
      <c r="V243">
        <f t="shared" si="48"/>
        <v>0</v>
      </c>
      <c r="W243">
        <f t="shared" si="49"/>
        <v>0</v>
      </c>
      <c r="X243">
        <f t="shared" si="50"/>
        <v>0</v>
      </c>
    </row>
    <row r="244" spans="1:24" x14ac:dyDescent="0.2">
      <c r="A244" t="s">
        <v>3040</v>
      </c>
      <c r="B244" t="s">
        <v>277</v>
      </c>
      <c r="C244" t="s">
        <v>332</v>
      </c>
      <c r="D244" t="s">
        <v>158</v>
      </c>
      <c r="E244">
        <v>1.40169037450868E-2</v>
      </c>
      <c r="F244">
        <v>1.4013573377583501E-2</v>
      </c>
      <c r="G244">
        <v>1.11562424125551E-2</v>
      </c>
      <c r="H244">
        <v>1.09265188788693E-2</v>
      </c>
      <c r="I244">
        <v>1.0861054896046199E-2</v>
      </c>
      <c r="J244">
        <v>1.08293882777488E-2</v>
      </c>
      <c r="K244">
        <v>1.06888930906526E-2</v>
      </c>
      <c r="L244">
        <v>1.05674353285179E-2</v>
      </c>
      <c r="M244">
        <v>1.05601708467511E-2</v>
      </c>
      <c r="O244">
        <f t="shared" si="41"/>
        <v>0</v>
      </c>
      <c r="P244">
        <f t="shared" si="42"/>
        <v>0</v>
      </c>
      <c r="Q244">
        <f t="shared" si="43"/>
        <v>0</v>
      </c>
      <c r="R244">
        <f t="shared" si="44"/>
        <v>0</v>
      </c>
      <c r="S244">
        <f t="shared" si="45"/>
        <v>0</v>
      </c>
      <c r="T244">
        <f t="shared" si="46"/>
        <v>0</v>
      </c>
      <c r="U244">
        <f t="shared" si="47"/>
        <v>0</v>
      </c>
      <c r="V244">
        <f t="shared" si="48"/>
        <v>0</v>
      </c>
      <c r="W244">
        <f t="shared" si="49"/>
        <v>0</v>
      </c>
      <c r="X244">
        <f t="shared" si="50"/>
        <v>0</v>
      </c>
    </row>
    <row r="245" spans="1:24" hidden="1" x14ac:dyDescent="0.2">
      <c r="A245" t="s">
        <v>329</v>
      </c>
      <c r="B245" t="s">
        <v>279</v>
      </c>
      <c r="C245" t="s">
        <v>477</v>
      </c>
      <c r="D245" t="s">
        <v>160</v>
      </c>
      <c r="E245">
        <v>7.1765217613033796</v>
      </c>
      <c r="F245">
        <v>5.0829903445482501</v>
      </c>
      <c r="G245">
        <v>2.0622501927327002</v>
      </c>
      <c r="H245">
        <v>1.23688337839766</v>
      </c>
      <c r="I245">
        <v>0.88483497721495996</v>
      </c>
      <c r="J245">
        <v>0.73710801987171404</v>
      </c>
      <c r="K245">
        <v>0.681954649919569</v>
      </c>
      <c r="L245">
        <v>0.66649158442590495</v>
      </c>
      <c r="M245">
        <v>0.66343035322564203</v>
      </c>
      <c r="O245">
        <f t="shared" si="41"/>
        <v>69.400000000000006</v>
      </c>
      <c r="P245">
        <f t="shared" si="42"/>
        <v>0</v>
      </c>
      <c r="Q245">
        <f t="shared" si="43"/>
        <v>0</v>
      </c>
      <c r="R245">
        <f t="shared" si="44"/>
        <v>0</v>
      </c>
      <c r="S245">
        <f t="shared" si="45"/>
        <v>0</v>
      </c>
      <c r="T245">
        <f t="shared" si="46"/>
        <v>0</v>
      </c>
      <c r="U245">
        <f t="shared" si="47"/>
        <v>0</v>
      </c>
      <c r="V245">
        <f t="shared" si="48"/>
        <v>0</v>
      </c>
      <c r="W245">
        <f t="shared" si="49"/>
        <v>0</v>
      </c>
      <c r="X245">
        <f t="shared" si="50"/>
        <v>0</v>
      </c>
    </row>
    <row r="246" spans="1:24" hidden="1" x14ac:dyDescent="0.2">
      <c r="A246" t="s">
        <v>329</v>
      </c>
      <c r="B246" t="s">
        <v>279</v>
      </c>
      <c r="C246" t="s">
        <v>477</v>
      </c>
      <c r="D246" t="s">
        <v>151</v>
      </c>
      <c r="E246">
        <v>3.5836248871385799</v>
      </c>
      <c r="F246">
        <v>2.4620255710196099</v>
      </c>
      <c r="G246">
        <v>1.0992466046413001</v>
      </c>
      <c r="H246">
        <v>0.61428485989636905</v>
      </c>
      <c r="I246">
        <v>0.46060834805441597</v>
      </c>
      <c r="J246">
        <v>0.39893050209221598</v>
      </c>
      <c r="K246">
        <v>0.37710706015261702</v>
      </c>
      <c r="L246">
        <v>0.37446109942407202</v>
      </c>
      <c r="M246">
        <v>0.37384740613575301</v>
      </c>
      <c r="O246">
        <f t="shared" si="41"/>
        <v>69.400000000000006</v>
      </c>
      <c r="P246">
        <f t="shared" si="42"/>
        <v>0</v>
      </c>
      <c r="Q246">
        <f t="shared" si="43"/>
        <v>0</v>
      </c>
      <c r="R246">
        <f t="shared" si="44"/>
        <v>0</v>
      </c>
      <c r="S246">
        <f t="shared" si="45"/>
        <v>0</v>
      </c>
      <c r="T246">
        <f t="shared" si="46"/>
        <v>0</v>
      </c>
      <c r="U246">
        <f t="shared" si="47"/>
        <v>0</v>
      </c>
      <c r="V246">
        <f t="shared" si="48"/>
        <v>0</v>
      </c>
      <c r="W246">
        <f t="shared" si="49"/>
        <v>0</v>
      </c>
      <c r="X246">
        <f t="shared" si="50"/>
        <v>0</v>
      </c>
    </row>
    <row r="247" spans="1:24" hidden="1" x14ac:dyDescent="0.2">
      <c r="A247" t="s">
        <v>329</v>
      </c>
      <c r="B247" t="s">
        <v>279</v>
      </c>
      <c r="C247" t="s">
        <v>477</v>
      </c>
      <c r="D247" t="s">
        <v>164</v>
      </c>
      <c r="E247">
        <v>2.8722477337995801E-2</v>
      </c>
      <c r="F247">
        <v>6.4606485790754897E-2</v>
      </c>
      <c r="G247">
        <v>9.3319037791356599E-2</v>
      </c>
      <c r="H247">
        <v>9.5486056411250894E-2</v>
      </c>
      <c r="I247">
        <v>9.0679097887051197E-2</v>
      </c>
      <c r="J247">
        <v>8.8339895003666999E-2</v>
      </c>
      <c r="K247">
        <v>8.74824228447562E-2</v>
      </c>
      <c r="L247">
        <v>8.6924326776294594E-2</v>
      </c>
      <c r="M247">
        <v>8.6846961618559398E-2</v>
      </c>
      <c r="O247">
        <f t="shared" si="41"/>
        <v>69.400000000000006</v>
      </c>
      <c r="P247">
        <f t="shared" si="42"/>
        <v>0</v>
      </c>
      <c r="Q247">
        <f t="shared" si="43"/>
        <v>0</v>
      </c>
      <c r="R247">
        <f t="shared" si="44"/>
        <v>0</v>
      </c>
      <c r="S247">
        <f t="shared" si="45"/>
        <v>0</v>
      </c>
      <c r="T247">
        <f t="shared" si="46"/>
        <v>0</v>
      </c>
      <c r="U247">
        <f t="shared" si="47"/>
        <v>0</v>
      </c>
      <c r="V247">
        <f t="shared" si="48"/>
        <v>0</v>
      </c>
      <c r="W247">
        <f t="shared" si="49"/>
        <v>0</v>
      </c>
      <c r="X247">
        <f t="shared" si="50"/>
        <v>0</v>
      </c>
    </row>
    <row r="248" spans="1:24" hidden="1" x14ac:dyDescent="0.2">
      <c r="A248" t="s">
        <v>329</v>
      </c>
      <c r="B248" t="s">
        <v>279</v>
      </c>
      <c r="C248" t="s">
        <v>477</v>
      </c>
      <c r="D248" t="s">
        <v>162</v>
      </c>
      <c r="E248">
        <v>3.70678643474179E-3</v>
      </c>
      <c r="F248">
        <v>3.9107302246733297E-3</v>
      </c>
      <c r="G248">
        <v>3.7509054745099501E-3</v>
      </c>
      <c r="H248">
        <v>3.7469316923085401E-3</v>
      </c>
      <c r="I248">
        <v>3.7551613445810099E-3</v>
      </c>
      <c r="J248">
        <v>3.76875923577577E-3</v>
      </c>
      <c r="K248">
        <v>3.7721628299732099E-3</v>
      </c>
      <c r="L248">
        <v>3.7736818425326002E-3</v>
      </c>
      <c r="M248">
        <v>3.77444846136267E-3</v>
      </c>
      <c r="O248">
        <f t="shared" si="41"/>
        <v>69.400000000000006</v>
      </c>
      <c r="P248">
        <f t="shared" si="42"/>
        <v>0</v>
      </c>
      <c r="Q248">
        <f t="shared" si="43"/>
        <v>0</v>
      </c>
      <c r="R248">
        <f t="shared" si="44"/>
        <v>0</v>
      </c>
      <c r="S248">
        <f t="shared" si="45"/>
        <v>0</v>
      </c>
      <c r="T248">
        <f t="shared" si="46"/>
        <v>0</v>
      </c>
      <c r="U248">
        <f t="shared" si="47"/>
        <v>0</v>
      </c>
      <c r="V248">
        <f t="shared" si="48"/>
        <v>0</v>
      </c>
      <c r="W248">
        <f t="shared" si="49"/>
        <v>0</v>
      </c>
      <c r="X248">
        <f t="shared" si="50"/>
        <v>0</v>
      </c>
    </row>
    <row r="249" spans="1:24" hidden="1" x14ac:dyDescent="0.2">
      <c r="A249" t="s">
        <v>329</v>
      </c>
      <c r="B249" t="s">
        <v>279</v>
      </c>
      <c r="C249" t="s">
        <v>477</v>
      </c>
      <c r="D249" t="s">
        <v>168</v>
      </c>
      <c r="E249">
        <v>2.2035373098919599E-2</v>
      </c>
      <c r="F249">
        <v>2.2894892898314201E-2</v>
      </c>
      <c r="G249">
        <v>2.42297057425616E-2</v>
      </c>
      <c r="H249">
        <v>2.4527044939664899E-2</v>
      </c>
      <c r="I249">
        <v>2.4669114217942201E-2</v>
      </c>
      <c r="J249">
        <v>2.47060770187486E-2</v>
      </c>
      <c r="K249">
        <v>2.4705240739407899E-2</v>
      </c>
      <c r="L249">
        <v>2.4711996515782101E-2</v>
      </c>
      <c r="M249">
        <v>2.4712072953052701E-2</v>
      </c>
      <c r="O249">
        <f t="shared" si="41"/>
        <v>69.400000000000006</v>
      </c>
      <c r="P249">
        <f t="shared" si="42"/>
        <v>0</v>
      </c>
      <c r="Q249">
        <f t="shared" si="43"/>
        <v>0</v>
      </c>
      <c r="R249">
        <f t="shared" si="44"/>
        <v>0</v>
      </c>
      <c r="S249">
        <f t="shared" si="45"/>
        <v>0</v>
      </c>
      <c r="T249">
        <f t="shared" si="46"/>
        <v>0</v>
      </c>
      <c r="U249">
        <f t="shared" si="47"/>
        <v>0</v>
      </c>
      <c r="V249">
        <f t="shared" si="48"/>
        <v>0</v>
      </c>
      <c r="W249">
        <f t="shared" si="49"/>
        <v>0</v>
      </c>
      <c r="X249">
        <f t="shared" si="50"/>
        <v>0</v>
      </c>
    </row>
    <row r="250" spans="1:24" hidden="1" x14ac:dyDescent="0.2">
      <c r="A250" t="s">
        <v>329</v>
      </c>
      <c r="B250" t="s">
        <v>279</v>
      </c>
      <c r="C250" t="s">
        <v>477</v>
      </c>
      <c r="D250" t="s">
        <v>154</v>
      </c>
      <c r="E250">
        <v>2.02987259654193E-2</v>
      </c>
      <c r="F250">
        <v>2.03517774676031E-2</v>
      </c>
      <c r="G250">
        <v>5.8874063451475004E-3</v>
      </c>
      <c r="H250">
        <v>5.3488332355279998E-3</v>
      </c>
      <c r="I250">
        <v>5.0900786712235798E-3</v>
      </c>
      <c r="J250">
        <v>5.0048506801569003E-3</v>
      </c>
      <c r="K250">
        <v>4.9682251231770204E-3</v>
      </c>
      <c r="L250">
        <v>4.96078702640931E-3</v>
      </c>
      <c r="M250">
        <v>4.9595532329322397E-3</v>
      </c>
      <c r="O250">
        <f t="shared" si="41"/>
        <v>69.400000000000006</v>
      </c>
      <c r="P250">
        <f t="shared" si="42"/>
        <v>0</v>
      </c>
      <c r="Q250">
        <f t="shared" si="43"/>
        <v>0</v>
      </c>
      <c r="R250">
        <f t="shared" si="44"/>
        <v>0</v>
      </c>
      <c r="S250">
        <f t="shared" si="45"/>
        <v>0</v>
      </c>
      <c r="T250">
        <f t="shared" si="46"/>
        <v>0</v>
      </c>
      <c r="U250">
        <f t="shared" si="47"/>
        <v>0</v>
      </c>
      <c r="V250">
        <f t="shared" si="48"/>
        <v>0</v>
      </c>
      <c r="W250">
        <f t="shared" si="49"/>
        <v>0</v>
      </c>
      <c r="X250">
        <f t="shared" si="50"/>
        <v>0</v>
      </c>
    </row>
    <row r="251" spans="1:24" hidden="1" x14ac:dyDescent="0.2">
      <c r="A251" t="s">
        <v>329</v>
      </c>
      <c r="B251" t="s">
        <v>279</v>
      </c>
      <c r="C251" t="s">
        <v>477</v>
      </c>
      <c r="D251" t="s">
        <v>166</v>
      </c>
      <c r="E251">
        <v>1.15410993346229</v>
      </c>
      <c r="F251">
        <v>0.708335425269493</v>
      </c>
      <c r="G251">
        <v>0.237522027610751</v>
      </c>
      <c r="H251">
        <v>0.13017558107723801</v>
      </c>
      <c r="I251">
        <v>0.100440458169382</v>
      </c>
      <c r="J251">
        <v>8.97107600839811E-2</v>
      </c>
      <c r="K251">
        <v>8.5999644659815494E-2</v>
      </c>
      <c r="L251">
        <v>8.5474566063168403E-2</v>
      </c>
      <c r="M251">
        <v>8.5401598704344606E-2</v>
      </c>
      <c r="O251">
        <f t="shared" si="41"/>
        <v>69.400000000000006</v>
      </c>
      <c r="P251">
        <f t="shared" si="42"/>
        <v>0</v>
      </c>
      <c r="Q251">
        <f t="shared" si="43"/>
        <v>0</v>
      </c>
      <c r="R251">
        <f t="shared" si="44"/>
        <v>0</v>
      </c>
      <c r="S251">
        <f t="shared" si="45"/>
        <v>0</v>
      </c>
      <c r="T251">
        <f t="shared" si="46"/>
        <v>0</v>
      </c>
      <c r="U251">
        <f t="shared" si="47"/>
        <v>0</v>
      </c>
      <c r="V251">
        <f t="shared" si="48"/>
        <v>0</v>
      </c>
      <c r="W251">
        <f t="shared" si="49"/>
        <v>0</v>
      </c>
      <c r="X251">
        <f t="shared" si="50"/>
        <v>0</v>
      </c>
    </row>
    <row r="252" spans="1:24" x14ac:dyDescent="0.2">
      <c r="A252" t="s">
        <v>3040</v>
      </c>
      <c r="B252" t="s">
        <v>278</v>
      </c>
      <c r="C252" t="s">
        <v>332</v>
      </c>
      <c r="D252" t="s">
        <v>158</v>
      </c>
      <c r="E252">
        <v>1.0010238476339899E-2</v>
      </c>
      <c r="F252">
        <v>1.00161273530144E-2</v>
      </c>
      <c r="G252">
        <v>7.3231092956545603E-3</v>
      </c>
      <c r="H252">
        <v>7.1259171686559502E-3</v>
      </c>
      <c r="I252">
        <v>7.0786866585371699E-3</v>
      </c>
      <c r="J252">
        <v>7.0609240367398201E-3</v>
      </c>
      <c r="K252">
        <v>6.9386110678336301E-3</v>
      </c>
      <c r="L252">
        <v>6.8278327244941798E-3</v>
      </c>
      <c r="M252">
        <v>6.8230359525153703E-3</v>
      </c>
      <c r="O252">
        <f t="shared" si="41"/>
        <v>0</v>
      </c>
      <c r="P252">
        <f t="shared" si="42"/>
        <v>0</v>
      </c>
      <c r="Q252">
        <f t="shared" si="43"/>
        <v>0</v>
      </c>
      <c r="R252">
        <f t="shared" si="44"/>
        <v>0</v>
      </c>
      <c r="S252">
        <f t="shared" si="45"/>
        <v>0</v>
      </c>
      <c r="T252">
        <f t="shared" si="46"/>
        <v>0</v>
      </c>
      <c r="U252">
        <f t="shared" si="47"/>
        <v>0</v>
      </c>
      <c r="V252">
        <f t="shared" si="48"/>
        <v>0</v>
      </c>
      <c r="W252">
        <f t="shared" si="49"/>
        <v>0</v>
      </c>
      <c r="X252">
        <f t="shared" si="50"/>
        <v>0</v>
      </c>
    </row>
    <row r="253" spans="1:24" hidden="1" x14ac:dyDescent="0.2">
      <c r="A253" t="s">
        <v>329</v>
      </c>
      <c r="B253" t="s">
        <v>279</v>
      </c>
      <c r="C253" t="s">
        <v>477</v>
      </c>
      <c r="D253" t="s">
        <v>156</v>
      </c>
      <c r="E253">
        <v>0.30693299916758499</v>
      </c>
      <c r="F253">
        <v>0.21185033519336999</v>
      </c>
      <c r="G253">
        <v>0.101369059406912</v>
      </c>
      <c r="H253">
        <v>7.95683518047864E-2</v>
      </c>
      <c r="I253">
        <v>7.4197456346946605E-2</v>
      </c>
      <c r="J253">
        <v>7.3221606155705804E-2</v>
      </c>
      <c r="K253">
        <v>7.2591041246683793E-2</v>
      </c>
      <c r="L253">
        <v>7.2574485210858894E-2</v>
      </c>
      <c r="M253">
        <v>7.2572582897330901E-2</v>
      </c>
      <c r="O253">
        <f t="shared" si="41"/>
        <v>69.400000000000006</v>
      </c>
      <c r="P253">
        <f t="shared" si="42"/>
        <v>0</v>
      </c>
      <c r="Q253">
        <f t="shared" si="43"/>
        <v>0</v>
      </c>
      <c r="R253">
        <f t="shared" si="44"/>
        <v>0</v>
      </c>
      <c r="S253">
        <f t="shared" si="45"/>
        <v>0</v>
      </c>
      <c r="T253">
        <f t="shared" si="46"/>
        <v>0</v>
      </c>
      <c r="U253">
        <f t="shared" si="47"/>
        <v>0</v>
      </c>
      <c r="V253">
        <f t="shared" si="48"/>
        <v>0</v>
      </c>
      <c r="W253">
        <f t="shared" si="49"/>
        <v>0</v>
      </c>
      <c r="X253">
        <f t="shared" si="50"/>
        <v>0</v>
      </c>
    </row>
    <row r="254" spans="1:24" x14ac:dyDescent="0.2">
      <c r="A254" t="s">
        <v>3040</v>
      </c>
      <c r="B254" t="s">
        <v>279</v>
      </c>
      <c r="C254" t="s">
        <v>332</v>
      </c>
      <c r="D254" t="s">
        <v>158</v>
      </c>
      <c r="E254">
        <v>9.8683488873566507E-3</v>
      </c>
      <c r="F254">
        <v>9.88217384347829E-3</v>
      </c>
      <c r="G254">
        <v>8.0183682752347305E-3</v>
      </c>
      <c r="H254">
        <v>7.8205598319836794E-3</v>
      </c>
      <c r="I254">
        <v>7.7705101128409003E-3</v>
      </c>
      <c r="J254">
        <v>7.7499080674948602E-3</v>
      </c>
      <c r="K254">
        <v>7.6276556248612501E-3</v>
      </c>
      <c r="L254">
        <v>7.5183919209819098E-3</v>
      </c>
      <c r="M254">
        <v>7.5131480934889404E-3</v>
      </c>
      <c r="O254">
        <f t="shared" si="41"/>
        <v>0</v>
      </c>
      <c r="P254">
        <f t="shared" si="42"/>
        <v>0</v>
      </c>
      <c r="Q254">
        <f t="shared" si="43"/>
        <v>0</v>
      </c>
      <c r="R254">
        <f t="shared" si="44"/>
        <v>0</v>
      </c>
      <c r="S254">
        <f t="shared" si="45"/>
        <v>0</v>
      </c>
      <c r="T254">
        <f t="shared" si="46"/>
        <v>0</v>
      </c>
      <c r="U254">
        <f t="shared" si="47"/>
        <v>0</v>
      </c>
      <c r="V254">
        <f t="shared" si="48"/>
        <v>0</v>
      </c>
      <c r="W254">
        <f t="shared" si="49"/>
        <v>0</v>
      </c>
      <c r="X254">
        <f t="shared" si="50"/>
        <v>0</v>
      </c>
    </row>
    <row r="255" spans="1:24" hidden="1" x14ac:dyDescent="0.2">
      <c r="A255" t="s">
        <v>329</v>
      </c>
      <c r="B255" t="s">
        <v>275</v>
      </c>
      <c r="C255" t="s">
        <v>332</v>
      </c>
      <c r="D255" t="s">
        <v>160</v>
      </c>
      <c r="E255">
        <v>1.37802714517242</v>
      </c>
      <c r="F255">
        <v>1.30083566496208</v>
      </c>
      <c r="G255">
        <v>0.87540940709524095</v>
      </c>
      <c r="H255">
        <v>0.87878010351123403</v>
      </c>
      <c r="I255">
        <v>0.95878236153507601</v>
      </c>
      <c r="J255">
        <v>0.98699773415781999</v>
      </c>
      <c r="K255">
        <v>0.94024778298368095</v>
      </c>
      <c r="L255">
        <v>0.92418183786495101</v>
      </c>
      <c r="M255">
        <v>0.92226532816617202</v>
      </c>
      <c r="O255">
        <f t="shared" si="41"/>
        <v>0</v>
      </c>
      <c r="P255">
        <f t="shared" si="42"/>
        <v>0</v>
      </c>
      <c r="Q255">
        <f t="shared" si="43"/>
        <v>0</v>
      </c>
      <c r="R255">
        <f t="shared" si="44"/>
        <v>0</v>
      </c>
      <c r="S255">
        <f t="shared" si="45"/>
        <v>0</v>
      </c>
      <c r="T255">
        <f t="shared" si="46"/>
        <v>0</v>
      </c>
      <c r="U255">
        <f t="shared" si="47"/>
        <v>0</v>
      </c>
      <c r="V255">
        <f t="shared" si="48"/>
        <v>0</v>
      </c>
      <c r="W255">
        <f t="shared" si="49"/>
        <v>0</v>
      </c>
      <c r="X255">
        <f t="shared" si="50"/>
        <v>0</v>
      </c>
    </row>
    <row r="256" spans="1:24" hidden="1" x14ac:dyDescent="0.2">
      <c r="A256" t="s">
        <v>329</v>
      </c>
      <c r="B256" t="s">
        <v>275</v>
      </c>
      <c r="C256" t="s">
        <v>332</v>
      </c>
      <c r="D256" t="s">
        <v>151</v>
      </c>
      <c r="E256">
        <v>5.8295553273583399E-2</v>
      </c>
      <c r="F256">
        <v>5.9591370571141403E-2</v>
      </c>
      <c r="G256">
        <v>4.34348090282081E-2</v>
      </c>
      <c r="H256">
        <v>3.7456512556011803E-2</v>
      </c>
      <c r="I256">
        <v>4.06763963348045E-2</v>
      </c>
      <c r="J256">
        <v>4.0146325631244401E-2</v>
      </c>
      <c r="K256">
        <v>3.6623590197759702E-2</v>
      </c>
      <c r="L256">
        <v>3.5619265894834197E-2</v>
      </c>
      <c r="M256">
        <v>3.55243560811122E-2</v>
      </c>
      <c r="O256">
        <f t="shared" si="41"/>
        <v>0</v>
      </c>
      <c r="P256">
        <f t="shared" si="42"/>
        <v>0</v>
      </c>
      <c r="Q256">
        <f t="shared" si="43"/>
        <v>0</v>
      </c>
      <c r="R256">
        <f t="shared" si="44"/>
        <v>0</v>
      </c>
      <c r="S256">
        <f t="shared" si="45"/>
        <v>0</v>
      </c>
      <c r="T256">
        <f t="shared" si="46"/>
        <v>0</v>
      </c>
      <c r="U256">
        <f t="shared" si="47"/>
        <v>0</v>
      </c>
      <c r="V256">
        <f t="shared" si="48"/>
        <v>0</v>
      </c>
      <c r="W256">
        <f t="shared" si="49"/>
        <v>0</v>
      </c>
      <c r="X256">
        <f t="shared" si="50"/>
        <v>0</v>
      </c>
    </row>
    <row r="257" spans="1:24" hidden="1" x14ac:dyDescent="0.2">
      <c r="A257" t="s">
        <v>329</v>
      </c>
      <c r="B257" t="s">
        <v>275</v>
      </c>
      <c r="C257" t="s">
        <v>332</v>
      </c>
      <c r="D257" t="s">
        <v>164</v>
      </c>
      <c r="E257">
        <v>1.9229529424429001E-2</v>
      </c>
      <c r="F257">
        <v>1.91268849809236E-2</v>
      </c>
      <c r="G257">
        <v>1.43214666973042E-2</v>
      </c>
      <c r="H257">
        <v>1.0342514061695601E-2</v>
      </c>
      <c r="I257">
        <v>8.8213910246114895E-3</v>
      </c>
      <c r="J257">
        <v>8.1673049072156102E-3</v>
      </c>
      <c r="K257">
        <v>7.7752393791103496E-3</v>
      </c>
      <c r="L257">
        <v>7.69714391476515E-3</v>
      </c>
      <c r="M257">
        <v>7.7053003946507201E-3</v>
      </c>
      <c r="O257">
        <f t="shared" si="41"/>
        <v>0</v>
      </c>
      <c r="P257">
        <f t="shared" si="42"/>
        <v>0</v>
      </c>
      <c r="Q257">
        <f t="shared" si="43"/>
        <v>0</v>
      </c>
      <c r="R257">
        <f t="shared" si="44"/>
        <v>0</v>
      </c>
      <c r="S257">
        <f t="shared" si="45"/>
        <v>0</v>
      </c>
      <c r="T257">
        <f t="shared" si="46"/>
        <v>0</v>
      </c>
      <c r="U257">
        <f t="shared" si="47"/>
        <v>0</v>
      </c>
      <c r="V257">
        <f t="shared" si="48"/>
        <v>0</v>
      </c>
      <c r="W257">
        <f t="shared" si="49"/>
        <v>0</v>
      </c>
      <c r="X257">
        <f t="shared" si="50"/>
        <v>0</v>
      </c>
    </row>
    <row r="258" spans="1:24" hidden="1" x14ac:dyDescent="0.2">
      <c r="A258" t="s">
        <v>329</v>
      </c>
      <c r="B258" t="s">
        <v>275</v>
      </c>
      <c r="C258" t="s">
        <v>332</v>
      </c>
      <c r="D258" t="s">
        <v>162</v>
      </c>
      <c r="E258">
        <v>7.5143398418471103E-3</v>
      </c>
      <c r="F258">
        <v>7.7747676486324101E-3</v>
      </c>
      <c r="G258">
        <v>8.4209380539081707E-3</v>
      </c>
      <c r="H258">
        <v>8.6367770895569608E-3</v>
      </c>
      <c r="I258">
        <v>8.9843659219336104E-3</v>
      </c>
      <c r="J258">
        <v>9.3140146264257505E-3</v>
      </c>
      <c r="K258">
        <v>9.4267001115218105E-3</v>
      </c>
      <c r="L258">
        <v>9.4486020833409803E-3</v>
      </c>
      <c r="M258">
        <v>9.4520600489361901E-3</v>
      </c>
      <c r="O258">
        <f t="shared" si="41"/>
        <v>0</v>
      </c>
      <c r="P258">
        <f t="shared" si="42"/>
        <v>0</v>
      </c>
      <c r="Q258">
        <f t="shared" si="43"/>
        <v>0</v>
      </c>
      <c r="R258">
        <f t="shared" si="44"/>
        <v>0</v>
      </c>
      <c r="S258">
        <f t="shared" si="45"/>
        <v>0</v>
      </c>
      <c r="T258">
        <f t="shared" si="46"/>
        <v>0</v>
      </c>
      <c r="U258">
        <f t="shared" si="47"/>
        <v>0</v>
      </c>
      <c r="V258">
        <f t="shared" si="48"/>
        <v>0</v>
      </c>
      <c r="W258">
        <f t="shared" si="49"/>
        <v>0</v>
      </c>
      <c r="X258">
        <f t="shared" si="50"/>
        <v>0</v>
      </c>
    </row>
    <row r="259" spans="1:24" hidden="1" x14ac:dyDescent="0.2">
      <c r="A259" t="s">
        <v>329</v>
      </c>
      <c r="B259" t="s">
        <v>275</v>
      </c>
      <c r="C259" t="s">
        <v>332</v>
      </c>
      <c r="D259" t="s">
        <v>168</v>
      </c>
      <c r="E259">
        <v>1.9153443064588101E-2</v>
      </c>
      <c r="F259">
        <v>1.91502983440139E-2</v>
      </c>
      <c r="G259">
        <v>2.2090267694899999E-2</v>
      </c>
      <c r="H259">
        <v>2.26950958904912E-2</v>
      </c>
      <c r="I259">
        <v>2.4445612524484201E-2</v>
      </c>
      <c r="J259">
        <v>2.5440380235682E-2</v>
      </c>
      <c r="K259">
        <v>2.5676089284231901E-2</v>
      </c>
      <c r="L259">
        <v>2.5706985053954402E-2</v>
      </c>
      <c r="M259">
        <v>2.5675944967264101E-2</v>
      </c>
      <c r="O259">
        <f t="shared" si="41"/>
        <v>0</v>
      </c>
      <c r="P259">
        <f t="shared" si="42"/>
        <v>0</v>
      </c>
      <c r="Q259">
        <f t="shared" si="43"/>
        <v>0</v>
      </c>
      <c r="R259">
        <f t="shared" si="44"/>
        <v>0</v>
      </c>
      <c r="S259">
        <f t="shared" si="45"/>
        <v>0</v>
      </c>
      <c r="T259">
        <f t="shared" si="46"/>
        <v>0</v>
      </c>
      <c r="U259">
        <f t="shared" si="47"/>
        <v>0</v>
      </c>
      <c r="V259">
        <f t="shared" si="48"/>
        <v>0</v>
      </c>
      <c r="W259">
        <f t="shared" si="49"/>
        <v>0</v>
      </c>
      <c r="X259">
        <f t="shared" si="50"/>
        <v>0</v>
      </c>
    </row>
    <row r="260" spans="1:24" hidden="1" x14ac:dyDescent="0.2">
      <c r="A260" t="s">
        <v>329</v>
      </c>
      <c r="B260" t="s">
        <v>275</v>
      </c>
      <c r="C260" t="s">
        <v>332</v>
      </c>
      <c r="D260" t="s">
        <v>154</v>
      </c>
      <c r="E260">
        <v>5.4570842404449904E-3</v>
      </c>
      <c r="F260">
        <v>5.2486432258605402E-3</v>
      </c>
      <c r="G260">
        <v>3.5906289436545098E-3</v>
      </c>
      <c r="H260">
        <v>3.08388077171356E-3</v>
      </c>
      <c r="I260">
        <v>2.9077590629193999E-3</v>
      </c>
      <c r="J260">
        <v>2.8227580222666701E-3</v>
      </c>
      <c r="K260">
        <v>2.7504160800125698E-3</v>
      </c>
      <c r="L260">
        <v>2.7344800570114798E-3</v>
      </c>
      <c r="M260">
        <v>2.7336583386878299E-3</v>
      </c>
      <c r="O260">
        <f t="shared" si="41"/>
        <v>0</v>
      </c>
      <c r="P260">
        <f t="shared" si="42"/>
        <v>0</v>
      </c>
      <c r="Q260">
        <f t="shared" si="43"/>
        <v>0</v>
      </c>
      <c r="R260">
        <f t="shared" si="44"/>
        <v>0</v>
      </c>
      <c r="S260">
        <f t="shared" si="45"/>
        <v>0</v>
      </c>
      <c r="T260">
        <f t="shared" si="46"/>
        <v>0</v>
      </c>
      <c r="U260">
        <f t="shared" si="47"/>
        <v>0</v>
      </c>
      <c r="V260">
        <f t="shared" si="48"/>
        <v>0</v>
      </c>
      <c r="W260">
        <f t="shared" si="49"/>
        <v>0</v>
      </c>
      <c r="X260">
        <f t="shared" si="50"/>
        <v>0</v>
      </c>
    </row>
    <row r="261" spans="1:24" hidden="1" x14ac:dyDescent="0.2">
      <c r="A261" t="s">
        <v>329</v>
      </c>
      <c r="B261" t="s">
        <v>275</v>
      </c>
      <c r="C261" t="s">
        <v>332</v>
      </c>
      <c r="D261" t="s">
        <v>166</v>
      </c>
      <c r="E261">
        <v>0.117913716501515</v>
      </c>
      <c r="F261">
        <v>0.119649340903695</v>
      </c>
      <c r="G261">
        <v>9.1186604194235701E-2</v>
      </c>
      <c r="H261">
        <v>8.4381087820456904E-2</v>
      </c>
      <c r="I261">
        <v>9.8638062869227605E-2</v>
      </c>
      <c r="J261">
        <v>0.114388040384416</v>
      </c>
      <c r="K261">
        <v>0.11968740793598</v>
      </c>
      <c r="L261">
        <v>0.12061554738703199</v>
      </c>
      <c r="M261">
        <v>0.121934177960836</v>
      </c>
      <c r="O261">
        <f t="shared" si="41"/>
        <v>0</v>
      </c>
      <c r="P261">
        <f t="shared" si="42"/>
        <v>0</v>
      </c>
      <c r="Q261">
        <f t="shared" si="43"/>
        <v>0</v>
      </c>
      <c r="R261">
        <f t="shared" si="44"/>
        <v>0</v>
      </c>
      <c r="S261">
        <f t="shared" si="45"/>
        <v>0</v>
      </c>
      <c r="T261">
        <f t="shared" si="46"/>
        <v>0</v>
      </c>
      <c r="U261">
        <f t="shared" si="47"/>
        <v>0</v>
      </c>
      <c r="V261">
        <f t="shared" si="48"/>
        <v>0</v>
      </c>
      <c r="W261">
        <f t="shared" si="49"/>
        <v>0</v>
      </c>
      <c r="X261">
        <f t="shared" si="50"/>
        <v>0</v>
      </c>
    </row>
    <row r="262" spans="1:24" x14ac:dyDescent="0.2">
      <c r="A262" t="s">
        <v>3040</v>
      </c>
      <c r="B262" t="s">
        <v>275</v>
      </c>
      <c r="C262" t="s">
        <v>69</v>
      </c>
      <c r="D262" t="s">
        <v>158</v>
      </c>
      <c r="E262">
        <v>9.4510282374974993E-3</v>
      </c>
      <c r="F262">
        <v>9.4510282374974993E-3</v>
      </c>
      <c r="G262">
        <v>9.4510125266560902E-3</v>
      </c>
      <c r="H262">
        <v>9.4510284224167199E-3</v>
      </c>
      <c r="I262">
        <v>9.4510120080224802E-3</v>
      </c>
      <c r="J262">
        <v>9.4510218218297193E-3</v>
      </c>
      <c r="K262">
        <v>9.4510103244617501E-3</v>
      </c>
      <c r="L262">
        <v>9.4510089054136992E-3</v>
      </c>
      <c r="M262">
        <v>9.4510089054136992E-3</v>
      </c>
      <c r="O262">
        <f t="shared" ref="O262:O325" si="51">IF(C262="DSL",$O$2,IF(C262="GSL",$O$1,IF(C262="CNG",$O$3,0)))</f>
        <v>0</v>
      </c>
      <c r="P262">
        <f t="shared" si="42"/>
        <v>0</v>
      </c>
      <c r="Q262">
        <f t="shared" si="43"/>
        <v>0</v>
      </c>
      <c r="R262">
        <f t="shared" si="44"/>
        <v>0</v>
      </c>
      <c r="S262">
        <f t="shared" si="45"/>
        <v>0</v>
      </c>
      <c r="T262">
        <f t="shared" si="46"/>
        <v>0</v>
      </c>
      <c r="U262">
        <f t="shared" si="47"/>
        <v>0</v>
      </c>
      <c r="V262">
        <f t="shared" si="48"/>
        <v>0</v>
      </c>
      <c r="W262">
        <f t="shared" si="49"/>
        <v>0</v>
      </c>
      <c r="X262">
        <f t="shared" si="50"/>
        <v>0</v>
      </c>
    </row>
    <row r="263" spans="1:24" hidden="1" x14ac:dyDescent="0.2">
      <c r="A263" t="s">
        <v>329</v>
      </c>
      <c r="B263" t="s">
        <v>275</v>
      </c>
      <c r="C263" t="s">
        <v>332</v>
      </c>
      <c r="D263" t="s">
        <v>156</v>
      </c>
      <c r="E263">
        <v>7.4958502178649106E-2</v>
      </c>
      <c r="F263">
        <v>7.4974450652183902E-2</v>
      </c>
      <c r="G263">
        <v>8.3100553062238305E-2</v>
      </c>
      <c r="H263">
        <v>8.2857974810835594E-2</v>
      </c>
      <c r="I263">
        <v>8.2640659736173794E-2</v>
      </c>
      <c r="J263">
        <v>8.2467203946447701E-2</v>
      </c>
      <c r="K263">
        <v>8.2214780047261696E-2</v>
      </c>
      <c r="L263">
        <v>8.2083053969556105E-2</v>
      </c>
      <c r="M263">
        <v>8.2064275936979694E-2</v>
      </c>
      <c r="O263">
        <f t="shared" si="51"/>
        <v>0</v>
      </c>
      <c r="P263">
        <f t="shared" si="42"/>
        <v>0</v>
      </c>
      <c r="Q263">
        <f t="shared" si="43"/>
        <v>0</v>
      </c>
      <c r="R263">
        <f t="shared" si="44"/>
        <v>0</v>
      </c>
      <c r="S263">
        <f t="shared" si="45"/>
        <v>0</v>
      </c>
      <c r="T263">
        <f t="shared" si="46"/>
        <v>0</v>
      </c>
      <c r="U263">
        <f t="shared" si="47"/>
        <v>0</v>
      </c>
      <c r="V263">
        <f t="shared" si="48"/>
        <v>0</v>
      </c>
      <c r="W263">
        <f t="shared" si="49"/>
        <v>0</v>
      </c>
      <c r="X263">
        <f t="shared" si="50"/>
        <v>0</v>
      </c>
    </row>
    <row r="264" spans="1:24" x14ac:dyDescent="0.2">
      <c r="A264" t="s">
        <v>3040</v>
      </c>
      <c r="B264" t="s">
        <v>276</v>
      </c>
      <c r="C264" t="s">
        <v>69</v>
      </c>
      <c r="D264" t="s">
        <v>158</v>
      </c>
      <c r="E264">
        <v>7.2571184818618403E-3</v>
      </c>
      <c r="F264">
        <v>7.2571184818618403E-3</v>
      </c>
      <c r="G264">
        <v>7.2571114316428102E-3</v>
      </c>
      <c r="H264">
        <v>7.2571137654529501E-3</v>
      </c>
      <c r="I264">
        <v>7.2571068307629499E-3</v>
      </c>
      <c r="J264">
        <v>7.2570974674633498E-3</v>
      </c>
      <c r="K264">
        <v>7.25710679204878E-3</v>
      </c>
      <c r="L264">
        <v>7.2571142164254898E-3</v>
      </c>
      <c r="M264">
        <v>7.2571142164254898E-3</v>
      </c>
      <c r="O264">
        <f t="shared" si="51"/>
        <v>0</v>
      </c>
      <c r="P264">
        <f t="shared" si="42"/>
        <v>0</v>
      </c>
      <c r="Q264">
        <f t="shared" si="43"/>
        <v>0</v>
      </c>
      <c r="R264">
        <f t="shared" si="44"/>
        <v>0</v>
      </c>
      <c r="S264">
        <f t="shared" si="45"/>
        <v>0</v>
      </c>
      <c r="T264">
        <f t="shared" si="46"/>
        <v>0</v>
      </c>
      <c r="U264">
        <f t="shared" si="47"/>
        <v>0</v>
      </c>
      <c r="V264">
        <f t="shared" si="48"/>
        <v>0</v>
      </c>
      <c r="W264">
        <f t="shared" si="49"/>
        <v>0</v>
      </c>
      <c r="X264">
        <f t="shared" si="50"/>
        <v>0</v>
      </c>
    </row>
    <row r="265" spans="1:24" hidden="1" x14ac:dyDescent="0.2">
      <c r="A265" t="s">
        <v>329</v>
      </c>
      <c r="B265" t="s">
        <v>276</v>
      </c>
      <c r="C265" t="s">
        <v>332</v>
      </c>
      <c r="D265" t="s">
        <v>160</v>
      </c>
      <c r="E265">
        <v>1.1910219714158099</v>
      </c>
      <c r="F265">
        <v>1.1265324190343899</v>
      </c>
      <c r="G265">
        <v>0.74886599065043602</v>
      </c>
      <c r="H265">
        <v>0.74804825604964897</v>
      </c>
      <c r="I265">
        <v>0.81330872269315202</v>
      </c>
      <c r="J265">
        <v>0.83543838280444405</v>
      </c>
      <c r="K265">
        <v>0.79453434098751696</v>
      </c>
      <c r="L265">
        <v>0.78061343598208</v>
      </c>
      <c r="M265">
        <v>0.77895501068168804</v>
      </c>
      <c r="O265">
        <f t="shared" si="51"/>
        <v>0</v>
      </c>
      <c r="P265">
        <f t="shared" si="42"/>
        <v>0</v>
      </c>
      <c r="Q265">
        <f t="shared" si="43"/>
        <v>0</v>
      </c>
      <c r="R265">
        <f t="shared" si="44"/>
        <v>0</v>
      </c>
      <c r="S265">
        <f t="shared" si="45"/>
        <v>0</v>
      </c>
      <c r="T265">
        <f t="shared" si="46"/>
        <v>0</v>
      </c>
      <c r="U265">
        <f t="shared" si="47"/>
        <v>0</v>
      </c>
      <c r="V265">
        <f t="shared" si="48"/>
        <v>0</v>
      </c>
      <c r="W265">
        <f t="shared" si="49"/>
        <v>0</v>
      </c>
      <c r="X265">
        <f t="shared" si="50"/>
        <v>0</v>
      </c>
    </row>
    <row r="266" spans="1:24" hidden="1" x14ac:dyDescent="0.2">
      <c r="A266" t="s">
        <v>329</v>
      </c>
      <c r="B266" t="s">
        <v>276</v>
      </c>
      <c r="C266" t="s">
        <v>332</v>
      </c>
      <c r="D266" t="s">
        <v>151</v>
      </c>
      <c r="E266">
        <v>5.3747556323400003E-2</v>
      </c>
      <c r="F266">
        <v>5.4729265367637198E-2</v>
      </c>
      <c r="G266">
        <v>4.0736099436149302E-2</v>
      </c>
      <c r="H266">
        <v>3.4394118079024698E-2</v>
      </c>
      <c r="I266">
        <v>3.71114329295111E-2</v>
      </c>
      <c r="J266">
        <v>3.6163842618907101E-2</v>
      </c>
      <c r="K266">
        <v>3.2567089196320599E-2</v>
      </c>
      <c r="L266">
        <v>3.1564173491991802E-2</v>
      </c>
      <c r="M266">
        <v>3.1468430420149698E-2</v>
      </c>
      <c r="O266">
        <f t="shared" si="51"/>
        <v>0</v>
      </c>
      <c r="P266">
        <f t="shared" si="42"/>
        <v>0</v>
      </c>
      <c r="Q266">
        <f t="shared" si="43"/>
        <v>0</v>
      </c>
      <c r="R266">
        <f t="shared" si="44"/>
        <v>0</v>
      </c>
      <c r="S266">
        <f t="shared" si="45"/>
        <v>0</v>
      </c>
      <c r="T266">
        <f t="shared" si="46"/>
        <v>0</v>
      </c>
      <c r="U266">
        <f t="shared" si="47"/>
        <v>0</v>
      </c>
      <c r="V266">
        <f t="shared" si="48"/>
        <v>0</v>
      </c>
      <c r="W266">
        <f t="shared" si="49"/>
        <v>0</v>
      </c>
      <c r="X266">
        <f t="shared" si="50"/>
        <v>0</v>
      </c>
    </row>
    <row r="267" spans="1:24" hidden="1" x14ac:dyDescent="0.2">
      <c r="A267" t="s">
        <v>329</v>
      </c>
      <c r="B267" t="s">
        <v>276</v>
      </c>
      <c r="C267" t="s">
        <v>332</v>
      </c>
      <c r="D267" t="s">
        <v>164</v>
      </c>
      <c r="E267">
        <v>1.60409139095034E-2</v>
      </c>
      <c r="F267">
        <v>1.5924704648058199E-2</v>
      </c>
      <c r="G267">
        <v>1.16950273494598E-2</v>
      </c>
      <c r="H267">
        <v>8.2822438870672095E-3</v>
      </c>
      <c r="I267">
        <v>7.0307826882193497E-3</v>
      </c>
      <c r="J267">
        <v>6.4879475513905998E-3</v>
      </c>
      <c r="K267">
        <v>6.1485590908948798E-3</v>
      </c>
      <c r="L267">
        <v>6.0790463378928902E-3</v>
      </c>
      <c r="M267">
        <v>6.0844184409489096E-3</v>
      </c>
      <c r="O267">
        <f t="shared" si="51"/>
        <v>0</v>
      </c>
      <c r="P267">
        <f t="shared" si="42"/>
        <v>0</v>
      </c>
      <c r="Q267">
        <f t="shared" si="43"/>
        <v>0</v>
      </c>
      <c r="R267">
        <f t="shared" si="44"/>
        <v>0</v>
      </c>
      <c r="S267">
        <f t="shared" si="45"/>
        <v>0</v>
      </c>
      <c r="T267">
        <f t="shared" si="46"/>
        <v>0</v>
      </c>
      <c r="U267">
        <f t="shared" si="47"/>
        <v>0</v>
      </c>
      <c r="V267">
        <f t="shared" si="48"/>
        <v>0</v>
      </c>
      <c r="W267">
        <f t="shared" si="49"/>
        <v>0</v>
      </c>
      <c r="X267">
        <f t="shared" si="50"/>
        <v>0</v>
      </c>
    </row>
    <row r="268" spans="1:24" hidden="1" x14ac:dyDescent="0.2">
      <c r="A268" t="s">
        <v>329</v>
      </c>
      <c r="B268" t="s">
        <v>276</v>
      </c>
      <c r="C268" t="s">
        <v>332</v>
      </c>
      <c r="D268" t="s">
        <v>162</v>
      </c>
      <c r="E268">
        <v>6.1721970923656203E-3</v>
      </c>
      <c r="F268">
        <v>6.3791813408697303E-3</v>
      </c>
      <c r="G268">
        <v>6.7267908921424197E-3</v>
      </c>
      <c r="H268">
        <v>6.9021513086678097E-3</v>
      </c>
      <c r="I268">
        <v>7.1837179318212097E-3</v>
      </c>
      <c r="J268">
        <v>7.4505452738335204E-3</v>
      </c>
      <c r="K268">
        <v>7.54186008424307E-3</v>
      </c>
      <c r="L268">
        <v>7.5596042868113804E-3</v>
      </c>
      <c r="M268">
        <v>7.5624795925818E-3</v>
      </c>
      <c r="O268">
        <f t="shared" si="51"/>
        <v>0</v>
      </c>
      <c r="P268">
        <f t="shared" si="42"/>
        <v>0</v>
      </c>
      <c r="Q268">
        <f t="shared" si="43"/>
        <v>0</v>
      </c>
      <c r="R268">
        <f t="shared" si="44"/>
        <v>0</v>
      </c>
      <c r="S268">
        <f t="shared" si="45"/>
        <v>0</v>
      </c>
      <c r="T268">
        <f t="shared" si="46"/>
        <v>0</v>
      </c>
      <c r="U268">
        <f t="shared" si="47"/>
        <v>0</v>
      </c>
      <c r="V268">
        <f t="shared" si="48"/>
        <v>0</v>
      </c>
      <c r="W268">
        <f t="shared" si="49"/>
        <v>0</v>
      </c>
      <c r="X268">
        <f t="shared" si="50"/>
        <v>0</v>
      </c>
    </row>
    <row r="269" spans="1:24" hidden="1" x14ac:dyDescent="0.2">
      <c r="A269" t="s">
        <v>329</v>
      </c>
      <c r="B269" t="s">
        <v>276</v>
      </c>
      <c r="C269" t="s">
        <v>332</v>
      </c>
      <c r="D269" t="s">
        <v>168</v>
      </c>
      <c r="E269">
        <v>1.8681575704715001E-2</v>
      </c>
      <c r="F269">
        <v>1.86733247366123E-2</v>
      </c>
      <c r="G269">
        <v>2.03650249754272E-2</v>
      </c>
      <c r="H269">
        <v>2.09252902655464E-2</v>
      </c>
      <c r="I269">
        <v>2.2541514779875201E-2</v>
      </c>
      <c r="J269">
        <v>2.3460719694956101E-2</v>
      </c>
      <c r="K269">
        <v>2.36785426247191E-2</v>
      </c>
      <c r="L269">
        <v>2.37069872659143E-2</v>
      </c>
      <c r="M269">
        <v>2.3678248009738501E-2</v>
      </c>
      <c r="O269">
        <f t="shared" si="51"/>
        <v>0</v>
      </c>
      <c r="P269">
        <f t="shared" si="42"/>
        <v>0</v>
      </c>
      <c r="Q269">
        <f t="shared" si="43"/>
        <v>0</v>
      </c>
      <c r="R269">
        <f t="shared" si="44"/>
        <v>0</v>
      </c>
      <c r="S269">
        <f t="shared" si="45"/>
        <v>0</v>
      </c>
      <c r="T269">
        <f t="shared" si="46"/>
        <v>0</v>
      </c>
      <c r="U269">
        <f t="shared" si="47"/>
        <v>0</v>
      </c>
      <c r="V269">
        <f t="shared" si="48"/>
        <v>0</v>
      </c>
      <c r="W269">
        <f t="shared" si="49"/>
        <v>0</v>
      </c>
      <c r="X269">
        <f t="shared" si="50"/>
        <v>0</v>
      </c>
    </row>
    <row r="270" spans="1:24" hidden="1" x14ac:dyDescent="0.2">
      <c r="A270" t="s">
        <v>329</v>
      </c>
      <c r="B270" t="s">
        <v>276</v>
      </c>
      <c r="C270" t="s">
        <v>332</v>
      </c>
      <c r="D270" t="s">
        <v>154</v>
      </c>
      <c r="E270">
        <v>5.0535404815937697E-3</v>
      </c>
      <c r="F270">
        <v>4.8763050693100196E-3</v>
      </c>
      <c r="G270">
        <v>3.1484381630317001E-3</v>
      </c>
      <c r="H270">
        <v>2.7029930270735599E-3</v>
      </c>
      <c r="I270">
        <v>2.54797837572206E-3</v>
      </c>
      <c r="J270">
        <v>2.4731341854872801E-3</v>
      </c>
      <c r="K270">
        <v>2.4096445331803899E-3</v>
      </c>
      <c r="L270">
        <v>2.39564994480926E-3</v>
      </c>
      <c r="M270">
        <v>2.3949103284468102E-3</v>
      </c>
      <c r="O270">
        <f t="shared" si="51"/>
        <v>0</v>
      </c>
      <c r="P270">
        <f t="shared" si="42"/>
        <v>0</v>
      </c>
      <c r="Q270">
        <f t="shared" si="43"/>
        <v>0</v>
      </c>
      <c r="R270">
        <f t="shared" si="44"/>
        <v>0</v>
      </c>
      <c r="S270">
        <f t="shared" si="45"/>
        <v>0</v>
      </c>
      <c r="T270">
        <f t="shared" si="46"/>
        <v>0</v>
      </c>
      <c r="U270">
        <f t="shared" si="47"/>
        <v>0</v>
      </c>
      <c r="V270">
        <f t="shared" si="48"/>
        <v>0</v>
      </c>
      <c r="W270">
        <f t="shared" si="49"/>
        <v>0</v>
      </c>
      <c r="X270">
        <f t="shared" si="50"/>
        <v>0</v>
      </c>
    </row>
    <row r="271" spans="1:24" hidden="1" x14ac:dyDescent="0.2">
      <c r="A271" t="s">
        <v>329</v>
      </c>
      <c r="B271" t="s">
        <v>276</v>
      </c>
      <c r="C271" t="s">
        <v>332</v>
      </c>
      <c r="D271" t="s">
        <v>166</v>
      </c>
      <c r="E271">
        <v>9.7609088955729506E-2</v>
      </c>
      <c r="F271">
        <v>9.8980330963683805E-2</v>
      </c>
      <c r="G271">
        <v>7.3368849567531105E-2</v>
      </c>
      <c r="H271">
        <v>6.7510199113592906E-2</v>
      </c>
      <c r="I271">
        <v>7.8879124233691103E-2</v>
      </c>
      <c r="J271">
        <v>9.1240733525453602E-2</v>
      </c>
      <c r="K271">
        <v>9.5261846266029404E-2</v>
      </c>
      <c r="L271">
        <v>9.5950573095679906E-2</v>
      </c>
      <c r="M271">
        <v>9.7007940818278807E-2</v>
      </c>
      <c r="O271">
        <f t="shared" si="51"/>
        <v>0</v>
      </c>
      <c r="P271">
        <f t="shared" si="42"/>
        <v>0</v>
      </c>
      <c r="Q271">
        <f t="shared" si="43"/>
        <v>0</v>
      </c>
      <c r="R271">
        <f t="shared" si="44"/>
        <v>0</v>
      </c>
      <c r="S271">
        <f t="shared" si="45"/>
        <v>0</v>
      </c>
      <c r="T271">
        <f t="shared" si="46"/>
        <v>0</v>
      </c>
      <c r="U271">
        <f t="shared" si="47"/>
        <v>0</v>
      </c>
      <c r="V271">
        <f t="shared" si="48"/>
        <v>0</v>
      </c>
      <c r="W271">
        <f t="shared" si="49"/>
        <v>0</v>
      </c>
      <c r="X271">
        <f t="shared" si="50"/>
        <v>0</v>
      </c>
    </row>
    <row r="272" spans="1:24" x14ac:dyDescent="0.2">
      <c r="A272" t="s">
        <v>3040</v>
      </c>
      <c r="B272" t="s">
        <v>277</v>
      </c>
      <c r="C272" t="s">
        <v>69</v>
      </c>
      <c r="D272" t="s">
        <v>158</v>
      </c>
      <c r="E272">
        <v>9.6092368235423907E-3</v>
      </c>
      <c r="F272">
        <v>9.6092368235423907E-3</v>
      </c>
      <c r="G272">
        <v>9.6092257463787894E-3</v>
      </c>
      <c r="H272">
        <v>9.6092345509158992E-3</v>
      </c>
      <c r="I272">
        <v>9.6092257298777996E-3</v>
      </c>
      <c r="J272">
        <v>9.6092389204882993E-3</v>
      </c>
      <c r="K272">
        <v>9.6092263841740799E-3</v>
      </c>
      <c r="L272">
        <v>9.6092238087385901E-3</v>
      </c>
      <c r="M272">
        <v>9.6092238087385901E-3</v>
      </c>
      <c r="O272">
        <f t="shared" si="51"/>
        <v>0</v>
      </c>
      <c r="P272">
        <f t="shared" si="42"/>
        <v>0</v>
      </c>
      <c r="Q272">
        <f t="shared" si="43"/>
        <v>0</v>
      </c>
      <c r="R272">
        <f t="shared" si="44"/>
        <v>0</v>
      </c>
      <c r="S272">
        <f t="shared" si="45"/>
        <v>0</v>
      </c>
      <c r="T272">
        <f t="shared" si="46"/>
        <v>0</v>
      </c>
      <c r="U272">
        <f t="shared" si="47"/>
        <v>0</v>
      </c>
      <c r="V272">
        <f t="shared" si="48"/>
        <v>0</v>
      </c>
      <c r="W272">
        <f t="shared" si="49"/>
        <v>0</v>
      </c>
      <c r="X272">
        <f t="shared" si="50"/>
        <v>0</v>
      </c>
    </row>
    <row r="273" spans="1:24" hidden="1" x14ac:dyDescent="0.2">
      <c r="A273" t="s">
        <v>329</v>
      </c>
      <c r="B273" t="s">
        <v>276</v>
      </c>
      <c r="C273" t="s">
        <v>332</v>
      </c>
      <c r="D273" t="s">
        <v>156</v>
      </c>
      <c r="E273">
        <v>6.1977837659696097E-2</v>
      </c>
      <c r="F273">
        <v>6.19964399161659E-2</v>
      </c>
      <c r="G273">
        <v>6.3320570721505001E-2</v>
      </c>
      <c r="H273">
        <v>6.3119607624916099E-2</v>
      </c>
      <c r="I273">
        <v>6.29444374677125E-2</v>
      </c>
      <c r="J273">
        <v>6.2801798607561105E-2</v>
      </c>
      <c r="K273">
        <v>6.2583638165060698E-2</v>
      </c>
      <c r="L273">
        <v>6.2469704604619501E-2</v>
      </c>
      <c r="M273">
        <v>6.2452851295117101E-2</v>
      </c>
      <c r="O273">
        <f t="shared" si="51"/>
        <v>0</v>
      </c>
      <c r="P273">
        <f t="shared" si="42"/>
        <v>0</v>
      </c>
      <c r="Q273">
        <f t="shared" si="43"/>
        <v>0</v>
      </c>
      <c r="R273">
        <f t="shared" si="44"/>
        <v>0</v>
      </c>
      <c r="S273">
        <f t="shared" si="45"/>
        <v>0</v>
      </c>
      <c r="T273">
        <f t="shared" si="46"/>
        <v>0</v>
      </c>
      <c r="U273">
        <f t="shared" si="47"/>
        <v>0</v>
      </c>
      <c r="V273">
        <f t="shared" si="48"/>
        <v>0</v>
      </c>
      <c r="W273">
        <f t="shared" si="49"/>
        <v>0</v>
      </c>
      <c r="X273">
        <f t="shared" si="50"/>
        <v>0</v>
      </c>
    </row>
    <row r="274" spans="1:24" x14ac:dyDescent="0.2">
      <c r="A274" t="s">
        <v>3040</v>
      </c>
      <c r="B274" t="s">
        <v>278</v>
      </c>
      <c r="C274" t="s">
        <v>69</v>
      </c>
      <c r="D274" t="s">
        <v>158</v>
      </c>
      <c r="E274">
        <v>5.96004040660905E-3</v>
      </c>
      <c r="F274">
        <v>5.96004040660905E-3</v>
      </c>
      <c r="G274">
        <v>5.9600396436599304E-3</v>
      </c>
      <c r="H274">
        <v>5.96003947288367E-3</v>
      </c>
      <c r="I274">
        <v>5.9600498988851601E-3</v>
      </c>
      <c r="J274">
        <v>5.9600370559725604E-3</v>
      </c>
      <c r="K274">
        <v>5.9600363216577501E-3</v>
      </c>
      <c r="L274">
        <v>5.9600544669343404E-3</v>
      </c>
      <c r="M274">
        <v>5.9600544669343404E-3</v>
      </c>
      <c r="O274">
        <f t="shared" si="51"/>
        <v>0</v>
      </c>
      <c r="P274">
        <f t="shared" si="42"/>
        <v>0</v>
      </c>
      <c r="Q274">
        <f t="shared" si="43"/>
        <v>0</v>
      </c>
      <c r="R274">
        <f t="shared" si="44"/>
        <v>0</v>
      </c>
      <c r="S274">
        <f t="shared" si="45"/>
        <v>0</v>
      </c>
      <c r="T274">
        <f t="shared" si="46"/>
        <v>0</v>
      </c>
      <c r="U274">
        <f t="shared" si="47"/>
        <v>0</v>
      </c>
      <c r="V274">
        <f t="shared" si="48"/>
        <v>0</v>
      </c>
      <c r="W274">
        <f t="shared" si="49"/>
        <v>0</v>
      </c>
      <c r="X274">
        <f t="shared" si="50"/>
        <v>0</v>
      </c>
    </row>
    <row r="275" spans="1:24" hidden="1" x14ac:dyDescent="0.2">
      <c r="A275" t="s">
        <v>329</v>
      </c>
      <c r="B275" t="s">
        <v>277</v>
      </c>
      <c r="C275" t="s">
        <v>332</v>
      </c>
      <c r="D275" t="s">
        <v>160</v>
      </c>
      <c r="E275">
        <v>1.32452586333012</v>
      </c>
      <c r="F275">
        <v>1.22375917385643</v>
      </c>
      <c r="G275">
        <v>0.74835788444038498</v>
      </c>
      <c r="H275">
        <v>0.75057912675558602</v>
      </c>
      <c r="I275">
        <v>0.81959270299044895</v>
      </c>
      <c r="J275">
        <v>0.84121016476562305</v>
      </c>
      <c r="K275">
        <v>0.79914702617751698</v>
      </c>
      <c r="L275">
        <v>0.78497088449743901</v>
      </c>
      <c r="M275">
        <v>0.78323426806562801</v>
      </c>
      <c r="O275">
        <f t="shared" si="51"/>
        <v>0</v>
      </c>
      <c r="P275">
        <f t="shared" si="42"/>
        <v>0</v>
      </c>
      <c r="Q275">
        <f t="shared" si="43"/>
        <v>0</v>
      </c>
      <c r="R275">
        <f t="shared" si="44"/>
        <v>0</v>
      </c>
      <c r="S275">
        <f t="shared" si="45"/>
        <v>0</v>
      </c>
      <c r="T275">
        <f t="shared" si="46"/>
        <v>0</v>
      </c>
      <c r="U275">
        <f t="shared" si="47"/>
        <v>0</v>
      </c>
      <c r="V275">
        <f t="shared" si="48"/>
        <v>0</v>
      </c>
      <c r="W275">
        <f t="shared" si="49"/>
        <v>0</v>
      </c>
      <c r="X275">
        <f t="shared" si="50"/>
        <v>0</v>
      </c>
    </row>
    <row r="276" spans="1:24" hidden="1" x14ac:dyDescent="0.2">
      <c r="A276" t="s">
        <v>329</v>
      </c>
      <c r="B276" t="s">
        <v>277</v>
      </c>
      <c r="C276" t="s">
        <v>332</v>
      </c>
      <c r="D276" t="s">
        <v>151</v>
      </c>
      <c r="E276">
        <v>5.0051381414727501E-2</v>
      </c>
      <c r="F276">
        <v>5.0043919675111501E-2</v>
      </c>
      <c r="G276">
        <v>3.7754588542698003E-2</v>
      </c>
      <c r="H276">
        <v>3.1767291013671199E-2</v>
      </c>
      <c r="I276">
        <v>3.4158653400985901E-2</v>
      </c>
      <c r="J276">
        <v>3.3210571212320801E-2</v>
      </c>
      <c r="K276">
        <v>2.98406655009953E-2</v>
      </c>
      <c r="L276">
        <v>2.89063210615754E-2</v>
      </c>
      <c r="M276">
        <v>2.88192993071235E-2</v>
      </c>
      <c r="O276">
        <f t="shared" si="51"/>
        <v>0</v>
      </c>
      <c r="P276">
        <f t="shared" si="42"/>
        <v>0</v>
      </c>
      <c r="Q276">
        <f t="shared" si="43"/>
        <v>0</v>
      </c>
      <c r="R276">
        <f t="shared" si="44"/>
        <v>0</v>
      </c>
      <c r="S276">
        <f t="shared" si="45"/>
        <v>0</v>
      </c>
      <c r="T276">
        <f t="shared" si="46"/>
        <v>0</v>
      </c>
      <c r="U276">
        <f t="shared" si="47"/>
        <v>0</v>
      </c>
      <c r="V276">
        <f t="shared" si="48"/>
        <v>0</v>
      </c>
      <c r="W276">
        <f t="shared" si="49"/>
        <v>0</v>
      </c>
      <c r="X276">
        <f t="shared" si="50"/>
        <v>0</v>
      </c>
    </row>
    <row r="277" spans="1:24" hidden="1" x14ac:dyDescent="0.2">
      <c r="A277" t="s">
        <v>329</v>
      </c>
      <c r="B277" t="s">
        <v>277</v>
      </c>
      <c r="C277" t="s">
        <v>332</v>
      </c>
      <c r="D277" t="s">
        <v>164</v>
      </c>
      <c r="E277">
        <v>1.6593240808477398E-2</v>
      </c>
      <c r="F277">
        <v>1.5894545074693098E-2</v>
      </c>
      <c r="G277">
        <v>1.1569669617344701E-2</v>
      </c>
      <c r="H277">
        <v>8.2727478360212197E-3</v>
      </c>
      <c r="I277">
        <v>7.0427622507882202E-3</v>
      </c>
      <c r="J277">
        <v>6.5068664703094399E-3</v>
      </c>
      <c r="K277">
        <v>6.17963462900919E-3</v>
      </c>
      <c r="L277">
        <v>6.1137612091331497E-3</v>
      </c>
      <c r="M277">
        <v>6.1195989241062598E-3</v>
      </c>
      <c r="O277">
        <f t="shared" si="51"/>
        <v>0</v>
      </c>
      <c r="P277">
        <f t="shared" si="42"/>
        <v>0</v>
      </c>
      <c r="Q277">
        <f t="shared" si="43"/>
        <v>0</v>
      </c>
      <c r="R277">
        <f t="shared" si="44"/>
        <v>0</v>
      </c>
      <c r="S277">
        <f t="shared" si="45"/>
        <v>0</v>
      </c>
      <c r="T277">
        <f t="shared" si="46"/>
        <v>0</v>
      </c>
      <c r="U277">
        <f t="shared" si="47"/>
        <v>0</v>
      </c>
      <c r="V277">
        <f t="shared" si="48"/>
        <v>0</v>
      </c>
      <c r="W277">
        <f t="shared" si="49"/>
        <v>0</v>
      </c>
      <c r="X277">
        <f t="shared" si="50"/>
        <v>0</v>
      </c>
    </row>
    <row r="278" spans="1:24" hidden="1" x14ac:dyDescent="0.2">
      <c r="A278" t="s">
        <v>329</v>
      </c>
      <c r="B278" t="s">
        <v>277</v>
      </c>
      <c r="C278" t="s">
        <v>332</v>
      </c>
      <c r="D278" t="s">
        <v>162</v>
      </c>
      <c r="E278">
        <v>7.9831578687343495E-3</v>
      </c>
      <c r="F278">
        <v>7.9833785759376996E-3</v>
      </c>
      <c r="G278">
        <v>7.1867023390275002E-3</v>
      </c>
      <c r="H278">
        <v>7.3475300700049E-3</v>
      </c>
      <c r="I278">
        <v>7.6071086190242099E-3</v>
      </c>
      <c r="J278">
        <v>7.8541356938495507E-3</v>
      </c>
      <c r="K278">
        <v>7.9388718243619903E-3</v>
      </c>
      <c r="L278">
        <v>7.9553643269450695E-3</v>
      </c>
      <c r="M278">
        <v>7.9580822778541893E-3</v>
      </c>
      <c r="O278">
        <f t="shared" si="51"/>
        <v>0</v>
      </c>
      <c r="P278">
        <f t="shared" si="42"/>
        <v>0</v>
      </c>
      <c r="Q278">
        <f t="shared" si="43"/>
        <v>0</v>
      </c>
      <c r="R278">
        <f t="shared" si="44"/>
        <v>0</v>
      </c>
      <c r="S278">
        <f t="shared" si="45"/>
        <v>0</v>
      </c>
      <c r="T278">
        <f t="shared" si="46"/>
        <v>0</v>
      </c>
      <c r="U278">
        <f t="shared" si="47"/>
        <v>0</v>
      </c>
      <c r="V278">
        <f t="shared" si="48"/>
        <v>0</v>
      </c>
      <c r="W278">
        <f t="shared" si="49"/>
        <v>0</v>
      </c>
      <c r="X278">
        <f t="shared" si="50"/>
        <v>0</v>
      </c>
    </row>
    <row r="279" spans="1:24" hidden="1" x14ac:dyDescent="0.2">
      <c r="A279" t="s">
        <v>329</v>
      </c>
      <c r="B279" t="s">
        <v>277</v>
      </c>
      <c r="C279" t="s">
        <v>332</v>
      </c>
      <c r="D279" t="s">
        <v>168</v>
      </c>
      <c r="E279">
        <v>2.4222750720040799E-2</v>
      </c>
      <c r="F279">
        <v>2.4221753748085498E-2</v>
      </c>
      <c r="G279">
        <v>2.2516523732868499E-2</v>
      </c>
      <c r="H279">
        <v>2.3127784398577499E-2</v>
      </c>
      <c r="I279">
        <v>2.49022068059821E-2</v>
      </c>
      <c r="J279">
        <v>2.5909903872266899E-2</v>
      </c>
      <c r="K279">
        <v>2.61491694003551E-2</v>
      </c>
      <c r="L279">
        <v>2.61804895683172E-2</v>
      </c>
      <c r="M279">
        <v>2.6149271936448001E-2</v>
      </c>
      <c r="O279">
        <f t="shared" si="51"/>
        <v>0</v>
      </c>
      <c r="P279">
        <f t="shared" si="42"/>
        <v>0</v>
      </c>
      <c r="Q279">
        <f t="shared" si="43"/>
        <v>0</v>
      </c>
      <c r="R279">
        <f t="shared" si="44"/>
        <v>0</v>
      </c>
      <c r="S279">
        <f t="shared" si="45"/>
        <v>0</v>
      </c>
      <c r="T279">
        <f t="shared" si="46"/>
        <v>0</v>
      </c>
      <c r="U279">
        <f t="shared" si="47"/>
        <v>0</v>
      </c>
      <c r="V279">
        <f t="shared" si="48"/>
        <v>0</v>
      </c>
      <c r="W279">
        <f t="shared" si="49"/>
        <v>0</v>
      </c>
      <c r="X279">
        <f t="shared" si="50"/>
        <v>0</v>
      </c>
    </row>
    <row r="280" spans="1:24" hidden="1" x14ac:dyDescent="0.2">
      <c r="A280" t="s">
        <v>329</v>
      </c>
      <c r="B280" t="s">
        <v>277</v>
      </c>
      <c r="C280" t="s">
        <v>332</v>
      </c>
      <c r="D280" t="s">
        <v>154</v>
      </c>
      <c r="E280">
        <v>6.8435278747445696E-3</v>
      </c>
      <c r="F280">
        <v>6.5642107254057199E-3</v>
      </c>
      <c r="G280">
        <v>3.6087484034786899E-3</v>
      </c>
      <c r="H280">
        <v>3.0950131835115E-3</v>
      </c>
      <c r="I280">
        <v>2.9143744578803499E-3</v>
      </c>
      <c r="J280">
        <v>2.8264724316664201E-3</v>
      </c>
      <c r="K280">
        <v>2.75307866973639E-3</v>
      </c>
      <c r="L280">
        <v>2.7369577535686601E-3</v>
      </c>
      <c r="M280">
        <v>2.7361493188550298E-3</v>
      </c>
      <c r="O280">
        <f t="shared" si="51"/>
        <v>0</v>
      </c>
      <c r="P280">
        <f t="shared" si="42"/>
        <v>0</v>
      </c>
      <c r="Q280">
        <f t="shared" si="43"/>
        <v>0</v>
      </c>
      <c r="R280">
        <f t="shared" si="44"/>
        <v>0</v>
      </c>
      <c r="S280">
        <f t="shared" si="45"/>
        <v>0</v>
      </c>
      <c r="T280">
        <f t="shared" si="46"/>
        <v>0</v>
      </c>
      <c r="U280">
        <f t="shared" si="47"/>
        <v>0</v>
      </c>
      <c r="V280">
        <f t="shared" si="48"/>
        <v>0</v>
      </c>
      <c r="W280">
        <f t="shared" si="49"/>
        <v>0</v>
      </c>
      <c r="X280">
        <f t="shared" si="50"/>
        <v>0</v>
      </c>
    </row>
    <row r="281" spans="1:24" hidden="1" x14ac:dyDescent="0.2">
      <c r="A281" t="s">
        <v>329</v>
      </c>
      <c r="B281" t="s">
        <v>277</v>
      </c>
      <c r="C281" t="s">
        <v>332</v>
      </c>
      <c r="D281" t="s">
        <v>166</v>
      </c>
      <c r="E281">
        <v>0.11546223915514101</v>
      </c>
      <c r="F281">
        <v>0.11311305212806499</v>
      </c>
      <c r="G281">
        <v>7.65279066693412E-2</v>
      </c>
      <c r="H281">
        <v>7.0727611063452503E-2</v>
      </c>
      <c r="I281">
        <v>8.2581189116489997E-2</v>
      </c>
      <c r="J281">
        <v>9.6085022960257699E-2</v>
      </c>
      <c r="K281">
        <v>0.100835100502492</v>
      </c>
      <c r="L281">
        <v>0.101699463667799</v>
      </c>
      <c r="M281">
        <v>0.102838135080632</v>
      </c>
      <c r="O281">
        <f t="shared" si="51"/>
        <v>0</v>
      </c>
      <c r="P281">
        <f t="shared" si="42"/>
        <v>0</v>
      </c>
      <c r="Q281">
        <f t="shared" si="43"/>
        <v>0</v>
      </c>
      <c r="R281">
        <f t="shared" si="44"/>
        <v>0</v>
      </c>
      <c r="S281">
        <f t="shared" si="45"/>
        <v>0</v>
      </c>
      <c r="T281">
        <f t="shared" si="46"/>
        <v>0</v>
      </c>
      <c r="U281">
        <f t="shared" si="47"/>
        <v>0</v>
      </c>
      <c r="V281">
        <f t="shared" si="48"/>
        <v>0</v>
      </c>
      <c r="W281">
        <f t="shared" si="49"/>
        <v>0</v>
      </c>
      <c r="X281">
        <f t="shared" si="50"/>
        <v>0</v>
      </c>
    </row>
    <row r="282" spans="1:24" x14ac:dyDescent="0.2">
      <c r="A282" t="s">
        <v>3040</v>
      </c>
      <c r="B282" t="s">
        <v>279</v>
      </c>
      <c r="C282" t="s">
        <v>69</v>
      </c>
      <c r="D282" t="s">
        <v>158</v>
      </c>
      <c r="E282">
        <v>6.66074097322524E-3</v>
      </c>
      <c r="F282">
        <v>6.66074097322524E-3</v>
      </c>
      <c r="G282">
        <v>6.6607335748389796E-3</v>
      </c>
      <c r="H282">
        <v>6.6607277974443701E-3</v>
      </c>
      <c r="I282">
        <v>6.6607270180681398E-3</v>
      </c>
      <c r="J282">
        <v>6.6607268966739396E-3</v>
      </c>
      <c r="K282">
        <v>6.6607294451310698E-3</v>
      </c>
      <c r="L282">
        <v>6.6607268071052902E-3</v>
      </c>
      <c r="M282">
        <v>6.6607268071052902E-3</v>
      </c>
      <c r="O282">
        <f t="shared" si="51"/>
        <v>0</v>
      </c>
      <c r="P282">
        <f t="shared" si="42"/>
        <v>0</v>
      </c>
      <c r="Q282">
        <f t="shared" si="43"/>
        <v>0</v>
      </c>
      <c r="R282">
        <f t="shared" si="44"/>
        <v>0</v>
      </c>
      <c r="S282">
        <f t="shared" si="45"/>
        <v>0</v>
      </c>
      <c r="T282">
        <f t="shared" si="46"/>
        <v>0</v>
      </c>
      <c r="U282">
        <f t="shared" si="47"/>
        <v>0</v>
      </c>
      <c r="V282">
        <f t="shared" si="48"/>
        <v>0</v>
      </c>
      <c r="W282">
        <f t="shared" si="49"/>
        <v>0</v>
      </c>
      <c r="X282">
        <f t="shared" si="50"/>
        <v>0</v>
      </c>
    </row>
    <row r="283" spans="1:24" hidden="1" x14ac:dyDescent="0.2">
      <c r="A283" t="s">
        <v>329</v>
      </c>
      <c r="B283" t="s">
        <v>277</v>
      </c>
      <c r="C283" t="s">
        <v>332</v>
      </c>
      <c r="D283" t="s">
        <v>156</v>
      </c>
      <c r="E283">
        <v>0.103915945188398</v>
      </c>
      <c r="F283">
        <v>0.103915848031505</v>
      </c>
      <c r="G283">
        <v>8.4650150549112596E-2</v>
      </c>
      <c r="H283">
        <v>8.4399803010986804E-2</v>
      </c>
      <c r="I283">
        <v>8.4160493061109204E-2</v>
      </c>
      <c r="J283">
        <v>8.3975997394425794E-2</v>
      </c>
      <c r="K283">
        <v>8.3738807859653194E-2</v>
      </c>
      <c r="L283">
        <v>8.3617696234531205E-2</v>
      </c>
      <c r="M283">
        <v>8.3601937164243995E-2</v>
      </c>
      <c r="O283">
        <f t="shared" si="51"/>
        <v>0</v>
      </c>
      <c r="P283">
        <f t="shared" si="42"/>
        <v>0</v>
      </c>
      <c r="Q283">
        <f t="shared" si="43"/>
        <v>0</v>
      </c>
      <c r="R283">
        <f t="shared" si="44"/>
        <v>0</v>
      </c>
      <c r="S283">
        <f t="shared" si="45"/>
        <v>0</v>
      </c>
      <c r="T283">
        <f t="shared" si="46"/>
        <v>0</v>
      </c>
      <c r="U283">
        <f t="shared" si="47"/>
        <v>0</v>
      </c>
      <c r="V283">
        <f t="shared" si="48"/>
        <v>0</v>
      </c>
      <c r="W283">
        <f t="shared" si="49"/>
        <v>0</v>
      </c>
      <c r="X283">
        <f t="shared" si="50"/>
        <v>0</v>
      </c>
    </row>
    <row r="284" spans="1:24" x14ac:dyDescent="0.2">
      <c r="A284" t="s">
        <v>3040</v>
      </c>
      <c r="B284" t="s">
        <v>275</v>
      </c>
      <c r="C284" t="s">
        <v>474</v>
      </c>
      <c r="D284" t="s">
        <v>158</v>
      </c>
      <c r="E284">
        <v>2.1998193760633E-2</v>
      </c>
      <c r="F284">
        <v>1.6997575378008601E-2</v>
      </c>
      <c r="G284">
        <v>1.6580879412419602E-2</v>
      </c>
      <c r="H284">
        <v>1.5040645169031801E-2</v>
      </c>
      <c r="I284">
        <v>1.35799610150696E-2</v>
      </c>
      <c r="J284">
        <v>1.24120667817219E-2</v>
      </c>
      <c r="K284">
        <v>1.16845073314224E-2</v>
      </c>
      <c r="L284">
        <v>1.1318096390010799E-2</v>
      </c>
      <c r="M284">
        <v>1.1109456757731499E-2</v>
      </c>
      <c r="O284">
        <f t="shared" si="51"/>
        <v>67.2</v>
      </c>
      <c r="P284">
        <f t="shared" ref="P284:P347" si="52">IF($D284="CO2",$O284/E284, 0)</f>
        <v>0</v>
      </c>
      <c r="Q284">
        <f t="shared" ref="Q284:Q347" si="53">IF($D284="CO2",$O284/F284, 0)</f>
        <v>0</v>
      </c>
      <c r="R284">
        <f t="shared" ref="R284:R347" si="54">IF($D284="CO2",$O284/G284, 0)</f>
        <v>0</v>
      </c>
      <c r="S284">
        <f t="shared" ref="S284:S347" si="55">IF($D284="CO2",$O284/H284, 0)</f>
        <v>0</v>
      </c>
      <c r="T284">
        <f t="shared" ref="T284:T347" si="56">IF($D284="CO2",$O284/I284, 0)</f>
        <v>0</v>
      </c>
      <c r="U284">
        <f t="shared" ref="U284:U347" si="57">IF($D284="CO2",$O284/J284, 0)</f>
        <v>0</v>
      </c>
      <c r="V284">
        <f t="shared" ref="V284:V347" si="58">IF($D284="CO2",$O284/K284, 0)</f>
        <v>0</v>
      </c>
      <c r="W284">
        <f t="shared" ref="W284:W347" si="59">IF($D284="CO2",$O284/L284, 0)</f>
        <v>0</v>
      </c>
      <c r="X284">
        <f t="shared" ref="X284:X347" si="60">IF($D284="CO2",$O284/M284, 0)</f>
        <v>0</v>
      </c>
    </row>
    <row r="285" spans="1:24" hidden="1" x14ac:dyDescent="0.2">
      <c r="A285" t="s">
        <v>329</v>
      </c>
      <c r="B285" t="s">
        <v>278</v>
      </c>
      <c r="C285" t="s">
        <v>332</v>
      </c>
      <c r="D285" t="s">
        <v>160</v>
      </c>
      <c r="E285">
        <v>1.5223939848433501</v>
      </c>
      <c r="F285">
        <v>1.4268996671673499</v>
      </c>
      <c r="G285">
        <v>0.94290574919654002</v>
      </c>
      <c r="H285">
        <v>0.94494255145552597</v>
      </c>
      <c r="I285">
        <v>1.02989310320508</v>
      </c>
      <c r="J285">
        <v>1.0640775159295499</v>
      </c>
      <c r="K285">
        <v>1.0153346676524699</v>
      </c>
      <c r="L285">
        <v>0.99842871549713996</v>
      </c>
      <c r="M285">
        <v>0.99631104661760195</v>
      </c>
      <c r="O285">
        <f t="shared" si="51"/>
        <v>0</v>
      </c>
      <c r="P285">
        <f t="shared" si="52"/>
        <v>0</v>
      </c>
      <c r="Q285">
        <f t="shared" si="53"/>
        <v>0</v>
      </c>
      <c r="R285">
        <f t="shared" si="54"/>
        <v>0</v>
      </c>
      <c r="S285">
        <f t="shared" si="55"/>
        <v>0</v>
      </c>
      <c r="T285">
        <f t="shared" si="56"/>
        <v>0</v>
      </c>
      <c r="U285">
        <f t="shared" si="57"/>
        <v>0</v>
      </c>
      <c r="V285">
        <f t="shared" si="58"/>
        <v>0</v>
      </c>
      <c r="W285">
        <f t="shared" si="59"/>
        <v>0</v>
      </c>
      <c r="X285">
        <f t="shared" si="60"/>
        <v>0</v>
      </c>
    </row>
    <row r="286" spans="1:24" hidden="1" x14ac:dyDescent="0.2">
      <c r="A286" t="s">
        <v>329</v>
      </c>
      <c r="B286" t="s">
        <v>278</v>
      </c>
      <c r="C286" t="s">
        <v>332</v>
      </c>
      <c r="D286" t="s">
        <v>151</v>
      </c>
      <c r="E286">
        <v>6.5070071642395699E-2</v>
      </c>
      <c r="F286">
        <v>6.6211903874890093E-2</v>
      </c>
      <c r="G286">
        <v>5.1863875747334198E-2</v>
      </c>
      <c r="H286">
        <v>4.5366052582126802E-2</v>
      </c>
      <c r="I286">
        <v>4.9846393307722697E-2</v>
      </c>
      <c r="J286">
        <v>4.9583527777105597E-2</v>
      </c>
      <c r="K286">
        <v>4.5477513948190398E-2</v>
      </c>
      <c r="L286">
        <v>4.42992823821583E-2</v>
      </c>
      <c r="M286">
        <v>4.41738160487503E-2</v>
      </c>
      <c r="O286">
        <f t="shared" si="51"/>
        <v>0</v>
      </c>
      <c r="P286">
        <f t="shared" si="52"/>
        <v>0</v>
      </c>
      <c r="Q286">
        <f t="shared" si="53"/>
        <v>0</v>
      </c>
      <c r="R286">
        <f t="shared" si="54"/>
        <v>0</v>
      </c>
      <c r="S286">
        <f t="shared" si="55"/>
        <v>0</v>
      </c>
      <c r="T286">
        <f t="shared" si="56"/>
        <v>0</v>
      </c>
      <c r="U286">
        <f t="shared" si="57"/>
        <v>0</v>
      </c>
      <c r="V286">
        <f t="shared" si="58"/>
        <v>0</v>
      </c>
      <c r="W286">
        <f t="shared" si="59"/>
        <v>0</v>
      </c>
      <c r="X286">
        <f t="shared" si="60"/>
        <v>0</v>
      </c>
    </row>
    <row r="287" spans="1:24" hidden="1" x14ac:dyDescent="0.2">
      <c r="A287" t="s">
        <v>329</v>
      </c>
      <c r="B287" t="s">
        <v>278</v>
      </c>
      <c r="C287" t="s">
        <v>332</v>
      </c>
      <c r="D287" t="s">
        <v>164</v>
      </c>
      <c r="E287">
        <v>2.2325565052594198E-2</v>
      </c>
      <c r="F287">
        <v>2.20299843395125E-2</v>
      </c>
      <c r="G287">
        <v>1.6292630733618099E-2</v>
      </c>
      <c r="H287">
        <v>1.1713181970577901E-2</v>
      </c>
      <c r="I287">
        <v>9.9658271383668996E-3</v>
      </c>
      <c r="J287">
        <v>9.2161483649784107E-3</v>
      </c>
      <c r="K287">
        <v>8.7565614877693695E-3</v>
      </c>
      <c r="L287">
        <v>8.6642177128347202E-3</v>
      </c>
      <c r="M287">
        <v>8.6730560628641099E-3</v>
      </c>
      <c r="O287">
        <f t="shared" si="51"/>
        <v>0</v>
      </c>
      <c r="P287">
        <f t="shared" si="52"/>
        <v>0</v>
      </c>
      <c r="Q287">
        <f t="shared" si="53"/>
        <v>0</v>
      </c>
      <c r="R287">
        <f t="shared" si="54"/>
        <v>0</v>
      </c>
      <c r="S287">
        <f t="shared" si="55"/>
        <v>0</v>
      </c>
      <c r="T287">
        <f t="shared" si="56"/>
        <v>0</v>
      </c>
      <c r="U287">
        <f t="shared" si="57"/>
        <v>0</v>
      </c>
      <c r="V287">
        <f t="shared" si="58"/>
        <v>0</v>
      </c>
      <c r="W287">
        <f t="shared" si="59"/>
        <v>0</v>
      </c>
      <c r="X287">
        <f t="shared" si="60"/>
        <v>0</v>
      </c>
    </row>
    <row r="288" spans="1:24" hidden="1" x14ac:dyDescent="0.2">
      <c r="A288" t="s">
        <v>329</v>
      </c>
      <c r="B288" t="s">
        <v>278</v>
      </c>
      <c r="C288" t="s">
        <v>332</v>
      </c>
      <c r="D288" t="s">
        <v>162</v>
      </c>
      <c r="E288">
        <v>9.0586882707298401E-3</v>
      </c>
      <c r="F288">
        <v>9.2974821110538008E-3</v>
      </c>
      <c r="G288">
        <v>8.5376516602025301E-3</v>
      </c>
      <c r="H288">
        <v>8.8120873372951897E-3</v>
      </c>
      <c r="I288">
        <v>9.2578495151069608E-3</v>
      </c>
      <c r="J288">
        <v>9.6786848177617194E-3</v>
      </c>
      <c r="K288">
        <v>9.8205638480490798E-3</v>
      </c>
      <c r="L288">
        <v>9.8479961858985304E-3</v>
      </c>
      <c r="M288">
        <v>9.8513777200476792E-3</v>
      </c>
      <c r="O288">
        <f t="shared" si="51"/>
        <v>0</v>
      </c>
      <c r="P288">
        <f t="shared" si="52"/>
        <v>0</v>
      </c>
      <c r="Q288">
        <f t="shared" si="53"/>
        <v>0</v>
      </c>
      <c r="R288">
        <f t="shared" si="54"/>
        <v>0</v>
      </c>
      <c r="S288">
        <f t="shared" si="55"/>
        <v>0</v>
      </c>
      <c r="T288">
        <f t="shared" si="56"/>
        <v>0</v>
      </c>
      <c r="U288">
        <f t="shared" si="57"/>
        <v>0</v>
      </c>
      <c r="V288">
        <f t="shared" si="58"/>
        <v>0</v>
      </c>
      <c r="W288">
        <f t="shared" si="59"/>
        <v>0</v>
      </c>
      <c r="X288">
        <f t="shared" si="60"/>
        <v>0</v>
      </c>
    </row>
    <row r="289" spans="1:24" hidden="1" x14ac:dyDescent="0.2">
      <c r="A289" t="s">
        <v>329</v>
      </c>
      <c r="B289" t="s">
        <v>278</v>
      </c>
      <c r="C289" t="s">
        <v>332</v>
      </c>
      <c r="D289" t="s">
        <v>168</v>
      </c>
      <c r="E289">
        <v>1.92063217027383E-2</v>
      </c>
      <c r="F289">
        <v>1.9204994996675301E-2</v>
      </c>
      <c r="G289">
        <v>1.86090522516358E-2</v>
      </c>
      <c r="H289">
        <v>1.91352078488972E-2</v>
      </c>
      <c r="I289">
        <v>2.0651541871577399E-2</v>
      </c>
      <c r="J289">
        <v>2.15136096654584E-2</v>
      </c>
      <c r="K289">
        <v>2.17149616252163E-2</v>
      </c>
      <c r="L289">
        <v>2.1741453463528501E-2</v>
      </c>
      <c r="M289">
        <v>2.1713862107177E-2</v>
      </c>
      <c r="O289">
        <f t="shared" si="51"/>
        <v>0</v>
      </c>
      <c r="P289">
        <f t="shared" si="52"/>
        <v>0</v>
      </c>
      <c r="Q289">
        <f t="shared" si="53"/>
        <v>0</v>
      </c>
      <c r="R289">
        <f t="shared" si="54"/>
        <v>0</v>
      </c>
      <c r="S289">
        <f t="shared" si="55"/>
        <v>0</v>
      </c>
      <c r="T289">
        <f t="shared" si="56"/>
        <v>0</v>
      </c>
      <c r="U289">
        <f t="shared" si="57"/>
        <v>0</v>
      </c>
      <c r="V289">
        <f t="shared" si="58"/>
        <v>0</v>
      </c>
      <c r="W289">
        <f t="shared" si="59"/>
        <v>0</v>
      </c>
      <c r="X289">
        <f t="shared" si="60"/>
        <v>0</v>
      </c>
    </row>
    <row r="290" spans="1:24" hidden="1" x14ac:dyDescent="0.2">
      <c r="A290" t="s">
        <v>329</v>
      </c>
      <c r="B290" t="s">
        <v>278</v>
      </c>
      <c r="C290" t="s">
        <v>332</v>
      </c>
      <c r="D290" t="s">
        <v>154</v>
      </c>
      <c r="E290">
        <v>5.4335514145956399E-3</v>
      </c>
      <c r="F290">
        <v>5.2137669969820801E-3</v>
      </c>
      <c r="G290">
        <v>2.8970415804571402E-3</v>
      </c>
      <c r="H290">
        <v>2.4969562579167199E-3</v>
      </c>
      <c r="I290">
        <v>2.36191592668091E-3</v>
      </c>
      <c r="J290">
        <v>2.29661988656448E-3</v>
      </c>
      <c r="K290">
        <v>2.2381078452845299E-3</v>
      </c>
      <c r="L290">
        <v>2.2252112807154699E-3</v>
      </c>
      <c r="M290">
        <v>2.2244656675415799E-3</v>
      </c>
      <c r="O290">
        <f t="shared" si="51"/>
        <v>0</v>
      </c>
      <c r="P290">
        <f t="shared" si="52"/>
        <v>0</v>
      </c>
      <c r="Q290">
        <f t="shared" si="53"/>
        <v>0</v>
      </c>
      <c r="R290">
        <f t="shared" si="54"/>
        <v>0</v>
      </c>
      <c r="S290">
        <f t="shared" si="55"/>
        <v>0</v>
      </c>
      <c r="T290">
        <f t="shared" si="56"/>
        <v>0</v>
      </c>
      <c r="U290">
        <f t="shared" si="57"/>
        <v>0</v>
      </c>
      <c r="V290">
        <f t="shared" si="58"/>
        <v>0</v>
      </c>
      <c r="W290">
        <f t="shared" si="59"/>
        <v>0</v>
      </c>
      <c r="X290">
        <f t="shared" si="60"/>
        <v>0</v>
      </c>
    </row>
    <row r="291" spans="1:24" hidden="1" x14ac:dyDescent="0.2">
      <c r="A291" t="s">
        <v>329</v>
      </c>
      <c r="B291" t="s">
        <v>278</v>
      </c>
      <c r="C291" t="s">
        <v>332</v>
      </c>
      <c r="D291" t="s">
        <v>166</v>
      </c>
      <c r="E291">
        <v>0.14395839876809899</v>
      </c>
      <c r="F291">
        <v>0.144953170601543</v>
      </c>
      <c r="G291">
        <v>9.6244794241751905E-2</v>
      </c>
      <c r="H291">
        <v>8.8784800425833005E-2</v>
      </c>
      <c r="I291">
        <v>0.104353382711356</v>
      </c>
      <c r="J291">
        <v>0.12039203367489699</v>
      </c>
      <c r="K291">
        <v>0.125068077746918</v>
      </c>
      <c r="L291">
        <v>0.12578930788384601</v>
      </c>
      <c r="M291">
        <v>0.12704171390642099</v>
      </c>
      <c r="O291">
        <f t="shared" si="51"/>
        <v>0</v>
      </c>
      <c r="P291">
        <f t="shared" si="52"/>
        <v>0</v>
      </c>
      <c r="Q291">
        <f t="shared" si="53"/>
        <v>0</v>
      </c>
      <c r="R291">
        <f t="shared" si="54"/>
        <v>0</v>
      </c>
      <c r="S291">
        <f t="shared" si="55"/>
        <v>0</v>
      </c>
      <c r="T291">
        <f t="shared" si="56"/>
        <v>0</v>
      </c>
      <c r="U291">
        <f t="shared" si="57"/>
        <v>0</v>
      </c>
      <c r="V291">
        <f t="shared" si="58"/>
        <v>0</v>
      </c>
      <c r="W291">
        <f t="shared" si="59"/>
        <v>0</v>
      </c>
      <c r="X291">
        <f t="shared" si="60"/>
        <v>0</v>
      </c>
    </row>
    <row r="292" spans="1:24" x14ac:dyDescent="0.2">
      <c r="A292" t="s">
        <v>3040</v>
      </c>
      <c r="B292" t="s">
        <v>276</v>
      </c>
      <c r="C292" t="s">
        <v>474</v>
      </c>
      <c r="D292" t="s">
        <v>158</v>
      </c>
      <c r="E292">
        <v>1.8324822567621701E-2</v>
      </c>
      <c r="F292">
        <v>1.4272294035055699E-2</v>
      </c>
      <c r="G292">
        <v>1.3165752481838801E-2</v>
      </c>
      <c r="H292">
        <v>1.1917194849656599E-2</v>
      </c>
      <c r="I292">
        <v>1.0700861948252101E-2</v>
      </c>
      <c r="J292">
        <v>9.7453521893521699E-3</v>
      </c>
      <c r="K292">
        <v>9.1351470976244707E-3</v>
      </c>
      <c r="L292">
        <v>8.8293874131557606E-3</v>
      </c>
      <c r="M292">
        <v>8.6558174466142106E-3</v>
      </c>
      <c r="O292">
        <f t="shared" si="51"/>
        <v>67.2</v>
      </c>
      <c r="P292">
        <f t="shared" si="52"/>
        <v>0</v>
      </c>
      <c r="Q292">
        <f t="shared" si="53"/>
        <v>0</v>
      </c>
      <c r="R292">
        <f t="shared" si="54"/>
        <v>0</v>
      </c>
      <c r="S292">
        <f t="shared" si="55"/>
        <v>0</v>
      </c>
      <c r="T292">
        <f t="shared" si="56"/>
        <v>0</v>
      </c>
      <c r="U292">
        <f t="shared" si="57"/>
        <v>0</v>
      </c>
      <c r="V292">
        <f t="shared" si="58"/>
        <v>0</v>
      </c>
      <c r="W292">
        <f t="shared" si="59"/>
        <v>0</v>
      </c>
      <c r="X292">
        <f t="shared" si="60"/>
        <v>0</v>
      </c>
    </row>
    <row r="293" spans="1:24" hidden="1" x14ac:dyDescent="0.2">
      <c r="A293" t="s">
        <v>329</v>
      </c>
      <c r="B293" t="s">
        <v>278</v>
      </c>
      <c r="C293" t="s">
        <v>332</v>
      </c>
      <c r="D293" t="s">
        <v>156</v>
      </c>
      <c r="E293">
        <v>7.14466536732664E-2</v>
      </c>
      <c r="F293">
        <v>7.1456389664899006E-2</v>
      </c>
      <c r="G293">
        <v>5.1441354234847997E-2</v>
      </c>
      <c r="H293">
        <v>5.12786263548397E-2</v>
      </c>
      <c r="I293">
        <v>5.1173305532161401E-2</v>
      </c>
      <c r="J293">
        <v>5.1067297953886502E-2</v>
      </c>
      <c r="K293">
        <v>5.0833891507281501E-2</v>
      </c>
      <c r="L293">
        <v>5.0706164254834603E-2</v>
      </c>
      <c r="M293">
        <v>5.06845418379131E-2</v>
      </c>
      <c r="O293">
        <f t="shared" si="51"/>
        <v>0</v>
      </c>
      <c r="P293">
        <f t="shared" si="52"/>
        <v>0</v>
      </c>
      <c r="Q293">
        <f t="shared" si="53"/>
        <v>0</v>
      </c>
      <c r="R293">
        <f t="shared" si="54"/>
        <v>0</v>
      </c>
      <c r="S293">
        <f t="shared" si="55"/>
        <v>0</v>
      </c>
      <c r="T293">
        <f t="shared" si="56"/>
        <v>0</v>
      </c>
      <c r="U293">
        <f t="shared" si="57"/>
        <v>0</v>
      </c>
      <c r="V293">
        <f t="shared" si="58"/>
        <v>0</v>
      </c>
      <c r="W293">
        <f t="shared" si="59"/>
        <v>0</v>
      </c>
      <c r="X293">
        <f t="shared" si="60"/>
        <v>0</v>
      </c>
    </row>
    <row r="294" spans="1:24" x14ac:dyDescent="0.2">
      <c r="A294" t="s">
        <v>3040</v>
      </c>
      <c r="B294" t="s">
        <v>277</v>
      </c>
      <c r="C294" t="s">
        <v>474</v>
      </c>
      <c r="D294" t="s">
        <v>158</v>
      </c>
      <c r="E294">
        <v>2.93140110896879E-2</v>
      </c>
      <c r="F294">
        <v>2.15603319614842E-2</v>
      </c>
      <c r="G294">
        <v>1.61359542510712E-2</v>
      </c>
      <c r="H294">
        <v>1.4781439172223E-2</v>
      </c>
      <c r="I294">
        <v>1.3413837806436801E-2</v>
      </c>
      <c r="J294">
        <v>1.2354573478352299E-2</v>
      </c>
      <c r="K294">
        <v>1.16820653404197E-2</v>
      </c>
      <c r="L294">
        <v>1.13463459698093E-2</v>
      </c>
      <c r="M294">
        <v>1.1157149268450401E-2</v>
      </c>
      <c r="O294">
        <f t="shared" si="51"/>
        <v>67.2</v>
      </c>
      <c r="P294">
        <f t="shared" si="52"/>
        <v>0</v>
      </c>
      <c r="Q294">
        <f t="shared" si="53"/>
        <v>0</v>
      </c>
      <c r="R294">
        <f t="shared" si="54"/>
        <v>0</v>
      </c>
      <c r="S294">
        <f t="shared" si="55"/>
        <v>0</v>
      </c>
      <c r="T294">
        <f t="shared" si="56"/>
        <v>0</v>
      </c>
      <c r="U294">
        <f t="shared" si="57"/>
        <v>0</v>
      </c>
      <c r="V294">
        <f t="shared" si="58"/>
        <v>0</v>
      </c>
      <c r="W294">
        <f t="shared" si="59"/>
        <v>0</v>
      </c>
      <c r="X294">
        <f t="shared" si="60"/>
        <v>0</v>
      </c>
    </row>
    <row r="295" spans="1:24" hidden="1" x14ac:dyDescent="0.2">
      <c r="A295" t="s">
        <v>329</v>
      </c>
      <c r="B295" t="s">
        <v>279</v>
      </c>
      <c r="C295" t="s">
        <v>332</v>
      </c>
      <c r="D295" t="s">
        <v>160</v>
      </c>
      <c r="E295">
        <v>1.3832058816653101</v>
      </c>
      <c r="F295">
        <v>1.3178701180315799</v>
      </c>
      <c r="G295">
        <v>0.85914982702097598</v>
      </c>
      <c r="H295">
        <v>0.859345938219368</v>
      </c>
      <c r="I295">
        <v>0.93205630413901297</v>
      </c>
      <c r="J295">
        <v>0.96057198569496804</v>
      </c>
      <c r="K295">
        <v>0.91738560478669096</v>
      </c>
      <c r="L295">
        <v>0.90207767267136396</v>
      </c>
      <c r="M295">
        <v>0.90048302936686297</v>
      </c>
      <c r="O295">
        <f t="shared" si="51"/>
        <v>0</v>
      </c>
      <c r="P295">
        <f t="shared" si="52"/>
        <v>0</v>
      </c>
      <c r="Q295">
        <f t="shared" si="53"/>
        <v>0</v>
      </c>
      <c r="R295">
        <f t="shared" si="54"/>
        <v>0</v>
      </c>
      <c r="S295">
        <f t="shared" si="55"/>
        <v>0</v>
      </c>
      <c r="T295">
        <f t="shared" si="56"/>
        <v>0</v>
      </c>
      <c r="U295">
        <f t="shared" si="57"/>
        <v>0</v>
      </c>
      <c r="V295">
        <f t="shared" si="58"/>
        <v>0</v>
      </c>
      <c r="W295">
        <f t="shared" si="59"/>
        <v>0</v>
      </c>
      <c r="X295">
        <f t="shared" si="60"/>
        <v>0</v>
      </c>
    </row>
    <row r="296" spans="1:24" hidden="1" x14ac:dyDescent="0.2">
      <c r="A296" t="s">
        <v>329</v>
      </c>
      <c r="B296" t="s">
        <v>279</v>
      </c>
      <c r="C296" t="s">
        <v>332</v>
      </c>
      <c r="D296" t="s">
        <v>151</v>
      </c>
      <c r="E296">
        <v>5.94068550741116E-2</v>
      </c>
      <c r="F296">
        <v>6.1337447478856902E-2</v>
      </c>
      <c r="G296">
        <v>4.6285426885500101E-2</v>
      </c>
      <c r="H296">
        <v>4.0065819305051903E-2</v>
      </c>
      <c r="I296">
        <v>4.3546148365192501E-2</v>
      </c>
      <c r="J296">
        <v>4.3104677650748401E-2</v>
      </c>
      <c r="K296">
        <v>3.9485682791449699E-2</v>
      </c>
      <c r="L296">
        <v>3.8434663146501902E-2</v>
      </c>
      <c r="M296">
        <v>3.8339775647928599E-2</v>
      </c>
      <c r="O296">
        <f t="shared" si="51"/>
        <v>0</v>
      </c>
      <c r="P296">
        <f t="shared" si="52"/>
        <v>0</v>
      </c>
      <c r="Q296">
        <f t="shared" si="53"/>
        <v>0</v>
      </c>
      <c r="R296">
        <f t="shared" si="54"/>
        <v>0</v>
      </c>
      <c r="S296">
        <f t="shared" si="55"/>
        <v>0</v>
      </c>
      <c r="T296">
        <f t="shared" si="56"/>
        <v>0</v>
      </c>
      <c r="U296">
        <f t="shared" si="57"/>
        <v>0</v>
      </c>
      <c r="V296">
        <f t="shared" si="58"/>
        <v>0</v>
      </c>
      <c r="W296">
        <f t="shared" si="59"/>
        <v>0</v>
      </c>
      <c r="X296">
        <f t="shared" si="60"/>
        <v>0</v>
      </c>
    </row>
    <row r="297" spans="1:24" hidden="1" x14ac:dyDescent="0.2">
      <c r="A297" t="s">
        <v>329</v>
      </c>
      <c r="B297" t="s">
        <v>279</v>
      </c>
      <c r="C297" t="s">
        <v>332</v>
      </c>
      <c r="D297" t="s">
        <v>164</v>
      </c>
      <c r="E297">
        <v>1.9714555209117399E-2</v>
      </c>
      <c r="F297">
        <v>1.9901541487887298E-2</v>
      </c>
      <c r="G297">
        <v>1.44841241212761E-2</v>
      </c>
      <c r="H297">
        <v>1.03928489202233E-2</v>
      </c>
      <c r="I297">
        <v>8.8513167354079894E-3</v>
      </c>
      <c r="J297">
        <v>8.1984519890971903E-3</v>
      </c>
      <c r="K297">
        <v>7.8016793096789697E-3</v>
      </c>
      <c r="L297">
        <v>7.7210298232482499E-3</v>
      </c>
      <c r="M297">
        <v>7.7290643196978003E-3</v>
      </c>
      <c r="O297">
        <f t="shared" si="51"/>
        <v>0</v>
      </c>
      <c r="P297">
        <f t="shared" si="52"/>
        <v>0</v>
      </c>
      <c r="Q297">
        <f t="shared" si="53"/>
        <v>0</v>
      </c>
      <c r="R297">
        <f t="shared" si="54"/>
        <v>0</v>
      </c>
      <c r="S297">
        <f t="shared" si="55"/>
        <v>0</v>
      </c>
      <c r="T297">
        <f t="shared" si="56"/>
        <v>0</v>
      </c>
      <c r="U297">
        <f t="shared" si="57"/>
        <v>0</v>
      </c>
      <c r="V297">
        <f t="shared" si="58"/>
        <v>0</v>
      </c>
      <c r="W297">
        <f t="shared" si="59"/>
        <v>0</v>
      </c>
      <c r="X297">
        <f t="shared" si="60"/>
        <v>0</v>
      </c>
    </row>
    <row r="298" spans="1:24" hidden="1" x14ac:dyDescent="0.2">
      <c r="A298" t="s">
        <v>329</v>
      </c>
      <c r="B298" t="s">
        <v>279</v>
      </c>
      <c r="C298" t="s">
        <v>332</v>
      </c>
      <c r="D298" t="s">
        <v>162</v>
      </c>
      <c r="E298">
        <v>7.7996656237426798E-3</v>
      </c>
      <c r="F298">
        <v>8.1778425373546099E-3</v>
      </c>
      <c r="G298">
        <v>8.0438421583301795E-3</v>
      </c>
      <c r="H298">
        <v>8.2778574211020504E-3</v>
      </c>
      <c r="I298">
        <v>8.6492502991401907E-3</v>
      </c>
      <c r="J298">
        <v>9.0018677074285101E-3</v>
      </c>
      <c r="K298">
        <v>9.1238432394195792E-3</v>
      </c>
      <c r="L298">
        <v>9.1476142134827507E-3</v>
      </c>
      <c r="M298">
        <v>9.1521335760084595E-3</v>
      </c>
      <c r="O298">
        <f t="shared" si="51"/>
        <v>0</v>
      </c>
      <c r="P298">
        <f t="shared" si="52"/>
        <v>0</v>
      </c>
      <c r="Q298">
        <f t="shared" si="53"/>
        <v>0</v>
      </c>
      <c r="R298">
        <f t="shared" si="54"/>
        <v>0</v>
      </c>
      <c r="S298">
        <f t="shared" si="55"/>
        <v>0</v>
      </c>
      <c r="T298">
        <f t="shared" si="56"/>
        <v>0</v>
      </c>
      <c r="U298">
        <f t="shared" si="57"/>
        <v>0</v>
      </c>
      <c r="V298">
        <f t="shared" si="58"/>
        <v>0</v>
      </c>
      <c r="W298">
        <f t="shared" si="59"/>
        <v>0</v>
      </c>
      <c r="X298">
        <f t="shared" si="60"/>
        <v>0</v>
      </c>
    </row>
    <row r="299" spans="1:24" hidden="1" x14ac:dyDescent="0.2">
      <c r="A299" t="s">
        <v>329</v>
      </c>
      <c r="B299" t="s">
        <v>279</v>
      </c>
      <c r="C299" t="s">
        <v>332</v>
      </c>
      <c r="D299" t="s">
        <v>168</v>
      </c>
      <c r="E299">
        <v>1.90060615666914E-2</v>
      </c>
      <c r="F299">
        <v>1.9011606982996899E-2</v>
      </c>
      <c r="G299">
        <v>1.9249866743537999E-2</v>
      </c>
      <c r="H299">
        <v>1.9766748846073101E-2</v>
      </c>
      <c r="I299">
        <v>2.1261040882090299E-2</v>
      </c>
      <c r="J299">
        <v>2.2110420777413702E-2</v>
      </c>
      <c r="K299">
        <v>2.2314122699341601E-2</v>
      </c>
      <c r="L299">
        <v>2.2340598935908701E-2</v>
      </c>
      <c r="M299">
        <v>2.2314649920635199E-2</v>
      </c>
      <c r="O299">
        <f t="shared" si="51"/>
        <v>0</v>
      </c>
      <c r="P299">
        <f t="shared" si="52"/>
        <v>0</v>
      </c>
      <c r="Q299">
        <f t="shared" si="53"/>
        <v>0</v>
      </c>
      <c r="R299">
        <f t="shared" si="54"/>
        <v>0</v>
      </c>
      <c r="S299">
        <f t="shared" si="55"/>
        <v>0</v>
      </c>
      <c r="T299">
        <f t="shared" si="56"/>
        <v>0</v>
      </c>
      <c r="U299">
        <f t="shared" si="57"/>
        <v>0</v>
      </c>
      <c r="V299">
        <f t="shared" si="58"/>
        <v>0</v>
      </c>
      <c r="W299">
        <f t="shared" si="59"/>
        <v>0</v>
      </c>
      <c r="X299">
        <f t="shared" si="60"/>
        <v>0</v>
      </c>
    </row>
    <row r="300" spans="1:24" hidden="1" x14ac:dyDescent="0.2">
      <c r="A300" t="s">
        <v>329</v>
      </c>
      <c r="B300" t="s">
        <v>279</v>
      </c>
      <c r="C300" t="s">
        <v>332</v>
      </c>
      <c r="D300" t="s">
        <v>154</v>
      </c>
      <c r="E300">
        <v>5.3372052324011498E-3</v>
      </c>
      <c r="F300">
        <v>5.1334014820859199E-3</v>
      </c>
      <c r="G300">
        <v>3.0201413797433501E-3</v>
      </c>
      <c r="H300">
        <v>2.5951880065742399E-3</v>
      </c>
      <c r="I300">
        <v>2.4478823507510798E-3</v>
      </c>
      <c r="J300">
        <v>2.3789432901708098E-3</v>
      </c>
      <c r="K300">
        <v>2.32023545360716E-3</v>
      </c>
      <c r="L300">
        <v>2.3071837661429598E-3</v>
      </c>
      <c r="M300">
        <v>2.3065962721142801E-3</v>
      </c>
      <c r="O300">
        <f t="shared" si="51"/>
        <v>0</v>
      </c>
      <c r="P300">
        <f t="shared" si="52"/>
        <v>0</v>
      </c>
      <c r="Q300">
        <f t="shared" si="53"/>
        <v>0</v>
      </c>
      <c r="R300">
        <f t="shared" si="54"/>
        <v>0</v>
      </c>
      <c r="S300">
        <f t="shared" si="55"/>
        <v>0</v>
      </c>
      <c r="T300">
        <f t="shared" si="56"/>
        <v>0</v>
      </c>
      <c r="U300">
        <f t="shared" si="57"/>
        <v>0</v>
      </c>
      <c r="V300">
        <f t="shared" si="58"/>
        <v>0</v>
      </c>
      <c r="W300">
        <f t="shared" si="59"/>
        <v>0</v>
      </c>
      <c r="X300">
        <f t="shared" si="60"/>
        <v>0</v>
      </c>
    </row>
    <row r="301" spans="1:24" hidden="1" x14ac:dyDescent="0.2">
      <c r="A301" t="s">
        <v>329</v>
      </c>
      <c r="B301" t="s">
        <v>279</v>
      </c>
      <c r="C301" t="s">
        <v>332</v>
      </c>
      <c r="D301" t="s">
        <v>166</v>
      </c>
      <c r="E301">
        <v>0.12256086698070399</v>
      </c>
      <c r="F301">
        <v>0.126298213300644</v>
      </c>
      <c r="G301">
        <v>8.9059992025861498E-2</v>
      </c>
      <c r="H301">
        <v>8.1956397564837302E-2</v>
      </c>
      <c r="I301">
        <v>9.5546391657596402E-2</v>
      </c>
      <c r="J301">
        <v>0.109994770790119</v>
      </c>
      <c r="K301">
        <v>0.11459076736651</v>
      </c>
      <c r="L301">
        <v>0.11535496668681</v>
      </c>
      <c r="M301">
        <v>0.11667093879740401</v>
      </c>
      <c r="O301">
        <f t="shared" si="51"/>
        <v>0</v>
      </c>
      <c r="P301">
        <f t="shared" si="52"/>
        <v>0</v>
      </c>
      <c r="Q301">
        <f t="shared" si="53"/>
        <v>0</v>
      </c>
      <c r="R301">
        <f t="shared" si="54"/>
        <v>0</v>
      </c>
      <c r="S301">
        <f t="shared" si="55"/>
        <v>0</v>
      </c>
      <c r="T301">
        <f t="shared" si="56"/>
        <v>0</v>
      </c>
      <c r="U301">
        <f t="shared" si="57"/>
        <v>0</v>
      </c>
      <c r="V301">
        <f t="shared" si="58"/>
        <v>0</v>
      </c>
      <c r="W301">
        <f t="shared" si="59"/>
        <v>0</v>
      </c>
      <c r="X301">
        <f t="shared" si="60"/>
        <v>0</v>
      </c>
    </row>
    <row r="302" spans="1:24" x14ac:dyDescent="0.2">
      <c r="A302" t="s">
        <v>3040</v>
      </c>
      <c r="B302" t="s">
        <v>278</v>
      </c>
      <c r="C302" t="s">
        <v>474</v>
      </c>
      <c r="D302" t="s">
        <v>158</v>
      </c>
      <c r="E302">
        <v>1.9839679684136899E-2</v>
      </c>
      <c r="F302">
        <v>1.54915322396613E-2</v>
      </c>
      <c r="G302">
        <v>1.24856485125612E-2</v>
      </c>
      <c r="H302">
        <v>1.10258430769824E-2</v>
      </c>
      <c r="I302">
        <v>9.7206839249302599E-3</v>
      </c>
      <c r="J302">
        <v>8.6588886279032502E-3</v>
      </c>
      <c r="K302">
        <v>7.9928948991222996E-3</v>
      </c>
      <c r="L302">
        <v>7.65317007618625E-3</v>
      </c>
      <c r="M302">
        <v>7.4561632981935697E-3</v>
      </c>
      <c r="O302">
        <f t="shared" si="51"/>
        <v>67.2</v>
      </c>
      <c r="P302">
        <f t="shared" si="52"/>
        <v>0</v>
      </c>
      <c r="Q302">
        <f t="shared" si="53"/>
        <v>0</v>
      </c>
      <c r="R302">
        <f t="shared" si="54"/>
        <v>0</v>
      </c>
      <c r="S302">
        <f t="shared" si="55"/>
        <v>0</v>
      </c>
      <c r="T302">
        <f t="shared" si="56"/>
        <v>0</v>
      </c>
      <c r="U302">
        <f t="shared" si="57"/>
        <v>0</v>
      </c>
      <c r="V302">
        <f t="shared" si="58"/>
        <v>0</v>
      </c>
      <c r="W302">
        <f t="shared" si="59"/>
        <v>0</v>
      </c>
      <c r="X302">
        <f t="shared" si="60"/>
        <v>0</v>
      </c>
    </row>
    <row r="303" spans="1:24" hidden="1" x14ac:dyDescent="0.2">
      <c r="A303" t="s">
        <v>329</v>
      </c>
      <c r="B303" t="s">
        <v>279</v>
      </c>
      <c r="C303" t="s">
        <v>332</v>
      </c>
      <c r="D303" t="s">
        <v>156</v>
      </c>
      <c r="E303">
        <v>7.0528034834254905E-2</v>
      </c>
      <c r="F303">
        <v>7.0536683836034397E-2</v>
      </c>
      <c r="G303">
        <v>5.8877554243911202E-2</v>
      </c>
      <c r="H303">
        <v>5.8624548022973899E-2</v>
      </c>
      <c r="I303">
        <v>5.8373287689134898E-2</v>
      </c>
      <c r="J303">
        <v>5.8187133066211601E-2</v>
      </c>
      <c r="K303">
        <v>5.7959496438678398E-2</v>
      </c>
      <c r="L303">
        <v>5.7842437918959197E-2</v>
      </c>
      <c r="M303">
        <v>5.7828016121773101E-2</v>
      </c>
      <c r="O303">
        <f t="shared" si="51"/>
        <v>0</v>
      </c>
      <c r="P303">
        <f t="shared" si="52"/>
        <v>0</v>
      </c>
      <c r="Q303">
        <f t="shared" si="53"/>
        <v>0</v>
      </c>
      <c r="R303">
        <f t="shared" si="54"/>
        <v>0</v>
      </c>
      <c r="S303">
        <f t="shared" si="55"/>
        <v>0</v>
      </c>
      <c r="T303">
        <f t="shared" si="56"/>
        <v>0</v>
      </c>
      <c r="U303">
        <f t="shared" si="57"/>
        <v>0</v>
      </c>
      <c r="V303">
        <f t="shared" si="58"/>
        <v>0</v>
      </c>
      <c r="W303">
        <f t="shared" si="59"/>
        <v>0</v>
      </c>
      <c r="X303">
        <f t="shared" si="60"/>
        <v>0</v>
      </c>
    </row>
    <row r="304" spans="1:24" x14ac:dyDescent="0.2">
      <c r="A304" t="s">
        <v>3040</v>
      </c>
      <c r="B304" t="s">
        <v>279</v>
      </c>
      <c r="C304" t="s">
        <v>474</v>
      </c>
      <c r="D304" t="s">
        <v>158</v>
      </c>
      <c r="E304">
        <v>2.00368746679381E-2</v>
      </c>
      <c r="F304">
        <v>1.58149288879222E-2</v>
      </c>
      <c r="G304">
        <v>1.2889012730210401E-2</v>
      </c>
      <c r="H304">
        <v>1.1544674905883E-2</v>
      </c>
      <c r="I304">
        <v>1.0277724336371899E-2</v>
      </c>
      <c r="J304">
        <v>9.2679749278735592E-3</v>
      </c>
      <c r="K304">
        <v>8.6259896432645099E-3</v>
      </c>
      <c r="L304">
        <v>8.3004876330209296E-3</v>
      </c>
      <c r="M304">
        <v>8.1129702157430005E-3</v>
      </c>
      <c r="O304">
        <f t="shared" si="51"/>
        <v>67.2</v>
      </c>
      <c r="P304">
        <f t="shared" si="52"/>
        <v>0</v>
      </c>
      <c r="Q304">
        <f t="shared" si="53"/>
        <v>0</v>
      </c>
      <c r="R304">
        <f t="shared" si="54"/>
        <v>0</v>
      </c>
      <c r="S304">
        <f t="shared" si="55"/>
        <v>0</v>
      </c>
      <c r="T304">
        <f t="shared" si="56"/>
        <v>0</v>
      </c>
      <c r="U304">
        <f t="shared" si="57"/>
        <v>0</v>
      </c>
      <c r="V304">
        <f t="shared" si="58"/>
        <v>0</v>
      </c>
      <c r="W304">
        <f t="shared" si="59"/>
        <v>0</v>
      </c>
      <c r="X304">
        <f t="shared" si="60"/>
        <v>0</v>
      </c>
    </row>
    <row r="305" spans="1:24" hidden="1" x14ac:dyDescent="0.2">
      <c r="A305" t="s">
        <v>329</v>
      </c>
      <c r="B305" t="s">
        <v>275</v>
      </c>
      <c r="C305" t="s">
        <v>69</v>
      </c>
      <c r="D305" t="s">
        <v>160</v>
      </c>
      <c r="E305">
        <v>0</v>
      </c>
      <c r="F305">
        <v>0</v>
      </c>
      <c r="G305">
        <v>0</v>
      </c>
      <c r="H305">
        <v>0</v>
      </c>
      <c r="I305">
        <v>0</v>
      </c>
      <c r="J305">
        <v>0</v>
      </c>
      <c r="K305">
        <v>0</v>
      </c>
      <c r="L305">
        <v>0</v>
      </c>
      <c r="M305">
        <v>0</v>
      </c>
      <c r="O305">
        <f t="shared" si="51"/>
        <v>0</v>
      </c>
      <c r="P305">
        <f t="shared" si="52"/>
        <v>0</v>
      </c>
      <c r="Q305">
        <f t="shared" si="53"/>
        <v>0</v>
      </c>
      <c r="R305">
        <f t="shared" si="54"/>
        <v>0</v>
      </c>
      <c r="S305">
        <f t="shared" si="55"/>
        <v>0</v>
      </c>
      <c r="T305">
        <f t="shared" si="56"/>
        <v>0</v>
      </c>
      <c r="U305">
        <f t="shared" si="57"/>
        <v>0</v>
      </c>
      <c r="V305">
        <f t="shared" si="58"/>
        <v>0</v>
      </c>
      <c r="W305">
        <f t="shared" si="59"/>
        <v>0</v>
      </c>
      <c r="X305">
        <f t="shared" si="60"/>
        <v>0</v>
      </c>
    </row>
    <row r="306" spans="1:24" hidden="1" x14ac:dyDescent="0.2">
      <c r="A306" t="s">
        <v>329</v>
      </c>
      <c r="B306" t="s">
        <v>275</v>
      </c>
      <c r="C306" t="s">
        <v>69</v>
      </c>
      <c r="D306" t="s">
        <v>151</v>
      </c>
      <c r="E306">
        <v>0</v>
      </c>
      <c r="F306">
        <v>0</v>
      </c>
      <c r="G306">
        <v>0</v>
      </c>
      <c r="H306">
        <v>0</v>
      </c>
      <c r="I306">
        <v>0</v>
      </c>
      <c r="J306">
        <v>0</v>
      </c>
      <c r="K306">
        <v>0</v>
      </c>
      <c r="L306">
        <v>0</v>
      </c>
      <c r="M306">
        <v>0</v>
      </c>
      <c r="O306">
        <f t="shared" si="51"/>
        <v>0</v>
      </c>
      <c r="P306">
        <f t="shared" si="52"/>
        <v>0</v>
      </c>
      <c r="Q306">
        <f t="shared" si="53"/>
        <v>0</v>
      </c>
      <c r="R306">
        <f t="shared" si="54"/>
        <v>0</v>
      </c>
      <c r="S306">
        <f t="shared" si="55"/>
        <v>0</v>
      </c>
      <c r="T306">
        <f t="shared" si="56"/>
        <v>0</v>
      </c>
      <c r="U306">
        <f t="shared" si="57"/>
        <v>0</v>
      </c>
      <c r="V306">
        <f t="shared" si="58"/>
        <v>0</v>
      </c>
      <c r="W306">
        <f t="shared" si="59"/>
        <v>0</v>
      </c>
      <c r="X306">
        <f t="shared" si="60"/>
        <v>0</v>
      </c>
    </row>
    <row r="307" spans="1:24" hidden="1" x14ac:dyDescent="0.2">
      <c r="A307" t="s">
        <v>329</v>
      </c>
      <c r="B307" t="s">
        <v>275</v>
      </c>
      <c r="C307" t="s">
        <v>69</v>
      </c>
      <c r="D307" t="s">
        <v>164</v>
      </c>
      <c r="E307">
        <v>0</v>
      </c>
      <c r="F307">
        <v>0</v>
      </c>
      <c r="G307">
        <v>0</v>
      </c>
      <c r="H307">
        <v>0</v>
      </c>
      <c r="I307">
        <v>0</v>
      </c>
      <c r="J307">
        <v>0</v>
      </c>
      <c r="K307">
        <v>0</v>
      </c>
      <c r="L307">
        <v>0</v>
      </c>
      <c r="M307">
        <v>0</v>
      </c>
      <c r="O307">
        <f t="shared" si="51"/>
        <v>0</v>
      </c>
      <c r="P307">
        <f t="shared" si="52"/>
        <v>0</v>
      </c>
      <c r="Q307">
        <f t="shared" si="53"/>
        <v>0</v>
      </c>
      <c r="R307">
        <f t="shared" si="54"/>
        <v>0</v>
      </c>
      <c r="S307">
        <f t="shared" si="55"/>
        <v>0</v>
      </c>
      <c r="T307">
        <f t="shared" si="56"/>
        <v>0</v>
      </c>
      <c r="U307">
        <f t="shared" si="57"/>
        <v>0</v>
      </c>
      <c r="V307">
        <f t="shared" si="58"/>
        <v>0</v>
      </c>
      <c r="W307">
        <f t="shared" si="59"/>
        <v>0</v>
      </c>
      <c r="X307">
        <f t="shared" si="60"/>
        <v>0</v>
      </c>
    </row>
    <row r="308" spans="1:24" hidden="1" x14ac:dyDescent="0.2">
      <c r="A308" t="s">
        <v>329</v>
      </c>
      <c r="B308" t="s">
        <v>275</v>
      </c>
      <c r="C308" t="s">
        <v>69</v>
      </c>
      <c r="D308" t="s">
        <v>162</v>
      </c>
      <c r="E308">
        <v>0</v>
      </c>
      <c r="F308">
        <v>0</v>
      </c>
      <c r="G308">
        <v>0</v>
      </c>
      <c r="H308">
        <v>0</v>
      </c>
      <c r="I308">
        <v>0</v>
      </c>
      <c r="J308">
        <v>0</v>
      </c>
      <c r="K308">
        <v>0</v>
      </c>
      <c r="L308">
        <v>0</v>
      </c>
      <c r="M308">
        <v>0</v>
      </c>
      <c r="O308">
        <f t="shared" si="51"/>
        <v>0</v>
      </c>
      <c r="P308">
        <f t="shared" si="52"/>
        <v>0</v>
      </c>
      <c r="Q308">
        <f t="shared" si="53"/>
        <v>0</v>
      </c>
      <c r="R308">
        <f t="shared" si="54"/>
        <v>0</v>
      </c>
      <c r="S308">
        <f t="shared" si="55"/>
        <v>0</v>
      </c>
      <c r="T308">
        <f t="shared" si="56"/>
        <v>0</v>
      </c>
      <c r="U308">
        <f t="shared" si="57"/>
        <v>0</v>
      </c>
      <c r="V308">
        <f t="shared" si="58"/>
        <v>0</v>
      </c>
      <c r="W308">
        <f t="shared" si="59"/>
        <v>0</v>
      </c>
      <c r="X308">
        <f t="shared" si="60"/>
        <v>0</v>
      </c>
    </row>
    <row r="309" spans="1:24" hidden="1" x14ac:dyDescent="0.2">
      <c r="A309" t="s">
        <v>329</v>
      </c>
      <c r="B309" t="s">
        <v>275</v>
      </c>
      <c r="C309" t="s">
        <v>69</v>
      </c>
      <c r="D309" t="s">
        <v>168</v>
      </c>
      <c r="E309">
        <v>0</v>
      </c>
      <c r="F309">
        <v>0</v>
      </c>
      <c r="G309">
        <v>0</v>
      </c>
      <c r="H309">
        <v>0</v>
      </c>
      <c r="I309">
        <v>0</v>
      </c>
      <c r="J309">
        <v>0</v>
      </c>
      <c r="K309">
        <v>0</v>
      </c>
      <c r="L309">
        <v>0</v>
      </c>
      <c r="M309">
        <v>0</v>
      </c>
      <c r="O309">
        <f t="shared" si="51"/>
        <v>0</v>
      </c>
      <c r="P309">
        <f t="shared" si="52"/>
        <v>0</v>
      </c>
      <c r="Q309">
        <f t="shared" si="53"/>
        <v>0</v>
      </c>
      <c r="R309">
        <f t="shared" si="54"/>
        <v>0</v>
      </c>
      <c r="S309">
        <f t="shared" si="55"/>
        <v>0</v>
      </c>
      <c r="T309">
        <f t="shared" si="56"/>
        <v>0</v>
      </c>
      <c r="U309">
        <f t="shared" si="57"/>
        <v>0</v>
      </c>
      <c r="V309">
        <f t="shared" si="58"/>
        <v>0</v>
      </c>
      <c r="W309">
        <f t="shared" si="59"/>
        <v>0</v>
      </c>
      <c r="X309">
        <f t="shared" si="60"/>
        <v>0</v>
      </c>
    </row>
    <row r="310" spans="1:24" hidden="1" x14ac:dyDescent="0.2">
      <c r="A310" t="s">
        <v>329</v>
      </c>
      <c r="B310" t="s">
        <v>275</v>
      </c>
      <c r="C310" t="s">
        <v>69</v>
      </c>
      <c r="D310" t="s">
        <v>154</v>
      </c>
      <c r="E310">
        <v>0</v>
      </c>
      <c r="F310">
        <v>0</v>
      </c>
      <c r="G310">
        <v>0</v>
      </c>
      <c r="H310">
        <v>0</v>
      </c>
      <c r="I310">
        <v>0</v>
      </c>
      <c r="J310">
        <v>0</v>
      </c>
      <c r="K310">
        <v>0</v>
      </c>
      <c r="L310">
        <v>0</v>
      </c>
      <c r="M310">
        <v>0</v>
      </c>
      <c r="O310">
        <f t="shared" si="51"/>
        <v>0</v>
      </c>
      <c r="P310">
        <f t="shared" si="52"/>
        <v>0</v>
      </c>
      <c r="Q310">
        <f t="shared" si="53"/>
        <v>0</v>
      </c>
      <c r="R310">
        <f t="shared" si="54"/>
        <v>0</v>
      </c>
      <c r="S310">
        <f t="shared" si="55"/>
        <v>0</v>
      </c>
      <c r="T310">
        <f t="shared" si="56"/>
        <v>0</v>
      </c>
      <c r="U310">
        <f t="shared" si="57"/>
        <v>0</v>
      </c>
      <c r="V310">
        <f t="shared" si="58"/>
        <v>0</v>
      </c>
      <c r="W310">
        <f t="shared" si="59"/>
        <v>0</v>
      </c>
      <c r="X310">
        <f t="shared" si="60"/>
        <v>0</v>
      </c>
    </row>
    <row r="311" spans="1:24" hidden="1" x14ac:dyDescent="0.2">
      <c r="A311" t="s">
        <v>329</v>
      </c>
      <c r="B311" t="s">
        <v>275</v>
      </c>
      <c r="C311" t="s">
        <v>69</v>
      </c>
      <c r="D311" t="s">
        <v>166</v>
      </c>
      <c r="E311">
        <v>0</v>
      </c>
      <c r="F311">
        <v>0</v>
      </c>
      <c r="G311">
        <v>0</v>
      </c>
      <c r="H311">
        <v>0</v>
      </c>
      <c r="I311">
        <v>0</v>
      </c>
      <c r="J311">
        <v>0</v>
      </c>
      <c r="K311">
        <v>0</v>
      </c>
      <c r="L311">
        <v>0</v>
      </c>
      <c r="M311">
        <v>0</v>
      </c>
      <c r="O311">
        <f t="shared" si="51"/>
        <v>0</v>
      </c>
      <c r="P311">
        <f t="shared" si="52"/>
        <v>0</v>
      </c>
      <c r="Q311">
        <f t="shared" si="53"/>
        <v>0</v>
      </c>
      <c r="R311">
        <f t="shared" si="54"/>
        <v>0</v>
      </c>
      <c r="S311">
        <f t="shared" si="55"/>
        <v>0</v>
      </c>
      <c r="T311">
        <f t="shared" si="56"/>
        <v>0</v>
      </c>
      <c r="U311">
        <f t="shared" si="57"/>
        <v>0</v>
      </c>
      <c r="V311">
        <f t="shared" si="58"/>
        <v>0</v>
      </c>
      <c r="W311">
        <f t="shared" si="59"/>
        <v>0</v>
      </c>
      <c r="X311">
        <f t="shared" si="60"/>
        <v>0</v>
      </c>
    </row>
    <row r="312" spans="1:24" x14ac:dyDescent="0.2">
      <c r="A312" t="s">
        <v>329</v>
      </c>
      <c r="B312" t="s">
        <v>275</v>
      </c>
      <c r="C312" t="s">
        <v>477</v>
      </c>
      <c r="D312" t="s">
        <v>158</v>
      </c>
      <c r="E312">
        <v>0.23752816419511399</v>
      </c>
      <c r="F312">
        <v>0.117553039742468</v>
      </c>
      <c r="G312">
        <v>5.2943248810597698E-2</v>
      </c>
      <c r="H312">
        <v>3.12542213760367E-2</v>
      </c>
      <c r="I312">
        <v>2.64515002424279E-2</v>
      </c>
      <c r="J312">
        <v>2.5760379882788301E-2</v>
      </c>
      <c r="K312">
        <v>2.5233655997449301E-2</v>
      </c>
      <c r="L312">
        <v>2.5225286830586301E-2</v>
      </c>
      <c r="M312">
        <v>2.5225039830031999E-2</v>
      </c>
      <c r="O312">
        <f t="shared" si="51"/>
        <v>69.400000000000006</v>
      </c>
    </row>
    <row r="313" spans="1:24" hidden="1" x14ac:dyDescent="0.2">
      <c r="A313" t="s">
        <v>329</v>
      </c>
      <c r="B313" t="s">
        <v>275</v>
      </c>
      <c r="C313" t="s">
        <v>69</v>
      </c>
      <c r="D313" t="s">
        <v>156</v>
      </c>
      <c r="E313">
        <v>8.0121904518950099E-2</v>
      </c>
      <c r="F313">
        <v>8.0121904518950099E-2</v>
      </c>
      <c r="G313">
        <v>8.1579459544151703E-2</v>
      </c>
      <c r="H313">
        <v>8.1127256110623505E-2</v>
      </c>
      <c r="I313">
        <v>8.0580955051998401E-2</v>
      </c>
      <c r="J313">
        <v>8.0634329844886596E-2</v>
      </c>
      <c r="K313">
        <v>8.2092441021470605E-2</v>
      </c>
      <c r="L313">
        <v>8.1337497602293599E-2</v>
      </c>
      <c r="M313">
        <v>9.07156284224344E-2</v>
      </c>
      <c r="O313">
        <f t="shared" si="51"/>
        <v>0</v>
      </c>
      <c r="P313">
        <f t="shared" si="52"/>
        <v>0</v>
      </c>
      <c r="Q313">
        <f t="shared" si="53"/>
        <v>0</v>
      </c>
      <c r="R313">
        <f t="shared" si="54"/>
        <v>0</v>
      </c>
      <c r="S313">
        <f t="shared" si="55"/>
        <v>0</v>
      </c>
      <c r="T313">
        <f t="shared" si="56"/>
        <v>0</v>
      </c>
      <c r="U313">
        <f t="shared" si="57"/>
        <v>0</v>
      </c>
      <c r="V313">
        <f t="shared" si="58"/>
        <v>0</v>
      </c>
      <c r="W313">
        <f t="shared" si="59"/>
        <v>0</v>
      </c>
      <c r="X313">
        <f t="shared" si="60"/>
        <v>0</v>
      </c>
    </row>
    <row r="314" spans="1:24" x14ac:dyDescent="0.2">
      <c r="A314" t="s">
        <v>329</v>
      </c>
      <c r="B314" t="s">
        <v>276</v>
      </c>
      <c r="C314" t="s">
        <v>477</v>
      </c>
      <c r="D314" t="s">
        <v>158</v>
      </c>
      <c r="E314">
        <v>0.23777342790109099</v>
      </c>
      <c r="F314">
        <v>0.119164243380003</v>
      </c>
      <c r="G314">
        <v>4.3487228132229903E-2</v>
      </c>
      <c r="H314">
        <v>2.5091205959475602E-2</v>
      </c>
      <c r="I314">
        <v>2.10745605429505E-2</v>
      </c>
      <c r="J314">
        <v>2.0468169162330799E-2</v>
      </c>
      <c r="K314">
        <v>2.00107986444071E-2</v>
      </c>
      <c r="L314">
        <v>2.0003012264218599E-2</v>
      </c>
      <c r="M314">
        <v>2.0002520756278099E-2</v>
      </c>
      <c r="O314">
        <f t="shared" si="51"/>
        <v>69.400000000000006</v>
      </c>
      <c r="P314">
        <f t="shared" si="52"/>
        <v>0</v>
      </c>
      <c r="Q314">
        <f t="shared" si="53"/>
        <v>0</v>
      </c>
      <c r="R314">
        <f t="shared" si="54"/>
        <v>0</v>
      </c>
      <c r="S314">
        <f t="shared" si="55"/>
        <v>0</v>
      </c>
      <c r="T314">
        <f t="shared" si="56"/>
        <v>0</v>
      </c>
      <c r="U314">
        <f t="shared" si="57"/>
        <v>0</v>
      </c>
      <c r="V314">
        <f t="shared" si="58"/>
        <v>0</v>
      </c>
      <c r="W314">
        <f t="shared" si="59"/>
        <v>0</v>
      </c>
      <c r="X314">
        <f t="shared" si="60"/>
        <v>0</v>
      </c>
    </row>
    <row r="315" spans="1:24" hidden="1" x14ac:dyDescent="0.2">
      <c r="A315" t="s">
        <v>329</v>
      </c>
      <c r="B315" t="s">
        <v>276</v>
      </c>
      <c r="C315" t="s">
        <v>69</v>
      </c>
      <c r="D315" t="s">
        <v>160</v>
      </c>
      <c r="E315">
        <v>0</v>
      </c>
      <c r="F315">
        <v>0</v>
      </c>
      <c r="G315">
        <v>0</v>
      </c>
      <c r="H315">
        <v>0</v>
      </c>
      <c r="I315">
        <v>0</v>
      </c>
      <c r="J315">
        <v>0</v>
      </c>
      <c r="K315">
        <v>0</v>
      </c>
      <c r="L315">
        <v>0</v>
      </c>
      <c r="M315">
        <v>0</v>
      </c>
      <c r="O315">
        <f t="shared" si="51"/>
        <v>0</v>
      </c>
      <c r="P315">
        <f t="shared" si="52"/>
        <v>0</v>
      </c>
      <c r="Q315">
        <f t="shared" si="53"/>
        <v>0</v>
      </c>
      <c r="R315">
        <f t="shared" si="54"/>
        <v>0</v>
      </c>
      <c r="S315">
        <f t="shared" si="55"/>
        <v>0</v>
      </c>
      <c r="T315">
        <f t="shared" si="56"/>
        <v>0</v>
      </c>
      <c r="U315">
        <f t="shared" si="57"/>
        <v>0</v>
      </c>
      <c r="V315">
        <f t="shared" si="58"/>
        <v>0</v>
      </c>
      <c r="W315">
        <f t="shared" si="59"/>
        <v>0</v>
      </c>
      <c r="X315">
        <f t="shared" si="60"/>
        <v>0</v>
      </c>
    </row>
    <row r="316" spans="1:24" hidden="1" x14ac:dyDescent="0.2">
      <c r="A316" t="s">
        <v>329</v>
      </c>
      <c r="B316" t="s">
        <v>276</v>
      </c>
      <c r="C316" t="s">
        <v>69</v>
      </c>
      <c r="D316" t="s">
        <v>151</v>
      </c>
      <c r="E316">
        <v>0</v>
      </c>
      <c r="F316">
        <v>0</v>
      </c>
      <c r="G316">
        <v>0</v>
      </c>
      <c r="H316">
        <v>0</v>
      </c>
      <c r="I316">
        <v>0</v>
      </c>
      <c r="J316">
        <v>0</v>
      </c>
      <c r="K316">
        <v>0</v>
      </c>
      <c r="L316">
        <v>0</v>
      </c>
      <c r="M316">
        <v>0</v>
      </c>
      <c r="O316">
        <f t="shared" si="51"/>
        <v>0</v>
      </c>
      <c r="P316">
        <f t="shared" si="52"/>
        <v>0</v>
      </c>
      <c r="Q316">
        <f t="shared" si="53"/>
        <v>0</v>
      </c>
      <c r="R316">
        <f t="shared" si="54"/>
        <v>0</v>
      </c>
      <c r="S316">
        <f t="shared" si="55"/>
        <v>0</v>
      </c>
      <c r="T316">
        <f t="shared" si="56"/>
        <v>0</v>
      </c>
      <c r="U316">
        <f t="shared" si="57"/>
        <v>0</v>
      </c>
      <c r="V316">
        <f t="shared" si="58"/>
        <v>0</v>
      </c>
      <c r="W316">
        <f t="shared" si="59"/>
        <v>0</v>
      </c>
      <c r="X316">
        <f t="shared" si="60"/>
        <v>0</v>
      </c>
    </row>
    <row r="317" spans="1:24" hidden="1" x14ac:dyDescent="0.2">
      <c r="A317" t="s">
        <v>329</v>
      </c>
      <c r="B317" t="s">
        <v>276</v>
      </c>
      <c r="C317" t="s">
        <v>69</v>
      </c>
      <c r="D317" t="s">
        <v>164</v>
      </c>
      <c r="E317">
        <v>0</v>
      </c>
      <c r="F317">
        <v>0</v>
      </c>
      <c r="G317">
        <v>0</v>
      </c>
      <c r="H317">
        <v>0</v>
      </c>
      <c r="I317">
        <v>0</v>
      </c>
      <c r="J317">
        <v>0</v>
      </c>
      <c r="K317">
        <v>0</v>
      </c>
      <c r="L317">
        <v>0</v>
      </c>
      <c r="M317">
        <v>0</v>
      </c>
      <c r="O317">
        <f t="shared" si="51"/>
        <v>0</v>
      </c>
      <c r="P317">
        <f t="shared" si="52"/>
        <v>0</v>
      </c>
      <c r="Q317">
        <f t="shared" si="53"/>
        <v>0</v>
      </c>
      <c r="R317">
        <f t="shared" si="54"/>
        <v>0</v>
      </c>
      <c r="S317">
        <f t="shared" si="55"/>
        <v>0</v>
      </c>
      <c r="T317">
        <f t="shared" si="56"/>
        <v>0</v>
      </c>
      <c r="U317">
        <f t="shared" si="57"/>
        <v>0</v>
      </c>
      <c r="V317">
        <f t="shared" si="58"/>
        <v>0</v>
      </c>
      <c r="W317">
        <f t="shared" si="59"/>
        <v>0</v>
      </c>
      <c r="X317">
        <f t="shared" si="60"/>
        <v>0</v>
      </c>
    </row>
    <row r="318" spans="1:24" hidden="1" x14ac:dyDescent="0.2">
      <c r="A318" t="s">
        <v>329</v>
      </c>
      <c r="B318" t="s">
        <v>276</v>
      </c>
      <c r="C318" t="s">
        <v>69</v>
      </c>
      <c r="D318" t="s">
        <v>162</v>
      </c>
      <c r="E318">
        <v>0</v>
      </c>
      <c r="F318">
        <v>0</v>
      </c>
      <c r="G318">
        <v>0</v>
      </c>
      <c r="H318">
        <v>0</v>
      </c>
      <c r="I318">
        <v>0</v>
      </c>
      <c r="J318">
        <v>0</v>
      </c>
      <c r="K318">
        <v>0</v>
      </c>
      <c r="L318">
        <v>0</v>
      </c>
      <c r="M318">
        <v>0</v>
      </c>
      <c r="O318">
        <f t="shared" si="51"/>
        <v>0</v>
      </c>
      <c r="P318">
        <f t="shared" si="52"/>
        <v>0</v>
      </c>
      <c r="Q318">
        <f t="shared" si="53"/>
        <v>0</v>
      </c>
      <c r="R318">
        <f t="shared" si="54"/>
        <v>0</v>
      </c>
      <c r="S318">
        <f t="shared" si="55"/>
        <v>0</v>
      </c>
      <c r="T318">
        <f t="shared" si="56"/>
        <v>0</v>
      </c>
      <c r="U318">
        <f t="shared" si="57"/>
        <v>0</v>
      </c>
      <c r="V318">
        <f t="shared" si="58"/>
        <v>0</v>
      </c>
      <c r="W318">
        <f t="shared" si="59"/>
        <v>0</v>
      </c>
      <c r="X318">
        <f t="shared" si="60"/>
        <v>0</v>
      </c>
    </row>
    <row r="319" spans="1:24" hidden="1" x14ac:dyDescent="0.2">
      <c r="A319" t="s">
        <v>329</v>
      </c>
      <c r="B319" t="s">
        <v>276</v>
      </c>
      <c r="C319" t="s">
        <v>69</v>
      </c>
      <c r="D319" t="s">
        <v>168</v>
      </c>
      <c r="E319">
        <v>0</v>
      </c>
      <c r="F319">
        <v>0</v>
      </c>
      <c r="G319">
        <v>0</v>
      </c>
      <c r="H319">
        <v>0</v>
      </c>
      <c r="I319">
        <v>0</v>
      </c>
      <c r="J319">
        <v>0</v>
      </c>
      <c r="K319">
        <v>0</v>
      </c>
      <c r="L319">
        <v>0</v>
      </c>
      <c r="M319">
        <v>0</v>
      </c>
      <c r="O319">
        <f t="shared" si="51"/>
        <v>0</v>
      </c>
      <c r="P319">
        <f t="shared" si="52"/>
        <v>0</v>
      </c>
      <c r="Q319">
        <f t="shared" si="53"/>
        <v>0</v>
      </c>
      <c r="R319">
        <f t="shared" si="54"/>
        <v>0</v>
      </c>
      <c r="S319">
        <f t="shared" si="55"/>
        <v>0</v>
      </c>
      <c r="T319">
        <f t="shared" si="56"/>
        <v>0</v>
      </c>
      <c r="U319">
        <f t="shared" si="57"/>
        <v>0</v>
      </c>
      <c r="V319">
        <f t="shared" si="58"/>
        <v>0</v>
      </c>
      <c r="W319">
        <f t="shared" si="59"/>
        <v>0</v>
      </c>
      <c r="X319">
        <f t="shared" si="60"/>
        <v>0</v>
      </c>
    </row>
    <row r="320" spans="1:24" hidden="1" x14ac:dyDescent="0.2">
      <c r="A320" t="s">
        <v>329</v>
      </c>
      <c r="B320" t="s">
        <v>276</v>
      </c>
      <c r="C320" t="s">
        <v>69</v>
      </c>
      <c r="D320" t="s">
        <v>154</v>
      </c>
      <c r="E320">
        <v>0</v>
      </c>
      <c r="F320">
        <v>0</v>
      </c>
      <c r="G320">
        <v>0</v>
      </c>
      <c r="H320">
        <v>0</v>
      </c>
      <c r="I320">
        <v>0</v>
      </c>
      <c r="J320">
        <v>0</v>
      </c>
      <c r="K320">
        <v>0</v>
      </c>
      <c r="L320">
        <v>0</v>
      </c>
      <c r="M320">
        <v>0</v>
      </c>
      <c r="O320">
        <f t="shared" si="51"/>
        <v>0</v>
      </c>
      <c r="P320">
        <f t="shared" si="52"/>
        <v>0</v>
      </c>
      <c r="Q320">
        <f t="shared" si="53"/>
        <v>0</v>
      </c>
      <c r="R320">
        <f t="shared" si="54"/>
        <v>0</v>
      </c>
      <c r="S320">
        <f t="shared" si="55"/>
        <v>0</v>
      </c>
      <c r="T320">
        <f t="shared" si="56"/>
        <v>0</v>
      </c>
      <c r="U320">
        <f t="shared" si="57"/>
        <v>0</v>
      </c>
      <c r="V320">
        <f t="shared" si="58"/>
        <v>0</v>
      </c>
      <c r="W320">
        <f t="shared" si="59"/>
        <v>0</v>
      </c>
      <c r="X320">
        <f t="shared" si="60"/>
        <v>0</v>
      </c>
    </row>
    <row r="321" spans="1:24" hidden="1" x14ac:dyDescent="0.2">
      <c r="A321" t="s">
        <v>329</v>
      </c>
      <c r="B321" t="s">
        <v>276</v>
      </c>
      <c r="C321" t="s">
        <v>69</v>
      </c>
      <c r="D321" t="s">
        <v>166</v>
      </c>
      <c r="E321">
        <v>0</v>
      </c>
      <c r="F321">
        <v>0</v>
      </c>
      <c r="G321">
        <v>0</v>
      </c>
      <c r="H321">
        <v>0</v>
      </c>
      <c r="I321">
        <v>0</v>
      </c>
      <c r="J321">
        <v>0</v>
      </c>
      <c r="K321">
        <v>0</v>
      </c>
      <c r="L321">
        <v>0</v>
      </c>
      <c r="M321">
        <v>0</v>
      </c>
      <c r="O321">
        <f t="shared" si="51"/>
        <v>0</v>
      </c>
      <c r="P321">
        <f t="shared" si="52"/>
        <v>0</v>
      </c>
      <c r="Q321">
        <f t="shared" si="53"/>
        <v>0</v>
      </c>
      <c r="R321">
        <f t="shared" si="54"/>
        <v>0</v>
      </c>
      <c r="S321">
        <f t="shared" si="55"/>
        <v>0</v>
      </c>
      <c r="T321">
        <f t="shared" si="56"/>
        <v>0</v>
      </c>
      <c r="U321">
        <f t="shared" si="57"/>
        <v>0</v>
      </c>
      <c r="V321">
        <f t="shared" si="58"/>
        <v>0</v>
      </c>
      <c r="W321">
        <f t="shared" si="59"/>
        <v>0</v>
      </c>
      <c r="X321">
        <f t="shared" si="60"/>
        <v>0</v>
      </c>
    </row>
    <row r="322" spans="1:24" x14ac:dyDescent="0.2">
      <c r="A322" t="s">
        <v>329</v>
      </c>
      <c r="B322" t="s">
        <v>277</v>
      </c>
      <c r="C322" t="s">
        <v>477</v>
      </c>
      <c r="D322" t="s">
        <v>158</v>
      </c>
      <c r="E322">
        <v>0.25644295590534799</v>
      </c>
      <c r="F322">
        <v>8.7008067032986594E-2</v>
      </c>
      <c r="G322">
        <v>5.4457389966713697E-2</v>
      </c>
      <c r="H322">
        <v>3.1960173039199E-2</v>
      </c>
      <c r="I322">
        <v>2.69431550090969E-2</v>
      </c>
      <c r="J322">
        <v>2.6224755089352899E-2</v>
      </c>
      <c r="K322">
        <v>2.5675591824579101E-2</v>
      </c>
      <c r="L322">
        <v>2.5668770542683898E-2</v>
      </c>
      <c r="M322">
        <v>2.5668851803880399E-2</v>
      </c>
      <c r="O322">
        <f t="shared" si="51"/>
        <v>69.400000000000006</v>
      </c>
    </row>
    <row r="323" spans="1:24" hidden="1" x14ac:dyDescent="0.2">
      <c r="A323" t="s">
        <v>329</v>
      </c>
      <c r="B323" t="s">
        <v>276</v>
      </c>
      <c r="C323" t="s">
        <v>69</v>
      </c>
      <c r="D323" t="s">
        <v>156</v>
      </c>
      <c r="E323">
        <v>6.0920242836242498E-2</v>
      </c>
      <c r="F323">
        <v>6.0920242836242498E-2</v>
      </c>
      <c r="G323">
        <v>6.1893149415271298E-2</v>
      </c>
      <c r="H323">
        <v>6.1594331452163503E-2</v>
      </c>
      <c r="I323">
        <v>6.1229588073789899E-2</v>
      </c>
      <c r="J323">
        <v>6.12655378691137E-2</v>
      </c>
      <c r="K323">
        <v>6.2229213550806899E-2</v>
      </c>
      <c r="L323">
        <v>6.1733582000871E-2</v>
      </c>
      <c r="M323">
        <v>6.7404284593416297E-2</v>
      </c>
      <c r="O323">
        <f t="shared" si="51"/>
        <v>0</v>
      </c>
      <c r="P323">
        <f t="shared" si="52"/>
        <v>0</v>
      </c>
      <c r="Q323">
        <f t="shared" si="53"/>
        <v>0</v>
      </c>
      <c r="R323">
        <f t="shared" si="54"/>
        <v>0</v>
      </c>
      <c r="S323">
        <f t="shared" si="55"/>
        <v>0</v>
      </c>
      <c r="T323">
        <f t="shared" si="56"/>
        <v>0</v>
      </c>
      <c r="U323">
        <f t="shared" si="57"/>
        <v>0</v>
      </c>
      <c r="V323">
        <f t="shared" si="58"/>
        <v>0</v>
      </c>
      <c r="W323">
        <f t="shared" si="59"/>
        <v>0</v>
      </c>
      <c r="X323">
        <f t="shared" si="60"/>
        <v>0</v>
      </c>
    </row>
    <row r="324" spans="1:24" x14ac:dyDescent="0.2">
      <c r="A324" t="s">
        <v>329</v>
      </c>
      <c r="B324" t="s">
        <v>278</v>
      </c>
      <c r="C324" t="s">
        <v>477</v>
      </c>
      <c r="D324" t="s">
        <v>158</v>
      </c>
      <c r="E324">
        <v>0.254238009093815</v>
      </c>
      <c r="F324">
        <v>0.10778009370992001</v>
      </c>
      <c r="G324">
        <v>3.2180435581303402E-2</v>
      </c>
      <c r="H324">
        <v>1.9656296342157001E-2</v>
      </c>
      <c r="I324">
        <v>1.7448452247987301E-2</v>
      </c>
      <c r="J324">
        <v>1.7154220121797799E-2</v>
      </c>
      <c r="K324">
        <v>1.6918134827601801E-2</v>
      </c>
      <c r="L324">
        <v>1.6910104655338799E-2</v>
      </c>
      <c r="M324">
        <v>1.6909991277776301E-2</v>
      </c>
      <c r="O324">
        <f t="shared" si="51"/>
        <v>69.400000000000006</v>
      </c>
      <c r="P324">
        <f t="shared" si="52"/>
        <v>0</v>
      </c>
      <c r="Q324">
        <f t="shared" si="53"/>
        <v>0</v>
      </c>
      <c r="R324">
        <f t="shared" si="54"/>
        <v>0</v>
      </c>
      <c r="S324">
        <f t="shared" si="55"/>
        <v>0</v>
      </c>
      <c r="T324">
        <f t="shared" si="56"/>
        <v>0</v>
      </c>
      <c r="U324">
        <f t="shared" si="57"/>
        <v>0</v>
      </c>
      <c r="V324">
        <f t="shared" si="58"/>
        <v>0</v>
      </c>
      <c r="W324">
        <f t="shared" si="59"/>
        <v>0</v>
      </c>
      <c r="X324">
        <f t="shared" si="60"/>
        <v>0</v>
      </c>
    </row>
    <row r="325" spans="1:24" hidden="1" x14ac:dyDescent="0.2">
      <c r="A325" t="s">
        <v>329</v>
      </c>
      <c r="B325" t="s">
        <v>277</v>
      </c>
      <c r="C325" t="s">
        <v>69</v>
      </c>
      <c r="D325" t="s">
        <v>160</v>
      </c>
      <c r="E325">
        <v>0</v>
      </c>
      <c r="F325">
        <v>0</v>
      </c>
      <c r="G325">
        <v>0</v>
      </c>
      <c r="H325">
        <v>0</v>
      </c>
      <c r="I325">
        <v>0</v>
      </c>
      <c r="J325">
        <v>0</v>
      </c>
      <c r="K325">
        <v>0</v>
      </c>
      <c r="L325">
        <v>0</v>
      </c>
      <c r="M325">
        <v>0</v>
      </c>
      <c r="O325">
        <f t="shared" si="51"/>
        <v>0</v>
      </c>
      <c r="P325">
        <f t="shared" si="52"/>
        <v>0</v>
      </c>
      <c r="Q325">
        <f t="shared" si="53"/>
        <v>0</v>
      </c>
      <c r="R325">
        <f t="shared" si="54"/>
        <v>0</v>
      </c>
      <c r="S325">
        <f t="shared" si="55"/>
        <v>0</v>
      </c>
      <c r="T325">
        <f t="shared" si="56"/>
        <v>0</v>
      </c>
      <c r="U325">
        <f t="shared" si="57"/>
        <v>0</v>
      </c>
      <c r="V325">
        <f t="shared" si="58"/>
        <v>0</v>
      </c>
      <c r="W325">
        <f t="shared" si="59"/>
        <v>0</v>
      </c>
      <c r="X325">
        <f t="shared" si="60"/>
        <v>0</v>
      </c>
    </row>
    <row r="326" spans="1:24" hidden="1" x14ac:dyDescent="0.2">
      <c r="A326" t="s">
        <v>329</v>
      </c>
      <c r="B326" t="s">
        <v>277</v>
      </c>
      <c r="C326" t="s">
        <v>69</v>
      </c>
      <c r="D326" t="s">
        <v>151</v>
      </c>
      <c r="E326">
        <v>0</v>
      </c>
      <c r="F326">
        <v>0</v>
      </c>
      <c r="G326">
        <v>0</v>
      </c>
      <c r="H326">
        <v>0</v>
      </c>
      <c r="I326">
        <v>0</v>
      </c>
      <c r="J326">
        <v>0</v>
      </c>
      <c r="K326">
        <v>0</v>
      </c>
      <c r="L326">
        <v>0</v>
      </c>
      <c r="M326">
        <v>0</v>
      </c>
      <c r="O326">
        <f t="shared" ref="O326:O389" si="61">IF(C326="DSL",$O$2,IF(C326="GSL",$O$1,IF(C326="CNG",$O$3,0)))</f>
        <v>0</v>
      </c>
      <c r="P326">
        <f t="shared" si="52"/>
        <v>0</v>
      </c>
      <c r="Q326">
        <f t="shared" si="53"/>
        <v>0</v>
      </c>
      <c r="R326">
        <f t="shared" si="54"/>
        <v>0</v>
      </c>
      <c r="S326">
        <f t="shared" si="55"/>
        <v>0</v>
      </c>
      <c r="T326">
        <f t="shared" si="56"/>
        <v>0</v>
      </c>
      <c r="U326">
        <f t="shared" si="57"/>
        <v>0</v>
      </c>
      <c r="V326">
        <f t="shared" si="58"/>
        <v>0</v>
      </c>
      <c r="W326">
        <f t="shared" si="59"/>
        <v>0</v>
      </c>
      <c r="X326">
        <f t="shared" si="60"/>
        <v>0</v>
      </c>
    </row>
    <row r="327" spans="1:24" hidden="1" x14ac:dyDescent="0.2">
      <c r="A327" t="s">
        <v>329</v>
      </c>
      <c r="B327" t="s">
        <v>277</v>
      </c>
      <c r="C327" t="s">
        <v>69</v>
      </c>
      <c r="D327" t="s">
        <v>164</v>
      </c>
      <c r="E327">
        <v>0</v>
      </c>
      <c r="F327">
        <v>0</v>
      </c>
      <c r="G327">
        <v>0</v>
      </c>
      <c r="H327">
        <v>0</v>
      </c>
      <c r="I327">
        <v>0</v>
      </c>
      <c r="J327">
        <v>0</v>
      </c>
      <c r="K327">
        <v>0</v>
      </c>
      <c r="L327">
        <v>0</v>
      </c>
      <c r="M327">
        <v>0</v>
      </c>
      <c r="O327">
        <f t="shared" si="61"/>
        <v>0</v>
      </c>
      <c r="P327">
        <f t="shared" si="52"/>
        <v>0</v>
      </c>
      <c r="Q327">
        <f t="shared" si="53"/>
        <v>0</v>
      </c>
      <c r="R327">
        <f t="shared" si="54"/>
        <v>0</v>
      </c>
      <c r="S327">
        <f t="shared" si="55"/>
        <v>0</v>
      </c>
      <c r="T327">
        <f t="shared" si="56"/>
        <v>0</v>
      </c>
      <c r="U327">
        <f t="shared" si="57"/>
        <v>0</v>
      </c>
      <c r="V327">
        <f t="shared" si="58"/>
        <v>0</v>
      </c>
      <c r="W327">
        <f t="shared" si="59"/>
        <v>0</v>
      </c>
      <c r="X327">
        <f t="shared" si="60"/>
        <v>0</v>
      </c>
    </row>
    <row r="328" spans="1:24" hidden="1" x14ac:dyDescent="0.2">
      <c r="A328" t="s">
        <v>329</v>
      </c>
      <c r="B328" t="s">
        <v>277</v>
      </c>
      <c r="C328" t="s">
        <v>69</v>
      </c>
      <c r="D328" t="s">
        <v>162</v>
      </c>
      <c r="E328">
        <v>0</v>
      </c>
      <c r="F328">
        <v>0</v>
      </c>
      <c r="G328">
        <v>0</v>
      </c>
      <c r="H328">
        <v>0</v>
      </c>
      <c r="I328">
        <v>0</v>
      </c>
      <c r="J328">
        <v>0</v>
      </c>
      <c r="K328">
        <v>0</v>
      </c>
      <c r="L328">
        <v>0</v>
      </c>
      <c r="M328">
        <v>0</v>
      </c>
      <c r="O328">
        <f t="shared" si="61"/>
        <v>0</v>
      </c>
      <c r="P328">
        <f t="shared" si="52"/>
        <v>0</v>
      </c>
      <c r="Q328">
        <f t="shared" si="53"/>
        <v>0</v>
      </c>
      <c r="R328">
        <f t="shared" si="54"/>
        <v>0</v>
      </c>
      <c r="S328">
        <f t="shared" si="55"/>
        <v>0</v>
      </c>
      <c r="T328">
        <f t="shared" si="56"/>
        <v>0</v>
      </c>
      <c r="U328">
        <f t="shared" si="57"/>
        <v>0</v>
      </c>
      <c r="V328">
        <f t="shared" si="58"/>
        <v>0</v>
      </c>
      <c r="W328">
        <f t="shared" si="59"/>
        <v>0</v>
      </c>
      <c r="X328">
        <f t="shared" si="60"/>
        <v>0</v>
      </c>
    </row>
    <row r="329" spans="1:24" hidden="1" x14ac:dyDescent="0.2">
      <c r="A329" t="s">
        <v>329</v>
      </c>
      <c r="B329" t="s">
        <v>277</v>
      </c>
      <c r="C329" t="s">
        <v>69</v>
      </c>
      <c r="D329" t="s">
        <v>168</v>
      </c>
      <c r="E329">
        <v>0</v>
      </c>
      <c r="F329">
        <v>0</v>
      </c>
      <c r="G329">
        <v>0</v>
      </c>
      <c r="H329">
        <v>0</v>
      </c>
      <c r="I329">
        <v>0</v>
      </c>
      <c r="J329">
        <v>0</v>
      </c>
      <c r="K329">
        <v>0</v>
      </c>
      <c r="L329">
        <v>0</v>
      </c>
      <c r="M329">
        <v>0</v>
      </c>
      <c r="O329">
        <f t="shared" si="61"/>
        <v>0</v>
      </c>
      <c r="P329">
        <f t="shared" si="52"/>
        <v>0</v>
      </c>
      <c r="Q329">
        <f t="shared" si="53"/>
        <v>0</v>
      </c>
      <c r="R329">
        <f t="shared" si="54"/>
        <v>0</v>
      </c>
      <c r="S329">
        <f t="shared" si="55"/>
        <v>0</v>
      </c>
      <c r="T329">
        <f t="shared" si="56"/>
        <v>0</v>
      </c>
      <c r="U329">
        <f t="shared" si="57"/>
        <v>0</v>
      </c>
      <c r="V329">
        <f t="shared" si="58"/>
        <v>0</v>
      </c>
      <c r="W329">
        <f t="shared" si="59"/>
        <v>0</v>
      </c>
      <c r="X329">
        <f t="shared" si="60"/>
        <v>0</v>
      </c>
    </row>
    <row r="330" spans="1:24" hidden="1" x14ac:dyDescent="0.2">
      <c r="A330" t="s">
        <v>329</v>
      </c>
      <c r="B330" t="s">
        <v>277</v>
      </c>
      <c r="C330" t="s">
        <v>69</v>
      </c>
      <c r="D330" t="s">
        <v>154</v>
      </c>
      <c r="E330">
        <v>0</v>
      </c>
      <c r="F330">
        <v>0</v>
      </c>
      <c r="G330">
        <v>0</v>
      </c>
      <c r="H330">
        <v>0</v>
      </c>
      <c r="I330">
        <v>0</v>
      </c>
      <c r="J330">
        <v>0</v>
      </c>
      <c r="K330">
        <v>0</v>
      </c>
      <c r="L330">
        <v>0</v>
      </c>
      <c r="M330">
        <v>0</v>
      </c>
      <c r="O330">
        <f t="shared" si="61"/>
        <v>0</v>
      </c>
      <c r="P330">
        <f t="shared" si="52"/>
        <v>0</v>
      </c>
      <c r="Q330">
        <f t="shared" si="53"/>
        <v>0</v>
      </c>
      <c r="R330">
        <f t="shared" si="54"/>
        <v>0</v>
      </c>
      <c r="S330">
        <f t="shared" si="55"/>
        <v>0</v>
      </c>
      <c r="T330">
        <f t="shared" si="56"/>
        <v>0</v>
      </c>
      <c r="U330">
        <f t="shared" si="57"/>
        <v>0</v>
      </c>
      <c r="V330">
        <f t="shared" si="58"/>
        <v>0</v>
      </c>
      <c r="W330">
        <f t="shared" si="59"/>
        <v>0</v>
      </c>
      <c r="X330">
        <f t="shared" si="60"/>
        <v>0</v>
      </c>
    </row>
    <row r="331" spans="1:24" hidden="1" x14ac:dyDescent="0.2">
      <c r="A331" t="s">
        <v>329</v>
      </c>
      <c r="B331" t="s">
        <v>277</v>
      </c>
      <c r="C331" t="s">
        <v>69</v>
      </c>
      <c r="D331" t="s">
        <v>166</v>
      </c>
      <c r="E331">
        <v>0</v>
      </c>
      <c r="F331">
        <v>0</v>
      </c>
      <c r="G331">
        <v>0</v>
      </c>
      <c r="H331">
        <v>0</v>
      </c>
      <c r="I331">
        <v>0</v>
      </c>
      <c r="J331">
        <v>0</v>
      </c>
      <c r="K331">
        <v>0</v>
      </c>
      <c r="L331">
        <v>0</v>
      </c>
      <c r="M331">
        <v>0</v>
      </c>
      <c r="O331">
        <f t="shared" si="61"/>
        <v>0</v>
      </c>
      <c r="P331">
        <f t="shared" si="52"/>
        <v>0</v>
      </c>
      <c r="Q331">
        <f t="shared" si="53"/>
        <v>0</v>
      </c>
      <c r="R331">
        <f t="shared" si="54"/>
        <v>0</v>
      </c>
      <c r="S331">
        <f t="shared" si="55"/>
        <v>0</v>
      </c>
      <c r="T331">
        <f t="shared" si="56"/>
        <v>0</v>
      </c>
      <c r="U331">
        <f t="shared" si="57"/>
        <v>0</v>
      </c>
      <c r="V331">
        <f t="shared" si="58"/>
        <v>0</v>
      </c>
      <c r="W331">
        <f t="shared" si="59"/>
        <v>0</v>
      </c>
      <c r="X331">
        <f t="shared" si="60"/>
        <v>0</v>
      </c>
    </row>
    <row r="332" spans="1:24" x14ac:dyDescent="0.2">
      <c r="A332" t="s">
        <v>329</v>
      </c>
      <c r="B332" t="s">
        <v>279</v>
      </c>
      <c r="C332" t="s">
        <v>477</v>
      </c>
      <c r="D332" t="s">
        <v>158</v>
      </c>
      <c r="E332">
        <v>0.22631284143381999</v>
      </c>
      <c r="F332">
        <v>0.138752652450124</v>
      </c>
      <c r="G332">
        <v>4.4082850284758598E-2</v>
      </c>
      <c r="H332">
        <v>2.4660510368797298E-2</v>
      </c>
      <c r="I332">
        <v>1.9977913759074699E-2</v>
      </c>
      <c r="J332">
        <v>1.9194563239000099E-2</v>
      </c>
      <c r="K332">
        <v>1.8639801665147299E-2</v>
      </c>
      <c r="L332">
        <v>1.86279441096215E-2</v>
      </c>
      <c r="M332">
        <v>1.8626400356050201E-2</v>
      </c>
      <c r="O332">
        <f t="shared" si="61"/>
        <v>69.400000000000006</v>
      </c>
    </row>
    <row r="333" spans="1:24" hidden="1" x14ac:dyDescent="0.2">
      <c r="A333" t="s">
        <v>329</v>
      </c>
      <c r="B333" t="s">
        <v>277</v>
      </c>
      <c r="C333" t="s">
        <v>69</v>
      </c>
      <c r="D333" t="s">
        <v>156</v>
      </c>
      <c r="E333">
        <v>8.1536165391738802E-2</v>
      </c>
      <c r="F333">
        <v>8.1536165391738802E-2</v>
      </c>
      <c r="G333">
        <v>8.3359103269114804E-2</v>
      </c>
      <c r="H333">
        <v>8.2794235763763893E-2</v>
      </c>
      <c r="I333">
        <v>8.2111098867956298E-2</v>
      </c>
      <c r="J333">
        <v>8.2177983094067597E-2</v>
      </c>
      <c r="K333">
        <v>8.39995140989446E-2</v>
      </c>
      <c r="L333">
        <v>8.3057042824223798E-2</v>
      </c>
      <c r="M333">
        <v>9.4648716625897397E-2</v>
      </c>
      <c r="O333">
        <f t="shared" si="61"/>
        <v>0</v>
      </c>
      <c r="P333">
        <f t="shared" si="52"/>
        <v>0</v>
      </c>
      <c r="Q333">
        <f t="shared" si="53"/>
        <v>0</v>
      </c>
      <c r="R333">
        <f t="shared" si="54"/>
        <v>0</v>
      </c>
      <c r="S333">
        <f t="shared" si="55"/>
        <v>0</v>
      </c>
      <c r="T333">
        <f t="shared" si="56"/>
        <v>0</v>
      </c>
      <c r="U333">
        <f t="shared" si="57"/>
        <v>0</v>
      </c>
      <c r="V333">
        <f t="shared" si="58"/>
        <v>0</v>
      </c>
      <c r="W333">
        <f t="shared" si="59"/>
        <v>0</v>
      </c>
      <c r="X333">
        <f t="shared" si="60"/>
        <v>0</v>
      </c>
    </row>
    <row r="334" spans="1:24" x14ac:dyDescent="0.2">
      <c r="A334" t="s">
        <v>329</v>
      </c>
      <c r="B334" t="s">
        <v>275</v>
      </c>
      <c r="C334" t="s">
        <v>332</v>
      </c>
      <c r="D334" t="s">
        <v>158</v>
      </c>
      <c r="E334">
        <v>1.14324484698089E-2</v>
      </c>
      <c r="F334">
        <v>1.1442183487996501E-2</v>
      </c>
      <c r="G334">
        <v>1.21598357028404E-2</v>
      </c>
      <c r="H334">
        <v>1.1994642493857699E-2</v>
      </c>
      <c r="I334">
        <v>1.1874164195326E-2</v>
      </c>
      <c r="J334">
        <v>1.1764075510834899E-2</v>
      </c>
      <c r="K334">
        <v>1.15478387003661E-2</v>
      </c>
      <c r="L334">
        <v>1.1431497388677801E-2</v>
      </c>
      <c r="M334">
        <v>1.14121873600136E-2</v>
      </c>
      <c r="O334">
        <f t="shared" si="61"/>
        <v>0</v>
      </c>
      <c r="P334">
        <f t="shared" si="52"/>
        <v>0</v>
      </c>
      <c r="Q334">
        <f t="shared" si="53"/>
        <v>0</v>
      </c>
      <c r="R334">
        <f t="shared" si="54"/>
        <v>0</v>
      </c>
      <c r="S334">
        <f t="shared" si="55"/>
        <v>0</v>
      </c>
      <c r="T334">
        <f t="shared" si="56"/>
        <v>0</v>
      </c>
      <c r="U334">
        <f t="shared" si="57"/>
        <v>0</v>
      </c>
      <c r="V334">
        <f t="shared" si="58"/>
        <v>0</v>
      </c>
      <c r="W334">
        <f t="shared" si="59"/>
        <v>0</v>
      </c>
      <c r="X334">
        <f t="shared" si="60"/>
        <v>0</v>
      </c>
    </row>
    <row r="335" spans="1:24" hidden="1" x14ac:dyDescent="0.2">
      <c r="A335" t="s">
        <v>329</v>
      </c>
      <c r="B335" t="s">
        <v>278</v>
      </c>
      <c r="C335" t="s">
        <v>69</v>
      </c>
      <c r="D335" t="s">
        <v>160</v>
      </c>
      <c r="E335">
        <v>0</v>
      </c>
      <c r="F335">
        <v>0</v>
      </c>
      <c r="G335">
        <v>0</v>
      </c>
      <c r="H335">
        <v>0</v>
      </c>
      <c r="I335">
        <v>0</v>
      </c>
      <c r="J335">
        <v>0</v>
      </c>
      <c r="K335">
        <v>0</v>
      </c>
      <c r="L335">
        <v>0</v>
      </c>
      <c r="M335">
        <v>0</v>
      </c>
      <c r="O335">
        <f t="shared" si="61"/>
        <v>0</v>
      </c>
      <c r="P335">
        <f t="shared" si="52"/>
        <v>0</v>
      </c>
      <c r="Q335">
        <f t="shared" si="53"/>
        <v>0</v>
      </c>
      <c r="R335">
        <f t="shared" si="54"/>
        <v>0</v>
      </c>
      <c r="S335">
        <f t="shared" si="55"/>
        <v>0</v>
      </c>
      <c r="T335">
        <f t="shared" si="56"/>
        <v>0</v>
      </c>
      <c r="U335">
        <f t="shared" si="57"/>
        <v>0</v>
      </c>
      <c r="V335">
        <f t="shared" si="58"/>
        <v>0</v>
      </c>
      <c r="W335">
        <f t="shared" si="59"/>
        <v>0</v>
      </c>
      <c r="X335">
        <f t="shared" si="60"/>
        <v>0</v>
      </c>
    </row>
    <row r="336" spans="1:24" hidden="1" x14ac:dyDescent="0.2">
      <c r="A336" t="s">
        <v>329</v>
      </c>
      <c r="B336" t="s">
        <v>278</v>
      </c>
      <c r="C336" t="s">
        <v>69</v>
      </c>
      <c r="D336" t="s">
        <v>151</v>
      </c>
      <c r="E336">
        <v>0</v>
      </c>
      <c r="F336">
        <v>0</v>
      </c>
      <c r="G336">
        <v>0</v>
      </c>
      <c r="H336">
        <v>0</v>
      </c>
      <c r="I336">
        <v>0</v>
      </c>
      <c r="J336">
        <v>0</v>
      </c>
      <c r="K336">
        <v>0</v>
      </c>
      <c r="L336">
        <v>0</v>
      </c>
      <c r="M336">
        <v>0</v>
      </c>
      <c r="O336">
        <f t="shared" si="61"/>
        <v>0</v>
      </c>
      <c r="P336">
        <f t="shared" si="52"/>
        <v>0</v>
      </c>
      <c r="Q336">
        <f t="shared" si="53"/>
        <v>0</v>
      </c>
      <c r="R336">
        <f t="shared" si="54"/>
        <v>0</v>
      </c>
      <c r="S336">
        <f t="shared" si="55"/>
        <v>0</v>
      </c>
      <c r="T336">
        <f t="shared" si="56"/>
        <v>0</v>
      </c>
      <c r="U336">
        <f t="shared" si="57"/>
        <v>0</v>
      </c>
      <c r="V336">
        <f t="shared" si="58"/>
        <v>0</v>
      </c>
      <c r="W336">
        <f t="shared" si="59"/>
        <v>0</v>
      </c>
      <c r="X336">
        <f t="shared" si="60"/>
        <v>0</v>
      </c>
    </row>
    <row r="337" spans="1:24" hidden="1" x14ac:dyDescent="0.2">
      <c r="A337" t="s">
        <v>329</v>
      </c>
      <c r="B337" t="s">
        <v>278</v>
      </c>
      <c r="C337" t="s">
        <v>69</v>
      </c>
      <c r="D337" t="s">
        <v>164</v>
      </c>
      <c r="E337">
        <v>0</v>
      </c>
      <c r="F337">
        <v>0</v>
      </c>
      <c r="G337">
        <v>0</v>
      </c>
      <c r="H337">
        <v>0</v>
      </c>
      <c r="I337">
        <v>0</v>
      </c>
      <c r="J337">
        <v>0</v>
      </c>
      <c r="K337">
        <v>0</v>
      </c>
      <c r="L337">
        <v>0</v>
      </c>
      <c r="M337">
        <v>0</v>
      </c>
      <c r="O337">
        <f t="shared" si="61"/>
        <v>0</v>
      </c>
      <c r="P337">
        <f t="shared" si="52"/>
        <v>0</v>
      </c>
      <c r="Q337">
        <f t="shared" si="53"/>
        <v>0</v>
      </c>
      <c r="R337">
        <f t="shared" si="54"/>
        <v>0</v>
      </c>
      <c r="S337">
        <f t="shared" si="55"/>
        <v>0</v>
      </c>
      <c r="T337">
        <f t="shared" si="56"/>
        <v>0</v>
      </c>
      <c r="U337">
        <f t="shared" si="57"/>
        <v>0</v>
      </c>
      <c r="V337">
        <f t="shared" si="58"/>
        <v>0</v>
      </c>
      <c r="W337">
        <f t="shared" si="59"/>
        <v>0</v>
      </c>
      <c r="X337">
        <f t="shared" si="60"/>
        <v>0</v>
      </c>
    </row>
    <row r="338" spans="1:24" hidden="1" x14ac:dyDescent="0.2">
      <c r="A338" t="s">
        <v>329</v>
      </c>
      <c r="B338" t="s">
        <v>278</v>
      </c>
      <c r="C338" t="s">
        <v>69</v>
      </c>
      <c r="D338" t="s">
        <v>162</v>
      </c>
      <c r="E338">
        <v>0</v>
      </c>
      <c r="F338">
        <v>0</v>
      </c>
      <c r="G338">
        <v>0</v>
      </c>
      <c r="H338">
        <v>0</v>
      </c>
      <c r="I338">
        <v>0</v>
      </c>
      <c r="J338">
        <v>0</v>
      </c>
      <c r="K338">
        <v>0</v>
      </c>
      <c r="L338">
        <v>0</v>
      </c>
      <c r="M338">
        <v>0</v>
      </c>
      <c r="O338">
        <f t="shared" si="61"/>
        <v>0</v>
      </c>
      <c r="P338">
        <f t="shared" si="52"/>
        <v>0</v>
      </c>
      <c r="Q338">
        <f t="shared" si="53"/>
        <v>0</v>
      </c>
      <c r="R338">
        <f t="shared" si="54"/>
        <v>0</v>
      </c>
      <c r="S338">
        <f t="shared" si="55"/>
        <v>0</v>
      </c>
      <c r="T338">
        <f t="shared" si="56"/>
        <v>0</v>
      </c>
      <c r="U338">
        <f t="shared" si="57"/>
        <v>0</v>
      </c>
      <c r="V338">
        <f t="shared" si="58"/>
        <v>0</v>
      </c>
      <c r="W338">
        <f t="shared" si="59"/>
        <v>0</v>
      </c>
      <c r="X338">
        <f t="shared" si="60"/>
        <v>0</v>
      </c>
    </row>
    <row r="339" spans="1:24" hidden="1" x14ac:dyDescent="0.2">
      <c r="A339" t="s">
        <v>329</v>
      </c>
      <c r="B339" t="s">
        <v>278</v>
      </c>
      <c r="C339" t="s">
        <v>69</v>
      </c>
      <c r="D339" t="s">
        <v>168</v>
      </c>
      <c r="E339">
        <v>0</v>
      </c>
      <c r="F339">
        <v>0</v>
      </c>
      <c r="G339">
        <v>0</v>
      </c>
      <c r="H339">
        <v>0</v>
      </c>
      <c r="I339">
        <v>0</v>
      </c>
      <c r="J339">
        <v>0</v>
      </c>
      <c r="K339">
        <v>0</v>
      </c>
      <c r="L339">
        <v>0</v>
      </c>
      <c r="M339">
        <v>0</v>
      </c>
      <c r="O339">
        <f t="shared" si="61"/>
        <v>0</v>
      </c>
      <c r="P339">
        <f t="shared" si="52"/>
        <v>0</v>
      </c>
      <c r="Q339">
        <f t="shared" si="53"/>
        <v>0</v>
      </c>
      <c r="R339">
        <f t="shared" si="54"/>
        <v>0</v>
      </c>
      <c r="S339">
        <f t="shared" si="55"/>
        <v>0</v>
      </c>
      <c r="T339">
        <f t="shared" si="56"/>
        <v>0</v>
      </c>
      <c r="U339">
        <f t="shared" si="57"/>
        <v>0</v>
      </c>
      <c r="V339">
        <f t="shared" si="58"/>
        <v>0</v>
      </c>
      <c r="W339">
        <f t="shared" si="59"/>
        <v>0</v>
      </c>
      <c r="X339">
        <f t="shared" si="60"/>
        <v>0</v>
      </c>
    </row>
    <row r="340" spans="1:24" hidden="1" x14ac:dyDescent="0.2">
      <c r="A340" t="s">
        <v>329</v>
      </c>
      <c r="B340" t="s">
        <v>278</v>
      </c>
      <c r="C340" t="s">
        <v>69</v>
      </c>
      <c r="D340" t="s">
        <v>154</v>
      </c>
      <c r="E340">
        <v>0</v>
      </c>
      <c r="F340">
        <v>0</v>
      </c>
      <c r="G340">
        <v>0</v>
      </c>
      <c r="H340">
        <v>0</v>
      </c>
      <c r="I340">
        <v>0</v>
      </c>
      <c r="J340">
        <v>0</v>
      </c>
      <c r="K340">
        <v>0</v>
      </c>
      <c r="L340">
        <v>0</v>
      </c>
      <c r="M340">
        <v>0</v>
      </c>
      <c r="O340">
        <f t="shared" si="61"/>
        <v>0</v>
      </c>
      <c r="P340">
        <f t="shared" si="52"/>
        <v>0</v>
      </c>
      <c r="Q340">
        <f t="shared" si="53"/>
        <v>0</v>
      </c>
      <c r="R340">
        <f t="shared" si="54"/>
        <v>0</v>
      </c>
      <c r="S340">
        <f t="shared" si="55"/>
        <v>0</v>
      </c>
      <c r="T340">
        <f t="shared" si="56"/>
        <v>0</v>
      </c>
      <c r="U340">
        <f t="shared" si="57"/>
        <v>0</v>
      </c>
      <c r="V340">
        <f t="shared" si="58"/>
        <v>0</v>
      </c>
      <c r="W340">
        <f t="shared" si="59"/>
        <v>0</v>
      </c>
      <c r="X340">
        <f t="shared" si="60"/>
        <v>0</v>
      </c>
    </row>
    <row r="341" spans="1:24" hidden="1" x14ac:dyDescent="0.2">
      <c r="A341" t="s">
        <v>329</v>
      </c>
      <c r="B341" t="s">
        <v>278</v>
      </c>
      <c r="C341" t="s">
        <v>69</v>
      </c>
      <c r="D341" t="s">
        <v>166</v>
      </c>
      <c r="E341">
        <v>0</v>
      </c>
      <c r="F341">
        <v>0</v>
      </c>
      <c r="G341">
        <v>0</v>
      </c>
      <c r="H341">
        <v>0</v>
      </c>
      <c r="I341">
        <v>0</v>
      </c>
      <c r="J341">
        <v>0</v>
      </c>
      <c r="K341">
        <v>0</v>
      </c>
      <c r="L341">
        <v>0</v>
      </c>
      <c r="M341">
        <v>0</v>
      </c>
      <c r="O341">
        <f t="shared" si="61"/>
        <v>0</v>
      </c>
      <c r="P341">
        <f t="shared" si="52"/>
        <v>0</v>
      </c>
      <c r="Q341">
        <f t="shared" si="53"/>
        <v>0</v>
      </c>
      <c r="R341">
        <f t="shared" si="54"/>
        <v>0</v>
      </c>
      <c r="S341">
        <f t="shared" si="55"/>
        <v>0</v>
      </c>
      <c r="T341">
        <f t="shared" si="56"/>
        <v>0</v>
      </c>
      <c r="U341">
        <f t="shared" si="57"/>
        <v>0</v>
      </c>
      <c r="V341">
        <f t="shared" si="58"/>
        <v>0</v>
      </c>
      <c r="W341">
        <f t="shared" si="59"/>
        <v>0</v>
      </c>
      <c r="X341">
        <f t="shared" si="60"/>
        <v>0</v>
      </c>
    </row>
    <row r="342" spans="1:24" x14ac:dyDescent="0.2">
      <c r="A342" t="s">
        <v>329</v>
      </c>
      <c r="B342" t="s">
        <v>276</v>
      </c>
      <c r="C342" t="s">
        <v>332</v>
      </c>
      <c r="D342" t="s">
        <v>158</v>
      </c>
      <c r="E342">
        <v>9.5952462547113909E-3</v>
      </c>
      <c r="F342">
        <v>9.6036030050458705E-3</v>
      </c>
      <c r="G342">
        <v>9.4752433967644108E-3</v>
      </c>
      <c r="H342">
        <v>9.3301532626324096E-3</v>
      </c>
      <c r="I342">
        <v>9.2229397825599295E-3</v>
      </c>
      <c r="J342">
        <v>9.1255841827382698E-3</v>
      </c>
      <c r="K342">
        <v>8.9373222140441601E-3</v>
      </c>
      <c r="L342">
        <v>8.8366364827178901E-3</v>
      </c>
      <c r="M342">
        <v>8.8199073060420893E-3</v>
      </c>
      <c r="O342">
        <f t="shared" si="61"/>
        <v>0</v>
      </c>
    </row>
    <row r="343" spans="1:24" hidden="1" x14ac:dyDescent="0.2">
      <c r="A343" t="s">
        <v>329</v>
      </c>
      <c r="B343" t="s">
        <v>278</v>
      </c>
      <c r="C343" t="s">
        <v>69</v>
      </c>
      <c r="D343" t="s">
        <v>156</v>
      </c>
      <c r="E343">
        <v>4.9554311876816602E-2</v>
      </c>
      <c r="F343">
        <v>4.9554311876816602E-2</v>
      </c>
      <c r="G343">
        <v>4.9678947355998399E-2</v>
      </c>
      <c r="H343">
        <v>4.9638246746598502E-2</v>
      </c>
      <c r="I343">
        <v>4.9591547053478097E-2</v>
      </c>
      <c r="J343">
        <v>4.9596118960698501E-2</v>
      </c>
      <c r="K343">
        <v>4.9727715505099697E-2</v>
      </c>
      <c r="L343">
        <v>4.9656973111086203E-2</v>
      </c>
      <c r="M343">
        <v>5.1354277958724E-2</v>
      </c>
      <c r="O343">
        <f t="shared" si="61"/>
        <v>0</v>
      </c>
      <c r="P343">
        <f t="shared" si="52"/>
        <v>0</v>
      </c>
      <c r="Q343">
        <f t="shared" si="53"/>
        <v>0</v>
      </c>
      <c r="R343">
        <f t="shared" si="54"/>
        <v>0</v>
      </c>
      <c r="S343">
        <f t="shared" si="55"/>
        <v>0</v>
      </c>
      <c r="T343">
        <f t="shared" si="56"/>
        <v>0</v>
      </c>
      <c r="U343">
        <f t="shared" si="57"/>
        <v>0</v>
      </c>
      <c r="V343">
        <f t="shared" si="58"/>
        <v>0</v>
      </c>
      <c r="W343">
        <f t="shared" si="59"/>
        <v>0</v>
      </c>
      <c r="X343">
        <f t="shared" si="60"/>
        <v>0</v>
      </c>
    </row>
    <row r="344" spans="1:24" x14ac:dyDescent="0.2">
      <c r="A344" t="s">
        <v>329</v>
      </c>
      <c r="B344" t="s">
        <v>277</v>
      </c>
      <c r="C344" t="s">
        <v>332</v>
      </c>
      <c r="D344" t="s">
        <v>158</v>
      </c>
      <c r="E344">
        <v>1.5136565539031499E-2</v>
      </c>
      <c r="F344">
        <v>1.5132436853720101E-2</v>
      </c>
      <c r="G344">
        <v>1.2256341713905499E-2</v>
      </c>
      <c r="H344">
        <v>1.2096452740922199E-2</v>
      </c>
      <c r="I344">
        <v>1.19745453620015E-2</v>
      </c>
      <c r="J344">
        <v>1.18656769239457E-2</v>
      </c>
      <c r="K344">
        <v>1.1664609078110001E-2</v>
      </c>
      <c r="L344">
        <v>1.15577855285107E-2</v>
      </c>
      <c r="M344">
        <v>1.15403315240805E-2</v>
      </c>
      <c r="O344">
        <f t="shared" si="61"/>
        <v>0</v>
      </c>
      <c r="P344">
        <f t="shared" si="52"/>
        <v>0</v>
      </c>
      <c r="Q344">
        <f t="shared" si="53"/>
        <v>0</v>
      </c>
      <c r="R344">
        <f t="shared" si="54"/>
        <v>0</v>
      </c>
      <c r="S344">
        <f t="shared" si="55"/>
        <v>0</v>
      </c>
      <c r="T344">
        <f t="shared" si="56"/>
        <v>0</v>
      </c>
      <c r="U344">
        <f t="shared" si="57"/>
        <v>0</v>
      </c>
      <c r="V344">
        <f t="shared" si="58"/>
        <v>0</v>
      </c>
      <c r="W344">
        <f t="shared" si="59"/>
        <v>0</v>
      </c>
      <c r="X344">
        <f t="shared" si="60"/>
        <v>0</v>
      </c>
    </row>
    <row r="345" spans="1:24" hidden="1" x14ac:dyDescent="0.2">
      <c r="A345" t="s">
        <v>329</v>
      </c>
      <c r="B345" t="s">
        <v>279</v>
      </c>
      <c r="C345" t="s">
        <v>69</v>
      </c>
      <c r="D345" t="s">
        <v>160</v>
      </c>
      <c r="E345">
        <v>0</v>
      </c>
      <c r="F345">
        <v>0</v>
      </c>
      <c r="G345">
        <v>0</v>
      </c>
      <c r="H345">
        <v>0</v>
      </c>
      <c r="I345">
        <v>0</v>
      </c>
      <c r="J345">
        <v>0</v>
      </c>
      <c r="K345">
        <v>0</v>
      </c>
      <c r="L345">
        <v>0</v>
      </c>
      <c r="M345">
        <v>0</v>
      </c>
      <c r="O345">
        <f t="shared" si="61"/>
        <v>0</v>
      </c>
      <c r="P345">
        <f t="shared" si="52"/>
        <v>0</v>
      </c>
      <c r="Q345">
        <f t="shared" si="53"/>
        <v>0</v>
      </c>
      <c r="R345">
        <f t="shared" si="54"/>
        <v>0</v>
      </c>
      <c r="S345">
        <f t="shared" si="55"/>
        <v>0</v>
      </c>
      <c r="T345">
        <f t="shared" si="56"/>
        <v>0</v>
      </c>
      <c r="U345">
        <f t="shared" si="57"/>
        <v>0</v>
      </c>
      <c r="V345">
        <f t="shared" si="58"/>
        <v>0</v>
      </c>
      <c r="W345">
        <f t="shared" si="59"/>
        <v>0</v>
      </c>
      <c r="X345">
        <f t="shared" si="60"/>
        <v>0</v>
      </c>
    </row>
    <row r="346" spans="1:24" hidden="1" x14ac:dyDescent="0.2">
      <c r="A346" t="s">
        <v>329</v>
      </c>
      <c r="B346" t="s">
        <v>279</v>
      </c>
      <c r="C346" t="s">
        <v>69</v>
      </c>
      <c r="D346" t="s">
        <v>151</v>
      </c>
      <c r="E346">
        <v>0</v>
      </c>
      <c r="F346">
        <v>0</v>
      </c>
      <c r="G346">
        <v>0</v>
      </c>
      <c r="H346">
        <v>0</v>
      </c>
      <c r="I346">
        <v>0</v>
      </c>
      <c r="J346">
        <v>0</v>
      </c>
      <c r="K346">
        <v>0</v>
      </c>
      <c r="L346">
        <v>0</v>
      </c>
      <c r="M346">
        <v>0</v>
      </c>
      <c r="O346">
        <f t="shared" si="61"/>
        <v>0</v>
      </c>
      <c r="P346">
        <f t="shared" si="52"/>
        <v>0</v>
      </c>
      <c r="Q346">
        <f t="shared" si="53"/>
        <v>0</v>
      </c>
      <c r="R346">
        <f t="shared" si="54"/>
        <v>0</v>
      </c>
      <c r="S346">
        <f t="shared" si="55"/>
        <v>0</v>
      </c>
      <c r="T346">
        <f t="shared" si="56"/>
        <v>0</v>
      </c>
      <c r="U346">
        <f t="shared" si="57"/>
        <v>0</v>
      </c>
      <c r="V346">
        <f t="shared" si="58"/>
        <v>0</v>
      </c>
      <c r="W346">
        <f t="shared" si="59"/>
        <v>0</v>
      </c>
      <c r="X346">
        <f t="shared" si="60"/>
        <v>0</v>
      </c>
    </row>
    <row r="347" spans="1:24" hidden="1" x14ac:dyDescent="0.2">
      <c r="A347" t="s">
        <v>329</v>
      </c>
      <c r="B347" t="s">
        <v>279</v>
      </c>
      <c r="C347" t="s">
        <v>69</v>
      </c>
      <c r="D347" t="s">
        <v>164</v>
      </c>
      <c r="E347">
        <v>0</v>
      </c>
      <c r="F347">
        <v>0</v>
      </c>
      <c r="G347">
        <v>0</v>
      </c>
      <c r="H347">
        <v>0</v>
      </c>
      <c r="I347">
        <v>0</v>
      </c>
      <c r="J347">
        <v>0</v>
      </c>
      <c r="K347">
        <v>0</v>
      </c>
      <c r="L347">
        <v>0</v>
      </c>
      <c r="M347">
        <v>0</v>
      </c>
      <c r="O347">
        <f t="shared" si="61"/>
        <v>0</v>
      </c>
      <c r="P347">
        <f t="shared" si="52"/>
        <v>0</v>
      </c>
      <c r="Q347">
        <f t="shared" si="53"/>
        <v>0</v>
      </c>
      <c r="R347">
        <f t="shared" si="54"/>
        <v>0</v>
      </c>
      <c r="S347">
        <f t="shared" si="55"/>
        <v>0</v>
      </c>
      <c r="T347">
        <f t="shared" si="56"/>
        <v>0</v>
      </c>
      <c r="U347">
        <f t="shared" si="57"/>
        <v>0</v>
      </c>
      <c r="V347">
        <f t="shared" si="58"/>
        <v>0</v>
      </c>
      <c r="W347">
        <f t="shared" si="59"/>
        <v>0</v>
      </c>
      <c r="X347">
        <f t="shared" si="60"/>
        <v>0</v>
      </c>
    </row>
    <row r="348" spans="1:24" hidden="1" x14ac:dyDescent="0.2">
      <c r="A348" t="s">
        <v>329</v>
      </c>
      <c r="B348" t="s">
        <v>279</v>
      </c>
      <c r="C348" t="s">
        <v>69</v>
      </c>
      <c r="D348" t="s">
        <v>162</v>
      </c>
      <c r="E348">
        <v>0</v>
      </c>
      <c r="F348">
        <v>0</v>
      </c>
      <c r="G348">
        <v>0</v>
      </c>
      <c r="H348">
        <v>0</v>
      </c>
      <c r="I348">
        <v>0</v>
      </c>
      <c r="J348">
        <v>0</v>
      </c>
      <c r="K348">
        <v>0</v>
      </c>
      <c r="L348">
        <v>0</v>
      </c>
      <c r="M348">
        <v>0</v>
      </c>
      <c r="O348">
        <f t="shared" si="61"/>
        <v>0</v>
      </c>
      <c r="P348">
        <f t="shared" ref="P348:P404" si="62">IF($D348="CO2",$O348/E348, 0)</f>
        <v>0</v>
      </c>
      <c r="Q348">
        <f t="shared" ref="Q348:Q404" si="63">IF($D348="CO2",$O348/F348, 0)</f>
        <v>0</v>
      </c>
      <c r="R348">
        <f t="shared" ref="R348:R404" si="64">IF($D348="CO2",$O348/G348, 0)</f>
        <v>0</v>
      </c>
      <c r="S348">
        <f t="shared" ref="S348:S404" si="65">IF($D348="CO2",$O348/H348, 0)</f>
        <v>0</v>
      </c>
      <c r="T348">
        <f t="shared" ref="T348:T404" si="66">IF($D348="CO2",$O348/I348, 0)</f>
        <v>0</v>
      </c>
      <c r="U348">
        <f t="shared" ref="U348:U404" si="67">IF($D348="CO2",$O348/J348, 0)</f>
        <v>0</v>
      </c>
      <c r="V348">
        <f t="shared" ref="V348:V404" si="68">IF($D348="CO2",$O348/K348, 0)</f>
        <v>0</v>
      </c>
      <c r="W348">
        <f t="shared" ref="W348:W404" si="69">IF($D348="CO2",$O348/L348, 0)</f>
        <v>0</v>
      </c>
      <c r="X348">
        <f t="shared" ref="X348:X404" si="70">IF($D348="CO2",$O348/M348, 0)</f>
        <v>0</v>
      </c>
    </row>
    <row r="349" spans="1:24" hidden="1" x14ac:dyDescent="0.2">
      <c r="A349" t="s">
        <v>329</v>
      </c>
      <c r="B349" t="s">
        <v>279</v>
      </c>
      <c r="C349" t="s">
        <v>69</v>
      </c>
      <c r="D349" t="s">
        <v>168</v>
      </c>
      <c r="E349">
        <v>0</v>
      </c>
      <c r="F349">
        <v>0</v>
      </c>
      <c r="G349">
        <v>0</v>
      </c>
      <c r="H349">
        <v>0</v>
      </c>
      <c r="I349">
        <v>0</v>
      </c>
      <c r="J349">
        <v>0</v>
      </c>
      <c r="K349">
        <v>0</v>
      </c>
      <c r="L349">
        <v>0</v>
      </c>
      <c r="M349">
        <v>0</v>
      </c>
      <c r="O349">
        <f t="shared" si="61"/>
        <v>0</v>
      </c>
      <c r="P349">
        <f t="shared" si="62"/>
        <v>0</v>
      </c>
      <c r="Q349">
        <f t="shared" si="63"/>
        <v>0</v>
      </c>
      <c r="R349">
        <f t="shared" si="64"/>
        <v>0</v>
      </c>
      <c r="S349">
        <f t="shared" si="65"/>
        <v>0</v>
      </c>
      <c r="T349">
        <f t="shared" si="66"/>
        <v>0</v>
      </c>
      <c r="U349">
        <f t="shared" si="67"/>
        <v>0</v>
      </c>
      <c r="V349">
        <f t="shared" si="68"/>
        <v>0</v>
      </c>
      <c r="W349">
        <f t="shared" si="69"/>
        <v>0</v>
      </c>
      <c r="X349">
        <f t="shared" si="70"/>
        <v>0</v>
      </c>
    </row>
    <row r="350" spans="1:24" hidden="1" x14ac:dyDescent="0.2">
      <c r="A350" t="s">
        <v>329</v>
      </c>
      <c r="B350" t="s">
        <v>279</v>
      </c>
      <c r="C350" t="s">
        <v>69</v>
      </c>
      <c r="D350" t="s">
        <v>154</v>
      </c>
      <c r="E350">
        <v>0</v>
      </c>
      <c r="F350">
        <v>0</v>
      </c>
      <c r="G350">
        <v>0</v>
      </c>
      <c r="H350">
        <v>0</v>
      </c>
      <c r="I350">
        <v>0</v>
      </c>
      <c r="J350">
        <v>0</v>
      </c>
      <c r="K350">
        <v>0</v>
      </c>
      <c r="L350">
        <v>0</v>
      </c>
      <c r="M350">
        <v>0</v>
      </c>
      <c r="O350">
        <f t="shared" si="61"/>
        <v>0</v>
      </c>
      <c r="P350">
        <f t="shared" si="62"/>
        <v>0</v>
      </c>
      <c r="Q350">
        <f t="shared" si="63"/>
        <v>0</v>
      </c>
      <c r="R350">
        <f t="shared" si="64"/>
        <v>0</v>
      </c>
      <c r="S350">
        <f t="shared" si="65"/>
        <v>0</v>
      </c>
      <c r="T350">
        <f t="shared" si="66"/>
        <v>0</v>
      </c>
      <c r="U350">
        <f t="shared" si="67"/>
        <v>0</v>
      </c>
      <c r="V350">
        <f t="shared" si="68"/>
        <v>0</v>
      </c>
      <c r="W350">
        <f t="shared" si="69"/>
        <v>0</v>
      </c>
      <c r="X350">
        <f t="shared" si="70"/>
        <v>0</v>
      </c>
    </row>
    <row r="351" spans="1:24" hidden="1" x14ac:dyDescent="0.2">
      <c r="A351" t="s">
        <v>329</v>
      </c>
      <c r="B351" t="s">
        <v>279</v>
      </c>
      <c r="C351" t="s">
        <v>69</v>
      </c>
      <c r="D351" t="s">
        <v>166</v>
      </c>
      <c r="E351">
        <v>0</v>
      </c>
      <c r="F351">
        <v>0</v>
      </c>
      <c r="G351">
        <v>0</v>
      </c>
      <c r="H351">
        <v>0</v>
      </c>
      <c r="I351">
        <v>0</v>
      </c>
      <c r="J351">
        <v>0</v>
      </c>
      <c r="K351">
        <v>0</v>
      </c>
      <c r="L351">
        <v>0</v>
      </c>
      <c r="M351">
        <v>0</v>
      </c>
      <c r="O351">
        <f t="shared" si="61"/>
        <v>0</v>
      </c>
      <c r="P351">
        <f t="shared" si="62"/>
        <v>0</v>
      </c>
      <c r="Q351">
        <f t="shared" si="63"/>
        <v>0</v>
      </c>
      <c r="R351">
        <f t="shared" si="64"/>
        <v>0</v>
      </c>
      <c r="S351">
        <f t="shared" si="65"/>
        <v>0</v>
      </c>
      <c r="T351">
        <f t="shared" si="66"/>
        <v>0</v>
      </c>
      <c r="U351">
        <f t="shared" si="67"/>
        <v>0</v>
      </c>
      <c r="V351">
        <f t="shared" si="68"/>
        <v>0</v>
      </c>
      <c r="W351">
        <f t="shared" si="69"/>
        <v>0</v>
      </c>
      <c r="X351">
        <f t="shared" si="70"/>
        <v>0</v>
      </c>
    </row>
    <row r="352" spans="1:24" x14ac:dyDescent="0.2">
      <c r="A352" t="s">
        <v>329</v>
      </c>
      <c r="B352" t="s">
        <v>278</v>
      </c>
      <c r="C352" t="s">
        <v>332</v>
      </c>
      <c r="D352" t="s">
        <v>158</v>
      </c>
      <c r="E352">
        <v>1.10001744506939E-2</v>
      </c>
      <c r="F352">
        <v>1.1007075168849001E-2</v>
      </c>
      <c r="G352">
        <v>8.0472421778965599E-3</v>
      </c>
      <c r="H352">
        <v>7.9075317973170602E-3</v>
      </c>
      <c r="I352">
        <v>7.8205912186750295E-3</v>
      </c>
      <c r="J352">
        <v>7.7306087769760798E-3</v>
      </c>
      <c r="K352">
        <v>7.5247249292059301E-3</v>
      </c>
      <c r="L352">
        <v>7.4117901629094799E-3</v>
      </c>
      <c r="M352">
        <v>7.3923563752556496E-3</v>
      </c>
      <c r="O352">
        <f t="shared" si="61"/>
        <v>0</v>
      </c>
    </row>
    <row r="353" spans="1:24" hidden="1" x14ac:dyDescent="0.2">
      <c r="A353" t="s">
        <v>329</v>
      </c>
      <c r="B353" t="s">
        <v>279</v>
      </c>
      <c r="C353" t="s">
        <v>69</v>
      </c>
      <c r="D353" t="s">
        <v>156</v>
      </c>
      <c r="E353">
        <v>5.5559285543744799E-2</v>
      </c>
      <c r="F353">
        <v>5.5559285543744799E-2</v>
      </c>
      <c r="G353">
        <v>5.7736480852220801E-2</v>
      </c>
      <c r="H353">
        <v>5.7097131897638903E-2</v>
      </c>
      <c r="I353">
        <v>5.6282335497047697E-2</v>
      </c>
      <c r="J353">
        <v>5.63643242367095E-2</v>
      </c>
      <c r="K353">
        <v>5.8426390456150903E-2</v>
      </c>
      <c r="L353">
        <v>5.7398134741908302E-2</v>
      </c>
      <c r="M353">
        <v>6.6282427322544205E-2</v>
      </c>
      <c r="O353">
        <f t="shared" si="61"/>
        <v>0</v>
      </c>
      <c r="P353">
        <f t="shared" si="62"/>
        <v>0</v>
      </c>
      <c r="Q353">
        <f t="shared" si="63"/>
        <v>0</v>
      </c>
      <c r="R353">
        <f t="shared" si="64"/>
        <v>0</v>
      </c>
      <c r="S353">
        <f t="shared" si="65"/>
        <v>0</v>
      </c>
      <c r="T353">
        <f t="shared" si="66"/>
        <v>0</v>
      </c>
      <c r="U353">
        <f t="shared" si="67"/>
        <v>0</v>
      </c>
      <c r="V353">
        <f t="shared" si="68"/>
        <v>0</v>
      </c>
      <c r="W353">
        <f t="shared" si="69"/>
        <v>0</v>
      </c>
      <c r="X353">
        <f t="shared" si="70"/>
        <v>0</v>
      </c>
    </row>
    <row r="354" spans="1:24" x14ac:dyDescent="0.2">
      <c r="A354" t="s">
        <v>329</v>
      </c>
      <c r="B354" t="s">
        <v>279</v>
      </c>
      <c r="C354" t="s">
        <v>332</v>
      </c>
      <c r="D354" t="s">
        <v>158</v>
      </c>
      <c r="E354">
        <v>1.08080178824822E-2</v>
      </c>
      <c r="F354">
        <v>1.0823404444911901E-2</v>
      </c>
      <c r="G354">
        <v>8.9400447560844705E-3</v>
      </c>
      <c r="H354">
        <v>8.7875304132281201E-3</v>
      </c>
      <c r="I354">
        <v>8.6701367037413692E-3</v>
      </c>
      <c r="J354">
        <v>8.5693562986475392E-3</v>
      </c>
      <c r="K354">
        <v>8.37839640461897E-3</v>
      </c>
      <c r="L354">
        <v>8.2750754361036894E-3</v>
      </c>
      <c r="M354">
        <v>8.2582872012105998E-3</v>
      </c>
      <c r="O354">
        <f t="shared" si="61"/>
        <v>0</v>
      </c>
      <c r="P354">
        <f t="shared" si="62"/>
        <v>0</v>
      </c>
      <c r="Q354">
        <f t="shared" si="63"/>
        <v>0</v>
      </c>
      <c r="R354">
        <f t="shared" si="64"/>
        <v>0</v>
      </c>
      <c r="S354">
        <f t="shared" si="65"/>
        <v>0</v>
      </c>
      <c r="T354">
        <f t="shared" si="66"/>
        <v>0</v>
      </c>
      <c r="U354">
        <f t="shared" si="67"/>
        <v>0</v>
      </c>
      <c r="V354">
        <f t="shared" si="68"/>
        <v>0</v>
      </c>
      <c r="W354">
        <f t="shared" si="69"/>
        <v>0</v>
      </c>
      <c r="X354">
        <f t="shared" si="70"/>
        <v>0</v>
      </c>
    </row>
    <row r="355" spans="1:24" hidden="1" x14ac:dyDescent="0.2">
      <c r="A355" t="s">
        <v>329</v>
      </c>
      <c r="B355" t="s">
        <v>275</v>
      </c>
      <c r="C355" t="s">
        <v>474</v>
      </c>
      <c r="D355" t="s">
        <v>160</v>
      </c>
      <c r="E355">
        <v>8.3724484739757798</v>
      </c>
      <c r="F355">
        <v>4.1627465742497201</v>
      </c>
      <c r="G355">
        <v>3.1751202223930601</v>
      </c>
      <c r="H355">
        <v>2.4249939689765201</v>
      </c>
      <c r="I355">
        <v>1.70690688791968</v>
      </c>
      <c r="J355">
        <v>1.2514395964623399</v>
      </c>
      <c r="K355">
        <v>1.08513363287536</v>
      </c>
      <c r="L355">
        <v>1.0523853124874001</v>
      </c>
      <c r="M355">
        <v>1.0428628562345901</v>
      </c>
      <c r="O355">
        <f t="shared" si="61"/>
        <v>67.2</v>
      </c>
      <c r="P355">
        <f t="shared" si="62"/>
        <v>0</v>
      </c>
      <c r="Q355">
        <f t="shared" si="63"/>
        <v>0</v>
      </c>
      <c r="R355">
        <f t="shared" si="64"/>
        <v>0</v>
      </c>
      <c r="S355">
        <f t="shared" si="65"/>
        <v>0</v>
      </c>
      <c r="T355">
        <f t="shared" si="66"/>
        <v>0</v>
      </c>
      <c r="U355">
        <f t="shared" si="67"/>
        <v>0</v>
      </c>
      <c r="V355">
        <f t="shared" si="68"/>
        <v>0</v>
      </c>
      <c r="W355">
        <f t="shared" si="69"/>
        <v>0</v>
      </c>
      <c r="X355">
        <f t="shared" si="70"/>
        <v>0</v>
      </c>
    </row>
    <row r="356" spans="1:24" hidden="1" x14ac:dyDescent="0.2">
      <c r="A356" t="s">
        <v>329</v>
      </c>
      <c r="B356" t="s">
        <v>275</v>
      </c>
      <c r="C356" t="s">
        <v>474</v>
      </c>
      <c r="D356" t="s">
        <v>151</v>
      </c>
      <c r="E356">
        <v>1.0718533711852101</v>
      </c>
      <c r="F356">
        <v>0.36460893881337703</v>
      </c>
      <c r="G356">
        <v>0.21511450722659001</v>
      </c>
      <c r="H356">
        <v>0.139073943805895</v>
      </c>
      <c r="I356">
        <v>9.3994703060775397E-2</v>
      </c>
      <c r="J356">
        <v>6.4842069109482106E-2</v>
      </c>
      <c r="K356">
        <v>5.3324297371198003E-2</v>
      </c>
      <c r="L356">
        <v>5.1077075101125899E-2</v>
      </c>
      <c r="M356">
        <v>5.0515001573367802E-2</v>
      </c>
      <c r="O356">
        <f t="shared" si="61"/>
        <v>67.2</v>
      </c>
      <c r="P356">
        <f t="shared" si="62"/>
        <v>0</v>
      </c>
      <c r="Q356">
        <f t="shared" si="63"/>
        <v>0</v>
      </c>
      <c r="R356">
        <f t="shared" si="64"/>
        <v>0</v>
      </c>
      <c r="S356">
        <f t="shared" si="65"/>
        <v>0</v>
      </c>
      <c r="T356">
        <f t="shared" si="66"/>
        <v>0</v>
      </c>
      <c r="U356">
        <f t="shared" si="67"/>
        <v>0</v>
      </c>
      <c r="V356">
        <f t="shared" si="68"/>
        <v>0</v>
      </c>
      <c r="W356">
        <f t="shared" si="69"/>
        <v>0</v>
      </c>
      <c r="X356">
        <f t="shared" si="70"/>
        <v>0</v>
      </c>
    </row>
    <row r="357" spans="1:24" hidden="1" x14ac:dyDescent="0.2">
      <c r="A357" t="s">
        <v>329</v>
      </c>
      <c r="B357" t="s">
        <v>275</v>
      </c>
      <c r="C357" t="s">
        <v>474</v>
      </c>
      <c r="D357" t="s">
        <v>164</v>
      </c>
      <c r="E357">
        <v>2.6956018112566399E-2</v>
      </c>
      <c r="F357">
        <v>1.34658307347327E-2</v>
      </c>
      <c r="G357">
        <v>9.3894603021837404E-3</v>
      </c>
      <c r="H357">
        <v>7.0033629233446602E-3</v>
      </c>
      <c r="I357">
        <v>5.3239927293304897E-3</v>
      </c>
      <c r="J357">
        <v>4.3843601374209101E-3</v>
      </c>
      <c r="K357">
        <v>4.0098404179204098E-3</v>
      </c>
      <c r="L357">
        <v>3.9353236892684601E-3</v>
      </c>
      <c r="M357">
        <v>3.9163261358457898E-3</v>
      </c>
      <c r="O357">
        <f t="shared" si="61"/>
        <v>67.2</v>
      </c>
      <c r="P357">
        <f t="shared" si="62"/>
        <v>0</v>
      </c>
      <c r="Q357">
        <f t="shared" si="63"/>
        <v>0</v>
      </c>
      <c r="R357">
        <f t="shared" si="64"/>
        <v>0</v>
      </c>
      <c r="S357">
        <f t="shared" si="65"/>
        <v>0</v>
      </c>
      <c r="T357">
        <f t="shared" si="66"/>
        <v>0</v>
      </c>
      <c r="U357">
        <f t="shared" si="67"/>
        <v>0</v>
      </c>
      <c r="V357">
        <f t="shared" si="68"/>
        <v>0</v>
      </c>
      <c r="W357">
        <f t="shared" si="69"/>
        <v>0</v>
      </c>
      <c r="X357">
        <f t="shared" si="70"/>
        <v>0</v>
      </c>
    </row>
    <row r="358" spans="1:24" hidden="1" x14ac:dyDescent="0.2">
      <c r="A358" t="s">
        <v>329</v>
      </c>
      <c r="B358" t="s">
        <v>275</v>
      </c>
      <c r="C358" t="s">
        <v>474</v>
      </c>
      <c r="D358" t="s">
        <v>162</v>
      </c>
      <c r="E358">
        <v>3.2554396642423301E-2</v>
      </c>
      <c r="F358">
        <v>1.6017649581510501E-2</v>
      </c>
      <c r="G358">
        <v>1.28180229048352E-2</v>
      </c>
      <c r="H358">
        <v>1.0583305909777799E-2</v>
      </c>
      <c r="I358">
        <v>9.8706266624545898E-3</v>
      </c>
      <c r="J358">
        <v>9.6808540163978701E-3</v>
      </c>
      <c r="K358">
        <v>9.6638213571883201E-3</v>
      </c>
      <c r="L358">
        <v>9.6518757254844302E-3</v>
      </c>
      <c r="M358">
        <v>9.6517300620170606E-3</v>
      </c>
      <c r="O358">
        <f t="shared" si="61"/>
        <v>67.2</v>
      </c>
      <c r="P358">
        <f t="shared" si="62"/>
        <v>0</v>
      </c>
      <c r="Q358">
        <f t="shared" si="63"/>
        <v>0</v>
      </c>
      <c r="R358">
        <f t="shared" si="64"/>
        <v>0</v>
      </c>
      <c r="S358">
        <f t="shared" si="65"/>
        <v>0</v>
      </c>
      <c r="T358">
        <f t="shared" si="66"/>
        <v>0</v>
      </c>
      <c r="U358">
        <f t="shared" si="67"/>
        <v>0</v>
      </c>
      <c r="V358">
        <f t="shared" si="68"/>
        <v>0</v>
      </c>
      <c r="W358">
        <f t="shared" si="69"/>
        <v>0</v>
      </c>
      <c r="X358">
        <f t="shared" si="70"/>
        <v>0</v>
      </c>
    </row>
    <row r="359" spans="1:24" hidden="1" x14ac:dyDescent="0.2">
      <c r="A359" t="s">
        <v>329</v>
      </c>
      <c r="B359" t="s">
        <v>275</v>
      </c>
      <c r="C359" t="s">
        <v>474</v>
      </c>
      <c r="D359" t="s">
        <v>168</v>
      </c>
      <c r="E359">
        <v>4.0733963003343997E-2</v>
      </c>
      <c r="F359">
        <v>2.6884307806253501E-2</v>
      </c>
      <c r="G359">
        <v>2.76712883842389E-2</v>
      </c>
      <c r="H359">
        <v>2.6800927526971399E-2</v>
      </c>
      <c r="I359">
        <v>2.6625500716845999E-2</v>
      </c>
      <c r="J359">
        <v>2.6517187664905299E-2</v>
      </c>
      <c r="K359">
        <v>2.6514765121336398E-2</v>
      </c>
      <c r="L359">
        <v>2.6514982004052799E-2</v>
      </c>
      <c r="M359">
        <v>2.6514840985617901E-2</v>
      </c>
      <c r="O359">
        <f t="shared" si="61"/>
        <v>67.2</v>
      </c>
      <c r="P359">
        <f t="shared" si="62"/>
        <v>0</v>
      </c>
      <c r="Q359">
        <f t="shared" si="63"/>
        <v>0</v>
      </c>
      <c r="R359">
        <f t="shared" si="64"/>
        <v>0</v>
      </c>
      <c r="S359">
        <f t="shared" si="65"/>
        <v>0</v>
      </c>
      <c r="T359">
        <f t="shared" si="66"/>
        <v>0</v>
      </c>
      <c r="U359">
        <f t="shared" si="67"/>
        <v>0</v>
      </c>
      <c r="V359">
        <f t="shared" si="68"/>
        <v>0</v>
      </c>
      <c r="W359">
        <f t="shared" si="69"/>
        <v>0</v>
      </c>
      <c r="X359">
        <f t="shared" si="70"/>
        <v>0</v>
      </c>
    </row>
    <row r="360" spans="1:24" hidden="1" x14ac:dyDescent="0.2">
      <c r="A360" t="s">
        <v>329</v>
      </c>
      <c r="B360" t="s">
        <v>275</v>
      </c>
      <c r="C360" t="s">
        <v>474</v>
      </c>
      <c r="D360" t="s">
        <v>154</v>
      </c>
      <c r="E360">
        <v>1.1131330015415801E-2</v>
      </c>
      <c r="F360">
        <v>1.0095400092945701E-2</v>
      </c>
      <c r="G360">
        <v>8.0802908150159908E-3</v>
      </c>
      <c r="H360">
        <v>6.7602528861516898E-3</v>
      </c>
      <c r="I360">
        <v>5.91236027599469E-3</v>
      </c>
      <c r="J360">
        <v>5.4822597906763401E-3</v>
      </c>
      <c r="K360">
        <v>5.2935788275333302E-3</v>
      </c>
      <c r="L360">
        <v>5.2546135130106296E-3</v>
      </c>
      <c r="M360">
        <v>5.2485706596045499E-3</v>
      </c>
      <c r="O360">
        <f t="shared" si="61"/>
        <v>67.2</v>
      </c>
      <c r="P360">
        <f t="shared" si="62"/>
        <v>0</v>
      </c>
      <c r="Q360">
        <f t="shared" si="63"/>
        <v>0</v>
      </c>
      <c r="R360">
        <f t="shared" si="64"/>
        <v>0</v>
      </c>
      <c r="S360">
        <f t="shared" si="65"/>
        <v>0</v>
      </c>
      <c r="T360">
        <f t="shared" si="66"/>
        <v>0</v>
      </c>
      <c r="U360">
        <f t="shared" si="67"/>
        <v>0</v>
      </c>
      <c r="V360">
        <f t="shared" si="68"/>
        <v>0</v>
      </c>
      <c r="W360">
        <f t="shared" si="69"/>
        <v>0</v>
      </c>
      <c r="X360">
        <f t="shared" si="70"/>
        <v>0</v>
      </c>
    </row>
    <row r="361" spans="1:24" hidden="1" x14ac:dyDescent="0.2">
      <c r="A361" t="s">
        <v>329</v>
      </c>
      <c r="B361" t="s">
        <v>275</v>
      </c>
      <c r="C361" t="s">
        <v>474</v>
      </c>
      <c r="D361" t="s">
        <v>166</v>
      </c>
      <c r="E361">
        <v>0.75410467086382504</v>
      </c>
      <c r="F361">
        <v>0.30716529341050203</v>
      </c>
      <c r="G361">
        <v>0.218458543904193</v>
      </c>
      <c r="H361">
        <v>0.174207304630736</v>
      </c>
      <c r="I361">
        <v>0.13536180371571599</v>
      </c>
      <c r="J361">
        <v>0.11114380654549</v>
      </c>
      <c r="K361">
        <v>0.10034512501771201</v>
      </c>
      <c r="L361">
        <v>9.7817067770384694E-2</v>
      </c>
      <c r="M361">
        <v>9.6958015755652494E-2</v>
      </c>
      <c r="O361">
        <f t="shared" si="61"/>
        <v>67.2</v>
      </c>
      <c r="P361">
        <f t="shared" si="62"/>
        <v>0</v>
      </c>
      <c r="Q361">
        <f t="shared" si="63"/>
        <v>0</v>
      </c>
      <c r="R361">
        <f t="shared" si="64"/>
        <v>0</v>
      </c>
      <c r="S361">
        <f t="shared" si="65"/>
        <v>0</v>
      </c>
      <c r="T361">
        <f t="shared" si="66"/>
        <v>0</v>
      </c>
      <c r="U361">
        <f t="shared" si="67"/>
        <v>0</v>
      </c>
      <c r="V361">
        <f t="shared" si="68"/>
        <v>0</v>
      </c>
      <c r="W361">
        <f t="shared" si="69"/>
        <v>0</v>
      </c>
      <c r="X361">
        <f t="shared" si="70"/>
        <v>0</v>
      </c>
    </row>
    <row r="362" spans="1:24" x14ac:dyDescent="0.2">
      <c r="A362" t="s">
        <v>329</v>
      </c>
      <c r="B362" t="s">
        <v>275</v>
      </c>
      <c r="C362" t="s">
        <v>69</v>
      </c>
      <c r="D362" t="s">
        <v>158</v>
      </c>
      <c r="E362">
        <v>1.03108758060313E-2</v>
      </c>
      <c r="F362">
        <v>1.03108758060313E-2</v>
      </c>
      <c r="G362">
        <v>1.04950105114693E-2</v>
      </c>
      <c r="H362">
        <v>1.0437861219331801E-2</v>
      </c>
      <c r="I362">
        <v>1.03688634344179E-2</v>
      </c>
      <c r="J362">
        <v>1.03756090226824E-2</v>
      </c>
      <c r="K362">
        <v>1.0559814868786901E-2</v>
      </c>
      <c r="L362">
        <v>1.04644458943117E-2</v>
      </c>
      <c r="M362">
        <v>1.1649186967367799E-2</v>
      </c>
      <c r="O362">
        <f t="shared" si="61"/>
        <v>0</v>
      </c>
      <c r="P362">
        <f t="shared" si="62"/>
        <v>0</v>
      </c>
      <c r="Q362">
        <f t="shared" si="63"/>
        <v>0</v>
      </c>
      <c r="R362">
        <f t="shared" si="64"/>
        <v>0</v>
      </c>
      <c r="S362">
        <f t="shared" si="65"/>
        <v>0</v>
      </c>
      <c r="T362">
        <f t="shared" si="66"/>
        <v>0</v>
      </c>
      <c r="U362">
        <f t="shared" si="67"/>
        <v>0</v>
      </c>
      <c r="V362">
        <f t="shared" si="68"/>
        <v>0</v>
      </c>
      <c r="W362">
        <f t="shared" si="69"/>
        <v>0</v>
      </c>
      <c r="X362">
        <f t="shared" si="70"/>
        <v>0</v>
      </c>
    </row>
    <row r="363" spans="1:24" hidden="1" x14ac:dyDescent="0.2">
      <c r="A363" t="s">
        <v>329</v>
      </c>
      <c r="B363" t="s">
        <v>275</v>
      </c>
      <c r="C363" t="s">
        <v>474</v>
      </c>
      <c r="D363" t="s">
        <v>156</v>
      </c>
      <c r="E363">
        <v>8.4672967273815902E-2</v>
      </c>
      <c r="F363">
        <v>8.05962896778539E-2</v>
      </c>
      <c r="G363">
        <v>8.8160367229529593E-2</v>
      </c>
      <c r="H363">
        <v>8.6879117258843994E-2</v>
      </c>
      <c r="I363">
        <v>8.54475878127927E-2</v>
      </c>
      <c r="J363">
        <v>8.4196574123060697E-2</v>
      </c>
      <c r="K363">
        <v>8.3484871045575698E-2</v>
      </c>
      <c r="L363">
        <v>8.3214240833257597E-2</v>
      </c>
      <c r="M363">
        <v>8.3146851731389901E-2</v>
      </c>
      <c r="O363">
        <f t="shared" si="61"/>
        <v>67.2</v>
      </c>
      <c r="P363">
        <f t="shared" si="62"/>
        <v>0</v>
      </c>
      <c r="Q363">
        <f t="shared" si="63"/>
        <v>0</v>
      </c>
      <c r="R363">
        <f t="shared" si="64"/>
        <v>0</v>
      </c>
      <c r="S363">
        <f t="shared" si="65"/>
        <v>0</v>
      </c>
      <c r="T363">
        <f t="shared" si="66"/>
        <v>0</v>
      </c>
      <c r="U363">
        <f t="shared" si="67"/>
        <v>0</v>
      </c>
      <c r="V363">
        <f t="shared" si="68"/>
        <v>0</v>
      </c>
      <c r="W363">
        <f t="shared" si="69"/>
        <v>0</v>
      </c>
      <c r="X363">
        <f t="shared" si="70"/>
        <v>0</v>
      </c>
    </row>
    <row r="364" spans="1:24" x14ac:dyDescent="0.2">
      <c r="A364" t="s">
        <v>329</v>
      </c>
      <c r="B364" t="s">
        <v>276</v>
      </c>
      <c r="C364" t="s">
        <v>69</v>
      </c>
      <c r="D364" t="s">
        <v>158</v>
      </c>
      <c r="E364">
        <v>7.8784862454901097E-3</v>
      </c>
      <c r="F364">
        <v>7.8784862454901097E-3</v>
      </c>
      <c r="G364">
        <v>8.0016456663378702E-3</v>
      </c>
      <c r="H364">
        <v>7.9638149820354803E-3</v>
      </c>
      <c r="I364">
        <v>7.9176631120935204E-3</v>
      </c>
      <c r="J364">
        <v>7.9222008271655799E-3</v>
      </c>
      <c r="K364">
        <v>8.0441831600042597E-3</v>
      </c>
      <c r="L364">
        <v>7.9814508287023994E-3</v>
      </c>
      <c r="M364">
        <v>8.6992228380395695E-3</v>
      </c>
      <c r="O364">
        <f t="shared" si="61"/>
        <v>0</v>
      </c>
      <c r="P364">
        <f t="shared" si="62"/>
        <v>0</v>
      </c>
      <c r="Q364">
        <f t="shared" si="63"/>
        <v>0</v>
      </c>
      <c r="R364">
        <f t="shared" si="64"/>
        <v>0</v>
      </c>
      <c r="S364">
        <f t="shared" si="65"/>
        <v>0</v>
      </c>
      <c r="T364">
        <f t="shared" si="66"/>
        <v>0</v>
      </c>
      <c r="U364">
        <f t="shared" si="67"/>
        <v>0</v>
      </c>
      <c r="V364">
        <f t="shared" si="68"/>
        <v>0</v>
      </c>
      <c r="W364">
        <f t="shared" si="69"/>
        <v>0</v>
      </c>
      <c r="X364">
        <f t="shared" si="70"/>
        <v>0</v>
      </c>
    </row>
    <row r="365" spans="1:24" hidden="1" x14ac:dyDescent="0.2">
      <c r="A365" t="s">
        <v>329</v>
      </c>
      <c r="B365" t="s">
        <v>276</v>
      </c>
      <c r="C365" t="s">
        <v>474</v>
      </c>
      <c r="D365" t="s">
        <v>160</v>
      </c>
      <c r="E365">
        <v>7.9565646159599703</v>
      </c>
      <c r="F365">
        <v>3.8702099021089098</v>
      </c>
      <c r="G365">
        <v>2.7335988385504</v>
      </c>
      <c r="H365">
        <v>2.0883869413410898</v>
      </c>
      <c r="I365">
        <v>1.47075089091061</v>
      </c>
      <c r="J365">
        <v>1.07685812487465</v>
      </c>
      <c r="K365">
        <v>0.93279096708598197</v>
      </c>
      <c r="L365">
        <v>0.90452078877762399</v>
      </c>
      <c r="M365">
        <v>0.89628145981378204</v>
      </c>
      <c r="O365">
        <f t="shared" si="61"/>
        <v>67.2</v>
      </c>
      <c r="P365">
        <f t="shared" si="62"/>
        <v>0</v>
      </c>
      <c r="Q365">
        <f t="shared" si="63"/>
        <v>0</v>
      </c>
      <c r="R365">
        <f t="shared" si="64"/>
        <v>0</v>
      </c>
      <c r="S365">
        <f t="shared" si="65"/>
        <v>0</v>
      </c>
      <c r="T365">
        <f t="shared" si="66"/>
        <v>0</v>
      </c>
      <c r="U365">
        <f t="shared" si="67"/>
        <v>0</v>
      </c>
      <c r="V365">
        <f t="shared" si="68"/>
        <v>0</v>
      </c>
      <c r="W365">
        <f t="shared" si="69"/>
        <v>0</v>
      </c>
      <c r="X365">
        <f t="shared" si="70"/>
        <v>0</v>
      </c>
    </row>
    <row r="366" spans="1:24" hidden="1" x14ac:dyDescent="0.2">
      <c r="A366" t="s">
        <v>329</v>
      </c>
      <c r="B366" t="s">
        <v>276</v>
      </c>
      <c r="C366" t="s">
        <v>474</v>
      </c>
      <c r="D366" t="s">
        <v>151</v>
      </c>
      <c r="E366">
        <v>1.1576605941285101</v>
      </c>
      <c r="F366">
        <v>0.37657543091819101</v>
      </c>
      <c r="G366">
        <v>0.200631007186098</v>
      </c>
      <c r="H366">
        <v>0.130138169147933</v>
      </c>
      <c r="I366">
        <v>8.7384287154233006E-2</v>
      </c>
      <c r="J366">
        <v>5.9391933302032802E-2</v>
      </c>
      <c r="K366">
        <v>4.8180846872995502E-2</v>
      </c>
      <c r="L366">
        <v>4.5998445887843901E-2</v>
      </c>
      <c r="M366">
        <v>4.5463770278463003E-2</v>
      </c>
      <c r="O366">
        <f t="shared" si="61"/>
        <v>67.2</v>
      </c>
      <c r="P366">
        <f t="shared" si="62"/>
        <v>0</v>
      </c>
      <c r="Q366">
        <f t="shared" si="63"/>
        <v>0</v>
      </c>
      <c r="R366">
        <f t="shared" si="64"/>
        <v>0</v>
      </c>
      <c r="S366">
        <f t="shared" si="65"/>
        <v>0</v>
      </c>
      <c r="T366">
        <f t="shared" si="66"/>
        <v>0</v>
      </c>
      <c r="U366">
        <f t="shared" si="67"/>
        <v>0</v>
      </c>
      <c r="V366">
        <f t="shared" si="68"/>
        <v>0</v>
      </c>
      <c r="W366">
        <f t="shared" si="69"/>
        <v>0</v>
      </c>
      <c r="X366">
        <f t="shared" si="70"/>
        <v>0</v>
      </c>
    </row>
    <row r="367" spans="1:24" hidden="1" x14ac:dyDescent="0.2">
      <c r="A367" t="s">
        <v>329</v>
      </c>
      <c r="B367" t="s">
        <v>276</v>
      </c>
      <c r="C367" t="s">
        <v>474</v>
      </c>
      <c r="D367" t="s">
        <v>164</v>
      </c>
      <c r="E367">
        <v>2.4719955118713801E-2</v>
      </c>
      <c r="F367">
        <v>1.1661513599851301E-2</v>
      </c>
      <c r="G367">
        <v>7.8709608571459096E-3</v>
      </c>
      <c r="H367">
        <v>5.8339351334527802E-3</v>
      </c>
      <c r="I367">
        <v>4.3766981897469699E-3</v>
      </c>
      <c r="J367">
        <v>3.5528104359983199E-3</v>
      </c>
      <c r="K367">
        <v>3.22504897123442E-3</v>
      </c>
      <c r="L367">
        <v>3.1599803429776798E-3</v>
      </c>
      <c r="M367">
        <v>3.14346479961037E-3</v>
      </c>
      <c r="O367">
        <f t="shared" si="61"/>
        <v>67.2</v>
      </c>
      <c r="P367">
        <f t="shared" si="62"/>
        <v>0</v>
      </c>
      <c r="Q367">
        <f t="shared" si="63"/>
        <v>0</v>
      </c>
      <c r="R367">
        <f t="shared" si="64"/>
        <v>0</v>
      </c>
      <c r="S367">
        <f t="shared" si="65"/>
        <v>0</v>
      </c>
      <c r="T367">
        <f t="shared" si="66"/>
        <v>0</v>
      </c>
      <c r="U367">
        <f t="shared" si="67"/>
        <v>0</v>
      </c>
      <c r="V367">
        <f t="shared" si="68"/>
        <v>0</v>
      </c>
      <c r="W367">
        <f t="shared" si="69"/>
        <v>0</v>
      </c>
      <c r="X367">
        <f t="shared" si="70"/>
        <v>0</v>
      </c>
    </row>
    <row r="368" spans="1:24" hidden="1" x14ac:dyDescent="0.2">
      <c r="A368" t="s">
        <v>329</v>
      </c>
      <c r="B368" t="s">
        <v>276</v>
      </c>
      <c r="C368" t="s">
        <v>474</v>
      </c>
      <c r="D368" t="s">
        <v>162</v>
      </c>
      <c r="E368">
        <v>3.03650059727909E-2</v>
      </c>
      <c r="F368">
        <v>1.4082255195084201E-2</v>
      </c>
      <c r="G368">
        <v>1.02501392291264E-2</v>
      </c>
      <c r="H368">
        <v>8.4672860842590798E-3</v>
      </c>
      <c r="I368">
        <v>7.8971225513288796E-3</v>
      </c>
      <c r="J368">
        <v>7.74471118736339E-3</v>
      </c>
      <c r="K368">
        <v>7.7309583747445501E-3</v>
      </c>
      <c r="L368">
        <v>7.7212921450181696E-3</v>
      </c>
      <c r="M368">
        <v>7.7211798207146498E-3</v>
      </c>
      <c r="O368">
        <f t="shared" si="61"/>
        <v>67.2</v>
      </c>
      <c r="P368">
        <f t="shared" si="62"/>
        <v>0</v>
      </c>
      <c r="Q368">
        <f t="shared" si="63"/>
        <v>0</v>
      </c>
      <c r="R368">
        <f t="shared" si="64"/>
        <v>0</v>
      </c>
      <c r="S368">
        <f t="shared" si="65"/>
        <v>0</v>
      </c>
      <c r="T368">
        <f t="shared" si="66"/>
        <v>0</v>
      </c>
      <c r="U368">
        <f t="shared" si="67"/>
        <v>0</v>
      </c>
      <c r="V368">
        <f t="shared" si="68"/>
        <v>0</v>
      </c>
      <c r="W368">
        <f t="shared" si="69"/>
        <v>0</v>
      </c>
      <c r="X368">
        <f t="shared" si="70"/>
        <v>0</v>
      </c>
    </row>
    <row r="369" spans="1:24" hidden="1" x14ac:dyDescent="0.2">
      <c r="A369" t="s">
        <v>329</v>
      </c>
      <c r="B369" t="s">
        <v>276</v>
      </c>
      <c r="C369" t="s">
        <v>474</v>
      </c>
      <c r="D369" t="s">
        <v>168</v>
      </c>
      <c r="E369">
        <v>4.4698091592695097E-2</v>
      </c>
      <c r="F369">
        <v>2.7795500568958399E-2</v>
      </c>
      <c r="G369">
        <v>2.5530115420681499E-2</v>
      </c>
      <c r="H369">
        <v>2.4729068202491999E-2</v>
      </c>
      <c r="I369">
        <v>2.45663123894986E-2</v>
      </c>
      <c r="J369">
        <v>2.44661179940012E-2</v>
      </c>
      <c r="K369">
        <v>2.4463818178602499E-2</v>
      </c>
      <c r="L369">
        <v>2.4464059869155001E-2</v>
      </c>
      <c r="M369">
        <v>2.44639179462426E-2</v>
      </c>
      <c r="O369">
        <f t="shared" si="61"/>
        <v>67.2</v>
      </c>
      <c r="P369">
        <f t="shared" si="62"/>
        <v>0</v>
      </c>
      <c r="Q369">
        <f t="shared" si="63"/>
        <v>0</v>
      </c>
      <c r="R369">
        <f t="shared" si="64"/>
        <v>0</v>
      </c>
      <c r="S369">
        <f t="shared" si="65"/>
        <v>0</v>
      </c>
      <c r="T369">
        <f t="shared" si="66"/>
        <v>0</v>
      </c>
      <c r="U369">
        <f t="shared" si="67"/>
        <v>0</v>
      </c>
      <c r="V369">
        <f t="shared" si="68"/>
        <v>0</v>
      </c>
      <c r="W369">
        <f t="shared" si="69"/>
        <v>0</v>
      </c>
      <c r="X369">
        <f t="shared" si="70"/>
        <v>0</v>
      </c>
    </row>
    <row r="370" spans="1:24" hidden="1" x14ac:dyDescent="0.2">
      <c r="A370" t="s">
        <v>329</v>
      </c>
      <c r="B370" t="s">
        <v>276</v>
      </c>
      <c r="C370" t="s">
        <v>474</v>
      </c>
      <c r="D370" t="s">
        <v>154</v>
      </c>
      <c r="E370">
        <v>1.0335998327469099E-2</v>
      </c>
      <c r="F370">
        <v>9.5737115204566903E-3</v>
      </c>
      <c r="G370">
        <v>7.0841642304725503E-3</v>
      </c>
      <c r="H370">
        <v>5.9244730772948402E-3</v>
      </c>
      <c r="I370">
        <v>5.1805148263819496E-3</v>
      </c>
      <c r="J370">
        <v>4.8037413964933202E-3</v>
      </c>
      <c r="K370">
        <v>4.6385693545218003E-3</v>
      </c>
      <c r="L370">
        <v>4.6044395711825996E-3</v>
      </c>
      <c r="M370">
        <v>4.5991353866608299E-3</v>
      </c>
      <c r="O370">
        <f t="shared" si="61"/>
        <v>67.2</v>
      </c>
      <c r="P370">
        <f t="shared" si="62"/>
        <v>0</v>
      </c>
      <c r="Q370">
        <f t="shared" si="63"/>
        <v>0</v>
      </c>
      <c r="R370">
        <f t="shared" si="64"/>
        <v>0</v>
      </c>
      <c r="S370">
        <f t="shared" si="65"/>
        <v>0</v>
      </c>
      <c r="T370">
        <f t="shared" si="66"/>
        <v>0</v>
      </c>
      <c r="U370">
        <f t="shared" si="67"/>
        <v>0</v>
      </c>
      <c r="V370">
        <f t="shared" si="68"/>
        <v>0</v>
      </c>
      <c r="W370">
        <f t="shared" si="69"/>
        <v>0</v>
      </c>
      <c r="X370">
        <f t="shared" si="70"/>
        <v>0</v>
      </c>
    </row>
    <row r="371" spans="1:24" hidden="1" x14ac:dyDescent="0.2">
      <c r="A371" t="s">
        <v>329</v>
      </c>
      <c r="B371" t="s">
        <v>276</v>
      </c>
      <c r="C371" t="s">
        <v>474</v>
      </c>
      <c r="D371" t="s">
        <v>166</v>
      </c>
      <c r="E371">
        <v>0.72765138885249603</v>
      </c>
      <c r="F371">
        <v>0.27522727735895502</v>
      </c>
      <c r="G371">
        <v>0.17671155677793199</v>
      </c>
      <c r="H371">
        <v>0.14074688174212499</v>
      </c>
      <c r="I371">
        <v>0.108786876897298</v>
      </c>
      <c r="J371">
        <v>8.8699698349724701E-2</v>
      </c>
      <c r="K371">
        <v>7.9766902090939798E-2</v>
      </c>
      <c r="L371">
        <v>7.7681525191979198E-2</v>
      </c>
      <c r="M371">
        <v>7.6973771730261001E-2</v>
      </c>
      <c r="O371">
        <f t="shared" si="61"/>
        <v>67.2</v>
      </c>
      <c r="P371">
        <f t="shared" si="62"/>
        <v>0</v>
      </c>
      <c r="Q371">
        <f t="shared" si="63"/>
        <v>0</v>
      </c>
      <c r="R371">
        <f t="shared" si="64"/>
        <v>0</v>
      </c>
      <c r="S371">
        <f t="shared" si="65"/>
        <v>0</v>
      </c>
      <c r="T371">
        <f t="shared" si="66"/>
        <v>0</v>
      </c>
      <c r="U371">
        <f t="shared" si="67"/>
        <v>0</v>
      </c>
      <c r="V371">
        <f t="shared" si="68"/>
        <v>0</v>
      </c>
      <c r="W371">
        <f t="shared" si="69"/>
        <v>0</v>
      </c>
      <c r="X371">
        <f t="shared" si="70"/>
        <v>0</v>
      </c>
    </row>
    <row r="372" spans="1:24" x14ac:dyDescent="0.2">
      <c r="A372" t="s">
        <v>329</v>
      </c>
      <c r="B372" t="s">
        <v>277</v>
      </c>
      <c r="C372" t="s">
        <v>69</v>
      </c>
      <c r="D372" t="s">
        <v>158</v>
      </c>
      <c r="E372">
        <v>1.04854991341872E-2</v>
      </c>
      <c r="F372">
        <v>1.04854991341872E-2</v>
      </c>
      <c r="G372">
        <v>1.07152293014581E-2</v>
      </c>
      <c r="H372">
        <v>1.0644044019893001E-2</v>
      </c>
      <c r="I372">
        <v>1.0557942432164499E-2</v>
      </c>
      <c r="J372">
        <v>1.05663894655596E-2</v>
      </c>
      <c r="K372">
        <v>1.0795953547305901E-2</v>
      </c>
      <c r="L372">
        <v>1.0677167101732899E-2</v>
      </c>
      <c r="M372">
        <v>1.21380889448129E-2</v>
      </c>
      <c r="O372">
        <f t="shared" si="61"/>
        <v>0</v>
      </c>
      <c r="P372">
        <f t="shared" si="62"/>
        <v>0</v>
      </c>
      <c r="Q372">
        <f t="shared" si="63"/>
        <v>0</v>
      </c>
      <c r="R372">
        <f t="shared" si="64"/>
        <v>0</v>
      </c>
      <c r="S372">
        <f t="shared" si="65"/>
        <v>0</v>
      </c>
      <c r="T372">
        <f t="shared" si="66"/>
        <v>0</v>
      </c>
      <c r="U372">
        <f t="shared" si="67"/>
        <v>0</v>
      </c>
      <c r="V372">
        <f t="shared" si="68"/>
        <v>0</v>
      </c>
      <c r="W372">
        <f t="shared" si="69"/>
        <v>0</v>
      </c>
      <c r="X372">
        <f t="shared" si="70"/>
        <v>0</v>
      </c>
    </row>
    <row r="373" spans="1:24" hidden="1" x14ac:dyDescent="0.2">
      <c r="A373" t="s">
        <v>329</v>
      </c>
      <c r="B373" t="s">
        <v>276</v>
      </c>
      <c r="C373" t="s">
        <v>474</v>
      </c>
      <c r="D373" t="s">
        <v>156</v>
      </c>
      <c r="E373">
        <v>7.1069962611333096E-2</v>
      </c>
      <c r="F373">
        <v>6.7310649866491198E-2</v>
      </c>
      <c r="G373">
        <v>6.7628560391991902E-2</v>
      </c>
      <c r="H373">
        <v>6.6559280493503098E-2</v>
      </c>
      <c r="I373">
        <v>6.53360817606774E-2</v>
      </c>
      <c r="J373">
        <v>6.4268763456515193E-2</v>
      </c>
      <c r="K373">
        <v>6.3662257235357594E-2</v>
      </c>
      <c r="L373">
        <v>6.3432754124854704E-2</v>
      </c>
      <c r="M373">
        <v>6.3375800941285698E-2</v>
      </c>
      <c r="O373">
        <f t="shared" si="61"/>
        <v>67.2</v>
      </c>
      <c r="P373">
        <f t="shared" si="62"/>
        <v>0</v>
      </c>
      <c r="Q373">
        <f t="shared" si="63"/>
        <v>0</v>
      </c>
      <c r="R373">
        <f t="shared" si="64"/>
        <v>0</v>
      </c>
      <c r="S373">
        <f t="shared" si="65"/>
        <v>0</v>
      </c>
      <c r="T373">
        <f t="shared" si="66"/>
        <v>0</v>
      </c>
      <c r="U373">
        <f t="shared" si="67"/>
        <v>0</v>
      </c>
      <c r="V373">
        <f t="shared" si="68"/>
        <v>0</v>
      </c>
      <c r="W373">
        <f t="shared" si="69"/>
        <v>0</v>
      </c>
      <c r="X373">
        <f t="shared" si="70"/>
        <v>0</v>
      </c>
    </row>
    <row r="374" spans="1:24" x14ac:dyDescent="0.2">
      <c r="A374" t="s">
        <v>329</v>
      </c>
      <c r="B374" t="s">
        <v>278</v>
      </c>
      <c r="C374" t="s">
        <v>69</v>
      </c>
      <c r="D374" t="s">
        <v>158</v>
      </c>
      <c r="E374">
        <v>6.4434978870950201E-3</v>
      </c>
      <c r="F374">
        <v>6.4434978870950201E-3</v>
      </c>
      <c r="G374">
        <v>6.4593905786555599E-3</v>
      </c>
      <c r="H374">
        <v>6.4542038651898698E-3</v>
      </c>
      <c r="I374">
        <v>6.44824724163825E-3</v>
      </c>
      <c r="J374">
        <v>6.4488354647756199E-3</v>
      </c>
      <c r="K374">
        <v>6.4656000586650201E-3</v>
      </c>
      <c r="L374">
        <v>6.45658015291296E-3</v>
      </c>
      <c r="M374">
        <v>6.6728896258488697E-3</v>
      </c>
      <c r="O374">
        <f t="shared" si="61"/>
        <v>0</v>
      </c>
      <c r="P374">
        <f t="shared" si="62"/>
        <v>0</v>
      </c>
      <c r="Q374">
        <f t="shared" si="63"/>
        <v>0</v>
      </c>
      <c r="R374">
        <f t="shared" si="64"/>
        <v>0</v>
      </c>
      <c r="S374">
        <f t="shared" si="65"/>
        <v>0</v>
      </c>
      <c r="T374">
        <f t="shared" si="66"/>
        <v>0</v>
      </c>
      <c r="U374">
        <f t="shared" si="67"/>
        <v>0</v>
      </c>
      <c r="V374">
        <f t="shared" si="68"/>
        <v>0</v>
      </c>
      <c r="W374">
        <f t="shared" si="69"/>
        <v>0</v>
      </c>
      <c r="X374">
        <f t="shared" si="70"/>
        <v>0</v>
      </c>
    </row>
    <row r="375" spans="1:24" hidden="1" x14ac:dyDescent="0.2">
      <c r="A375" t="s">
        <v>329</v>
      </c>
      <c r="B375" t="s">
        <v>277</v>
      </c>
      <c r="C375" t="s">
        <v>474</v>
      </c>
      <c r="D375" t="s">
        <v>160</v>
      </c>
      <c r="E375">
        <v>10.361592379563</v>
      </c>
      <c r="F375">
        <v>5.7035193279517298</v>
      </c>
      <c r="G375">
        <v>2.8118299104154998</v>
      </c>
      <c r="H375">
        <v>2.1498156223690699</v>
      </c>
      <c r="I375">
        <v>1.50486267134415</v>
      </c>
      <c r="J375">
        <v>1.09335104360618</v>
      </c>
      <c r="K375">
        <v>0.94431857682522102</v>
      </c>
      <c r="L375">
        <v>0.915199759925724</v>
      </c>
      <c r="M375">
        <v>0.90672443002134795</v>
      </c>
      <c r="O375">
        <f t="shared" si="61"/>
        <v>67.2</v>
      </c>
      <c r="P375">
        <f t="shared" si="62"/>
        <v>0</v>
      </c>
      <c r="Q375">
        <f t="shared" si="63"/>
        <v>0</v>
      </c>
      <c r="R375">
        <f t="shared" si="64"/>
        <v>0</v>
      </c>
      <c r="S375">
        <f t="shared" si="65"/>
        <v>0</v>
      </c>
      <c r="T375">
        <f t="shared" si="66"/>
        <v>0</v>
      </c>
      <c r="U375">
        <f t="shared" si="67"/>
        <v>0</v>
      </c>
      <c r="V375">
        <f t="shared" si="68"/>
        <v>0</v>
      </c>
      <c r="W375">
        <f t="shared" si="69"/>
        <v>0</v>
      </c>
      <c r="X375">
        <f t="shared" si="70"/>
        <v>0</v>
      </c>
    </row>
    <row r="376" spans="1:24" hidden="1" x14ac:dyDescent="0.2">
      <c r="A376" t="s">
        <v>329</v>
      </c>
      <c r="B376" t="s">
        <v>277</v>
      </c>
      <c r="C376" t="s">
        <v>474</v>
      </c>
      <c r="D376" t="s">
        <v>151</v>
      </c>
      <c r="E376">
        <v>1.00256458087036</v>
      </c>
      <c r="F376">
        <v>0.39560747527751999</v>
      </c>
      <c r="G376">
        <v>0.19159818828877601</v>
      </c>
      <c r="H376">
        <v>0.12217599625012</v>
      </c>
      <c r="I376">
        <v>8.1029190806467893E-2</v>
      </c>
      <c r="J376">
        <v>5.4567341905185598E-2</v>
      </c>
      <c r="K376">
        <v>4.4030783970489901E-2</v>
      </c>
      <c r="L376">
        <v>4.1990059655105501E-2</v>
      </c>
      <c r="M376">
        <v>4.1490516506061503E-2</v>
      </c>
      <c r="O376">
        <f t="shared" si="61"/>
        <v>67.2</v>
      </c>
      <c r="P376">
        <f t="shared" si="62"/>
        <v>0</v>
      </c>
      <c r="Q376">
        <f t="shared" si="63"/>
        <v>0</v>
      </c>
      <c r="R376">
        <f t="shared" si="64"/>
        <v>0</v>
      </c>
      <c r="S376">
        <f t="shared" si="65"/>
        <v>0</v>
      </c>
      <c r="T376">
        <f t="shared" si="66"/>
        <v>0</v>
      </c>
      <c r="U376">
        <f t="shared" si="67"/>
        <v>0</v>
      </c>
      <c r="V376">
        <f t="shared" si="68"/>
        <v>0</v>
      </c>
      <c r="W376">
        <f t="shared" si="69"/>
        <v>0</v>
      </c>
      <c r="X376">
        <f t="shared" si="70"/>
        <v>0</v>
      </c>
    </row>
    <row r="377" spans="1:24" hidden="1" x14ac:dyDescent="0.2">
      <c r="A377" t="s">
        <v>329</v>
      </c>
      <c r="B377" t="s">
        <v>277</v>
      </c>
      <c r="C377" t="s">
        <v>474</v>
      </c>
      <c r="D377" t="s">
        <v>164</v>
      </c>
      <c r="E377">
        <v>2.7733589056501098E-2</v>
      </c>
      <c r="F377">
        <v>1.3863936717420301E-2</v>
      </c>
      <c r="G377">
        <v>7.7781518788835203E-3</v>
      </c>
      <c r="H377">
        <v>5.7322093860778401E-3</v>
      </c>
      <c r="I377">
        <v>4.3256391180192299E-3</v>
      </c>
      <c r="J377">
        <v>3.5428085182032999E-3</v>
      </c>
      <c r="K377">
        <v>3.2299117711483399E-3</v>
      </c>
      <c r="L377">
        <v>3.1682416671431099E-3</v>
      </c>
      <c r="M377">
        <v>3.15275502726478E-3</v>
      </c>
      <c r="O377">
        <f t="shared" si="61"/>
        <v>67.2</v>
      </c>
      <c r="P377">
        <f t="shared" si="62"/>
        <v>0</v>
      </c>
      <c r="Q377">
        <f t="shared" si="63"/>
        <v>0</v>
      </c>
      <c r="R377">
        <f t="shared" si="64"/>
        <v>0</v>
      </c>
      <c r="S377">
        <f t="shared" si="65"/>
        <v>0</v>
      </c>
      <c r="T377">
        <f t="shared" si="66"/>
        <v>0</v>
      </c>
      <c r="U377">
        <f t="shared" si="67"/>
        <v>0</v>
      </c>
      <c r="V377">
        <f t="shared" si="68"/>
        <v>0</v>
      </c>
      <c r="W377">
        <f t="shared" si="69"/>
        <v>0</v>
      </c>
      <c r="X377">
        <f t="shared" si="70"/>
        <v>0</v>
      </c>
    </row>
    <row r="378" spans="1:24" hidden="1" x14ac:dyDescent="0.2">
      <c r="A378" t="s">
        <v>329</v>
      </c>
      <c r="B378" t="s">
        <v>277</v>
      </c>
      <c r="C378" t="s">
        <v>474</v>
      </c>
      <c r="D378" t="s">
        <v>162</v>
      </c>
      <c r="E378">
        <v>3.4914623745350599E-2</v>
      </c>
      <c r="F378">
        <v>1.8256939233426101E-2</v>
      </c>
      <c r="G378">
        <v>1.08185057202368E-2</v>
      </c>
      <c r="H378">
        <v>8.9273095692375404E-3</v>
      </c>
      <c r="I378">
        <v>8.3314585338203004E-3</v>
      </c>
      <c r="J378">
        <v>8.1732632200225506E-3</v>
      </c>
      <c r="K378">
        <v>8.1593002884472708E-3</v>
      </c>
      <c r="L378">
        <v>8.1495517165185508E-3</v>
      </c>
      <c r="M378">
        <v>8.1494483917005801E-3</v>
      </c>
      <c r="O378">
        <f t="shared" si="61"/>
        <v>67.2</v>
      </c>
      <c r="P378">
        <f t="shared" si="62"/>
        <v>0</v>
      </c>
      <c r="Q378">
        <f t="shared" si="63"/>
        <v>0</v>
      </c>
      <c r="R378">
        <f t="shared" si="64"/>
        <v>0</v>
      </c>
      <c r="S378">
        <f t="shared" si="65"/>
        <v>0</v>
      </c>
      <c r="T378">
        <f t="shared" si="66"/>
        <v>0</v>
      </c>
      <c r="U378">
        <f t="shared" si="67"/>
        <v>0</v>
      </c>
      <c r="V378">
        <f t="shared" si="68"/>
        <v>0</v>
      </c>
      <c r="W378">
        <f t="shared" si="69"/>
        <v>0</v>
      </c>
      <c r="X378">
        <f t="shared" si="70"/>
        <v>0</v>
      </c>
    </row>
    <row r="379" spans="1:24" hidden="1" x14ac:dyDescent="0.2">
      <c r="A379" t="s">
        <v>329</v>
      </c>
      <c r="B379" t="s">
        <v>277</v>
      </c>
      <c r="C379" t="s">
        <v>474</v>
      </c>
      <c r="D379" t="s">
        <v>168</v>
      </c>
      <c r="E379">
        <v>4.7191921004493001E-2</v>
      </c>
      <c r="F379">
        <v>3.3452665150373803E-2</v>
      </c>
      <c r="G379">
        <v>2.8197233154937398E-2</v>
      </c>
      <c r="H379">
        <v>2.73123787191559E-2</v>
      </c>
      <c r="I379">
        <v>2.71336633329387E-2</v>
      </c>
      <c r="J379">
        <v>2.70232168706778E-2</v>
      </c>
      <c r="K379">
        <v>2.7020753977429299E-2</v>
      </c>
      <c r="L379">
        <v>2.70210162479033E-2</v>
      </c>
      <c r="M379">
        <v>2.70209056267686E-2</v>
      </c>
      <c r="O379">
        <f t="shared" si="61"/>
        <v>67.2</v>
      </c>
      <c r="P379">
        <f t="shared" si="62"/>
        <v>0</v>
      </c>
      <c r="Q379">
        <f t="shared" si="63"/>
        <v>0</v>
      </c>
      <c r="R379">
        <f t="shared" si="64"/>
        <v>0</v>
      </c>
      <c r="S379">
        <f t="shared" si="65"/>
        <v>0</v>
      </c>
      <c r="T379">
        <f t="shared" si="66"/>
        <v>0</v>
      </c>
      <c r="U379">
        <f t="shared" si="67"/>
        <v>0</v>
      </c>
      <c r="V379">
        <f t="shared" si="68"/>
        <v>0</v>
      </c>
      <c r="W379">
        <f t="shared" si="69"/>
        <v>0</v>
      </c>
      <c r="X379">
        <f t="shared" si="70"/>
        <v>0</v>
      </c>
    </row>
    <row r="380" spans="1:24" hidden="1" x14ac:dyDescent="0.2">
      <c r="A380" t="s">
        <v>329</v>
      </c>
      <c r="B380" t="s">
        <v>277</v>
      </c>
      <c r="C380" t="s">
        <v>474</v>
      </c>
      <c r="D380" t="s">
        <v>154</v>
      </c>
      <c r="E380">
        <v>1.40017655016191E-2</v>
      </c>
      <c r="F380">
        <v>1.2413170210923301E-2</v>
      </c>
      <c r="G380">
        <v>8.1086013766454006E-3</v>
      </c>
      <c r="H380">
        <v>6.7770962147280997E-3</v>
      </c>
      <c r="I380">
        <v>5.9227487489961397E-3</v>
      </c>
      <c r="J380">
        <v>5.4900769721154498E-3</v>
      </c>
      <c r="K380">
        <v>5.3004799651939901E-3</v>
      </c>
      <c r="L380">
        <v>5.2613551409495399E-3</v>
      </c>
      <c r="M380">
        <v>5.2552925304367899E-3</v>
      </c>
      <c r="O380">
        <f t="shared" si="61"/>
        <v>67.2</v>
      </c>
      <c r="P380">
        <f t="shared" si="62"/>
        <v>0</v>
      </c>
      <c r="Q380">
        <f t="shared" si="63"/>
        <v>0</v>
      </c>
      <c r="R380">
        <f t="shared" si="64"/>
        <v>0</v>
      </c>
      <c r="S380">
        <f t="shared" si="65"/>
        <v>0</v>
      </c>
      <c r="T380">
        <f t="shared" si="66"/>
        <v>0</v>
      </c>
      <c r="U380">
        <f t="shared" si="67"/>
        <v>0</v>
      </c>
      <c r="V380">
        <f t="shared" si="68"/>
        <v>0</v>
      </c>
      <c r="W380">
        <f t="shared" si="69"/>
        <v>0</v>
      </c>
      <c r="X380">
        <f t="shared" si="70"/>
        <v>0</v>
      </c>
    </row>
    <row r="381" spans="1:24" hidden="1" x14ac:dyDescent="0.2">
      <c r="A381" t="s">
        <v>329</v>
      </c>
      <c r="B381" t="s">
        <v>277</v>
      </c>
      <c r="C381" t="s">
        <v>474</v>
      </c>
      <c r="D381" t="s">
        <v>166</v>
      </c>
      <c r="E381">
        <v>0.86905039246637406</v>
      </c>
      <c r="F381">
        <v>0.418423669034441</v>
      </c>
      <c r="G381">
        <v>0.18064958377697199</v>
      </c>
      <c r="H381">
        <v>0.14371277557137099</v>
      </c>
      <c r="I381">
        <v>0.111965551174719</v>
      </c>
      <c r="J381">
        <v>9.2429316058592198E-2</v>
      </c>
      <c r="K381">
        <v>8.3656031306945794E-2</v>
      </c>
      <c r="L381">
        <v>8.1597635076797501E-2</v>
      </c>
      <c r="M381">
        <v>8.0898234893418394E-2</v>
      </c>
      <c r="O381">
        <f t="shared" si="61"/>
        <v>67.2</v>
      </c>
      <c r="P381">
        <f t="shared" si="62"/>
        <v>0</v>
      </c>
      <c r="Q381">
        <f t="shared" si="63"/>
        <v>0</v>
      </c>
      <c r="R381">
        <f t="shared" si="64"/>
        <v>0</v>
      </c>
      <c r="S381">
        <f t="shared" si="65"/>
        <v>0</v>
      </c>
      <c r="T381">
        <f t="shared" si="66"/>
        <v>0</v>
      </c>
      <c r="U381">
        <f t="shared" si="67"/>
        <v>0</v>
      </c>
      <c r="V381">
        <f t="shared" si="68"/>
        <v>0</v>
      </c>
      <c r="W381">
        <f t="shared" si="69"/>
        <v>0</v>
      </c>
      <c r="X381">
        <f t="shared" si="70"/>
        <v>0</v>
      </c>
    </row>
    <row r="382" spans="1:24" x14ac:dyDescent="0.2">
      <c r="A382" t="s">
        <v>329</v>
      </c>
      <c r="B382" t="s">
        <v>279</v>
      </c>
      <c r="C382" t="s">
        <v>69</v>
      </c>
      <c r="D382" t="s">
        <v>158</v>
      </c>
      <c r="E382">
        <v>7.2045045268504804E-3</v>
      </c>
      <c r="F382">
        <v>7.2045045268504804E-3</v>
      </c>
      <c r="G382">
        <v>7.4799922858734998E-3</v>
      </c>
      <c r="H382">
        <v>7.3990860264414003E-3</v>
      </c>
      <c r="I382">
        <v>7.2959893932908202E-3</v>
      </c>
      <c r="J382">
        <v>7.30637211828812E-3</v>
      </c>
      <c r="K382">
        <v>7.5672967944684999E-3</v>
      </c>
      <c r="L382">
        <v>7.4371849753264302E-3</v>
      </c>
      <c r="M382">
        <v>8.5613518057059204E-3</v>
      </c>
      <c r="O382">
        <f t="shared" si="61"/>
        <v>0</v>
      </c>
      <c r="P382">
        <f t="shared" si="62"/>
        <v>0</v>
      </c>
      <c r="Q382">
        <f t="shared" si="63"/>
        <v>0</v>
      </c>
      <c r="R382">
        <f t="shared" si="64"/>
        <v>0</v>
      </c>
      <c r="S382">
        <f t="shared" si="65"/>
        <v>0</v>
      </c>
      <c r="T382">
        <f t="shared" si="66"/>
        <v>0</v>
      </c>
      <c r="U382">
        <f t="shared" si="67"/>
        <v>0</v>
      </c>
      <c r="V382">
        <f t="shared" si="68"/>
        <v>0</v>
      </c>
      <c r="W382">
        <f t="shared" si="69"/>
        <v>0</v>
      </c>
      <c r="X382">
        <f t="shared" si="70"/>
        <v>0</v>
      </c>
    </row>
    <row r="383" spans="1:24" hidden="1" x14ac:dyDescent="0.2">
      <c r="A383" t="s">
        <v>329</v>
      </c>
      <c r="B383" t="s">
        <v>277</v>
      </c>
      <c r="C383" t="s">
        <v>474</v>
      </c>
      <c r="D383" t="s">
        <v>156</v>
      </c>
      <c r="E383">
        <v>0.115772764989804</v>
      </c>
      <c r="F383">
        <v>0.11041053337507201</v>
      </c>
      <c r="G383">
        <v>8.9064450289023406E-2</v>
      </c>
      <c r="H383">
        <v>8.7932937699846503E-2</v>
      </c>
      <c r="I383">
        <v>8.66400670344568E-2</v>
      </c>
      <c r="J383">
        <v>8.5515845774985999E-2</v>
      </c>
      <c r="K383">
        <v>8.4877871012289302E-2</v>
      </c>
      <c r="L383">
        <v>8.4636887277329695E-2</v>
      </c>
      <c r="M383">
        <v>8.4577535540567794E-2</v>
      </c>
      <c r="O383">
        <f t="shared" si="61"/>
        <v>67.2</v>
      </c>
      <c r="P383">
        <f t="shared" si="62"/>
        <v>0</v>
      </c>
      <c r="Q383">
        <f t="shared" si="63"/>
        <v>0</v>
      </c>
      <c r="R383">
        <f t="shared" si="64"/>
        <v>0</v>
      </c>
      <c r="S383">
        <f t="shared" si="65"/>
        <v>0</v>
      </c>
      <c r="T383">
        <f t="shared" si="66"/>
        <v>0</v>
      </c>
      <c r="U383">
        <f t="shared" si="67"/>
        <v>0</v>
      </c>
      <c r="V383">
        <f t="shared" si="68"/>
        <v>0</v>
      </c>
      <c r="W383">
        <f t="shared" si="69"/>
        <v>0</v>
      </c>
      <c r="X383">
        <f t="shared" si="70"/>
        <v>0</v>
      </c>
    </row>
    <row r="384" spans="1:24" x14ac:dyDescent="0.2">
      <c r="A384" t="s">
        <v>329</v>
      </c>
      <c r="B384" t="s">
        <v>275</v>
      </c>
      <c r="C384" t="s">
        <v>474</v>
      </c>
      <c r="D384" t="s">
        <v>158</v>
      </c>
      <c r="E384">
        <v>1.9937709526913299E-2</v>
      </c>
      <c r="F384">
        <v>1.6339868026240802E-2</v>
      </c>
      <c r="G384">
        <v>1.6728363465573801E-2</v>
      </c>
      <c r="H384">
        <v>1.55904538446416E-2</v>
      </c>
      <c r="I384">
        <v>1.4321167303148301E-2</v>
      </c>
      <c r="J384">
        <v>1.3213602203576201E-2</v>
      </c>
      <c r="K384">
        <v>1.2583846199447499E-2</v>
      </c>
      <c r="L384">
        <v>1.2344410378048599E-2</v>
      </c>
      <c r="M384">
        <v>1.2284860332200101E-2</v>
      </c>
      <c r="O384">
        <f t="shared" si="61"/>
        <v>67.2</v>
      </c>
      <c r="P384">
        <f t="shared" si="62"/>
        <v>0</v>
      </c>
      <c r="Q384">
        <f t="shared" si="63"/>
        <v>0</v>
      </c>
      <c r="R384">
        <f t="shared" si="64"/>
        <v>0</v>
      </c>
      <c r="S384">
        <f t="shared" si="65"/>
        <v>0</v>
      </c>
      <c r="T384">
        <f t="shared" si="66"/>
        <v>0</v>
      </c>
      <c r="U384">
        <f t="shared" si="67"/>
        <v>0</v>
      </c>
      <c r="V384">
        <f t="shared" si="68"/>
        <v>0</v>
      </c>
      <c r="W384">
        <f t="shared" si="69"/>
        <v>0</v>
      </c>
      <c r="X384">
        <f t="shared" si="70"/>
        <v>0</v>
      </c>
    </row>
    <row r="385" spans="1:24" hidden="1" x14ac:dyDescent="0.2">
      <c r="A385" t="s">
        <v>329</v>
      </c>
      <c r="B385" t="s">
        <v>278</v>
      </c>
      <c r="C385" t="s">
        <v>474</v>
      </c>
      <c r="D385" t="s">
        <v>160</v>
      </c>
      <c r="E385">
        <v>7.8269426470205801</v>
      </c>
      <c r="F385">
        <v>4.0421881820379104</v>
      </c>
      <c r="G385">
        <v>3.2560062664062701</v>
      </c>
      <c r="H385">
        <v>2.4871452670272798</v>
      </c>
      <c r="I385">
        <v>1.7690758763782799</v>
      </c>
      <c r="J385">
        <v>1.3113510406404001</v>
      </c>
      <c r="K385">
        <v>1.1416931511575099</v>
      </c>
      <c r="L385">
        <v>1.1081399449582501</v>
      </c>
      <c r="M385">
        <v>1.0988354785630501</v>
      </c>
      <c r="O385">
        <f t="shared" si="61"/>
        <v>67.2</v>
      </c>
      <c r="P385">
        <f t="shared" si="62"/>
        <v>0</v>
      </c>
      <c r="Q385">
        <f t="shared" si="63"/>
        <v>0</v>
      </c>
      <c r="R385">
        <f t="shared" si="64"/>
        <v>0</v>
      </c>
      <c r="S385">
        <f t="shared" si="65"/>
        <v>0</v>
      </c>
      <c r="T385">
        <f t="shared" si="66"/>
        <v>0</v>
      </c>
      <c r="U385">
        <f t="shared" si="67"/>
        <v>0</v>
      </c>
      <c r="V385">
        <f t="shared" si="68"/>
        <v>0</v>
      </c>
      <c r="W385">
        <f t="shared" si="69"/>
        <v>0</v>
      </c>
      <c r="X385">
        <f t="shared" si="70"/>
        <v>0</v>
      </c>
    </row>
    <row r="386" spans="1:24" hidden="1" x14ac:dyDescent="0.2">
      <c r="A386" t="s">
        <v>329</v>
      </c>
      <c r="B386" t="s">
        <v>278</v>
      </c>
      <c r="C386" t="s">
        <v>474</v>
      </c>
      <c r="D386" t="s">
        <v>151</v>
      </c>
      <c r="E386">
        <v>0.95484960134202601</v>
      </c>
      <c r="F386">
        <v>0.32981051515610799</v>
      </c>
      <c r="G386">
        <v>0.24604011687187799</v>
      </c>
      <c r="H386">
        <v>0.16340489519828999</v>
      </c>
      <c r="I386">
        <v>0.11306985767462301</v>
      </c>
      <c r="J386">
        <v>7.9270221337579605E-2</v>
      </c>
      <c r="K386">
        <v>6.5833743509444598E-2</v>
      </c>
      <c r="L386">
        <v>6.3200548797440706E-2</v>
      </c>
      <c r="M386">
        <v>6.2566022635143603E-2</v>
      </c>
      <c r="O386">
        <f t="shared" si="61"/>
        <v>67.2</v>
      </c>
      <c r="P386">
        <f t="shared" si="62"/>
        <v>0</v>
      </c>
      <c r="Q386">
        <f t="shared" si="63"/>
        <v>0</v>
      </c>
      <c r="R386">
        <f t="shared" si="64"/>
        <v>0</v>
      </c>
      <c r="S386">
        <f t="shared" si="65"/>
        <v>0</v>
      </c>
      <c r="T386">
        <f t="shared" si="66"/>
        <v>0</v>
      </c>
      <c r="U386">
        <f t="shared" si="67"/>
        <v>0</v>
      </c>
      <c r="V386">
        <f t="shared" si="68"/>
        <v>0</v>
      </c>
      <c r="W386">
        <f t="shared" si="69"/>
        <v>0</v>
      </c>
      <c r="X386">
        <f t="shared" si="70"/>
        <v>0</v>
      </c>
    </row>
    <row r="387" spans="1:24" hidden="1" x14ac:dyDescent="0.2">
      <c r="A387" t="s">
        <v>329</v>
      </c>
      <c r="B387" t="s">
        <v>278</v>
      </c>
      <c r="C387" t="s">
        <v>474</v>
      </c>
      <c r="D387" t="s">
        <v>164</v>
      </c>
      <c r="E387">
        <v>2.7021306635098701E-2</v>
      </c>
      <c r="F387">
        <v>1.43507235561705E-2</v>
      </c>
      <c r="G387">
        <v>1.0545121959697E-2</v>
      </c>
      <c r="H387">
        <v>7.9688719028100496E-3</v>
      </c>
      <c r="I387">
        <v>6.0490449144422597E-3</v>
      </c>
      <c r="J387">
        <v>4.9348584782415404E-3</v>
      </c>
      <c r="K387">
        <v>4.4935683619993401E-3</v>
      </c>
      <c r="L387">
        <v>4.4053132624372604E-3</v>
      </c>
      <c r="M387">
        <v>4.3834122336864796E-3</v>
      </c>
      <c r="O387">
        <f t="shared" si="61"/>
        <v>67.2</v>
      </c>
      <c r="P387">
        <f t="shared" si="62"/>
        <v>0</v>
      </c>
      <c r="Q387">
        <f t="shared" si="63"/>
        <v>0</v>
      </c>
      <c r="R387">
        <f t="shared" si="64"/>
        <v>0</v>
      </c>
      <c r="S387">
        <f t="shared" si="65"/>
        <v>0</v>
      </c>
      <c r="T387">
        <f t="shared" si="66"/>
        <v>0</v>
      </c>
      <c r="U387">
        <f t="shared" si="67"/>
        <v>0</v>
      </c>
      <c r="V387">
        <f t="shared" si="68"/>
        <v>0</v>
      </c>
      <c r="W387">
        <f t="shared" si="69"/>
        <v>0</v>
      </c>
      <c r="X387">
        <f t="shared" si="70"/>
        <v>0</v>
      </c>
    </row>
    <row r="388" spans="1:24" hidden="1" x14ac:dyDescent="0.2">
      <c r="A388" t="s">
        <v>329</v>
      </c>
      <c r="B388" t="s">
        <v>278</v>
      </c>
      <c r="C388" t="s">
        <v>474</v>
      </c>
      <c r="D388" t="s">
        <v>162</v>
      </c>
      <c r="E388">
        <v>3.3191166299773998E-2</v>
      </c>
      <c r="F388">
        <v>1.71397181966444E-2</v>
      </c>
      <c r="G388">
        <v>1.33150193221561E-2</v>
      </c>
      <c r="H388">
        <v>1.09820188745552E-2</v>
      </c>
      <c r="I388">
        <v>1.0225575778828599E-2</v>
      </c>
      <c r="J388">
        <v>1.00265159065662E-2</v>
      </c>
      <c r="K388">
        <v>1.0008363752646699E-2</v>
      </c>
      <c r="L388">
        <v>9.9957399619150702E-3</v>
      </c>
      <c r="M388">
        <v>9.99558998100444E-3</v>
      </c>
      <c r="O388">
        <f t="shared" si="61"/>
        <v>67.2</v>
      </c>
      <c r="P388">
        <f t="shared" si="62"/>
        <v>0</v>
      </c>
      <c r="Q388">
        <f t="shared" si="63"/>
        <v>0</v>
      </c>
      <c r="R388">
        <f t="shared" si="64"/>
        <v>0</v>
      </c>
      <c r="S388">
        <f t="shared" si="65"/>
        <v>0</v>
      </c>
      <c r="T388">
        <f t="shared" si="66"/>
        <v>0</v>
      </c>
      <c r="U388">
        <f t="shared" si="67"/>
        <v>0</v>
      </c>
      <c r="V388">
        <f t="shared" si="68"/>
        <v>0</v>
      </c>
      <c r="W388">
        <f t="shared" si="69"/>
        <v>0</v>
      </c>
      <c r="X388">
        <f t="shared" si="70"/>
        <v>0</v>
      </c>
    </row>
    <row r="389" spans="1:24" hidden="1" x14ac:dyDescent="0.2">
      <c r="A389" t="s">
        <v>329</v>
      </c>
      <c r="B389" t="s">
        <v>278</v>
      </c>
      <c r="C389" t="s">
        <v>474</v>
      </c>
      <c r="D389" t="s">
        <v>168</v>
      </c>
      <c r="E389">
        <v>3.6022672785972598E-2</v>
      </c>
      <c r="F389">
        <v>2.5183605638393801E-2</v>
      </c>
      <c r="G389">
        <v>2.3346419699738E-2</v>
      </c>
      <c r="H389">
        <v>2.2590802649038198E-2</v>
      </c>
      <c r="I389">
        <v>2.2441316833996899E-2</v>
      </c>
      <c r="J389">
        <v>2.2351554069741601E-2</v>
      </c>
      <c r="K389">
        <v>2.23494895957542E-2</v>
      </c>
      <c r="L389">
        <v>2.2349591665023101E-2</v>
      </c>
      <c r="M389">
        <v>2.2349533126777399E-2</v>
      </c>
      <c r="O389">
        <f t="shared" si="61"/>
        <v>67.2</v>
      </c>
      <c r="P389">
        <f t="shared" si="62"/>
        <v>0</v>
      </c>
      <c r="Q389">
        <f t="shared" si="63"/>
        <v>0</v>
      </c>
      <c r="R389">
        <f t="shared" si="64"/>
        <v>0</v>
      </c>
      <c r="S389">
        <f t="shared" si="65"/>
        <v>0</v>
      </c>
      <c r="T389">
        <f t="shared" si="66"/>
        <v>0</v>
      </c>
      <c r="U389">
        <f t="shared" si="67"/>
        <v>0</v>
      </c>
      <c r="V389">
        <f t="shared" si="68"/>
        <v>0</v>
      </c>
      <c r="W389">
        <f t="shared" si="69"/>
        <v>0</v>
      </c>
      <c r="X389">
        <f t="shared" si="70"/>
        <v>0</v>
      </c>
    </row>
    <row r="390" spans="1:24" hidden="1" x14ac:dyDescent="0.2">
      <c r="A390" t="s">
        <v>329</v>
      </c>
      <c r="B390" t="s">
        <v>278</v>
      </c>
      <c r="C390" t="s">
        <v>474</v>
      </c>
      <c r="D390" t="s">
        <v>154</v>
      </c>
      <c r="E390">
        <v>1.1021446784144399E-2</v>
      </c>
      <c r="F390">
        <v>9.8110891355443607E-3</v>
      </c>
      <c r="G390">
        <v>6.5539868464526696E-3</v>
      </c>
      <c r="H390">
        <v>5.4936733467738199E-3</v>
      </c>
      <c r="I390">
        <v>4.8064844177770098E-3</v>
      </c>
      <c r="J390">
        <v>4.4539285892842596E-3</v>
      </c>
      <c r="K390">
        <v>4.29853574921071E-3</v>
      </c>
      <c r="L390">
        <v>4.26667913277963E-3</v>
      </c>
      <c r="M390">
        <v>4.2618372306538798E-3</v>
      </c>
      <c r="O390">
        <f t="shared" ref="O390:O404" si="71">IF(C390="DSL",$O$2,IF(C390="GSL",$O$1,IF(C390="CNG",$O$3,0)))</f>
        <v>67.2</v>
      </c>
      <c r="P390">
        <f t="shared" si="62"/>
        <v>0</v>
      </c>
      <c r="Q390">
        <f t="shared" si="63"/>
        <v>0</v>
      </c>
      <c r="R390">
        <f t="shared" si="64"/>
        <v>0</v>
      </c>
      <c r="S390">
        <f t="shared" si="65"/>
        <v>0</v>
      </c>
      <c r="T390">
        <f t="shared" si="66"/>
        <v>0</v>
      </c>
      <c r="U390">
        <f t="shared" si="67"/>
        <v>0</v>
      </c>
      <c r="V390">
        <f t="shared" si="68"/>
        <v>0</v>
      </c>
      <c r="W390">
        <f t="shared" si="69"/>
        <v>0</v>
      </c>
      <c r="X390">
        <f t="shared" si="70"/>
        <v>0</v>
      </c>
    </row>
    <row r="391" spans="1:24" hidden="1" x14ac:dyDescent="0.2">
      <c r="A391" t="s">
        <v>329</v>
      </c>
      <c r="B391" t="s">
        <v>278</v>
      </c>
      <c r="C391" t="s">
        <v>474</v>
      </c>
      <c r="D391" t="s">
        <v>166</v>
      </c>
      <c r="E391">
        <v>0.72531081158725197</v>
      </c>
      <c r="F391">
        <v>0.31274915613333698</v>
      </c>
      <c r="G391">
        <v>0.23947671356780501</v>
      </c>
      <c r="H391">
        <v>0.19148873413821901</v>
      </c>
      <c r="I391">
        <v>0.14759628251015899</v>
      </c>
      <c r="J391">
        <v>0.119017946153679</v>
      </c>
      <c r="K391">
        <v>0.10643387961952699</v>
      </c>
      <c r="L391">
        <v>0.10353105962594999</v>
      </c>
      <c r="M391">
        <v>0.102586538476792</v>
      </c>
      <c r="O391">
        <f t="shared" si="71"/>
        <v>67.2</v>
      </c>
      <c r="P391">
        <f t="shared" si="62"/>
        <v>0</v>
      </c>
      <c r="Q391">
        <f t="shared" si="63"/>
        <v>0</v>
      </c>
      <c r="R391">
        <f t="shared" si="64"/>
        <v>0</v>
      </c>
      <c r="S391">
        <f t="shared" si="65"/>
        <v>0</v>
      </c>
      <c r="T391">
        <f t="shared" si="66"/>
        <v>0</v>
      </c>
      <c r="U391">
        <f t="shared" si="67"/>
        <v>0</v>
      </c>
      <c r="V391">
        <f t="shared" si="68"/>
        <v>0</v>
      </c>
      <c r="W391">
        <f t="shared" si="69"/>
        <v>0</v>
      </c>
      <c r="X391">
        <f t="shared" si="70"/>
        <v>0</v>
      </c>
    </row>
    <row r="392" spans="1:24" x14ac:dyDescent="0.2">
      <c r="A392" t="s">
        <v>329</v>
      </c>
      <c r="B392" t="s">
        <v>276</v>
      </c>
      <c r="C392" t="s">
        <v>474</v>
      </c>
      <c r="D392" t="s">
        <v>158</v>
      </c>
      <c r="E392">
        <v>1.7564038794035501E-2</v>
      </c>
      <c r="F392">
        <v>1.42365442689367E-2</v>
      </c>
      <c r="G392">
        <v>1.3329065525325E-2</v>
      </c>
      <c r="H392">
        <v>1.23804824132796E-2</v>
      </c>
      <c r="I392">
        <v>1.12963892643066E-2</v>
      </c>
      <c r="J392">
        <v>1.03515640804413E-2</v>
      </c>
      <c r="K392">
        <v>9.8149798035326394E-3</v>
      </c>
      <c r="L392">
        <v>9.61190259231408E-3</v>
      </c>
      <c r="M392">
        <v>9.5615485982077E-3</v>
      </c>
      <c r="O392">
        <f t="shared" si="71"/>
        <v>67.2</v>
      </c>
      <c r="P392">
        <f t="shared" si="62"/>
        <v>0</v>
      </c>
      <c r="Q392">
        <f t="shared" si="63"/>
        <v>0</v>
      </c>
      <c r="R392">
        <f t="shared" si="64"/>
        <v>0</v>
      </c>
      <c r="S392">
        <f t="shared" si="65"/>
        <v>0</v>
      </c>
      <c r="T392">
        <f t="shared" si="66"/>
        <v>0</v>
      </c>
      <c r="U392">
        <f t="shared" si="67"/>
        <v>0</v>
      </c>
      <c r="V392">
        <f t="shared" si="68"/>
        <v>0</v>
      </c>
      <c r="W392">
        <f t="shared" si="69"/>
        <v>0</v>
      </c>
      <c r="X392">
        <f t="shared" si="70"/>
        <v>0</v>
      </c>
    </row>
    <row r="393" spans="1:24" hidden="1" x14ac:dyDescent="0.2">
      <c r="A393" t="s">
        <v>329</v>
      </c>
      <c r="B393" t="s">
        <v>278</v>
      </c>
      <c r="C393" t="s">
        <v>474</v>
      </c>
      <c r="D393" t="s">
        <v>156</v>
      </c>
      <c r="E393">
        <v>7.9451070233561405E-2</v>
      </c>
      <c r="F393">
        <v>7.6276868152400201E-2</v>
      </c>
      <c r="G393">
        <v>5.6652715818935197E-2</v>
      </c>
      <c r="H393">
        <v>5.5408492647584899E-2</v>
      </c>
      <c r="I393">
        <v>5.40165053540533E-2</v>
      </c>
      <c r="J393">
        <v>5.2775032208320603E-2</v>
      </c>
      <c r="K393">
        <v>5.2063088006762799E-2</v>
      </c>
      <c r="L393">
        <v>5.1790075051099199E-2</v>
      </c>
      <c r="M393">
        <v>5.1722831061276502E-2</v>
      </c>
      <c r="O393">
        <f t="shared" si="71"/>
        <v>67.2</v>
      </c>
      <c r="P393">
        <f t="shared" si="62"/>
        <v>0</v>
      </c>
      <c r="Q393">
        <f t="shared" si="63"/>
        <v>0</v>
      </c>
      <c r="R393">
        <f t="shared" si="64"/>
        <v>0</v>
      </c>
      <c r="S393">
        <f t="shared" si="65"/>
        <v>0</v>
      </c>
      <c r="T393">
        <f t="shared" si="66"/>
        <v>0</v>
      </c>
      <c r="U393">
        <f t="shared" si="67"/>
        <v>0</v>
      </c>
      <c r="V393">
        <f t="shared" si="68"/>
        <v>0</v>
      </c>
      <c r="W393">
        <f t="shared" si="69"/>
        <v>0</v>
      </c>
      <c r="X393">
        <f t="shared" si="70"/>
        <v>0</v>
      </c>
    </row>
    <row r="394" spans="1:24" x14ac:dyDescent="0.2">
      <c r="A394" t="s">
        <v>329</v>
      </c>
      <c r="B394" t="s">
        <v>277</v>
      </c>
      <c r="C394" t="s">
        <v>474</v>
      </c>
      <c r="D394" t="s">
        <v>158</v>
      </c>
      <c r="E394">
        <v>2.5560187952441901E-2</v>
      </c>
      <c r="F394">
        <v>2.0822176230306699E-2</v>
      </c>
      <c r="G394">
        <v>1.62964680076296E-2</v>
      </c>
      <c r="H394">
        <v>1.52894671516547E-2</v>
      </c>
      <c r="I394">
        <v>1.4142061331261099E-2</v>
      </c>
      <c r="J394">
        <v>1.31466340212829E-2</v>
      </c>
      <c r="K394">
        <v>1.25820467149478E-2</v>
      </c>
      <c r="L394">
        <v>1.2368813254204299E-2</v>
      </c>
      <c r="M394">
        <v>1.2316300985385199E-2</v>
      </c>
      <c r="O394">
        <f t="shared" si="71"/>
        <v>67.2</v>
      </c>
      <c r="P394">
        <f t="shared" si="62"/>
        <v>0</v>
      </c>
      <c r="Q394">
        <f t="shared" si="63"/>
        <v>0</v>
      </c>
      <c r="R394">
        <f t="shared" si="64"/>
        <v>0</v>
      </c>
      <c r="S394">
        <f t="shared" si="65"/>
        <v>0</v>
      </c>
      <c r="T394">
        <f t="shared" si="66"/>
        <v>0</v>
      </c>
      <c r="U394">
        <f t="shared" si="67"/>
        <v>0</v>
      </c>
      <c r="V394">
        <f t="shared" si="68"/>
        <v>0</v>
      </c>
      <c r="W394">
        <f t="shared" si="69"/>
        <v>0</v>
      </c>
      <c r="X394">
        <f t="shared" si="70"/>
        <v>0</v>
      </c>
    </row>
    <row r="395" spans="1:24" hidden="1" x14ac:dyDescent="0.2">
      <c r="A395" t="s">
        <v>329</v>
      </c>
      <c r="B395" t="s">
        <v>279</v>
      </c>
      <c r="C395" t="s">
        <v>474</v>
      </c>
      <c r="D395" t="s">
        <v>160</v>
      </c>
      <c r="E395">
        <v>8.3482368310947397</v>
      </c>
      <c r="F395">
        <v>4.3081315664303901</v>
      </c>
      <c r="G395">
        <v>3.0187422051480501</v>
      </c>
      <c r="H395">
        <v>2.2968284382098001</v>
      </c>
      <c r="I395">
        <v>1.6241894645100301</v>
      </c>
      <c r="J395">
        <v>1.20320021831455</v>
      </c>
      <c r="K395">
        <v>1.0475021085095599</v>
      </c>
      <c r="L395">
        <v>1.01648762049332</v>
      </c>
      <c r="M395">
        <v>1.00707426224907</v>
      </c>
      <c r="O395">
        <f t="shared" si="71"/>
        <v>67.2</v>
      </c>
      <c r="P395">
        <f t="shared" si="62"/>
        <v>0</v>
      </c>
      <c r="Q395">
        <f t="shared" si="63"/>
        <v>0</v>
      </c>
      <c r="R395">
        <f t="shared" si="64"/>
        <v>0</v>
      </c>
      <c r="S395">
        <f t="shared" si="65"/>
        <v>0</v>
      </c>
      <c r="T395">
        <f t="shared" si="66"/>
        <v>0</v>
      </c>
      <c r="U395">
        <f t="shared" si="67"/>
        <v>0</v>
      </c>
      <c r="V395">
        <f t="shared" si="68"/>
        <v>0</v>
      </c>
      <c r="W395">
        <f t="shared" si="69"/>
        <v>0</v>
      </c>
      <c r="X395">
        <f t="shared" si="70"/>
        <v>0</v>
      </c>
    </row>
    <row r="396" spans="1:24" hidden="1" x14ac:dyDescent="0.2">
      <c r="A396" t="s">
        <v>329</v>
      </c>
      <c r="B396" t="s">
        <v>279</v>
      </c>
      <c r="C396" t="s">
        <v>474</v>
      </c>
      <c r="D396" t="s">
        <v>151</v>
      </c>
      <c r="E396">
        <v>1.07703782419723</v>
      </c>
      <c r="F396">
        <v>0.37063376602748699</v>
      </c>
      <c r="G396">
        <v>0.22414787770802799</v>
      </c>
      <c r="H396">
        <v>0.146870056334405</v>
      </c>
      <c r="I396">
        <v>0.100147731477744</v>
      </c>
      <c r="J396">
        <v>6.9799961270145497E-2</v>
      </c>
      <c r="K396">
        <v>5.7786964253900203E-2</v>
      </c>
      <c r="L396">
        <v>5.5423939682830103E-2</v>
      </c>
      <c r="M396">
        <v>5.4809815155326402E-2</v>
      </c>
      <c r="O396">
        <f t="shared" si="71"/>
        <v>67.2</v>
      </c>
      <c r="P396">
        <f t="shared" si="62"/>
        <v>0</v>
      </c>
      <c r="Q396">
        <f t="shared" si="63"/>
        <v>0</v>
      </c>
      <c r="R396">
        <f t="shared" si="64"/>
        <v>0</v>
      </c>
      <c r="S396">
        <f t="shared" si="65"/>
        <v>0</v>
      </c>
      <c r="T396">
        <f t="shared" si="66"/>
        <v>0</v>
      </c>
      <c r="U396">
        <f t="shared" si="67"/>
        <v>0</v>
      </c>
      <c r="V396">
        <f t="shared" si="68"/>
        <v>0</v>
      </c>
      <c r="W396">
        <f t="shared" si="69"/>
        <v>0</v>
      </c>
      <c r="X396">
        <f t="shared" si="70"/>
        <v>0</v>
      </c>
    </row>
    <row r="397" spans="1:24" hidden="1" x14ac:dyDescent="0.2">
      <c r="A397" t="s">
        <v>329</v>
      </c>
      <c r="B397" t="s">
        <v>279</v>
      </c>
      <c r="C397" t="s">
        <v>474</v>
      </c>
      <c r="D397" t="s">
        <v>164</v>
      </c>
      <c r="E397">
        <v>2.7165910548479701E-2</v>
      </c>
      <c r="F397">
        <v>1.3866136948016699E-2</v>
      </c>
      <c r="G397">
        <v>9.4907263809260092E-3</v>
      </c>
      <c r="H397">
        <v>7.1211341823118404E-3</v>
      </c>
      <c r="I397">
        <v>5.3853645546307399E-3</v>
      </c>
      <c r="J397">
        <v>4.4141200314945202E-3</v>
      </c>
      <c r="K397">
        <v>4.0286435203453798E-3</v>
      </c>
      <c r="L397">
        <v>3.9508837215596502E-3</v>
      </c>
      <c r="M397">
        <v>3.9301038701225104E-3</v>
      </c>
      <c r="O397">
        <f t="shared" si="71"/>
        <v>67.2</v>
      </c>
      <c r="P397">
        <f t="shared" si="62"/>
        <v>0</v>
      </c>
      <c r="Q397">
        <f t="shared" si="63"/>
        <v>0</v>
      </c>
      <c r="R397">
        <f t="shared" si="64"/>
        <v>0</v>
      </c>
      <c r="S397">
        <f t="shared" si="65"/>
        <v>0</v>
      </c>
      <c r="T397">
        <f t="shared" si="66"/>
        <v>0</v>
      </c>
      <c r="U397">
        <f t="shared" si="67"/>
        <v>0</v>
      </c>
      <c r="V397">
        <f t="shared" si="68"/>
        <v>0</v>
      </c>
      <c r="W397">
        <f t="shared" si="69"/>
        <v>0</v>
      </c>
      <c r="X397">
        <f t="shared" si="70"/>
        <v>0</v>
      </c>
    </row>
    <row r="398" spans="1:24" hidden="1" x14ac:dyDescent="0.2">
      <c r="A398" t="s">
        <v>329</v>
      </c>
      <c r="B398" t="s">
        <v>279</v>
      </c>
      <c r="C398" t="s">
        <v>474</v>
      </c>
      <c r="D398" t="s">
        <v>162</v>
      </c>
      <c r="E398">
        <v>3.3053952027170298E-2</v>
      </c>
      <c r="F398">
        <v>1.6704809967492299E-2</v>
      </c>
      <c r="G398">
        <v>1.2360752966222599E-2</v>
      </c>
      <c r="H398">
        <v>1.0240667029025499E-2</v>
      </c>
      <c r="I398">
        <v>9.5490024855607192E-3</v>
      </c>
      <c r="J398">
        <v>9.3602167504081603E-3</v>
      </c>
      <c r="K398">
        <v>9.3426403684516695E-3</v>
      </c>
      <c r="L398">
        <v>9.3300847791470392E-3</v>
      </c>
      <c r="M398">
        <v>9.3299372659824201E-3</v>
      </c>
      <c r="O398">
        <f t="shared" si="71"/>
        <v>67.2</v>
      </c>
      <c r="P398">
        <f t="shared" si="62"/>
        <v>0</v>
      </c>
      <c r="Q398">
        <f t="shared" si="63"/>
        <v>0</v>
      </c>
      <c r="R398">
        <f t="shared" si="64"/>
        <v>0</v>
      </c>
      <c r="S398">
        <f t="shared" si="65"/>
        <v>0</v>
      </c>
      <c r="T398">
        <f t="shared" si="66"/>
        <v>0</v>
      </c>
      <c r="U398">
        <f t="shared" si="67"/>
        <v>0</v>
      </c>
      <c r="V398">
        <f t="shared" si="68"/>
        <v>0</v>
      </c>
      <c r="W398">
        <f t="shared" si="69"/>
        <v>0</v>
      </c>
      <c r="X398">
        <f t="shared" si="70"/>
        <v>0</v>
      </c>
    </row>
    <row r="399" spans="1:24" hidden="1" x14ac:dyDescent="0.2">
      <c r="A399" t="s">
        <v>329</v>
      </c>
      <c r="B399" t="s">
        <v>279</v>
      </c>
      <c r="C399" t="s">
        <v>474</v>
      </c>
      <c r="D399" t="s">
        <v>168</v>
      </c>
      <c r="E399">
        <v>4.0565632770183102E-2</v>
      </c>
      <c r="F399">
        <v>2.65973281316834E-2</v>
      </c>
      <c r="G399">
        <v>2.40911817197406E-2</v>
      </c>
      <c r="H399">
        <v>2.33536039499448E-2</v>
      </c>
      <c r="I399">
        <v>2.32009506719013E-2</v>
      </c>
      <c r="J399">
        <v>2.3104862913378502E-2</v>
      </c>
      <c r="K399">
        <v>2.3102720026675301E-2</v>
      </c>
      <c r="L399">
        <v>2.3103028849029199E-2</v>
      </c>
      <c r="M399">
        <v>2.3102918161236202E-2</v>
      </c>
      <c r="O399">
        <f t="shared" si="71"/>
        <v>67.2</v>
      </c>
      <c r="P399">
        <f t="shared" si="62"/>
        <v>0</v>
      </c>
      <c r="Q399">
        <f t="shared" si="63"/>
        <v>0</v>
      </c>
      <c r="R399">
        <f t="shared" si="64"/>
        <v>0</v>
      </c>
      <c r="S399">
        <f t="shared" si="65"/>
        <v>0</v>
      </c>
      <c r="T399">
        <f t="shared" si="66"/>
        <v>0</v>
      </c>
      <c r="U399">
        <f t="shared" si="67"/>
        <v>0</v>
      </c>
      <c r="V399">
        <f t="shared" si="68"/>
        <v>0</v>
      </c>
      <c r="W399">
        <f t="shared" si="69"/>
        <v>0</v>
      </c>
      <c r="X399">
        <f t="shared" si="70"/>
        <v>0</v>
      </c>
    </row>
    <row r="400" spans="1:24" hidden="1" x14ac:dyDescent="0.2">
      <c r="A400" t="s">
        <v>329</v>
      </c>
      <c r="B400" t="s">
        <v>279</v>
      </c>
      <c r="C400" t="s">
        <v>474</v>
      </c>
      <c r="D400" t="s">
        <v>154</v>
      </c>
      <c r="E400">
        <v>1.08889320093075E-2</v>
      </c>
      <c r="F400">
        <v>9.8851201724826001E-3</v>
      </c>
      <c r="G400">
        <v>6.7836227109818103E-3</v>
      </c>
      <c r="H400">
        <v>5.6829290051501301E-3</v>
      </c>
      <c r="I400">
        <v>4.9807105070221796E-3</v>
      </c>
      <c r="J400">
        <v>4.6272281762573001E-3</v>
      </c>
      <c r="K400">
        <v>4.4724368045959096E-3</v>
      </c>
      <c r="L400">
        <v>4.4401060236012703E-3</v>
      </c>
      <c r="M400">
        <v>4.4349813207028004E-3</v>
      </c>
      <c r="O400">
        <f t="shared" si="71"/>
        <v>67.2</v>
      </c>
      <c r="P400">
        <f t="shared" si="62"/>
        <v>0</v>
      </c>
      <c r="Q400">
        <f t="shared" si="63"/>
        <v>0</v>
      </c>
      <c r="R400">
        <f t="shared" si="64"/>
        <v>0</v>
      </c>
      <c r="S400">
        <f t="shared" si="65"/>
        <v>0</v>
      </c>
      <c r="T400">
        <f t="shared" si="66"/>
        <v>0</v>
      </c>
      <c r="U400">
        <f t="shared" si="67"/>
        <v>0</v>
      </c>
      <c r="V400">
        <f t="shared" si="68"/>
        <v>0</v>
      </c>
      <c r="W400">
        <f t="shared" si="69"/>
        <v>0</v>
      </c>
      <c r="X400">
        <f t="shared" si="70"/>
        <v>0</v>
      </c>
    </row>
    <row r="401" spans="1:24" hidden="1" x14ac:dyDescent="0.2">
      <c r="A401" t="s">
        <v>329</v>
      </c>
      <c r="B401" t="s">
        <v>279</v>
      </c>
      <c r="C401" t="s">
        <v>474</v>
      </c>
      <c r="D401" t="s">
        <v>166</v>
      </c>
      <c r="E401">
        <v>0.76486937509172104</v>
      </c>
      <c r="F401">
        <v>0.32169078661703499</v>
      </c>
      <c r="G401">
        <v>0.21594012148243799</v>
      </c>
      <c r="H401">
        <v>0.17257879470183399</v>
      </c>
      <c r="I401">
        <v>0.13295977241117701</v>
      </c>
      <c r="J401">
        <v>0.108110784391744</v>
      </c>
      <c r="K401">
        <v>9.7137754261465994E-2</v>
      </c>
      <c r="L401">
        <v>9.45597833782197E-2</v>
      </c>
      <c r="M401">
        <v>9.3653115656486804E-2</v>
      </c>
      <c r="O401">
        <f t="shared" si="71"/>
        <v>67.2</v>
      </c>
      <c r="P401">
        <f t="shared" si="62"/>
        <v>0</v>
      </c>
      <c r="Q401">
        <f t="shared" si="63"/>
        <v>0</v>
      </c>
      <c r="R401">
        <f t="shared" si="64"/>
        <v>0</v>
      </c>
      <c r="S401">
        <f t="shared" si="65"/>
        <v>0</v>
      </c>
      <c r="T401">
        <f t="shared" si="66"/>
        <v>0</v>
      </c>
      <c r="U401">
        <f t="shared" si="67"/>
        <v>0</v>
      </c>
      <c r="V401">
        <f t="shared" si="68"/>
        <v>0</v>
      </c>
      <c r="W401">
        <f t="shared" si="69"/>
        <v>0</v>
      </c>
      <c r="X401">
        <f t="shared" si="70"/>
        <v>0</v>
      </c>
    </row>
    <row r="402" spans="1:24" x14ac:dyDescent="0.2">
      <c r="A402" t="s">
        <v>329</v>
      </c>
      <c r="B402" t="s">
        <v>278</v>
      </c>
      <c r="C402" t="s">
        <v>474</v>
      </c>
      <c r="D402" t="s">
        <v>158</v>
      </c>
      <c r="E402">
        <v>1.8003075193996299E-2</v>
      </c>
      <c r="F402">
        <v>1.52046650049204E-2</v>
      </c>
      <c r="G402">
        <v>1.2610890393020199E-2</v>
      </c>
      <c r="H402">
        <v>1.1510978039922799E-2</v>
      </c>
      <c r="I402">
        <v>1.0279121658658699E-2</v>
      </c>
      <c r="J402">
        <v>9.1807819279754004E-3</v>
      </c>
      <c r="K402">
        <v>8.5509801965599399E-3</v>
      </c>
      <c r="L402">
        <v>8.3094848968453608E-3</v>
      </c>
      <c r="M402">
        <v>8.2498877149821594E-3</v>
      </c>
      <c r="O402">
        <f t="shared" si="71"/>
        <v>67.2</v>
      </c>
      <c r="P402">
        <f t="shared" si="62"/>
        <v>0</v>
      </c>
      <c r="Q402">
        <f t="shared" si="63"/>
        <v>0</v>
      </c>
      <c r="R402">
        <f t="shared" si="64"/>
        <v>0</v>
      </c>
      <c r="S402">
        <f t="shared" si="65"/>
        <v>0</v>
      </c>
      <c r="T402">
        <f t="shared" si="66"/>
        <v>0</v>
      </c>
      <c r="U402">
        <f t="shared" si="67"/>
        <v>0</v>
      </c>
      <c r="V402">
        <f t="shared" si="68"/>
        <v>0</v>
      </c>
      <c r="W402">
        <f t="shared" si="69"/>
        <v>0</v>
      </c>
      <c r="X402">
        <f t="shared" si="70"/>
        <v>0</v>
      </c>
    </row>
    <row r="403" spans="1:24" hidden="1" x14ac:dyDescent="0.2">
      <c r="A403" t="s">
        <v>329</v>
      </c>
      <c r="B403" t="s">
        <v>279</v>
      </c>
      <c r="C403" t="s">
        <v>474</v>
      </c>
      <c r="D403" t="s">
        <v>156</v>
      </c>
      <c r="E403">
        <v>7.9797235056963206E-2</v>
      </c>
      <c r="F403">
        <v>7.6001798653814207E-2</v>
      </c>
      <c r="G403">
        <v>6.3391605684552502E-2</v>
      </c>
      <c r="H403">
        <v>6.2249949738011102E-2</v>
      </c>
      <c r="I403">
        <v>6.0956414175610103E-2</v>
      </c>
      <c r="J403">
        <v>5.9827983670569698E-2</v>
      </c>
      <c r="K403">
        <v>5.91838618526946E-2</v>
      </c>
      <c r="L403">
        <v>5.8937948629628097E-2</v>
      </c>
      <c r="M403">
        <v>5.88749789222721E-2</v>
      </c>
      <c r="O403">
        <f t="shared" si="71"/>
        <v>67.2</v>
      </c>
      <c r="P403">
        <f t="shared" si="62"/>
        <v>0</v>
      </c>
      <c r="Q403">
        <f t="shared" si="63"/>
        <v>0</v>
      </c>
      <c r="R403">
        <f t="shared" si="64"/>
        <v>0</v>
      </c>
      <c r="S403">
        <f t="shared" si="65"/>
        <v>0</v>
      </c>
      <c r="T403">
        <f t="shared" si="66"/>
        <v>0</v>
      </c>
      <c r="U403">
        <f t="shared" si="67"/>
        <v>0</v>
      </c>
      <c r="V403">
        <f t="shared" si="68"/>
        <v>0</v>
      </c>
      <c r="W403">
        <f t="shared" si="69"/>
        <v>0</v>
      </c>
      <c r="X403">
        <f t="shared" si="70"/>
        <v>0</v>
      </c>
    </row>
    <row r="404" spans="1:24" x14ac:dyDescent="0.2">
      <c r="A404" t="s">
        <v>329</v>
      </c>
      <c r="B404" t="s">
        <v>279</v>
      </c>
      <c r="C404" t="s">
        <v>474</v>
      </c>
      <c r="D404" t="s">
        <v>158</v>
      </c>
      <c r="E404">
        <v>1.8949252743626702E-2</v>
      </c>
      <c r="F404">
        <v>1.55896120407557E-2</v>
      </c>
      <c r="G404">
        <v>1.3090757358435101E-2</v>
      </c>
      <c r="H404">
        <v>1.2073597128508201E-2</v>
      </c>
      <c r="I404">
        <v>1.0925021199185E-2</v>
      </c>
      <c r="J404">
        <v>9.9255497267567994E-3</v>
      </c>
      <c r="K404">
        <v>9.3555607478902295E-3</v>
      </c>
      <c r="L404">
        <v>9.1378744671425701E-3</v>
      </c>
      <c r="M404">
        <v>9.08217182799783E-3</v>
      </c>
      <c r="O404">
        <f t="shared" si="71"/>
        <v>67.2</v>
      </c>
      <c r="P404">
        <f t="shared" si="62"/>
        <v>0</v>
      </c>
      <c r="Q404">
        <f t="shared" si="63"/>
        <v>0</v>
      </c>
      <c r="R404">
        <f t="shared" si="64"/>
        <v>0</v>
      </c>
      <c r="S404">
        <f t="shared" si="65"/>
        <v>0</v>
      </c>
      <c r="T404">
        <f t="shared" si="66"/>
        <v>0</v>
      </c>
      <c r="U404">
        <f t="shared" si="67"/>
        <v>0</v>
      </c>
      <c r="V404">
        <f t="shared" si="68"/>
        <v>0</v>
      </c>
      <c r="W404">
        <f t="shared" si="69"/>
        <v>0</v>
      </c>
      <c r="X404">
        <f t="shared" si="70"/>
        <v>0</v>
      </c>
    </row>
  </sheetData>
  <autoFilter ref="A4:M404" xr:uid="{82FD8884-1DCE-473E-BA20-E992666E6AA2}">
    <filterColumn colId="3">
      <filters>
        <filter val="CO2"/>
        <filter val="PM25"/>
      </filters>
    </filterColumn>
    <sortState xmlns:xlrd2="http://schemas.microsoft.com/office/spreadsheetml/2017/richdata2" ref="A12:M404">
      <sortCondition ref="D4:D404"/>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504</v>
      </c>
      <c r="B1" s="13"/>
    </row>
    <row r="4" spans="1:6" ht="18.75" customHeight="1" x14ac:dyDescent="0.2"/>
    <row r="5" spans="1:6" ht="17.25" customHeight="1" x14ac:dyDescent="0.2">
      <c r="C5" s="2"/>
    </row>
    <row r="6" spans="1:6" ht="15.75" customHeight="1" x14ac:dyDescent="0.2"/>
    <row r="7" spans="1:6" x14ac:dyDescent="0.2">
      <c r="B7" s="3" t="s">
        <v>469</v>
      </c>
      <c r="C7" s="1" t="s">
        <v>470</v>
      </c>
      <c r="D7" s="1" t="s">
        <v>288</v>
      </c>
      <c r="E7" s="1" t="s">
        <v>64</v>
      </c>
      <c r="F7" s="1" t="s">
        <v>65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9396"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59396" r:id="rId4" name="cmdRefreshUnits"/>
      </mc:Fallback>
    </mc:AlternateContent>
    <mc:AlternateContent xmlns:mc="http://schemas.openxmlformats.org/markup-compatibility/2006">
      <mc:Choice Requires="x14">
        <control shapeId="59395"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59395" r:id="rId6" name="cmdConstraintUnit"/>
      </mc:Fallback>
    </mc:AlternateContent>
    <mc:AlternateContent xmlns:mc="http://schemas.openxmlformats.org/markup-compatibility/2006">
      <mc:Choice Requires="x14">
        <control shapeId="59394"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59394" r:id="rId8" name="cmdCheckConstraintsSheet"/>
      </mc:Fallback>
    </mc:AlternateContent>
    <mc:AlternateContent xmlns:mc="http://schemas.openxmlformats.org/markup-compatibility/2006">
      <mc:Choice Requires="x14">
        <control shapeId="59393"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59393" r:id="rId10" name="cmdConstraintSets"/>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504</v>
      </c>
      <c r="B1" s="13"/>
    </row>
    <row r="4" spans="1:6" ht="18.75" customHeight="1" x14ac:dyDescent="0.2"/>
    <row r="5" spans="1:6" ht="17.25" customHeight="1" x14ac:dyDescent="0.2">
      <c r="C5" s="2"/>
    </row>
    <row r="6" spans="1:6" ht="15.75" customHeight="1" x14ac:dyDescent="0.2"/>
    <row r="7" spans="1:6" x14ac:dyDescent="0.2">
      <c r="B7" s="3" t="s">
        <v>469</v>
      </c>
      <c r="C7" s="1" t="s">
        <v>470</v>
      </c>
      <c r="D7" s="1" t="s">
        <v>288</v>
      </c>
      <c r="E7" s="1" t="s">
        <v>64</v>
      </c>
      <c r="F7" s="1" t="s">
        <v>65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505</v>
      </c>
      <c r="B1" s="13"/>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185</v>
      </c>
      <c r="C7" s="1" t="s">
        <v>186</v>
      </c>
      <c r="D7" s="1" t="s">
        <v>288</v>
      </c>
      <c r="E7" s="1" t="s">
        <v>289</v>
      </c>
      <c r="F7" s="1" t="s">
        <v>290</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2471"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62471" r:id="rId4" name="cmdRefreshUnits"/>
      </mc:Fallback>
    </mc:AlternateContent>
    <mc:AlternateContent xmlns:mc="http://schemas.openxmlformats.org/markup-compatibility/2006">
      <mc:Choice Requires="x14">
        <control shapeId="6247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62470" r:id="rId6" name="cmdCheckTechDataSheet"/>
      </mc:Fallback>
    </mc:AlternateContent>
    <mc:AlternateContent xmlns:mc="http://schemas.openxmlformats.org/markup-compatibility/2006">
      <mc:Choice Requires="x14">
        <control shapeId="6246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62469" r:id="rId8" name="cmdAddParamQualifier"/>
      </mc:Fallback>
    </mc:AlternateContent>
    <mc:AlternateContent xmlns:mc="http://schemas.openxmlformats.org/markup-compatibility/2006">
      <mc:Choice Requires="x14">
        <control shapeId="62468"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62468" r:id="rId10" name="cmdAddParameter"/>
      </mc:Fallback>
    </mc:AlternateContent>
    <mc:AlternateContent xmlns:mc="http://schemas.openxmlformats.org/markup-compatibility/2006">
      <mc:Choice Requires="x14">
        <control shapeId="62467"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62467" r:id="rId12" name="cmdCommOUT"/>
      </mc:Fallback>
    </mc:AlternateContent>
    <mc:AlternateContent xmlns:mc="http://schemas.openxmlformats.org/markup-compatibility/2006">
      <mc:Choice Requires="x14">
        <control shapeId="62466"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62466" r:id="rId14" name="cmdCommIN"/>
      </mc:Fallback>
    </mc:AlternateContent>
    <mc:AlternateContent xmlns:mc="http://schemas.openxmlformats.org/markup-compatibility/2006">
      <mc:Choice Requires="x14">
        <control shapeId="62465"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62465" r:id="rId16" name="cmdTechNameAndDesc"/>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506</v>
      </c>
      <c r="B1" s="13"/>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61</v>
      </c>
      <c r="C7" s="1" t="s">
        <v>62</v>
      </c>
      <c r="D7" s="1" t="s">
        <v>288</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1445"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1445" r:id="rId4" name="cmdRefreshUnits"/>
      </mc:Fallback>
    </mc:AlternateContent>
    <mc:AlternateContent xmlns:mc="http://schemas.openxmlformats.org/markup-compatibility/2006">
      <mc:Choice Requires="x14">
        <control shapeId="61444"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61444" r:id="rId6" name="cmdCheckCommDataSheet"/>
      </mc:Fallback>
    </mc:AlternateContent>
    <mc:AlternateContent xmlns:mc="http://schemas.openxmlformats.org/markup-compatibility/2006">
      <mc:Choice Requires="x14">
        <control shapeId="61443"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61443" r:id="rId8" name="cmdAddParamQualifier"/>
      </mc:Fallback>
    </mc:AlternateContent>
    <mc:AlternateContent xmlns:mc="http://schemas.openxmlformats.org/markup-compatibility/2006">
      <mc:Choice Requires="x14">
        <control shapeId="61442"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1442" r:id="rId10" name="cmdCommNameAndDesc"/>
      </mc:Fallback>
    </mc:AlternateContent>
    <mc:AlternateContent xmlns:mc="http://schemas.openxmlformats.org/markup-compatibility/2006">
      <mc:Choice Requires="x14">
        <control shapeId="61441"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61441" r:id="rId12" name="cmdAddParameter"/>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506</v>
      </c>
      <c r="B1" s="13"/>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61</v>
      </c>
      <c r="C7" s="1" t="s">
        <v>62</v>
      </c>
      <c r="D7" s="1" t="s">
        <v>288</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505</v>
      </c>
      <c r="B1" s="13"/>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185</v>
      </c>
      <c r="C7" s="1" t="s">
        <v>186</v>
      </c>
      <c r="D7" s="1" t="s">
        <v>288</v>
      </c>
      <c r="E7" s="1" t="s">
        <v>289</v>
      </c>
      <c r="F7" s="1" t="s">
        <v>290</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507</v>
      </c>
      <c r="B1" s="13"/>
    </row>
    <row r="4" spans="1:5" ht="17.25" customHeight="1" x14ac:dyDescent="0.2"/>
    <row r="5" spans="1:5" ht="18" customHeight="1" x14ac:dyDescent="0.2"/>
    <row r="6" spans="1:5" ht="17.25" customHeight="1" x14ac:dyDescent="0.2"/>
    <row r="7" spans="1:5" ht="15.75" customHeight="1" x14ac:dyDescent="0.2">
      <c r="B7" s="1" t="s">
        <v>469</v>
      </c>
      <c r="C7" s="1" t="s">
        <v>470</v>
      </c>
      <c r="D7" s="1" t="s">
        <v>288</v>
      </c>
      <c r="E7" s="1" t="s">
        <v>185</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11265" r:id="rId14" name="cmdConstrNameAndDesc"/>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Q120"/>
  <sheetViews>
    <sheetView workbookViewId="0">
      <selection activeCell="C91" sqref="C91"/>
    </sheetView>
  </sheetViews>
  <sheetFormatPr defaultColWidth="9.140625" defaultRowHeight="12.75" x14ac:dyDescent="0.2"/>
  <cols>
    <col min="1" max="2" width="27.5703125" style="16" customWidth="1"/>
    <col min="3" max="3" width="9.7109375" style="16" customWidth="1"/>
    <col min="4" max="4" width="29.85546875" style="16" customWidth="1"/>
    <col min="5" max="5" width="17.28515625" style="16" customWidth="1"/>
    <col min="6" max="6" width="11.140625" style="16" bestFit="1" customWidth="1"/>
    <col min="7" max="7" width="13.85546875" style="16" customWidth="1"/>
    <col min="8" max="8" width="11.5703125" style="16" bestFit="1" customWidth="1"/>
    <col min="9" max="9" width="11.140625" style="16" customWidth="1"/>
    <col min="10" max="10" width="15" style="16" bestFit="1" customWidth="1"/>
    <col min="11" max="11" width="12.140625" style="16" customWidth="1"/>
    <col min="12" max="12" width="13.5703125" style="16" customWidth="1"/>
    <col min="13" max="13" width="16.28515625" style="16" customWidth="1"/>
    <col min="14" max="14" width="17.28515625" style="16" customWidth="1"/>
    <col min="15" max="15" width="9.140625" style="16"/>
    <col min="16" max="16" width="15.140625" style="16" customWidth="1"/>
    <col min="17" max="17" width="12" style="16" customWidth="1"/>
    <col min="18" max="16384" width="9.140625" style="16"/>
  </cols>
  <sheetData>
    <row r="1" spans="1:17" ht="15" x14ac:dyDescent="0.25">
      <c r="A1" s="168" t="s">
        <v>508</v>
      </c>
      <c r="B1" s="168"/>
      <c r="C1" s="168"/>
      <c r="D1" s="168" t="s">
        <v>481</v>
      </c>
      <c r="E1" s="168" t="s">
        <v>509</v>
      </c>
      <c r="F1" s="168" t="s">
        <v>288</v>
      </c>
      <c r="G1" s="168" t="s">
        <v>510</v>
      </c>
      <c r="H1" s="168" t="s">
        <v>511</v>
      </c>
      <c r="I1" s="168" t="s">
        <v>512</v>
      </c>
      <c r="J1" s="168" t="s">
        <v>513</v>
      </c>
      <c r="L1" s="169" t="s">
        <v>493</v>
      </c>
      <c r="M1" s="169" t="s">
        <v>514</v>
      </c>
      <c r="N1" s="169" t="s">
        <v>515</v>
      </c>
      <c r="P1" s="176" t="s">
        <v>493</v>
      </c>
      <c r="Q1" t="s">
        <v>492</v>
      </c>
    </row>
    <row r="2" spans="1:17" ht="15" x14ac:dyDescent="0.25">
      <c r="A2" s="16" t="s">
        <v>516</v>
      </c>
      <c r="B2" s="40" t="s">
        <v>516</v>
      </c>
      <c r="C2" s="40" t="s">
        <v>517</v>
      </c>
      <c r="D2" s="170" t="s">
        <v>518</v>
      </c>
      <c r="E2" s="170" t="s">
        <v>334</v>
      </c>
      <c r="F2" s="170" t="s">
        <v>491</v>
      </c>
      <c r="G2" s="171">
        <v>1420989</v>
      </c>
      <c r="H2" s="171">
        <v>78637</v>
      </c>
      <c r="I2" s="171">
        <v>1420989</v>
      </c>
      <c r="J2" s="198">
        <f>I2*10^(-6)</f>
        <v>1.4209889999999998</v>
      </c>
      <c r="L2" s="172" t="s">
        <v>334</v>
      </c>
      <c r="M2">
        <v>1420989</v>
      </c>
      <c r="N2">
        <v>1420989</v>
      </c>
      <c r="P2" s="172" t="s">
        <v>334</v>
      </c>
      <c r="Q2">
        <v>12305.655399518766</v>
      </c>
    </row>
    <row r="3" spans="1:17" ht="15" x14ac:dyDescent="0.25">
      <c r="A3" s="16" t="s">
        <v>519</v>
      </c>
      <c r="B3" s="40" t="s">
        <v>519</v>
      </c>
      <c r="C3" s="40" t="s">
        <v>520</v>
      </c>
      <c r="D3" s="16" t="s">
        <v>518</v>
      </c>
      <c r="E3" s="16" t="s">
        <v>357</v>
      </c>
      <c r="F3" s="16" t="s">
        <v>521</v>
      </c>
      <c r="G3" s="173">
        <v>5064028</v>
      </c>
      <c r="H3" s="173">
        <v>13789</v>
      </c>
      <c r="I3" s="173">
        <v>195751</v>
      </c>
      <c r="J3" s="198">
        <f t="shared" ref="J3:J14" si="0">I3*10^(-6)</f>
        <v>0.19575099999999998</v>
      </c>
      <c r="L3" s="172" t="s">
        <v>357</v>
      </c>
      <c r="M3">
        <v>23502694</v>
      </c>
      <c r="N3">
        <v>610577983</v>
      </c>
      <c r="P3" s="172" t="s">
        <v>357</v>
      </c>
      <c r="Q3">
        <v>25146932.739426509</v>
      </c>
    </row>
    <row r="4" spans="1:17" ht="15" x14ac:dyDescent="0.25">
      <c r="A4" s="16" t="s">
        <v>522</v>
      </c>
      <c r="B4" s="40" t="s">
        <v>522</v>
      </c>
      <c r="C4" s="40" t="s">
        <v>523</v>
      </c>
      <c r="D4" s="16" t="s">
        <v>518</v>
      </c>
      <c r="E4" s="16" t="s">
        <v>357</v>
      </c>
      <c r="F4" s="16" t="s">
        <v>521</v>
      </c>
      <c r="G4" s="173">
        <v>326200350</v>
      </c>
      <c r="H4" s="173">
        <v>881007</v>
      </c>
      <c r="I4" s="173">
        <v>12555252</v>
      </c>
      <c r="J4" s="198">
        <f t="shared" si="0"/>
        <v>12.555251999999999</v>
      </c>
      <c r="L4" s="172" t="s">
        <v>70</v>
      </c>
      <c r="M4">
        <v>27584016</v>
      </c>
      <c r="N4">
        <v>10974150</v>
      </c>
      <c r="P4" s="172" t="s">
        <v>485</v>
      </c>
      <c r="Q4">
        <v>12.046237098259951</v>
      </c>
    </row>
    <row r="5" spans="1:17" ht="15" x14ac:dyDescent="0.25">
      <c r="A5" s="192" t="s">
        <v>524</v>
      </c>
      <c r="B5" s="193" t="s">
        <v>524</v>
      </c>
      <c r="C5" s="193" t="s">
        <v>143</v>
      </c>
      <c r="D5" s="192" t="s">
        <v>518</v>
      </c>
      <c r="E5" s="192" t="s">
        <v>357</v>
      </c>
      <c r="F5" s="192" t="s">
        <v>521</v>
      </c>
      <c r="G5" s="194">
        <v>35234181</v>
      </c>
      <c r="H5" s="194">
        <v>95080</v>
      </c>
      <c r="I5" s="194">
        <v>1356142</v>
      </c>
      <c r="J5" s="198">
        <f t="shared" si="0"/>
        <v>1.356142</v>
      </c>
      <c r="L5" s="172" t="s">
        <v>315</v>
      </c>
      <c r="M5">
        <v>137197690</v>
      </c>
      <c r="N5">
        <v>4069584178</v>
      </c>
      <c r="P5" s="172" t="s">
        <v>70</v>
      </c>
      <c r="Q5">
        <v>23208.417526903249</v>
      </c>
    </row>
    <row r="6" spans="1:17" ht="15" x14ac:dyDescent="0.25">
      <c r="A6" s="16" t="s">
        <v>525</v>
      </c>
      <c r="B6" s="40" t="s">
        <v>525</v>
      </c>
      <c r="C6" s="40" t="s">
        <v>517</v>
      </c>
      <c r="D6" s="16" t="s">
        <v>518</v>
      </c>
      <c r="E6" s="16" t="s">
        <v>357</v>
      </c>
      <c r="F6" s="16" t="s">
        <v>521</v>
      </c>
      <c r="G6" s="173">
        <v>7545275</v>
      </c>
      <c r="H6" s="173">
        <v>20391</v>
      </c>
      <c r="I6" s="173">
        <v>290413</v>
      </c>
      <c r="J6" s="198">
        <f t="shared" si="0"/>
        <v>0.29041299999999998</v>
      </c>
      <c r="L6" s="174" t="s">
        <v>494</v>
      </c>
      <c r="M6" s="169">
        <v>189705389</v>
      </c>
      <c r="N6" s="169">
        <v>4692557300</v>
      </c>
      <c r="P6" s="172" t="s">
        <v>486</v>
      </c>
      <c r="Q6">
        <v>0</v>
      </c>
    </row>
    <row r="7" spans="1:17" ht="15" x14ac:dyDescent="0.25">
      <c r="A7" s="192" t="s">
        <v>526</v>
      </c>
      <c r="B7" s="193" t="s">
        <v>526</v>
      </c>
      <c r="C7" s="193" t="s">
        <v>143</v>
      </c>
      <c r="D7" s="192" t="s">
        <v>518</v>
      </c>
      <c r="E7" s="192" t="s">
        <v>357</v>
      </c>
      <c r="F7" s="192" t="s">
        <v>521</v>
      </c>
      <c r="G7" s="194">
        <v>14166357</v>
      </c>
      <c r="H7" s="194">
        <v>38228</v>
      </c>
      <c r="I7" s="194">
        <v>545254</v>
      </c>
      <c r="J7" s="198">
        <f t="shared" si="0"/>
        <v>0.54525400000000002</v>
      </c>
      <c r="P7" s="172" t="s">
        <v>315</v>
      </c>
      <c r="Q7">
        <v>202541532.25848618</v>
      </c>
    </row>
    <row r="8" spans="1:17" ht="15" x14ac:dyDescent="0.25">
      <c r="A8" s="16" t="s">
        <v>527</v>
      </c>
      <c r="B8" s="40" t="s">
        <v>527</v>
      </c>
      <c r="C8" s="40" t="s">
        <v>520</v>
      </c>
      <c r="D8" s="16" t="s">
        <v>518</v>
      </c>
      <c r="E8" s="16" t="s">
        <v>357</v>
      </c>
      <c r="F8" s="16" t="s">
        <v>521</v>
      </c>
      <c r="G8" s="173">
        <v>5671501</v>
      </c>
      <c r="H8" s="173">
        <v>15443</v>
      </c>
      <c r="I8" s="173">
        <v>219257</v>
      </c>
      <c r="J8" s="198">
        <f t="shared" si="0"/>
        <v>0.21925699999999998</v>
      </c>
      <c r="P8" s="172" t="s">
        <v>484</v>
      </c>
      <c r="Q8">
        <v>332792.54185858712</v>
      </c>
    </row>
    <row r="9" spans="1:17" ht="15" x14ac:dyDescent="0.25">
      <c r="A9" s="16" t="s">
        <v>528</v>
      </c>
      <c r="B9" s="40" t="s">
        <v>528</v>
      </c>
      <c r="C9" s="40" t="s">
        <v>523</v>
      </c>
      <c r="D9" s="16" t="s">
        <v>518</v>
      </c>
      <c r="E9" s="16" t="s">
        <v>357</v>
      </c>
      <c r="F9" s="16" t="s">
        <v>521</v>
      </c>
      <c r="G9" s="173">
        <v>28064413</v>
      </c>
      <c r="H9" s="173">
        <v>75797</v>
      </c>
      <c r="I9" s="173">
        <v>1080300</v>
      </c>
      <c r="J9" s="198">
        <f t="shared" si="0"/>
        <v>1.0803</v>
      </c>
      <c r="P9" s="172" t="s">
        <v>494</v>
      </c>
      <c r="Q9">
        <v>228056783.6589348</v>
      </c>
    </row>
    <row r="10" spans="1:17" ht="15" x14ac:dyDescent="0.25">
      <c r="A10" s="16" t="s">
        <v>516</v>
      </c>
      <c r="B10" s="40" t="s">
        <v>516</v>
      </c>
      <c r="C10" s="40" t="s">
        <v>517</v>
      </c>
      <c r="D10" s="16" t="s">
        <v>518</v>
      </c>
      <c r="E10" s="16" t="s">
        <v>357</v>
      </c>
      <c r="F10" s="16" t="s">
        <v>521</v>
      </c>
      <c r="G10" s="173">
        <v>188631878</v>
      </c>
      <c r="H10" s="173">
        <v>509784</v>
      </c>
      <c r="I10" s="173">
        <v>7260325</v>
      </c>
      <c r="J10" s="198">
        <f t="shared" si="0"/>
        <v>7.2603249999999999</v>
      </c>
    </row>
    <row r="11" spans="1:17" ht="15" x14ac:dyDescent="0.25">
      <c r="A11" s="16" t="s">
        <v>529</v>
      </c>
      <c r="B11" s="40" t="s">
        <v>529</v>
      </c>
      <c r="C11" s="40" t="s">
        <v>520</v>
      </c>
      <c r="D11" s="16" t="s">
        <v>518</v>
      </c>
      <c r="E11" s="16" t="s">
        <v>70</v>
      </c>
      <c r="F11" s="16" t="s">
        <v>491</v>
      </c>
      <c r="G11" s="173">
        <v>10118346</v>
      </c>
      <c r="H11" s="173">
        <v>889291</v>
      </c>
      <c r="I11" s="173">
        <v>25432916</v>
      </c>
      <c r="J11" s="198">
        <f t="shared" si="0"/>
        <v>25.432915999999999</v>
      </c>
    </row>
    <row r="12" spans="1:17" ht="15" x14ac:dyDescent="0.25">
      <c r="A12" s="195" t="s">
        <v>524</v>
      </c>
      <c r="B12" s="196" t="s">
        <v>524</v>
      </c>
      <c r="C12" s="196" t="s">
        <v>143</v>
      </c>
      <c r="D12" s="195" t="s">
        <v>518</v>
      </c>
      <c r="E12" s="195" t="s">
        <v>315</v>
      </c>
      <c r="F12" s="195" t="s">
        <v>521</v>
      </c>
      <c r="G12" s="197">
        <v>440373688</v>
      </c>
      <c r="H12" s="197">
        <v>946065</v>
      </c>
      <c r="I12" s="197">
        <v>14846296</v>
      </c>
      <c r="J12" s="198">
        <f t="shared" si="0"/>
        <v>14.846295999999999</v>
      </c>
    </row>
    <row r="13" spans="1:17" ht="15" x14ac:dyDescent="0.25">
      <c r="A13" s="195" t="s">
        <v>526</v>
      </c>
      <c r="B13" s="196" t="s">
        <v>526</v>
      </c>
      <c r="C13" s="196" t="s">
        <v>143</v>
      </c>
      <c r="D13" s="195" t="s">
        <v>518</v>
      </c>
      <c r="E13" s="195" t="s">
        <v>315</v>
      </c>
      <c r="F13" s="195" t="s">
        <v>521</v>
      </c>
      <c r="G13" s="197">
        <v>3629210490</v>
      </c>
      <c r="H13" s="197">
        <v>7790907</v>
      </c>
      <c r="I13" s="197">
        <v>122351394</v>
      </c>
      <c r="J13" s="198">
        <f t="shared" si="0"/>
        <v>122.351394</v>
      </c>
    </row>
    <row r="14" spans="1:17" ht="15" x14ac:dyDescent="0.25">
      <c r="B14" s="40"/>
      <c r="C14" s="40"/>
      <c r="D14" s="16" t="s">
        <v>530</v>
      </c>
      <c r="E14" s="16" t="s">
        <v>70</v>
      </c>
      <c r="F14" s="16" t="s">
        <v>491</v>
      </c>
      <c r="G14" s="173">
        <v>855804</v>
      </c>
      <c r="H14" s="173">
        <v>75216</v>
      </c>
      <c r="I14" s="173">
        <v>2151100</v>
      </c>
      <c r="J14" s="198">
        <f t="shared" si="0"/>
        <v>2.1511</v>
      </c>
    </row>
    <row r="15" spans="1:17" ht="15" x14ac:dyDescent="0.25">
      <c r="G15" s="173">
        <f t="shared" ref="G15:H15" si="1">SUM(G2:G14)</f>
        <v>4692557300</v>
      </c>
      <c r="H15" s="173">
        <f t="shared" si="1"/>
        <v>11429635</v>
      </c>
      <c r="I15" s="173">
        <f>SUM(I2:I14)</f>
        <v>189705389</v>
      </c>
      <c r="J15" s="171"/>
    </row>
    <row r="16" spans="1:17" ht="15" x14ac:dyDescent="0.25">
      <c r="A16" s="16" t="s">
        <v>531</v>
      </c>
      <c r="G16" s="16">
        <f>(G13+G12)*33526</f>
        <v>136436879151628</v>
      </c>
      <c r="H16" s="16" t="s">
        <v>3254</v>
      </c>
      <c r="J16" s="171"/>
    </row>
    <row r="17" spans="2:13" x14ac:dyDescent="0.2">
      <c r="G17" s="16">
        <f>G16/10^12</f>
        <v>136.43687915162801</v>
      </c>
    </row>
    <row r="18" spans="2:13" ht="13.5" thickBot="1" x14ac:dyDescent="0.25"/>
    <row r="19" spans="2:13" x14ac:dyDescent="0.2">
      <c r="B19" s="174"/>
      <c r="C19" s="174"/>
      <c r="D19" s="174" t="s">
        <v>532</v>
      </c>
      <c r="E19" s="174" t="s">
        <v>532</v>
      </c>
      <c r="F19" s="174" t="s">
        <v>532</v>
      </c>
      <c r="G19" s="174" t="s">
        <v>533</v>
      </c>
      <c r="H19" s="174" t="s">
        <v>533</v>
      </c>
      <c r="I19" s="174" t="s">
        <v>533</v>
      </c>
      <c r="J19" s="333" t="s">
        <v>534</v>
      </c>
      <c r="K19" s="334" t="s">
        <v>534</v>
      </c>
      <c r="L19" s="335" t="s">
        <v>534</v>
      </c>
      <c r="M19" s="174"/>
    </row>
    <row r="20" spans="2:13" x14ac:dyDescent="0.2">
      <c r="B20" s="174" t="s">
        <v>481</v>
      </c>
      <c r="C20" s="174" t="s">
        <v>288</v>
      </c>
      <c r="D20" s="174" t="s">
        <v>510</v>
      </c>
      <c r="E20" s="174" t="s">
        <v>483</v>
      </c>
      <c r="F20" s="174" t="s">
        <v>535</v>
      </c>
      <c r="G20" s="174" t="s">
        <v>510</v>
      </c>
      <c r="H20" s="174" t="s">
        <v>483</v>
      </c>
      <c r="I20" s="174" t="s">
        <v>535</v>
      </c>
      <c r="J20" s="336" t="s">
        <v>510</v>
      </c>
      <c r="K20" s="174" t="s">
        <v>483</v>
      </c>
      <c r="L20" s="337" t="s">
        <v>535</v>
      </c>
      <c r="M20" s="174" t="s">
        <v>502</v>
      </c>
    </row>
    <row r="21" spans="2:13" x14ac:dyDescent="0.2">
      <c r="B21" s="16" t="s">
        <v>536</v>
      </c>
      <c r="C21" s="16" t="s">
        <v>537</v>
      </c>
      <c r="D21" s="332">
        <v>19318051038</v>
      </c>
      <c r="E21" s="16">
        <v>12881945</v>
      </c>
      <c r="F21" s="16">
        <v>192791648</v>
      </c>
      <c r="G21" s="16">
        <v>19959361647</v>
      </c>
      <c r="H21" s="16">
        <v>12431643</v>
      </c>
      <c r="I21" s="16">
        <v>188141550</v>
      </c>
      <c r="J21" s="339">
        <v>20031919734</v>
      </c>
      <c r="K21" s="340">
        <v>12379304</v>
      </c>
      <c r="L21" s="341">
        <v>187598017</v>
      </c>
      <c r="M21" s="177">
        <v>197.92638577200429</v>
      </c>
    </row>
    <row r="22" spans="2:13" x14ac:dyDescent="0.2">
      <c r="B22" s="16" t="s">
        <v>538</v>
      </c>
      <c r="C22" s="16" t="s">
        <v>537</v>
      </c>
      <c r="D22" s="332">
        <v>487628577</v>
      </c>
      <c r="E22" s="16">
        <v>387786</v>
      </c>
      <c r="F22" s="16">
        <v>5670969</v>
      </c>
      <c r="G22" s="16">
        <v>503816344</v>
      </c>
      <c r="H22" s="16">
        <v>399075</v>
      </c>
      <c r="I22" s="16">
        <v>5869409</v>
      </c>
      <c r="J22" s="339">
        <v>505647835</v>
      </c>
      <c r="K22" s="340">
        <v>401210</v>
      </c>
      <c r="L22" s="341">
        <v>5896144</v>
      </c>
      <c r="M22" s="177">
        <v>6.2207612349723744</v>
      </c>
    </row>
    <row r="23" spans="2:13" x14ac:dyDescent="0.2">
      <c r="B23" s="16" t="s">
        <v>539</v>
      </c>
      <c r="C23" s="16" t="s">
        <v>537</v>
      </c>
      <c r="D23" s="332">
        <v>632294047</v>
      </c>
      <c r="E23" s="16">
        <v>1419991</v>
      </c>
      <c r="F23" s="16">
        <v>19772771</v>
      </c>
      <c r="G23" s="16">
        <v>653284152</v>
      </c>
      <c r="H23" s="16">
        <v>1461692</v>
      </c>
      <c r="I23" s="16">
        <v>20334624</v>
      </c>
      <c r="J23" s="339">
        <v>655658982</v>
      </c>
      <c r="K23" s="340">
        <v>1466398</v>
      </c>
      <c r="L23" s="341">
        <v>20398002</v>
      </c>
      <c r="M23" s="177">
        <v>21.521031391446506</v>
      </c>
    </row>
    <row r="24" spans="2:13" x14ac:dyDescent="0.2">
      <c r="B24" s="16" t="s">
        <v>540</v>
      </c>
      <c r="C24" s="16" t="s">
        <v>537</v>
      </c>
      <c r="D24" s="332">
        <v>346001787</v>
      </c>
      <c r="E24" s="16">
        <v>687896</v>
      </c>
      <c r="F24" s="16">
        <v>9548307</v>
      </c>
      <c r="G24" s="16">
        <v>294114348</v>
      </c>
      <c r="H24" s="16">
        <v>571213</v>
      </c>
      <c r="I24" s="16">
        <v>8215958</v>
      </c>
      <c r="J24" s="339">
        <v>305464091</v>
      </c>
      <c r="K24" s="340">
        <v>586859</v>
      </c>
      <c r="L24" s="341">
        <v>8633174</v>
      </c>
      <c r="M24" s="177">
        <v>9.1084807552141527</v>
      </c>
    </row>
    <row r="25" spans="2:13" x14ac:dyDescent="0.2">
      <c r="B25" s="16" t="s">
        <v>541</v>
      </c>
      <c r="J25" s="339"/>
      <c r="K25" s="340"/>
      <c r="L25" s="341"/>
      <c r="M25" s="177"/>
    </row>
    <row r="26" spans="2:13" x14ac:dyDescent="0.2">
      <c r="B26" s="16" t="s">
        <v>542</v>
      </c>
      <c r="C26" s="16" t="s">
        <v>543</v>
      </c>
      <c r="D26" s="16">
        <v>2223041708</v>
      </c>
      <c r="E26" s="16">
        <v>953856</v>
      </c>
      <c r="F26" s="16">
        <v>20871239</v>
      </c>
      <c r="G26" s="16">
        <v>2154131108</v>
      </c>
      <c r="H26" s="16">
        <v>570346</v>
      </c>
      <c r="I26" s="16">
        <v>18961806</v>
      </c>
      <c r="J26" s="339">
        <v>2163557443</v>
      </c>
      <c r="K26" s="340">
        <v>556076</v>
      </c>
      <c r="L26" s="341">
        <v>20527391</v>
      </c>
      <c r="M26" s="177">
        <v>21.657544013158567</v>
      </c>
    </row>
    <row r="27" spans="2:13" x14ac:dyDescent="0.2">
      <c r="B27" s="16" t="s">
        <v>544</v>
      </c>
      <c r="C27" s="16" t="s">
        <v>521</v>
      </c>
      <c r="D27" s="16">
        <v>5207218</v>
      </c>
      <c r="E27" s="16">
        <v>14098</v>
      </c>
      <c r="F27" s="16">
        <v>192691</v>
      </c>
      <c r="G27" s="16">
        <v>5470547</v>
      </c>
      <c r="H27" s="16">
        <v>14811</v>
      </c>
      <c r="I27" s="16">
        <v>202435</v>
      </c>
      <c r="J27" s="339">
        <v>5452200</v>
      </c>
      <c r="K27" s="340">
        <v>14761</v>
      </c>
      <c r="L27" s="341">
        <v>201756</v>
      </c>
      <c r="M27" s="177">
        <v>0.21286384859716562</v>
      </c>
    </row>
    <row r="28" spans="2:13" x14ac:dyDescent="0.2">
      <c r="B28" s="16" t="s">
        <v>545</v>
      </c>
      <c r="J28" s="339"/>
      <c r="K28" s="340"/>
      <c r="L28" s="341"/>
      <c r="M28" s="177"/>
    </row>
    <row r="29" spans="2:13" x14ac:dyDescent="0.2">
      <c r="B29" s="16" t="s">
        <v>546</v>
      </c>
      <c r="C29" s="16" t="s">
        <v>521</v>
      </c>
      <c r="D29" s="16">
        <v>18247504</v>
      </c>
      <c r="E29" s="16">
        <v>49962</v>
      </c>
      <c r="F29" s="16">
        <v>673386</v>
      </c>
      <c r="G29" s="16">
        <v>14092419</v>
      </c>
      <c r="H29" s="16">
        <v>38585</v>
      </c>
      <c r="I29" s="16">
        <v>520051</v>
      </c>
      <c r="J29" s="339">
        <v>25241030</v>
      </c>
      <c r="K29" s="340">
        <v>69110</v>
      </c>
      <c r="L29" s="341">
        <v>931467</v>
      </c>
      <c r="M29" s="177">
        <v>0.9827497098537642</v>
      </c>
    </row>
    <row r="30" spans="2:13" x14ac:dyDescent="0.2">
      <c r="B30" s="16" t="s">
        <v>547</v>
      </c>
      <c r="C30" s="16" t="s">
        <v>521</v>
      </c>
      <c r="D30" s="16" t="s">
        <v>548</v>
      </c>
      <c r="E30" s="16" t="s">
        <v>548</v>
      </c>
      <c r="F30" s="16" t="s">
        <v>548</v>
      </c>
      <c r="G30" s="16" t="s">
        <v>548</v>
      </c>
      <c r="H30" s="16" t="s">
        <v>548</v>
      </c>
      <c r="I30" s="16" t="s">
        <v>548</v>
      </c>
      <c r="J30" s="339">
        <v>45333</v>
      </c>
      <c r="K30" s="340">
        <v>0.1</v>
      </c>
      <c r="L30" s="341">
        <v>1548</v>
      </c>
      <c r="M30" s="177">
        <v>1.6332264598248E-3</v>
      </c>
    </row>
    <row r="31" spans="2:13" x14ac:dyDescent="0.2">
      <c r="B31" s="16" t="s">
        <v>549</v>
      </c>
      <c r="C31" s="16" t="s">
        <v>521</v>
      </c>
      <c r="D31" s="16" t="s">
        <v>548</v>
      </c>
      <c r="E31" s="16" t="s">
        <v>548</v>
      </c>
      <c r="F31" s="16" t="s">
        <v>548</v>
      </c>
      <c r="G31" s="16" t="s">
        <v>548</v>
      </c>
      <c r="H31" s="16" t="s">
        <v>548</v>
      </c>
      <c r="I31" s="16" t="s">
        <v>548</v>
      </c>
      <c r="J31" s="339">
        <v>8718</v>
      </c>
      <c r="K31" s="340">
        <v>21</v>
      </c>
      <c r="L31" s="341">
        <v>291</v>
      </c>
      <c r="M31" s="177">
        <v>3.0702125310660001E-4</v>
      </c>
    </row>
    <row r="32" spans="2:13" x14ac:dyDescent="0.2">
      <c r="B32" s="16" t="s">
        <v>550</v>
      </c>
      <c r="J32" s="339"/>
      <c r="K32" s="340"/>
      <c r="L32" s="341"/>
      <c r="M32" s="177"/>
    </row>
    <row r="33" spans="1:13" x14ac:dyDescent="0.2">
      <c r="B33" s="16" t="s">
        <v>551</v>
      </c>
      <c r="C33" s="16" t="s">
        <v>521</v>
      </c>
      <c r="D33" s="16">
        <v>933093</v>
      </c>
      <c r="E33" s="16">
        <v>2426</v>
      </c>
      <c r="F33" s="16">
        <v>33610</v>
      </c>
      <c r="G33" s="16">
        <v>898529</v>
      </c>
      <c r="H33" s="16">
        <v>2336</v>
      </c>
      <c r="I33" s="16">
        <v>32365</v>
      </c>
      <c r="J33" s="339">
        <v>1016754</v>
      </c>
      <c r="K33" s="340">
        <v>2643</v>
      </c>
      <c r="L33" s="341">
        <v>36623</v>
      </c>
      <c r="M33" s="177">
        <v>3.8639310489769804E-2</v>
      </c>
    </row>
    <row r="34" spans="1:13" x14ac:dyDescent="0.2">
      <c r="B34" s="16" t="s">
        <v>552</v>
      </c>
      <c r="J34" s="339"/>
      <c r="K34" s="340"/>
      <c r="L34" s="341"/>
      <c r="M34" s="177"/>
    </row>
    <row r="35" spans="1:13" x14ac:dyDescent="0.2">
      <c r="B35" s="16" t="s">
        <v>553</v>
      </c>
      <c r="J35" s="339"/>
      <c r="K35" s="340"/>
      <c r="L35" s="341"/>
      <c r="M35" s="177"/>
    </row>
    <row r="36" spans="1:13" x14ac:dyDescent="0.2">
      <c r="B36" s="16" t="s">
        <v>554</v>
      </c>
      <c r="C36" s="16" t="s">
        <v>555</v>
      </c>
      <c r="D36" s="16">
        <v>7420036</v>
      </c>
      <c r="E36" s="16">
        <v>2021979</v>
      </c>
      <c r="F36" s="16" t="s">
        <v>548</v>
      </c>
      <c r="G36" s="16">
        <v>5999846</v>
      </c>
      <c r="H36" s="16">
        <v>1634973</v>
      </c>
      <c r="I36" s="16" t="s">
        <v>548</v>
      </c>
      <c r="J36" s="339">
        <v>5538963</v>
      </c>
      <c r="K36" s="340">
        <v>1509381</v>
      </c>
      <c r="L36" s="341" t="s">
        <v>548</v>
      </c>
      <c r="M36" s="177"/>
    </row>
    <row r="37" spans="1:13" x14ac:dyDescent="0.2">
      <c r="B37" s="16" t="s">
        <v>556</v>
      </c>
      <c r="J37" s="339"/>
      <c r="K37" s="340"/>
      <c r="L37" s="341"/>
      <c r="M37" s="177"/>
    </row>
    <row r="38" spans="1:13" x14ac:dyDescent="0.2">
      <c r="B38" s="16" t="s">
        <v>557</v>
      </c>
      <c r="C38" s="16" t="s">
        <v>555</v>
      </c>
      <c r="D38" s="16">
        <v>26351</v>
      </c>
      <c r="E38" s="16">
        <v>4991</v>
      </c>
      <c r="F38" s="16" t="s">
        <v>548</v>
      </c>
      <c r="G38" s="16">
        <v>36980</v>
      </c>
      <c r="H38" s="16">
        <v>7004</v>
      </c>
      <c r="I38" s="16" t="s">
        <v>548</v>
      </c>
      <c r="J38" s="339">
        <v>564146</v>
      </c>
      <c r="K38" s="340">
        <v>106849</v>
      </c>
      <c r="L38" s="341" t="s">
        <v>548</v>
      </c>
      <c r="M38" s="177"/>
    </row>
    <row r="39" spans="1:13" x14ac:dyDescent="0.2">
      <c r="B39" s="16" t="s">
        <v>558</v>
      </c>
      <c r="J39" s="339"/>
      <c r="K39" s="340"/>
      <c r="L39" s="341"/>
      <c r="M39" s="177"/>
    </row>
    <row r="40" spans="1:13" x14ac:dyDescent="0.2">
      <c r="B40" s="16" t="s">
        <v>559</v>
      </c>
      <c r="C40" s="16" t="s">
        <v>555</v>
      </c>
      <c r="D40" s="16">
        <v>6536</v>
      </c>
      <c r="E40" s="16">
        <v>163402</v>
      </c>
      <c r="F40" s="16" t="s">
        <v>548</v>
      </c>
      <c r="G40" s="16">
        <v>5699</v>
      </c>
      <c r="H40" s="16">
        <v>142468</v>
      </c>
      <c r="I40" s="16" t="s">
        <v>548</v>
      </c>
      <c r="J40" s="339">
        <v>5842</v>
      </c>
      <c r="K40" s="340">
        <v>146058</v>
      </c>
      <c r="L40" s="341" t="s">
        <v>548</v>
      </c>
      <c r="M40" s="177"/>
    </row>
    <row r="41" spans="1:13" x14ac:dyDescent="0.2">
      <c r="B41" s="16" t="s">
        <v>560</v>
      </c>
      <c r="C41" s="16" t="s">
        <v>555</v>
      </c>
      <c r="D41" s="16">
        <v>286</v>
      </c>
      <c r="E41" s="16">
        <v>85120</v>
      </c>
      <c r="F41" s="16" t="s">
        <v>548</v>
      </c>
      <c r="G41" s="16">
        <v>255</v>
      </c>
      <c r="H41" s="16">
        <v>75866</v>
      </c>
      <c r="I41" s="16" t="s">
        <v>548</v>
      </c>
      <c r="J41" s="339">
        <v>251</v>
      </c>
      <c r="K41" s="340">
        <v>74871</v>
      </c>
      <c r="L41" s="341" t="s">
        <v>548</v>
      </c>
      <c r="M41" s="177"/>
    </row>
    <row r="42" spans="1:13" ht="13.5" thickBot="1" x14ac:dyDescent="0.25">
      <c r="B42" s="16" t="s">
        <v>561</v>
      </c>
      <c r="E42" s="16">
        <v>61062452</v>
      </c>
      <c r="F42" s="16">
        <v>1084533543</v>
      </c>
      <c r="H42" s="16">
        <v>52740933</v>
      </c>
      <c r="I42" s="16">
        <v>1084168127</v>
      </c>
      <c r="J42" s="338"/>
      <c r="K42" s="342">
        <v>52042186</v>
      </c>
      <c r="L42" s="343">
        <v>1119368701</v>
      </c>
      <c r="M42" s="177">
        <v>1180.9964992073096</v>
      </c>
    </row>
    <row r="43" spans="1:13" x14ac:dyDescent="0.2">
      <c r="B43" s="16">
        <v>51</v>
      </c>
      <c r="M43" s="177"/>
    </row>
    <row r="46" spans="1:13" x14ac:dyDescent="0.2">
      <c r="A46" s="16" t="s">
        <v>562</v>
      </c>
    </row>
    <row r="47" spans="1:13" x14ac:dyDescent="0.2">
      <c r="A47" s="16" t="s">
        <v>563</v>
      </c>
    </row>
    <row r="49" spans="1:10" x14ac:dyDescent="0.2">
      <c r="C49" s="76" t="s">
        <v>71</v>
      </c>
      <c r="D49" s="76" t="s">
        <v>71</v>
      </c>
      <c r="E49" s="76" t="s">
        <v>537</v>
      </c>
      <c r="F49" s="76"/>
      <c r="G49" s="16" t="s">
        <v>147</v>
      </c>
      <c r="H49" s="16" t="s">
        <v>147</v>
      </c>
      <c r="I49" s="173" t="s">
        <v>503</v>
      </c>
      <c r="J49" s="173" t="s">
        <v>503</v>
      </c>
    </row>
    <row r="50" spans="1:10" hidden="1" x14ac:dyDescent="0.2">
      <c r="A50" s="175"/>
      <c r="B50" s="175"/>
      <c r="C50" s="221"/>
      <c r="D50" s="221"/>
      <c r="E50" s="221"/>
      <c r="F50" s="76"/>
    </row>
    <row r="51" spans="1:10" hidden="1" x14ac:dyDescent="0.2">
      <c r="C51" s="76"/>
      <c r="D51" s="76"/>
      <c r="E51" s="76"/>
      <c r="F51" s="76"/>
    </row>
    <row r="52" spans="1:10" ht="31.5" hidden="1" x14ac:dyDescent="0.2">
      <c r="A52" s="178"/>
      <c r="B52" s="178" t="s">
        <v>564</v>
      </c>
      <c r="C52" s="180"/>
      <c r="D52" s="180" t="s">
        <v>565</v>
      </c>
      <c r="E52" s="179" t="s">
        <v>566</v>
      </c>
      <c r="F52" s="180"/>
      <c r="G52" s="181" t="s">
        <v>567</v>
      </c>
    </row>
    <row r="53" spans="1:10" ht="15.75" hidden="1" x14ac:dyDescent="0.2">
      <c r="A53" s="399" t="s">
        <v>568</v>
      </c>
      <c r="B53" s="182" t="s">
        <v>569</v>
      </c>
      <c r="C53" s="183" t="s">
        <v>315</v>
      </c>
      <c r="D53" s="183" t="s">
        <v>521</v>
      </c>
      <c r="E53" s="183">
        <v>2884413472</v>
      </c>
      <c r="F53" s="183"/>
      <c r="G53" s="183">
        <v>92569601.890000001</v>
      </c>
    </row>
    <row r="54" spans="1:10" ht="15.75" hidden="1" x14ac:dyDescent="0.2">
      <c r="A54" s="400"/>
      <c r="B54" s="182" t="s">
        <v>569</v>
      </c>
      <c r="C54" s="183" t="s">
        <v>357</v>
      </c>
      <c r="D54" s="183" t="s">
        <v>521</v>
      </c>
      <c r="E54" s="183">
        <v>14155425</v>
      </c>
      <c r="F54" s="183"/>
      <c r="G54" s="183">
        <v>523788</v>
      </c>
    </row>
    <row r="55" spans="1:10" ht="15.75" hidden="1" x14ac:dyDescent="0.2">
      <c r="A55" s="400"/>
      <c r="B55" s="182" t="s">
        <v>570</v>
      </c>
      <c r="C55" s="183" t="s">
        <v>315</v>
      </c>
      <c r="D55" s="183" t="s">
        <v>521</v>
      </c>
      <c r="E55" s="183">
        <v>402924507</v>
      </c>
      <c r="F55" s="183"/>
      <c r="G55" s="183">
        <v>12931073</v>
      </c>
    </row>
    <row r="56" spans="1:10" ht="15.75" hidden="1" x14ac:dyDescent="0.2">
      <c r="A56" s="400"/>
      <c r="B56" s="182" t="s">
        <v>570</v>
      </c>
      <c r="C56" s="183" t="s">
        <v>357</v>
      </c>
      <c r="D56" s="183" t="s">
        <v>521</v>
      </c>
      <c r="E56" s="183">
        <v>41617894</v>
      </c>
      <c r="F56" s="183"/>
      <c r="G56" s="183">
        <v>1539971.69</v>
      </c>
    </row>
    <row r="57" spans="1:10" ht="15.75" hidden="1" x14ac:dyDescent="0.2">
      <c r="A57" s="400"/>
      <c r="B57" s="182" t="s">
        <v>571</v>
      </c>
      <c r="C57" s="183" t="s">
        <v>357</v>
      </c>
      <c r="D57" s="183" t="s">
        <v>521</v>
      </c>
      <c r="E57" s="183">
        <v>328641543</v>
      </c>
      <c r="F57" s="183"/>
      <c r="G57" s="183">
        <v>12160602.640000001</v>
      </c>
    </row>
    <row r="58" spans="1:10" ht="15.75" hidden="1" x14ac:dyDescent="0.2">
      <c r="A58" s="400"/>
      <c r="B58" s="182" t="s">
        <v>572</v>
      </c>
      <c r="C58" s="183" t="s">
        <v>357</v>
      </c>
      <c r="D58" s="183" t="s">
        <v>521</v>
      </c>
      <c r="E58" s="183">
        <v>183147184</v>
      </c>
      <c r="F58" s="183"/>
      <c r="G58" s="183">
        <v>6776914.2599999998</v>
      </c>
    </row>
    <row r="59" spans="1:10" ht="15.75" hidden="1" x14ac:dyDescent="0.2">
      <c r="A59" s="400"/>
      <c r="B59" s="182" t="s">
        <v>573</v>
      </c>
      <c r="C59" s="183" t="s">
        <v>357</v>
      </c>
      <c r="D59" s="183" t="s">
        <v>521</v>
      </c>
      <c r="E59" s="183">
        <v>7325887</v>
      </c>
      <c r="F59" s="183"/>
      <c r="G59" s="183">
        <v>271076.57</v>
      </c>
    </row>
    <row r="60" spans="1:10" ht="15.75" hidden="1" x14ac:dyDescent="0.2">
      <c r="A60" s="400"/>
      <c r="B60" s="182" t="s">
        <v>572</v>
      </c>
      <c r="C60" s="183" t="s">
        <v>334</v>
      </c>
      <c r="D60" s="183" t="s">
        <v>491</v>
      </c>
      <c r="E60" s="183">
        <v>1173494</v>
      </c>
      <c r="F60" s="183"/>
      <c r="G60" s="183">
        <v>1167870.5900000001</v>
      </c>
    </row>
    <row r="61" spans="1:10" ht="15.75" hidden="1" x14ac:dyDescent="0.2">
      <c r="A61" s="400"/>
      <c r="B61" s="182" t="s">
        <v>547</v>
      </c>
      <c r="C61" s="183"/>
      <c r="D61" s="183" t="s">
        <v>521</v>
      </c>
      <c r="E61" s="184" t="s">
        <v>548</v>
      </c>
      <c r="F61" s="184"/>
      <c r="G61" s="184" t="s">
        <v>548</v>
      </c>
    </row>
    <row r="62" spans="1:10" ht="15.75" hidden="1" x14ac:dyDescent="0.2">
      <c r="A62" s="401"/>
      <c r="B62" s="182" t="s">
        <v>574</v>
      </c>
      <c r="C62" s="183"/>
      <c r="D62" s="183" t="s">
        <v>521</v>
      </c>
      <c r="E62" s="183">
        <v>365259775</v>
      </c>
      <c r="F62" s="183"/>
      <c r="G62" s="183">
        <v>8237562.3399999999</v>
      </c>
    </row>
    <row r="63" spans="1:10" ht="31.5" hidden="1" x14ac:dyDescent="0.2">
      <c r="A63" s="399" t="s">
        <v>541</v>
      </c>
      <c r="B63" s="182" t="s">
        <v>575</v>
      </c>
      <c r="C63" s="183" t="s">
        <v>70</v>
      </c>
      <c r="D63" s="183" t="s">
        <v>576</v>
      </c>
      <c r="E63" s="183">
        <v>2827567062</v>
      </c>
      <c r="F63" s="183"/>
      <c r="G63" s="183">
        <v>24659796.739999998</v>
      </c>
    </row>
    <row r="64" spans="1:10" ht="15.75" hidden="1" x14ac:dyDescent="0.2">
      <c r="A64" s="401"/>
      <c r="B64" s="182" t="s">
        <v>577</v>
      </c>
      <c r="C64" s="183" t="s">
        <v>357</v>
      </c>
      <c r="D64" s="183" t="s">
        <v>521</v>
      </c>
      <c r="E64" s="183">
        <v>5470547</v>
      </c>
      <c r="F64" s="183"/>
      <c r="G64" s="183">
        <v>202424.23</v>
      </c>
    </row>
    <row r="65" spans="1:7" ht="15.75" hidden="1" x14ac:dyDescent="0.25">
      <c r="A65" s="185" t="s">
        <v>578</v>
      </c>
      <c r="B65" s="182" t="s">
        <v>579</v>
      </c>
      <c r="C65" s="183" t="s">
        <v>357</v>
      </c>
      <c r="D65" s="183" t="s">
        <v>521</v>
      </c>
      <c r="E65" s="183">
        <v>14092419</v>
      </c>
      <c r="F65" s="183"/>
      <c r="G65" s="183">
        <v>519217.54</v>
      </c>
    </row>
    <row r="66" spans="1:7" ht="15.75" hidden="1" x14ac:dyDescent="0.25">
      <c r="A66" s="185" t="s">
        <v>550</v>
      </c>
      <c r="B66" s="182" t="s">
        <v>580</v>
      </c>
      <c r="C66" s="183" t="s">
        <v>581</v>
      </c>
      <c r="D66" s="183" t="s">
        <v>521</v>
      </c>
      <c r="E66" s="183">
        <v>898529</v>
      </c>
      <c r="F66" s="183"/>
      <c r="G66" s="183">
        <v>33247.879999999997</v>
      </c>
    </row>
    <row r="67" spans="1:7" ht="15.75" hidden="1" x14ac:dyDescent="0.25">
      <c r="A67" s="186"/>
      <c r="B67" s="186"/>
      <c r="C67" s="187"/>
      <c r="D67" s="187"/>
      <c r="E67" s="187"/>
      <c r="F67" s="187"/>
      <c r="G67" s="187"/>
    </row>
    <row r="68" spans="1:7" ht="15.75" hidden="1" x14ac:dyDescent="0.25">
      <c r="A68" s="402" t="s">
        <v>582</v>
      </c>
      <c r="B68" s="402"/>
      <c r="C68" s="222"/>
      <c r="D68" s="187"/>
      <c r="E68" s="187"/>
      <c r="F68" s="187"/>
      <c r="G68" s="187"/>
    </row>
    <row r="69" spans="1:7" ht="15.75" hidden="1" x14ac:dyDescent="0.25">
      <c r="A69" s="186" t="s">
        <v>583</v>
      </c>
      <c r="B69" s="186"/>
      <c r="C69" s="187"/>
      <c r="D69" s="187"/>
      <c r="E69" s="187"/>
      <c r="F69" s="187"/>
      <c r="G69" s="187"/>
    </row>
    <row r="70" spans="1:7" ht="31.5" hidden="1" x14ac:dyDescent="0.25">
      <c r="A70" s="186"/>
      <c r="B70" s="186"/>
      <c r="C70" s="180"/>
      <c r="D70" s="180" t="s">
        <v>565</v>
      </c>
      <c r="E70" s="179" t="s">
        <v>566</v>
      </c>
      <c r="F70" s="180"/>
      <c r="G70" s="181" t="s">
        <v>567</v>
      </c>
    </row>
    <row r="71" spans="1:7" ht="15.75" hidden="1" x14ac:dyDescent="0.25">
      <c r="A71" s="186"/>
      <c r="B71" s="186"/>
      <c r="C71" s="183" t="s">
        <v>315</v>
      </c>
      <c r="D71" s="183" t="s">
        <v>521</v>
      </c>
      <c r="E71" s="188">
        <f>E53+E55</f>
        <v>3287337979</v>
      </c>
      <c r="F71" s="188"/>
      <c r="G71" s="188">
        <f t="shared" ref="G71" si="2">G53+G55</f>
        <v>105500674.89</v>
      </c>
    </row>
    <row r="72" spans="1:7" ht="15.75" hidden="1" x14ac:dyDescent="0.25">
      <c r="A72" s="186"/>
      <c r="B72" s="186"/>
      <c r="C72" s="183" t="s">
        <v>574</v>
      </c>
      <c r="D72" s="183" t="s">
        <v>521</v>
      </c>
      <c r="E72" s="188">
        <f>E62</f>
        <v>365259775</v>
      </c>
      <c r="F72" s="188"/>
      <c r="G72" s="188">
        <f t="shared" ref="G72" si="3">G62</f>
        <v>8237562.3399999999</v>
      </c>
    </row>
    <row r="73" spans="1:7" ht="15.75" hidden="1" x14ac:dyDescent="0.25">
      <c r="A73" s="186"/>
      <c r="B73" s="186"/>
      <c r="C73" s="183" t="s">
        <v>357</v>
      </c>
      <c r="D73" s="183" t="s">
        <v>521</v>
      </c>
      <c r="E73" s="188">
        <f>E54+E56+E57+E58+E59+E64+E65</f>
        <v>594450899</v>
      </c>
      <c r="F73" s="188"/>
      <c r="G73" s="188">
        <f t="shared" ref="G73" si="4">G54+G56+G57+G58+G59+G64+G65</f>
        <v>21993994.93</v>
      </c>
    </row>
    <row r="74" spans="1:7" ht="15.75" hidden="1" x14ac:dyDescent="0.25">
      <c r="A74" s="186"/>
      <c r="B74" s="186"/>
      <c r="C74" s="183" t="s">
        <v>334</v>
      </c>
      <c r="D74" s="183" t="s">
        <v>491</v>
      </c>
      <c r="E74" s="188">
        <f>E60</f>
        <v>1173494</v>
      </c>
      <c r="F74" s="188"/>
      <c r="G74" s="188">
        <f t="shared" ref="G74" si="5">G60</f>
        <v>1167870.5900000001</v>
      </c>
    </row>
    <row r="75" spans="1:7" ht="31.5" hidden="1" x14ac:dyDescent="0.25">
      <c r="A75" s="189"/>
      <c r="B75" s="186"/>
      <c r="C75" s="183" t="s">
        <v>70</v>
      </c>
      <c r="D75" s="183" t="s">
        <v>576</v>
      </c>
      <c r="E75" s="188">
        <f>E63</f>
        <v>2827567062</v>
      </c>
      <c r="F75" s="188"/>
      <c r="G75" s="188">
        <f t="shared" ref="G75" si="6">G63</f>
        <v>24659796.739999998</v>
      </c>
    </row>
    <row r="76" spans="1:7" ht="15.75" hidden="1" x14ac:dyDescent="0.25">
      <c r="A76" s="189"/>
      <c r="B76" s="186"/>
      <c r="C76" s="183" t="s">
        <v>581</v>
      </c>
      <c r="D76" s="183" t="s">
        <v>521</v>
      </c>
      <c r="E76" s="188">
        <f>E66</f>
        <v>898529</v>
      </c>
      <c r="F76" s="188"/>
      <c r="G76" s="188">
        <f t="shared" ref="G76" si="7">G66</f>
        <v>33247.879999999997</v>
      </c>
    </row>
    <row r="77" spans="1:7" ht="15.75" hidden="1" x14ac:dyDescent="0.25">
      <c r="A77" s="189"/>
      <c r="B77" s="186"/>
      <c r="C77" s="187"/>
      <c r="D77" s="187"/>
      <c r="E77" s="187"/>
      <c r="F77" s="187"/>
      <c r="G77" s="187"/>
    </row>
    <row r="78" spans="1:7" ht="31.5" hidden="1" x14ac:dyDescent="0.25">
      <c r="A78" s="187"/>
      <c r="B78" s="181" t="s">
        <v>584</v>
      </c>
      <c r="C78" s="187"/>
      <c r="D78" s="187"/>
      <c r="E78" s="187"/>
      <c r="F78" s="187"/>
      <c r="G78" s="187"/>
    </row>
    <row r="79" spans="1:7" ht="15.75" hidden="1" x14ac:dyDescent="0.25">
      <c r="A79" s="182" t="s">
        <v>569</v>
      </c>
      <c r="B79" s="190">
        <f>E53/E71</f>
        <v>0.87743137165270468</v>
      </c>
      <c r="C79" s="187"/>
      <c r="D79" s="187"/>
      <c r="E79" s="187"/>
      <c r="F79" s="187"/>
      <c r="G79" s="187"/>
    </row>
    <row r="80" spans="1:7" ht="15.75" hidden="1" x14ac:dyDescent="0.25">
      <c r="A80" s="182" t="s">
        <v>570</v>
      </c>
      <c r="B80" s="190">
        <f>E55/E71</f>
        <v>0.12256862834729534</v>
      </c>
      <c r="C80" s="187"/>
      <c r="D80" s="187"/>
      <c r="E80" s="187"/>
      <c r="F80" s="187"/>
      <c r="G80" s="187"/>
    </row>
    <row r="81" spans="1:10" ht="15.75" hidden="1" x14ac:dyDescent="0.25">
      <c r="A81" s="189"/>
      <c r="B81" s="186"/>
      <c r="C81" s="187"/>
      <c r="D81" s="187"/>
      <c r="E81" s="187"/>
      <c r="F81" s="187"/>
      <c r="G81" s="187"/>
    </row>
    <row r="82" spans="1:10" ht="15.75" hidden="1" x14ac:dyDescent="0.25">
      <c r="A82" s="186"/>
      <c r="B82" s="181" t="s">
        <v>585</v>
      </c>
      <c r="C82" s="187"/>
      <c r="D82" s="187"/>
      <c r="E82" s="187"/>
      <c r="F82" s="187"/>
      <c r="G82" s="187"/>
    </row>
    <row r="83" spans="1:10" ht="15.75" hidden="1" x14ac:dyDescent="0.25">
      <c r="A83" s="182" t="s">
        <v>569</v>
      </c>
      <c r="B83" s="190">
        <f>E54/E$73</f>
        <v>2.3812605925590501E-2</v>
      </c>
      <c r="C83" s="187"/>
      <c r="D83" s="187"/>
      <c r="E83" s="187"/>
      <c r="F83" s="187"/>
      <c r="G83" s="187"/>
    </row>
    <row r="84" spans="1:10" ht="15.75" hidden="1" x14ac:dyDescent="0.25">
      <c r="A84" s="182" t="s">
        <v>570</v>
      </c>
      <c r="B84" s="190">
        <f>E56/E$73</f>
        <v>7.0010650282488679E-2</v>
      </c>
      <c r="C84" s="187"/>
      <c r="D84" s="187"/>
      <c r="E84" s="187"/>
      <c r="F84" s="187"/>
      <c r="G84" s="187"/>
    </row>
    <row r="85" spans="1:10" ht="15.75" hidden="1" x14ac:dyDescent="0.25">
      <c r="A85" s="182" t="s">
        <v>571</v>
      </c>
      <c r="B85" s="190">
        <f t="shared" ref="B85:B87" si="8">E57/E$73</f>
        <v>0.55284892924352358</v>
      </c>
      <c r="C85" s="187"/>
      <c r="D85" s="187"/>
      <c r="E85" s="187"/>
      <c r="F85" s="187"/>
      <c r="G85" s="187"/>
    </row>
    <row r="86" spans="1:10" ht="15.75" hidden="1" x14ac:dyDescent="0.25">
      <c r="A86" s="182" t="s">
        <v>572</v>
      </c>
      <c r="B86" s="190">
        <f t="shared" si="8"/>
        <v>0.30809472120926173</v>
      </c>
      <c r="C86" s="187"/>
      <c r="D86" s="187"/>
      <c r="E86" s="187"/>
      <c r="F86" s="187"/>
      <c r="G86" s="187"/>
    </row>
    <row r="87" spans="1:10" ht="15.75" hidden="1" x14ac:dyDescent="0.25">
      <c r="A87" s="182" t="s">
        <v>573</v>
      </c>
      <c r="B87" s="190">
        <f t="shared" si="8"/>
        <v>1.2323788242769569E-2</v>
      </c>
      <c r="C87" s="187"/>
      <c r="D87" s="187"/>
      <c r="E87" s="187"/>
      <c r="F87" s="187"/>
      <c r="G87" s="187"/>
    </row>
    <row r="88" spans="1:10" ht="15.75" hidden="1" x14ac:dyDescent="0.25">
      <c r="A88" s="182" t="s">
        <v>577</v>
      </c>
      <c r="B88" s="190">
        <f>E64/E73</f>
        <v>9.2026894217885607E-3</v>
      </c>
      <c r="C88" s="187"/>
      <c r="D88" s="187"/>
      <c r="E88" s="187"/>
      <c r="F88" s="187"/>
      <c r="G88" s="187"/>
    </row>
    <row r="89" spans="1:10" ht="15.75" hidden="1" x14ac:dyDescent="0.25">
      <c r="A89" s="182" t="s">
        <v>579</v>
      </c>
      <c r="B89" s="190">
        <f>E65/E73</f>
        <v>2.3706615674577356E-2</v>
      </c>
      <c r="C89" s="187"/>
      <c r="D89" s="187"/>
      <c r="E89" s="187"/>
      <c r="F89" s="187"/>
      <c r="G89" s="187"/>
    </row>
    <row r="90" spans="1:10" ht="15.75" hidden="1" x14ac:dyDescent="0.25">
      <c r="A90" s="186"/>
      <c r="B90" s="191">
        <f>SUM(B83:B89)</f>
        <v>1</v>
      </c>
      <c r="C90" s="187"/>
      <c r="D90" s="187"/>
      <c r="E90" s="187"/>
      <c r="F90" s="187"/>
      <c r="G90" s="187"/>
    </row>
    <row r="91" spans="1:10" ht="15.75" x14ac:dyDescent="0.25">
      <c r="A91" s="186"/>
      <c r="B91" s="216" t="s">
        <v>493</v>
      </c>
      <c r="C91" s="217">
        <v>2010</v>
      </c>
      <c r="D91" s="217">
        <v>2015</v>
      </c>
      <c r="E91" s="217">
        <v>2015</v>
      </c>
      <c r="F91" s="187"/>
      <c r="G91" s="217">
        <v>2010</v>
      </c>
      <c r="H91" s="217">
        <v>2015</v>
      </c>
      <c r="I91" s="217">
        <v>2010</v>
      </c>
      <c r="J91" s="217">
        <v>2015</v>
      </c>
    </row>
    <row r="92" spans="1:10" ht="15.75" x14ac:dyDescent="0.25">
      <c r="A92" s="186"/>
      <c r="B92" s="186" t="s">
        <v>488</v>
      </c>
      <c r="C92" s="218">
        <f>SUM(C93:C98)</f>
        <v>20.184921265464187</v>
      </c>
      <c r="D92" s="218">
        <f>SUM(D93:D98)</f>
        <v>20.500243034665921</v>
      </c>
      <c r="E92" s="169">
        <f>J23</f>
        <v>655658982</v>
      </c>
      <c r="F92" s="187"/>
      <c r="G92" s="177">
        <v>1376693.744024161</v>
      </c>
      <c r="H92" s="177">
        <v>1398925.8908437684</v>
      </c>
      <c r="I92" s="177">
        <f>G92/(C92*1000)</f>
        <v>68.204068072321093</v>
      </c>
      <c r="J92" s="177">
        <f>H92/(D92*1000)</f>
        <v>68.239478355363104</v>
      </c>
    </row>
    <row r="93" spans="1:10" x14ac:dyDescent="0.2">
      <c r="B93" s="16" t="s">
        <v>357</v>
      </c>
      <c r="C93" s="215">
        <v>20.184921265464187</v>
      </c>
      <c r="D93" s="215">
        <v>20.500243034665921</v>
      </c>
      <c r="G93" s="177"/>
      <c r="H93" s="177"/>
    </row>
    <row r="94" spans="1:10" x14ac:dyDescent="0.2">
      <c r="B94" s="16" t="s">
        <v>485</v>
      </c>
      <c r="C94" s="215">
        <v>0</v>
      </c>
      <c r="D94" s="215">
        <v>0</v>
      </c>
      <c r="G94" s="177"/>
      <c r="H94" s="177"/>
    </row>
    <row r="95" spans="1:10" x14ac:dyDescent="0.2">
      <c r="B95" s="16" t="s">
        <v>70</v>
      </c>
      <c r="C95" s="215">
        <v>0</v>
      </c>
      <c r="D95" s="215">
        <v>0</v>
      </c>
      <c r="G95" s="177"/>
      <c r="H95" s="177"/>
    </row>
    <row r="96" spans="1:10" x14ac:dyDescent="0.2">
      <c r="B96" s="16" t="s">
        <v>486</v>
      </c>
      <c r="C96" s="215">
        <v>0</v>
      </c>
      <c r="D96" s="215">
        <v>0</v>
      </c>
      <c r="G96" s="177"/>
      <c r="H96" s="177"/>
    </row>
    <row r="97" spans="2:10" x14ac:dyDescent="0.2">
      <c r="B97" s="16" t="s">
        <v>315</v>
      </c>
      <c r="C97" s="215">
        <v>0</v>
      </c>
      <c r="D97" s="215">
        <v>0</v>
      </c>
      <c r="G97" s="177"/>
      <c r="H97" s="177"/>
    </row>
    <row r="98" spans="2:10" x14ac:dyDescent="0.2">
      <c r="B98" s="16" t="s">
        <v>484</v>
      </c>
      <c r="C98" s="215">
        <v>0</v>
      </c>
      <c r="D98" s="215">
        <v>0</v>
      </c>
      <c r="G98" s="177"/>
      <c r="H98" s="177"/>
    </row>
    <row r="99" spans="2:10" x14ac:dyDescent="0.2">
      <c r="B99" s="16" t="s">
        <v>482</v>
      </c>
      <c r="C99" s="219">
        <f>SUM(C100:C106)</f>
        <v>200.77326880049188</v>
      </c>
      <c r="D99" s="219">
        <f>SUM(D100:D106)</f>
        <v>197.92641357643674</v>
      </c>
      <c r="E99" s="169">
        <f>J21</f>
        <v>20031919734</v>
      </c>
      <c r="F99" s="225">
        <f>E99/1000000000</f>
        <v>20.031919733999999</v>
      </c>
      <c r="G99" s="177"/>
      <c r="H99" s="177"/>
      <c r="I99" s="177">
        <f>G99/(C99*1000)</f>
        <v>0</v>
      </c>
      <c r="J99" s="177">
        <f>H99/(D99*1000)</f>
        <v>0</v>
      </c>
    </row>
    <row r="100" spans="2:10" x14ac:dyDescent="0.2">
      <c r="B100" s="16" t="s">
        <v>334</v>
      </c>
      <c r="C100" s="220">
        <v>1.3063158000121131E-5</v>
      </c>
      <c r="D100" s="215">
        <v>2.1320192816213072E-5</v>
      </c>
      <c r="G100" s="177">
        <v>0.62686921568308585</v>
      </c>
      <c r="H100" s="177">
        <v>1.0230875827165216</v>
      </c>
      <c r="I100" s="177">
        <f t="shared" ref="I100:I108" si="9">G100/(C100*1000)</f>
        <v>47.987570515282222</v>
      </c>
      <c r="J100" s="177">
        <f t="shared" ref="J100:J108" si="10">H100/(D100*1000)</f>
        <v>47.986788465557794</v>
      </c>
    </row>
    <row r="101" spans="2:10" x14ac:dyDescent="0.2">
      <c r="B101" s="16" t="s">
        <v>357</v>
      </c>
      <c r="C101" s="220">
        <v>2.0419384084569474</v>
      </c>
      <c r="D101" s="215">
        <v>2.8926252929696075</v>
      </c>
      <c r="G101" s="177">
        <v>140397.50513049829</v>
      </c>
      <c r="H101" s="177">
        <v>198976.38370505135</v>
      </c>
      <c r="I101" s="177">
        <f t="shared" si="9"/>
        <v>68.756973544855313</v>
      </c>
      <c r="J101" s="177">
        <f t="shared" si="10"/>
        <v>68.787472815319106</v>
      </c>
    </row>
    <row r="102" spans="2:10" x14ac:dyDescent="0.2">
      <c r="B102" s="16" t="s">
        <v>485</v>
      </c>
      <c r="C102" s="220">
        <v>1.2046237098259952E-5</v>
      </c>
      <c r="D102" s="215">
        <v>2.0006686705883063E-5</v>
      </c>
      <c r="G102" s="177">
        <v>0.82830887292393462</v>
      </c>
      <c r="H102" s="177">
        <v>1.3765328375939063</v>
      </c>
      <c r="I102" s="177">
        <f t="shared" si="9"/>
        <v>68.76079776344281</v>
      </c>
      <c r="J102" s="177">
        <f t="shared" si="10"/>
        <v>68.803638395013706</v>
      </c>
    </row>
    <row r="103" spans="2:10" x14ac:dyDescent="0.2">
      <c r="B103" s="16" t="s">
        <v>70</v>
      </c>
      <c r="C103" s="220">
        <v>2.3208417526903252E-2</v>
      </c>
      <c r="D103" s="215">
        <v>5.7382737720934697E-2</v>
      </c>
      <c r="G103" s="177">
        <v>756.93936682215008</v>
      </c>
      <c r="H103" s="177">
        <v>1473.3504485420244</v>
      </c>
      <c r="I103" s="177">
        <f t="shared" si="9"/>
        <v>32.614863376389373</v>
      </c>
      <c r="J103" s="177">
        <f t="shared" si="10"/>
        <v>25.67584794763998</v>
      </c>
    </row>
    <row r="104" spans="2:10" x14ac:dyDescent="0.2">
      <c r="B104" s="16" t="s">
        <v>486</v>
      </c>
      <c r="C104" s="220">
        <v>0</v>
      </c>
      <c r="D104" s="215">
        <v>0</v>
      </c>
      <c r="G104" s="177"/>
      <c r="H104" s="177"/>
      <c r="I104" s="177"/>
      <c r="J104" s="177"/>
    </row>
    <row r="105" spans="2:10" x14ac:dyDescent="0.2">
      <c r="B105" s="16" t="s">
        <v>315</v>
      </c>
      <c r="C105" s="220">
        <v>198.37530432325434</v>
      </c>
      <c r="D105" s="215">
        <v>194.40002392964169</v>
      </c>
      <c r="G105" s="177">
        <v>12476706.739867302</v>
      </c>
      <c r="H105" s="177">
        <v>12142889.720778024</v>
      </c>
      <c r="I105" s="177">
        <f t="shared" si="9"/>
        <v>62.89445544862982</v>
      </c>
      <c r="J105" s="177">
        <f t="shared" si="10"/>
        <v>62.463416800673045</v>
      </c>
    </row>
    <row r="106" spans="2:10" x14ac:dyDescent="0.2">
      <c r="B106" s="16" t="s">
        <v>484</v>
      </c>
      <c r="C106" s="220">
        <v>0.33279254185858714</v>
      </c>
      <c r="D106" s="215">
        <v>0.57634028922498082</v>
      </c>
      <c r="G106" s="177">
        <v>20766.456677800164</v>
      </c>
      <c r="H106" s="177">
        <v>35961.844126034484</v>
      </c>
      <c r="I106" s="177">
        <f t="shared" si="9"/>
        <v>62.400607182550424</v>
      </c>
      <c r="J106" s="177">
        <f t="shared" si="10"/>
        <v>62.396894331980981</v>
      </c>
    </row>
    <row r="107" spans="2:10" x14ac:dyDescent="0.2">
      <c r="B107" s="16" t="s">
        <v>487</v>
      </c>
      <c r="C107" s="219">
        <f>SUM(C108:C114)</f>
        <v>6.0913161715540118</v>
      </c>
      <c r="D107" s="219">
        <f>SUM(D108:D114)</f>
        <v>6.220761631438279</v>
      </c>
      <c r="E107" s="169">
        <f>J22</f>
        <v>505647835</v>
      </c>
      <c r="G107" s="177"/>
      <c r="H107" s="177"/>
      <c r="I107" s="177"/>
      <c r="J107" s="177"/>
    </row>
    <row r="108" spans="2:10" x14ac:dyDescent="0.2">
      <c r="B108" s="16" t="s">
        <v>334</v>
      </c>
      <c r="C108" s="215">
        <v>1.2292592241518645E-2</v>
      </c>
      <c r="D108" s="215">
        <v>2.0938755001713057E-2</v>
      </c>
      <c r="G108" s="177">
        <v>590.24378427805118</v>
      </c>
      <c r="H108" s="177">
        <v>1007.0238667584155</v>
      </c>
      <c r="I108" s="177">
        <f t="shared" si="9"/>
        <v>48.016217627758188</v>
      </c>
      <c r="J108" s="177">
        <f t="shared" si="10"/>
        <v>48.09377953350274</v>
      </c>
    </row>
    <row r="109" spans="2:10" x14ac:dyDescent="0.2">
      <c r="B109" s="16" t="s">
        <v>357</v>
      </c>
      <c r="C109" s="215">
        <v>1.912795644080665</v>
      </c>
      <c r="D109" s="215">
        <v>2.2188366743728469</v>
      </c>
      <c r="G109" s="177">
        <v>130263.78969556493</v>
      </c>
      <c r="H109" s="177">
        <v>151284.47835090387</v>
      </c>
      <c r="I109" s="177">
        <f t="shared" ref="I109:I115" si="11">G109/(C109*1000)</f>
        <v>68.101258019213446</v>
      </c>
      <c r="J109" s="177">
        <f t="shared" ref="J109:J115" si="12">H109/(D109*1000)</f>
        <v>68.181890131081573</v>
      </c>
    </row>
    <row r="110" spans="2:10" x14ac:dyDescent="0.2">
      <c r="B110" s="16" t="s">
        <v>485</v>
      </c>
      <c r="C110" s="215">
        <v>0</v>
      </c>
      <c r="D110" s="215">
        <v>0</v>
      </c>
      <c r="G110" s="177"/>
      <c r="H110" s="177"/>
      <c r="I110" s="177"/>
      <c r="J110" s="177"/>
    </row>
    <row r="111" spans="2:10" x14ac:dyDescent="0.2">
      <c r="B111" s="16" t="s">
        <v>70</v>
      </c>
      <c r="C111" s="215">
        <v>0</v>
      </c>
      <c r="D111" s="215">
        <v>0</v>
      </c>
      <c r="G111" s="177"/>
      <c r="H111" s="177"/>
      <c r="I111" s="177"/>
      <c r="J111" s="177"/>
    </row>
    <row r="112" spans="2:10" x14ac:dyDescent="0.2">
      <c r="B112" s="16" t="s">
        <v>486</v>
      </c>
      <c r="C112" s="215">
        <v>0</v>
      </c>
      <c r="D112" s="215">
        <v>0</v>
      </c>
      <c r="G112" s="177"/>
      <c r="H112" s="177"/>
      <c r="I112" s="177"/>
      <c r="J112" s="177"/>
    </row>
    <row r="113" spans="2:10" x14ac:dyDescent="0.2">
      <c r="B113" s="16" t="s">
        <v>315</v>
      </c>
      <c r="C113" s="215">
        <v>4.1662279352318281</v>
      </c>
      <c r="D113" s="215">
        <v>3.9809862020637192</v>
      </c>
      <c r="G113" s="177">
        <v>262844.88610333111</v>
      </c>
      <c r="H113" s="177">
        <v>248918.35025952908</v>
      </c>
      <c r="I113" s="177">
        <f t="shared" si="11"/>
        <v>63.089415699168939</v>
      </c>
      <c r="J113" s="177">
        <f t="shared" si="12"/>
        <v>62.526805576590874</v>
      </c>
    </row>
    <row r="114" spans="2:10" x14ac:dyDescent="0.2">
      <c r="B114" s="16" t="s">
        <v>484</v>
      </c>
      <c r="C114" s="215">
        <v>0</v>
      </c>
      <c r="D114" s="215">
        <v>0</v>
      </c>
      <c r="G114" s="177"/>
      <c r="H114" s="177"/>
      <c r="I114" s="177"/>
      <c r="J114" s="177"/>
    </row>
    <row r="115" spans="2:10" x14ac:dyDescent="0.2">
      <c r="B115" s="16" t="s">
        <v>489</v>
      </c>
      <c r="C115" s="219">
        <f>SUM(C116:C117)</f>
        <v>1.0072774214247078</v>
      </c>
      <c r="D115" s="219">
        <f>SUM(D116:D117)</f>
        <v>1.0207914197737302</v>
      </c>
      <c r="G115" s="177">
        <v>66554.958329956644</v>
      </c>
      <c r="H115" s="177">
        <v>67472.398954437202</v>
      </c>
      <c r="I115" s="177">
        <f t="shared" si="11"/>
        <v>66.074109192103549</v>
      </c>
      <c r="J115" s="177">
        <f t="shared" si="12"/>
        <v>66.098125089446</v>
      </c>
    </row>
    <row r="116" spans="2:10" x14ac:dyDescent="0.2">
      <c r="B116" s="16" t="s">
        <v>334</v>
      </c>
      <c r="C116" s="215">
        <v>0</v>
      </c>
      <c r="D116" s="215">
        <v>0</v>
      </c>
      <c r="G116" s="177"/>
      <c r="H116" s="177"/>
    </row>
    <row r="117" spans="2:10" x14ac:dyDescent="0.2">
      <c r="B117" s="16" t="s">
        <v>357</v>
      </c>
      <c r="C117" s="215">
        <v>1.0072774214247078</v>
      </c>
      <c r="D117" s="215">
        <v>1.0207914197737302</v>
      </c>
      <c r="G117" s="177"/>
      <c r="H117" s="177"/>
    </row>
    <row r="118" spans="2:10" x14ac:dyDescent="0.2">
      <c r="C118" s="215"/>
      <c r="D118" s="215"/>
      <c r="G118" s="177"/>
      <c r="H118" s="177"/>
    </row>
    <row r="119" spans="2:10" x14ac:dyDescent="0.2">
      <c r="G119" s="177"/>
      <c r="H119" s="177"/>
    </row>
    <row r="120" spans="2:10" x14ac:dyDescent="0.2">
      <c r="G120" s="177"/>
      <c r="H120" s="177"/>
    </row>
  </sheetData>
  <mergeCells count="3">
    <mergeCell ref="A53:A62"/>
    <mergeCell ref="A63:A64"/>
    <mergeCell ref="A68:B68"/>
  </mergeCells>
  <pageMargins left="0.7" right="0.7" top="0.75" bottom="0.75" header="0.3" footer="0.3"/>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L92"/>
  <sheetViews>
    <sheetView zoomScale="80" zoomScaleNormal="80" workbookViewId="0">
      <selection activeCell="D32" sqref="D32"/>
    </sheetView>
  </sheetViews>
  <sheetFormatPr defaultColWidth="9.140625" defaultRowHeight="12.75" x14ac:dyDescent="0.2"/>
  <cols>
    <col min="1" max="1" width="24.28515625" style="47" customWidth="1"/>
    <col min="2" max="2" width="33.28515625" style="40" customWidth="1"/>
    <col min="3" max="3" width="14.42578125" style="40" customWidth="1"/>
    <col min="4" max="14" width="11.7109375" style="40" customWidth="1"/>
    <col min="15" max="17" width="12.85546875" style="40" bestFit="1" customWidth="1"/>
    <col min="18" max="18" width="13.28515625" style="40" bestFit="1" customWidth="1"/>
    <col min="19" max="20" width="12.85546875" style="40" bestFit="1" customWidth="1"/>
    <col min="21" max="22" width="12.5703125" style="40" bestFit="1" customWidth="1"/>
    <col min="23" max="29" width="12.85546875" style="40" bestFit="1" customWidth="1"/>
    <col min="30" max="30" width="13.28515625" style="40" bestFit="1" customWidth="1"/>
    <col min="31" max="31" width="12.85546875" style="40" bestFit="1" customWidth="1"/>
    <col min="32" max="32" width="13.28515625" style="40" bestFit="1" customWidth="1"/>
    <col min="33" max="33" width="12.85546875" style="40" bestFit="1" customWidth="1"/>
    <col min="34" max="34" width="12.28515625" style="40" bestFit="1" customWidth="1"/>
    <col min="35" max="38" width="9.28515625" style="40" bestFit="1" customWidth="1"/>
    <col min="39" max="16384" width="9.140625" style="40"/>
  </cols>
  <sheetData>
    <row r="1" spans="1:2" s="46" customFormat="1" ht="15.75" customHeight="1" x14ac:dyDescent="0.2">
      <c r="A1" s="44" t="s">
        <v>678</v>
      </c>
      <c r="B1" s="45"/>
    </row>
    <row r="2" spans="1:2" s="46" customFormat="1" ht="15.75" customHeight="1" x14ac:dyDescent="0.2">
      <c r="A2" s="44"/>
      <c r="B2" s="45"/>
    </row>
    <row r="3" spans="1:2" s="46" customFormat="1" x14ac:dyDescent="0.2">
      <c r="A3" s="44" t="s">
        <v>679</v>
      </c>
      <c r="B3" s="45"/>
    </row>
    <row r="4" spans="1:2" s="46" customFormat="1" x14ac:dyDescent="0.2">
      <c r="A4" s="44"/>
      <c r="B4" s="45"/>
    </row>
    <row r="5" spans="1:2" s="46" customFormat="1" x14ac:dyDescent="0.2">
      <c r="A5" s="44"/>
      <c r="B5" s="45"/>
    </row>
    <row r="6" spans="1:2" s="46" customFormat="1" x14ac:dyDescent="0.2">
      <c r="A6" s="44" t="s">
        <v>680</v>
      </c>
      <c r="B6" s="45"/>
    </row>
    <row r="7" spans="1:2" s="46" customFormat="1" x14ac:dyDescent="0.2">
      <c r="A7" s="44" t="s">
        <v>681</v>
      </c>
      <c r="B7" s="45" t="s">
        <v>682</v>
      </c>
    </row>
    <row r="8" spans="1:2" s="46" customFormat="1" x14ac:dyDescent="0.2">
      <c r="A8" s="44"/>
      <c r="B8" s="45"/>
    </row>
    <row r="9" spans="1:2" x14ac:dyDescent="0.2">
      <c r="A9" s="44" t="s">
        <v>683</v>
      </c>
      <c r="B9" s="45"/>
    </row>
    <row r="10" spans="1:2" x14ac:dyDescent="0.2">
      <c r="A10" s="58"/>
      <c r="B10" s="45" t="s">
        <v>684</v>
      </c>
    </row>
    <row r="15" spans="1:2" x14ac:dyDescent="0.2">
      <c r="B15" s="45" t="s">
        <v>685</v>
      </c>
    </row>
    <row r="16" spans="1:2" x14ac:dyDescent="0.2">
      <c r="B16" s="45" t="s">
        <v>686</v>
      </c>
    </row>
    <row r="17" spans="2:38" x14ac:dyDescent="0.2">
      <c r="B17" s="45" t="s">
        <v>687</v>
      </c>
      <c r="C17" s="57" t="s">
        <v>688</v>
      </c>
      <c r="D17" s="57" t="s">
        <v>689</v>
      </c>
      <c r="E17" s="57">
        <v>2007</v>
      </c>
      <c r="F17" s="57">
        <v>2008</v>
      </c>
      <c r="G17" s="57">
        <v>2009</v>
      </c>
      <c r="H17" s="57">
        <v>2010</v>
      </c>
      <c r="I17" s="57">
        <v>2011</v>
      </c>
      <c r="J17" s="57">
        <v>2012</v>
      </c>
      <c r="K17" s="57">
        <v>2013</v>
      </c>
      <c r="L17" s="57">
        <v>2014</v>
      </c>
      <c r="M17" s="57">
        <v>2015</v>
      </c>
      <c r="N17" s="57">
        <v>2016</v>
      </c>
      <c r="O17" s="57">
        <v>2017</v>
      </c>
      <c r="P17" s="57">
        <v>2018</v>
      </c>
      <c r="Q17" s="57">
        <v>2019</v>
      </c>
      <c r="R17" s="57">
        <v>2020</v>
      </c>
      <c r="S17" s="57">
        <v>2021</v>
      </c>
      <c r="T17" s="57">
        <v>2022</v>
      </c>
      <c r="U17" s="57">
        <v>2023</v>
      </c>
      <c r="V17" s="57">
        <v>2024</v>
      </c>
      <c r="W17" s="57">
        <v>2025</v>
      </c>
      <c r="X17" s="57">
        <v>2026</v>
      </c>
      <c r="Y17" s="57">
        <v>2027</v>
      </c>
      <c r="Z17" s="57">
        <v>2028</v>
      </c>
      <c r="AA17" s="57">
        <v>2029</v>
      </c>
      <c r="AB17" s="57">
        <v>2030</v>
      </c>
      <c r="AC17" s="57">
        <v>2031</v>
      </c>
      <c r="AD17" s="57">
        <v>2032</v>
      </c>
      <c r="AE17" s="57">
        <v>2033</v>
      </c>
      <c r="AF17" s="57">
        <v>2034</v>
      </c>
      <c r="AG17" s="57">
        <v>2035</v>
      </c>
      <c r="AH17" s="57">
        <v>2036</v>
      </c>
      <c r="AI17" s="57">
        <v>2037</v>
      </c>
      <c r="AJ17" s="57">
        <v>2038</v>
      </c>
      <c r="AK17" s="57">
        <v>2039</v>
      </c>
      <c r="AL17" s="57">
        <v>2040</v>
      </c>
    </row>
    <row r="18" spans="2:38" x14ac:dyDescent="0.2">
      <c r="B18" s="40" t="s">
        <v>690</v>
      </c>
      <c r="C18" s="48">
        <v>2687.05810546875</v>
      </c>
      <c r="D18" s="48">
        <v>2692.59252929688</v>
      </c>
      <c r="E18" s="49">
        <v>2745.7250979999999</v>
      </c>
      <c r="F18" s="49">
        <v>2676.0900879999999</v>
      </c>
      <c r="G18" s="50">
        <v>2625</v>
      </c>
      <c r="H18" s="50">
        <v>2662</v>
      </c>
      <c r="I18" s="50">
        <v>2623.1274410000001</v>
      </c>
      <c r="J18" s="50">
        <v>2662.2873540000001</v>
      </c>
      <c r="K18" s="50">
        <v>2698.2817380000001</v>
      </c>
      <c r="L18" s="50">
        <v>2704.304932</v>
      </c>
      <c r="M18" s="50">
        <v>2717.0371089999999</v>
      </c>
      <c r="N18" s="50">
        <v>2747.201904</v>
      </c>
      <c r="O18" s="50">
        <v>2777.6791990000002</v>
      </c>
      <c r="P18" s="50">
        <v>2801.2265619999998</v>
      </c>
      <c r="Q18" s="50">
        <v>2826.016357</v>
      </c>
      <c r="R18" s="50">
        <v>2850.9252929999998</v>
      </c>
      <c r="S18" s="50">
        <v>2876.1323240000002</v>
      </c>
      <c r="T18" s="50">
        <v>2900.119385</v>
      </c>
      <c r="U18" s="50">
        <v>2924.6911620000001</v>
      </c>
      <c r="V18" s="50">
        <v>2950.2216800000001</v>
      </c>
      <c r="W18" s="50">
        <v>2977.2258299999999</v>
      </c>
      <c r="X18" s="50">
        <v>3006.6210940000001</v>
      </c>
      <c r="Y18" s="50">
        <v>3037.9628910000001</v>
      </c>
      <c r="Z18" s="50">
        <v>3071.500732</v>
      </c>
      <c r="AA18" s="50">
        <v>3104.8583979999999</v>
      </c>
      <c r="AB18" s="50">
        <v>3138.2302249999998</v>
      </c>
      <c r="AC18" s="50">
        <v>3172.9343260000001</v>
      </c>
      <c r="AD18" s="50">
        <v>3208.0478520000001</v>
      </c>
      <c r="AE18" s="50">
        <v>3242.3713379999999</v>
      </c>
      <c r="AF18" s="50">
        <v>3273.3486330000001</v>
      </c>
      <c r="AG18" s="50">
        <v>3302.7231449999999</v>
      </c>
      <c r="AH18" s="51">
        <v>3331.0263669999999</v>
      </c>
      <c r="AI18" s="40">
        <v>3358.6528320000002</v>
      </c>
      <c r="AJ18" s="40">
        <v>3385.9360350000002</v>
      </c>
      <c r="AK18" s="40">
        <v>3411.4545899999998</v>
      </c>
      <c r="AL18" s="40">
        <v>3433.77124</v>
      </c>
    </row>
    <row r="19" spans="2:38" x14ac:dyDescent="0.2">
      <c r="B19" s="40" t="s">
        <v>691</v>
      </c>
      <c r="C19" s="48">
        <v>68.601478576660199</v>
      </c>
      <c r="D19" s="48">
        <v>70.497772216796903</v>
      </c>
      <c r="E19" s="49">
        <v>73.653503000000001</v>
      </c>
      <c r="F19" s="49">
        <v>69.682952999999998</v>
      </c>
      <c r="G19" s="50">
        <v>58</v>
      </c>
      <c r="H19" s="50">
        <v>64</v>
      </c>
      <c r="I19" s="50">
        <v>61.963531000000003</v>
      </c>
      <c r="J19" s="50">
        <v>62.661879999999996</v>
      </c>
      <c r="K19" s="50">
        <v>64.689010999999994</v>
      </c>
      <c r="L19" s="50">
        <v>66.073006000000007</v>
      </c>
      <c r="M19" s="50">
        <v>68.422759999999997</v>
      </c>
      <c r="N19" s="50">
        <v>70.758339000000007</v>
      </c>
      <c r="O19" s="50">
        <v>72.384872000000001</v>
      </c>
      <c r="P19" s="50">
        <v>73.572845000000001</v>
      </c>
      <c r="Q19" s="50">
        <v>74.687720999999996</v>
      </c>
      <c r="R19" s="50">
        <v>75.933967999999993</v>
      </c>
      <c r="S19" s="50">
        <v>77.261398</v>
      </c>
      <c r="T19" s="50">
        <v>78.605957000000004</v>
      </c>
      <c r="U19" s="50">
        <v>80.024276999999998</v>
      </c>
      <c r="V19" s="50">
        <v>81.403000000000006</v>
      </c>
      <c r="W19" s="50">
        <v>82.905579000000003</v>
      </c>
      <c r="X19" s="50">
        <v>84.455551</v>
      </c>
      <c r="Y19" s="50">
        <v>85.890456999999998</v>
      </c>
      <c r="Z19" s="50">
        <v>87.206756999999996</v>
      </c>
      <c r="AA19" s="50">
        <v>88.505027999999996</v>
      </c>
      <c r="AB19" s="50">
        <v>89.853836000000001</v>
      </c>
      <c r="AC19" s="50">
        <v>91.194855000000004</v>
      </c>
      <c r="AD19" s="50">
        <v>92.334975999999997</v>
      </c>
      <c r="AE19" s="50">
        <v>93.552536000000003</v>
      </c>
      <c r="AF19" s="50">
        <v>94.934714999999997</v>
      </c>
      <c r="AG19" s="50">
        <v>96.334641000000005</v>
      </c>
      <c r="AH19" s="51">
        <v>97.737433999999993</v>
      </c>
      <c r="AI19" s="40">
        <v>99.117576999999997</v>
      </c>
      <c r="AJ19" s="40">
        <v>100.46077</v>
      </c>
      <c r="AK19" s="40">
        <v>101.662521</v>
      </c>
      <c r="AL19" s="40">
        <v>102.842247</v>
      </c>
    </row>
    <row r="20" spans="2:38" x14ac:dyDescent="0.2">
      <c r="B20" s="40" t="s">
        <v>692</v>
      </c>
      <c r="C20" s="48">
        <v>228.38949584960901</v>
      </c>
      <c r="D20" s="48">
        <v>235.27331542968801</v>
      </c>
      <c r="E20" s="49">
        <v>241.06210300000001</v>
      </c>
      <c r="F20" s="49">
        <v>227.40124499999999</v>
      </c>
      <c r="G20" s="50">
        <v>240</v>
      </c>
      <c r="H20" s="50">
        <v>234</v>
      </c>
      <c r="I20" s="50">
        <v>252.40309099999999</v>
      </c>
      <c r="J20" s="50">
        <v>245.09768700000001</v>
      </c>
      <c r="K20" s="50">
        <v>255.53843699999999</v>
      </c>
      <c r="L20" s="50">
        <v>263.22479199999998</v>
      </c>
      <c r="M20" s="50">
        <v>274.53289799999999</v>
      </c>
      <c r="N20" s="50">
        <v>285.90481599999998</v>
      </c>
      <c r="O20" s="50">
        <v>293.66470299999997</v>
      </c>
      <c r="P20" s="50">
        <v>298.958527</v>
      </c>
      <c r="Q20" s="50">
        <v>304.15789799999999</v>
      </c>
      <c r="R20" s="50">
        <v>309.59799199999998</v>
      </c>
      <c r="S20" s="50">
        <v>315.37893700000001</v>
      </c>
      <c r="T20" s="50">
        <v>321.38436899999999</v>
      </c>
      <c r="U20" s="50">
        <v>327.371735</v>
      </c>
      <c r="V20" s="50">
        <v>332.78771999999998</v>
      </c>
      <c r="W20" s="50">
        <v>338.696167</v>
      </c>
      <c r="X20" s="50">
        <v>344.25353999999999</v>
      </c>
      <c r="Y20" s="50">
        <v>348.901794</v>
      </c>
      <c r="Z20" s="50">
        <v>353.01403800000003</v>
      </c>
      <c r="AA20" s="50">
        <v>357.25589000000002</v>
      </c>
      <c r="AB20" s="50">
        <v>361.94619799999998</v>
      </c>
      <c r="AC20" s="50">
        <v>366.34405500000003</v>
      </c>
      <c r="AD20" s="50">
        <v>369.869843</v>
      </c>
      <c r="AE20" s="50">
        <v>374.10949699999998</v>
      </c>
      <c r="AF20" s="50">
        <v>379.53152499999999</v>
      </c>
      <c r="AG20" s="50">
        <v>384.871216</v>
      </c>
      <c r="AH20" s="51">
        <v>390.21038800000002</v>
      </c>
      <c r="AI20" s="40">
        <v>395.55304000000001</v>
      </c>
      <c r="AJ20" s="40">
        <v>400.803406</v>
      </c>
      <c r="AK20" s="40">
        <v>405.55902099999997</v>
      </c>
      <c r="AL20" s="40">
        <v>410.513306</v>
      </c>
    </row>
    <row r="21" spans="2:38" x14ac:dyDescent="0.2">
      <c r="B21" s="45" t="s">
        <v>693</v>
      </c>
    </row>
    <row r="22" spans="2:38" x14ac:dyDescent="0.2">
      <c r="B22" s="40" t="s">
        <v>694</v>
      </c>
      <c r="C22" s="48">
        <v>1028.64306640625</v>
      </c>
      <c r="D22" s="48">
        <v>993.7763671875</v>
      </c>
      <c r="E22" s="49">
        <v>1039.536621</v>
      </c>
      <c r="F22" s="49">
        <v>1029.9182129999999</v>
      </c>
      <c r="G22" s="50">
        <v>964</v>
      </c>
      <c r="H22" s="50">
        <v>999</v>
      </c>
      <c r="I22" s="50">
        <v>982.22760000000005</v>
      </c>
      <c r="J22" s="50">
        <v>990.08874500000002</v>
      </c>
      <c r="K22" s="50">
        <v>996.99523899999997</v>
      </c>
      <c r="L22" s="50">
        <v>1009.190613</v>
      </c>
      <c r="M22" s="50">
        <v>1020.053467</v>
      </c>
      <c r="N22" s="50">
        <v>1030.2376710000001</v>
      </c>
      <c r="O22" s="50">
        <v>1039.926514</v>
      </c>
      <c r="P22" s="50">
        <v>1048.4261469999999</v>
      </c>
      <c r="Q22" s="50">
        <v>1056.5203859999999</v>
      </c>
      <c r="R22" s="50">
        <v>1064.3248289999999</v>
      </c>
      <c r="S22" s="50">
        <v>1071.783203</v>
      </c>
      <c r="T22" s="50">
        <v>1079.169189</v>
      </c>
      <c r="U22" s="50">
        <v>1086.5214840000001</v>
      </c>
      <c r="V22" s="50">
        <v>1093.9105219999999</v>
      </c>
      <c r="W22" s="50">
        <v>1101.150513</v>
      </c>
      <c r="X22" s="50">
        <v>1108.201538</v>
      </c>
      <c r="Y22" s="50">
        <v>1115.081543</v>
      </c>
      <c r="Z22" s="50">
        <v>1121.8149410000001</v>
      </c>
      <c r="AA22" s="50">
        <v>1128.417236</v>
      </c>
      <c r="AB22" s="50">
        <v>1134.899414</v>
      </c>
      <c r="AC22" s="50">
        <v>1141.1843260000001</v>
      </c>
      <c r="AD22" s="50">
        <v>1147.303101</v>
      </c>
      <c r="AE22" s="50">
        <v>1153.2662350000001</v>
      </c>
      <c r="AF22" s="50">
        <v>1159.088135</v>
      </c>
      <c r="AG22" s="50">
        <v>1164.7761230000001</v>
      </c>
      <c r="AH22" s="51">
        <v>1171.7269289999999</v>
      </c>
      <c r="AI22" s="40">
        <v>1178.5867920000001</v>
      </c>
      <c r="AJ22" s="40">
        <v>1185.3663329999999</v>
      </c>
      <c r="AK22" s="40">
        <v>1192.0776370000001</v>
      </c>
      <c r="AL22" s="40">
        <v>1198.734375</v>
      </c>
    </row>
    <row r="23" spans="2:38" x14ac:dyDescent="0.2">
      <c r="B23" s="45" t="s">
        <v>695</v>
      </c>
    </row>
    <row r="24" spans="2:38" x14ac:dyDescent="0.2">
      <c r="B24" s="40" t="s">
        <v>696</v>
      </c>
      <c r="C24" s="48">
        <v>1587.57189941406</v>
      </c>
      <c r="D24" s="48">
        <v>1655.60827636719</v>
      </c>
      <c r="E24" s="49">
        <v>1770.545044</v>
      </c>
      <c r="F24" s="49">
        <v>1806.3632809999999</v>
      </c>
      <c r="G24" s="50">
        <v>1532</v>
      </c>
      <c r="H24" s="50">
        <v>1559</v>
      </c>
      <c r="I24" s="50">
        <v>1745.5329589999999</v>
      </c>
      <c r="J24" s="50">
        <v>1729.2570800000001</v>
      </c>
      <c r="K24" s="50">
        <v>1521.0789789999999</v>
      </c>
      <c r="L24" s="50">
        <v>1553.851807</v>
      </c>
      <c r="M24" s="50">
        <v>1558.542236</v>
      </c>
      <c r="N24" s="50">
        <v>1503.177124</v>
      </c>
      <c r="O24" s="50">
        <v>1556.288818</v>
      </c>
      <c r="P24" s="50">
        <v>1593.9047849999999</v>
      </c>
      <c r="Q24" s="50">
        <v>1612.070557</v>
      </c>
      <c r="R24" s="50">
        <v>1623.826172</v>
      </c>
      <c r="S24" s="50">
        <v>1642.5698239999999</v>
      </c>
      <c r="T24" s="50">
        <v>1667.364624</v>
      </c>
      <c r="U24" s="50">
        <v>1685.3170170000001</v>
      </c>
      <c r="V24" s="50">
        <v>1699.1274410000001</v>
      </c>
      <c r="W24" s="50">
        <v>1720.8376459999999</v>
      </c>
      <c r="X24" s="50">
        <v>1718.9841309999999</v>
      </c>
      <c r="Y24" s="50">
        <v>1730.6439210000001</v>
      </c>
      <c r="Z24" s="50">
        <v>1722.819336</v>
      </c>
      <c r="AA24" s="50">
        <v>1731.2662350000001</v>
      </c>
      <c r="AB24" s="50">
        <v>1737.848755</v>
      </c>
      <c r="AC24" s="50">
        <v>1733.6854249999999</v>
      </c>
      <c r="AD24" s="50">
        <v>1743.372192</v>
      </c>
      <c r="AE24" s="50">
        <v>1736.6453859999999</v>
      </c>
      <c r="AF24" s="50">
        <v>1730.7006839999999</v>
      </c>
      <c r="AG24" s="50">
        <v>1737.373413</v>
      </c>
      <c r="AH24" s="51">
        <v>1747.9375</v>
      </c>
      <c r="AI24" s="40">
        <v>1729.6180420000001</v>
      </c>
      <c r="AJ24" s="40">
        <v>1733.6329350000001</v>
      </c>
      <c r="AK24" s="40">
        <v>1731.996582</v>
      </c>
      <c r="AL24" s="40">
        <v>1735.960327</v>
      </c>
    </row>
    <row r="25" spans="2:38" x14ac:dyDescent="0.2">
      <c r="B25" s="40" t="s">
        <v>697</v>
      </c>
      <c r="C25" s="48">
        <v>609.66827392578102</v>
      </c>
      <c r="D25" s="48">
        <v>619.49761962890602</v>
      </c>
      <c r="E25" s="49">
        <v>584.49633800000004</v>
      </c>
      <c r="F25" s="49">
        <v>576.07605000000001</v>
      </c>
      <c r="G25" s="50">
        <v>477</v>
      </c>
      <c r="H25" s="50">
        <v>522</v>
      </c>
      <c r="I25" s="50">
        <v>446.85803199999998</v>
      </c>
      <c r="J25" s="50">
        <v>378.17056300000002</v>
      </c>
      <c r="K25" s="50">
        <v>377.01831099999998</v>
      </c>
      <c r="L25" s="50">
        <v>385.87176499999998</v>
      </c>
      <c r="M25" s="50">
        <v>394.12048299999998</v>
      </c>
      <c r="N25" s="50">
        <v>399.00701900000001</v>
      </c>
      <c r="O25" s="50">
        <v>398.23648100000003</v>
      </c>
      <c r="P25" s="50">
        <v>395.94683800000001</v>
      </c>
      <c r="Q25" s="50">
        <v>393.19262700000002</v>
      </c>
      <c r="R25" s="50">
        <v>390.13168300000001</v>
      </c>
      <c r="S25" s="50">
        <v>386.75244099999998</v>
      </c>
      <c r="T25" s="50">
        <v>384.398346</v>
      </c>
      <c r="U25" s="50">
        <v>382.09750400000001</v>
      </c>
      <c r="V25" s="50">
        <v>379.66961700000002</v>
      </c>
      <c r="W25" s="50">
        <v>378.13439899999997</v>
      </c>
      <c r="X25" s="50">
        <v>375.59661899999998</v>
      </c>
      <c r="Y25" s="50">
        <v>373.29025300000001</v>
      </c>
      <c r="Z25" s="50">
        <v>371.180969</v>
      </c>
      <c r="AA25" s="50">
        <v>369.39666699999998</v>
      </c>
      <c r="AB25" s="50">
        <v>368.623199</v>
      </c>
      <c r="AC25" s="50">
        <v>367.38943499999999</v>
      </c>
      <c r="AD25" s="50">
        <v>366.78256199999998</v>
      </c>
      <c r="AE25" s="50">
        <v>366.44927999999999</v>
      </c>
      <c r="AF25" s="50">
        <v>366.852509</v>
      </c>
      <c r="AG25" s="50">
        <v>366.77600100000001</v>
      </c>
      <c r="AH25" s="51">
        <v>366.91976899999997</v>
      </c>
      <c r="AI25" s="40">
        <v>367.703217</v>
      </c>
      <c r="AJ25" s="40">
        <v>367.97537199999999</v>
      </c>
      <c r="AK25" s="40">
        <v>369.21859699999999</v>
      </c>
      <c r="AL25" s="40">
        <v>370.68676799999997</v>
      </c>
    </row>
    <row r="29" spans="2:38" x14ac:dyDescent="0.2">
      <c r="B29" s="45" t="s">
        <v>698</v>
      </c>
      <c r="D29" s="40">
        <f>D32/C32</f>
        <v>0.99067452042895865</v>
      </c>
      <c r="E29" s="40">
        <f t="shared" ref="E29:M29" si="0">E32/D32</f>
        <v>1.0206750972952667</v>
      </c>
      <c r="F29" s="40">
        <f t="shared" si="0"/>
        <v>1.0492772747035748</v>
      </c>
      <c r="G29" s="40">
        <f t="shared" si="0"/>
        <v>1.0443015947524514</v>
      </c>
      <c r="H29" s="40">
        <f t="shared" si="0"/>
        <v>1.0540786638949724</v>
      </c>
      <c r="I29" s="40">
        <f t="shared" si="0"/>
        <v>1.0524158229978173</v>
      </c>
      <c r="J29" s="40">
        <f t="shared" si="0"/>
        <v>1.0085696622930227</v>
      </c>
      <c r="K29" s="40">
        <f t="shared" si="0"/>
        <v>1.0631372542874251</v>
      </c>
      <c r="L29" s="40">
        <f t="shared" si="0"/>
        <v>1.0336899592130071</v>
      </c>
      <c r="M29" s="40">
        <f t="shared" si="0"/>
        <v>1.0325919381461877</v>
      </c>
    </row>
    <row r="31" spans="2:38" x14ac:dyDescent="0.2">
      <c r="C31" s="57">
        <v>2005</v>
      </c>
      <c r="D31" s="57">
        <v>2010</v>
      </c>
      <c r="E31" s="57">
        <v>2015</v>
      </c>
      <c r="F31" s="57">
        <v>2020</v>
      </c>
      <c r="G31" s="57">
        <v>2025</v>
      </c>
      <c r="H31" s="57">
        <v>2030</v>
      </c>
      <c r="I31" s="57">
        <v>2035</v>
      </c>
      <c r="J31" s="57">
        <v>2040</v>
      </c>
      <c r="K31" s="57">
        <v>2045</v>
      </c>
      <c r="L31" s="57">
        <v>2050</v>
      </c>
      <c r="M31" s="57">
        <v>2055</v>
      </c>
    </row>
    <row r="32" spans="2:38" x14ac:dyDescent="0.2">
      <c r="B32" s="40" t="s">
        <v>699</v>
      </c>
      <c r="C32" s="52">
        <f>C18</f>
        <v>2687.05810546875</v>
      </c>
      <c r="D32" s="52">
        <f>H18</f>
        <v>2662</v>
      </c>
      <c r="E32" s="52">
        <f>M18</f>
        <v>2717.0371089999999</v>
      </c>
      <c r="F32" s="52">
        <f>R18</f>
        <v>2850.9252929999998</v>
      </c>
      <c r="G32" s="52">
        <f>W18</f>
        <v>2977.2258299999999</v>
      </c>
      <c r="H32" s="52">
        <f>AB18</f>
        <v>3138.2302249999998</v>
      </c>
      <c r="I32" s="52">
        <f>AG18</f>
        <v>3302.7231449999999</v>
      </c>
      <c r="J32" s="52">
        <f>AH18</f>
        <v>3331.0263669999999</v>
      </c>
      <c r="K32" s="52">
        <f>K34*K33</f>
        <v>3541.3382257713965</v>
      </c>
      <c r="L32" s="52">
        <f>L34*L33</f>
        <v>3660.645766157098</v>
      </c>
      <c r="M32" s="52">
        <f>M34*M33</f>
        <v>3779.9533065427941</v>
      </c>
      <c r="N32" s="47" t="s">
        <v>700</v>
      </c>
    </row>
    <row r="33" spans="2:34" x14ac:dyDescent="0.2">
      <c r="B33" s="40" t="s">
        <v>701</v>
      </c>
      <c r="C33" s="52">
        <f>Population!D45</f>
        <v>295.2068695100001</v>
      </c>
      <c r="D33" s="52">
        <f>Population!E45</f>
        <v>308.8218938100004</v>
      </c>
      <c r="E33" s="52">
        <f>Population!F45</f>
        <v>322.43691811000025</v>
      </c>
      <c r="F33" s="52">
        <f>Population!G45</f>
        <v>336.05194241000021</v>
      </c>
      <c r="G33" s="52">
        <f>Population!H45</f>
        <v>349.66696671000017</v>
      </c>
      <c r="H33" s="52">
        <f>Population!I45</f>
        <v>363.28199101000013</v>
      </c>
      <c r="I33" s="52">
        <f>Population!J45</f>
        <v>376.89701531000043</v>
      </c>
      <c r="J33" s="52">
        <f>Population!K45</f>
        <v>390.51203961000033</v>
      </c>
      <c r="K33" s="52">
        <f>Population!L45</f>
        <v>404.12706391000023</v>
      </c>
      <c r="L33" s="52">
        <f>Population!M45</f>
        <v>417.74208821000047</v>
      </c>
      <c r="M33" s="52">
        <f>Population!N45</f>
        <v>431.35711251000009</v>
      </c>
      <c r="N33" s="47" t="s">
        <v>702</v>
      </c>
    </row>
    <row r="34" spans="2:34" x14ac:dyDescent="0.2">
      <c r="B34" s="40" t="s">
        <v>703</v>
      </c>
      <c r="C34" s="52">
        <f t="shared" ref="C34:I34" si="1">C32/C33</f>
        <v>9.1022885406727507</v>
      </c>
      <c r="D34" s="52">
        <f t="shared" si="1"/>
        <v>8.6198551765820373</v>
      </c>
      <c r="E34" s="52">
        <f t="shared" si="1"/>
        <v>8.4265695284715356</v>
      </c>
      <c r="F34" s="52">
        <f t="shared" si="1"/>
        <v>8.483585223625127</v>
      </c>
      <c r="G34" s="52">
        <f t="shared" si="1"/>
        <v>8.5144612258131662</v>
      </c>
      <c r="H34" s="52">
        <f t="shared" si="1"/>
        <v>8.6385516008516188</v>
      </c>
      <c r="I34" s="52">
        <f t="shared" si="1"/>
        <v>8.7629326071565909</v>
      </c>
      <c r="J34" s="52">
        <f>I34</f>
        <v>8.7629326071565909</v>
      </c>
      <c r="K34" s="52">
        <f>J34</f>
        <v>8.7629326071565909</v>
      </c>
      <c r="L34" s="52">
        <f>K34</f>
        <v>8.7629326071565909</v>
      </c>
      <c r="M34" s="52">
        <f>L34</f>
        <v>8.7629326071565909</v>
      </c>
      <c r="N34" s="47" t="s">
        <v>704</v>
      </c>
    </row>
    <row r="39" spans="2:34" x14ac:dyDescent="0.2">
      <c r="B39" s="45" t="s">
        <v>705</v>
      </c>
      <c r="C39" s="45" t="s">
        <v>705</v>
      </c>
      <c r="D39" s="45" t="s">
        <v>705</v>
      </c>
      <c r="E39" s="45" t="s">
        <v>705</v>
      </c>
      <c r="F39" s="45" t="s">
        <v>705</v>
      </c>
      <c r="G39" s="45" t="s">
        <v>705</v>
      </c>
      <c r="H39" s="45" t="s">
        <v>705</v>
      </c>
      <c r="I39" s="45" t="s">
        <v>705</v>
      </c>
      <c r="J39" s="45" t="s">
        <v>705</v>
      </c>
      <c r="K39" s="45" t="s">
        <v>705</v>
      </c>
      <c r="L39" s="45" t="s">
        <v>705</v>
      </c>
      <c r="M39" s="45" t="s">
        <v>705</v>
      </c>
      <c r="N39" s="45" t="s">
        <v>705</v>
      </c>
      <c r="O39" s="45" t="s">
        <v>705</v>
      </c>
      <c r="P39" s="45" t="s">
        <v>705</v>
      </c>
      <c r="Q39" s="45" t="s">
        <v>705</v>
      </c>
      <c r="R39" s="45" t="s">
        <v>705</v>
      </c>
      <c r="S39" s="45" t="s">
        <v>705</v>
      </c>
      <c r="T39" s="45" t="s">
        <v>705</v>
      </c>
      <c r="U39" s="45" t="s">
        <v>705</v>
      </c>
      <c r="V39" s="45" t="s">
        <v>705</v>
      </c>
      <c r="W39" s="45" t="s">
        <v>705</v>
      </c>
      <c r="X39" s="45" t="s">
        <v>705</v>
      </c>
      <c r="Y39" s="45" t="s">
        <v>705</v>
      </c>
      <c r="Z39" s="45" t="s">
        <v>705</v>
      </c>
      <c r="AA39" s="45" t="s">
        <v>705</v>
      </c>
      <c r="AB39" s="45" t="s">
        <v>705</v>
      </c>
      <c r="AC39" s="45" t="s">
        <v>705</v>
      </c>
      <c r="AD39" s="45" t="s">
        <v>705</v>
      </c>
      <c r="AE39" s="45" t="s">
        <v>705</v>
      </c>
      <c r="AF39" s="45" t="s">
        <v>706</v>
      </c>
    </row>
    <row r="41" spans="2:34" x14ac:dyDescent="0.2">
      <c r="B41" s="45"/>
      <c r="C41" s="45"/>
      <c r="D41" s="45"/>
    </row>
    <row r="42" spans="2:34" x14ac:dyDescent="0.2">
      <c r="B42" s="45"/>
      <c r="C42" s="45"/>
      <c r="D42" s="45"/>
    </row>
    <row r="43" spans="2:34" x14ac:dyDescent="0.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3"/>
    </row>
    <row r="44" spans="2:34" x14ac:dyDescent="0.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3"/>
    </row>
    <row r="45" spans="2:34" x14ac:dyDescent="0.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3"/>
    </row>
    <row r="46" spans="2:34" x14ac:dyDescent="0.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3"/>
    </row>
    <row r="47" spans="2:34" x14ac:dyDescent="0.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3"/>
    </row>
    <row r="48" spans="2:34" x14ac:dyDescent="0.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3"/>
    </row>
    <row r="49" spans="2:34" x14ac:dyDescent="0.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3"/>
    </row>
    <row r="50" spans="2:34" x14ac:dyDescent="0.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3"/>
    </row>
    <row r="51" spans="2:34" x14ac:dyDescent="0.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3"/>
    </row>
    <row r="52" spans="2:34" x14ac:dyDescent="0.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3"/>
    </row>
    <row r="53" spans="2:34" x14ac:dyDescent="0.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3"/>
    </row>
    <row r="54" spans="2:34" x14ac:dyDescent="0.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3"/>
    </row>
    <row r="55" spans="2:34" x14ac:dyDescent="0.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3"/>
    </row>
    <row r="56" spans="2:34" x14ac:dyDescent="0.2">
      <c r="B56" s="45"/>
      <c r="C56" s="45"/>
      <c r="D56" s="45"/>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5"/>
    </row>
    <row r="57" spans="2:34" x14ac:dyDescent="0.2">
      <c r="B57" s="45"/>
      <c r="C57" s="45"/>
      <c r="D57" s="45"/>
    </row>
    <row r="58" spans="2:34" x14ac:dyDescent="0.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3"/>
    </row>
    <row r="59" spans="2:34" x14ac:dyDescent="0.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3"/>
    </row>
    <row r="60" spans="2:34" x14ac:dyDescent="0.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3"/>
    </row>
    <row r="61" spans="2:34" x14ac:dyDescent="0.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3"/>
    </row>
    <row r="62" spans="2:34" x14ac:dyDescent="0.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3"/>
    </row>
    <row r="63" spans="2:34" x14ac:dyDescent="0.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3"/>
    </row>
    <row r="64" spans="2:34" x14ac:dyDescent="0.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3"/>
    </row>
    <row r="65" spans="2:34" x14ac:dyDescent="0.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3"/>
    </row>
    <row r="66" spans="2:34" x14ac:dyDescent="0.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3"/>
    </row>
    <row r="67" spans="2:34" x14ac:dyDescent="0.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3"/>
    </row>
    <row r="68" spans="2:34" x14ac:dyDescent="0.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3"/>
    </row>
    <row r="69" spans="2:34" x14ac:dyDescent="0.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3"/>
    </row>
    <row r="70" spans="2:34" x14ac:dyDescent="0.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3"/>
    </row>
    <row r="71" spans="2:34" x14ac:dyDescent="0.2">
      <c r="B71" s="45"/>
      <c r="C71" s="45"/>
      <c r="D71" s="45"/>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6"/>
    </row>
    <row r="75" spans="2:34" ht="11.1" customHeight="1" x14ac:dyDescent="0.2"/>
    <row r="76" spans="2:34" ht="11.1" customHeight="1" x14ac:dyDescent="0.2"/>
    <row r="77" spans="2:34" ht="11.1" customHeight="1" x14ac:dyDescent="0.2"/>
    <row r="78" spans="2:34" ht="11.1" customHeight="1" x14ac:dyDescent="0.2"/>
    <row r="79" spans="2:34" ht="11.1" customHeight="1" x14ac:dyDescent="0.2"/>
    <row r="80" spans="2:34" ht="11.1" customHeight="1" x14ac:dyDescent="0.2"/>
    <row r="81" ht="11.1" customHeight="1" x14ac:dyDescent="0.2"/>
    <row r="82" ht="11.1" customHeight="1" x14ac:dyDescent="0.2"/>
    <row r="83" ht="11.1" customHeight="1" x14ac:dyDescent="0.2"/>
    <row r="84" ht="11.1" customHeight="1" x14ac:dyDescent="0.2"/>
    <row r="85" ht="11.1" customHeight="1" x14ac:dyDescent="0.2"/>
    <row r="86" ht="11.1" customHeight="1" x14ac:dyDescent="0.2"/>
    <row r="87" ht="11.1" customHeight="1" x14ac:dyDescent="0.2"/>
    <row r="88" ht="11.1" customHeight="1" x14ac:dyDescent="0.2"/>
    <row r="89" ht="11.1" customHeight="1" x14ac:dyDescent="0.2"/>
    <row r="90" ht="11.1" customHeight="1" x14ac:dyDescent="0.2"/>
    <row r="91" ht="11.1" customHeight="1" x14ac:dyDescent="0.2"/>
    <row r="92" ht="11.1" customHeight="1" x14ac:dyDescent="0.2"/>
  </sheetData>
  <phoneticPr fontId="0" type="noConversion"/>
  <pageMargins left="0.75" right="0.75" top="1" bottom="1" header="0.5" footer="0.5"/>
  <pageSetup orientation="portrait" r:id="rId1"/>
  <headerFooter alignWithMargins="0"/>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K47"/>
  <sheetViews>
    <sheetView zoomScale="80" zoomScaleNormal="80" workbookViewId="0">
      <pane ySplit="4" topLeftCell="A5" activePane="bottomLeft" state="frozen"/>
      <selection activeCell="D29" sqref="D29:M29"/>
      <selection pane="bottomLeft" activeCell="A10" sqref="A10:A14"/>
    </sheetView>
  </sheetViews>
  <sheetFormatPr defaultColWidth="9.140625" defaultRowHeight="12.75" x14ac:dyDescent="0.2"/>
  <cols>
    <col min="1" max="1" width="19.140625" style="15" customWidth="1"/>
    <col min="2" max="2" width="7.140625" style="15" customWidth="1"/>
    <col min="3" max="14" width="12.7109375" style="15" customWidth="1"/>
    <col min="15" max="16384" width="9.140625" style="15"/>
  </cols>
  <sheetData>
    <row r="1" spans="1:37" s="19" customFormat="1" x14ac:dyDescent="0.2">
      <c r="A1" s="18" t="s">
        <v>707</v>
      </c>
    </row>
    <row r="2" spans="1:37" s="19" customFormat="1" x14ac:dyDescent="0.2">
      <c r="A2" s="18"/>
    </row>
    <row r="3" spans="1:37" s="19" customFormat="1" x14ac:dyDescent="0.2">
      <c r="A3" s="18"/>
    </row>
    <row r="4" spans="1:37" s="19" customFormat="1" x14ac:dyDescent="0.2">
      <c r="A4" s="14" t="s">
        <v>708</v>
      </c>
    </row>
    <row r="7" spans="1:37" x14ac:dyDescent="0.2">
      <c r="D7" s="18" t="s">
        <v>709</v>
      </c>
    </row>
    <row r="8" spans="1:37" x14ac:dyDescent="0.2">
      <c r="A8" s="395" t="s">
        <v>389</v>
      </c>
      <c r="B8" s="395"/>
      <c r="C8" s="43">
        <v>2000</v>
      </c>
      <c r="D8" s="43">
        <v>2005</v>
      </c>
      <c r="E8" s="43">
        <v>2010</v>
      </c>
      <c r="F8" s="43">
        <v>2015</v>
      </c>
      <c r="G8" s="43">
        <v>2020</v>
      </c>
      <c r="H8" s="43">
        <v>2025</v>
      </c>
      <c r="I8" s="43">
        <v>2030</v>
      </c>
      <c r="J8" s="43">
        <v>2035</v>
      </c>
      <c r="K8" s="43">
        <v>2040</v>
      </c>
      <c r="L8" s="43">
        <v>2045</v>
      </c>
      <c r="M8" s="43">
        <v>2050</v>
      </c>
      <c r="N8" s="43">
        <v>2055</v>
      </c>
      <c r="P8" s="26"/>
      <c r="Q8" s="26"/>
      <c r="R8" s="26"/>
      <c r="S8" s="26"/>
      <c r="T8" s="26"/>
      <c r="U8" s="26"/>
      <c r="V8" s="26"/>
      <c r="W8" s="26"/>
      <c r="X8" s="26"/>
      <c r="Y8" s="26"/>
      <c r="Z8" s="26"/>
      <c r="AA8" s="26"/>
      <c r="AB8" s="26"/>
      <c r="AC8" s="26"/>
      <c r="AD8" s="26"/>
      <c r="AE8" s="26"/>
      <c r="AF8" s="26"/>
      <c r="AG8" s="26"/>
      <c r="AH8" s="26"/>
      <c r="AI8" s="26"/>
      <c r="AJ8" s="26"/>
      <c r="AK8" s="26"/>
    </row>
    <row r="9" spans="1:37" x14ac:dyDescent="0.2">
      <c r="A9" s="15" t="s">
        <v>710</v>
      </c>
      <c r="B9" s="15" t="s">
        <v>711</v>
      </c>
      <c r="C9" s="60">
        <f>SUM(C20:C21)</f>
        <v>14082663.889999991</v>
      </c>
      <c r="D9" s="60">
        <f t="shared" ref="D9:N9" si="0">SUM(D20:D21)</f>
        <v>14255073.101</v>
      </c>
      <c r="E9" s="60">
        <f t="shared" si="0"/>
        <v>14559921.450999998</v>
      </c>
      <c r="F9" s="60">
        <f t="shared" si="0"/>
        <v>14806579.829999998</v>
      </c>
      <c r="G9" s="60">
        <f t="shared" si="0"/>
        <v>14997673.560000001</v>
      </c>
      <c r="H9" s="60">
        <f t="shared" si="0"/>
        <v>15111198.526999999</v>
      </c>
      <c r="I9" s="60">
        <f t="shared" si="0"/>
        <v>15141889.450999998</v>
      </c>
      <c r="J9" s="60">
        <f t="shared" si="0"/>
        <v>15098507.534000002</v>
      </c>
      <c r="K9" s="60">
        <f t="shared" si="0"/>
        <v>14996543.470000003</v>
      </c>
      <c r="L9" s="60">
        <f t="shared" si="0"/>
        <v>14833993.520999998</v>
      </c>
      <c r="M9" s="60">
        <f t="shared" si="0"/>
        <v>14622514.98</v>
      </c>
      <c r="N9" s="60">
        <f t="shared" si="0"/>
        <v>14386621.138</v>
      </c>
      <c r="P9" s="26"/>
      <c r="Q9" s="26"/>
      <c r="R9" s="26"/>
      <c r="S9" s="26"/>
      <c r="T9" s="26"/>
      <c r="U9" s="26"/>
      <c r="V9" s="26"/>
      <c r="W9" s="26"/>
      <c r="X9" s="26"/>
      <c r="Y9" s="26"/>
      <c r="Z9" s="26"/>
      <c r="AA9" s="26"/>
      <c r="AB9" s="26"/>
      <c r="AC9" s="26"/>
      <c r="AD9" s="26"/>
      <c r="AE9" s="26"/>
      <c r="AF9" s="26"/>
      <c r="AG9" s="26"/>
      <c r="AH9" s="26"/>
      <c r="AI9" s="26"/>
      <c r="AJ9" s="26"/>
      <c r="AK9" s="26"/>
    </row>
    <row r="10" spans="1:37" x14ac:dyDescent="0.2">
      <c r="A10" s="61" t="s">
        <v>393</v>
      </c>
      <c r="B10" s="61" t="s">
        <v>427</v>
      </c>
      <c r="C10" s="62">
        <v>2504700</v>
      </c>
      <c r="D10" s="62">
        <v>2504700</v>
      </c>
      <c r="E10" s="62">
        <v>2504700</v>
      </c>
      <c r="F10" s="62">
        <v>2621793</v>
      </c>
      <c r="G10" s="62">
        <v>2648452</v>
      </c>
      <c r="H10" s="62">
        <v>2701230.5</v>
      </c>
      <c r="I10" s="62">
        <v>2754009</v>
      </c>
      <c r="J10" s="62">
        <v>2797267</v>
      </c>
      <c r="K10" s="62">
        <v>2840525</v>
      </c>
      <c r="L10" s="62">
        <v>2900719.7102108686</v>
      </c>
      <c r="M10" s="62">
        <v>2962190.0307886135</v>
      </c>
      <c r="N10" s="62">
        <v>3024962.9937066813</v>
      </c>
      <c r="P10" s="26"/>
      <c r="Q10" s="26"/>
      <c r="R10" s="26"/>
      <c r="S10" s="26"/>
      <c r="T10" s="26"/>
      <c r="U10" s="26"/>
      <c r="V10" s="26"/>
      <c r="W10" s="26"/>
      <c r="X10" s="26"/>
      <c r="Y10" s="26"/>
      <c r="Z10" s="26"/>
      <c r="AA10" s="26"/>
      <c r="AB10" s="26"/>
      <c r="AC10" s="26"/>
      <c r="AD10" s="26"/>
      <c r="AE10" s="26"/>
      <c r="AF10" s="26"/>
      <c r="AG10" s="26"/>
      <c r="AH10" s="26"/>
      <c r="AI10" s="26"/>
      <c r="AJ10" s="26"/>
      <c r="AK10" s="26"/>
    </row>
    <row r="11" spans="1:37" x14ac:dyDescent="0.2">
      <c r="A11" s="61" t="s">
        <v>395</v>
      </c>
      <c r="B11" s="61" t="s">
        <v>426</v>
      </c>
      <c r="C11" s="62">
        <v>1385108</v>
      </c>
      <c r="D11" s="62">
        <v>1385108</v>
      </c>
      <c r="E11" s="62">
        <v>1385108</v>
      </c>
      <c r="F11" s="62">
        <v>1438159</v>
      </c>
      <c r="G11" s="62">
        <v>1446788</v>
      </c>
      <c r="H11" s="62">
        <v>1482893</v>
      </c>
      <c r="I11" s="62">
        <v>1518998</v>
      </c>
      <c r="J11" s="62">
        <v>1549121.5</v>
      </c>
      <c r="K11" s="62">
        <v>1579245</v>
      </c>
      <c r="L11" s="62">
        <v>1614149.7482437377</v>
      </c>
      <c r="M11" s="62">
        <v>1649825.9673168645</v>
      </c>
      <c r="N11" s="62">
        <v>1686290.7084021149</v>
      </c>
      <c r="P11" s="26"/>
      <c r="Q11" s="26"/>
      <c r="R11" s="26"/>
      <c r="S11" s="26"/>
      <c r="T11" s="26"/>
      <c r="U11" s="26"/>
      <c r="V11" s="26"/>
      <c r="W11" s="26"/>
      <c r="X11" s="26"/>
      <c r="Y11" s="26"/>
      <c r="Z11" s="26"/>
      <c r="AA11" s="26"/>
      <c r="AB11" s="26"/>
      <c r="AC11" s="26"/>
      <c r="AD11" s="26"/>
      <c r="AE11" s="26"/>
      <c r="AF11" s="26"/>
      <c r="AG11" s="26"/>
      <c r="AH11" s="26"/>
      <c r="AI11" s="26"/>
      <c r="AJ11" s="26"/>
      <c r="AK11" s="26"/>
    </row>
    <row r="12" spans="1:37" x14ac:dyDescent="0.2">
      <c r="A12" s="61" t="s">
        <v>397</v>
      </c>
      <c r="B12" s="61" t="s">
        <v>712</v>
      </c>
      <c r="C12" s="62">
        <v>1585873</v>
      </c>
      <c r="D12" s="62">
        <v>1585873</v>
      </c>
      <c r="E12" s="62">
        <v>1585873</v>
      </c>
      <c r="F12" s="62">
        <v>1636268</v>
      </c>
      <c r="G12" s="62">
        <v>1638281</v>
      </c>
      <c r="H12" s="62">
        <v>1657500.5</v>
      </c>
      <c r="I12" s="62">
        <v>1676720</v>
      </c>
      <c r="J12" s="62">
        <v>1684168.5</v>
      </c>
      <c r="K12" s="62">
        <v>1691617</v>
      </c>
      <c r="L12" s="62">
        <v>1709914.1790001327</v>
      </c>
      <c r="M12" s="62">
        <v>1728409.2673138764</v>
      </c>
      <c r="N12" s="62">
        <v>1747104.4056043583</v>
      </c>
      <c r="P12" s="26"/>
      <c r="Q12" s="26"/>
      <c r="R12" s="26"/>
      <c r="S12" s="26"/>
      <c r="T12" s="26"/>
      <c r="U12" s="26"/>
      <c r="V12" s="26"/>
      <c r="W12" s="26"/>
      <c r="X12" s="26"/>
      <c r="Y12" s="26"/>
      <c r="Z12" s="26"/>
      <c r="AA12" s="26"/>
      <c r="AB12" s="26"/>
      <c r="AC12" s="26"/>
      <c r="AD12" s="26"/>
      <c r="AE12" s="26"/>
      <c r="AF12" s="26"/>
      <c r="AG12" s="26"/>
      <c r="AH12" s="26"/>
      <c r="AI12" s="26"/>
      <c r="AJ12" s="26"/>
      <c r="AK12" s="26"/>
    </row>
    <row r="13" spans="1:37" x14ac:dyDescent="0.2">
      <c r="A13" s="61" t="s">
        <v>399</v>
      </c>
      <c r="B13" s="61" t="s">
        <v>429</v>
      </c>
      <c r="C13" s="62">
        <v>468730</v>
      </c>
      <c r="D13" s="62">
        <v>468730</v>
      </c>
      <c r="E13" s="62">
        <v>468730</v>
      </c>
      <c r="F13" s="62">
        <v>473279</v>
      </c>
      <c r="G13" s="62">
        <v>487155</v>
      </c>
      <c r="H13" s="62">
        <v>492452</v>
      </c>
      <c r="I13" s="62">
        <v>497749</v>
      </c>
      <c r="J13" s="62">
        <v>499429</v>
      </c>
      <c r="K13" s="62">
        <v>501109</v>
      </c>
      <c r="L13" s="62">
        <v>506718.90967397642</v>
      </c>
      <c r="M13" s="62">
        <v>512391.62222427351</v>
      </c>
      <c r="N13" s="62">
        <v>518127.84072839224</v>
      </c>
      <c r="P13" s="26"/>
      <c r="Q13" s="26"/>
      <c r="R13" s="26"/>
      <c r="S13" s="26"/>
      <c r="T13" s="26"/>
      <c r="U13" s="26"/>
      <c r="V13" s="26"/>
      <c r="W13" s="26"/>
      <c r="X13" s="26"/>
      <c r="Y13" s="26"/>
      <c r="Z13" s="26"/>
      <c r="AA13" s="26"/>
      <c r="AB13" s="26"/>
      <c r="AC13" s="26"/>
      <c r="AD13" s="26"/>
      <c r="AE13" s="26"/>
      <c r="AF13" s="26"/>
      <c r="AG13" s="26"/>
      <c r="AH13" s="26"/>
      <c r="AI13" s="26"/>
      <c r="AJ13" s="26"/>
      <c r="AK13" s="26"/>
    </row>
    <row r="14" spans="1:37" x14ac:dyDescent="0.2">
      <c r="A14" s="61" t="s">
        <v>401</v>
      </c>
      <c r="B14" s="61" t="s">
        <v>430</v>
      </c>
      <c r="C14" s="62">
        <v>2230722</v>
      </c>
      <c r="D14" s="62">
        <v>2230722</v>
      </c>
      <c r="E14" s="62">
        <v>2230722</v>
      </c>
      <c r="F14" s="62">
        <v>2321580</v>
      </c>
      <c r="G14" s="62">
        <v>2330295</v>
      </c>
      <c r="H14" s="62">
        <v>2351923</v>
      </c>
      <c r="I14" s="62">
        <v>2373551</v>
      </c>
      <c r="J14" s="62">
        <v>2393100</v>
      </c>
      <c r="K14" s="62">
        <v>2412649</v>
      </c>
      <c r="L14" s="62">
        <v>2444381.1512041702</v>
      </c>
      <c r="M14" s="62">
        <v>2476530.6567023317</v>
      </c>
      <c r="N14" s="62">
        <v>2509103.0057096849</v>
      </c>
      <c r="P14" s="26"/>
      <c r="Q14" s="26"/>
      <c r="R14" s="26"/>
      <c r="S14" s="26"/>
      <c r="T14" s="26"/>
      <c r="U14" s="26"/>
      <c r="V14" s="26"/>
      <c r="W14" s="26"/>
      <c r="X14" s="26"/>
      <c r="Y14" s="26"/>
      <c r="Z14" s="26"/>
      <c r="AA14" s="26"/>
      <c r="AB14" s="26"/>
      <c r="AC14" s="26"/>
      <c r="AD14" s="26"/>
      <c r="AE14" s="26"/>
      <c r="AF14" s="26"/>
      <c r="AG14" s="26"/>
      <c r="AH14" s="26"/>
      <c r="AI14" s="26"/>
      <c r="AJ14" s="26"/>
      <c r="AK14" s="26"/>
    </row>
    <row r="15" spans="1:37" x14ac:dyDescent="0.2">
      <c r="A15" s="15" t="s">
        <v>672</v>
      </c>
      <c r="C15" s="60">
        <f t="shared" ref="C15:N15" si="1">SUM(C10:C14)</f>
        <v>8175133</v>
      </c>
      <c r="D15" s="60">
        <f t="shared" si="1"/>
        <v>8175133</v>
      </c>
      <c r="E15" s="60">
        <f t="shared" si="1"/>
        <v>8175133</v>
      </c>
      <c r="F15" s="60">
        <f t="shared" si="1"/>
        <v>8491079</v>
      </c>
      <c r="G15" s="60">
        <f t="shared" si="1"/>
        <v>8550971</v>
      </c>
      <c r="H15" s="60">
        <f t="shared" si="1"/>
        <v>8685999</v>
      </c>
      <c r="I15" s="60">
        <f t="shared" si="1"/>
        <v>8821027</v>
      </c>
      <c r="J15" s="60">
        <f t="shared" si="1"/>
        <v>8923086</v>
      </c>
      <c r="K15" s="60">
        <f t="shared" si="1"/>
        <v>9025145</v>
      </c>
      <c r="L15" s="60">
        <f t="shared" si="1"/>
        <v>9175883.6983328853</v>
      </c>
      <c r="M15" s="60">
        <f t="shared" si="1"/>
        <v>9329347.5443459582</v>
      </c>
      <c r="N15" s="60">
        <f t="shared" si="1"/>
        <v>9485588.9541512318</v>
      </c>
      <c r="P15" s="26"/>
      <c r="Q15" s="26"/>
      <c r="R15" s="26"/>
      <c r="S15" s="26"/>
      <c r="T15" s="26"/>
      <c r="U15" s="26"/>
      <c r="V15" s="26"/>
      <c r="W15" s="26"/>
      <c r="X15" s="26"/>
      <c r="Y15" s="26"/>
      <c r="Z15" s="26"/>
      <c r="AA15" s="26"/>
      <c r="AB15" s="26"/>
      <c r="AC15" s="26"/>
      <c r="AD15" s="26"/>
      <c r="AE15" s="26"/>
      <c r="AF15" s="26"/>
      <c r="AG15" s="26"/>
      <c r="AH15" s="26"/>
      <c r="AI15" s="26"/>
      <c r="AJ15" s="26"/>
      <c r="AK15" s="26"/>
    </row>
    <row r="16" spans="1:37" x14ac:dyDescent="0.2">
      <c r="D16" s="15">
        <f>D15/C15</f>
        <v>1</v>
      </c>
      <c r="E16" s="15">
        <f t="shared" ref="E16:N16" si="2">E15/D15</f>
        <v>1</v>
      </c>
      <c r="F16" s="26">
        <f t="shared" si="2"/>
        <v>1.0386471999905078</v>
      </c>
      <c r="G16" s="26">
        <f t="shared" si="2"/>
        <v>1.0070535205243056</v>
      </c>
      <c r="H16" s="26">
        <f t="shared" si="2"/>
        <v>1.0157909552026314</v>
      </c>
      <c r="I16" s="26">
        <f t="shared" si="2"/>
        <v>1.0155454772674968</v>
      </c>
      <c r="J16" s="26">
        <f t="shared" si="2"/>
        <v>1.0115699679867207</v>
      </c>
      <c r="K16" s="26">
        <f t="shared" si="2"/>
        <v>1.0114376349168885</v>
      </c>
      <c r="L16" s="26">
        <f t="shared" si="2"/>
        <v>1.0167020805020734</v>
      </c>
      <c r="M16" s="26">
        <f t="shared" si="2"/>
        <v>1.0167246938887156</v>
      </c>
      <c r="N16" s="26">
        <f t="shared" si="2"/>
        <v>1.0167473029665364</v>
      </c>
      <c r="O16" s="26"/>
      <c r="P16" s="26"/>
      <c r="Q16" s="26"/>
      <c r="R16" s="26"/>
      <c r="S16" s="26"/>
      <c r="T16" s="26"/>
      <c r="U16" s="26"/>
      <c r="V16" s="26"/>
      <c r="W16" s="26"/>
      <c r="X16" s="26"/>
      <c r="Y16" s="26"/>
      <c r="Z16" s="26"/>
      <c r="AA16" s="26"/>
      <c r="AB16" s="26"/>
      <c r="AC16" s="26"/>
      <c r="AD16" s="26"/>
      <c r="AE16" s="26"/>
      <c r="AF16" s="26"/>
      <c r="AG16" s="26"/>
      <c r="AH16" s="26"/>
      <c r="AI16" s="26"/>
      <c r="AJ16" s="26"/>
      <c r="AK16" s="26"/>
    </row>
    <row r="17" spans="1:16" x14ac:dyDescent="0.2">
      <c r="A17" s="63" t="s">
        <v>713</v>
      </c>
      <c r="B17" s="65">
        <v>7.4999999999999997E-3</v>
      </c>
      <c r="C17" s="63"/>
      <c r="D17" s="63"/>
      <c r="E17" s="63"/>
      <c r="F17" s="73"/>
      <c r="G17" s="73"/>
      <c r="H17" s="73"/>
      <c r="I17" s="73"/>
      <c r="J17" s="73"/>
      <c r="K17" s="73"/>
      <c r="L17" s="73"/>
      <c r="M17" s="73"/>
      <c r="N17" s="73"/>
      <c r="O17" s="26"/>
    </row>
    <row r="18" spans="1:16" x14ac:dyDescent="0.2">
      <c r="A18" s="59" t="s">
        <v>714</v>
      </c>
      <c r="B18" s="61"/>
      <c r="C18" s="62"/>
      <c r="D18" s="62"/>
      <c r="E18" s="62"/>
      <c r="F18" s="62"/>
      <c r="G18" s="62"/>
      <c r="H18" s="62"/>
      <c r="I18" s="62"/>
      <c r="J18" s="62"/>
      <c r="K18" s="62"/>
      <c r="L18" s="62"/>
      <c r="M18" s="62"/>
      <c r="N18" s="62"/>
    </row>
    <row r="19" spans="1:16" x14ac:dyDescent="0.2">
      <c r="A19" s="66" t="s">
        <v>389</v>
      </c>
      <c r="B19" s="66"/>
      <c r="C19" s="43">
        <v>2000</v>
      </c>
      <c r="D19" s="43">
        <v>2005</v>
      </c>
      <c r="E19" s="43">
        <v>2010</v>
      </c>
      <c r="F19" s="43">
        <v>2015</v>
      </c>
      <c r="G19" s="43">
        <v>2020</v>
      </c>
      <c r="H19" s="43">
        <v>2025</v>
      </c>
      <c r="I19" s="43">
        <v>2030</v>
      </c>
      <c r="J19" s="43">
        <v>2035</v>
      </c>
      <c r="K19" s="43">
        <v>2040</v>
      </c>
      <c r="L19" s="43">
        <v>2045</v>
      </c>
      <c r="M19" s="43">
        <v>2050</v>
      </c>
      <c r="N19" s="43">
        <v>2055</v>
      </c>
    </row>
    <row r="20" spans="1:16" x14ac:dyDescent="0.2">
      <c r="A20" s="63" t="s">
        <v>715</v>
      </c>
      <c r="B20" s="63" t="s">
        <v>390</v>
      </c>
      <c r="C20" s="62">
        <v>14082663.889999991</v>
      </c>
      <c r="D20" s="62">
        <v>14255073.101</v>
      </c>
      <c r="E20" s="62">
        <v>14559921.450999998</v>
      </c>
      <c r="F20" s="62">
        <v>14806579.829999998</v>
      </c>
      <c r="G20" s="62">
        <v>14997673.560000001</v>
      </c>
      <c r="H20" s="62">
        <v>15111198.526999999</v>
      </c>
      <c r="I20" s="62">
        <v>15141889.450999998</v>
      </c>
      <c r="J20" s="62">
        <v>15098507.534000002</v>
      </c>
      <c r="K20" s="62">
        <v>14996543.470000003</v>
      </c>
      <c r="L20" s="62">
        <v>14833993.520999998</v>
      </c>
      <c r="M20" s="62">
        <v>14622514.98</v>
      </c>
      <c r="N20" s="62">
        <v>14386621.138</v>
      </c>
    </row>
    <row r="21" spans="1:16" x14ac:dyDescent="0.2">
      <c r="A21" s="63" t="s">
        <v>716</v>
      </c>
      <c r="B21" s="63" t="s">
        <v>392</v>
      </c>
      <c r="C21" s="62"/>
      <c r="D21" s="62"/>
      <c r="E21" s="62"/>
      <c r="F21" s="62"/>
      <c r="G21" s="62"/>
      <c r="H21" s="62"/>
      <c r="I21" s="62"/>
      <c r="J21" s="62"/>
      <c r="K21" s="62"/>
      <c r="L21" s="62"/>
      <c r="M21" s="62"/>
      <c r="N21" s="62"/>
      <c r="P21" s="15" t="s">
        <v>717</v>
      </c>
    </row>
    <row r="22" spans="1:16" x14ac:dyDescent="0.2">
      <c r="A22" s="61" t="s">
        <v>393</v>
      </c>
      <c r="B22" s="61" t="s">
        <v>427</v>
      </c>
      <c r="C22" s="62">
        <v>2504700</v>
      </c>
      <c r="D22" s="62">
        <v>2504700</v>
      </c>
      <c r="E22" s="62">
        <v>2504700</v>
      </c>
      <c r="F22" s="62">
        <v>2621793</v>
      </c>
      <c r="G22" s="62">
        <v>2648452</v>
      </c>
      <c r="H22" s="62">
        <v>2701230.5</v>
      </c>
      <c r="I22" s="62">
        <v>2754009</v>
      </c>
      <c r="J22" s="62">
        <v>2797267</v>
      </c>
      <c r="K22" s="62">
        <v>2840525</v>
      </c>
      <c r="L22" s="62">
        <v>2900719.7102108686</v>
      </c>
      <c r="M22" s="62">
        <v>2962190.0307886135</v>
      </c>
      <c r="N22" s="62">
        <v>3024962.9937066813</v>
      </c>
    </row>
    <row r="23" spans="1:16" x14ac:dyDescent="0.2">
      <c r="A23" s="61" t="s">
        <v>395</v>
      </c>
      <c r="B23" s="61" t="s">
        <v>426</v>
      </c>
      <c r="C23" s="62">
        <v>1385108</v>
      </c>
      <c r="D23" s="62">
        <v>1385108</v>
      </c>
      <c r="E23" s="62">
        <v>1385108</v>
      </c>
      <c r="F23" s="62">
        <v>1438159</v>
      </c>
      <c r="G23" s="62">
        <v>1446788</v>
      </c>
      <c r="H23" s="62">
        <v>1482893</v>
      </c>
      <c r="I23" s="62">
        <v>1518998</v>
      </c>
      <c r="J23" s="62">
        <v>1549121.5</v>
      </c>
      <c r="K23" s="62">
        <v>1579245</v>
      </c>
      <c r="L23" s="62">
        <v>1614149.7482437377</v>
      </c>
      <c r="M23" s="62">
        <v>1649825.9673168645</v>
      </c>
      <c r="N23" s="62">
        <v>1686290.7084021149</v>
      </c>
    </row>
    <row r="24" spans="1:16" x14ac:dyDescent="0.2">
      <c r="A24" s="61" t="s">
        <v>397</v>
      </c>
      <c r="B24" s="61" t="s">
        <v>712</v>
      </c>
      <c r="C24" s="62">
        <v>1585873</v>
      </c>
      <c r="D24" s="62">
        <v>1585873</v>
      </c>
      <c r="E24" s="62">
        <v>1585873</v>
      </c>
      <c r="F24" s="62">
        <v>1636268</v>
      </c>
      <c r="G24" s="62">
        <v>1638281</v>
      </c>
      <c r="H24" s="62">
        <v>1657500.5</v>
      </c>
      <c r="I24" s="62">
        <v>1676720</v>
      </c>
      <c r="J24" s="62">
        <v>1684168.5</v>
      </c>
      <c r="K24" s="62">
        <v>1691617</v>
      </c>
      <c r="L24" s="62">
        <v>1709914.1790001327</v>
      </c>
      <c r="M24" s="62">
        <v>1728409.2673138764</v>
      </c>
      <c r="N24" s="62">
        <v>1747104.4056043583</v>
      </c>
    </row>
    <row r="25" spans="1:16" x14ac:dyDescent="0.2">
      <c r="A25" s="61" t="s">
        <v>399</v>
      </c>
      <c r="B25" s="61" t="s">
        <v>429</v>
      </c>
      <c r="C25" s="62">
        <v>468730</v>
      </c>
      <c r="D25" s="62">
        <v>468730</v>
      </c>
      <c r="E25" s="62">
        <v>468730</v>
      </c>
      <c r="F25" s="62">
        <v>473279</v>
      </c>
      <c r="G25" s="62">
        <v>487155</v>
      </c>
      <c r="H25" s="62">
        <v>492452</v>
      </c>
      <c r="I25" s="62">
        <v>497749</v>
      </c>
      <c r="J25" s="62">
        <v>499429</v>
      </c>
      <c r="K25" s="62">
        <v>501109</v>
      </c>
      <c r="L25" s="62">
        <v>506718.90967397642</v>
      </c>
      <c r="M25" s="62">
        <v>512391.62222427351</v>
      </c>
      <c r="N25" s="62">
        <v>518127.84072839224</v>
      </c>
    </row>
    <row r="26" spans="1:16" x14ac:dyDescent="0.2">
      <c r="A26" s="61" t="s">
        <v>401</v>
      </c>
      <c r="B26" s="61" t="s">
        <v>430</v>
      </c>
      <c r="C26" s="62">
        <v>2230722</v>
      </c>
      <c r="D26" s="62">
        <v>2230722</v>
      </c>
      <c r="E26" s="62">
        <v>2230722</v>
      </c>
      <c r="F26" s="62">
        <v>2321580</v>
      </c>
      <c r="G26" s="62">
        <v>2330295</v>
      </c>
      <c r="H26" s="62">
        <v>2351923</v>
      </c>
      <c r="I26" s="62">
        <v>2373551</v>
      </c>
      <c r="J26" s="62">
        <v>2393100</v>
      </c>
      <c r="K26" s="62">
        <v>2412649</v>
      </c>
      <c r="L26" s="62">
        <v>2444381.1512041702</v>
      </c>
      <c r="M26" s="62">
        <v>2476530.6567023317</v>
      </c>
      <c r="N26" s="62">
        <v>2509103.0057096849</v>
      </c>
    </row>
    <row r="27" spans="1:16" x14ac:dyDescent="0.2">
      <c r="A27" s="63"/>
      <c r="B27" s="63"/>
      <c r="C27" s="63"/>
      <c r="D27" s="63"/>
      <c r="E27" s="63"/>
      <c r="F27" s="63"/>
      <c r="G27" s="63"/>
      <c r="H27" s="63"/>
      <c r="I27" s="63"/>
      <c r="J27" s="63"/>
      <c r="K27" s="63"/>
      <c r="L27" s="63"/>
      <c r="M27" s="63"/>
      <c r="N27" s="63"/>
    </row>
    <row r="28" spans="1:16" x14ac:dyDescent="0.2">
      <c r="A28" s="63"/>
      <c r="B28" s="63"/>
      <c r="C28" s="63"/>
      <c r="D28" s="63"/>
      <c r="E28" s="63"/>
      <c r="F28" s="63"/>
      <c r="G28" s="63"/>
      <c r="H28" s="63"/>
      <c r="I28" s="63"/>
      <c r="J28" s="63"/>
      <c r="K28" s="63"/>
      <c r="L28" s="63"/>
      <c r="M28" s="63"/>
      <c r="N28" s="63"/>
    </row>
    <row r="29" spans="1:16" x14ac:dyDescent="0.2">
      <c r="A29" s="67" t="s">
        <v>718</v>
      </c>
      <c r="B29" s="63"/>
      <c r="C29" s="62">
        <v>281366390.54758751</v>
      </c>
      <c r="D29" s="62">
        <v>296508919.8567</v>
      </c>
      <c r="E29" s="62">
        <v>312646831.56260002</v>
      </c>
      <c r="F29" s="62">
        <v>327055183.98355007</v>
      </c>
      <c r="G29" s="62">
        <v>340038850.62751997</v>
      </c>
      <c r="H29" s="62">
        <v>351644596.69833004</v>
      </c>
      <c r="I29" s="62">
        <v>361811163.68200004</v>
      </c>
      <c r="J29" s="62">
        <v>370619698.44852</v>
      </c>
      <c r="K29" s="62">
        <v>378037829.61751992</v>
      </c>
      <c r="L29" s="62">
        <v>383989671.49063993</v>
      </c>
      <c r="M29" s="62">
        <v>388601050.38197005</v>
      </c>
      <c r="N29" s="62">
        <v>392341626.40320992</v>
      </c>
    </row>
    <row r="30" spans="1:16" x14ac:dyDescent="0.2">
      <c r="A30" s="66" t="s">
        <v>719</v>
      </c>
      <c r="B30" s="61" t="s">
        <v>720</v>
      </c>
      <c r="C30" s="62">
        <f t="shared" ref="C30:N30" si="3">SUM(C22:C26)</f>
        <v>8175133</v>
      </c>
      <c r="D30" s="62">
        <f t="shared" si="3"/>
        <v>8175133</v>
      </c>
      <c r="E30" s="62">
        <f t="shared" si="3"/>
        <v>8175133</v>
      </c>
      <c r="F30" s="62">
        <f t="shared" si="3"/>
        <v>8491079</v>
      </c>
      <c r="G30" s="62">
        <f t="shared" si="3"/>
        <v>8550971</v>
      </c>
      <c r="H30" s="62">
        <f t="shared" si="3"/>
        <v>8685999</v>
      </c>
      <c r="I30" s="62">
        <f t="shared" si="3"/>
        <v>8821027</v>
      </c>
      <c r="J30" s="62">
        <f t="shared" si="3"/>
        <v>8923086</v>
      </c>
      <c r="K30" s="62">
        <f t="shared" si="3"/>
        <v>9025145</v>
      </c>
      <c r="L30" s="62">
        <f t="shared" si="3"/>
        <v>9175883.6983328853</v>
      </c>
      <c r="M30" s="62">
        <f t="shared" si="3"/>
        <v>9329347.5443459582</v>
      </c>
      <c r="N30" s="62">
        <f t="shared" si="3"/>
        <v>9485588.9541512318</v>
      </c>
    </row>
    <row r="32" spans="1:16" x14ac:dyDescent="0.2">
      <c r="A32" s="63" t="s">
        <v>713</v>
      </c>
      <c r="B32" s="65">
        <v>1.4999999999999999E-2</v>
      </c>
      <c r="C32" s="64"/>
      <c r="D32" s="64"/>
      <c r="E32" s="64"/>
      <c r="F32" s="64"/>
      <c r="G32" s="64"/>
      <c r="H32" s="64"/>
      <c r="I32" s="64"/>
      <c r="J32" s="64"/>
      <c r="K32" s="64"/>
      <c r="L32" s="64"/>
      <c r="M32" s="64"/>
      <c r="N32" s="64"/>
    </row>
    <row r="33" spans="1:14" x14ac:dyDescent="0.2">
      <c r="A33" s="59" t="s">
        <v>721</v>
      </c>
      <c r="B33" s="61"/>
      <c r="C33" s="62"/>
      <c r="D33" s="62"/>
      <c r="E33" s="62"/>
      <c r="F33" s="62"/>
      <c r="G33" s="62"/>
      <c r="H33" s="62"/>
      <c r="I33" s="62"/>
      <c r="J33" s="62"/>
      <c r="K33" s="62"/>
      <c r="L33" s="62"/>
      <c r="M33" s="62"/>
      <c r="N33" s="62"/>
    </row>
    <row r="34" spans="1:14" x14ac:dyDescent="0.2">
      <c r="A34" s="66" t="s">
        <v>389</v>
      </c>
      <c r="B34" s="66"/>
      <c r="C34" s="43">
        <v>2000</v>
      </c>
      <c r="D34" s="43">
        <v>2005</v>
      </c>
      <c r="E34" s="43">
        <v>2010</v>
      </c>
      <c r="F34" s="43">
        <v>2015</v>
      </c>
      <c r="G34" s="43">
        <v>2020</v>
      </c>
      <c r="H34" s="43">
        <v>2025</v>
      </c>
      <c r="I34" s="43">
        <v>2030</v>
      </c>
      <c r="J34" s="43">
        <v>2035</v>
      </c>
      <c r="K34" s="43">
        <v>2040</v>
      </c>
      <c r="L34" s="43">
        <v>2045</v>
      </c>
      <c r="M34" s="43">
        <v>2050</v>
      </c>
      <c r="N34" s="43">
        <v>2055</v>
      </c>
    </row>
    <row r="35" spans="1:14" hidden="1" x14ac:dyDescent="0.2">
      <c r="A35" s="63" t="s">
        <v>715</v>
      </c>
      <c r="B35" s="63" t="s">
        <v>390</v>
      </c>
      <c r="C35" s="62">
        <v>14082663.889999991</v>
      </c>
      <c r="D35" s="62">
        <v>14255073.101</v>
      </c>
      <c r="E35" s="62">
        <v>14559921.450999998</v>
      </c>
      <c r="F35" s="62">
        <v>14806579.829999998</v>
      </c>
      <c r="G35" s="62">
        <v>14997673.560000001</v>
      </c>
      <c r="H35" s="62">
        <v>15111198.526999999</v>
      </c>
      <c r="I35" s="62">
        <v>15141889.450999998</v>
      </c>
      <c r="J35" s="62">
        <v>15098507.534000002</v>
      </c>
      <c r="K35" s="62">
        <v>14996543.470000003</v>
      </c>
      <c r="L35" s="62">
        <v>14833993.520999998</v>
      </c>
      <c r="M35" s="62">
        <v>14622514.98</v>
      </c>
      <c r="N35" s="62">
        <v>14386621.138</v>
      </c>
    </row>
    <row r="36" spans="1:14" hidden="1" x14ac:dyDescent="0.2">
      <c r="A36" s="63" t="s">
        <v>716</v>
      </c>
      <c r="B36" s="63" t="s">
        <v>392</v>
      </c>
      <c r="C36" s="62"/>
      <c r="D36" s="62"/>
      <c r="E36" s="62"/>
      <c r="F36" s="62"/>
      <c r="G36" s="62"/>
      <c r="H36" s="62"/>
      <c r="I36" s="62"/>
      <c r="J36" s="62"/>
      <c r="K36" s="62"/>
      <c r="L36" s="62"/>
      <c r="M36" s="62"/>
      <c r="N36" s="62"/>
    </row>
    <row r="37" spans="1:14" x14ac:dyDescent="0.2">
      <c r="A37" s="61" t="s">
        <v>393</v>
      </c>
      <c r="B37" s="61" t="s">
        <v>427</v>
      </c>
      <c r="C37" s="62">
        <v>2504700</v>
      </c>
      <c r="D37" s="62">
        <v>2504700</v>
      </c>
      <c r="E37" s="62">
        <v>2504700</v>
      </c>
      <c r="F37" s="62">
        <v>2621793</v>
      </c>
      <c r="G37" s="62">
        <v>2648452</v>
      </c>
      <c r="H37" s="62">
        <v>2701230.5</v>
      </c>
      <c r="I37" s="62">
        <v>2754009</v>
      </c>
      <c r="J37" s="62">
        <v>2797267</v>
      </c>
      <c r="K37" s="62">
        <v>2840525</v>
      </c>
      <c r="L37" s="62">
        <v>2900719.7102108686</v>
      </c>
      <c r="M37" s="62">
        <v>2962190.0307886135</v>
      </c>
      <c r="N37" s="62">
        <v>3024962.9937066813</v>
      </c>
    </row>
    <row r="38" spans="1:14" x14ac:dyDescent="0.2">
      <c r="A38" s="61" t="s">
        <v>395</v>
      </c>
      <c r="B38" s="61" t="s">
        <v>426</v>
      </c>
      <c r="C38" s="62">
        <v>1385108</v>
      </c>
      <c r="D38" s="62">
        <v>1385108</v>
      </c>
      <c r="E38" s="62">
        <v>1385108</v>
      </c>
      <c r="F38" s="62">
        <v>1438159</v>
      </c>
      <c r="G38" s="62">
        <v>1446788</v>
      </c>
      <c r="H38" s="62">
        <v>1482893</v>
      </c>
      <c r="I38" s="62">
        <v>1518998</v>
      </c>
      <c r="J38" s="62">
        <v>1549121.5</v>
      </c>
      <c r="K38" s="62">
        <v>1579245</v>
      </c>
      <c r="L38" s="62">
        <v>1614149.7482437377</v>
      </c>
      <c r="M38" s="62">
        <v>1649825.9673168645</v>
      </c>
      <c r="N38" s="62">
        <v>1686290.7084021149</v>
      </c>
    </row>
    <row r="39" spans="1:14" x14ac:dyDescent="0.2">
      <c r="A39" s="61" t="s">
        <v>397</v>
      </c>
      <c r="B39" s="61" t="s">
        <v>712</v>
      </c>
      <c r="C39" s="62">
        <v>1585873</v>
      </c>
      <c r="D39" s="62">
        <v>1585873</v>
      </c>
      <c r="E39" s="62">
        <v>1585873</v>
      </c>
      <c r="F39" s="62">
        <v>1636268</v>
      </c>
      <c r="G39" s="62">
        <v>1638281</v>
      </c>
      <c r="H39" s="62">
        <v>1657500.5</v>
      </c>
      <c r="I39" s="62">
        <v>1676720</v>
      </c>
      <c r="J39" s="62">
        <v>1684168.5</v>
      </c>
      <c r="K39" s="62">
        <v>1691617</v>
      </c>
      <c r="L39" s="62">
        <v>1709914.1790001327</v>
      </c>
      <c r="M39" s="62">
        <v>1728409.2673138764</v>
      </c>
      <c r="N39" s="62">
        <v>1747104.4056043583</v>
      </c>
    </row>
    <row r="40" spans="1:14" x14ac:dyDescent="0.2">
      <c r="A40" s="61" t="s">
        <v>399</v>
      </c>
      <c r="B40" s="61" t="s">
        <v>429</v>
      </c>
      <c r="C40" s="62">
        <v>468730</v>
      </c>
      <c r="D40" s="62">
        <v>468730</v>
      </c>
      <c r="E40" s="62">
        <v>468730</v>
      </c>
      <c r="F40" s="62">
        <v>473279</v>
      </c>
      <c r="G40" s="62">
        <v>487155</v>
      </c>
      <c r="H40" s="62">
        <v>492452</v>
      </c>
      <c r="I40" s="62">
        <v>497749</v>
      </c>
      <c r="J40" s="62">
        <v>499429</v>
      </c>
      <c r="K40" s="62">
        <v>501109</v>
      </c>
      <c r="L40" s="62">
        <v>506718.90967397642</v>
      </c>
      <c r="M40" s="62">
        <v>512391.62222427351</v>
      </c>
      <c r="N40" s="62">
        <v>518127.84072839224</v>
      </c>
    </row>
    <row r="41" spans="1:14" x14ac:dyDescent="0.2">
      <c r="A41" s="61" t="s">
        <v>401</v>
      </c>
      <c r="B41" s="61" t="s">
        <v>430</v>
      </c>
      <c r="C41" s="62">
        <v>2230722</v>
      </c>
      <c r="D41" s="62">
        <v>2230722</v>
      </c>
      <c r="E41" s="62">
        <v>2230722</v>
      </c>
      <c r="F41" s="62">
        <v>2321580</v>
      </c>
      <c r="G41" s="62">
        <v>2330295</v>
      </c>
      <c r="H41" s="62">
        <v>2351923</v>
      </c>
      <c r="I41" s="62">
        <v>2373551</v>
      </c>
      <c r="J41" s="62">
        <v>2393100</v>
      </c>
      <c r="K41" s="62">
        <v>2412649</v>
      </c>
      <c r="L41" s="62">
        <v>2444381.1512041702</v>
      </c>
      <c r="M41" s="62">
        <v>2476530.6567023317</v>
      </c>
      <c r="N41" s="62">
        <v>2509103.0057096849</v>
      </c>
    </row>
    <row r="42" spans="1:14" x14ac:dyDescent="0.2">
      <c r="A42" s="63"/>
      <c r="B42" s="63"/>
      <c r="C42" s="63"/>
      <c r="D42" s="63"/>
      <c r="E42" s="63"/>
      <c r="F42" s="63"/>
      <c r="G42" s="63"/>
      <c r="H42" s="63"/>
      <c r="I42" s="63"/>
      <c r="J42" s="63"/>
      <c r="K42" s="63"/>
      <c r="L42" s="63"/>
      <c r="M42" s="63"/>
      <c r="N42" s="63"/>
    </row>
    <row r="43" spans="1:14" x14ac:dyDescent="0.2">
      <c r="A43" s="63"/>
      <c r="B43" s="63"/>
      <c r="C43" s="63"/>
      <c r="D43" s="63"/>
      <c r="E43" s="63"/>
      <c r="F43" s="63"/>
      <c r="G43" s="63"/>
      <c r="H43" s="63"/>
      <c r="I43" s="63"/>
      <c r="J43" s="63"/>
      <c r="K43" s="63"/>
      <c r="L43" s="63"/>
      <c r="M43" s="63"/>
      <c r="N43" s="63"/>
    </row>
    <row r="44" spans="1:14" x14ac:dyDescent="0.2">
      <c r="A44" s="67" t="s">
        <v>718</v>
      </c>
      <c r="B44" s="63"/>
      <c r="C44" s="62">
        <v>281366390.54758751</v>
      </c>
      <c r="D44" s="62">
        <v>296508919.8567</v>
      </c>
      <c r="E44" s="62">
        <v>312646831.56260002</v>
      </c>
      <c r="F44" s="62">
        <v>327055183.98355007</v>
      </c>
      <c r="G44" s="62">
        <v>340038850.62751997</v>
      </c>
      <c r="H44" s="62">
        <v>351644596.69833004</v>
      </c>
      <c r="I44" s="62">
        <v>361811163.68200004</v>
      </c>
      <c r="J44" s="62">
        <v>370619698.44852</v>
      </c>
      <c r="K44" s="62">
        <v>378037829.61751992</v>
      </c>
      <c r="L44" s="62">
        <v>383989671.49063993</v>
      </c>
      <c r="M44" s="62">
        <v>388601050.38197005</v>
      </c>
      <c r="N44" s="62">
        <v>392341626.40320992</v>
      </c>
    </row>
    <row r="45" spans="1:14" x14ac:dyDescent="0.2">
      <c r="A45" s="66" t="s">
        <v>719</v>
      </c>
      <c r="B45" s="61" t="s">
        <v>720</v>
      </c>
      <c r="C45" s="62">
        <f t="shared" ref="C45:N45" si="4">SUM(C37:C41)</f>
        <v>8175133</v>
      </c>
      <c r="D45" s="62">
        <f t="shared" si="4"/>
        <v>8175133</v>
      </c>
      <c r="E45" s="62">
        <f t="shared" si="4"/>
        <v>8175133</v>
      </c>
      <c r="F45" s="62">
        <f t="shared" si="4"/>
        <v>8491079</v>
      </c>
      <c r="G45" s="62">
        <f t="shared" si="4"/>
        <v>8550971</v>
      </c>
      <c r="H45" s="62">
        <f t="shared" si="4"/>
        <v>8685999</v>
      </c>
      <c r="I45" s="62">
        <f t="shared" si="4"/>
        <v>8821027</v>
      </c>
      <c r="J45" s="62">
        <f t="shared" si="4"/>
        <v>8923086</v>
      </c>
      <c r="K45" s="62">
        <f t="shared" si="4"/>
        <v>9025145</v>
      </c>
      <c r="L45" s="62">
        <f t="shared" si="4"/>
        <v>9175883.6983328853</v>
      </c>
      <c r="M45" s="62">
        <f t="shared" si="4"/>
        <v>9329347.5443459582</v>
      </c>
      <c r="N45" s="62">
        <f t="shared" si="4"/>
        <v>9485588.9541512318</v>
      </c>
    </row>
    <row r="46" spans="1:14" ht="15" x14ac:dyDescent="0.2">
      <c r="A46" s="71" t="s">
        <v>722</v>
      </c>
      <c r="B46" s="68"/>
      <c r="C46" s="68"/>
      <c r="D46" s="68"/>
      <c r="E46" s="68"/>
      <c r="F46" s="68"/>
      <c r="G46" s="68"/>
      <c r="H46" s="68"/>
      <c r="I46" s="68"/>
      <c r="J46" s="68"/>
      <c r="K46" s="68"/>
      <c r="L46" s="68"/>
      <c r="M46" s="68"/>
      <c r="N46" s="68"/>
    </row>
    <row r="47" spans="1:14" ht="15" x14ac:dyDescent="0.2">
      <c r="A47" s="72" t="s">
        <v>723</v>
      </c>
      <c r="B47" s="69" t="s">
        <v>724</v>
      </c>
      <c r="C47" s="70"/>
      <c r="D47" s="70"/>
      <c r="E47" s="70"/>
      <c r="F47" s="70"/>
      <c r="G47" s="70"/>
      <c r="H47" s="70"/>
      <c r="I47" s="70"/>
      <c r="J47" s="70"/>
      <c r="K47" s="70"/>
      <c r="L47" s="70"/>
      <c r="M47" s="70"/>
      <c r="N47" s="70"/>
    </row>
  </sheetData>
  <mergeCells count="1">
    <mergeCell ref="A8:B8"/>
  </mergeCells>
  <hyperlinks>
    <hyperlink ref="A47" r:id="rId1" display="NYC Dept. of City Planning" xr:uid="{00000000-0004-0000-1D00-000000000000}"/>
    <hyperlink ref="B47" r:id="rId2" xr:uid="{00000000-0004-0000-1D00-000001000000}"/>
  </hyperlinks>
  <pageMargins left="0.75" right="0.75" top="1" bottom="1" header="0.5" footer="0.5"/>
  <pageSetup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4"/>
  <sheetViews>
    <sheetView showFormulas="1" zoomScale="80" zoomScaleNormal="80" workbookViewId="0">
      <selection activeCell="C49" sqref="C49:N49"/>
    </sheetView>
  </sheetViews>
  <sheetFormatPr defaultColWidth="9.140625" defaultRowHeight="12.75" x14ac:dyDescent="0.2"/>
  <cols>
    <col min="1" max="1" width="19.140625" style="15" customWidth="1"/>
    <col min="2" max="2" width="7.140625" style="15" customWidth="1"/>
    <col min="3" max="14" width="12.7109375" style="15" customWidth="1"/>
    <col min="15" max="16384" width="9.140625" style="15"/>
  </cols>
  <sheetData>
    <row r="1" spans="1:37" s="19" customFormat="1" x14ac:dyDescent="0.2">
      <c r="A1" s="14" t="s">
        <v>725</v>
      </c>
    </row>
    <row r="2" spans="1:37" s="19" customFormat="1" x14ac:dyDescent="0.2">
      <c r="A2" s="14" t="s">
        <v>726</v>
      </c>
    </row>
    <row r="3" spans="1:37" s="19" customFormat="1" x14ac:dyDescent="0.2">
      <c r="A3" s="14"/>
    </row>
    <row r="4" spans="1:37" s="19" customFormat="1" x14ac:dyDescent="0.2">
      <c r="A4" s="14" t="s">
        <v>708</v>
      </c>
    </row>
    <row r="7" spans="1:37" x14ac:dyDescent="0.2">
      <c r="D7" s="18" t="s">
        <v>709</v>
      </c>
    </row>
    <row r="8" spans="1:37" x14ac:dyDescent="0.2">
      <c r="A8" s="395" t="s">
        <v>389</v>
      </c>
      <c r="B8" s="395"/>
      <c r="C8" s="43">
        <v>2000</v>
      </c>
      <c r="D8" s="43">
        <v>2005</v>
      </c>
      <c r="E8" s="43">
        <v>2010</v>
      </c>
      <c r="F8" s="43">
        <v>2015</v>
      </c>
      <c r="G8" s="43">
        <v>2020</v>
      </c>
      <c r="H8" s="43">
        <v>2025</v>
      </c>
      <c r="I8" s="43">
        <v>2030</v>
      </c>
      <c r="J8" s="43">
        <v>2035</v>
      </c>
      <c r="K8" s="43">
        <v>2040</v>
      </c>
      <c r="L8" s="43">
        <v>2045</v>
      </c>
      <c r="M8" s="43">
        <v>2050</v>
      </c>
      <c r="N8" s="43">
        <v>2055</v>
      </c>
      <c r="P8" s="26"/>
      <c r="Q8" s="26"/>
      <c r="R8" s="26"/>
      <c r="S8" s="26"/>
      <c r="T8" s="26"/>
      <c r="U8" s="26"/>
      <c r="V8" s="26"/>
      <c r="W8" s="26"/>
      <c r="X8" s="26"/>
      <c r="Y8" s="26"/>
      <c r="Z8" s="26"/>
      <c r="AA8" s="26"/>
      <c r="AB8" s="26"/>
      <c r="AC8" s="26"/>
      <c r="AD8" s="26"/>
      <c r="AE8" s="26"/>
      <c r="AF8" s="26"/>
      <c r="AG8" s="26"/>
      <c r="AH8" s="26"/>
      <c r="AI8" s="26"/>
      <c r="AJ8" s="26"/>
      <c r="AK8" s="26"/>
    </row>
    <row r="9" spans="1:37" x14ac:dyDescent="0.2">
      <c r="A9" s="15" t="s">
        <v>715</v>
      </c>
      <c r="B9" s="15" t="s">
        <v>390</v>
      </c>
      <c r="C9" s="74">
        <f t="shared" ref="C9:N9" si="0">C35</f>
        <v>14082663.889999991</v>
      </c>
      <c r="D9" s="74">
        <f t="shared" si="0"/>
        <v>14365140.789999997</v>
      </c>
      <c r="E9" s="74">
        <f t="shared" si="0"/>
        <v>14647617.68999999</v>
      </c>
      <c r="F9" s="74">
        <f t="shared" si="0"/>
        <v>14930094.589999996</v>
      </c>
      <c r="G9" s="74">
        <f t="shared" si="0"/>
        <v>15212571.489999987</v>
      </c>
      <c r="H9" s="74">
        <f t="shared" si="0"/>
        <v>15495048.389999993</v>
      </c>
      <c r="I9" s="74">
        <f t="shared" si="0"/>
        <v>15777525.289999999</v>
      </c>
      <c r="J9" s="74">
        <f t="shared" si="0"/>
        <v>16060002.189999992</v>
      </c>
      <c r="K9" s="74">
        <f t="shared" si="0"/>
        <v>16342479.089999998</v>
      </c>
      <c r="L9" s="74">
        <f t="shared" si="0"/>
        <v>16624955.989999989</v>
      </c>
      <c r="M9" s="74">
        <f t="shared" si="0"/>
        <v>16907432.889999997</v>
      </c>
      <c r="N9" s="74">
        <f t="shared" si="0"/>
        <v>17189909.789999988</v>
      </c>
      <c r="P9" s="26"/>
      <c r="Q9" s="26"/>
      <c r="R9" s="26"/>
      <c r="S9" s="26"/>
      <c r="T9" s="26"/>
      <c r="U9" s="26"/>
      <c r="V9" s="26"/>
      <c r="W9" s="26"/>
      <c r="X9" s="26"/>
      <c r="Y9" s="26"/>
      <c r="Z9" s="26"/>
      <c r="AA9" s="26"/>
      <c r="AB9" s="26"/>
      <c r="AC9" s="26"/>
      <c r="AD9" s="26"/>
      <c r="AE9" s="26"/>
      <c r="AF9" s="26"/>
      <c r="AG9" s="26"/>
      <c r="AH9" s="26"/>
      <c r="AI9" s="26"/>
      <c r="AJ9" s="26"/>
      <c r="AK9" s="26"/>
    </row>
    <row r="10" spans="1:37" x14ac:dyDescent="0.2">
      <c r="A10" s="61" t="s">
        <v>393</v>
      </c>
      <c r="B10" s="61" t="s">
        <v>427</v>
      </c>
      <c r="C10" s="62">
        <v>2504700</v>
      </c>
      <c r="D10" s="62">
        <v>2504700</v>
      </c>
      <c r="E10" s="62">
        <v>2504700</v>
      </c>
      <c r="F10" s="62">
        <v>2621793</v>
      </c>
      <c r="G10" s="62">
        <v>2648452</v>
      </c>
      <c r="H10" s="62">
        <v>2701230.5</v>
      </c>
      <c r="I10" s="62">
        <v>2754009</v>
      </c>
      <c r="J10" s="62">
        <v>2797267</v>
      </c>
      <c r="K10" s="62">
        <v>2840525</v>
      </c>
      <c r="L10" s="62">
        <v>2900719.7102108686</v>
      </c>
      <c r="M10" s="62">
        <v>2962190.0307886135</v>
      </c>
      <c r="N10" s="62">
        <v>3024962.9937066813</v>
      </c>
      <c r="P10" s="26"/>
      <c r="Q10" s="26"/>
      <c r="R10" s="26"/>
      <c r="S10" s="26"/>
      <c r="T10" s="26"/>
      <c r="U10" s="26"/>
      <c r="V10" s="26"/>
      <c r="W10" s="26"/>
      <c r="X10" s="26"/>
      <c r="Y10" s="26"/>
      <c r="Z10" s="26"/>
      <c r="AA10" s="26"/>
      <c r="AB10" s="26"/>
      <c r="AC10" s="26"/>
      <c r="AD10" s="26"/>
      <c r="AE10" s="26"/>
      <c r="AF10" s="26"/>
      <c r="AG10" s="26"/>
      <c r="AH10" s="26"/>
      <c r="AI10" s="26"/>
      <c r="AJ10" s="26"/>
      <c r="AK10" s="26"/>
    </row>
    <row r="11" spans="1:37" x14ac:dyDescent="0.2">
      <c r="A11" s="61" t="s">
        <v>395</v>
      </c>
      <c r="B11" s="61" t="s">
        <v>426</v>
      </c>
      <c r="C11" s="62">
        <v>1385108</v>
      </c>
      <c r="D11" s="62">
        <v>1385108</v>
      </c>
      <c r="E11" s="62">
        <v>1385108</v>
      </c>
      <c r="F11" s="62">
        <v>1438159</v>
      </c>
      <c r="G11" s="62">
        <v>1446788</v>
      </c>
      <c r="H11" s="62">
        <v>1482893</v>
      </c>
      <c r="I11" s="62">
        <v>1518998</v>
      </c>
      <c r="J11" s="62">
        <v>1549121.5</v>
      </c>
      <c r="K11" s="62">
        <v>1579245</v>
      </c>
      <c r="L11" s="62">
        <v>1614149.7482437377</v>
      </c>
      <c r="M11" s="62">
        <v>1649825.9673168645</v>
      </c>
      <c r="N11" s="62">
        <v>1686290.7084021149</v>
      </c>
      <c r="P11" s="26"/>
      <c r="Q11" s="26"/>
      <c r="R11" s="26"/>
      <c r="S11" s="26"/>
      <c r="T11" s="26"/>
      <c r="U11" s="26"/>
      <c r="V11" s="26"/>
      <c r="W11" s="26"/>
      <c r="X11" s="26"/>
      <c r="Y11" s="26"/>
      <c r="Z11" s="26"/>
      <c r="AA11" s="26"/>
      <c r="AB11" s="26"/>
      <c r="AC11" s="26"/>
      <c r="AD11" s="26"/>
      <c r="AE11" s="26"/>
      <c r="AF11" s="26"/>
      <c r="AG11" s="26"/>
      <c r="AH11" s="26"/>
      <c r="AI11" s="26"/>
      <c r="AJ11" s="26"/>
      <c r="AK11" s="26"/>
    </row>
    <row r="12" spans="1:37" x14ac:dyDescent="0.2">
      <c r="A12" s="61" t="s">
        <v>397</v>
      </c>
      <c r="B12" s="61" t="s">
        <v>712</v>
      </c>
      <c r="C12" s="62">
        <v>1585873</v>
      </c>
      <c r="D12" s="62">
        <v>1585873</v>
      </c>
      <c r="E12" s="62">
        <v>1585873</v>
      </c>
      <c r="F12" s="62">
        <v>1636268</v>
      </c>
      <c r="G12" s="62">
        <v>1638281</v>
      </c>
      <c r="H12" s="62">
        <v>1657500.5</v>
      </c>
      <c r="I12" s="62">
        <v>1676720</v>
      </c>
      <c r="J12" s="62">
        <v>1684168.5</v>
      </c>
      <c r="K12" s="62">
        <v>1691617</v>
      </c>
      <c r="L12" s="62">
        <v>1709914.1790001327</v>
      </c>
      <c r="M12" s="62">
        <v>1728409.2673138764</v>
      </c>
      <c r="N12" s="62">
        <v>1747104.4056043583</v>
      </c>
      <c r="P12" s="26"/>
      <c r="Q12" s="26"/>
      <c r="R12" s="26"/>
      <c r="S12" s="26"/>
      <c r="T12" s="26"/>
      <c r="U12" s="26"/>
      <c r="V12" s="26"/>
      <c r="W12" s="26"/>
      <c r="X12" s="26"/>
      <c r="Y12" s="26"/>
      <c r="Z12" s="26"/>
      <c r="AA12" s="26"/>
      <c r="AB12" s="26"/>
      <c r="AC12" s="26"/>
      <c r="AD12" s="26"/>
      <c r="AE12" s="26"/>
      <c r="AF12" s="26"/>
      <c r="AG12" s="26"/>
      <c r="AH12" s="26"/>
      <c r="AI12" s="26"/>
      <c r="AJ12" s="26"/>
      <c r="AK12" s="26"/>
    </row>
    <row r="13" spans="1:37" x14ac:dyDescent="0.2">
      <c r="A13" s="61" t="s">
        <v>399</v>
      </c>
      <c r="B13" s="61" t="s">
        <v>429</v>
      </c>
      <c r="C13" s="62">
        <v>468730</v>
      </c>
      <c r="D13" s="62">
        <v>468730</v>
      </c>
      <c r="E13" s="62">
        <v>468730</v>
      </c>
      <c r="F13" s="62">
        <v>473279</v>
      </c>
      <c r="G13" s="62">
        <v>487155</v>
      </c>
      <c r="H13" s="62">
        <v>492452</v>
      </c>
      <c r="I13" s="62">
        <v>497749</v>
      </c>
      <c r="J13" s="62">
        <v>499429</v>
      </c>
      <c r="K13" s="62">
        <v>501109</v>
      </c>
      <c r="L13" s="62">
        <v>506718.90967397642</v>
      </c>
      <c r="M13" s="62">
        <v>512391.62222427351</v>
      </c>
      <c r="N13" s="62">
        <v>518127.84072839224</v>
      </c>
      <c r="P13" s="26"/>
      <c r="Q13" s="26"/>
      <c r="R13" s="26"/>
      <c r="S13" s="26"/>
      <c r="T13" s="26"/>
      <c r="U13" s="26"/>
      <c r="V13" s="26"/>
      <c r="W13" s="26"/>
      <c r="X13" s="26"/>
      <c r="Y13" s="26"/>
      <c r="Z13" s="26"/>
      <c r="AA13" s="26"/>
      <c r="AB13" s="26"/>
      <c r="AC13" s="26"/>
      <c r="AD13" s="26"/>
      <c r="AE13" s="26"/>
      <c r="AF13" s="26"/>
      <c r="AG13" s="26"/>
      <c r="AH13" s="26"/>
      <c r="AI13" s="26"/>
      <c r="AJ13" s="26"/>
      <c r="AK13" s="26"/>
    </row>
    <row r="14" spans="1:37" x14ac:dyDescent="0.2">
      <c r="A14" s="61" t="s">
        <v>401</v>
      </c>
      <c r="B14" s="61" t="s">
        <v>430</v>
      </c>
      <c r="C14" s="62">
        <v>2230722</v>
      </c>
      <c r="D14" s="62">
        <v>2230722</v>
      </c>
      <c r="E14" s="62">
        <v>2230722</v>
      </c>
      <c r="F14" s="62">
        <v>2321580</v>
      </c>
      <c r="G14" s="62">
        <v>2330295</v>
      </c>
      <c r="H14" s="62">
        <v>2351923</v>
      </c>
      <c r="I14" s="62">
        <v>2373551</v>
      </c>
      <c r="J14" s="62">
        <v>2393100</v>
      </c>
      <c r="K14" s="62">
        <v>2412649</v>
      </c>
      <c r="L14" s="62">
        <v>2444381.1512041702</v>
      </c>
      <c r="M14" s="62">
        <v>2476530.6567023317</v>
      </c>
      <c r="N14" s="62">
        <v>2509103.0057096849</v>
      </c>
      <c r="P14" s="26"/>
      <c r="Q14" s="26"/>
      <c r="R14" s="26"/>
      <c r="S14" s="26"/>
      <c r="T14" s="26"/>
      <c r="U14" s="26"/>
      <c r="V14" s="26"/>
      <c r="W14" s="26"/>
      <c r="X14" s="26"/>
      <c r="Y14" s="26"/>
      <c r="Z14" s="26"/>
      <c r="AA14" s="26"/>
      <c r="AB14" s="26"/>
      <c r="AC14" s="26"/>
      <c r="AD14" s="26"/>
      <c r="AE14" s="26"/>
      <c r="AF14" s="26"/>
      <c r="AG14" s="26"/>
      <c r="AH14" s="26"/>
      <c r="AI14" s="26"/>
      <c r="AJ14" s="26"/>
      <c r="AK14" s="26"/>
    </row>
    <row r="15" spans="1:37" x14ac:dyDescent="0.2">
      <c r="A15" s="63"/>
      <c r="B15" s="63"/>
      <c r="C15" s="63"/>
      <c r="D15" s="63"/>
      <c r="E15" s="63"/>
      <c r="F15" s="63"/>
      <c r="G15" s="63"/>
      <c r="H15" s="63"/>
      <c r="I15" s="63"/>
      <c r="J15" s="63"/>
      <c r="K15" s="63"/>
      <c r="L15" s="63"/>
      <c r="M15" s="63"/>
      <c r="N15" s="63"/>
      <c r="P15" s="26"/>
      <c r="Q15" s="26"/>
      <c r="R15" s="26"/>
      <c r="S15" s="26"/>
      <c r="T15" s="26"/>
      <c r="U15" s="26"/>
      <c r="V15" s="26"/>
      <c r="W15" s="26"/>
      <c r="X15" s="26"/>
      <c r="Y15" s="26"/>
      <c r="Z15" s="26"/>
      <c r="AA15" s="26"/>
      <c r="AB15" s="26"/>
      <c r="AC15" s="26"/>
      <c r="AD15" s="26"/>
      <c r="AE15" s="26"/>
      <c r="AF15" s="26"/>
      <c r="AG15" s="26"/>
      <c r="AH15" s="26"/>
      <c r="AI15" s="26"/>
      <c r="AJ15" s="26"/>
      <c r="AK15" s="26"/>
    </row>
    <row r="16" spans="1:37" x14ac:dyDescent="0.2">
      <c r="A16" s="63"/>
      <c r="B16" s="63"/>
      <c r="C16" s="63"/>
      <c r="D16" s="63"/>
      <c r="E16" s="63"/>
      <c r="F16" s="63"/>
      <c r="G16" s="63"/>
      <c r="H16" s="63"/>
      <c r="I16" s="63"/>
      <c r="J16" s="63"/>
      <c r="K16" s="63"/>
      <c r="L16" s="63"/>
      <c r="M16" s="63"/>
      <c r="N16" s="63"/>
      <c r="P16" s="26"/>
      <c r="Q16" s="26"/>
      <c r="R16" s="26"/>
      <c r="S16" s="26"/>
      <c r="T16" s="26"/>
      <c r="U16" s="26"/>
      <c r="V16" s="26"/>
      <c r="W16" s="26"/>
      <c r="X16" s="26"/>
      <c r="Y16" s="26"/>
      <c r="Z16" s="26"/>
      <c r="AA16" s="26"/>
      <c r="AB16" s="26"/>
      <c r="AC16" s="26"/>
      <c r="AD16" s="26"/>
      <c r="AE16" s="26"/>
      <c r="AF16" s="26"/>
      <c r="AG16" s="26"/>
      <c r="AH16" s="26"/>
      <c r="AI16" s="26"/>
      <c r="AJ16" s="26"/>
      <c r="AK16" s="26"/>
    </row>
    <row r="17" spans="1:37" x14ac:dyDescent="0.2">
      <c r="A17" s="15" t="s">
        <v>727</v>
      </c>
      <c r="B17" s="15" t="s">
        <v>404</v>
      </c>
      <c r="C17" s="74">
        <f t="shared" ref="C17:N17" si="1">C43</f>
        <v>44845539.820000112</v>
      </c>
      <c r="D17" s="74">
        <f t="shared" si="1"/>
        <v>47700071.920000024</v>
      </c>
      <c r="E17" s="74">
        <f t="shared" si="1"/>
        <v>50554604.020000167</v>
      </c>
      <c r="F17" s="74">
        <f t="shared" si="1"/>
        <v>53409136.120000087</v>
      </c>
      <c r="G17" s="74">
        <f t="shared" si="1"/>
        <v>56263668.22000023</v>
      </c>
      <c r="H17" s="74">
        <f t="shared" si="1"/>
        <v>59118200.320000142</v>
      </c>
      <c r="I17" s="74">
        <f t="shared" si="1"/>
        <v>61972732.420000054</v>
      </c>
      <c r="J17" s="74">
        <f t="shared" si="1"/>
        <v>64827264.520000197</v>
      </c>
      <c r="K17" s="74">
        <f t="shared" si="1"/>
        <v>67681796.620000109</v>
      </c>
      <c r="L17" s="74">
        <f t="shared" si="1"/>
        <v>70536328.720000029</v>
      </c>
      <c r="M17" s="74">
        <f t="shared" si="1"/>
        <v>73390860.820000172</v>
      </c>
      <c r="N17" s="74">
        <f t="shared" si="1"/>
        <v>76245392.920000091</v>
      </c>
      <c r="P17" s="26"/>
      <c r="Q17" s="26"/>
      <c r="R17" s="26"/>
      <c r="S17" s="26"/>
      <c r="T17" s="26"/>
      <c r="U17" s="26"/>
      <c r="V17" s="26"/>
      <c r="W17" s="26"/>
      <c r="X17" s="26"/>
      <c r="Y17" s="26"/>
      <c r="Z17" s="26"/>
      <c r="AA17" s="26"/>
      <c r="AB17" s="26"/>
      <c r="AC17" s="26"/>
      <c r="AD17" s="26"/>
      <c r="AE17" s="26"/>
      <c r="AF17" s="26"/>
      <c r="AG17" s="26"/>
      <c r="AH17" s="26"/>
      <c r="AI17" s="26"/>
      <c r="AJ17" s="26"/>
      <c r="AK17" s="26"/>
    </row>
    <row r="18" spans="1:37" x14ac:dyDescent="0.2">
      <c r="A18" s="15" t="s">
        <v>718</v>
      </c>
      <c r="C18" s="74">
        <f t="shared" ref="C18:N18" si="2">SUM(C9:C17)</f>
        <v>67103336.710000105</v>
      </c>
      <c r="D18" s="74">
        <f t="shared" si="2"/>
        <v>70240345.710000023</v>
      </c>
      <c r="E18" s="74">
        <f t="shared" si="2"/>
        <v>73377354.710000157</v>
      </c>
      <c r="F18" s="74">
        <f t="shared" si="2"/>
        <v>76830309.710000083</v>
      </c>
      <c r="G18" s="74">
        <f t="shared" si="2"/>
        <v>80027210.710000217</v>
      </c>
      <c r="H18" s="74">
        <f t="shared" si="2"/>
        <v>83299247.710000128</v>
      </c>
      <c r="I18" s="74">
        <f t="shared" si="2"/>
        <v>86571284.710000053</v>
      </c>
      <c r="J18" s="74">
        <f t="shared" si="2"/>
        <v>89810352.710000187</v>
      </c>
      <c r="K18" s="74">
        <f t="shared" si="2"/>
        <v>93049420.710000098</v>
      </c>
      <c r="L18" s="74">
        <f t="shared" si="2"/>
        <v>96337168.408332899</v>
      </c>
      <c r="M18" s="74">
        <f t="shared" si="2"/>
        <v>99627641.254346132</v>
      </c>
      <c r="N18" s="74">
        <f t="shared" si="2"/>
        <v>102920891.66415131</v>
      </c>
      <c r="P18" s="26"/>
      <c r="Q18" s="26"/>
      <c r="R18" s="26"/>
      <c r="S18" s="26"/>
      <c r="T18" s="26"/>
      <c r="U18" s="26"/>
      <c r="V18" s="26"/>
      <c r="W18" s="26"/>
      <c r="X18" s="26"/>
      <c r="Y18" s="26"/>
      <c r="Z18" s="26"/>
      <c r="AA18" s="26"/>
      <c r="AB18" s="26"/>
      <c r="AC18" s="26"/>
      <c r="AD18" s="26"/>
      <c r="AE18" s="26"/>
      <c r="AF18" s="26"/>
      <c r="AG18" s="26"/>
      <c r="AH18" s="26"/>
      <c r="AI18" s="26"/>
      <c r="AJ18" s="26"/>
      <c r="AK18" s="26"/>
    </row>
    <row r="20" spans="1:37" x14ac:dyDescent="0.2">
      <c r="D20" s="15" t="s">
        <v>728</v>
      </c>
    </row>
    <row r="21" spans="1:37" x14ac:dyDescent="0.2">
      <c r="A21" s="395" t="s">
        <v>389</v>
      </c>
      <c r="B21" s="395"/>
      <c r="C21" s="43">
        <v>2000</v>
      </c>
      <c r="D21" s="43">
        <v>2005</v>
      </c>
      <c r="E21" s="43">
        <v>2010</v>
      </c>
      <c r="F21" s="43">
        <v>2015</v>
      </c>
      <c r="G21" s="43">
        <v>2020</v>
      </c>
      <c r="H21" s="43">
        <v>2025</v>
      </c>
      <c r="I21" s="43">
        <v>2030</v>
      </c>
      <c r="J21" s="43">
        <v>2035</v>
      </c>
      <c r="K21" s="43">
        <v>2040</v>
      </c>
      <c r="L21" s="43">
        <v>2045</v>
      </c>
      <c r="M21" s="43">
        <v>2050</v>
      </c>
      <c r="N21" s="43">
        <v>2055</v>
      </c>
    </row>
    <row r="22" spans="1:37" x14ac:dyDescent="0.2">
      <c r="A22" s="15" t="s">
        <v>715</v>
      </c>
      <c r="B22" s="15" t="s">
        <v>390</v>
      </c>
      <c r="C22" s="74">
        <v>14082663.889999991</v>
      </c>
      <c r="D22" s="74">
        <v>14255073.101</v>
      </c>
      <c r="E22" s="74">
        <v>14559921.450999998</v>
      </c>
      <c r="F22" s="74">
        <v>14806579.829999998</v>
      </c>
      <c r="G22" s="74">
        <v>14997673.560000001</v>
      </c>
      <c r="H22" s="74">
        <v>15111198.526999999</v>
      </c>
      <c r="I22" s="74">
        <v>15141889.450999998</v>
      </c>
      <c r="J22" s="74">
        <v>15098507.534000002</v>
      </c>
      <c r="K22" s="74">
        <v>14996543.470000003</v>
      </c>
      <c r="L22" s="74">
        <v>14833993.520999998</v>
      </c>
      <c r="M22" s="74">
        <v>14622514.98</v>
      </c>
      <c r="N22" s="74">
        <v>14386621.138</v>
      </c>
    </row>
    <row r="23" spans="1:37" x14ac:dyDescent="0.2">
      <c r="A23" s="15" t="s">
        <v>716</v>
      </c>
      <c r="B23" s="15" t="s">
        <v>392</v>
      </c>
      <c r="C23" s="74">
        <v>40037144.820000008</v>
      </c>
      <c r="D23" s="74">
        <v>40424218.921000004</v>
      </c>
      <c r="E23" s="74">
        <v>43307856.045000017</v>
      </c>
      <c r="F23" s="74">
        <v>45795599.081</v>
      </c>
      <c r="G23" s="74">
        <v>48022396.056999996</v>
      </c>
      <c r="H23" s="74">
        <v>50005879.075000018</v>
      </c>
      <c r="I23" s="74">
        <v>51768902.476999983</v>
      </c>
      <c r="J23" s="74">
        <v>53349649.735000007</v>
      </c>
      <c r="K23" s="74">
        <v>54746760.595999993</v>
      </c>
      <c r="L23" s="74">
        <v>55968920.20699998</v>
      </c>
      <c r="M23" s="74">
        <v>57054895.958000004</v>
      </c>
      <c r="N23" s="74">
        <v>58050704.504999995</v>
      </c>
      <c r="P23" s="15" t="s">
        <v>717</v>
      </c>
    </row>
    <row r="24" spans="1:37" x14ac:dyDescent="0.2">
      <c r="A24" s="15" t="s">
        <v>729</v>
      </c>
      <c r="B24" s="15" t="s">
        <v>394</v>
      </c>
      <c r="C24" s="74">
        <v>51311033.110000156</v>
      </c>
      <c r="D24" s="74">
        <v>56211935.149000004</v>
      </c>
      <c r="E24" s="74">
        <v>60657963.586000003</v>
      </c>
      <c r="F24" s="74">
        <v>64826872.270000011</v>
      </c>
      <c r="G24" s="74">
        <v>68775871.564999998</v>
      </c>
      <c r="H24" s="74">
        <v>72551125.178000003</v>
      </c>
      <c r="I24" s="74">
        <v>76130086.838</v>
      </c>
      <c r="J24" s="74">
        <v>79451514.100999996</v>
      </c>
      <c r="K24" s="74">
        <v>82495544.490000024</v>
      </c>
      <c r="L24" s="74">
        <v>85206420.486000001</v>
      </c>
      <c r="M24" s="74">
        <v>87598757.290999979</v>
      </c>
      <c r="N24" s="74">
        <v>89784933.364600003</v>
      </c>
    </row>
    <row r="25" spans="1:37" x14ac:dyDescent="0.2">
      <c r="A25" s="15" t="s">
        <v>730</v>
      </c>
      <c r="B25" s="15" t="s">
        <v>396</v>
      </c>
      <c r="C25" s="74">
        <v>17077982.930000018</v>
      </c>
      <c r="D25" s="74">
        <v>19805788.936800003</v>
      </c>
      <c r="E25" s="74">
        <v>20159289.497400001</v>
      </c>
      <c r="F25" s="74">
        <v>20476775.141300004</v>
      </c>
      <c r="G25" s="74">
        <v>20749393.893400002</v>
      </c>
      <c r="H25" s="74">
        <v>20940851.981899999</v>
      </c>
      <c r="I25" s="74">
        <v>21040329.486699998</v>
      </c>
      <c r="J25" s="74">
        <v>21038618.613199998</v>
      </c>
      <c r="K25" s="74">
        <v>20955441.926899999</v>
      </c>
      <c r="L25" s="74">
        <v>20804312.533100005</v>
      </c>
      <c r="M25" s="74">
        <v>20591713.880000003</v>
      </c>
      <c r="N25" s="74">
        <v>20351239.3081</v>
      </c>
    </row>
    <row r="26" spans="1:37" x14ac:dyDescent="0.2">
      <c r="A26" s="15" t="s">
        <v>731</v>
      </c>
      <c r="B26" s="15" t="s">
        <v>398</v>
      </c>
      <c r="C26" s="74">
        <v>45614039.319999993</v>
      </c>
      <c r="D26" s="74">
        <v>46130608.688000001</v>
      </c>
      <c r="E26" s="74">
        <v>46972933.263000011</v>
      </c>
      <c r="F26" s="74">
        <v>47577755.758000009</v>
      </c>
      <c r="G26" s="74">
        <v>47995420.120000012</v>
      </c>
      <c r="H26" s="74">
        <v>48224534.769000009</v>
      </c>
      <c r="I26" s="74">
        <v>48224802.348000005</v>
      </c>
      <c r="J26" s="74">
        <v>48028971.478000008</v>
      </c>
      <c r="K26" s="74">
        <v>47680484.528999999</v>
      </c>
      <c r="L26" s="74">
        <v>47208997.395000011</v>
      </c>
      <c r="M26" s="74">
        <v>46617072.958999991</v>
      </c>
      <c r="N26" s="74">
        <v>45970326.495000005</v>
      </c>
    </row>
    <row r="27" spans="1:37" x14ac:dyDescent="0.2">
      <c r="A27" s="15" t="s">
        <v>732</v>
      </c>
      <c r="B27" s="15" t="s">
        <v>400</v>
      </c>
      <c r="C27" s="74">
        <v>31253546.539999887</v>
      </c>
      <c r="D27" s="74">
        <v>33754989.348699994</v>
      </c>
      <c r="E27" s="74">
        <v>36435612.336899988</v>
      </c>
      <c r="F27" s="74">
        <v>38907357.291749991</v>
      </c>
      <c r="G27" s="74">
        <v>41192424.01761999</v>
      </c>
      <c r="H27" s="74">
        <v>43323912.229930013</v>
      </c>
      <c r="I27" s="74">
        <v>45282321.029000022</v>
      </c>
      <c r="J27" s="74">
        <v>47075508.928220011</v>
      </c>
      <c r="K27" s="74">
        <v>48642800.480819978</v>
      </c>
      <c r="L27" s="74">
        <v>49999333.878240012</v>
      </c>
      <c r="M27" s="74">
        <v>51136790.05067002</v>
      </c>
      <c r="N27" s="74">
        <v>52125909.121109977</v>
      </c>
    </row>
    <row r="28" spans="1:37" x14ac:dyDescent="0.2">
      <c r="A28" s="15" t="s">
        <v>733</v>
      </c>
      <c r="B28" s="15" t="s">
        <v>402</v>
      </c>
      <c r="C28" s="74">
        <v>19388126.960000023</v>
      </c>
      <c r="D28" s="74">
        <v>17585176.247000001</v>
      </c>
      <c r="E28" s="74">
        <v>17816637.934999999</v>
      </c>
      <c r="F28" s="74">
        <v>17930085.234000001</v>
      </c>
      <c r="G28" s="74">
        <v>17940824.980999999</v>
      </c>
      <c r="H28" s="74">
        <v>17871914.307000004</v>
      </c>
      <c r="I28" s="74">
        <v>17701358.123</v>
      </c>
      <c r="J28" s="74">
        <v>17487059.499000002</v>
      </c>
      <c r="K28" s="74">
        <v>17237972.877999995</v>
      </c>
      <c r="L28" s="74">
        <v>16930344.434</v>
      </c>
      <c r="M28" s="74">
        <v>16608433.531000001</v>
      </c>
      <c r="N28" s="74">
        <v>16251410.362000002</v>
      </c>
    </row>
    <row r="29" spans="1:37" x14ac:dyDescent="0.2">
      <c r="A29" s="15" t="s">
        <v>734</v>
      </c>
      <c r="B29" s="15" t="s">
        <v>403</v>
      </c>
      <c r="C29" s="74">
        <v>17981767.819999959</v>
      </c>
      <c r="D29" s="74">
        <v>20317824.098200001</v>
      </c>
      <c r="E29" s="74">
        <v>21967032.106299996</v>
      </c>
      <c r="F29" s="74">
        <v>23510704.125500001</v>
      </c>
      <c r="G29" s="74">
        <v>24971189.716500003</v>
      </c>
      <c r="H29" s="74">
        <v>26340833.627499998</v>
      </c>
      <c r="I29" s="74">
        <v>27631045.834299996</v>
      </c>
      <c r="J29" s="74">
        <v>28808041.623099998</v>
      </c>
      <c r="K29" s="74">
        <v>29837457.262799997</v>
      </c>
      <c r="L29" s="74">
        <v>30702162.024299998</v>
      </c>
      <c r="M29" s="74">
        <v>31414970.701299999</v>
      </c>
      <c r="N29" s="74">
        <v>32032798.268399999</v>
      </c>
    </row>
    <row r="30" spans="1:37" x14ac:dyDescent="0.2">
      <c r="A30" s="15" t="s">
        <v>727</v>
      </c>
      <c r="B30" s="15" t="s">
        <v>404</v>
      </c>
      <c r="C30" s="74">
        <v>44845539.820000112</v>
      </c>
      <c r="D30" s="74">
        <v>48019332.207551196</v>
      </c>
      <c r="E30" s="74">
        <v>50771732.591894343</v>
      </c>
      <c r="F30" s="74">
        <v>53225572.894723535</v>
      </c>
      <c r="G30" s="74">
        <v>55388666.918814115</v>
      </c>
      <c r="H30" s="74">
        <v>57252917.077324443</v>
      </c>
      <c r="I30" s="74">
        <v>58843587.911681518</v>
      </c>
      <c r="J30" s="74">
        <v>60207059.366576836</v>
      </c>
      <c r="K30" s="74">
        <v>61339070.616783455</v>
      </c>
      <c r="L30" s="74">
        <v>62196594.287861489</v>
      </c>
      <c r="M30" s="74">
        <v>62782382.675442532</v>
      </c>
      <c r="N30" s="74">
        <v>63180872.50108292</v>
      </c>
    </row>
    <row r="31" spans="1:37" x14ac:dyDescent="0.2">
      <c r="A31" s="15" t="s">
        <v>718</v>
      </c>
      <c r="C31" s="74">
        <f t="shared" ref="C31:N31" si="3">SUM(C22:C30)</f>
        <v>281591845.21000016</v>
      </c>
      <c r="D31" s="74">
        <f t="shared" si="3"/>
        <v>296504946.6972512</v>
      </c>
      <c r="E31" s="74">
        <f t="shared" si="3"/>
        <v>312648978.81249434</v>
      </c>
      <c r="F31" s="74">
        <f t="shared" si="3"/>
        <v>327057301.62627357</v>
      </c>
      <c r="G31" s="74">
        <f t="shared" si="3"/>
        <v>340033860.82933414</v>
      </c>
      <c r="H31" s="74">
        <f t="shared" si="3"/>
        <v>351623166.77265453</v>
      </c>
      <c r="I31" s="74">
        <f t="shared" si="3"/>
        <v>361764323.49868149</v>
      </c>
      <c r="J31" s="74">
        <f t="shared" si="3"/>
        <v>370544930.87809688</v>
      </c>
      <c r="K31" s="74">
        <f t="shared" si="3"/>
        <v>377932076.25030345</v>
      </c>
      <c r="L31" s="74">
        <f t="shared" si="3"/>
        <v>383851078.76650149</v>
      </c>
      <c r="M31" s="74">
        <f t="shared" si="3"/>
        <v>388427532.02641255</v>
      </c>
      <c r="N31" s="74">
        <f t="shared" si="3"/>
        <v>392134815.06329286</v>
      </c>
    </row>
    <row r="32" spans="1:37" x14ac:dyDescent="0.2">
      <c r="C32" s="74"/>
      <c r="D32" s="74"/>
      <c r="E32" s="74"/>
      <c r="F32" s="74"/>
      <c r="G32" s="74"/>
      <c r="H32" s="74"/>
      <c r="I32" s="74"/>
      <c r="J32" s="74"/>
      <c r="K32" s="74"/>
      <c r="L32" s="74"/>
      <c r="M32" s="74"/>
      <c r="N32" s="74"/>
    </row>
    <row r="33" spans="1:14" x14ac:dyDescent="0.2">
      <c r="D33" s="15" t="s">
        <v>735</v>
      </c>
    </row>
    <row r="34" spans="1:14" x14ac:dyDescent="0.2">
      <c r="A34" s="395" t="s">
        <v>389</v>
      </c>
      <c r="B34" s="395"/>
      <c r="C34" s="43">
        <v>2000</v>
      </c>
      <c r="D34" s="43">
        <v>2005</v>
      </c>
      <c r="E34" s="43">
        <v>2010</v>
      </c>
      <c r="F34" s="43">
        <v>2015</v>
      </c>
      <c r="G34" s="43">
        <v>2020</v>
      </c>
      <c r="H34" s="43">
        <v>2025</v>
      </c>
      <c r="I34" s="43">
        <v>2030</v>
      </c>
      <c r="J34" s="43">
        <v>2035</v>
      </c>
      <c r="K34" s="43">
        <v>2040</v>
      </c>
      <c r="L34" s="43">
        <v>2045</v>
      </c>
      <c r="M34" s="43">
        <v>2050</v>
      </c>
      <c r="N34" s="43">
        <v>2055</v>
      </c>
    </row>
    <row r="35" spans="1:14" x14ac:dyDescent="0.2">
      <c r="A35" s="15" t="s">
        <v>715</v>
      </c>
      <c r="B35" s="15" t="s">
        <v>390</v>
      </c>
      <c r="C35" s="74">
        <v>14082663.889999991</v>
      </c>
      <c r="D35" s="74">
        <v>14365140.789999997</v>
      </c>
      <c r="E35" s="74">
        <v>14647617.68999999</v>
      </c>
      <c r="F35" s="74">
        <v>14930094.589999996</v>
      </c>
      <c r="G35" s="74">
        <v>15212571.489999987</v>
      </c>
      <c r="H35" s="74">
        <v>15495048.389999993</v>
      </c>
      <c r="I35" s="74">
        <v>15777525.289999999</v>
      </c>
      <c r="J35" s="74">
        <v>16060002.189999992</v>
      </c>
      <c r="K35" s="74">
        <v>16342479.089999998</v>
      </c>
      <c r="L35" s="74">
        <v>16624955.989999989</v>
      </c>
      <c r="M35" s="74">
        <v>16907432.889999997</v>
      </c>
      <c r="N35" s="74">
        <v>17189909.789999988</v>
      </c>
    </row>
    <row r="36" spans="1:14" x14ac:dyDescent="0.2">
      <c r="A36" s="15" t="s">
        <v>716</v>
      </c>
      <c r="B36" s="15" t="s">
        <v>392</v>
      </c>
      <c r="C36" s="74">
        <v>40037144.820000008</v>
      </c>
      <c r="D36" s="74">
        <v>40430205.620000012</v>
      </c>
      <c r="E36" s="74">
        <v>40823266.420000009</v>
      </c>
      <c r="F36" s="74">
        <v>41216327.220000014</v>
      </c>
      <c r="G36" s="74">
        <v>41609388.020000011</v>
      </c>
      <c r="H36" s="74">
        <v>42002448.820000015</v>
      </c>
      <c r="I36" s="74">
        <v>42395509.620000012</v>
      </c>
      <c r="J36" s="74">
        <v>42788570.420000017</v>
      </c>
      <c r="K36" s="74">
        <v>43181631.220000014</v>
      </c>
      <c r="L36" s="74">
        <v>43574692.020000018</v>
      </c>
      <c r="M36" s="74">
        <v>43967752.820000015</v>
      </c>
      <c r="N36" s="74">
        <v>44360813.62000002</v>
      </c>
    </row>
    <row r="37" spans="1:14" x14ac:dyDescent="0.2">
      <c r="A37" s="15" t="s">
        <v>729</v>
      </c>
      <c r="B37" s="15" t="s">
        <v>394</v>
      </c>
      <c r="C37" s="74">
        <v>51311033.110000156</v>
      </c>
      <c r="D37" s="74">
        <v>55682680.66000019</v>
      </c>
      <c r="E37" s="74">
        <v>60054328.210000224</v>
      </c>
      <c r="F37" s="74">
        <v>64425975.760000259</v>
      </c>
      <c r="G37" s="74">
        <v>68797623.310000062</v>
      </c>
      <c r="H37" s="74">
        <v>73169270.860000104</v>
      </c>
      <c r="I37" s="74">
        <v>77540918.410000131</v>
      </c>
      <c r="J37" s="74">
        <v>81912565.960000172</v>
      </c>
      <c r="K37" s="74">
        <v>86284213.510000199</v>
      </c>
      <c r="L37" s="74">
        <v>90655861.060000241</v>
      </c>
      <c r="M37" s="74">
        <v>95027508.610000268</v>
      </c>
      <c r="N37" s="74">
        <v>99399156.160000071</v>
      </c>
    </row>
    <row r="38" spans="1:14" x14ac:dyDescent="0.2">
      <c r="A38" s="15" t="s">
        <v>730</v>
      </c>
      <c r="B38" s="15" t="s">
        <v>396</v>
      </c>
      <c r="C38" s="74">
        <v>17077982.930000018</v>
      </c>
      <c r="D38" s="74">
        <v>17552092.280000012</v>
      </c>
      <c r="E38" s="74">
        <v>18026201.630000003</v>
      </c>
      <c r="F38" s="74">
        <v>18500310.980000023</v>
      </c>
      <c r="G38" s="74">
        <v>18974420.330000017</v>
      </c>
      <c r="H38" s="74">
        <v>19448529.680000007</v>
      </c>
      <c r="I38" s="74">
        <v>19922639.030000027</v>
      </c>
      <c r="J38" s="74">
        <v>20396748.380000021</v>
      </c>
      <c r="K38" s="74">
        <v>20870857.730000012</v>
      </c>
      <c r="L38" s="74">
        <v>21344967.080000002</v>
      </c>
      <c r="M38" s="74">
        <v>21819076.430000026</v>
      </c>
      <c r="N38" s="74">
        <v>22293185.780000016</v>
      </c>
    </row>
    <row r="39" spans="1:14" x14ac:dyDescent="0.2">
      <c r="A39" s="15" t="s">
        <v>731</v>
      </c>
      <c r="B39" s="15" t="s">
        <v>398</v>
      </c>
      <c r="C39" s="74">
        <v>45614039.319999993</v>
      </c>
      <c r="D39" s="74">
        <v>46191913.769999988</v>
      </c>
      <c r="E39" s="74">
        <v>46769788.220000006</v>
      </c>
      <c r="F39" s="74">
        <v>47347662.670000002</v>
      </c>
      <c r="G39" s="74">
        <v>47925537.120000005</v>
      </c>
      <c r="H39" s="74">
        <v>48503411.57</v>
      </c>
      <c r="I39" s="74">
        <v>49081286.019999996</v>
      </c>
      <c r="J39" s="74">
        <v>49659160.469999991</v>
      </c>
      <c r="K39" s="74">
        <v>50237034.919999987</v>
      </c>
      <c r="L39" s="74">
        <v>50814909.370000012</v>
      </c>
      <c r="M39" s="74">
        <v>51392783.820000008</v>
      </c>
      <c r="N39" s="74">
        <v>51970658.270000003</v>
      </c>
    </row>
    <row r="40" spans="1:14" x14ac:dyDescent="0.2">
      <c r="A40" s="15" t="s">
        <v>732</v>
      </c>
      <c r="B40" s="15" t="s">
        <v>400</v>
      </c>
      <c r="C40" s="74">
        <v>31253546.539999887</v>
      </c>
      <c r="D40" s="74">
        <v>33535417.339999866</v>
      </c>
      <c r="E40" s="74">
        <v>35817288.139999963</v>
      </c>
      <c r="F40" s="74">
        <v>38099158.939999938</v>
      </c>
      <c r="G40" s="74">
        <v>40381029.73999992</v>
      </c>
      <c r="H40" s="74">
        <v>42662900.539999895</v>
      </c>
      <c r="I40" s="74">
        <v>44944771.339999877</v>
      </c>
      <c r="J40" s="74">
        <v>47226642.139999971</v>
      </c>
      <c r="K40" s="74">
        <v>49508512.939999945</v>
      </c>
      <c r="L40" s="74">
        <v>51790383.739999928</v>
      </c>
      <c r="M40" s="74">
        <v>54072254.539999902</v>
      </c>
      <c r="N40" s="74">
        <v>56354125.339999884</v>
      </c>
    </row>
    <row r="41" spans="1:14" x14ac:dyDescent="0.2">
      <c r="A41" s="15" t="s">
        <v>733</v>
      </c>
      <c r="B41" s="15" t="s">
        <v>402</v>
      </c>
      <c r="C41" s="74">
        <v>19388126.960000023</v>
      </c>
      <c r="D41" s="74">
        <v>19826329.51000002</v>
      </c>
      <c r="E41" s="74">
        <v>20264532.060000021</v>
      </c>
      <c r="F41" s="74">
        <v>20702734.610000022</v>
      </c>
      <c r="G41" s="74">
        <v>21140937.160000023</v>
      </c>
      <c r="H41" s="74">
        <v>21579139.71000002</v>
      </c>
      <c r="I41" s="74">
        <v>22017342.26000002</v>
      </c>
      <c r="J41" s="74">
        <v>22455544.810000021</v>
      </c>
      <c r="K41" s="74">
        <v>22893747.360000022</v>
      </c>
      <c r="L41" s="74">
        <v>23331949.910000019</v>
      </c>
      <c r="M41" s="74">
        <v>23770152.46000002</v>
      </c>
      <c r="N41" s="74">
        <v>24208355.01000002</v>
      </c>
    </row>
    <row r="42" spans="1:14" x14ac:dyDescent="0.2">
      <c r="A42" s="15" t="s">
        <v>734</v>
      </c>
      <c r="B42" s="15" t="s">
        <v>403</v>
      </c>
      <c r="C42" s="74">
        <v>17981767.819999959</v>
      </c>
      <c r="D42" s="74">
        <v>19923017.619999997</v>
      </c>
      <c r="E42" s="74">
        <v>21864267.420000032</v>
      </c>
      <c r="F42" s="74">
        <v>23805517.219999958</v>
      </c>
      <c r="G42" s="74">
        <v>25746767.019999992</v>
      </c>
      <c r="H42" s="74">
        <v>27688016.82000003</v>
      </c>
      <c r="I42" s="74">
        <v>29629266.619999953</v>
      </c>
      <c r="J42" s="74">
        <v>31570516.419999991</v>
      </c>
      <c r="K42" s="74">
        <v>33511766.220000029</v>
      </c>
      <c r="L42" s="74">
        <v>35453016.019999951</v>
      </c>
      <c r="M42" s="74">
        <v>37394265.819999985</v>
      </c>
      <c r="N42" s="74">
        <v>39335515.620000027</v>
      </c>
    </row>
    <row r="43" spans="1:14" x14ac:dyDescent="0.2">
      <c r="A43" s="15" t="s">
        <v>727</v>
      </c>
      <c r="B43" s="15" t="s">
        <v>404</v>
      </c>
      <c r="C43" s="74">
        <v>44845539.820000112</v>
      </c>
      <c r="D43" s="74">
        <v>47700071.920000024</v>
      </c>
      <c r="E43" s="74">
        <v>50554604.020000167</v>
      </c>
      <c r="F43" s="74">
        <v>53409136.120000087</v>
      </c>
      <c r="G43" s="74">
        <v>56263668.22000023</v>
      </c>
      <c r="H43" s="74">
        <v>59118200.320000142</v>
      </c>
      <c r="I43" s="74">
        <v>61972732.420000054</v>
      </c>
      <c r="J43" s="74">
        <v>64827264.520000197</v>
      </c>
      <c r="K43" s="74">
        <v>67681796.620000109</v>
      </c>
      <c r="L43" s="74">
        <v>70536328.720000029</v>
      </c>
      <c r="M43" s="74">
        <v>73390860.820000172</v>
      </c>
      <c r="N43" s="74">
        <v>76245392.920000091</v>
      </c>
    </row>
    <row r="44" spans="1:14" x14ac:dyDescent="0.2">
      <c r="A44" s="15" t="s">
        <v>718</v>
      </c>
      <c r="C44" s="74">
        <f t="shared" ref="C44:N44" si="4">SUM(C35:C43)</f>
        <v>281591845.21000016</v>
      </c>
      <c r="D44" s="74">
        <f t="shared" si="4"/>
        <v>295206869.51000011</v>
      </c>
      <c r="E44" s="74">
        <f t="shared" si="4"/>
        <v>308821893.81000042</v>
      </c>
      <c r="F44" s="74">
        <f t="shared" si="4"/>
        <v>322436918.11000025</v>
      </c>
      <c r="G44" s="74">
        <f t="shared" si="4"/>
        <v>336051942.41000021</v>
      </c>
      <c r="H44" s="74">
        <f t="shared" si="4"/>
        <v>349666966.71000016</v>
      </c>
      <c r="I44" s="74">
        <f t="shared" si="4"/>
        <v>363281991.01000011</v>
      </c>
      <c r="J44" s="74">
        <f t="shared" si="4"/>
        <v>376897015.31000042</v>
      </c>
      <c r="K44" s="74">
        <f t="shared" si="4"/>
        <v>390512039.61000031</v>
      </c>
      <c r="L44" s="74">
        <f t="shared" si="4"/>
        <v>404127063.91000021</v>
      </c>
      <c r="M44" s="74">
        <f t="shared" si="4"/>
        <v>417742088.21000046</v>
      </c>
      <c r="N44" s="74">
        <f t="shared" si="4"/>
        <v>431357112.51000011</v>
      </c>
    </row>
    <row r="45" spans="1:14" x14ac:dyDescent="0.2">
      <c r="A45" s="15" t="s">
        <v>736</v>
      </c>
      <c r="C45" s="15">
        <f t="shared" ref="C45:N45" si="5">C44/10^6</f>
        <v>281.59184521000014</v>
      </c>
      <c r="D45" s="15">
        <f t="shared" si="5"/>
        <v>295.2068695100001</v>
      </c>
      <c r="E45" s="15">
        <f t="shared" si="5"/>
        <v>308.8218938100004</v>
      </c>
      <c r="F45" s="15">
        <f t="shared" si="5"/>
        <v>322.43691811000025</v>
      </c>
      <c r="G45" s="15">
        <f t="shared" si="5"/>
        <v>336.05194241000021</v>
      </c>
      <c r="H45" s="15">
        <f t="shared" si="5"/>
        <v>349.66696671000017</v>
      </c>
      <c r="I45" s="15">
        <f t="shared" si="5"/>
        <v>363.28199101000013</v>
      </c>
      <c r="J45" s="15">
        <f t="shared" si="5"/>
        <v>376.89701531000043</v>
      </c>
      <c r="K45" s="15">
        <f t="shared" si="5"/>
        <v>390.51203961000033</v>
      </c>
      <c r="L45" s="15">
        <f t="shared" si="5"/>
        <v>404.12706391000023</v>
      </c>
      <c r="M45" s="15">
        <f t="shared" si="5"/>
        <v>417.74208821000047</v>
      </c>
      <c r="N45" s="15">
        <f t="shared" si="5"/>
        <v>431.35711251000009</v>
      </c>
    </row>
    <row r="46" spans="1:14" x14ac:dyDescent="0.2">
      <c r="A46" s="15" t="s">
        <v>737</v>
      </c>
    </row>
    <row r="48" spans="1:14" x14ac:dyDescent="0.2">
      <c r="D48" s="15" t="s">
        <v>738</v>
      </c>
    </row>
    <row r="49" spans="1:14" x14ac:dyDescent="0.2">
      <c r="A49" s="395" t="s">
        <v>389</v>
      </c>
      <c r="B49" s="395"/>
      <c r="C49" s="43">
        <v>2000</v>
      </c>
      <c r="D49" s="43">
        <v>2005</v>
      </c>
      <c r="E49" s="43">
        <v>2010</v>
      </c>
      <c r="F49" s="43">
        <v>2015</v>
      </c>
      <c r="G49" s="43">
        <v>2020</v>
      </c>
      <c r="H49" s="43">
        <v>2025</v>
      </c>
      <c r="I49" s="43">
        <v>2030</v>
      </c>
      <c r="J49" s="43">
        <v>2035</v>
      </c>
      <c r="K49" s="43">
        <v>2040</v>
      </c>
      <c r="L49" s="43">
        <v>2045</v>
      </c>
      <c r="M49" s="43">
        <v>2050</v>
      </c>
      <c r="N49" s="43">
        <v>2055</v>
      </c>
    </row>
    <row r="50" spans="1:14" x14ac:dyDescent="0.2">
      <c r="A50" s="15" t="s">
        <v>715</v>
      </c>
      <c r="B50" s="15" t="s">
        <v>390</v>
      </c>
      <c r="C50" s="74">
        <v>5382101.762187345</v>
      </c>
      <c r="D50" s="74">
        <v>5558645.4887816524</v>
      </c>
      <c r="E50" s="74">
        <v>5790509.1324752485</v>
      </c>
      <c r="F50" s="74">
        <v>6042526.6157435775</v>
      </c>
      <c r="G50" s="74">
        <v>6254596.0656077042</v>
      </c>
      <c r="H50" s="74">
        <v>6459857.5067921551</v>
      </c>
      <c r="I50" s="74">
        <v>6605514.3002488846</v>
      </c>
      <c r="J50" s="74">
        <v>6738071.1474717911</v>
      </c>
      <c r="K50" s="74">
        <v>6863667.0563506009</v>
      </c>
      <c r="L50" s="74">
        <v>6989959.060345591</v>
      </c>
      <c r="M50" s="74">
        <v>7119337.7209544452</v>
      </c>
      <c r="N50" s="74">
        <v>7264836.5952052781</v>
      </c>
    </row>
    <row r="51" spans="1:14" x14ac:dyDescent="0.2">
      <c r="A51" s="15" t="s">
        <v>716</v>
      </c>
      <c r="B51" s="15" t="s">
        <v>392</v>
      </c>
      <c r="C51" s="74">
        <v>15336163.209378833</v>
      </c>
      <c r="D51" s="74">
        <v>15782986.227129925</v>
      </c>
      <c r="E51" s="74">
        <v>16376038.609894896</v>
      </c>
      <c r="F51" s="74">
        <v>17030753.976551123</v>
      </c>
      <c r="G51" s="74">
        <v>17597639.245515428</v>
      </c>
      <c r="H51" s="74">
        <v>18183245.964594509</v>
      </c>
      <c r="I51" s="74">
        <v>18636392.900863986</v>
      </c>
      <c r="J51" s="74">
        <v>19072839.435481269</v>
      </c>
      <c r="K51" s="74">
        <v>19500024.128301978</v>
      </c>
      <c r="L51" s="74">
        <v>19934832.392355207</v>
      </c>
      <c r="M51" s="74">
        <v>20385023.084637366</v>
      </c>
      <c r="N51" s="74">
        <v>20887550.484748714</v>
      </c>
    </row>
    <row r="52" spans="1:14" x14ac:dyDescent="0.2">
      <c r="A52" s="15" t="s">
        <v>729</v>
      </c>
      <c r="B52" s="15" t="s">
        <v>394</v>
      </c>
      <c r="C52" s="74">
        <v>20012680.700117547</v>
      </c>
      <c r="D52" s="74">
        <v>21536670.66757125</v>
      </c>
      <c r="E52" s="74">
        <v>23081169.950952191</v>
      </c>
      <c r="F52" s="74">
        <v>24636139.336830843</v>
      </c>
      <c r="G52" s="74">
        <v>26070108.585927397</v>
      </c>
      <c r="H52" s="74">
        <v>27540101.013036795</v>
      </c>
      <c r="I52" s="74">
        <v>28828405.822121598</v>
      </c>
      <c r="J52" s="74">
        <v>30137355.444971941</v>
      </c>
      <c r="K52" s="74">
        <v>31479625.455843724</v>
      </c>
      <c r="L52" s="74">
        <v>32894384.413145851</v>
      </c>
      <c r="M52" s="74">
        <v>34405984.352935307</v>
      </c>
      <c r="N52" s="74">
        <v>36083694.589737557</v>
      </c>
    </row>
    <row r="53" spans="1:14" x14ac:dyDescent="0.2">
      <c r="A53" s="15" t="s">
        <v>730</v>
      </c>
      <c r="B53" s="15" t="s">
        <v>396</v>
      </c>
      <c r="C53" s="74">
        <v>6580598.5870500486</v>
      </c>
      <c r="D53" s="74">
        <v>6994409.0265691392</v>
      </c>
      <c r="E53" s="74">
        <v>7385795.861030505</v>
      </c>
      <c r="F53" s="74">
        <v>7761327.8346190145</v>
      </c>
      <c r="G53" s="74">
        <v>8088214.2812696062</v>
      </c>
      <c r="H53" s="74">
        <v>8412924.770234935</v>
      </c>
      <c r="I53" s="74">
        <v>8665075.5557357389</v>
      </c>
      <c r="J53" s="74">
        <v>8899408.560293464</v>
      </c>
      <c r="K53" s="74">
        <v>9121472.0834041797</v>
      </c>
      <c r="L53" s="74">
        <v>9340835.4009559173</v>
      </c>
      <c r="M53" s="74">
        <v>9559782.7799952049</v>
      </c>
      <c r="N53" s="74">
        <v>9793328.7895446829</v>
      </c>
    </row>
    <row r="54" spans="1:14" x14ac:dyDescent="0.2">
      <c r="A54" s="15" t="s">
        <v>731</v>
      </c>
      <c r="B54" s="15" t="s">
        <v>398</v>
      </c>
      <c r="C54" s="74">
        <v>17455823.8434426</v>
      </c>
      <c r="D54" s="74">
        <v>17996238.647663973</v>
      </c>
      <c r="E54" s="74">
        <v>18584715.346895482</v>
      </c>
      <c r="F54" s="74">
        <v>19193768.488461684</v>
      </c>
      <c r="G54" s="74">
        <v>19695139.359258208</v>
      </c>
      <c r="H54" s="74">
        <v>20186043.649848949</v>
      </c>
      <c r="I54" s="74">
        <v>20492423.546661921</v>
      </c>
      <c r="J54" s="74">
        <v>20745428.07109914</v>
      </c>
      <c r="K54" s="74">
        <v>20968511.459212177</v>
      </c>
      <c r="L54" s="74">
        <v>21184165.744544748</v>
      </c>
      <c r="M54" s="74">
        <v>21393659.411243811</v>
      </c>
      <c r="N54" s="74">
        <v>21627661.722907197</v>
      </c>
    </row>
    <row r="55" spans="1:14" x14ac:dyDescent="0.2">
      <c r="A55" s="15" t="s">
        <v>732</v>
      </c>
      <c r="B55" s="15" t="s">
        <v>400</v>
      </c>
      <c r="C55" s="74">
        <v>12155814.986138783</v>
      </c>
      <c r="D55" s="74">
        <v>13080251.301910976</v>
      </c>
      <c r="E55" s="74">
        <v>14091152.889489688</v>
      </c>
      <c r="F55" s="74">
        <v>15135223.014357762</v>
      </c>
      <c r="G55" s="74">
        <v>16103634.57455501</v>
      </c>
      <c r="H55" s="74">
        <v>17090752.695628084</v>
      </c>
      <c r="I55" s="74">
        <v>17964390.517236326</v>
      </c>
      <c r="J55" s="74">
        <v>18837030.185957249</v>
      </c>
      <c r="K55" s="74">
        <v>19714526.903768837</v>
      </c>
      <c r="L55" s="74">
        <v>20610435.330206022</v>
      </c>
      <c r="M55" s="74">
        <v>21529928.407699563</v>
      </c>
      <c r="N55" s="74">
        <v>22504040.185784426</v>
      </c>
    </row>
    <row r="56" spans="1:14" x14ac:dyDescent="0.2">
      <c r="A56" s="15" t="s">
        <v>733</v>
      </c>
      <c r="B56" s="15" t="s">
        <v>402</v>
      </c>
      <c r="C56" s="74">
        <v>7436835.1347890934</v>
      </c>
      <c r="D56" s="74">
        <v>7754605.7945132684</v>
      </c>
      <c r="E56" s="74">
        <v>8080769.0138175003</v>
      </c>
      <c r="F56" s="74">
        <v>8416997.4066755772</v>
      </c>
      <c r="G56" s="74">
        <v>8709715.0750537459</v>
      </c>
      <c r="H56" s="74">
        <v>8993198.4390576966</v>
      </c>
      <c r="I56" s="74">
        <v>9191758.5684236884</v>
      </c>
      <c r="J56" s="74">
        <v>9370119.3127970919</v>
      </c>
      <c r="K56" s="74">
        <v>9540444.2914695591</v>
      </c>
      <c r="L56" s="74">
        <v>9710724.327932382</v>
      </c>
      <c r="M56" s="74">
        <v>9878309.6014686935</v>
      </c>
      <c r="N56" s="74">
        <v>10056331.970563121</v>
      </c>
    </row>
    <row r="57" spans="1:14" x14ac:dyDescent="0.2">
      <c r="A57" s="15" t="s">
        <v>734</v>
      </c>
      <c r="B57" s="15" t="s">
        <v>403</v>
      </c>
      <c r="C57" s="74">
        <v>7024961.143339823</v>
      </c>
      <c r="D57" s="74">
        <v>7773199.3006297117</v>
      </c>
      <c r="E57" s="74">
        <v>8338172.5599648543</v>
      </c>
      <c r="F57" s="74">
        <v>8855464.343968004</v>
      </c>
      <c r="G57" s="74">
        <v>9354235.3638818208</v>
      </c>
      <c r="H57" s="74">
        <v>9873417.6979147401</v>
      </c>
      <c r="I57" s="74">
        <v>10326745.91977183</v>
      </c>
      <c r="J57" s="74">
        <v>10780898.605709804</v>
      </c>
      <c r="K57" s="74">
        <v>11244607.504962822</v>
      </c>
      <c r="L57" s="74">
        <v>11727132.611134574</v>
      </c>
      <c r="M57" s="74">
        <v>12230138.556572163</v>
      </c>
      <c r="N57" s="74">
        <v>12770942.461865485</v>
      </c>
    </row>
    <row r="58" spans="1:14" x14ac:dyDescent="0.2">
      <c r="A58" s="15" t="s">
        <v>727</v>
      </c>
      <c r="B58" s="15" t="s">
        <v>404</v>
      </c>
      <c r="C58" s="74">
        <v>17405800.994267561</v>
      </c>
      <c r="D58" s="74">
        <v>18579576.796303425</v>
      </c>
      <c r="E58" s="74">
        <v>20301985.472089484</v>
      </c>
      <c r="F58" s="74">
        <v>22231986.55228588</v>
      </c>
      <c r="G58" s="74">
        <v>24008943.816176809</v>
      </c>
      <c r="H58" s="74">
        <v>25748851.853186548</v>
      </c>
      <c r="I58" s="74">
        <v>27281729.093590859</v>
      </c>
      <c r="J58" s="74">
        <v>28842309.328922026</v>
      </c>
      <c r="K58" s="74">
        <v>30444267.949148018</v>
      </c>
      <c r="L58" s="74">
        <v>32096713.843852352</v>
      </c>
      <c r="M58" s="74">
        <v>33798729.79345379</v>
      </c>
      <c r="N58" s="74">
        <v>35604643.653208926</v>
      </c>
    </row>
    <row r="59" spans="1:14" x14ac:dyDescent="0.2">
      <c r="A59" s="15" t="s">
        <v>718</v>
      </c>
      <c r="C59" s="74">
        <f t="shared" ref="C59:N59" si="6">SUM(C50:C58)</f>
        <v>108790780.36071163</v>
      </c>
      <c r="D59" s="74">
        <f t="shared" si="6"/>
        <v>115056583.25107333</v>
      </c>
      <c r="E59" s="74">
        <f t="shared" si="6"/>
        <v>122030308.83660986</v>
      </c>
      <c r="F59" s="74">
        <f t="shared" si="6"/>
        <v>129304187.56949347</v>
      </c>
      <c r="G59" s="74">
        <f t="shared" si="6"/>
        <v>135882226.36724573</v>
      </c>
      <c r="H59" s="74">
        <f t="shared" si="6"/>
        <v>142488393.59029439</v>
      </c>
      <c r="I59" s="74">
        <f t="shared" si="6"/>
        <v>147992436.22465485</v>
      </c>
      <c r="J59" s="74">
        <f t="shared" si="6"/>
        <v>153423460.09270379</v>
      </c>
      <c r="K59" s="74">
        <f t="shared" si="6"/>
        <v>158877146.83246189</v>
      </c>
      <c r="L59" s="74">
        <f t="shared" si="6"/>
        <v>164489183.12447265</v>
      </c>
      <c r="M59" s="74">
        <f t="shared" si="6"/>
        <v>170300893.70896032</v>
      </c>
      <c r="N59" s="74">
        <f t="shared" si="6"/>
        <v>176593030.45356542</v>
      </c>
    </row>
    <row r="62" spans="1:14" x14ac:dyDescent="0.2">
      <c r="C62" s="15" t="s">
        <v>739</v>
      </c>
      <c r="D62" s="15">
        <v>1055</v>
      </c>
      <c r="E62" s="15" t="s">
        <v>71</v>
      </c>
    </row>
    <row r="63" spans="1:14" x14ac:dyDescent="0.2">
      <c r="D63" s="15" t="s">
        <v>740</v>
      </c>
      <c r="E63" s="15" t="s">
        <v>741</v>
      </c>
    </row>
    <row r="64" spans="1:14" x14ac:dyDescent="0.2">
      <c r="C64" s="15" t="s">
        <v>742</v>
      </c>
      <c r="D64" s="15">
        <f>10^(15)/1055</f>
        <v>947867298578.1991</v>
      </c>
      <c r="E64" s="15" t="s">
        <v>741</v>
      </c>
    </row>
  </sheetData>
  <mergeCells count="4">
    <mergeCell ref="A8:B8"/>
    <mergeCell ref="A21:B21"/>
    <mergeCell ref="A34:B34"/>
    <mergeCell ref="A49:B49"/>
  </mergeCells>
  <phoneticPr fontId="0" type="noConversion"/>
  <pageMargins left="0.75" right="0.75" top="1" bottom="1" header="0.5" footer="0.5"/>
  <pageSetup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50A1-C468-44F2-8608-47DF5A59335A}">
  <dimension ref="A1:T45"/>
  <sheetViews>
    <sheetView workbookViewId="0">
      <selection sqref="A1:T45"/>
    </sheetView>
  </sheetViews>
  <sheetFormatPr defaultRowHeight="12.75" x14ac:dyDescent="0.2"/>
  <sheetData>
    <row r="1" spans="1:20" x14ac:dyDescent="0.2">
      <c r="A1" s="376" t="s">
        <v>3401</v>
      </c>
      <c r="B1" s="376"/>
      <c r="C1" s="376"/>
      <c r="D1" s="376"/>
      <c r="E1" s="376"/>
      <c r="F1" s="376"/>
      <c r="G1" s="376"/>
      <c r="H1" s="376"/>
      <c r="I1" s="376"/>
      <c r="J1" s="376"/>
      <c r="K1" s="376"/>
      <c r="L1" s="376"/>
      <c r="M1" s="376"/>
      <c r="N1" s="376"/>
      <c r="O1" s="376"/>
      <c r="P1" s="376"/>
      <c r="Q1" s="376"/>
      <c r="R1" s="376"/>
      <c r="S1" s="376"/>
      <c r="T1" s="376"/>
    </row>
    <row r="2" spans="1:20" x14ac:dyDescent="0.2">
      <c r="A2" s="376"/>
      <c r="B2" s="376"/>
      <c r="C2" s="376"/>
      <c r="D2" s="376"/>
      <c r="E2" s="376"/>
      <c r="F2" s="376"/>
      <c r="G2" s="376"/>
      <c r="H2" s="376"/>
      <c r="I2" s="376"/>
      <c r="J2" s="376"/>
      <c r="K2" s="376"/>
      <c r="L2" s="376"/>
      <c r="M2" s="376"/>
      <c r="N2" s="376"/>
      <c r="O2" s="376"/>
      <c r="P2" s="376"/>
      <c r="Q2" s="376"/>
      <c r="R2" s="376"/>
      <c r="S2" s="376"/>
      <c r="T2" s="376"/>
    </row>
    <row r="3" spans="1:20" x14ac:dyDescent="0.2">
      <c r="A3" s="376" t="s">
        <v>3402</v>
      </c>
      <c r="B3" s="376"/>
      <c r="C3" s="376"/>
      <c r="D3" s="376"/>
      <c r="E3" s="376"/>
      <c r="F3" s="376"/>
      <c r="G3" s="376"/>
      <c r="H3" s="376" t="s">
        <v>3403</v>
      </c>
      <c r="I3" s="376"/>
      <c r="J3" s="376"/>
      <c r="K3" s="376"/>
      <c r="L3" s="376"/>
      <c r="M3" s="376"/>
      <c r="N3" s="376"/>
      <c r="O3" s="376" t="s">
        <v>596</v>
      </c>
      <c r="P3" s="376"/>
      <c r="Q3" s="376"/>
      <c r="R3" s="376"/>
      <c r="S3" s="376"/>
      <c r="T3" s="376"/>
    </row>
    <row r="4" spans="1:20" x14ac:dyDescent="0.2">
      <c r="A4" s="376"/>
      <c r="B4" s="376"/>
      <c r="C4" s="376"/>
      <c r="D4" s="376"/>
      <c r="E4" s="376"/>
      <c r="F4" s="376"/>
      <c r="G4" s="376"/>
      <c r="H4" s="376"/>
      <c r="I4" s="376"/>
      <c r="J4" s="376"/>
      <c r="K4" s="376"/>
      <c r="L4" s="376"/>
      <c r="M4" s="376"/>
      <c r="N4" s="376"/>
      <c r="O4" s="376"/>
      <c r="P4" s="376"/>
      <c r="Q4" s="376"/>
      <c r="R4" s="376"/>
      <c r="S4" s="376"/>
      <c r="T4" s="376"/>
    </row>
    <row r="5" spans="1:20" ht="15" x14ac:dyDescent="0.25">
      <c r="A5" s="392" t="s">
        <v>3404</v>
      </c>
      <c r="B5" s="376"/>
      <c r="C5" s="376"/>
      <c r="D5" s="376"/>
      <c r="E5" s="376"/>
      <c r="F5" s="376"/>
      <c r="G5" s="376"/>
      <c r="H5" s="392" t="s">
        <v>3404</v>
      </c>
      <c r="I5" s="376"/>
      <c r="J5" s="376"/>
      <c r="K5" s="376"/>
      <c r="L5" s="376"/>
      <c r="M5" s="376"/>
      <c r="N5" s="376"/>
      <c r="O5" s="392" t="s">
        <v>3404</v>
      </c>
      <c r="P5" s="376"/>
      <c r="Q5" s="376"/>
      <c r="R5" s="376"/>
      <c r="S5" s="376"/>
      <c r="T5" s="376"/>
    </row>
    <row r="6" spans="1:20" ht="15" x14ac:dyDescent="0.25">
      <c r="A6" s="393" t="s">
        <v>3405</v>
      </c>
      <c r="B6" s="377">
        <v>2015</v>
      </c>
      <c r="C6" s="377">
        <v>2020</v>
      </c>
      <c r="D6" s="377">
        <v>2025</v>
      </c>
      <c r="E6" s="377">
        <v>2025</v>
      </c>
      <c r="F6" s="377">
        <v>2035</v>
      </c>
      <c r="G6" s="376"/>
      <c r="H6" s="393" t="s">
        <v>3405</v>
      </c>
      <c r="I6" s="377">
        <v>2015</v>
      </c>
      <c r="J6" s="377">
        <v>2020</v>
      </c>
      <c r="K6" s="377">
        <v>2025</v>
      </c>
      <c r="L6" s="377">
        <v>2025</v>
      </c>
      <c r="M6" s="377">
        <v>2035</v>
      </c>
      <c r="N6" s="376"/>
      <c r="O6" s="393" t="s">
        <v>3405</v>
      </c>
      <c r="P6" s="377">
        <v>2015</v>
      </c>
      <c r="Q6" s="377">
        <v>2020</v>
      </c>
      <c r="R6" s="377">
        <v>2025</v>
      </c>
      <c r="S6" s="377">
        <v>2025</v>
      </c>
      <c r="T6" s="377">
        <v>2035</v>
      </c>
    </row>
    <row r="7" spans="1:20" x14ac:dyDescent="0.2">
      <c r="A7" s="376" t="s">
        <v>3406</v>
      </c>
      <c r="B7" s="394">
        <v>29206</v>
      </c>
      <c r="C7" s="394">
        <v>18649</v>
      </c>
      <c r="D7" s="394">
        <v>8093</v>
      </c>
      <c r="E7" s="394">
        <v>5982</v>
      </c>
      <c r="F7" s="394">
        <v>3871</v>
      </c>
      <c r="G7" s="376"/>
      <c r="H7" s="376" t="s">
        <v>3406</v>
      </c>
      <c r="I7" s="374">
        <v>0.21</v>
      </c>
      <c r="J7" s="376">
        <v>0.2</v>
      </c>
      <c r="K7" s="374">
        <v>0.2</v>
      </c>
      <c r="L7" s="376">
        <v>0.19</v>
      </c>
      <c r="M7" s="374">
        <v>0.19</v>
      </c>
      <c r="N7" s="376"/>
      <c r="O7" s="376" t="s">
        <v>3406</v>
      </c>
      <c r="P7" s="374">
        <v>92.82</v>
      </c>
      <c r="Q7" s="376">
        <v>95.74</v>
      </c>
      <c r="R7" s="374">
        <v>98.86</v>
      </c>
      <c r="S7" s="376">
        <v>100.18</v>
      </c>
      <c r="T7" s="374">
        <v>101.53</v>
      </c>
    </row>
    <row r="8" spans="1:20" x14ac:dyDescent="0.2">
      <c r="A8" s="376" t="s">
        <v>323</v>
      </c>
      <c r="B8" s="394">
        <v>27520</v>
      </c>
      <c r="C8" s="394">
        <v>17940</v>
      </c>
      <c r="D8" s="394">
        <v>8360</v>
      </c>
      <c r="E8" s="394">
        <v>6442</v>
      </c>
      <c r="F8" s="394">
        <v>4524</v>
      </c>
      <c r="G8" s="376"/>
      <c r="H8" s="376" t="s">
        <v>323</v>
      </c>
      <c r="I8" s="374">
        <v>0.19</v>
      </c>
      <c r="J8" s="376">
        <v>0.18</v>
      </c>
      <c r="K8" s="374">
        <v>0.18</v>
      </c>
      <c r="L8" s="376">
        <v>0.18</v>
      </c>
      <c r="M8" s="374">
        <v>0.17</v>
      </c>
      <c r="N8" s="376"/>
      <c r="O8" s="376" t="s">
        <v>323</v>
      </c>
      <c r="P8" s="374">
        <v>102.47</v>
      </c>
      <c r="Q8" s="376">
        <v>105.55</v>
      </c>
      <c r="R8" s="374">
        <v>108.83</v>
      </c>
      <c r="S8" s="376">
        <v>110.33</v>
      </c>
      <c r="T8" s="374">
        <v>111.87</v>
      </c>
    </row>
    <row r="9" spans="1:20" x14ac:dyDescent="0.2">
      <c r="A9" s="376" t="s">
        <v>3407</v>
      </c>
      <c r="B9" s="394">
        <v>31240</v>
      </c>
      <c r="C9" s="394">
        <v>20305</v>
      </c>
      <c r="D9" s="394">
        <v>9370</v>
      </c>
      <c r="E9" s="394">
        <v>7158</v>
      </c>
      <c r="F9" s="394">
        <v>4946</v>
      </c>
      <c r="G9" s="376"/>
      <c r="H9" s="376" t="s">
        <v>3407</v>
      </c>
      <c r="I9" s="374">
        <v>0.22</v>
      </c>
      <c r="J9" s="376">
        <v>0.21</v>
      </c>
      <c r="K9" s="374">
        <v>0.21</v>
      </c>
      <c r="L9" s="376">
        <v>0.2</v>
      </c>
      <c r="M9" s="374">
        <v>0.2</v>
      </c>
      <c r="N9" s="376"/>
      <c r="O9" s="376" t="s">
        <v>3407</v>
      </c>
      <c r="P9" s="374">
        <v>89.49</v>
      </c>
      <c r="Q9" s="376">
        <v>91.79</v>
      </c>
      <c r="R9" s="374">
        <v>94.21</v>
      </c>
      <c r="S9" s="376">
        <v>95.52</v>
      </c>
      <c r="T9" s="374">
        <v>96.87</v>
      </c>
    </row>
    <row r="10" spans="1:20" x14ac:dyDescent="0.2">
      <c r="A10" s="376" t="s">
        <v>478</v>
      </c>
      <c r="B10" s="394">
        <v>46063</v>
      </c>
      <c r="C10" s="394">
        <v>30392</v>
      </c>
      <c r="D10" s="394">
        <v>14720</v>
      </c>
      <c r="E10" s="394">
        <v>11470</v>
      </c>
      <c r="F10" s="394">
        <v>8219</v>
      </c>
      <c r="G10" s="376"/>
      <c r="H10" s="376" t="s">
        <v>478</v>
      </c>
      <c r="I10" s="374">
        <v>0.31</v>
      </c>
      <c r="J10" s="376">
        <v>0.31</v>
      </c>
      <c r="K10" s="374">
        <v>0.3</v>
      </c>
      <c r="L10" s="376">
        <v>0.3</v>
      </c>
      <c r="M10" s="374">
        <v>0.3</v>
      </c>
      <c r="N10" s="376"/>
      <c r="O10" s="376" t="s">
        <v>478</v>
      </c>
      <c r="P10" s="374">
        <v>61.94</v>
      </c>
      <c r="Q10" s="376">
        <v>62.96</v>
      </c>
      <c r="R10" s="374">
        <v>64.010000000000005</v>
      </c>
      <c r="S10" s="376">
        <v>64.55</v>
      </c>
      <c r="T10" s="374">
        <v>65.11</v>
      </c>
    </row>
    <row r="11" spans="1:20" x14ac:dyDescent="0.2">
      <c r="A11" s="376" t="s">
        <v>329</v>
      </c>
      <c r="B11" s="394">
        <v>48627</v>
      </c>
      <c r="C11" s="394">
        <v>31741</v>
      </c>
      <c r="D11" s="394">
        <v>14855</v>
      </c>
      <c r="E11" s="394">
        <v>11294</v>
      </c>
      <c r="F11" s="394">
        <v>7733</v>
      </c>
      <c r="G11" s="376"/>
      <c r="H11" s="376" t="s">
        <v>329</v>
      </c>
      <c r="I11" s="374">
        <v>0.34</v>
      </c>
      <c r="J11" s="376">
        <v>0.33</v>
      </c>
      <c r="K11" s="374">
        <v>0.33</v>
      </c>
      <c r="L11" s="376">
        <v>0.33</v>
      </c>
      <c r="M11" s="374">
        <v>0.32</v>
      </c>
      <c r="N11" s="376"/>
      <c r="O11" s="376" t="s">
        <v>329</v>
      </c>
      <c r="P11" s="374">
        <v>57.57</v>
      </c>
      <c r="Q11" s="376">
        <v>58.32</v>
      </c>
      <c r="R11" s="374">
        <v>59.1</v>
      </c>
      <c r="S11" s="376">
        <v>59.57</v>
      </c>
      <c r="T11" s="374">
        <v>60.04</v>
      </c>
    </row>
    <row r="12" spans="1:20" x14ac:dyDescent="0.2">
      <c r="A12" s="376" t="s">
        <v>424</v>
      </c>
      <c r="B12" s="394">
        <v>41563</v>
      </c>
      <c r="C12" s="394">
        <v>27525</v>
      </c>
      <c r="D12" s="394">
        <v>13486</v>
      </c>
      <c r="E12" s="394">
        <v>10558</v>
      </c>
      <c r="F12" s="394">
        <v>7630</v>
      </c>
      <c r="G12" s="376"/>
      <c r="H12" s="376" t="s">
        <v>424</v>
      </c>
      <c r="I12" s="374">
        <v>0.28000000000000003</v>
      </c>
      <c r="J12" s="376">
        <v>0.28000000000000003</v>
      </c>
      <c r="K12" s="374">
        <v>0.27</v>
      </c>
      <c r="L12" s="376">
        <v>0.27</v>
      </c>
      <c r="M12" s="374">
        <v>0.27</v>
      </c>
      <c r="N12" s="376"/>
      <c r="O12" s="376" t="s">
        <v>424</v>
      </c>
      <c r="P12" s="374">
        <v>69.06</v>
      </c>
      <c r="Q12" s="376">
        <v>70.040000000000006</v>
      </c>
      <c r="R12" s="374">
        <v>71.05</v>
      </c>
      <c r="S12" s="376">
        <v>71.64</v>
      </c>
      <c r="T12" s="374">
        <v>72.25</v>
      </c>
    </row>
    <row r="13" spans="1:20" x14ac:dyDescent="0.2">
      <c r="A13" s="376" t="s">
        <v>327</v>
      </c>
      <c r="B13" s="394">
        <v>47845</v>
      </c>
      <c r="C13" s="394">
        <v>31280</v>
      </c>
      <c r="D13" s="394">
        <v>14716</v>
      </c>
      <c r="E13" s="394">
        <v>11234</v>
      </c>
      <c r="F13" s="394">
        <v>7753</v>
      </c>
      <c r="G13" s="376"/>
      <c r="H13" s="376" t="s">
        <v>327</v>
      </c>
      <c r="I13" s="374">
        <v>0.33</v>
      </c>
      <c r="J13" s="376">
        <v>0.33</v>
      </c>
      <c r="K13" s="374">
        <v>0.32</v>
      </c>
      <c r="L13" s="376">
        <v>0.32</v>
      </c>
      <c r="M13" s="374">
        <v>0.32</v>
      </c>
      <c r="N13" s="376"/>
      <c r="O13" s="376" t="s">
        <v>327</v>
      </c>
      <c r="P13" s="374">
        <v>58.68</v>
      </c>
      <c r="Q13" s="376">
        <v>59.63</v>
      </c>
      <c r="R13" s="374">
        <v>60.6</v>
      </c>
      <c r="S13" s="376">
        <v>61.11</v>
      </c>
      <c r="T13" s="374">
        <v>61.62</v>
      </c>
    </row>
    <row r="14" spans="1:20" x14ac:dyDescent="0.2">
      <c r="A14" s="376"/>
      <c r="B14" s="376"/>
      <c r="C14" s="376"/>
      <c r="D14" s="376"/>
      <c r="E14" s="376"/>
      <c r="F14" s="376"/>
      <c r="G14" s="376"/>
      <c r="H14" s="376"/>
      <c r="I14" s="376"/>
      <c r="J14" s="376"/>
      <c r="K14" s="376"/>
      <c r="L14" s="376"/>
      <c r="M14" s="376"/>
      <c r="N14" s="376"/>
      <c r="O14" s="376"/>
      <c r="P14" s="376"/>
      <c r="Q14" s="376"/>
      <c r="R14" s="376"/>
      <c r="S14" s="376"/>
      <c r="T14" s="376"/>
    </row>
    <row r="15" spans="1:20" ht="15" x14ac:dyDescent="0.25">
      <c r="A15" s="392" t="s">
        <v>3408</v>
      </c>
      <c r="B15" s="376"/>
      <c r="C15" s="376"/>
      <c r="D15" s="376"/>
      <c r="E15" s="376"/>
      <c r="F15" s="376"/>
      <c r="G15" s="376"/>
      <c r="H15" s="392" t="s">
        <v>3408</v>
      </c>
      <c r="I15" s="376"/>
      <c r="J15" s="376"/>
      <c r="K15" s="376"/>
      <c r="L15" s="376"/>
      <c r="M15" s="376"/>
      <c r="N15" s="376"/>
      <c r="O15" s="392" t="s">
        <v>3408</v>
      </c>
      <c r="P15" s="376"/>
      <c r="Q15" s="376"/>
      <c r="R15" s="376"/>
      <c r="S15" s="376"/>
      <c r="T15" s="376"/>
    </row>
    <row r="16" spans="1:20" ht="15" x14ac:dyDescent="0.25">
      <c r="A16" s="393" t="s">
        <v>3405</v>
      </c>
      <c r="B16" s="377">
        <v>2015</v>
      </c>
      <c r="C16" s="377">
        <v>2020</v>
      </c>
      <c r="D16" s="377">
        <v>2025</v>
      </c>
      <c r="E16" s="377">
        <v>2025</v>
      </c>
      <c r="F16" s="377">
        <v>2035</v>
      </c>
      <c r="G16" s="376"/>
      <c r="H16" s="393" t="s">
        <v>3405</v>
      </c>
      <c r="I16" s="377">
        <v>2015</v>
      </c>
      <c r="J16" s="377">
        <v>2020</v>
      </c>
      <c r="K16" s="377">
        <v>2025</v>
      </c>
      <c r="L16" s="377">
        <v>2025</v>
      </c>
      <c r="M16" s="377">
        <v>2035</v>
      </c>
      <c r="N16" s="376"/>
      <c r="O16" s="393" t="s">
        <v>3405</v>
      </c>
      <c r="P16" s="377">
        <v>2015</v>
      </c>
      <c r="Q16" s="377">
        <v>2020</v>
      </c>
      <c r="R16" s="377">
        <v>2025</v>
      </c>
      <c r="S16" s="377">
        <v>2025</v>
      </c>
      <c r="T16" s="377">
        <v>2035</v>
      </c>
    </row>
    <row r="17" spans="1:20" x14ac:dyDescent="0.2">
      <c r="A17" s="376" t="s">
        <v>3406</v>
      </c>
      <c r="B17" s="376"/>
      <c r="C17" s="376"/>
      <c r="D17" s="394">
        <v>23597</v>
      </c>
      <c r="E17" s="394">
        <v>18452</v>
      </c>
      <c r="F17" s="394">
        <v>13307</v>
      </c>
      <c r="G17" s="376"/>
      <c r="H17" s="376" t="s">
        <v>3406</v>
      </c>
      <c r="I17" s="376"/>
      <c r="J17" s="376"/>
      <c r="K17" s="374">
        <v>0.24</v>
      </c>
      <c r="L17" s="376">
        <v>0.23</v>
      </c>
      <c r="M17" s="374">
        <v>0.23</v>
      </c>
      <c r="N17" s="376"/>
      <c r="O17" s="376" t="s">
        <v>3406</v>
      </c>
      <c r="P17" s="376"/>
      <c r="Q17" s="376"/>
      <c r="R17" s="374">
        <v>82.22</v>
      </c>
      <c r="S17" s="376">
        <v>83.31</v>
      </c>
      <c r="T17" s="374">
        <v>84.44</v>
      </c>
    </row>
    <row r="18" spans="1:20" x14ac:dyDescent="0.2">
      <c r="A18" s="376" t="s">
        <v>323</v>
      </c>
      <c r="B18" s="376"/>
      <c r="C18" s="376"/>
      <c r="D18" s="394">
        <v>22440</v>
      </c>
      <c r="E18" s="394">
        <v>17763</v>
      </c>
      <c r="F18" s="394">
        <v>13085</v>
      </c>
      <c r="G18" s="376"/>
      <c r="H18" s="376" t="s">
        <v>323</v>
      </c>
      <c r="I18" s="376"/>
      <c r="J18" s="376"/>
      <c r="K18" s="374">
        <v>0.22</v>
      </c>
      <c r="L18" s="376">
        <v>0.21</v>
      </c>
      <c r="M18" s="374">
        <v>0.21</v>
      </c>
      <c r="N18" s="376"/>
      <c r="O18" s="376" t="s">
        <v>323</v>
      </c>
      <c r="P18" s="376"/>
      <c r="Q18" s="376"/>
      <c r="R18" s="374">
        <v>90.51</v>
      </c>
      <c r="S18" s="376">
        <v>91.76</v>
      </c>
      <c r="T18" s="374">
        <v>93.04</v>
      </c>
    </row>
    <row r="19" spans="1:20" x14ac:dyDescent="0.2">
      <c r="A19" s="376" t="s">
        <v>3407</v>
      </c>
      <c r="B19" s="376"/>
      <c r="C19" s="376"/>
      <c r="D19" s="394">
        <v>25639</v>
      </c>
      <c r="E19" s="394">
        <v>20236</v>
      </c>
      <c r="F19" s="394">
        <v>14833</v>
      </c>
      <c r="G19" s="376"/>
      <c r="H19" s="376" t="s">
        <v>3407</v>
      </c>
      <c r="I19" s="376"/>
      <c r="J19" s="376"/>
      <c r="K19" s="374">
        <v>0.25</v>
      </c>
      <c r="L19" s="376">
        <v>0.25</v>
      </c>
      <c r="M19" s="374">
        <v>0.24</v>
      </c>
      <c r="N19" s="376"/>
      <c r="O19" s="376" t="s">
        <v>3407</v>
      </c>
      <c r="P19" s="376"/>
      <c r="Q19" s="376"/>
      <c r="R19" s="374">
        <v>78.349999999999994</v>
      </c>
      <c r="S19" s="376">
        <v>79.45</v>
      </c>
      <c r="T19" s="374">
        <v>80.569999999999993</v>
      </c>
    </row>
    <row r="20" spans="1:20" x14ac:dyDescent="0.2">
      <c r="A20" s="376" t="s">
        <v>478</v>
      </c>
      <c r="B20" s="376"/>
      <c r="C20" s="376"/>
      <c r="D20" s="394">
        <v>36133</v>
      </c>
      <c r="E20" s="394">
        <v>28755</v>
      </c>
      <c r="F20" s="394">
        <v>21377</v>
      </c>
      <c r="G20" s="376"/>
      <c r="H20" s="376" t="s">
        <v>478</v>
      </c>
      <c r="I20" s="376"/>
      <c r="J20" s="376"/>
      <c r="K20" s="374">
        <v>0.34</v>
      </c>
      <c r="L20" s="376">
        <v>0.34</v>
      </c>
      <c r="M20" s="374">
        <v>0.34</v>
      </c>
      <c r="N20" s="376"/>
      <c r="O20" s="376" t="s">
        <v>478</v>
      </c>
      <c r="P20" s="376"/>
      <c r="Q20" s="376"/>
      <c r="R20" s="374">
        <v>56.74</v>
      </c>
      <c r="S20" s="376">
        <v>57.22</v>
      </c>
      <c r="T20" s="374">
        <v>57.71</v>
      </c>
    </row>
    <row r="21" spans="1:20" x14ac:dyDescent="0.2">
      <c r="A21" s="376" t="s">
        <v>329</v>
      </c>
      <c r="B21" s="376"/>
      <c r="C21" s="376"/>
      <c r="D21" s="394">
        <v>38044</v>
      </c>
      <c r="E21" s="394">
        <v>30022</v>
      </c>
      <c r="F21" s="394">
        <v>22000</v>
      </c>
      <c r="G21" s="376"/>
      <c r="H21" s="376" t="s">
        <v>329</v>
      </c>
      <c r="I21" s="376"/>
      <c r="J21" s="376"/>
      <c r="K21" s="374">
        <v>0.37</v>
      </c>
      <c r="L21" s="376">
        <v>0.37</v>
      </c>
      <c r="M21" s="374">
        <v>0.37</v>
      </c>
      <c r="N21" s="376"/>
      <c r="O21" s="376" t="s">
        <v>329</v>
      </c>
      <c r="P21" s="376"/>
      <c r="Q21" s="376"/>
      <c r="R21" s="374">
        <v>52.39</v>
      </c>
      <c r="S21" s="376">
        <v>52.8</v>
      </c>
      <c r="T21" s="374">
        <v>53.22</v>
      </c>
    </row>
    <row r="22" spans="1:20" x14ac:dyDescent="0.2">
      <c r="A22" s="376" t="s">
        <v>424</v>
      </c>
      <c r="B22" s="376"/>
      <c r="C22" s="376"/>
      <c r="D22" s="394">
        <v>32780</v>
      </c>
      <c r="E22" s="394">
        <v>26134</v>
      </c>
      <c r="F22" s="394">
        <v>19488</v>
      </c>
      <c r="G22" s="376"/>
      <c r="H22" s="376" t="s">
        <v>424</v>
      </c>
      <c r="I22" s="376"/>
      <c r="J22" s="376"/>
      <c r="K22" s="374">
        <v>0.31</v>
      </c>
      <c r="L22" s="376">
        <v>0.31</v>
      </c>
      <c r="M22" s="374">
        <v>0.3</v>
      </c>
      <c r="N22" s="376"/>
      <c r="O22" s="376" t="s">
        <v>424</v>
      </c>
      <c r="P22" s="376"/>
      <c r="Q22" s="376"/>
      <c r="R22" s="374">
        <v>62.98</v>
      </c>
      <c r="S22" s="376">
        <v>63.51</v>
      </c>
      <c r="T22" s="374">
        <v>64.040000000000006</v>
      </c>
    </row>
    <row r="23" spans="1:20" x14ac:dyDescent="0.2">
      <c r="A23" s="376" t="s">
        <v>327</v>
      </c>
      <c r="B23" s="376"/>
      <c r="C23" s="376"/>
      <c r="D23" s="394">
        <v>37329</v>
      </c>
      <c r="E23" s="394">
        <v>29492</v>
      </c>
      <c r="F23" s="394">
        <v>21655</v>
      </c>
      <c r="G23" s="376"/>
      <c r="H23" s="376" t="s">
        <v>327</v>
      </c>
      <c r="I23" s="376"/>
      <c r="J23" s="376"/>
      <c r="K23" s="374">
        <v>0.36</v>
      </c>
      <c r="L23" s="376">
        <v>0.36</v>
      </c>
      <c r="M23" s="374">
        <v>0.36</v>
      </c>
      <c r="N23" s="376"/>
      <c r="O23" s="376" t="s">
        <v>327</v>
      </c>
      <c r="P23" s="376"/>
      <c r="Q23" s="376"/>
      <c r="R23" s="374">
        <v>53.72</v>
      </c>
      <c r="S23" s="376">
        <v>54.16</v>
      </c>
      <c r="T23" s="374">
        <v>54.62</v>
      </c>
    </row>
    <row r="24" spans="1:20" x14ac:dyDescent="0.2">
      <c r="A24" s="376"/>
      <c r="B24" s="376"/>
      <c r="C24" s="376"/>
      <c r="D24" s="376"/>
      <c r="E24" s="376"/>
      <c r="F24" s="376"/>
      <c r="G24" s="376"/>
      <c r="H24" s="376"/>
      <c r="I24" s="376"/>
      <c r="J24" s="376"/>
      <c r="K24" s="376"/>
      <c r="L24" s="376"/>
      <c r="M24" s="376"/>
      <c r="N24" s="376"/>
      <c r="O24" s="376"/>
      <c r="P24" s="376"/>
      <c r="Q24" s="376"/>
      <c r="R24" s="376"/>
      <c r="S24" s="376"/>
      <c r="T24" s="376"/>
    </row>
    <row r="25" spans="1:20" x14ac:dyDescent="0.2">
      <c r="A25" s="376" t="s">
        <v>3409</v>
      </c>
      <c r="B25" s="376"/>
      <c r="C25" s="376"/>
      <c r="D25" s="376"/>
      <c r="E25" s="376"/>
      <c r="F25" s="376"/>
      <c r="G25" s="376"/>
      <c r="H25" s="376"/>
      <c r="I25" s="376"/>
      <c r="J25" s="376"/>
      <c r="K25" s="376"/>
      <c r="L25" s="376"/>
      <c r="M25" s="376"/>
      <c r="N25" s="376"/>
      <c r="O25" s="376" t="s">
        <v>3410</v>
      </c>
      <c r="P25" s="376"/>
      <c r="Q25" s="376"/>
      <c r="R25" s="376"/>
      <c r="S25" s="376"/>
      <c r="T25" s="376"/>
    </row>
    <row r="26" spans="1:20" x14ac:dyDescent="0.2">
      <c r="A26" s="376"/>
      <c r="B26" s="376"/>
      <c r="C26" s="376"/>
      <c r="D26" s="376"/>
      <c r="E26" s="376"/>
      <c r="F26" s="376"/>
      <c r="G26" s="376"/>
      <c r="H26" s="376"/>
      <c r="I26" s="376"/>
      <c r="J26" s="376"/>
      <c r="K26" s="376"/>
      <c r="L26" s="376"/>
      <c r="M26" s="376"/>
      <c r="N26" s="376"/>
      <c r="O26" s="376"/>
      <c r="P26" s="376"/>
      <c r="Q26" s="376"/>
      <c r="R26" s="376"/>
      <c r="S26" s="376"/>
      <c r="T26" s="376"/>
    </row>
    <row r="27" spans="1:20" ht="15" x14ac:dyDescent="0.25">
      <c r="A27" s="392" t="s">
        <v>3404</v>
      </c>
      <c r="B27" s="376"/>
      <c r="C27" s="376"/>
      <c r="D27" s="376"/>
      <c r="E27" s="376"/>
      <c r="F27" s="376"/>
      <c r="G27" s="376"/>
      <c r="H27" s="392"/>
      <c r="I27" s="376"/>
      <c r="J27" s="376"/>
      <c r="K27" s="376"/>
      <c r="L27" s="376"/>
      <c r="M27" s="376"/>
      <c r="N27" s="376"/>
      <c r="O27" s="392" t="s">
        <v>3404</v>
      </c>
      <c r="P27" s="376"/>
      <c r="Q27" s="376"/>
      <c r="R27" s="376"/>
      <c r="S27" s="376"/>
      <c r="T27" s="376"/>
    </row>
    <row r="28" spans="1:20" ht="15" x14ac:dyDescent="0.25">
      <c r="A28" s="393" t="s">
        <v>3405</v>
      </c>
      <c r="B28" s="377">
        <v>2015</v>
      </c>
      <c r="C28" s="377">
        <v>2020</v>
      </c>
      <c r="D28" s="377">
        <v>2025</v>
      </c>
      <c r="E28" s="377">
        <v>2025</v>
      </c>
      <c r="F28" s="377">
        <v>2035</v>
      </c>
      <c r="G28" s="376"/>
      <c r="H28" s="393"/>
      <c r="I28" s="376"/>
      <c r="J28" s="376"/>
      <c r="K28" s="376"/>
      <c r="L28" s="376"/>
      <c r="M28" s="376"/>
      <c r="N28" s="376"/>
      <c r="O28" s="393" t="s">
        <v>3405</v>
      </c>
      <c r="P28" s="377">
        <v>2015</v>
      </c>
      <c r="Q28" s="377">
        <v>2020</v>
      </c>
      <c r="R28" s="377">
        <v>2025</v>
      </c>
      <c r="S28" s="377">
        <v>2025</v>
      </c>
      <c r="T28" s="377">
        <v>2035</v>
      </c>
    </row>
    <row r="29" spans="1:20" x14ac:dyDescent="0.2">
      <c r="A29" s="376" t="s">
        <v>3406</v>
      </c>
      <c r="B29" s="394">
        <v>2439</v>
      </c>
      <c r="C29" s="394">
        <v>1557</v>
      </c>
      <c r="D29" s="394">
        <v>676</v>
      </c>
      <c r="E29" s="394">
        <v>499</v>
      </c>
      <c r="F29" s="394">
        <v>323</v>
      </c>
      <c r="G29" s="376"/>
      <c r="H29" s="376"/>
      <c r="I29" s="376"/>
      <c r="J29" s="376"/>
      <c r="K29" s="376"/>
      <c r="L29" s="376"/>
      <c r="M29" s="376"/>
      <c r="N29" s="376"/>
      <c r="O29" s="376" t="s">
        <v>3406</v>
      </c>
      <c r="P29" s="374">
        <v>1.32</v>
      </c>
      <c r="Q29" s="376">
        <v>1.37</v>
      </c>
      <c r="R29" s="374">
        <v>1.41</v>
      </c>
      <c r="S29" s="376">
        <v>1.43</v>
      </c>
      <c r="T29" s="374">
        <v>1.45</v>
      </c>
    </row>
    <row r="30" spans="1:20" x14ac:dyDescent="0.2">
      <c r="A30" s="376" t="s">
        <v>323</v>
      </c>
      <c r="B30" s="394">
        <v>2298</v>
      </c>
      <c r="C30" s="394">
        <v>1498</v>
      </c>
      <c r="D30" s="394">
        <v>698</v>
      </c>
      <c r="E30" s="394">
        <v>538</v>
      </c>
      <c r="F30" s="394">
        <v>378</v>
      </c>
      <c r="G30" s="376"/>
      <c r="H30" s="376"/>
      <c r="I30" s="376"/>
      <c r="J30" s="376"/>
      <c r="K30" s="376"/>
      <c r="L30" s="376"/>
      <c r="M30" s="376"/>
      <c r="N30" s="376"/>
      <c r="O30" s="376" t="s">
        <v>323</v>
      </c>
      <c r="P30" s="374">
        <v>1.46</v>
      </c>
      <c r="Q30" s="376">
        <v>1.51</v>
      </c>
      <c r="R30" s="374">
        <v>1.55</v>
      </c>
      <c r="S30" s="376">
        <v>1.57</v>
      </c>
      <c r="T30" s="374">
        <v>1.6</v>
      </c>
    </row>
    <row r="31" spans="1:20" x14ac:dyDescent="0.2">
      <c r="A31" s="376" t="s">
        <v>3407</v>
      </c>
      <c r="B31" s="394">
        <v>2608</v>
      </c>
      <c r="C31" s="394">
        <v>1695</v>
      </c>
      <c r="D31" s="394">
        <v>782</v>
      </c>
      <c r="E31" s="394">
        <v>598</v>
      </c>
      <c r="F31" s="394">
        <v>413</v>
      </c>
      <c r="G31" s="376"/>
      <c r="H31" s="376"/>
      <c r="I31" s="376"/>
      <c r="J31" s="376"/>
      <c r="K31" s="376"/>
      <c r="L31" s="376"/>
      <c r="M31" s="376"/>
      <c r="N31" s="376"/>
      <c r="O31" s="376" t="s">
        <v>3407</v>
      </c>
      <c r="P31" s="374">
        <v>1.28</v>
      </c>
      <c r="Q31" s="376">
        <v>1.31</v>
      </c>
      <c r="R31" s="374">
        <v>1.34</v>
      </c>
      <c r="S31" s="376">
        <v>1.36</v>
      </c>
      <c r="T31" s="374">
        <v>1.38</v>
      </c>
    </row>
    <row r="32" spans="1:20" x14ac:dyDescent="0.2">
      <c r="A32" s="376" t="s">
        <v>478</v>
      </c>
      <c r="B32" s="394">
        <v>3846</v>
      </c>
      <c r="C32" s="394">
        <v>2538</v>
      </c>
      <c r="D32" s="394">
        <v>1229</v>
      </c>
      <c r="E32" s="394">
        <v>958</v>
      </c>
      <c r="F32" s="394">
        <v>686</v>
      </c>
      <c r="G32" s="376"/>
      <c r="H32" s="376"/>
      <c r="I32" s="376"/>
      <c r="J32" s="376"/>
      <c r="K32" s="376"/>
      <c r="L32" s="376"/>
      <c r="M32" s="376"/>
      <c r="N32" s="376"/>
      <c r="O32" s="376" t="s">
        <v>478</v>
      </c>
      <c r="P32" s="374">
        <v>0.88</v>
      </c>
      <c r="Q32" s="376">
        <v>0.9</v>
      </c>
      <c r="R32" s="374">
        <v>0.91</v>
      </c>
      <c r="S32" s="376">
        <v>0.92</v>
      </c>
      <c r="T32" s="374">
        <v>0.93</v>
      </c>
    </row>
    <row r="33" spans="1:20" x14ac:dyDescent="0.2">
      <c r="A33" s="376" t="s">
        <v>329</v>
      </c>
      <c r="B33" s="394">
        <v>4060</v>
      </c>
      <c r="C33" s="394">
        <v>2650</v>
      </c>
      <c r="D33" s="394">
        <v>1240</v>
      </c>
      <c r="E33" s="394">
        <v>943</v>
      </c>
      <c r="F33" s="394">
        <v>646</v>
      </c>
      <c r="G33" s="376"/>
      <c r="H33" s="376"/>
      <c r="I33" s="376"/>
      <c r="J33" s="376"/>
      <c r="K33" s="376"/>
      <c r="L33" s="376"/>
      <c r="M33" s="376"/>
      <c r="N33" s="376"/>
      <c r="O33" s="376" t="s">
        <v>329</v>
      </c>
      <c r="P33" s="374">
        <v>0.82</v>
      </c>
      <c r="Q33" s="376">
        <v>0.83</v>
      </c>
      <c r="R33" s="374">
        <v>0.84</v>
      </c>
      <c r="S33" s="376">
        <v>0.85</v>
      </c>
      <c r="T33" s="374">
        <v>0.86</v>
      </c>
    </row>
    <row r="34" spans="1:20" x14ac:dyDescent="0.2">
      <c r="A34" s="376" t="s">
        <v>424</v>
      </c>
      <c r="B34" s="394">
        <v>3470</v>
      </c>
      <c r="C34" s="394">
        <v>2298</v>
      </c>
      <c r="D34" s="394">
        <v>1126</v>
      </c>
      <c r="E34" s="394">
        <v>882</v>
      </c>
      <c r="F34" s="394">
        <v>637</v>
      </c>
      <c r="G34" s="376"/>
      <c r="H34" s="376"/>
      <c r="I34" s="376"/>
      <c r="J34" s="376"/>
      <c r="K34" s="376"/>
      <c r="L34" s="376"/>
      <c r="M34" s="376"/>
      <c r="N34" s="376"/>
      <c r="O34" s="376" t="s">
        <v>424</v>
      </c>
      <c r="P34" s="374">
        <v>0.98</v>
      </c>
      <c r="Q34" s="376">
        <v>1</v>
      </c>
      <c r="R34" s="374">
        <v>1.01</v>
      </c>
      <c r="S34" s="376">
        <v>1.02</v>
      </c>
      <c r="T34" s="374">
        <v>1.03</v>
      </c>
    </row>
    <row r="35" spans="1:20" x14ac:dyDescent="0.2">
      <c r="A35" s="376" t="s">
        <v>327</v>
      </c>
      <c r="B35" s="394">
        <v>3995</v>
      </c>
      <c r="C35" s="394">
        <v>2612</v>
      </c>
      <c r="D35" s="394">
        <v>1229</v>
      </c>
      <c r="E35" s="394">
        <v>938</v>
      </c>
      <c r="F35" s="394">
        <v>647</v>
      </c>
      <c r="G35" s="376"/>
      <c r="H35" s="376"/>
      <c r="I35" s="376"/>
      <c r="J35" s="376"/>
      <c r="K35" s="376"/>
      <c r="L35" s="376"/>
      <c r="M35" s="376"/>
      <c r="N35" s="376"/>
      <c r="O35" s="376" t="s">
        <v>327</v>
      </c>
      <c r="P35" s="374">
        <v>0.84</v>
      </c>
      <c r="Q35" s="376">
        <v>0.85</v>
      </c>
      <c r="R35" s="374">
        <v>0.86</v>
      </c>
      <c r="S35" s="376">
        <v>0.87</v>
      </c>
      <c r="T35" s="374">
        <v>0.88</v>
      </c>
    </row>
    <row r="36" spans="1:20" x14ac:dyDescent="0.2">
      <c r="A36" s="376"/>
      <c r="B36" s="376"/>
      <c r="C36" s="376"/>
      <c r="D36" s="376"/>
      <c r="E36" s="376"/>
      <c r="F36" s="376"/>
      <c r="G36" s="376"/>
      <c r="H36" s="376"/>
      <c r="I36" s="376"/>
      <c r="J36" s="376"/>
      <c r="K36" s="376"/>
      <c r="L36" s="376"/>
      <c r="M36" s="376"/>
      <c r="N36" s="376"/>
      <c r="O36" s="376"/>
      <c r="P36" s="376"/>
      <c r="Q36" s="376"/>
      <c r="R36" s="376"/>
      <c r="S36" s="376"/>
      <c r="T36" s="376"/>
    </row>
    <row r="37" spans="1:20" ht="15" x14ac:dyDescent="0.25">
      <c r="A37" s="392" t="s">
        <v>3408</v>
      </c>
      <c r="B37" s="376"/>
      <c r="C37" s="376"/>
      <c r="D37" s="376"/>
      <c r="E37" s="376"/>
      <c r="F37" s="376"/>
      <c r="G37" s="376"/>
      <c r="H37" s="392"/>
      <c r="I37" s="376"/>
      <c r="J37" s="376"/>
      <c r="K37" s="376"/>
      <c r="L37" s="376"/>
      <c r="M37" s="376"/>
      <c r="N37" s="376"/>
      <c r="O37" s="392" t="s">
        <v>3408</v>
      </c>
      <c r="P37" s="376"/>
      <c r="Q37" s="376"/>
      <c r="R37" s="376"/>
      <c r="S37" s="376"/>
      <c r="T37" s="376"/>
    </row>
    <row r="38" spans="1:20" ht="15" x14ac:dyDescent="0.25">
      <c r="A38" s="393" t="s">
        <v>3405</v>
      </c>
      <c r="B38" s="377">
        <v>2015</v>
      </c>
      <c r="C38" s="377">
        <v>2020</v>
      </c>
      <c r="D38" s="377">
        <v>2025</v>
      </c>
      <c r="E38" s="377">
        <v>2025</v>
      </c>
      <c r="F38" s="377">
        <v>2035</v>
      </c>
      <c r="G38" s="376"/>
      <c r="H38" s="393"/>
      <c r="I38" s="376"/>
      <c r="J38" s="376"/>
      <c r="K38" s="376"/>
      <c r="L38" s="376"/>
      <c r="M38" s="376"/>
      <c r="N38" s="376"/>
      <c r="O38" s="393" t="s">
        <v>3405</v>
      </c>
      <c r="P38" s="377">
        <v>2015</v>
      </c>
      <c r="Q38" s="377">
        <v>2020</v>
      </c>
      <c r="R38" s="377">
        <v>2025</v>
      </c>
      <c r="S38" s="377">
        <v>2025</v>
      </c>
      <c r="T38" s="377">
        <v>2035</v>
      </c>
    </row>
    <row r="39" spans="1:20" x14ac:dyDescent="0.2">
      <c r="A39" s="376" t="s">
        <v>3406</v>
      </c>
      <c r="B39" s="376"/>
      <c r="C39" s="376"/>
      <c r="D39" s="394">
        <v>1970</v>
      </c>
      <c r="E39" s="394">
        <v>1541</v>
      </c>
      <c r="F39" s="394">
        <v>1111</v>
      </c>
      <c r="G39" s="376"/>
      <c r="H39" s="376"/>
      <c r="I39" s="376"/>
      <c r="J39" s="376"/>
      <c r="K39" s="376"/>
      <c r="L39" s="376"/>
      <c r="M39" s="376"/>
      <c r="N39" s="376"/>
      <c r="O39" s="376" t="s">
        <v>3406</v>
      </c>
      <c r="P39" s="376"/>
      <c r="Q39" s="376"/>
      <c r="R39" s="374">
        <v>1.17</v>
      </c>
      <c r="S39" s="376">
        <v>1.19</v>
      </c>
      <c r="T39" s="374">
        <v>1.2</v>
      </c>
    </row>
    <row r="40" spans="1:20" x14ac:dyDescent="0.2">
      <c r="A40" s="376" t="s">
        <v>323</v>
      </c>
      <c r="B40" s="376"/>
      <c r="C40" s="376"/>
      <c r="D40" s="394">
        <v>1874</v>
      </c>
      <c r="E40" s="394">
        <v>1483</v>
      </c>
      <c r="F40" s="394">
        <v>1093</v>
      </c>
      <c r="G40" s="376"/>
      <c r="H40" s="376"/>
      <c r="I40" s="376"/>
      <c r="J40" s="376"/>
      <c r="K40" s="376"/>
      <c r="L40" s="376"/>
      <c r="M40" s="376"/>
      <c r="N40" s="376"/>
      <c r="O40" s="376" t="s">
        <v>323</v>
      </c>
      <c r="P40" s="376"/>
      <c r="Q40" s="376"/>
      <c r="R40" s="374">
        <v>1.29</v>
      </c>
      <c r="S40" s="376">
        <v>1.31</v>
      </c>
      <c r="T40" s="374">
        <v>1.33</v>
      </c>
    </row>
    <row r="41" spans="1:20" x14ac:dyDescent="0.2">
      <c r="A41" s="376" t="s">
        <v>3407</v>
      </c>
      <c r="B41" s="376"/>
      <c r="C41" s="376"/>
      <c r="D41" s="394">
        <v>2141</v>
      </c>
      <c r="E41" s="394">
        <v>1690</v>
      </c>
      <c r="F41" s="394">
        <v>1239</v>
      </c>
      <c r="G41" s="376"/>
      <c r="H41" s="376"/>
      <c r="I41" s="376"/>
      <c r="J41" s="376"/>
      <c r="K41" s="376"/>
      <c r="L41" s="376"/>
      <c r="M41" s="376"/>
      <c r="N41" s="376"/>
      <c r="O41" s="376" t="s">
        <v>3407</v>
      </c>
      <c r="P41" s="376"/>
      <c r="Q41" s="376"/>
      <c r="R41" s="374">
        <v>1.1200000000000001</v>
      </c>
      <c r="S41" s="376">
        <v>1.1299999999999999</v>
      </c>
      <c r="T41" s="374">
        <v>1.1499999999999999</v>
      </c>
    </row>
    <row r="42" spans="1:20" x14ac:dyDescent="0.2">
      <c r="A42" s="376" t="s">
        <v>478</v>
      </c>
      <c r="B42" s="376"/>
      <c r="C42" s="376"/>
      <c r="D42" s="394">
        <v>3017</v>
      </c>
      <c r="E42" s="394">
        <v>2401</v>
      </c>
      <c r="F42" s="394">
        <v>1785</v>
      </c>
      <c r="G42" s="376"/>
      <c r="H42" s="376"/>
      <c r="I42" s="376"/>
      <c r="J42" s="376"/>
      <c r="K42" s="376"/>
      <c r="L42" s="376"/>
      <c r="M42" s="376"/>
      <c r="N42" s="376"/>
      <c r="O42" s="376" t="s">
        <v>478</v>
      </c>
      <c r="P42" s="376"/>
      <c r="Q42" s="376"/>
      <c r="R42" s="374">
        <v>0.81</v>
      </c>
      <c r="S42" s="376">
        <v>0.82</v>
      </c>
      <c r="T42" s="374">
        <v>0.82</v>
      </c>
    </row>
    <row r="43" spans="1:20" x14ac:dyDescent="0.2">
      <c r="A43" s="376" t="s">
        <v>329</v>
      </c>
      <c r="B43" s="376"/>
      <c r="C43" s="376"/>
      <c r="D43" s="394">
        <v>3177</v>
      </c>
      <c r="E43" s="394">
        <v>2507</v>
      </c>
      <c r="F43" s="394">
        <v>1837</v>
      </c>
      <c r="G43" s="376"/>
      <c r="H43" s="376"/>
      <c r="I43" s="376"/>
      <c r="J43" s="376"/>
      <c r="K43" s="376"/>
      <c r="L43" s="376"/>
      <c r="M43" s="376"/>
      <c r="N43" s="376"/>
      <c r="O43" s="376" t="s">
        <v>329</v>
      </c>
      <c r="P43" s="376"/>
      <c r="Q43" s="376"/>
      <c r="R43" s="374">
        <v>0.75</v>
      </c>
      <c r="S43" s="376">
        <v>0.75</v>
      </c>
      <c r="T43" s="374">
        <v>0.76</v>
      </c>
    </row>
    <row r="44" spans="1:20" x14ac:dyDescent="0.2">
      <c r="A44" s="376" t="s">
        <v>424</v>
      </c>
      <c r="B44" s="376"/>
      <c r="C44" s="376"/>
      <c r="D44" s="394">
        <v>2737</v>
      </c>
      <c r="E44" s="394">
        <v>2182</v>
      </c>
      <c r="F44" s="394">
        <v>1627</v>
      </c>
      <c r="G44" s="376"/>
      <c r="H44" s="376"/>
      <c r="I44" s="376"/>
      <c r="J44" s="376"/>
      <c r="K44" s="376"/>
      <c r="L44" s="376"/>
      <c r="M44" s="376"/>
      <c r="N44" s="376"/>
      <c r="O44" s="376" t="s">
        <v>424</v>
      </c>
      <c r="P44" s="376"/>
      <c r="Q44" s="376"/>
      <c r="R44" s="374">
        <v>0.9</v>
      </c>
      <c r="S44" s="376">
        <v>0.91</v>
      </c>
      <c r="T44" s="374">
        <v>0.91</v>
      </c>
    </row>
    <row r="45" spans="1:20" x14ac:dyDescent="0.2">
      <c r="A45" s="376" t="s">
        <v>327</v>
      </c>
      <c r="B45" s="376"/>
      <c r="C45" s="376"/>
      <c r="D45" s="394">
        <v>3117</v>
      </c>
      <c r="E45" s="394">
        <v>2463</v>
      </c>
      <c r="F45" s="394">
        <v>1808</v>
      </c>
      <c r="G45" s="376"/>
      <c r="H45" s="376"/>
      <c r="I45" s="376"/>
      <c r="J45" s="376"/>
      <c r="K45" s="376"/>
      <c r="L45" s="376"/>
      <c r="M45" s="376"/>
      <c r="N45" s="376"/>
      <c r="O45" s="376" t="s">
        <v>327</v>
      </c>
      <c r="P45" s="376"/>
      <c r="Q45" s="376"/>
      <c r="R45" s="374">
        <v>0.77</v>
      </c>
      <c r="S45" s="376">
        <v>0.77</v>
      </c>
      <c r="T45" s="374">
        <v>0.78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indexed="47"/>
  </sheetPr>
  <dimension ref="A1:AK100"/>
  <sheetViews>
    <sheetView topLeftCell="A4" zoomScale="80" zoomScaleNormal="80" workbookViewId="0">
      <selection activeCell="A16" sqref="A1:XFD1048576"/>
    </sheetView>
  </sheetViews>
  <sheetFormatPr defaultColWidth="16.28515625" defaultRowHeight="12.75" x14ac:dyDescent="0.2"/>
  <cols>
    <col min="1" max="1" width="38.28515625" style="40" customWidth="1"/>
    <col min="2" max="2" width="25.42578125" style="40" customWidth="1"/>
    <col min="3" max="16384" width="16.28515625" style="40"/>
  </cols>
  <sheetData>
    <row r="1" spans="1:6" x14ac:dyDescent="0.2">
      <c r="A1" s="45" t="s">
        <v>2572</v>
      </c>
    </row>
    <row r="2" spans="1:6" x14ac:dyDescent="0.2">
      <c r="A2" s="45" t="s">
        <v>2573</v>
      </c>
    </row>
    <row r="4" spans="1:6" x14ac:dyDescent="0.2">
      <c r="A4" s="40" t="s">
        <v>2574</v>
      </c>
    </row>
    <row r="5" spans="1:6" x14ac:dyDescent="0.2">
      <c r="A5" s="40" t="s">
        <v>2575</v>
      </c>
    </row>
    <row r="7" spans="1:6" x14ac:dyDescent="0.2">
      <c r="B7" s="40" t="s">
        <v>2576</v>
      </c>
    </row>
    <row r="8" spans="1:6" x14ac:dyDescent="0.2">
      <c r="B8" s="45" t="s">
        <v>2577</v>
      </c>
    </row>
    <row r="9" spans="1:6" x14ac:dyDescent="0.2">
      <c r="B9" s="40" t="s">
        <v>2578</v>
      </c>
    </row>
    <row r="11" spans="1:6" x14ac:dyDescent="0.2">
      <c r="B11" s="45" t="s">
        <v>2579</v>
      </c>
    </row>
    <row r="12" spans="1:6" x14ac:dyDescent="0.2">
      <c r="B12" s="40" t="s">
        <v>2580</v>
      </c>
    </row>
    <row r="13" spans="1:6" x14ac:dyDescent="0.2">
      <c r="B13" s="77" t="e">
        <f>(#REF!*#REF!+#REF!*#REF!)/(#REF!+#REF!)</f>
        <v>#REF!</v>
      </c>
      <c r="C13" s="77" t="s">
        <v>2581</v>
      </c>
      <c r="D13" s="40" t="s">
        <v>2582</v>
      </c>
      <c r="E13" s="40" t="s">
        <v>2583</v>
      </c>
      <c r="F13" s="40" t="s">
        <v>2584</v>
      </c>
    </row>
    <row r="14" spans="1:6" x14ac:dyDescent="0.2">
      <c r="B14" s="77" t="e">
        <f>(#REF!*#REF!+#REF!*#REF!)/(#REF!+#REF!)</f>
        <v>#REF!</v>
      </c>
      <c r="C14" s="77" t="s">
        <v>2581</v>
      </c>
      <c r="D14" s="40" t="s">
        <v>2585</v>
      </c>
      <c r="E14" s="40" t="s">
        <v>2583</v>
      </c>
      <c r="F14" s="40" t="s">
        <v>2586</v>
      </c>
    </row>
    <row r="15" spans="1:6" x14ac:dyDescent="0.2">
      <c r="B15" s="77" t="e">
        <f>(#REF!*#REF!+#REF!*#REF!)/(#REF!+#REF!)</f>
        <v>#REF!</v>
      </c>
      <c r="C15" s="77" t="s">
        <v>2581</v>
      </c>
      <c r="D15" s="40" t="s">
        <v>329</v>
      </c>
      <c r="E15" s="40" t="s">
        <v>2583</v>
      </c>
      <c r="F15" s="40" t="s">
        <v>2584</v>
      </c>
    </row>
    <row r="16" spans="1:6" x14ac:dyDescent="0.2">
      <c r="B16" s="77" t="e">
        <f>#REF!</f>
        <v>#REF!</v>
      </c>
      <c r="C16" s="77" t="s">
        <v>2581</v>
      </c>
      <c r="D16" s="40" t="s">
        <v>2587</v>
      </c>
      <c r="E16" s="40" t="s">
        <v>2583</v>
      </c>
      <c r="F16" s="40" t="s">
        <v>2584</v>
      </c>
    </row>
    <row r="17" spans="2:17" x14ac:dyDescent="0.2">
      <c r="B17" s="77" t="e">
        <f>#REF!</f>
        <v>#REF!</v>
      </c>
      <c r="C17" s="77" t="s">
        <v>2581</v>
      </c>
      <c r="D17" s="40" t="s">
        <v>2588</v>
      </c>
      <c r="E17" s="40" t="s">
        <v>2583</v>
      </c>
      <c r="F17" s="40" t="s">
        <v>2586</v>
      </c>
    </row>
    <row r="18" spans="2:17" x14ac:dyDescent="0.2">
      <c r="B18" s="77" t="e">
        <f>(#REF!*#REF!+#REF!*#REF!)/(#REF!+#REF!)</f>
        <v>#REF!</v>
      </c>
      <c r="C18" s="77" t="s">
        <v>2581</v>
      </c>
      <c r="D18" s="40" t="s">
        <v>478</v>
      </c>
      <c r="E18" s="40" t="s">
        <v>2583</v>
      </c>
      <c r="F18" s="40" t="s">
        <v>2584</v>
      </c>
    </row>
    <row r="19" spans="2:17" x14ac:dyDescent="0.2">
      <c r="B19" s="77" t="e">
        <f>#REF!</f>
        <v>#REF!</v>
      </c>
      <c r="C19" s="77" t="s">
        <v>2581</v>
      </c>
      <c r="D19" s="40" t="s">
        <v>2589</v>
      </c>
      <c r="E19" s="40" t="s">
        <v>2583</v>
      </c>
      <c r="F19" s="52" t="s">
        <v>2586</v>
      </c>
      <c r="L19" s="52"/>
      <c r="Q19" s="77"/>
    </row>
    <row r="20" spans="2:17" x14ac:dyDescent="0.2">
      <c r="B20" s="77"/>
      <c r="C20" s="77"/>
      <c r="F20" s="52"/>
      <c r="L20" s="52"/>
      <c r="Q20" s="77"/>
    </row>
    <row r="21" spans="2:17" x14ac:dyDescent="0.2">
      <c r="B21" s="77" t="s">
        <v>2590</v>
      </c>
      <c r="C21" s="77"/>
      <c r="D21" s="40">
        <v>0.34</v>
      </c>
      <c r="F21" s="52"/>
      <c r="L21" s="52"/>
      <c r="Q21" s="77"/>
    </row>
    <row r="22" spans="2:17" x14ac:dyDescent="0.2">
      <c r="B22" s="77"/>
      <c r="C22" s="77"/>
      <c r="F22" s="52"/>
      <c r="L22" s="52"/>
      <c r="Q22" s="77"/>
    </row>
    <row r="23" spans="2:17" x14ac:dyDescent="0.2">
      <c r="B23" s="78" t="s">
        <v>2591</v>
      </c>
      <c r="C23" s="77"/>
      <c r="F23" s="52"/>
      <c r="Q23" s="77"/>
    </row>
    <row r="24" spans="2:17" x14ac:dyDescent="0.2">
      <c r="B24" s="77"/>
      <c r="C24" s="77"/>
      <c r="F24" s="52"/>
      <c r="Q24" s="77"/>
    </row>
    <row r="25" spans="2:17" x14ac:dyDescent="0.2">
      <c r="B25" s="40" t="s">
        <v>2592</v>
      </c>
      <c r="F25" s="52"/>
      <c r="I25" s="40" t="s">
        <v>2593</v>
      </c>
      <c r="Q25" s="77"/>
    </row>
    <row r="26" spans="2:17" x14ac:dyDescent="0.2">
      <c r="C26" s="40" t="s">
        <v>69</v>
      </c>
      <c r="D26" s="40" t="s">
        <v>2594</v>
      </c>
      <c r="E26" s="40" t="s">
        <v>2595</v>
      </c>
      <c r="F26" s="52"/>
      <c r="Q26" s="77"/>
    </row>
    <row r="27" spans="2:17" x14ac:dyDescent="0.2">
      <c r="B27" s="40" t="s">
        <v>2596</v>
      </c>
      <c r="C27" s="77" t="e">
        <f>O35</f>
        <v>#REF!</v>
      </c>
      <c r="D27" s="77" t="e">
        <f>1-C27</f>
        <v>#REF!</v>
      </c>
      <c r="E27" s="52" t="e">
        <f>N38</f>
        <v>#REF!</v>
      </c>
      <c r="F27" s="52"/>
      <c r="I27" s="40" t="s">
        <v>2597</v>
      </c>
      <c r="K27" s="40">
        <v>12000</v>
      </c>
      <c r="Q27" s="77"/>
    </row>
    <row r="28" spans="2:17" x14ac:dyDescent="0.2">
      <c r="B28" s="40" t="s">
        <v>2598</v>
      </c>
      <c r="C28" s="77">
        <f>1-D28</f>
        <v>0.26521554647620627</v>
      </c>
      <c r="D28" s="77">
        <f>'OTAQ Car'!AG18</f>
        <v>0.73478445352379373</v>
      </c>
      <c r="E28" s="52">
        <f>'OTAQ Car'!AF22</f>
        <v>1.4695689070475875</v>
      </c>
      <c r="F28" s="40" t="s">
        <v>2599</v>
      </c>
      <c r="I28" s="40" t="s">
        <v>2600</v>
      </c>
      <c r="K28" s="79">
        <v>35.5</v>
      </c>
      <c r="Q28" s="77"/>
    </row>
    <row r="29" spans="2:17" x14ac:dyDescent="0.2">
      <c r="B29" s="77"/>
      <c r="C29" s="77"/>
      <c r="F29" s="52"/>
      <c r="I29" s="40" t="s">
        <v>2601</v>
      </c>
      <c r="K29" s="40" t="e">
        <f>#REF!</f>
        <v>#REF!</v>
      </c>
      <c r="Q29" s="77"/>
    </row>
    <row r="30" spans="2:17" x14ac:dyDescent="0.2">
      <c r="B30" s="40" t="s">
        <v>2602</v>
      </c>
      <c r="F30" s="52"/>
      <c r="I30" s="40" t="s">
        <v>2603</v>
      </c>
      <c r="K30" s="80">
        <v>0.373</v>
      </c>
      <c r="Q30" s="77"/>
    </row>
    <row r="31" spans="2:17" x14ac:dyDescent="0.2">
      <c r="C31" s="40" t="s">
        <v>69</v>
      </c>
      <c r="D31" s="40" t="s">
        <v>2594</v>
      </c>
      <c r="E31" s="40" t="s">
        <v>2595</v>
      </c>
      <c r="F31" s="52"/>
      <c r="I31" s="79"/>
      <c r="Q31" s="77"/>
    </row>
    <row r="32" spans="2:17" x14ac:dyDescent="0.2">
      <c r="B32" s="40" t="s">
        <v>2596</v>
      </c>
      <c r="C32" s="77" t="e">
        <f>O35</f>
        <v>#REF!</v>
      </c>
      <c r="D32" s="77" t="e">
        <f>1-O35</f>
        <v>#REF!</v>
      </c>
      <c r="E32" s="52" t="e">
        <f>N38</f>
        <v>#REF!</v>
      </c>
      <c r="F32" s="52"/>
      <c r="M32" s="40" t="s">
        <v>71</v>
      </c>
      <c r="N32" s="40" t="s">
        <v>2604</v>
      </c>
      <c r="Q32" s="77"/>
    </row>
    <row r="33" spans="1:37" x14ac:dyDescent="0.2">
      <c r="B33" s="40" t="s">
        <v>2598</v>
      </c>
      <c r="C33" s="77" t="e">
        <f>1-D33</f>
        <v>#REF!</v>
      </c>
      <c r="D33" s="77" t="e">
        <f>#REF!</f>
        <v>#REF!</v>
      </c>
      <c r="E33" s="52" t="e">
        <f>#REF!</f>
        <v>#REF!</v>
      </c>
      <c r="F33" s="40" t="s">
        <v>2605</v>
      </c>
      <c r="I33" s="40" t="s">
        <v>2606</v>
      </c>
      <c r="J33" s="79" t="s">
        <v>2607</v>
      </c>
      <c r="K33" s="40" t="s">
        <v>2608</v>
      </c>
      <c r="L33" s="40" t="s">
        <v>2609</v>
      </c>
      <c r="M33" s="40" t="s">
        <v>2610</v>
      </c>
      <c r="N33" s="40" t="s">
        <v>2610</v>
      </c>
      <c r="O33" s="40" t="s">
        <v>413</v>
      </c>
      <c r="Q33" s="77"/>
    </row>
    <row r="34" spans="1:37" x14ac:dyDescent="0.2">
      <c r="B34" s="77"/>
      <c r="C34" s="77"/>
      <c r="F34" s="52"/>
      <c r="I34" s="40" t="s">
        <v>474</v>
      </c>
      <c r="J34" s="79" t="e">
        <f>K27-J35</f>
        <v>#REF!</v>
      </c>
      <c r="K34" s="40" t="e">
        <f>J34/K28</f>
        <v>#REF!</v>
      </c>
      <c r="L34" s="40" t="s">
        <v>2611</v>
      </c>
      <c r="M34" s="40" t="e">
        <f>K34*131.76/(10^9)</f>
        <v>#REF!</v>
      </c>
      <c r="N34" s="40" t="e">
        <f>K34</f>
        <v>#REF!</v>
      </c>
      <c r="O34" s="40" t="e">
        <f>N34/N36</f>
        <v>#REF!</v>
      </c>
      <c r="Q34" s="77"/>
    </row>
    <row r="35" spans="1:37" x14ac:dyDescent="0.2">
      <c r="B35" s="40" t="s">
        <v>2612</v>
      </c>
      <c r="I35" s="40" t="s">
        <v>2613</v>
      </c>
      <c r="J35" s="79" t="e">
        <f>K29*K27</f>
        <v>#REF!</v>
      </c>
      <c r="K35" s="40" t="e">
        <f>J35*K30</f>
        <v>#REF!</v>
      </c>
      <c r="L35" s="40" t="s">
        <v>576</v>
      </c>
      <c r="M35" s="40" t="e">
        <f>K35/(2.7778*10^8)</f>
        <v>#REF!</v>
      </c>
      <c r="N35" s="40" t="e">
        <f>M35*(10^9)/131.76</f>
        <v>#REF!</v>
      </c>
      <c r="O35" s="40" t="e">
        <f>N35/N36</f>
        <v>#REF!</v>
      </c>
      <c r="P35" s="77"/>
    </row>
    <row r="36" spans="1:37" x14ac:dyDescent="0.2">
      <c r="B36" s="40" t="s">
        <v>2614</v>
      </c>
      <c r="E36" s="40">
        <v>66.599999999999994</v>
      </c>
      <c r="F36" s="40" t="s">
        <v>2615</v>
      </c>
      <c r="M36" s="40" t="s">
        <v>405</v>
      </c>
      <c r="N36" s="40" t="e">
        <f>SUM(N34:N35)</f>
        <v>#REF!</v>
      </c>
    </row>
    <row r="37" spans="1:37" x14ac:dyDescent="0.2">
      <c r="M37" s="40" t="s">
        <v>2616</v>
      </c>
      <c r="N37" s="40" t="e">
        <f>K27/N36</f>
        <v>#REF!</v>
      </c>
    </row>
    <row r="38" spans="1:37" x14ac:dyDescent="0.2">
      <c r="B38" s="45" t="s">
        <v>2617</v>
      </c>
      <c r="J38" s="79"/>
      <c r="M38" s="40" t="s">
        <v>2618</v>
      </c>
      <c r="N38" s="40" t="e">
        <f>N37/K28</f>
        <v>#REF!</v>
      </c>
    </row>
    <row r="39" spans="1:37" x14ac:dyDescent="0.2">
      <c r="B39" s="40">
        <v>1</v>
      </c>
      <c r="C39" s="40" t="s">
        <v>543</v>
      </c>
      <c r="D39" s="81" t="s">
        <v>2619</v>
      </c>
      <c r="E39" s="40">
        <f>3599999.71/(10^15)</f>
        <v>3.5999997100000001E-9</v>
      </c>
      <c r="F39" s="40" t="s">
        <v>71</v>
      </c>
    </row>
    <row r="40" spans="1:37" x14ac:dyDescent="0.2">
      <c r="B40" s="40">
        <v>1</v>
      </c>
      <c r="C40" s="40" t="s">
        <v>2620</v>
      </c>
      <c r="D40" s="81" t="s">
        <v>2619</v>
      </c>
      <c r="E40" s="40">
        <f>131760000/(10^15)</f>
        <v>1.3176000000000001E-7</v>
      </c>
      <c r="F40" s="40" t="s">
        <v>71</v>
      </c>
    </row>
    <row r="42" spans="1:37" x14ac:dyDescent="0.2">
      <c r="D42" s="81"/>
      <c r="E42" s="40" t="s">
        <v>2621</v>
      </c>
    </row>
    <row r="43" spans="1:37" x14ac:dyDescent="0.2">
      <c r="A43" s="45" t="s">
        <v>2622</v>
      </c>
      <c r="E43" s="397"/>
      <c r="F43" s="397"/>
      <c r="G43" s="397"/>
      <c r="H43" s="397"/>
      <c r="I43" s="397"/>
      <c r="J43" s="397"/>
      <c r="K43" s="397"/>
      <c r="L43" s="397"/>
      <c r="M43" s="246"/>
      <c r="N43" s="246"/>
      <c r="O43" s="246"/>
      <c r="P43" s="397"/>
      <c r="Q43" s="397"/>
      <c r="R43" s="397"/>
      <c r="S43" s="397"/>
      <c r="T43" s="397"/>
      <c r="U43" s="397"/>
      <c r="V43" s="397"/>
      <c r="W43" s="397"/>
      <c r="X43" s="246"/>
      <c r="Y43" s="246"/>
      <c r="Z43" s="246"/>
      <c r="AA43" s="246"/>
    </row>
    <row r="44" spans="1:37" x14ac:dyDescent="0.2">
      <c r="E44" s="397" t="s">
        <v>2623</v>
      </c>
      <c r="F44" s="397"/>
      <c r="G44" s="397"/>
      <c r="H44" s="397"/>
      <c r="I44" s="397"/>
      <c r="J44" s="397"/>
      <c r="K44" s="397"/>
      <c r="L44" s="397"/>
      <c r="M44" s="246"/>
      <c r="N44" s="246"/>
      <c r="O44" s="246"/>
      <c r="P44" s="397" t="s">
        <v>2624</v>
      </c>
      <c r="Q44" s="397"/>
      <c r="R44" s="397"/>
      <c r="S44" s="397"/>
      <c r="T44" s="397"/>
      <c r="U44" s="397"/>
      <c r="V44" s="397"/>
      <c r="W44" s="397"/>
      <c r="X44" s="246"/>
      <c r="Y44" s="246"/>
      <c r="Z44" s="246"/>
      <c r="AA44" s="397" t="s">
        <v>2625</v>
      </c>
      <c r="AB44" s="397"/>
      <c r="AC44" s="397"/>
      <c r="AD44" s="397"/>
      <c r="AE44" s="397"/>
      <c r="AF44" s="397"/>
      <c r="AG44" s="397"/>
      <c r="AH44" s="397"/>
      <c r="AI44" s="246"/>
      <c r="AJ44" s="246"/>
      <c r="AK44" s="246"/>
    </row>
    <row r="45" spans="1:37" x14ac:dyDescent="0.2">
      <c r="D45" s="57" t="s">
        <v>758</v>
      </c>
      <c r="E45" s="83">
        <v>2005</v>
      </c>
      <c r="F45" s="83">
        <v>2010</v>
      </c>
      <c r="G45" s="83">
        <v>2015</v>
      </c>
      <c r="H45" s="83">
        <v>2020</v>
      </c>
      <c r="I45" s="83">
        <v>2025</v>
      </c>
      <c r="J45" s="83">
        <v>2030</v>
      </c>
      <c r="K45" s="83">
        <v>2035</v>
      </c>
      <c r="L45" s="83">
        <v>2040</v>
      </c>
      <c r="M45" s="83">
        <v>2045</v>
      </c>
      <c r="N45" s="83">
        <v>2050</v>
      </c>
      <c r="O45" s="83">
        <v>2055</v>
      </c>
      <c r="P45" s="83">
        <v>2005</v>
      </c>
      <c r="Q45" s="83">
        <v>2010</v>
      </c>
      <c r="R45" s="83">
        <v>2015</v>
      </c>
      <c r="S45" s="83">
        <v>2020</v>
      </c>
      <c r="T45" s="83">
        <v>2025</v>
      </c>
      <c r="U45" s="83">
        <v>2030</v>
      </c>
      <c r="V45" s="83">
        <v>2035</v>
      </c>
      <c r="W45" s="83">
        <v>2040</v>
      </c>
      <c r="X45" s="83">
        <v>2045</v>
      </c>
      <c r="Y45" s="83">
        <v>2050</v>
      </c>
      <c r="Z45" s="83">
        <v>2055</v>
      </c>
      <c r="AA45" s="83">
        <v>2005</v>
      </c>
      <c r="AB45" s="83">
        <v>2010</v>
      </c>
      <c r="AC45" s="83">
        <v>2015</v>
      </c>
      <c r="AD45" s="83">
        <v>2020</v>
      </c>
      <c r="AE45" s="83">
        <v>2025</v>
      </c>
      <c r="AF45" s="83">
        <v>2030</v>
      </c>
      <c r="AG45" s="83">
        <v>2035</v>
      </c>
      <c r="AH45" s="83">
        <v>2040</v>
      </c>
      <c r="AI45" s="83">
        <v>2045</v>
      </c>
      <c r="AJ45" s="83">
        <v>2050</v>
      </c>
      <c r="AK45" s="83">
        <v>2055</v>
      </c>
    </row>
    <row r="46" spans="1:37" x14ac:dyDescent="0.2">
      <c r="A46" s="40" t="s">
        <v>2626</v>
      </c>
      <c r="B46" s="40" t="s">
        <v>2627</v>
      </c>
      <c r="C46" s="40" t="s">
        <v>2628</v>
      </c>
      <c r="D46" s="40">
        <v>2005</v>
      </c>
      <c r="E46" s="52" t="e">
        <f>Efficiencies!D8</f>
        <v>#REF!</v>
      </c>
      <c r="F46" s="52" t="e">
        <f>Efficiencies!E8</f>
        <v>#REF!</v>
      </c>
      <c r="G46" s="52" t="e">
        <f>Efficiencies!F8</f>
        <v>#REF!</v>
      </c>
      <c r="H46" s="52" t="e">
        <f>Efficiencies!G8</f>
        <v>#REF!</v>
      </c>
      <c r="I46" s="52" t="e">
        <f>Efficiencies!H8</f>
        <v>#REF!</v>
      </c>
      <c r="J46" s="52" t="e">
        <f>Efficiencies!I8</f>
        <v>#REF!</v>
      </c>
      <c r="K46" s="52" t="e">
        <f>Efficiencies!J8</f>
        <v>#REF!</v>
      </c>
      <c r="L46" s="52" t="e">
        <f>Efficiencies!K8</f>
        <v>#REF!</v>
      </c>
      <c r="M46" s="52" t="e">
        <f>Efficiencies!L8</f>
        <v>#REF!</v>
      </c>
      <c r="N46" s="52" t="e">
        <f>Efficiencies!M8</f>
        <v>#REF!</v>
      </c>
      <c r="O46" s="52" t="e">
        <f>Efficiencies!N8</f>
        <v>#REF!</v>
      </c>
      <c r="P46" s="52" t="e">
        <f>E46*Efficiencies!$AC$50</f>
        <v>#REF!</v>
      </c>
      <c r="Q46" s="52" t="e">
        <f>F46*Efficiencies!$AC$50</f>
        <v>#REF!</v>
      </c>
      <c r="R46" s="52" t="e">
        <f>G46*Efficiencies!$AC$50</f>
        <v>#REF!</v>
      </c>
      <c r="S46" s="52" t="e">
        <f>H46*Efficiencies!$AC$50</f>
        <v>#REF!</v>
      </c>
      <c r="T46" s="52" t="e">
        <f>I46*Efficiencies!$AC$50</f>
        <v>#REF!</v>
      </c>
      <c r="U46" s="52" t="e">
        <f>J46*Efficiencies!$AC$50</f>
        <v>#REF!</v>
      </c>
      <c r="V46" s="52" t="e">
        <f>K46*Efficiencies!$AC$50</f>
        <v>#REF!</v>
      </c>
      <c r="W46" s="52" t="e">
        <f>L46*Efficiencies!$AC$50</f>
        <v>#REF!</v>
      </c>
      <c r="X46" s="52" t="e">
        <f>M46*Efficiencies!$AC$50</f>
        <v>#REF!</v>
      </c>
      <c r="Y46" s="52" t="e">
        <f>N46*Efficiencies!$AC$50</f>
        <v>#REF!</v>
      </c>
      <c r="Z46" s="52" t="e">
        <f>O46*Efficiencies!$AC$50</f>
        <v>#REF!</v>
      </c>
      <c r="AA46" s="52" t="e">
        <f>Costs!E7+$B13</f>
        <v>#REF!</v>
      </c>
      <c r="AB46" s="52" t="e">
        <f>Costs!F7+B13</f>
        <v>#REF!</v>
      </c>
      <c r="AC46" s="52" t="e">
        <f>Costs!G7+$B13</f>
        <v>#REF!</v>
      </c>
      <c r="AD46" s="52" t="e">
        <f>Costs!H7+$B13</f>
        <v>#REF!</v>
      </c>
      <c r="AE46" s="52" t="e">
        <f>Costs!I7+$B13</f>
        <v>#REF!</v>
      </c>
      <c r="AF46" s="52" t="e">
        <f>Costs!J7+$B13</f>
        <v>#REF!</v>
      </c>
      <c r="AG46" s="52" t="e">
        <f>Costs!K7+$B13</f>
        <v>#REF!</v>
      </c>
      <c r="AH46" s="52" t="e">
        <f>Costs!L7+$B13</f>
        <v>#REF!</v>
      </c>
      <c r="AI46" s="52" t="e">
        <f>Costs!M7+$B13</f>
        <v>#REF!</v>
      </c>
      <c r="AJ46" s="52" t="e">
        <f>Costs!N7+$B13</f>
        <v>#REF!</v>
      </c>
      <c r="AK46" s="52" t="e">
        <f>Costs!O7+$B13</f>
        <v>#REF!</v>
      </c>
    </row>
    <row r="47" spans="1:37" x14ac:dyDescent="0.2">
      <c r="A47" s="40" t="s">
        <v>2626</v>
      </c>
      <c r="B47" s="40" t="s">
        <v>2629</v>
      </c>
      <c r="C47" s="40" t="s">
        <v>2118</v>
      </c>
      <c r="D47" s="40">
        <v>2005</v>
      </c>
      <c r="E47" s="52" t="e">
        <f>Efficiencies!D17</f>
        <v>#REF!</v>
      </c>
      <c r="F47" s="52" t="e">
        <f>Efficiencies!E17</f>
        <v>#REF!</v>
      </c>
      <c r="G47" s="52" t="e">
        <f>Efficiencies!F17</f>
        <v>#REF!</v>
      </c>
      <c r="H47" s="52" t="e">
        <f>Efficiencies!G17</f>
        <v>#REF!</v>
      </c>
      <c r="I47" s="52" t="e">
        <f>Efficiencies!H17</f>
        <v>#REF!</v>
      </c>
      <c r="J47" s="52" t="e">
        <f>Efficiencies!I17</f>
        <v>#REF!</v>
      </c>
      <c r="K47" s="52" t="e">
        <f>Efficiencies!J17</f>
        <v>#REF!</v>
      </c>
      <c r="L47" s="52" t="e">
        <f>Efficiencies!K17</f>
        <v>#REF!</v>
      </c>
      <c r="M47" s="52" t="e">
        <f>Efficiencies!L17</f>
        <v>#REF!</v>
      </c>
      <c r="N47" s="52" t="e">
        <f>Efficiencies!M17</f>
        <v>#REF!</v>
      </c>
      <c r="O47" s="52" t="e">
        <f>Efficiencies!N17</f>
        <v>#REF!</v>
      </c>
      <c r="P47" s="52" t="e">
        <f>E47*Efficiencies!$AC$50</f>
        <v>#REF!</v>
      </c>
      <c r="Q47" s="52" t="e">
        <f>F47*Efficiencies!$AC$50</f>
        <v>#REF!</v>
      </c>
      <c r="R47" s="52" t="e">
        <f>G47*Efficiencies!$AC$50</f>
        <v>#REF!</v>
      </c>
      <c r="S47" s="52" t="e">
        <f>H47*Efficiencies!$AC$50</f>
        <v>#REF!</v>
      </c>
      <c r="T47" s="52" t="e">
        <f>I47*Efficiencies!$AC$50</f>
        <v>#REF!</v>
      </c>
      <c r="U47" s="52" t="e">
        <f>J47*Efficiencies!$AC$50</f>
        <v>#REF!</v>
      </c>
      <c r="V47" s="52" t="e">
        <f>K47*Efficiencies!$AC$50</f>
        <v>#REF!</v>
      </c>
      <c r="W47" s="52" t="e">
        <f>L47*Efficiencies!$AC$50</f>
        <v>#REF!</v>
      </c>
      <c r="X47" s="52" t="e">
        <f>M47*Efficiencies!$AC$50</f>
        <v>#REF!</v>
      </c>
      <c r="Y47" s="52" t="e">
        <f>N47*Efficiencies!$AC$50</f>
        <v>#REF!</v>
      </c>
      <c r="Z47" s="52" t="e">
        <f>O47*Efficiencies!$AC$50</f>
        <v>#REF!</v>
      </c>
      <c r="AA47" s="52" t="e">
        <f>Costs!E16+$B13</f>
        <v>#REF!</v>
      </c>
      <c r="AB47" s="52" t="e">
        <f>Costs!F16+$B13</f>
        <v>#REF!</v>
      </c>
      <c r="AC47" s="52" t="e">
        <f>Costs!G16+$B13</f>
        <v>#REF!</v>
      </c>
      <c r="AD47" s="52" t="e">
        <f>Costs!H16+$B13</f>
        <v>#REF!</v>
      </c>
      <c r="AE47" s="52" t="e">
        <f>Costs!I16+$B13</f>
        <v>#REF!</v>
      </c>
      <c r="AF47" s="52" t="e">
        <f>Costs!J16+$B13</f>
        <v>#REF!</v>
      </c>
      <c r="AG47" s="52" t="e">
        <f>Costs!K16+$B13</f>
        <v>#REF!</v>
      </c>
      <c r="AH47" s="52" t="e">
        <f>Costs!L16+$B13</f>
        <v>#REF!</v>
      </c>
      <c r="AI47" s="52" t="e">
        <f>Costs!M16+$B13</f>
        <v>#REF!</v>
      </c>
      <c r="AJ47" s="52" t="e">
        <f>Costs!N16+$B13</f>
        <v>#REF!</v>
      </c>
      <c r="AK47" s="52" t="e">
        <f>Costs!O16+$B13</f>
        <v>#REF!</v>
      </c>
    </row>
    <row r="48" spans="1:37" x14ac:dyDescent="0.2">
      <c r="A48" s="40" t="s">
        <v>2626</v>
      </c>
      <c r="B48" s="40" t="s">
        <v>2630</v>
      </c>
      <c r="C48" s="40" t="s">
        <v>2631</v>
      </c>
      <c r="D48" s="40">
        <v>2005</v>
      </c>
      <c r="E48" s="52" t="e">
        <f t="shared" ref="E48:O48" si="0">E49</f>
        <v>#REF!</v>
      </c>
      <c r="F48" s="52" t="e">
        <f t="shared" si="0"/>
        <v>#REF!</v>
      </c>
      <c r="G48" s="52" t="e">
        <f t="shared" si="0"/>
        <v>#REF!</v>
      </c>
      <c r="H48" s="52" t="e">
        <f t="shared" si="0"/>
        <v>#REF!</v>
      </c>
      <c r="I48" s="52" t="e">
        <f t="shared" si="0"/>
        <v>#REF!</v>
      </c>
      <c r="J48" s="52" t="e">
        <f t="shared" si="0"/>
        <v>#REF!</v>
      </c>
      <c r="K48" s="52" t="e">
        <f t="shared" si="0"/>
        <v>#REF!</v>
      </c>
      <c r="L48" s="52" t="e">
        <f t="shared" si="0"/>
        <v>#REF!</v>
      </c>
      <c r="M48" s="52" t="e">
        <f t="shared" si="0"/>
        <v>#REF!</v>
      </c>
      <c r="N48" s="52" t="e">
        <f t="shared" si="0"/>
        <v>#REF!</v>
      </c>
      <c r="O48" s="52" t="e">
        <f t="shared" si="0"/>
        <v>#REF!</v>
      </c>
      <c r="P48" s="52" t="e">
        <f>E48*Efficiencies!$AC$50</f>
        <v>#REF!</v>
      </c>
      <c r="Q48" s="52" t="e">
        <f>F48*Efficiencies!$AC$50</f>
        <v>#REF!</v>
      </c>
      <c r="R48" s="52" t="e">
        <f>G48*Efficiencies!$AC$50</f>
        <v>#REF!</v>
      </c>
      <c r="S48" s="52" t="e">
        <f>H48*Efficiencies!$AC$50</f>
        <v>#REF!</v>
      </c>
      <c r="T48" s="52" t="e">
        <f>I48*Efficiencies!$AC$50</f>
        <v>#REF!</v>
      </c>
      <c r="U48" s="52" t="e">
        <f>J48*Efficiencies!$AC$50</f>
        <v>#REF!</v>
      </c>
      <c r="V48" s="52" t="e">
        <f>K48*Efficiencies!$AC$50</f>
        <v>#REF!</v>
      </c>
      <c r="W48" s="52" t="e">
        <f>L48*Efficiencies!$AC$50</f>
        <v>#REF!</v>
      </c>
      <c r="X48" s="52" t="e">
        <f>M48*Efficiencies!$AC$50</f>
        <v>#REF!</v>
      </c>
      <c r="Y48" s="52" t="e">
        <f>N48*Efficiencies!$AC$50</f>
        <v>#REF!</v>
      </c>
      <c r="Z48" s="52" t="e">
        <f>O48*Efficiencies!$AC$50</f>
        <v>#REF!</v>
      </c>
      <c r="AA48" s="52" t="e">
        <f>AA49+B13</f>
        <v>#REF!</v>
      </c>
      <c r="AB48" s="52" t="e">
        <f t="shared" ref="AB48:AF48" si="1">AB49+$B13</f>
        <v>#REF!</v>
      </c>
      <c r="AC48" s="52" t="e">
        <f t="shared" si="1"/>
        <v>#REF!</v>
      </c>
      <c r="AD48" s="52" t="e">
        <f t="shared" si="1"/>
        <v>#REF!</v>
      </c>
      <c r="AE48" s="52" t="e">
        <f t="shared" si="1"/>
        <v>#REF!</v>
      </c>
      <c r="AF48" s="52" t="e">
        <f t="shared" si="1"/>
        <v>#REF!</v>
      </c>
      <c r="AG48" s="52" t="e">
        <f t="shared" ref="AG48:AK48" si="2">AG49+$B13</f>
        <v>#REF!</v>
      </c>
      <c r="AH48" s="52" t="e">
        <f t="shared" si="2"/>
        <v>#REF!</v>
      </c>
      <c r="AI48" s="52" t="e">
        <f t="shared" si="2"/>
        <v>#REF!</v>
      </c>
      <c r="AJ48" s="52" t="e">
        <f t="shared" si="2"/>
        <v>#REF!</v>
      </c>
      <c r="AK48" s="52" t="e">
        <f t="shared" si="2"/>
        <v>#REF!</v>
      </c>
    </row>
    <row r="49" spans="1:37" x14ac:dyDescent="0.2">
      <c r="A49" s="40" t="s">
        <v>2626</v>
      </c>
      <c r="B49" s="40" t="s">
        <v>2632</v>
      </c>
      <c r="C49" s="40" t="s">
        <v>2633</v>
      </c>
      <c r="D49" s="40">
        <v>2000</v>
      </c>
      <c r="E49" s="52" t="e">
        <f>(Efficiencies!D8+Efficiencies!D16)/2</f>
        <v>#REF!</v>
      </c>
      <c r="F49" s="52" t="e">
        <f>(Efficiencies!E8+Efficiencies!E16)/2</f>
        <v>#REF!</v>
      </c>
      <c r="G49" s="52" t="e">
        <f>(Efficiencies!F8+Efficiencies!F16)/2</f>
        <v>#REF!</v>
      </c>
      <c r="H49" s="52" t="e">
        <f>(Efficiencies!G8+Efficiencies!G16)/2</f>
        <v>#REF!</v>
      </c>
      <c r="I49" s="52" t="e">
        <f>(Efficiencies!H8+Efficiencies!H16)/2</f>
        <v>#REF!</v>
      </c>
      <c r="J49" s="52" t="e">
        <f>(Efficiencies!I8+Efficiencies!I16)/2</f>
        <v>#REF!</v>
      </c>
      <c r="K49" s="52" t="e">
        <f>(Efficiencies!J8+Efficiencies!J16)/2</f>
        <v>#REF!</v>
      </c>
      <c r="L49" s="52" t="e">
        <f>(Efficiencies!K8+Efficiencies!K16)/2</f>
        <v>#REF!</v>
      </c>
      <c r="M49" s="52" t="e">
        <f>(Efficiencies!L8+Efficiencies!L16)/2</f>
        <v>#REF!</v>
      </c>
      <c r="N49" s="52" t="e">
        <f>(Efficiencies!M8+Efficiencies!M16)/2</f>
        <v>#REF!</v>
      </c>
      <c r="O49" s="52" t="e">
        <f>(Efficiencies!N8+Efficiencies!N16)/2</f>
        <v>#REF!</v>
      </c>
      <c r="P49" s="52" t="e">
        <f>E49*Efficiencies!$AC$50</f>
        <v>#REF!</v>
      </c>
      <c r="Q49" s="52" t="e">
        <f>F49*Efficiencies!$AC$50</f>
        <v>#REF!</v>
      </c>
      <c r="R49" s="52" t="e">
        <f>G49*Efficiencies!$AC$50</f>
        <v>#REF!</v>
      </c>
      <c r="S49" s="52" t="e">
        <f>H49*Efficiencies!$AC$50</f>
        <v>#REF!</v>
      </c>
      <c r="T49" s="52" t="e">
        <f>I49*Efficiencies!$AC$50</f>
        <v>#REF!</v>
      </c>
      <c r="U49" s="52" t="e">
        <f>J49*Efficiencies!$AC$50</f>
        <v>#REF!</v>
      </c>
      <c r="V49" s="52" t="e">
        <f>K49*Efficiencies!$AC$50</f>
        <v>#REF!</v>
      </c>
      <c r="W49" s="52" t="e">
        <f>L49*Efficiencies!$AC$50</f>
        <v>#REF!</v>
      </c>
      <c r="X49" s="52" t="e">
        <f>M49*Efficiencies!$AC$50</f>
        <v>#REF!</v>
      </c>
      <c r="Y49" s="52" t="e">
        <f>N49*Efficiencies!$AC$50</f>
        <v>#REF!</v>
      </c>
      <c r="Z49" s="52" t="e">
        <f>O49*Efficiencies!$AC$50</f>
        <v>#REF!</v>
      </c>
      <c r="AA49" s="52">
        <f>(Costs!E7+Costs!E15)/2</f>
        <v>18.78</v>
      </c>
      <c r="AB49" s="52">
        <f>(Costs!F7+Costs!F15)/2</f>
        <v>22.1</v>
      </c>
      <c r="AC49" s="52">
        <f>(Costs!G7+Costs!G15)/2</f>
        <v>21.28</v>
      </c>
      <c r="AD49" s="52">
        <f>(Costs!H7+Costs!H15)/2</f>
        <v>22.234999999999999</v>
      </c>
      <c r="AE49" s="52">
        <f>(Costs!I7+Costs!I15)/2</f>
        <v>23.8</v>
      </c>
      <c r="AF49" s="52">
        <f>(Costs!J7+Costs!J15)/2</f>
        <v>23.83</v>
      </c>
      <c r="AG49" s="52">
        <f>(Costs!K7+Costs!K15)/2</f>
        <v>23.85</v>
      </c>
      <c r="AH49" s="52">
        <f>(Costs!L7+Costs!L15)/2</f>
        <v>23.86</v>
      </c>
      <c r="AI49" s="52">
        <f>(Costs!M7+Costs!M15)/2</f>
        <v>23.86</v>
      </c>
      <c r="AJ49" s="52">
        <f>(Costs!N7+Costs!N15)/2</f>
        <v>23.86</v>
      </c>
      <c r="AK49" s="52">
        <f>(Costs!O7+Costs!O15)/2</f>
        <v>23.86</v>
      </c>
    </row>
    <row r="50" spans="1:37" x14ac:dyDescent="0.2">
      <c r="A50" s="40" t="s">
        <v>2626</v>
      </c>
      <c r="B50" s="40" t="s">
        <v>2634</v>
      </c>
      <c r="C50" s="40" t="s">
        <v>2346</v>
      </c>
      <c r="D50" s="40">
        <v>2010</v>
      </c>
      <c r="E50" s="52" t="e">
        <f>F50</f>
        <v>#REF!</v>
      </c>
      <c r="F50" s="52" t="e">
        <f t="shared" ref="F50:O50" si="3">F51</f>
        <v>#REF!</v>
      </c>
      <c r="G50" s="52" t="e">
        <f t="shared" si="3"/>
        <v>#REF!</v>
      </c>
      <c r="H50" s="52" t="e">
        <f t="shared" si="3"/>
        <v>#REF!</v>
      </c>
      <c r="I50" s="52" t="e">
        <f t="shared" si="3"/>
        <v>#REF!</v>
      </c>
      <c r="J50" s="52" t="e">
        <f t="shared" si="3"/>
        <v>#REF!</v>
      </c>
      <c r="K50" s="52" t="e">
        <f t="shared" si="3"/>
        <v>#REF!</v>
      </c>
      <c r="L50" s="52" t="e">
        <f t="shared" si="3"/>
        <v>#REF!</v>
      </c>
      <c r="M50" s="52" t="e">
        <f t="shared" si="3"/>
        <v>#REF!</v>
      </c>
      <c r="N50" s="52" t="e">
        <f t="shared" si="3"/>
        <v>#REF!</v>
      </c>
      <c r="O50" s="52" t="e">
        <f t="shared" si="3"/>
        <v>#REF!</v>
      </c>
      <c r="P50" s="52" t="e">
        <f>Q50</f>
        <v>#REF!</v>
      </c>
      <c r="Q50" s="52" t="e">
        <f>F50*Efficiencies!$AC$50</f>
        <v>#REF!</v>
      </c>
      <c r="R50" s="52" t="e">
        <f>G50*Efficiencies!$AC$50</f>
        <v>#REF!</v>
      </c>
      <c r="S50" s="52" t="e">
        <f>H50*Efficiencies!$AC$50</f>
        <v>#REF!</v>
      </c>
      <c r="T50" s="52" t="e">
        <f>I50*Efficiencies!$AC$50</f>
        <v>#REF!</v>
      </c>
      <c r="U50" s="52" t="e">
        <f>J50*Efficiencies!$AC$50</f>
        <v>#REF!</v>
      </c>
      <c r="V50" s="52" t="e">
        <f>K50*Efficiencies!$AC$50</f>
        <v>#REF!</v>
      </c>
      <c r="W50" s="52" t="e">
        <f>L50*Efficiencies!$AC$50</f>
        <v>#REF!</v>
      </c>
      <c r="X50" s="52" t="e">
        <f>M50*Efficiencies!$AC$50</f>
        <v>#REF!</v>
      </c>
      <c r="Y50" s="52" t="e">
        <f>N50*Efficiencies!$AC$50</f>
        <v>#REF!</v>
      </c>
      <c r="Z50" s="52" t="e">
        <f>O50*Efficiencies!$AC$50</f>
        <v>#REF!</v>
      </c>
      <c r="AA50" s="52"/>
      <c r="AB50" s="52" t="e">
        <f t="shared" ref="AB50:AF50" si="4">AB51+$B13</f>
        <v>#REF!</v>
      </c>
      <c r="AC50" s="52" t="e">
        <f t="shared" si="4"/>
        <v>#REF!</v>
      </c>
      <c r="AD50" s="52" t="e">
        <f t="shared" si="4"/>
        <v>#REF!</v>
      </c>
      <c r="AE50" s="52" t="e">
        <f t="shared" si="4"/>
        <v>#REF!</v>
      </c>
      <c r="AF50" s="52" t="e">
        <f t="shared" si="4"/>
        <v>#REF!</v>
      </c>
      <c r="AG50" s="52" t="e">
        <f t="shared" ref="AG50:AK50" si="5">AG51+$B13</f>
        <v>#REF!</v>
      </c>
      <c r="AH50" s="52" t="e">
        <f t="shared" si="5"/>
        <v>#REF!</v>
      </c>
      <c r="AI50" s="52" t="e">
        <f t="shared" si="5"/>
        <v>#REF!</v>
      </c>
      <c r="AJ50" s="52" t="e">
        <f t="shared" si="5"/>
        <v>#REF!</v>
      </c>
      <c r="AK50" s="52" t="e">
        <f t="shared" si="5"/>
        <v>#REF!</v>
      </c>
    </row>
    <row r="51" spans="1:37" x14ac:dyDescent="0.2">
      <c r="A51" s="40" t="s">
        <v>2626</v>
      </c>
      <c r="B51" s="40" t="s">
        <v>2635</v>
      </c>
      <c r="C51" s="40" t="s">
        <v>2232</v>
      </c>
      <c r="D51" s="40">
        <v>2010</v>
      </c>
      <c r="E51" s="52" t="e">
        <f>F51</f>
        <v>#REF!</v>
      </c>
      <c r="F51" s="52" t="e">
        <f>(Efficiencies!E19+Efficiencies!E17)/2</f>
        <v>#REF!</v>
      </c>
      <c r="G51" s="52" t="e">
        <f>(Efficiencies!F19+Efficiencies!F17)/2</f>
        <v>#REF!</v>
      </c>
      <c r="H51" s="52" t="e">
        <f>(Efficiencies!G19+Efficiencies!G17)/2</f>
        <v>#REF!</v>
      </c>
      <c r="I51" s="52" t="e">
        <f>(Efficiencies!H19+Efficiencies!H17)/2</f>
        <v>#REF!</v>
      </c>
      <c r="J51" s="52" t="e">
        <f>(Efficiencies!I19+Efficiencies!I17)/2</f>
        <v>#REF!</v>
      </c>
      <c r="K51" s="52" t="e">
        <f>(Efficiencies!J19+Efficiencies!J17)/2</f>
        <v>#REF!</v>
      </c>
      <c r="L51" s="52" t="e">
        <f>(Efficiencies!K19+Efficiencies!K17)/2</f>
        <v>#REF!</v>
      </c>
      <c r="M51" s="52" t="e">
        <f>(Efficiencies!L19+Efficiencies!L17)/2</f>
        <v>#REF!</v>
      </c>
      <c r="N51" s="52" t="e">
        <f>(Efficiencies!M19+Efficiencies!M17)/2</f>
        <v>#REF!</v>
      </c>
      <c r="O51" s="52" t="e">
        <f>(Efficiencies!N19+Efficiencies!N17)/2</f>
        <v>#REF!</v>
      </c>
      <c r="P51" s="52" t="e">
        <f>Q51</f>
        <v>#REF!</v>
      </c>
      <c r="Q51" s="52" t="e">
        <f>F51*Efficiencies!$AC$50</f>
        <v>#REF!</v>
      </c>
      <c r="R51" s="52" t="e">
        <f>G51*Efficiencies!$AC$50</f>
        <v>#REF!</v>
      </c>
      <c r="S51" s="52" t="e">
        <f>H51*Efficiencies!$AC$50</f>
        <v>#REF!</v>
      </c>
      <c r="T51" s="52" t="e">
        <f>I51*Efficiencies!$AC$50</f>
        <v>#REF!</v>
      </c>
      <c r="U51" s="52" t="e">
        <f>J51*Efficiencies!$AC$50</f>
        <v>#REF!</v>
      </c>
      <c r="V51" s="52" t="e">
        <f>K51*Efficiencies!$AC$50</f>
        <v>#REF!</v>
      </c>
      <c r="W51" s="52" t="e">
        <f>L51*Efficiencies!$AC$50</f>
        <v>#REF!</v>
      </c>
      <c r="X51" s="52" t="e">
        <f>M51*Efficiencies!$AC$50</f>
        <v>#REF!</v>
      </c>
      <c r="Y51" s="52" t="e">
        <f>N51*Efficiencies!$AC$50</f>
        <v>#REF!</v>
      </c>
      <c r="Z51" s="52" t="e">
        <f>O51*Efficiencies!$AC$50</f>
        <v>#REF!</v>
      </c>
      <c r="AA51" s="52"/>
      <c r="AB51" s="52">
        <f>(Costs!F18-Costs!F16)*$E$36/100+Costs!F16</f>
        <v>27.828239999999997</v>
      </c>
      <c r="AC51" s="52">
        <f>(Costs!G18-Costs!G16)*$E$36/100+Costs!G16</f>
        <v>25.9862</v>
      </c>
      <c r="AD51" s="52">
        <f>(Costs!H18-Costs!H16)*$E$36/100+Costs!H16</f>
        <v>26.80594</v>
      </c>
      <c r="AE51" s="52">
        <f>(Costs!I18-Costs!I16)*$E$36/100+Costs!I16</f>
        <v>28.00854</v>
      </c>
      <c r="AF51" s="52">
        <f>(Costs!J18-Costs!J16)*$E$36/100+Costs!J16</f>
        <v>27.868199999999998</v>
      </c>
      <c r="AG51" s="52">
        <f>(Costs!K18-Costs!K16)*$E$36/100+Costs!K16</f>
        <v>27.838100000000001</v>
      </c>
      <c r="AH51" s="52">
        <f>(Costs!L18-Costs!L16)*$E$36/100+Costs!L16</f>
        <v>27.83474</v>
      </c>
      <c r="AI51" s="52">
        <f>(Costs!M18-Costs!M16)*$E$36/100+Costs!M16</f>
        <v>27.83474</v>
      </c>
      <c r="AJ51" s="52">
        <f>(Costs!N18-Costs!N16)*$E$36/100+Costs!N16</f>
        <v>27.83474</v>
      </c>
      <c r="AK51" s="52">
        <f>(Costs!O18-Costs!O16)*$E$36/100+Costs!O16</f>
        <v>27.83474</v>
      </c>
    </row>
    <row r="52" spans="1:37" x14ac:dyDescent="0.2">
      <c r="A52" s="40" t="s">
        <v>2626</v>
      </c>
      <c r="B52" s="40" t="s">
        <v>2636</v>
      </c>
      <c r="C52" s="40" t="s">
        <v>2460</v>
      </c>
      <c r="D52" s="40">
        <v>2010</v>
      </c>
      <c r="E52" s="52" t="e">
        <f>F52</f>
        <v>#REF!</v>
      </c>
      <c r="F52" s="52" t="e">
        <f>Efficiencies!E19</f>
        <v>#REF!</v>
      </c>
      <c r="G52" s="52" t="e">
        <f>Efficiencies!F19</f>
        <v>#REF!</v>
      </c>
      <c r="H52" s="52" t="e">
        <f>Efficiencies!G19</f>
        <v>#REF!</v>
      </c>
      <c r="I52" s="52" t="e">
        <f>Efficiencies!H19</f>
        <v>#REF!</v>
      </c>
      <c r="J52" s="52" t="e">
        <f>Efficiencies!I19</f>
        <v>#REF!</v>
      </c>
      <c r="K52" s="52" t="e">
        <f>Efficiencies!J19</f>
        <v>#REF!</v>
      </c>
      <c r="L52" s="52" t="e">
        <f>Efficiencies!K19</f>
        <v>#REF!</v>
      </c>
      <c r="M52" s="52" t="e">
        <f>Efficiencies!L19</f>
        <v>#REF!</v>
      </c>
      <c r="N52" s="52" t="e">
        <f>Efficiencies!M19</f>
        <v>#REF!</v>
      </c>
      <c r="O52" s="52" t="e">
        <f>Efficiencies!N19</f>
        <v>#REF!</v>
      </c>
      <c r="P52" s="52" t="e">
        <f>Q52</f>
        <v>#REF!</v>
      </c>
      <c r="Q52" s="52" t="e">
        <f>F52*Efficiencies!$AC$50</f>
        <v>#REF!</v>
      </c>
      <c r="R52" s="52" t="e">
        <f>G52*Efficiencies!$AC$50</f>
        <v>#REF!</v>
      </c>
      <c r="S52" s="52" t="e">
        <f>H52*Efficiencies!$AC$50</f>
        <v>#REF!</v>
      </c>
      <c r="T52" s="52" t="e">
        <f>I52*Efficiencies!$AC$50</f>
        <v>#REF!</v>
      </c>
      <c r="U52" s="52" t="e">
        <f>J52*Efficiencies!$AC$50</f>
        <v>#REF!</v>
      </c>
      <c r="V52" s="52" t="e">
        <f>K52*Efficiencies!$AC$50</f>
        <v>#REF!</v>
      </c>
      <c r="W52" s="52" t="e">
        <f>L52*Efficiencies!$AC$50</f>
        <v>#REF!</v>
      </c>
      <c r="X52" s="52" t="e">
        <f>M52*Efficiencies!$AC$50</f>
        <v>#REF!</v>
      </c>
      <c r="Y52" s="52" t="e">
        <f>N52*Efficiencies!$AC$50</f>
        <v>#REF!</v>
      </c>
      <c r="Z52" s="52" t="e">
        <f>O52*Efficiencies!$AC$50</f>
        <v>#REF!</v>
      </c>
      <c r="AA52" s="52"/>
      <c r="AB52" s="52" t="e">
        <f>Costs!F18+$B13</f>
        <v>#REF!</v>
      </c>
      <c r="AC52" s="52" t="e">
        <f>Costs!G18+$B13</f>
        <v>#REF!</v>
      </c>
      <c r="AD52" s="52" t="e">
        <f>Costs!H18+$B13</f>
        <v>#REF!</v>
      </c>
      <c r="AE52" s="52" t="e">
        <f>Costs!I18+$B13</f>
        <v>#REF!</v>
      </c>
      <c r="AF52" s="52" t="e">
        <f>Costs!J18+$B13</f>
        <v>#REF!</v>
      </c>
      <c r="AG52" s="52" t="e">
        <f>Costs!K18+$B13</f>
        <v>#REF!</v>
      </c>
      <c r="AH52" s="52" t="e">
        <f>Costs!L18+$B13</f>
        <v>#REF!</v>
      </c>
      <c r="AI52" s="52" t="e">
        <f>Costs!M18+$B13</f>
        <v>#REF!</v>
      </c>
      <c r="AJ52" s="52" t="e">
        <f>Costs!N18+$B13</f>
        <v>#REF!</v>
      </c>
      <c r="AK52" s="52" t="e">
        <f>Costs!O18+$B13</f>
        <v>#REF!</v>
      </c>
    </row>
    <row r="53" spans="1:37" x14ac:dyDescent="0.2">
      <c r="A53" s="40" t="s">
        <v>2637</v>
      </c>
      <c r="B53" s="40" t="s">
        <v>2627</v>
      </c>
      <c r="C53" s="40" t="s">
        <v>2638</v>
      </c>
      <c r="D53" s="40">
        <v>2010</v>
      </c>
      <c r="E53" s="52" t="e">
        <f>Efficiencies!D20</f>
        <v>#REF!</v>
      </c>
      <c r="F53" s="52" t="e">
        <f>Efficiencies!E20</f>
        <v>#REF!</v>
      </c>
      <c r="G53" s="52" t="e">
        <f>Efficiencies!F20</f>
        <v>#REF!</v>
      </c>
      <c r="H53" s="52" t="e">
        <f>Efficiencies!G20</f>
        <v>#REF!</v>
      </c>
      <c r="I53" s="52" t="e">
        <f>Efficiencies!H20</f>
        <v>#REF!</v>
      </c>
      <c r="J53" s="52" t="e">
        <f>Efficiencies!I20</f>
        <v>#REF!</v>
      </c>
      <c r="K53" s="52" t="e">
        <f>Efficiencies!J20</f>
        <v>#REF!</v>
      </c>
      <c r="L53" s="52" t="e">
        <f>Efficiencies!K20</f>
        <v>#REF!</v>
      </c>
      <c r="M53" s="52" t="e">
        <f>Efficiencies!L20</f>
        <v>#REF!</v>
      </c>
      <c r="N53" s="52" t="e">
        <f>Efficiencies!M20</f>
        <v>#REF!</v>
      </c>
      <c r="O53" s="52" t="e">
        <f>Efficiencies!N20</f>
        <v>#REF!</v>
      </c>
      <c r="P53" s="52" t="e">
        <f>E53*Efficiencies!$AC$50</f>
        <v>#REF!</v>
      </c>
      <c r="Q53" s="52" t="e">
        <f>F53*Efficiencies!$AC$50</f>
        <v>#REF!</v>
      </c>
      <c r="R53" s="52" t="e">
        <f>G53*Efficiencies!$AC$50</f>
        <v>#REF!</v>
      </c>
      <c r="S53" s="52" t="e">
        <f>H53*Efficiencies!$AC$50</f>
        <v>#REF!</v>
      </c>
      <c r="T53" s="52" t="e">
        <f>I53*Efficiencies!$AC$50</f>
        <v>#REF!</v>
      </c>
      <c r="U53" s="52" t="e">
        <f>J53*Efficiencies!$AC$50</f>
        <v>#REF!</v>
      </c>
      <c r="V53" s="52" t="e">
        <f>K53*Efficiencies!$AC$50</f>
        <v>#REF!</v>
      </c>
      <c r="W53" s="52" t="e">
        <f>L53*Efficiencies!$AC$50</f>
        <v>#REF!</v>
      </c>
      <c r="X53" s="52" t="e">
        <f>M53*Efficiencies!$AC$50</f>
        <v>#REF!</v>
      </c>
      <c r="Y53" s="52" t="e">
        <f>N53*Efficiencies!$AC$50</f>
        <v>#REF!</v>
      </c>
      <c r="Z53" s="52" t="e">
        <f>O53*Efficiencies!$AC$50</f>
        <v>#REF!</v>
      </c>
      <c r="AA53" s="52"/>
      <c r="AB53" s="52" t="e">
        <f>Costs!F19+$B14</f>
        <v>#REF!</v>
      </c>
      <c r="AC53" s="52" t="e">
        <f>Costs!G19+$B14</f>
        <v>#REF!</v>
      </c>
      <c r="AD53" s="52" t="e">
        <f>Costs!H19+$B14</f>
        <v>#REF!</v>
      </c>
      <c r="AE53" s="52" t="e">
        <f>Costs!I19+$B14</f>
        <v>#REF!</v>
      </c>
      <c r="AF53" s="52" t="e">
        <f>Costs!J19+$B14</f>
        <v>#REF!</v>
      </c>
      <c r="AG53" s="52" t="e">
        <f>Costs!K19+$B14</f>
        <v>#REF!</v>
      </c>
      <c r="AH53" s="52" t="e">
        <f>Costs!L19+$B14</f>
        <v>#REF!</v>
      </c>
      <c r="AI53" s="52" t="e">
        <f>Costs!M19+$B14</f>
        <v>#REF!</v>
      </c>
      <c r="AJ53" s="52" t="e">
        <f>Costs!N19+$B14</f>
        <v>#REF!</v>
      </c>
      <c r="AK53" s="52" t="e">
        <f>Costs!O19+$B14</f>
        <v>#REF!</v>
      </c>
    </row>
    <row r="54" spans="1:37" x14ac:dyDescent="0.2">
      <c r="A54" s="40" t="s">
        <v>2637</v>
      </c>
      <c r="B54" s="40" t="s">
        <v>2629</v>
      </c>
      <c r="C54" s="40" t="s">
        <v>2137</v>
      </c>
      <c r="D54" s="40">
        <v>2010</v>
      </c>
      <c r="E54" s="52" t="e">
        <f>Efficiencies!D36</f>
        <v>#REF!</v>
      </c>
      <c r="F54" s="52" t="e">
        <f>Efficiencies!E36</f>
        <v>#REF!</v>
      </c>
      <c r="G54" s="52" t="e">
        <f>Efficiencies!F36</f>
        <v>#REF!</v>
      </c>
      <c r="H54" s="52" t="e">
        <f>Efficiencies!G36</f>
        <v>#REF!</v>
      </c>
      <c r="I54" s="52" t="e">
        <f>Efficiencies!H36</f>
        <v>#REF!</v>
      </c>
      <c r="J54" s="52" t="e">
        <f>Efficiencies!I36</f>
        <v>#REF!</v>
      </c>
      <c r="K54" s="52" t="e">
        <f>Efficiencies!J36</f>
        <v>#REF!</v>
      </c>
      <c r="L54" s="52" t="e">
        <f>Efficiencies!K36</f>
        <v>#REF!</v>
      </c>
      <c r="M54" s="52" t="e">
        <f>Efficiencies!L36</f>
        <v>#REF!</v>
      </c>
      <c r="N54" s="52" t="e">
        <f>Efficiencies!M36</f>
        <v>#REF!</v>
      </c>
      <c r="O54" s="52" t="e">
        <f>Efficiencies!N36</f>
        <v>#REF!</v>
      </c>
      <c r="P54" s="52" t="e">
        <f>E54*Efficiencies!$AC$50</f>
        <v>#REF!</v>
      </c>
      <c r="Q54" s="52" t="e">
        <f>F54*Efficiencies!$AC$50</f>
        <v>#REF!</v>
      </c>
      <c r="R54" s="52" t="e">
        <f>G54*Efficiencies!$AC$50</f>
        <v>#REF!</v>
      </c>
      <c r="S54" s="52" t="e">
        <f>H54*Efficiencies!$AC$50</f>
        <v>#REF!</v>
      </c>
      <c r="T54" s="52" t="e">
        <f>I54*Efficiencies!$AC$50</f>
        <v>#REF!</v>
      </c>
      <c r="U54" s="52" t="e">
        <f>J54*Efficiencies!$AC$50</f>
        <v>#REF!</v>
      </c>
      <c r="V54" s="52" t="e">
        <f>K54*Efficiencies!$AC$50</f>
        <v>#REF!</v>
      </c>
      <c r="W54" s="52" t="e">
        <f>L54*Efficiencies!$AC$50</f>
        <v>#REF!</v>
      </c>
      <c r="X54" s="52" t="e">
        <f>M54*Efficiencies!$AC$50</f>
        <v>#REF!</v>
      </c>
      <c r="Y54" s="52" t="e">
        <f>N54*Efficiencies!$AC$50</f>
        <v>#REF!</v>
      </c>
      <c r="Z54" s="52" t="e">
        <f>O54*Efficiencies!$AC$50</f>
        <v>#REF!</v>
      </c>
      <c r="AA54" s="52"/>
      <c r="AB54" s="52" t="e">
        <f>Costs!F36+$B14</f>
        <v>#REF!</v>
      </c>
      <c r="AC54" s="52" t="e">
        <f>Costs!G36+$B14</f>
        <v>#REF!</v>
      </c>
      <c r="AD54" s="52" t="e">
        <f>Costs!H36+$B14</f>
        <v>#REF!</v>
      </c>
      <c r="AE54" s="52" t="e">
        <f>Costs!I36+$B14</f>
        <v>#REF!</v>
      </c>
      <c r="AF54" s="52" t="e">
        <f>Costs!J36+$B14</f>
        <v>#REF!</v>
      </c>
      <c r="AG54" s="52" t="e">
        <f>Costs!K36+$B14</f>
        <v>#REF!</v>
      </c>
      <c r="AH54" s="52" t="e">
        <f>Costs!L36+$B14</f>
        <v>#REF!</v>
      </c>
      <c r="AI54" s="52" t="e">
        <f>Costs!M36+$B14</f>
        <v>#REF!</v>
      </c>
      <c r="AJ54" s="52" t="e">
        <f>Costs!N36+$B14</f>
        <v>#REF!</v>
      </c>
      <c r="AK54" s="52" t="e">
        <f>Costs!O36+$B14</f>
        <v>#REF!</v>
      </c>
    </row>
    <row r="55" spans="1:37" x14ac:dyDescent="0.2">
      <c r="A55" s="40" t="s">
        <v>2637</v>
      </c>
      <c r="B55" s="40" t="s">
        <v>2630</v>
      </c>
      <c r="C55" s="40" t="s">
        <v>2639</v>
      </c>
      <c r="D55" s="40">
        <v>2010</v>
      </c>
      <c r="E55" s="52" t="e">
        <f t="shared" ref="E55:O55" si="6">E56</f>
        <v>#REF!</v>
      </c>
      <c r="F55" s="52" t="e">
        <f t="shared" si="6"/>
        <v>#REF!</v>
      </c>
      <c r="G55" s="52" t="e">
        <f t="shared" si="6"/>
        <v>#REF!</v>
      </c>
      <c r="H55" s="52" t="e">
        <f t="shared" si="6"/>
        <v>#REF!</v>
      </c>
      <c r="I55" s="52" t="e">
        <f t="shared" si="6"/>
        <v>#REF!</v>
      </c>
      <c r="J55" s="52" t="e">
        <f t="shared" si="6"/>
        <v>#REF!</v>
      </c>
      <c r="K55" s="52" t="e">
        <f t="shared" si="6"/>
        <v>#REF!</v>
      </c>
      <c r="L55" s="52" t="e">
        <f t="shared" si="6"/>
        <v>#REF!</v>
      </c>
      <c r="M55" s="52" t="e">
        <f t="shared" si="6"/>
        <v>#REF!</v>
      </c>
      <c r="N55" s="52" t="e">
        <f t="shared" si="6"/>
        <v>#REF!</v>
      </c>
      <c r="O55" s="52" t="e">
        <f t="shared" si="6"/>
        <v>#REF!</v>
      </c>
      <c r="P55" s="52" t="e">
        <f>E55*Efficiencies!$AC$50</f>
        <v>#REF!</v>
      </c>
      <c r="Q55" s="52" t="e">
        <f>F55*Efficiencies!$AC$50</f>
        <v>#REF!</v>
      </c>
      <c r="R55" s="52" t="e">
        <f>G55*Efficiencies!$AC$50</f>
        <v>#REF!</v>
      </c>
      <c r="S55" s="52" t="e">
        <f>H55*Efficiencies!$AC$50</f>
        <v>#REF!</v>
      </c>
      <c r="T55" s="52" t="e">
        <f>I55*Efficiencies!$AC$50</f>
        <v>#REF!</v>
      </c>
      <c r="U55" s="52" t="e">
        <f>J55*Efficiencies!$AC$50</f>
        <v>#REF!</v>
      </c>
      <c r="V55" s="52" t="e">
        <f>K55*Efficiencies!$AC$50</f>
        <v>#REF!</v>
      </c>
      <c r="W55" s="52" t="e">
        <f>L55*Efficiencies!$AC$50</f>
        <v>#REF!</v>
      </c>
      <c r="X55" s="52" t="e">
        <f>M55*Efficiencies!$AC$50</f>
        <v>#REF!</v>
      </c>
      <c r="Y55" s="52" t="e">
        <f>N55*Efficiencies!$AC$50</f>
        <v>#REF!</v>
      </c>
      <c r="Z55" s="52" t="e">
        <f>O55*Efficiencies!$AC$50</f>
        <v>#REF!</v>
      </c>
      <c r="AA55" s="52"/>
      <c r="AB55" s="52" t="e">
        <f t="shared" ref="AB55:AF55" si="7">AB56+$B14</f>
        <v>#REF!</v>
      </c>
      <c r="AC55" s="52" t="e">
        <f t="shared" si="7"/>
        <v>#REF!</v>
      </c>
      <c r="AD55" s="52" t="e">
        <f t="shared" si="7"/>
        <v>#REF!</v>
      </c>
      <c r="AE55" s="52" t="e">
        <f t="shared" si="7"/>
        <v>#REF!</v>
      </c>
      <c r="AF55" s="52" t="e">
        <f t="shared" si="7"/>
        <v>#REF!</v>
      </c>
      <c r="AG55" s="52" t="e">
        <f t="shared" ref="AG55:AK55" si="8">AG56+$B14</f>
        <v>#REF!</v>
      </c>
      <c r="AH55" s="52" t="e">
        <f t="shared" si="8"/>
        <v>#REF!</v>
      </c>
      <c r="AI55" s="52" t="e">
        <f t="shared" si="8"/>
        <v>#REF!</v>
      </c>
      <c r="AJ55" s="52" t="e">
        <f t="shared" si="8"/>
        <v>#REF!</v>
      </c>
      <c r="AK55" s="52" t="e">
        <f t="shared" si="8"/>
        <v>#REF!</v>
      </c>
    </row>
    <row r="56" spans="1:37" x14ac:dyDescent="0.2">
      <c r="A56" s="40" t="s">
        <v>2637</v>
      </c>
      <c r="B56" s="40" t="s">
        <v>2632</v>
      </c>
      <c r="C56" s="40" t="s">
        <v>2640</v>
      </c>
      <c r="D56" s="40">
        <v>2000</v>
      </c>
      <c r="E56" s="52" t="e">
        <f>(Efficiencies!D20+Efficiencies!D35)/2</f>
        <v>#REF!</v>
      </c>
      <c r="F56" s="52" t="e">
        <f>(Efficiencies!E20+Efficiencies!E35)/2</f>
        <v>#REF!</v>
      </c>
      <c r="G56" s="52" t="e">
        <f>(Efficiencies!F20+Efficiencies!F35)/2</f>
        <v>#REF!</v>
      </c>
      <c r="H56" s="52" t="e">
        <f>(Efficiencies!G20+Efficiencies!G35)/2</f>
        <v>#REF!</v>
      </c>
      <c r="I56" s="52" t="e">
        <f>(Efficiencies!H20+Efficiencies!H35)/2</f>
        <v>#REF!</v>
      </c>
      <c r="J56" s="52" t="e">
        <f>(Efficiencies!I20+Efficiencies!I35)/2</f>
        <v>#REF!</v>
      </c>
      <c r="K56" s="52" t="e">
        <f>(Efficiencies!J20+Efficiencies!J35)/2</f>
        <v>#REF!</v>
      </c>
      <c r="L56" s="52" t="e">
        <f>(Efficiencies!K20+Efficiencies!K35)/2</f>
        <v>#REF!</v>
      </c>
      <c r="M56" s="52" t="e">
        <f>(Efficiencies!L20+Efficiencies!L35)/2</f>
        <v>#REF!</v>
      </c>
      <c r="N56" s="52" t="e">
        <f>(Efficiencies!M20+Efficiencies!M35)/2</f>
        <v>#REF!</v>
      </c>
      <c r="O56" s="52" t="e">
        <f>(Efficiencies!N20+Efficiencies!N35)/2</f>
        <v>#REF!</v>
      </c>
      <c r="P56" s="52" t="e">
        <f>E56*Efficiencies!$AC$50</f>
        <v>#REF!</v>
      </c>
      <c r="Q56" s="52" t="e">
        <f>F56*Efficiencies!$AC$50</f>
        <v>#REF!</v>
      </c>
      <c r="R56" s="52" t="e">
        <f>G56*Efficiencies!$AC$50</f>
        <v>#REF!</v>
      </c>
      <c r="S56" s="52" t="e">
        <f>H56*Efficiencies!$AC$50</f>
        <v>#REF!</v>
      </c>
      <c r="T56" s="52" t="e">
        <f>I56*Efficiencies!$AC$50</f>
        <v>#REF!</v>
      </c>
      <c r="U56" s="52" t="e">
        <f>J56*Efficiencies!$AC$50</f>
        <v>#REF!</v>
      </c>
      <c r="V56" s="52" t="e">
        <f>K56*Efficiencies!$AC$50</f>
        <v>#REF!</v>
      </c>
      <c r="W56" s="52" t="e">
        <f>L56*Efficiencies!$AC$50</f>
        <v>#REF!</v>
      </c>
      <c r="X56" s="52" t="e">
        <f>M56*Efficiencies!$AC$50</f>
        <v>#REF!</v>
      </c>
      <c r="Y56" s="52" t="e">
        <f>N56*Efficiencies!$AC$50</f>
        <v>#REF!</v>
      </c>
      <c r="Z56" s="52" t="e">
        <f>O56*Efficiencies!$AC$50</f>
        <v>#REF!</v>
      </c>
      <c r="AA56" s="52">
        <f>(Costs!E19+Costs!E35)/2</f>
        <v>26.11</v>
      </c>
      <c r="AB56" s="52">
        <f>(Costs!F19+Costs!F35)/2</f>
        <v>26.77</v>
      </c>
      <c r="AC56" s="52">
        <f>(Costs!G19+Costs!G35)/2</f>
        <v>26.515000000000001</v>
      </c>
      <c r="AD56" s="52">
        <f>(Costs!H19+Costs!H35)/2</f>
        <v>27.375</v>
      </c>
      <c r="AE56" s="52">
        <f>(Costs!I19+Costs!I35)/2</f>
        <v>28.91</v>
      </c>
      <c r="AF56" s="52">
        <f>(Costs!J19+Costs!J35)/2</f>
        <v>28.954999999999998</v>
      </c>
      <c r="AG56" s="52">
        <f>(Costs!K19+Costs!K35)/2</f>
        <v>28.97</v>
      </c>
      <c r="AH56" s="52">
        <f>(Costs!L19+Costs!L35)/2</f>
        <v>28.98</v>
      </c>
      <c r="AI56" s="52">
        <f>(Costs!M19+Costs!M35)/2</f>
        <v>28.98</v>
      </c>
      <c r="AJ56" s="52">
        <f>(Costs!N19+Costs!N35)/2</f>
        <v>28.98</v>
      </c>
      <c r="AK56" s="52">
        <f>(Costs!O19+Costs!O35)/2</f>
        <v>28.98</v>
      </c>
    </row>
    <row r="57" spans="1:37" x14ac:dyDescent="0.2">
      <c r="A57" s="40" t="s">
        <v>2637</v>
      </c>
      <c r="B57" s="40" t="s">
        <v>2634</v>
      </c>
      <c r="C57" s="40" t="s">
        <v>2365</v>
      </c>
      <c r="D57" s="40">
        <v>2010</v>
      </c>
      <c r="E57" s="52" t="e">
        <f>F57</f>
        <v>#REF!</v>
      </c>
      <c r="F57" s="52" t="e">
        <f t="shared" ref="F57:J57" si="9">F51</f>
        <v>#REF!</v>
      </c>
      <c r="G57" s="52" t="e">
        <f t="shared" si="9"/>
        <v>#REF!</v>
      </c>
      <c r="H57" s="52" t="e">
        <f t="shared" si="9"/>
        <v>#REF!</v>
      </c>
      <c r="I57" s="52" t="e">
        <f t="shared" si="9"/>
        <v>#REF!</v>
      </c>
      <c r="J57" s="52" t="e">
        <f t="shared" si="9"/>
        <v>#REF!</v>
      </c>
      <c r="K57" s="52" t="e">
        <f t="shared" ref="K57:O57" si="10">K51</f>
        <v>#REF!</v>
      </c>
      <c r="L57" s="52" t="e">
        <f t="shared" si="10"/>
        <v>#REF!</v>
      </c>
      <c r="M57" s="52" t="e">
        <f t="shared" si="10"/>
        <v>#REF!</v>
      </c>
      <c r="N57" s="52" t="e">
        <f t="shared" si="10"/>
        <v>#REF!</v>
      </c>
      <c r="O57" s="52" t="e">
        <f t="shared" si="10"/>
        <v>#REF!</v>
      </c>
      <c r="P57" s="52" t="e">
        <f>Q57</f>
        <v>#REF!</v>
      </c>
      <c r="Q57" s="52" t="e">
        <f>F57*Efficiencies!$AC$50</f>
        <v>#REF!</v>
      </c>
      <c r="R57" s="52" t="e">
        <f>G57*Efficiencies!$AC$50</f>
        <v>#REF!</v>
      </c>
      <c r="S57" s="52" t="e">
        <f>H57*Efficiencies!$AC$50</f>
        <v>#REF!</v>
      </c>
      <c r="T57" s="52" t="e">
        <f>I57*Efficiencies!$AC$50</f>
        <v>#REF!</v>
      </c>
      <c r="U57" s="52" t="e">
        <f>J57*Efficiencies!$AC$50</f>
        <v>#REF!</v>
      </c>
      <c r="V57" s="52" t="e">
        <f>K57*Efficiencies!$AC$50</f>
        <v>#REF!</v>
      </c>
      <c r="W57" s="52" t="e">
        <f>L57*Efficiencies!$AC$50</f>
        <v>#REF!</v>
      </c>
      <c r="X57" s="52" t="e">
        <f>M57*Efficiencies!$AC$50</f>
        <v>#REF!</v>
      </c>
      <c r="Y57" s="52" t="e">
        <f>N57*Efficiencies!$AC$50</f>
        <v>#REF!</v>
      </c>
      <c r="Z57" s="52" t="e">
        <f>O57*Efficiencies!$AC$50</f>
        <v>#REF!</v>
      </c>
      <c r="AA57" s="52"/>
      <c r="AB57" s="52" t="e">
        <f t="shared" ref="AB57:AF57" si="11">AB58+$B14</f>
        <v>#REF!</v>
      </c>
      <c r="AC57" s="52" t="e">
        <f t="shared" si="11"/>
        <v>#REF!</v>
      </c>
      <c r="AD57" s="52" t="e">
        <f t="shared" si="11"/>
        <v>#REF!</v>
      </c>
      <c r="AE57" s="52" t="e">
        <f t="shared" si="11"/>
        <v>#REF!</v>
      </c>
      <c r="AF57" s="52" t="e">
        <f t="shared" si="11"/>
        <v>#REF!</v>
      </c>
      <c r="AG57" s="52" t="e">
        <f t="shared" ref="AG57:AK57" si="12">AG58+$B14</f>
        <v>#REF!</v>
      </c>
      <c r="AH57" s="52" t="e">
        <f t="shared" si="12"/>
        <v>#REF!</v>
      </c>
      <c r="AI57" s="52" t="e">
        <f t="shared" si="12"/>
        <v>#REF!</v>
      </c>
      <c r="AJ57" s="52" t="e">
        <f t="shared" si="12"/>
        <v>#REF!</v>
      </c>
      <c r="AK57" s="52" t="e">
        <f t="shared" si="12"/>
        <v>#REF!</v>
      </c>
    </row>
    <row r="58" spans="1:37" x14ac:dyDescent="0.2">
      <c r="A58" s="40" t="s">
        <v>2637</v>
      </c>
      <c r="B58" s="40" t="s">
        <v>2635</v>
      </c>
      <c r="C58" s="40" t="s">
        <v>2251</v>
      </c>
      <c r="D58" s="40">
        <v>2010</v>
      </c>
      <c r="E58" s="52" t="e">
        <f>F58</f>
        <v>#REF!</v>
      </c>
      <c r="F58" s="52" t="e">
        <f>(Efficiencies!E38+Efficiencies!E36)/2</f>
        <v>#REF!</v>
      </c>
      <c r="G58" s="52" t="e">
        <f>(Efficiencies!F38+Efficiencies!F36)/2</f>
        <v>#REF!</v>
      </c>
      <c r="H58" s="52" t="e">
        <f>(Efficiencies!G38+Efficiencies!G36)/2</f>
        <v>#REF!</v>
      </c>
      <c r="I58" s="52" t="e">
        <f>(Efficiencies!H38+Efficiencies!H36)/2</f>
        <v>#REF!</v>
      </c>
      <c r="J58" s="52" t="e">
        <f>(Efficiencies!I38+Efficiencies!I36)/2</f>
        <v>#REF!</v>
      </c>
      <c r="K58" s="52" t="e">
        <f>(Efficiencies!J38+Efficiencies!J36)/2</f>
        <v>#REF!</v>
      </c>
      <c r="L58" s="52" t="e">
        <f>(Efficiencies!K38+Efficiencies!K36)/2</f>
        <v>#REF!</v>
      </c>
      <c r="M58" s="52" t="e">
        <f>(Efficiencies!L38+Efficiencies!L36)/2</f>
        <v>#REF!</v>
      </c>
      <c r="N58" s="52" t="e">
        <f>(Efficiencies!M38+Efficiencies!M36)/2</f>
        <v>#REF!</v>
      </c>
      <c r="O58" s="52" t="e">
        <f>(Efficiencies!N38+Efficiencies!N36)/2</f>
        <v>#REF!</v>
      </c>
      <c r="P58" s="52" t="e">
        <f>Q58</f>
        <v>#REF!</v>
      </c>
      <c r="Q58" s="52" t="e">
        <f>F58*Efficiencies!$AC$50</f>
        <v>#REF!</v>
      </c>
      <c r="R58" s="52" t="e">
        <f>G58*Efficiencies!$AC$50</f>
        <v>#REF!</v>
      </c>
      <c r="S58" s="52" t="e">
        <f>H58*Efficiencies!$AC$50</f>
        <v>#REF!</v>
      </c>
      <c r="T58" s="52" t="e">
        <f>I58*Efficiencies!$AC$50</f>
        <v>#REF!</v>
      </c>
      <c r="U58" s="52" t="e">
        <f>J58*Efficiencies!$AC$50</f>
        <v>#REF!</v>
      </c>
      <c r="V58" s="52" t="e">
        <f>K58*Efficiencies!$AC$50</f>
        <v>#REF!</v>
      </c>
      <c r="W58" s="52" t="e">
        <f>L58*Efficiencies!$AC$50</f>
        <v>#REF!</v>
      </c>
      <c r="X58" s="52" t="e">
        <f>M58*Efficiencies!$AC$50</f>
        <v>#REF!</v>
      </c>
      <c r="Y58" s="52" t="e">
        <f>N58*Efficiencies!$AC$50</f>
        <v>#REF!</v>
      </c>
      <c r="Z58" s="52" t="e">
        <f>O58*Efficiencies!$AC$50</f>
        <v>#REF!</v>
      </c>
      <c r="AA58" s="52"/>
      <c r="AB58" s="52">
        <f>(Costs!F38-Costs!F36)*$E$36/100+Costs!F36</f>
        <v>32.334580000000003</v>
      </c>
      <c r="AC58" s="52">
        <f>(Costs!G38-Costs!G36)*$E$36/100+Costs!G36</f>
        <v>31.45</v>
      </c>
      <c r="AD58" s="52">
        <f>(Costs!H38-Costs!H36)*$E$36/100+Costs!H36</f>
        <v>32.156359999999999</v>
      </c>
      <c r="AE58" s="52">
        <f>(Costs!I38-Costs!I36)*$E$36/100+Costs!I36</f>
        <v>33.325620000000001</v>
      </c>
      <c r="AF58" s="52">
        <f>(Costs!J38-Costs!J36)*$E$36/100+Costs!J36</f>
        <v>33.168559999999999</v>
      </c>
      <c r="AG58" s="52">
        <f>(Costs!K38-Costs!K36)*$E$36/100+Costs!K36</f>
        <v>33.131779999999999</v>
      </c>
      <c r="AH58" s="52">
        <f>(Costs!L38-Costs!L36)*$E$36/100+Costs!L36</f>
        <v>33.125080000000004</v>
      </c>
      <c r="AI58" s="52">
        <f>(Costs!M38-Costs!M36)*$E$36/100+Costs!M36</f>
        <v>33.125080000000004</v>
      </c>
      <c r="AJ58" s="52">
        <f>(Costs!N38-Costs!N36)*$E$36/100+Costs!N36</f>
        <v>33.125080000000004</v>
      </c>
      <c r="AK58" s="52">
        <f>(Costs!O38-Costs!O36)*$E$36/100+Costs!O36</f>
        <v>33.125080000000004</v>
      </c>
    </row>
    <row r="59" spans="1:37" x14ac:dyDescent="0.2">
      <c r="A59" s="40" t="s">
        <v>2637</v>
      </c>
      <c r="B59" s="40" t="s">
        <v>2636</v>
      </c>
      <c r="C59" s="40" t="s">
        <v>2479</v>
      </c>
      <c r="D59" s="40">
        <v>2010</v>
      </c>
      <c r="E59" s="52" t="e">
        <f>F59</f>
        <v>#REF!</v>
      </c>
      <c r="F59" s="52" t="e">
        <f>Efficiencies!E38</f>
        <v>#REF!</v>
      </c>
      <c r="G59" s="52" t="e">
        <f>Efficiencies!F38</f>
        <v>#REF!</v>
      </c>
      <c r="H59" s="52" t="e">
        <f>Efficiencies!G38</f>
        <v>#REF!</v>
      </c>
      <c r="I59" s="52" t="e">
        <f>Efficiencies!H38</f>
        <v>#REF!</v>
      </c>
      <c r="J59" s="52" t="e">
        <f>Efficiencies!I38</f>
        <v>#REF!</v>
      </c>
      <c r="K59" s="52" t="e">
        <f>Efficiencies!J38</f>
        <v>#REF!</v>
      </c>
      <c r="L59" s="52" t="e">
        <f>Efficiencies!K38</f>
        <v>#REF!</v>
      </c>
      <c r="M59" s="52" t="e">
        <f>Efficiencies!L38</f>
        <v>#REF!</v>
      </c>
      <c r="N59" s="52" t="e">
        <f>Efficiencies!M38</f>
        <v>#REF!</v>
      </c>
      <c r="O59" s="52" t="e">
        <f>Efficiencies!N38</f>
        <v>#REF!</v>
      </c>
      <c r="P59" s="52" t="e">
        <f>Q59</f>
        <v>#REF!</v>
      </c>
      <c r="Q59" s="52" t="e">
        <f>F59*Efficiencies!$AC$50</f>
        <v>#REF!</v>
      </c>
      <c r="R59" s="52" t="e">
        <f>G59*Efficiencies!$AC$50</f>
        <v>#REF!</v>
      </c>
      <c r="S59" s="52" t="e">
        <f>H59*Efficiencies!$AC$50</f>
        <v>#REF!</v>
      </c>
      <c r="T59" s="52" t="e">
        <f>I59*Efficiencies!$AC$50</f>
        <v>#REF!</v>
      </c>
      <c r="U59" s="52" t="e">
        <f>J59*Efficiencies!$AC$50</f>
        <v>#REF!</v>
      </c>
      <c r="V59" s="52" t="e">
        <f>K59*Efficiencies!$AC$50</f>
        <v>#REF!</v>
      </c>
      <c r="W59" s="52" t="e">
        <f>L59*Efficiencies!$AC$50</f>
        <v>#REF!</v>
      </c>
      <c r="X59" s="52" t="e">
        <f>M59*Efficiencies!$AC$50</f>
        <v>#REF!</v>
      </c>
      <c r="Y59" s="52" t="e">
        <f>N59*Efficiencies!$AC$50</f>
        <v>#REF!</v>
      </c>
      <c r="Z59" s="52" t="e">
        <f>O59*Efficiencies!$AC$50</f>
        <v>#REF!</v>
      </c>
      <c r="AA59" s="52"/>
      <c r="AB59" s="52" t="e">
        <f>Costs!F38+$B14</f>
        <v>#REF!</v>
      </c>
      <c r="AC59" s="52" t="e">
        <f>Costs!G38+$B14</f>
        <v>#REF!</v>
      </c>
      <c r="AD59" s="52" t="e">
        <f>Costs!H38+$B14</f>
        <v>#REF!</v>
      </c>
      <c r="AE59" s="52" t="e">
        <f>Costs!I38+$B14</f>
        <v>#REF!</v>
      </c>
      <c r="AF59" s="52" t="e">
        <f>Costs!J38+$B14</f>
        <v>#REF!</v>
      </c>
      <c r="AG59" s="52" t="e">
        <f>Costs!K38+$B14</f>
        <v>#REF!</v>
      </c>
      <c r="AH59" s="52" t="e">
        <f>Costs!L38+$B14</f>
        <v>#REF!</v>
      </c>
      <c r="AI59" s="52" t="e">
        <f>Costs!M38+$B14</f>
        <v>#REF!</v>
      </c>
      <c r="AJ59" s="52" t="e">
        <f>Costs!N38+$B14</f>
        <v>#REF!</v>
      </c>
      <c r="AK59" s="52" t="e">
        <f>Costs!O38+$B14</f>
        <v>#REF!</v>
      </c>
    </row>
    <row r="60" spans="1:37" x14ac:dyDescent="0.2">
      <c r="A60" s="40" t="s">
        <v>2587</v>
      </c>
      <c r="B60" s="40" t="s">
        <v>2627</v>
      </c>
      <c r="C60" s="40" t="s">
        <v>2641</v>
      </c>
      <c r="D60" s="40">
        <v>2005</v>
      </c>
      <c r="E60" s="52" t="e">
        <f>Efficiencies!D39</f>
        <v>#REF!</v>
      </c>
      <c r="F60" s="52" t="e">
        <f>Efficiencies!E39</f>
        <v>#REF!</v>
      </c>
      <c r="G60" s="52" t="e">
        <f>Efficiencies!F39</f>
        <v>#REF!</v>
      </c>
      <c r="H60" s="52" t="e">
        <f>Efficiencies!G39</f>
        <v>#REF!</v>
      </c>
      <c r="I60" s="52" t="e">
        <f>Efficiencies!H39</f>
        <v>#REF!</v>
      </c>
      <c r="J60" s="52" t="e">
        <f>Efficiencies!I39</f>
        <v>#REF!</v>
      </c>
      <c r="K60" s="52" t="e">
        <f>Efficiencies!J39</f>
        <v>#REF!</v>
      </c>
      <c r="L60" s="52" t="e">
        <f>Efficiencies!K39</f>
        <v>#REF!</v>
      </c>
      <c r="M60" s="52" t="e">
        <f>Efficiencies!L39</f>
        <v>#REF!</v>
      </c>
      <c r="N60" s="52" t="e">
        <f>Efficiencies!M39</f>
        <v>#REF!</v>
      </c>
      <c r="O60" s="52" t="e">
        <f>Efficiencies!N39</f>
        <v>#REF!</v>
      </c>
      <c r="P60" s="52" t="e">
        <f>E60*Efficiencies!$AC$51</f>
        <v>#REF!</v>
      </c>
      <c r="Q60" s="52" t="e">
        <f>F60*Efficiencies!$AC$51</f>
        <v>#REF!</v>
      </c>
      <c r="R60" s="52" t="e">
        <f>G60*Efficiencies!$AC$51</f>
        <v>#REF!</v>
      </c>
      <c r="S60" s="52" t="e">
        <f>H60*Efficiencies!$AC$51</f>
        <v>#REF!</v>
      </c>
      <c r="T60" s="52" t="e">
        <f>I60*Efficiencies!$AC$51</f>
        <v>#REF!</v>
      </c>
      <c r="U60" s="52" t="e">
        <f>J60*Efficiencies!$AC$51</f>
        <v>#REF!</v>
      </c>
      <c r="V60" s="52" t="e">
        <f>K60*Efficiencies!$AC$51</f>
        <v>#REF!</v>
      </c>
      <c r="W60" s="52" t="e">
        <f>L60*Efficiencies!$AC$51</f>
        <v>#REF!</v>
      </c>
      <c r="X60" s="52" t="e">
        <f>M60*Efficiencies!$AC$51</f>
        <v>#REF!</v>
      </c>
      <c r="Y60" s="52" t="e">
        <f>N60*Efficiencies!$AC$51</f>
        <v>#REF!</v>
      </c>
      <c r="Z60" s="52" t="e">
        <f>O60*Efficiencies!$AC$51</f>
        <v>#REF!</v>
      </c>
      <c r="AA60" s="52" t="e">
        <f>Costs!E39+$B16</f>
        <v>#REF!</v>
      </c>
      <c r="AB60" s="52" t="e">
        <f>Costs!F39+$B16</f>
        <v>#REF!</v>
      </c>
      <c r="AC60" s="52" t="e">
        <f>Costs!G39+$B16</f>
        <v>#REF!</v>
      </c>
      <c r="AD60" s="52" t="e">
        <f>Costs!H39+$B16</f>
        <v>#REF!</v>
      </c>
      <c r="AE60" s="52" t="e">
        <f>Costs!I39+$B16</f>
        <v>#REF!</v>
      </c>
      <c r="AF60" s="52" t="e">
        <f>Costs!J39+$B16</f>
        <v>#REF!</v>
      </c>
      <c r="AG60" s="52" t="e">
        <f>Costs!K39+$B16</f>
        <v>#REF!</v>
      </c>
      <c r="AH60" s="52" t="e">
        <f>Costs!L39+$B16</f>
        <v>#REF!</v>
      </c>
      <c r="AI60" s="52" t="e">
        <f>Costs!M39+$B16</f>
        <v>#REF!</v>
      </c>
      <c r="AJ60" s="52" t="e">
        <f>Costs!N39+$B16</f>
        <v>#REF!</v>
      </c>
      <c r="AK60" s="52" t="e">
        <f>Costs!O39+$B16</f>
        <v>#REF!</v>
      </c>
    </row>
    <row r="61" spans="1:37" x14ac:dyDescent="0.2">
      <c r="A61" s="40" t="s">
        <v>2587</v>
      </c>
      <c r="B61" s="40" t="s">
        <v>2629</v>
      </c>
      <c r="C61" s="40" t="s">
        <v>2194</v>
      </c>
      <c r="D61" s="40">
        <v>2005</v>
      </c>
      <c r="E61" s="52" t="e">
        <f>Efficiencies!D46</f>
        <v>#REF!</v>
      </c>
      <c r="F61" s="52" t="e">
        <f>Efficiencies!E46</f>
        <v>#REF!</v>
      </c>
      <c r="G61" s="52" t="e">
        <f>Efficiencies!F46</f>
        <v>#REF!</v>
      </c>
      <c r="H61" s="52" t="e">
        <f>Efficiencies!G46</f>
        <v>#REF!</v>
      </c>
      <c r="I61" s="52" t="e">
        <f>Efficiencies!H46</f>
        <v>#REF!</v>
      </c>
      <c r="J61" s="52" t="e">
        <f>Efficiencies!I46</f>
        <v>#REF!</v>
      </c>
      <c r="K61" s="52" t="e">
        <f>Efficiencies!J46</f>
        <v>#REF!</v>
      </c>
      <c r="L61" s="52" t="e">
        <f>Efficiencies!K46</f>
        <v>#REF!</v>
      </c>
      <c r="M61" s="52" t="e">
        <f>Efficiencies!L46</f>
        <v>#REF!</v>
      </c>
      <c r="N61" s="52" t="e">
        <f>Efficiencies!M46</f>
        <v>#REF!</v>
      </c>
      <c r="O61" s="52" t="e">
        <f>Efficiencies!N46</f>
        <v>#REF!</v>
      </c>
      <c r="P61" s="52" t="e">
        <f>E61*Efficiencies!$AC$51</f>
        <v>#REF!</v>
      </c>
      <c r="Q61" s="52" t="e">
        <f>F61*Efficiencies!$AC$51</f>
        <v>#REF!</v>
      </c>
      <c r="R61" s="52" t="e">
        <f>G61*Efficiencies!$AC$51</f>
        <v>#REF!</v>
      </c>
      <c r="S61" s="52" t="e">
        <f>H61*Efficiencies!$AC$51</f>
        <v>#REF!</v>
      </c>
      <c r="T61" s="52" t="e">
        <f>I61*Efficiencies!$AC$51</f>
        <v>#REF!</v>
      </c>
      <c r="U61" s="52" t="e">
        <f>J61*Efficiencies!$AC$51</f>
        <v>#REF!</v>
      </c>
      <c r="V61" s="52" t="e">
        <f>K61*Efficiencies!$AC$51</f>
        <v>#REF!</v>
      </c>
      <c r="W61" s="52" t="e">
        <f>L61*Efficiencies!$AC$51</f>
        <v>#REF!</v>
      </c>
      <c r="X61" s="52" t="e">
        <f>M61*Efficiencies!$AC$51</f>
        <v>#REF!</v>
      </c>
      <c r="Y61" s="52" t="e">
        <f>N61*Efficiencies!$AC$51</f>
        <v>#REF!</v>
      </c>
      <c r="Z61" s="52" t="e">
        <f>O61*Efficiencies!$AC$51</f>
        <v>#REF!</v>
      </c>
      <c r="AA61" s="52" t="e">
        <f>Costs!E46+$B16</f>
        <v>#REF!</v>
      </c>
      <c r="AB61" s="52" t="e">
        <f>Costs!F46+$B16</f>
        <v>#REF!</v>
      </c>
      <c r="AC61" s="52" t="e">
        <f>Costs!G46+$B16</f>
        <v>#REF!</v>
      </c>
      <c r="AD61" s="52" t="e">
        <f>Costs!H46+$B16</f>
        <v>#REF!</v>
      </c>
      <c r="AE61" s="52" t="e">
        <f>Costs!I46+$B16</f>
        <v>#REF!</v>
      </c>
      <c r="AF61" s="52" t="e">
        <f>Costs!J46+$B16</f>
        <v>#REF!</v>
      </c>
      <c r="AG61" s="52" t="e">
        <f>Costs!K46+$B16</f>
        <v>#REF!</v>
      </c>
      <c r="AH61" s="52" t="e">
        <f>Costs!L46+$B16</f>
        <v>#REF!</v>
      </c>
      <c r="AI61" s="52" t="e">
        <f>Costs!M46+$B16</f>
        <v>#REF!</v>
      </c>
      <c r="AJ61" s="52" t="e">
        <f>Costs!N46+$B16</f>
        <v>#REF!</v>
      </c>
      <c r="AK61" s="52" t="e">
        <f>Costs!O46+$B16</f>
        <v>#REF!</v>
      </c>
    </row>
    <row r="62" spans="1:37" x14ac:dyDescent="0.2">
      <c r="A62" s="40" t="s">
        <v>2587</v>
      </c>
      <c r="B62" s="40" t="s">
        <v>2630</v>
      </c>
      <c r="C62" s="40" t="s">
        <v>2642</v>
      </c>
      <c r="D62" s="40">
        <v>2005</v>
      </c>
      <c r="E62" s="52" t="e">
        <f t="shared" ref="E62:O62" si="13">E63</f>
        <v>#REF!</v>
      </c>
      <c r="F62" s="52" t="e">
        <f t="shared" si="13"/>
        <v>#REF!</v>
      </c>
      <c r="G62" s="52" t="e">
        <f t="shared" si="13"/>
        <v>#REF!</v>
      </c>
      <c r="H62" s="52" t="e">
        <f t="shared" si="13"/>
        <v>#REF!</v>
      </c>
      <c r="I62" s="52" t="e">
        <f t="shared" si="13"/>
        <v>#REF!</v>
      </c>
      <c r="J62" s="52" t="e">
        <f t="shared" si="13"/>
        <v>#REF!</v>
      </c>
      <c r="K62" s="52" t="e">
        <f t="shared" si="13"/>
        <v>#REF!</v>
      </c>
      <c r="L62" s="52" t="e">
        <f t="shared" si="13"/>
        <v>#REF!</v>
      </c>
      <c r="M62" s="52" t="e">
        <f t="shared" si="13"/>
        <v>#REF!</v>
      </c>
      <c r="N62" s="52" t="e">
        <f t="shared" si="13"/>
        <v>#REF!</v>
      </c>
      <c r="O62" s="52" t="e">
        <f t="shared" si="13"/>
        <v>#REF!</v>
      </c>
      <c r="P62" s="52" t="e">
        <f>E62*Efficiencies!$AC$51</f>
        <v>#REF!</v>
      </c>
      <c r="Q62" s="52" t="e">
        <f>F62*Efficiencies!$AC$51</f>
        <v>#REF!</v>
      </c>
      <c r="R62" s="52" t="e">
        <f>G62*Efficiencies!$AC$51</f>
        <v>#REF!</v>
      </c>
      <c r="S62" s="52" t="e">
        <f>H62*Efficiencies!$AC$51</f>
        <v>#REF!</v>
      </c>
      <c r="T62" s="52" t="e">
        <f>I62*Efficiencies!$AC$51</f>
        <v>#REF!</v>
      </c>
      <c r="U62" s="52" t="e">
        <f>J62*Efficiencies!$AC$51</f>
        <v>#REF!</v>
      </c>
      <c r="V62" s="52" t="e">
        <f>K62*Efficiencies!$AC$51</f>
        <v>#REF!</v>
      </c>
      <c r="W62" s="52" t="e">
        <f>L62*Efficiencies!$AC$51</f>
        <v>#REF!</v>
      </c>
      <c r="X62" s="52" t="e">
        <f>M62*Efficiencies!$AC$51</f>
        <v>#REF!</v>
      </c>
      <c r="Y62" s="52" t="e">
        <f>N62*Efficiencies!$AC$51</f>
        <v>#REF!</v>
      </c>
      <c r="Z62" s="52" t="e">
        <f>O62*Efficiencies!$AC$51</f>
        <v>#REF!</v>
      </c>
      <c r="AA62" s="52" t="e">
        <f t="shared" ref="AA62:AF62" si="14">AA63+$B16</f>
        <v>#REF!</v>
      </c>
      <c r="AB62" s="52" t="e">
        <f t="shared" si="14"/>
        <v>#REF!</v>
      </c>
      <c r="AC62" s="52" t="e">
        <f t="shared" si="14"/>
        <v>#REF!</v>
      </c>
      <c r="AD62" s="52" t="e">
        <f t="shared" si="14"/>
        <v>#REF!</v>
      </c>
      <c r="AE62" s="52" t="e">
        <f t="shared" si="14"/>
        <v>#REF!</v>
      </c>
      <c r="AF62" s="52" t="e">
        <f t="shared" si="14"/>
        <v>#REF!</v>
      </c>
      <c r="AG62" s="52" t="e">
        <f t="shared" ref="AG62:AK62" si="15">AG63+$B16</f>
        <v>#REF!</v>
      </c>
      <c r="AH62" s="52" t="e">
        <f t="shared" si="15"/>
        <v>#REF!</v>
      </c>
      <c r="AI62" s="52" t="e">
        <f t="shared" si="15"/>
        <v>#REF!</v>
      </c>
      <c r="AJ62" s="52" t="e">
        <f t="shared" si="15"/>
        <v>#REF!</v>
      </c>
      <c r="AK62" s="52" t="e">
        <f t="shared" si="15"/>
        <v>#REF!</v>
      </c>
    </row>
    <row r="63" spans="1:37" x14ac:dyDescent="0.2">
      <c r="A63" s="40" t="s">
        <v>2587</v>
      </c>
      <c r="B63" s="40" t="s">
        <v>2632</v>
      </c>
      <c r="C63" s="40" t="s">
        <v>2643</v>
      </c>
      <c r="D63" s="40">
        <v>2000</v>
      </c>
      <c r="E63" s="52" t="e">
        <f>(Efficiencies!D39+Efficiencies!D45)/2</f>
        <v>#REF!</v>
      </c>
      <c r="F63" s="52" t="e">
        <f>(Efficiencies!E39+Efficiencies!E45)/2</f>
        <v>#REF!</v>
      </c>
      <c r="G63" s="52" t="e">
        <f>(Efficiencies!F39+Efficiencies!F45)/2</f>
        <v>#REF!</v>
      </c>
      <c r="H63" s="52" t="e">
        <f>(Efficiencies!G39+Efficiencies!G45)/2</f>
        <v>#REF!</v>
      </c>
      <c r="I63" s="52" t="e">
        <f>(Efficiencies!H39+Efficiencies!H45)/2</f>
        <v>#REF!</v>
      </c>
      <c r="J63" s="52" t="e">
        <f>(Efficiencies!I39+Efficiencies!I45)/2</f>
        <v>#REF!</v>
      </c>
      <c r="K63" s="52" t="e">
        <f>(Efficiencies!J39+Efficiencies!J45)/2</f>
        <v>#REF!</v>
      </c>
      <c r="L63" s="52" t="e">
        <f>(Efficiencies!K39+Efficiencies!K45)/2</f>
        <v>#REF!</v>
      </c>
      <c r="M63" s="52" t="e">
        <f>(Efficiencies!L39+Efficiencies!L45)/2</f>
        <v>#REF!</v>
      </c>
      <c r="N63" s="52" t="e">
        <f>(Efficiencies!M39+Efficiencies!M45)/2</f>
        <v>#REF!</v>
      </c>
      <c r="O63" s="52" t="e">
        <f>(Efficiencies!N39+Efficiencies!N45)/2</f>
        <v>#REF!</v>
      </c>
      <c r="P63" s="52" t="e">
        <f>E63*Efficiencies!$AC$51</f>
        <v>#REF!</v>
      </c>
      <c r="Q63" s="52" t="e">
        <f>F63*Efficiencies!$AC$51</f>
        <v>#REF!</v>
      </c>
      <c r="R63" s="52" t="e">
        <f>G63*Efficiencies!$AC$51</f>
        <v>#REF!</v>
      </c>
      <c r="S63" s="52" t="e">
        <f>H63*Efficiencies!$AC$51</f>
        <v>#REF!</v>
      </c>
      <c r="T63" s="52" t="e">
        <f>I63*Efficiencies!$AC$51</f>
        <v>#REF!</v>
      </c>
      <c r="U63" s="52" t="e">
        <f>J63*Efficiencies!$AC$51</f>
        <v>#REF!</v>
      </c>
      <c r="V63" s="52" t="e">
        <f>K63*Efficiencies!$AC$51</f>
        <v>#REF!</v>
      </c>
      <c r="W63" s="52" t="e">
        <f>L63*Efficiencies!$AC$51</f>
        <v>#REF!</v>
      </c>
      <c r="X63" s="52" t="e">
        <f>M63*Efficiencies!$AC$51</f>
        <v>#REF!</v>
      </c>
      <c r="Y63" s="52" t="e">
        <f>N63*Efficiencies!$AC$51</f>
        <v>#REF!</v>
      </c>
      <c r="Z63" s="52" t="e">
        <f>O63*Efficiencies!$AC$51</f>
        <v>#REF!</v>
      </c>
      <c r="AA63" s="52">
        <f>(Costs!E39+Costs!E45)/2</f>
        <v>35.409999999999997</v>
      </c>
      <c r="AB63" s="52">
        <f>(Costs!F39+Costs!F45)/2</f>
        <v>36.504999999999995</v>
      </c>
      <c r="AC63" s="52">
        <f>(Costs!G39+Costs!G45)/2</f>
        <v>38.265000000000001</v>
      </c>
      <c r="AD63" s="52">
        <f>(Costs!H39+Costs!H45)/2</f>
        <v>39.379999999999995</v>
      </c>
      <c r="AE63" s="52">
        <f>(Costs!I39+Costs!I45)/2</f>
        <v>40.585000000000001</v>
      </c>
      <c r="AF63" s="52">
        <f>(Costs!J39+Costs!J45)/2</f>
        <v>40.685000000000002</v>
      </c>
      <c r="AG63" s="52">
        <f>(Costs!K39+Costs!K45)/2</f>
        <v>40.704999999999998</v>
      </c>
      <c r="AH63" s="52">
        <f>(Costs!L39+Costs!L45)/2</f>
        <v>40.725000000000001</v>
      </c>
      <c r="AI63" s="52">
        <f>(Costs!M39+Costs!M45)/2</f>
        <v>40.725000000000001</v>
      </c>
      <c r="AJ63" s="52">
        <f>(Costs!N39+Costs!N45)/2</f>
        <v>40.725000000000001</v>
      </c>
      <c r="AK63" s="52">
        <f>(Costs!O39+Costs!O45)/2</f>
        <v>40.725000000000001</v>
      </c>
    </row>
    <row r="64" spans="1:37" x14ac:dyDescent="0.2">
      <c r="A64" s="40" t="s">
        <v>2587</v>
      </c>
      <c r="B64" s="40" t="s">
        <v>2634</v>
      </c>
      <c r="C64" s="40" t="s">
        <v>2422</v>
      </c>
      <c r="D64" s="40">
        <v>2010</v>
      </c>
      <c r="E64" s="52" t="e">
        <f>F64</f>
        <v>#REF!</v>
      </c>
      <c r="F64" s="52" t="e">
        <f t="shared" ref="F64:J64" si="16">F58</f>
        <v>#REF!</v>
      </c>
      <c r="G64" s="52" t="e">
        <f t="shared" si="16"/>
        <v>#REF!</v>
      </c>
      <c r="H64" s="52" t="e">
        <f t="shared" si="16"/>
        <v>#REF!</v>
      </c>
      <c r="I64" s="52" t="e">
        <f t="shared" si="16"/>
        <v>#REF!</v>
      </c>
      <c r="J64" s="52" t="e">
        <f t="shared" si="16"/>
        <v>#REF!</v>
      </c>
      <c r="K64" s="52" t="e">
        <f t="shared" ref="K64:O64" si="17">K58</f>
        <v>#REF!</v>
      </c>
      <c r="L64" s="52" t="e">
        <f t="shared" si="17"/>
        <v>#REF!</v>
      </c>
      <c r="M64" s="52" t="e">
        <f t="shared" si="17"/>
        <v>#REF!</v>
      </c>
      <c r="N64" s="52" t="e">
        <f t="shared" si="17"/>
        <v>#REF!</v>
      </c>
      <c r="O64" s="52" t="e">
        <f t="shared" si="17"/>
        <v>#REF!</v>
      </c>
      <c r="P64" s="52" t="e">
        <f>Q64</f>
        <v>#REF!</v>
      </c>
      <c r="Q64" s="52" t="e">
        <f>F64*Efficiencies!$AC$51</f>
        <v>#REF!</v>
      </c>
      <c r="R64" s="52" t="e">
        <f>G64*Efficiencies!$AC$51</f>
        <v>#REF!</v>
      </c>
      <c r="S64" s="52" t="e">
        <f>H64*Efficiencies!$AC$51</f>
        <v>#REF!</v>
      </c>
      <c r="T64" s="52" t="e">
        <f>I64*Efficiencies!$AC$51</f>
        <v>#REF!</v>
      </c>
      <c r="U64" s="52" t="e">
        <f>J64*Efficiencies!$AC$51</f>
        <v>#REF!</v>
      </c>
      <c r="V64" s="52" t="e">
        <f>K64*Efficiencies!$AC$51</f>
        <v>#REF!</v>
      </c>
      <c r="W64" s="52" t="e">
        <f>L64*Efficiencies!$AC$51</f>
        <v>#REF!</v>
      </c>
      <c r="X64" s="52" t="e">
        <f>M64*Efficiencies!$AC$51</f>
        <v>#REF!</v>
      </c>
      <c r="Y64" s="52" t="e">
        <f>N64*Efficiencies!$AC$51</f>
        <v>#REF!</v>
      </c>
      <c r="Z64" s="52" t="e">
        <f>O64*Efficiencies!$AC$51</f>
        <v>#REF!</v>
      </c>
      <c r="AA64" s="52"/>
      <c r="AB64" s="52" t="e">
        <f t="shared" ref="AB64:AF64" si="18">AB65+$B16</f>
        <v>#REF!</v>
      </c>
      <c r="AC64" s="52" t="e">
        <f t="shared" si="18"/>
        <v>#REF!</v>
      </c>
      <c r="AD64" s="52" t="e">
        <f t="shared" si="18"/>
        <v>#REF!</v>
      </c>
      <c r="AE64" s="52" t="e">
        <f t="shared" si="18"/>
        <v>#REF!</v>
      </c>
      <c r="AF64" s="52" t="e">
        <f t="shared" si="18"/>
        <v>#REF!</v>
      </c>
      <c r="AG64" s="52" t="e">
        <f t="shared" ref="AG64:AK64" si="19">AG65+$B16</f>
        <v>#REF!</v>
      </c>
      <c r="AH64" s="52" t="e">
        <f t="shared" si="19"/>
        <v>#REF!</v>
      </c>
      <c r="AI64" s="52" t="e">
        <f t="shared" si="19"/>
        <v>#REF!</v>
      </c>
      <c r="AJ64" s="52" t="e">
        <f t="shared" si="19"/>
        <v>#REF!</v>
      </c>
      <c r="AK64" s="52" t="e">
        <f t="shared" si="19"/>
        <v>#REF!</v>
      </c>
    </row>
    <row r="65" spans="1:37" x14ac:dyDescent="0.2">
      <c r="A65" s="40" t="s">
        <v>2587</v>
      </c>
      <c r="B65" s="40" t="s">
        <v>2635</v>
      </c>
      <c r="C65" s="40" t="s">
        <v>2308</v>
      </c>
      <c r="D65" s="40">
        <v>2010</v>
      </c>
      <c r="E65" s="52" t="e">
        <f>F65</f>
        <v>#REF!</v>
      </c>
      <c r="F65" s="52" t="e">
        <f>(Efficiencies!E47+Efficiencies!E46)/2</f>
        <v>#REF!</v>
      </c>
      <c r="G65" s="52" t="e">
        <f>(Efficiencies!F47+Efficiencies!F46)/2</f>
        <v>#REF!</v>
      </c>
      <c r="H65" s="52" t="e">
        <f>(Efficiencies!G47+Efficiencies!G46)/2</f>
        <v>#REF!</v>
      </c>
      <c r="I65" s="52" t="e">
        <f>(Efficiencies!H47+Efficiencies!H46)/2</f>
        <v>#REF!</v>
      </c>
      <c r="J65" s="52" t="e">
        <f>(Efficiencies!I47+Efficiencies!I46)/2</f>
        <v>#REF!</v>
      </c>
      <c r="K65" s="52" t="e">
        <f>(Efficiencies!J47+Efficiencies!J46)/2</f>
        <v>#REF!</v>
      </c>
      <c r="L65" s="52" t="e">
        <f>(Efficiencies!K47+Efficiencies!K46)/2</f>
        <v>#REF!</v>
      </c>
      <c r="M65" s="52" t="e">
        <f>(Efficiencies!L47+Efficiencies!L46)/2</f>
        <v>#REF!</v>
      </c>
      <c r="N65" s="52" t="e">
        <f>(Efficiencies!M47+Efficiencies!M46)/2</f>
        <v>#REF!</v>
      </c>
      <c r="O65" s="52" t="e">
        <f>(Efficiencies!N47+Efficiencies!N46)/2</f>
        <v>#REF!</v>
      </c>
      <c r="P65" s="52" t="e">
        <f>Q65</f>
        <v>#REF!</v>
      </c>
      <c r="Q65" s="52" t="e">
        <f>F65*Efficiencies!$AC$51</f>
        <v>#REF!</v>
      </c>
      <c r="R65" s="52" t="e">
        <f>G65*Efficiencies!$AC$51</f>
        <v>#REF!</v>
      </c>
      <c r="S65" s="52" t="e">
        <f>H65*Efficiencies!$AC$51</f>
        <v>#REF!</v>
      </c>
      <c r="T65" s="52" t="e">
        <f>I65*Efficiencies!$AC$51</f>
        <v>#REF!</v>
      </c>
      <c r="U65" s="52" t="e">
        <f>J65*Efficiencies!$AC$51</f>
        <v>#REF!</v>
      </c>
      <c r="V65" s="52" t="e">
        <f>K65*Efficiencies!$AC$51</f>
        <v>#REF!</v>
      </c>
      <c r="W65" s="52" t="e">
        <f>L65*Efficiencies!$AC$51</f>
        <v>#REF!</v>
      </c>
      <c r="X65" s="52" t="e">
        <f>M65*Efficiencies!$AC$51</f>
        <v>#REF!</v>
      </c>
      <c r="Y65" s="52" t="e">
        <f>N65*Efficiencies!$AC$51</f>
        <v>#REF!</v>
      </c>
      <c r="Z65" s="52" t="e">
        <f>O65*Efficiencies!$AC$51</f>
        <v>#REF!</v>
      </c>
      <c r="AA65" s="52"/>
      <c r="AB65" s="52">
        <f>(Costs!F47-Costs!F46)*$E$36/100+Costs!F46</f>
        <v>43.393839999999997</v>
      </c>
      <c r="AC65" s="52">
        <f>(Costs!G47-Costs!G46)*$E$36/100+Costs!G46</f>
        <v>44.666200000000003</v>
      </c>
      <c r="AD65" s="52">
        <f>(Costs!H47-Costs!H46)*$E$36/100+Costs!H46</f>
        <v>45.532360000000004</v>
      </c>
      <c r="AE65" s="52">
        <f>(Costs!I47-Costs!I46)*$E$36/100+Costs!I46</f>
        <v>46.411719999999995</v>
      </c>
      <c r="AF65" s="52">
        <f>(Costs!J47-Costs!J46)*$E$36/100+Costs!J46</f>
        <v>46.27458</v>
      </c>
      <c r="AG65" s="52">
        <f>(Costs!K47-Costs!K46)*$E$36/100+Costs!K46</f>
        <v>46.231120000000004</v>
      </c>
      <c r="AH65" s="52">
        <f>(Costs!L47-Costs!L46)*$E$36/100+Costs!L46</f>
        <v>46.231079999999999</v>
      </c>
      <c r="AI65" s="52">
        <f>(Costs!M47-Costs!M46)*$E$36/100+Costs!M46</f>
        <v>46.231079999999999</v>
      </c>
      <c r="AJ65" s="52">
        <f>(Costs!N47-Costs!N46)*$E$36/100+Costs!N46</f>
        <v>46.231079999999999</v>
      </c>
      <c r="AK65" s="52">
        <f>(Costs!O47-Costs!O46)*$E$36/100+Costs!O46</f>
        <v>46.231079999999999</v>
      </c>
    </row>
    <row r="66" spans="1:37" x14ac:dyDescent="0.2">
      <c r="A66" s="40" t="s">
        <v>2587</v>
      </c>
      <c r="B66" s="40" t="s">
        <v>2636</v>
      </c>
      <c r="C66" s="40" t="s">
        <v>2536</v>
      </c>
      <c r="D66" s="40">
        <v>2010</v>
      </c>
      <c r="E66" s="52" t="e">
        <f>F66</f>
        <v>#REF!</v>
      </c>
      <c r="F66" s="52" t="e">
        <f>Efficiencies!E47</f>
        <v>#REF!</v>
      </c>
      <c r="G66" s="52" t="e">
        <f>Efficiencies!F47</f>
        <v>#REF!</v>
      </c>
      <c r="H66" s="52" t="e">
        <f>Efficiencies!G47</f>
        <v>#REF!</v>
      </c>
      <c r="I66" s="52" t="e">
        <f>Efficiencies!H47</f>
        <v>#REF!</v>
      </c>
      <c r="J66" s="52" t="e">
        <f>Efficiencies!I47</f>
        <v>#REF!</v>
      </c>
      <c r="K66" s="52" t="e">
        <f>Efficiencies!J47</f>
        <v>#REF!</v>
      </c>
      <c r="L66" s="52" t="e">
        <f>Efficiencies!K47</f>
        <v>#REF!</v>
      </c>
      <c r="M66" s="52" t="e">
        <f>Efficiencies!L47</f>
        <v>#REF!</v>
      </c>
      <c r="N66" s="52" t="e">
        <f>Efficiencies!M47</f>
        <v>#REF!</v>
      </c>
      <c r="O66" s="52" t="e">
        <f>Efficiencies!N47</f>
        <v>#REF!</v>
      </c>
      <c r="P66" s="52" t="e">
        <f>Q66</f>
        <v>#REF!</v>
      </c>
      <c r="Q66" s="52" t="e">
        <f>F66*Efficiencies!$AC$51</f>
        <v>#REF!</v>
      </c>
      <c r="R66" s="52" t="e">
        <f>G66*Efficiencies!$AC$51</f>
        <v>#REF!</v>
      </c>
      <c r="S66" s="52" t="e">
        <f>H66*Efficiencies!$AC$51</f>
        <v>#REF!</v>
      </c>
      <c r="T66" s="52" t="e">
        <f>I66*Efficiencies!$AC$51</f>
        <v>#REF!</v>
      </c>
      <c r="U66" s="52" t="e">
        <f>J66*Efficiencies!$AC$51</f>
        <v>#REF!</v>
      </c>
      <c r="V66" s="52" t="e">
        <f>K66*Efficiencies!$AC$51</f>
        <v>#REF!</v>
      </c>
      <c r="W66" s="52" t="e">
        <f>L66*Efficiencies!$AC$51</f>
        <v>#REF!</v>
      </c>
      <c r="X66" s="52" t="e">
        <f>M66*Efficiencies!$AC$51</f>
        <v>#REF!</v>
      </c>
      <c r="Y66" s="52" t="e">
        <f>N66*Efficiencies!$AC$51</f>
        <v>#REF!</v>
      </c>
      <c r="Z66" s="52" t="e">
        <f>O66*Efficiencies!$AC$51</f>
        <v>#REF!</v>
      </c>
      <c r="AA66" s="52"/>
      <c r="AB66" s="52" t="e">
        <f>Costs!F47+$B16</f>
        <v>#REF!</v>
      </c>
      <c r="AC66" s="52" t="e">
        <f>Costs!G47+$B16</f>
        <v>#REF!</v>
      </c>
      <c r="AD66" s="52" t="e">
        <f>Costs!H47+$B16</f>
        <v>#REF!</v>
      </c>
      <c r="AE66" s="52" t="e">
        <f>Costs!I47+$B16</f>
        <v>#REF!</v>
      </c>
      <c r="AF66" s="52" t="e">
        <f>Costs!J47+$B16</f>
        <v>#REF!</v>
      </c>
      <c r="AG66" s="52" t="e">
        <f>Costs!K47+$B16</f>
        <v>#REF!</v>
      </c>
      <c r="AH66" s="52" t="e">
        <f>Costs!L47+$B16</f>
        <v>#REF!</v>
      </c>
      <c r="AI66" s="52" t="e">
        <f>Costs!M47+$B16</f>
        <v>#REF!</v>
      </c>
      <c r="AJ66" s="52" t="e">
        <f>Costs!N47+$B16</f>
        <v>#REF!</v>
      </c>
      <c r="AK66" s="52" t="e">
        <f>Costs!O47+$B16</f>
        <v>#REF!</v>
      </c>
    </row>
    <row r="67" spans="1:37" x14ac:dyDescent="0.2">
      <c r="A67" s="40" t="s">
        <v>478</v>
      </c>
      <c r="B67" s="40" t="s">
        <v>2627</v>
      </c>
      <c r="C67" s="40" t="s">
        <v>2644</v>
      </c>
      <c r="D67" s="40">
        <v>2005</v>
      </c>
      <c r="E67" s="52" t="e">
        <f>Efficiencies!D48</f>
        <v>#REF!</v>
      </c>
      <c r="F67" s="52" t="e">
        <f>Efficiencies!E48</f>
        <v>#REF!</v>
      </c>
      <c r="G67" s="52" t="e">
        <f>Efficiencies!F48</f>
        <v>#REF!</v>
      </c>
      <c r="H67" s="52" t="e">
        <f>Efficiencies!G48</f>
        <v>#REF!</v>
      </c>
      <c r="I67" s="52" t="e">
        <f>Efficiencies!H48</f>
        <v>#REF!</v>
      </c>
      <c r="J67" s="52" t="e">
        <f>Efficiencies!I48</f>
        <v>#REF!</v>
      </c>
      <c r="K67" s="52" t="e">
        <f>Efficiencies!J48</f>
        <v>#REF!</v>
      </c>
      <c r="L67" s="52" t="e">
        <f>Efficiencies!K48</f>
        <v>#REF!</v>
      </c>
      <c r="M67" s="52" t="e">
        <f>Efficiencies!L48</f>
        <v>#REF!</v>
      </c>
      <c r="N67" s="52" t="e">
        <f>Efficiencies!M48</f>
        <v>#REF!</v>
      </c>
      <c r="O67" s="52" t="e">
        <f>Efficiencies!N48</f>
        <v>#REF!</v>
      </c>
      <c r="P67" s="52" t="e">
        <f>E67*Efficiencies!$AC$51</f>
        <v>#REF!</v>
      </c>
      <c r="Q67" s="52" t="e">
        <f>F67*Efficiencies!$AC$51</f>
        <v>#REF!</v>
      </c>
      <c r="R67" s="52" t="e">
        <f>G67*Efficiencies!$AC$51</f>
        <v>#REF!</v>
      </c>
      <c r="S67" s="52" t="e">
        <f>H67*Efficiencies!$AC$51</f>
        <v>#REF!</v>
      </c>
      <c r="T67" s="52" t="e">
        <f>I67*Efficiencies!$AC$51</f>
        <v>#REF!</v>
      </c>
      <c r="U67" s="52" t="e">
        <f>J67*Efficiencies!$AC$51</f>
        <v>#REF!</v>
      </c>
      <c r="V67" s="52" t="e">
        <f>K67*Efficiencies!$AC$51</f>
        <v>#REF!</v>
      </c>
      <c r="W67" s="52" t="e">
        <f>L67*Efficiencies!$AC$51</f>
        <v>#REF!</v>
      </c>
      <c r="X67" s="52" t="e">
        <f>M67*Efficiencies!$AC$51</f>
        <v>#REF!</v>
      </c>
      <c r="Y67" s="52" t="e">
        <f>N67*Efficiencies!$AC$51</f>
        <v>#REF!</v>
      </c>
      <c r="Z67" s="52" t="e">
        <f>O67*Efficiencies!$AC$51</f>
        <v>#REF!</v>
      </c>
      <c r="AA67" s="52" t="e">
        <f>Costs!E48+$B18</f>
        <v>#REF!</v>
      </c>
      <c r="AB67" s="52" t="e">
        <f>Costs!F48+$B18</f>
        <v>#REF!</v>
      </c>
      <c r="AC67" s="52" t="e">
        <f>Costs!G48+$B18</f>
        <v>#REF!</v>
      </c>
      <c r="AD67" s="52" t="e">
        <f>Costs!H48+$B18</f>
        <v>#REF!</v>
      </c>
      <c r="AE67" s="52" t="e">
        <f>Costs!I48+$B18</f>
        <v>#REF!</v>
      </c>
      <c r="AF67" s="52" t="e">
        <f>Costs!J48+$B18</f>
        <v>#REF!</v>
      </c>
      <c r="AG67" s="52" t="e">
        <f>Costs!K48+$B18</f>
        <v>#REF!</v>
      </c>
      <c r="AH67" s="52" t="e">
        <f>Costs!L48+$B18</f>
        <v>#REF!</v>
      </c>
      <c r="AI67" s="52" t="e">
        <f>Costs!M48+$B18</f>
        <v>#REF!</v>
      </c>
      <c r="AJ67" s="52" t="e">
        <f>Costs!N48+$B18</f>
        <v>#REF!</v>
      </c>
      <c r="AK67" s="52" t="e">
        <f>Costs!O48+$B18</f>
        <v>#REF!</v>
      </c>
    </row>
    <row r="68" spans="1:37" x14ac:dyDescent="0.2">
      <c r="A68" s="40" t="s">
        <v>478</v>
      </c>
      <c r="B68" s="40" t="s">
        <v>2629</v>
      </c>
      <c r="C68" s="40" t="s">
        <v>2175</v>
      </c>
      <c r="D68" s="40">
        <v>2010</v>
      </c>
      <c r="E68" s="52" t="e">
        <f>F68</f>
        <v>#REF!</v>
      </c>
      <c r="F68" s="52" t="e">
        <f>Efficiencies!E58</f>
        <v>#REF!</v>
      </c>
      <c r="G68" s="52" t="e">
        <f>Efficiencies!F58</f>
        <v>#REF!</v>
      </c>
      <c r="H68" s="52" t="e">
        <f>Efficiencies!G58</f>
        <v>#REF!</v>
      </c>
      <c r="I68" s="52" t="e">
        <f>Efficiencies!H58</f>
        <v>#REF!</v>
      </c>
      <c r="J68" s="52" t="e">
        <f>Efficiencies!I58</f>
        <v>#REF!</v>
      </c>
      <c r="K68" s="52" t="e">
        <f>Efficiencies!J58</f>
        <v>#REF!</v>
      </c>
      <c r="L68" s="52" t="e">
        <f>Efficiencies!K58</f>
        <v>#REF!</v>
      </c>
      <c r="M68" s="52" t="e">
        <f>Efficiencies!L58</f>
        <v>#REF!</v>
      </c>
      <c r="N68" s="52" t="e">
        <f>Efficiencies!M58</f>
        <v>#REF!</v>
      </c>
      <c r="O68" s="52" t="e">
        <f>Efficiencies!N58</f>
        <v>#REF!</v>
      </c>
      <c r="P68" s="52" t="e">
        <f>Q68</f>
        <v>#REF!</v>
      </c>
      <c r="Q68" s="52" t="e">
        <f>F68*Efficiencies!$AC$51</f>
        <v>#REF!</v>
      </c>
      <c r="R68" s="52" t="e">
        <f>G68*Efficiencies!$AC$51</f>
        <v>#REF!</v>
      </c>
      <c r="S68" s="52" t="e">
        <f>H68*Efficiencies!$AC$51</f>
        <v>#REF!</v>
      </c>
      <c r="T68" s="52" t="e">
        <f>I68*Efficiencies!$AC$51</f>
        <v>#REF!</v>
      </c>
      <c r="U68" s="52" t="e">
        <f>J68*Efficiencies!$AC$51</f>
        <v>#REF!</v>
      </c>
      <c r="V68" s="52" t="e">
        <f>K68*Efficiencies!$AC$51</f>
        <v>#REF!</v>
      </c>
      <c r="W68" s="52" t="e">
        <f>L68*Efficiencies!$AC$51</f>
        <v>#REF!</v>
      </c>
      <c r="X68" s="52" t="e">
        <f>M68*Efficiencies!$AC$51</f>
        <v>#REF!</v>
      </c>
      <c r="Y68" s="52" t="e">
        <f>N68*Efficiencies!$AC$51</f>
        <v>#REF!</v>
      </c>
      <c r="Z68" s="52" t="e">
        <f>O68*Efficiencies!$AC$51</f>
        <v>#REF!</v>
      </c>
      <c r="AA68" s="52"/>
      <c r="AB68" s="52" t="e">
        <f>Costs!F58+$B18</f>
        <v>#REF!</v>
      </c>
      <c r="AC68" s="52" t="e">
        <f>Costs!G58+$B18</f>
        <v>#REF!</v>
      </c>
      <c r="AD68" s="52" t="e">
        <f>Costs!H58+$B18</f>
        <v>#REF!</v>
      </c>
      <c r="AE68" s="52" t="e">
        <f>Costs!I58+$B18</f>
        <v>#REF!</v>
      </c>
      <c r="AF68" s="52" t="e">
        <f>Costs!J58+$B18</f>
        <v>#REF!</v>
      </c>
      <c r="AG68" s="52" t="e">
        <f>Costs!K58+$B18</f>
        <v>#REF!</v>
      </c>
      <c r="AH68" s="52" t="e">
        <f>Costs!L58+$B18</f>
        <v>#REF!</v>
      </c>
      <c r="AI68" s="52" t="e">
        <f>Costs!M58+$B18</f>
        <v>#REF!</v>
      </c>
      <c r="AJ68" s="52" t="e">
        <f>Costs!N58+$B18</f>
        <v>#REF!</v>
      </c>
      <c r="AK68" s="52" t="e">
        <f>Costs!O58+$B18</f>
        <v>#REF!</v>
      </c>
    </row>
    <row r="69" spans="1:37" x14ac:dyDescent="0.2">
      <c r="A69" s="40" t="s">
        <v>478</v>
      </c>
      <c r="B69" s="40" t="s">
        <v>2630</v>
      </c>
      <c r="C69" s="40" t="s">
        <v>2645</v>
      </c>
      <c r="D69" s="40">
        <v>2005</v>
      </c>
      <c r="E69" s="52" t="e">
        <f t="shared" ref="E69:O69" si="20">E70</f>
        <v>#REF!</v>
      </c>
      <c r="F69" s="52" t="e">
        <f t="shared" si="20"/>
        <v>#REF!</v>
      </c>
      <c r="G69" s="52" t="e">
        <f t="shared" si="20"/>
        <v>#REF!</v>
      </c>
      <c r="H69" s="52" t="e">
        <f t="shared" si="20"/>
        <v>#REF!</v>
      </c>
      <c r="I69" s="52" t="e">
        <f t="shared" si="20"/>
        <v>#REF!</v>
      </c>
      <c r="J69" s="52" t="e">
        <f t="shared" si="20"/>
        <v>#REF!</v>
      </c>
      <c r="K69" s="52" t="e">
        <f t="shared" si="20"/>
        <v>#REF!</v>
      </c>
      <c r="L69" s="52" t="e">
        <f t="shared" si="20"/>
        <v>#REF!</v>
      </c>
      <c r="M69" s="52" t="e">
        <f t="shared" si="20"/>
        <v>#REF!</v>
      </c>
      <c r="N69" s="52" t="e">
        <f t="shared" si="20"/>
        <v>#REF!</v>
      </c>
      <c r="O69" s="52" t="e">
        <f t="shared" si="20"/>
        <v>#REF!</v>
      </c>
      <c r="P69" s="52" t="e">
        <f>E69*Efficiencies!$AC$51</f>
        <v>#REF!</v>
      </c>
      <c r="Q69" s="52" t="e">
        <f>F69*Efficiencies!$AC$51</f>
        <v>#REF!</v>
      </c>
      <c r="R69" s="52" t="e">
        <f>G69*Efficiencies!$AC$51</f>
        <v>#REF!</v>
      </c>
      <c r="S69" s="52" t="e">
        <f>H69*Efficiencies!$AC$51</f>
        <v>#REF!</v>
      </c>
      <c r="T69" s="52" t="e">
        <f>I69*Efficiencies!$AC$51</f>
        <v>#REF!</v>
      </c>
      <c r="U69" s="52" t="e">
        <f>J69*Efficiencies!$AC$51</f>
        <v>#REF!</v>
      </c>
      <c r="V69" s="52" t="e">
        <f>K69*Efficiencies!$AC$51</f>
        <v>#REF!</v>
      </c>
      <c r="W69" s="52" t="e">
        <f>L69*Efficiencies!$AC$51</f>
        <v>#REF!</v>
      </c>
      <c r="X69" s="52" t="e">
        <f>M69*Efficiencies!$AC$51</f>
        <v>#REF!</v>
      </c>
      <c r="Y69" s="52" t="e">
        <f>N69*Efficiencies!$AC$51</f>
        <v>#REF!</v>
      </c>
      <c r="Z69" s="52" t="e">
        <f>O69*Efficiencies!$AC$51</f>
        <v>#REF!</v>
      </c>
      <c r="AA69" s="52" t="e">
        <f t="shared" ref="AA69:AF69" si="21">AA70+$B18</f>
        <v>#REF!</v>
      </c>
      <c r="AB69" s="52" t="e">
        <f t="shared" si="21"/>
        <v>#REF!</v>
      </c>
      <c r="AC69" s="52" t="e">
        <f t="shared" si="21"/>
        <v>#REF!</v>
      </c>
      <c r="AD69" s="52" t="e">
        <f t="shared" si="21"/>
        <v>#REF!</v>
      </c>
      <c r="AE69" s="52" t="e">
        <f t="shared" si="21"/>
        <v>#REF!</v>
      </c>
      <c r="AF69" s="52" t="e">
        <f t="shared" si="21"/>
        <v>#REF!</v>
      </c>
      <c r="AG69" s="52" t="e">
        <f t="shared" ref="AG69:AK69" si="22">AG70+$B18</f>
        <v>#REF!</v>
      </c>
      <c r="AH69" s="52" t="e">
        <f t="shared" si="22"/>
        <v>#REF!</v>
      </c>
      <c r="AI69" s="52" t="e">
        <f t="shared" si="22"/>
        <v>#REF!</v>
      </c>
      <c r="AJ69" s="52" t="e">
        <f t="shared" si="22"/>
        <v>#REF!</v>
      </c>
      <c r="AK69" s="52" t="e">
        <f t="shared" si="22"/>
        <v>#REF!</v>
      </c>
    </row>
    <row r="70" spans="1:37" x14ac:dyDescent="0.2">
      <c r="A70" s="40" t="s">
        <v>478</v>
      </c>
      <c r="B70" s="40" t="s">
        <v>2632</v>
      </c>
      <c r="C70" s="40" t="s">
        <v>2646</v>
      </c>
      <c r="D70" s="40">
        <v>2000</v>
      </c>
      <c r="E70" s="52" t="e">
        <f>(Efficiencies!D48+Efficiencies!D57)/2</f>
        <v>#REF!</v>
      </c>
      <c r="F70" s="52" t="e">
        <f>(Efficiencies!E48+Efficiencies!E57)/2</f>
        <v>#REF!</v>
      </c>
      <c r="G70" s="52" t="e">
        <f>(Efficiencies!F48+Efficiencies!F57)/2</f>
        <v>#REF!</v>
      </c>
      <c r="H70" s="52" t="e">
        <f>(Efficiencies!G48+Efficiencies!G57)/2</f>
        <v>#REF!</v>
      </c>
      <c r="I70" s="52" t="e">
        <f>(Efficiencies!H48+Efficiencies!H57)/2</f>
        <v>#REF!</v>
      </c>
      <c r="J70" s="52" t="e">
        <f>(Efficiencies!I48+Efficiencies!I57)/2</f>
        <v>#REF!</v>
      </c>
      <c r="K70" s="52" t="e">
        <f>(Efficiencies!J48+Efficiencies!J57)/2</f>
        <v>#REF!</v>
      </c>
      <c r="L70" s="52" t="e">
        <f>(Efficiencies!K48+Efficiencies!K57)/2</f>
        <v>#REF!</v>
      </c>
      <c r="M70" s="52" t="e">
        <f>(Efficiencies!L48+Efficiencies!L57)/2</f>
        <v>#REF!</v>
      </c>
      <c r="N70" s="52" t="e">
        <f>(Efficiencies!M48+Efficiencies!M57)/2</f>
        <v>#REF!</v>
      </c>
      <c r="O70" s="52" t="e">
        <f>(Efficiencies!N48+Efficiencies!N57)/2</f>
        <v>#REF!</v>
      </c>
      <c r="P70" s="52" t="e">
        <f>E70*Efficiencies!$AC$51</f>
        <v>#REF!</v>
      </c>
      <c r="Q70" s="52" t="e">
        <f>F70*Efficiencies!$AC$51</f>
        <v>#REF!</v>
      </c>
      <c r="R70" s="52" t="e">
        <f>G70*Efficiencies!$AC$51</f>
        <v>#REF!</v>
      </c>
      <c r="S70" s="52" t="e">
        <f>H70*Efficiencies!$AC$51</f>
        <v>#REF!</v>
      </c>
      <c r="T70" s="52" t="e">
        <f>I70*Efficiencies!$AC$51</f>
        <v>#REF!</v>
      </c>
      <c r="U70" s="52" t="e">
        <f>J70*Efficiencies!$AC$51</f>
        <v>#REF!</v>
      </c>
      <c r="V70" s="52" t="e">
        <f>K70*Efficiencies!$AC$51</f>
        <v>#REF!</v>
      </c>
      <c r="W70" s="52" t="e">
        <f>L70*Efficiencies!$AC$51</f>
        <v>#REF!</v>
      </c>
      <c r="X70" s="52" t="e">
        <f>M70*Efficiencies!$AC$51</f>
        <v>#REF!</v>
      </c>
      <c r="Y70" s="52" t="e">
        <f>N70*Efficiencies!$AC$51</f>
        <v>#REF!</v>
      </c>
      <c r="Z70" s="52" t="e">
        <f>O70*Efficiencies!$AC$51</f>
        <v>#REF!</v>
      </c>
      <c r="AA70" s="52">
        <f>(Costs!E48+Costs!E57)/2</f>
        <v>25.594999999999999</v>
      </c>
      <c r="AB70" s="52">
        <f>(Costs!F48+Costs!F57)/2</f>
        <v>26.13</v>
      </c>
      <c r="AC70" s="52">
        <f>(Costs!G48+Costs!G57)/2</f>
        <v>28.284999999999997</v>
      </c>
      <c r="AD70" s="52">
        <f>(Costs!H48+Costs!H57)/2</f>
        <v>29.134999999999998</v>
      </c>
      <c r="AE70" s="52">
        <f>(Costs!I48+Costs!I57)/2</f>
        <v>30.225000000000001</v>
      </c>
      <c r="AF70" s="52">
        <f>(Costs!J48+Costs!J57)/2</f>
        <v>30.27</v>
      </c>
      <c r="AG70" s="52">
        <f>(Costs!K48+Costs!K57)/2</f>
        <v>30.295000000000002</v>
      </c>
      <c r="AH70" s="52">
        <f>(Costs!L48+Costs!L57)/2</f>
        <v>30.314999999999998</v>
      </c>
      <c r="AI70" s="52">
        <f>(Costs!M48+Costs!M57)/2</f>
        <v>30.314999999999998</v>
      </c>
      <c r="AJ70" s="52">
        <f>(Costs!N48+Costs!N57)/2</f>
        <v>30.314999999999998</v>
      </c>
      <c r="AK70" s="52">
        <f>(Costs!O48+Costs!O57)/2</f>
        <v>30.314999999999998</v>
      </c>
    </row>
    <row r="71" spans="1:37" x14ac:dyDescent="0.2">
      <c r="A71" s="40" t="s">
        <v>478</v>
      </c>
      <c r="B71" s="40" t="s">
        <v>2634</v>
      </c>
      <c r="C71" s="40" t="s">
        <v>2403</v>
      </c>
      <c r="D71" s="40">
        <v>2010</v>
      </c>
      <c r="E71" s="52" t="e">
        <f>F71</f>
        <v>#REF!</v>
      </c>
      <c r="F71" s="52" t="e">
        <f t="shared" ref="F71:J71" si="23">F65</f>
        <v>#REF!</v>
      </c>
      <c r="G71" s="52" t="e">
        <f t="shared" si="23"/>
        <v>#REF!</v>
      </c>
      <c r="H71" s="52" t="e">
        <f t="shared" si="23"/>
        <v>#REF!</v>
      </c>
      <c r="I71" s="52" t="e">
        <f t="shared" si="23"/>
        <v>#REF!</v>
      </c>
      <c r="J71" s="52" t="e">
        <f t="shared" si="23"/>
        <v>#REF!</v>
      </c>
      <c r="K71" s="52" t="e">
        <f t="shared" ref="K71:O71" si="24">K65</f>
        <v>#REF!</v>
      </c>
      <c r="L71" s="52" t="e">
        <f t="shared" si="24"/>
        <v>#REF!</v>
      </c>
      <c r="M71" s="52" t="e">
        <f t="shared" si="24"/>
        <v>#REF!</v>
      </c>
      <c r="N71" s="52" t="e">
        <f t="shared" si="24"/>
        <v>#REF!</v>
      </c>
      <c r="O71" s="52" t="e">
        <f t="shared" si="24"/>
        <v>#REF!</v>
      </c>
      <c r="P71" s="52" t="e">
        <f>Q71</f>
        <v>#REF!</v>
      </c>
      <c r="Q71" s="52" t="e">
        <f>F71*Efficiencies!$AC$51</f>
        <v>#REF!</v>
      </c>
      <c r="R71" s="52" t="e">
        <f>G71*Efficiencies!$AC$51</f>
        <v>#REF!</v>
      </c>
      <c r="S71" s="52" t="e">
        <f>H71*Efficiencies!$AC$51</f>
        <v>#REF!</v>
      </c>
      <c r="T71" s="52" t="e">
        <f>I71*Efficiencies!$AC$51</f>
        <v>#REF!</v>
      </c>
      <c r="U71" s="52" t="e">
        <f>J71*Efficiencies!$AC$51</f>
        <v>#REF!</v>
      </c>
      <c r="V71" s="52" t="e">
        <f>K71*Efficiencies!$AC$51</f>
        <v>#REF!</v>
      </c>
      <c r="W71" s="52" t="e">
        <f>L71*Efficiencies!$AC$51</f>
        <v>#REF!</v>
      </c>
      <c r="X71" s="52" t="e">
        <f>M71*Efficiencies!$AC$51</f>
        <v>#REF!</v>
      </c>
      <c r="Y71" s="52" t="e">
        <f>N71*Efficiencies!$AC$51</f>
        <v>#REF!</v>
      </c>
      <c r="Z71" s="52" t="e">
        <f>O71*Efficiencies!$AC$51</f>
        <v>#REF!</v>
      </c>
      <c r="AA71" s="52"/>
      <c r="AB71" s="52" t="e">
        <f t="shared" ref="AB71:AF71" si="25">AB72+$B18</f>
        <v>#REF!</v>
      </c>
      <c r="AC71" s="52" t="e">
        <f t="shared" si="25"/>
        <v>#REF!</v>
      </c>
      <c r="AD71" s="52" t="e">
        <f t="shared" si="25"/>
        <v>#REF!</v>
      </c>
      <c r="AE71" s="52" t="e">
        <f t="shared" si="25"/>
        <v>#REF!</v>
      </c>
      <c r="AF71" s="52" t="e">
        <f t="shared" si="25"/>
        <v>#REF!</v>
      </c>
      <c r="AG71" s="52" t="e">
        <f t="shared" ref="AG71:AK71" si="26">AG72+$B18</f>
        <v>#REF!</v>
      </c>
      <c r="AH71" s="52" t="e">
        <f t="shared" si="26"/>
        <v>#REF!</v>
      </c>
      <c r="AI71" s="52" t="e">
        <f t="shared" si="26"/>
        <v>#REF!</v>
      </c>
      <c r="AJ71" s="52" t="e">
        <f t="shared" si="26"/>
        <v>#REF!</v>
      </c>
      <c r="AK71" s="52" t="e">
        <f t="shared" si="26"/>
        <v>#REF!</v>
      </c>
    </row>
    <row r="72" spans="1:37" x14ac:dyDescent="0.2">
      <c r="A72" s="40" t="s">
        <v>478</v>
      </c>
      <c r="B72" s="40" t="s">
        <v>2635</v>
      </c>
      <c r="C72" s="40" t="s">
        <v>2289</v>
      </c>
      <c r="D72" s="40">
        <v>2010</v>
      </c>
      <c r="E72" s="52" t="e">
        <f>F72</f>
        <v>#REF!</v>
      </c>
      <c r="F72" s="52" t="e">
        <f>(Efficiencies!E61+Efficiencies!E58)/2</f>
        <v>#REF!</v>
      </c>
      <c r="G72" s="52" t="e">
        <f>(Efficiencies!F61+Efficiencies!F58)/2</f>
        <v>#REF!</v>
      </c>
      <c r="H72" s="52" t="e">
        <f>(Efficiencies!G61+Efficiencies!G58)/2</f>
        <v>#REF!</v>
      </c>
      <c r="I72" s="52" t="e">
        <f>(Efficiencies!H61+Efficiencies!H58)/2</f>
        <v>#REF!</v>
      </c>
      <c r="J72" s="52" t="e">
        <f>(Efficiencies!I61+Efficiencies!I58)/2</f>
        <v>#REF!</v>
      </c>
      <c r="K72" s="52" t="e">
        <f>(Efficiencies!J61+Efficiencies!J58)/2</f>
        <v>#REF!</v>
      </c>
      <c r="L72" s="52" t="e">
        <f>(Efficiencies!K61+Efficiencies!K58)/2</f>
        <v>#REF!</v>
      </c>
      <c r="M72" s="52" t="e">
        <f>(Efficiencies!L61+Efficiencies!L58)/2</f>
        <v>#REF!</v>
      </c>
      <c r="N72" s="52" t="e">
        <f>(Efficiencies!M61+Efficiencies!M58)/2</f>
        <v>#REF!</v>
      </c>
      <c r="O72" s="52" t="e">
        <f>(Efficiencies!N61+Efficiencies!N58)/2</f>
        <v>#REF!</v>
      </c>
      <c r="P72" s="52" t="e">
        <f>Q72</f>
        <v>#REF!</v>
      </c>
      <c r="Q72" s="52" t="e">
        <f>F72*Efficiencies!$AC$51</f>
        <v>#REF!</v>
      </c>
      <c r="R72" s="52" t="e">
        <f>G72*Efficiencies!$AC$51</f>
        <v>#REF!</v>
      </c>
      <c r="S72" s="52" t="e">
        <f>H72*Efficiencies!$AC$51</f>
        <v>#REF!</v>
      </c>
      <c r="T72" s="52" t="e">
        <f>I72*Efficiencies!$AC$51</f>
        <v>#REF!</v>
      </c>
      <c r="U72" s="52" t="e">
        <f>J72*Efficiencies!$AC$51</f>
        <v>#REF!</v>
      </c>
      <c r="V72" s="52" t="e">
        <f>K72*Efficiencies!$AC$51</f>
        <v>#REF!</v>
      </c>
      <c r="W72" s="52" t="e">
        <f>L72*Efficiencies!$AC$51</f>
        <v>#REF!</v>
      </c>
      <c r="X72" s="52" t="e">
        <f>M72*Efficiencies!$AC$51</f>
        <v>#REF!</v>
      </c>
      <c r="Y72" s="52" t="e">
        <f>N72*Efficiencies!$AC$51</f>
        <v>#REF!</v>
      </c>
      <c r="Z72" s="52" t="e">
        <f>O72*Efficiencies!$AC$51</f>
        <v>#REF!</v>
      </c>
      <c r="AA72" s="52"/>
      <c r="AB72" s="52">
        <f>(Costs!F61-Costs!F58)*$E$36/100+Costs!F58</f>
        <v>21.824819999999999</v>
      </c>
      <c r="AC72" s="52">
        <f>(Costs!G61-Costs!G58)*$E$36/100+Costs!G58</f>
        <v>23.256720000000001</v>
      </c>
      <c r="AD72" s="52">
        <f>(Costs!H61-Costs!H58)*$E$36/100+Costs!H58</f>
        <v>35.138740000000006</v>
      </c>
      <c r="AE72" s="52">
        <f>(Costs!I61-Costs!I58)*$E$36/100+Costs!I58</f>
        <v>35.871359999999996</v>
      </c>
      <c r="AF72" s="52">
        <f>(Costs!J61-Costs!J58)*$E$36/100+Costs!J58</f>
        <v>35.690899999999999</v>
      </c>
      <c r="AG72" s="52">
        <f>(Costs!K61-Costs!K58)*$E$36/100+Costs!K58</f>
        <v>35.65746</v>
      </c>
      <c r="AH72" s="52">
        <f>(Costs!L61-Costs!L58)*$E$36/100+Costs!L58</f>
        <v>35.664100000000005</v>
      </c>
      <c r="AI72" s="52">
        <f>(Costs!M61-Costs!M58)*$E$36/100+Costs!M58</f>
        <v>35.664100000000005</v>
      </c>
      <c r="AJ72" s="52">
        <f>(Costs!N61-Costs!N58)*$E$36/100+Costs!N58</f>
        <v>35.664100000000005</v>
      </c>
      <c r="AK72" s="52">
        <f>(Costs!O61-Costs!O58)*$E$36/100+Costs!O58</f>
        <v>35.664100000000005</v>
      </c>
    </row>
    <row r="73" spans="1:37" x14ac:dyDescent="0.2">
      <c r="A73" s="40" t="s">
        <v>478</v>
      </c>
      <c r="B73" s="40" t="s">
        <v>2636</v>
      </c>
      <c r="C73" s="40" t="s">
        <v>2517</v>
      </c>
      <c r="D73" s="40">
        <v>2010</v>
      </c>
      <c r="E73" s="52" t="e">
        <f>F73</f>
        <v>#REF!</v>
      </c>
      <c r="F73" s="52" t="e">
        <f>Efficiencies!E61</f>
        <v>#REF!</v>
      </c>
      <c r="G73" s="52" t="e">
        <f>Efficiencies!F61</f>
        <v>#REF!</v>
      </c>
      <c r="H73" s="52" t="e">
        <f>Efficiencies!G61</f>
        <v>#REF!</v>
      </c>
      <c r="I73" s="52" t="e">
        <f>Efficiencies!H61</f>
        <v>#REF!</v>
      </c>
      <c r="J73" s="52" t="e">
        <f>Efficiencies!I61</f>
        <v>#REF!</v>
      </c>
      <c r="K73" s="52" t="e">
        <f>Efficiencies!J61</f>
        <v>#REF!</v>
      </c>
      <c r="L73" s="52" t="e">
        <f>Efficiencies!K61</f>
        <v>#REF!</v>
      </c>
      <c r="M73" s="52" t="e">
        <f>Efficiencies!L61</f>
        <v>#REF!</v>
      </c>
      <c r="N73" s="52" t="e">
        <f>Efficiencies!M61</f>
        <v>#REF!</v>
      </c>
      <c r="O73" s="52" t="e">
        <f>Efficiencies!N61</f>
        <v>#REF!</v>
      </c>
      <c r="P73" s="52" t="e">
        <f>Q73</f>
        <v>#REF!</v>
      </c>
      <c r="Q73" s="52" t="e">
        <f>F73*Efficiencies!$AC$51</f>
        <v>#REF!</v>
      </c>
      <c r="R73" s="52" t="e">
        <f>G73*Efficiencies!$AC$51</f>
        <v>#REF!</v>
      </c>
      <c r="S73" s="52" t="e">
        <f>H73*Efficiencies!$AC$51</f>
        <v>#REF!</v>
      </c>
      <c r="T73" s="52" t="e">
        <f>I73*Efficiencies!$AC$51</f>
        <v>#REF!</v>
      </c>
      <c r="U73" s="52" t="e">
        <f>J73*Efficiencies!$AC$51</f>
        <v>#REF!</v>
      </c>
      <c r="V73" s="52" t="e">
        <f>K73*Efficiencies!$AC$51</f>
        <v>#REF!</v>
      </c>
      <c r="W73" s="52" t="e">
        <f>L73*Efficiencies!$AC$51</f>
        <v>#REF!</v>
      </c>
      <c r="X73" s="52" t="e">
        <f>M73*Efficiencies!$AC$51</f>
        <v>#REF!</v>
      </c>
      <c r="Y73" s="52" t="e">
        <f>N73*Efficiencies!$AC$51</f>
        <v>#REF!</v>
      </c>
      <c r="Z73" s="52" t="e">
        <f>O73*Efficiencies!$AC$51</f>
        <v>#REF!</v>
      </c>
      <c r="AA73" s="52"/>
      <c r="AB73" s="52" t="e">
        <f>Costs!F61+$B18</f>
        <v>#REF!</v>
      </c>
      <c r="AC73" s="52" t="e">
        <f>Costs!G61+$B18</f>
        <v>#REF!</v>
      </c>
      <c r="AD73" s="52" t="e">
        <f>Costs!H61+$B18</f>
        <v>#REF!</v>
      </c>
      <c r="AE73" s="52" t="e">
        <f>Costs!I61+$B18</f>
        <v>#REF!</v>
      </c>
      <c r="AF73" s="52" t="e">
        <f>Costs!J61+$B18</f>
        <v>#REF!</v>
      </c>
      <c r="AG73" s="52" t="e">
        <f>Costs!K61+$B18</f>
        <v>#REF!</v>
      </c>
      <c r="AH73" s="52" t="e">
        <f>Costs!L61+$B18</f>
        <v>#REF!</v>
      </c>
      <c r="AI73" s="52" t="e">
        <f>Costs!M61+$B18</f>
        <v>#REF!</v>
      </c>
      <c r="AJ73" s="52" t="e">
        <f>Costs!N61+$B18</f>
        <v>#REF!</v>
      </c>
      <c r="AK73" s="52" t="e">
        <f>Costs!O61+$B18</f>
        <v>#REF!</v>
      </c>
    </row>
    <row r="74" spans="1:37" x14ac:dyDescent="0.2">
      <c r="A74" s="40" t="s">
        <v>2647</v>
      </c>
      <c r="B74" s="40" t="s">
        <v>2627</v>
      </c>
      <c r="C74" s="40" t="s">
        <v>2648</v>
      </c>
      <c r="D74" s="40">
        <v>2010</v>
      </c>
      <c r="E74" s="52" t="e">
        <f>Efficiencies!D62</f>
        <v>#REF!</v>
      </c>
      <c r="F74" s="52" t="e">
        <f>Efficiencies!E62</f>
        <v>#REF!</v>
      </c>
      <c r="G74" s="52" t="e">
        <f>Efficiencies!F62</f>
        <v>#REF!</v>
      </c>
      <c r="H74" s="52" t="e">
        <f>Efficiencies!G62</f>
        <v>#REF!</v>
      </c>
      <c r="I74" s="52" t="e">
        <f>Efficiencies!H62</f>
        <v>#REF!</v>
      </c>
      <c r="J74" s="52" t="e">
        <f>Efficiencies!I62</f>
        <v>#REF!</v>
      </c>
      <c r="K74" s="52" t="e">
        <f>Efficiencies!J62</f>
        <v>#REF!</v>
      </c>
      <c r="L74" s="52" t="e">
        <f>Efficiencies!K62</f>
        <v>#REF!</v>
      </c>
      <c r="M74" s="52" t="e">
        <f>Efficiencies!L62</f>
        <v>#REF!</v>
      </c>
      <c r="N74" s="52" t="e">
        <f>Efficiencies!M62</f>
        <v>#REF!</v>
      </c>
      <c r="O74" s="52" t="e">
        <f>Efficiencies!N62</f>
        <v>#REF!</v>
      </c>
      <c r="P74" s="52" t="e">
        <f>E74*Efficiencies!$AC$50</f>
        <v>#REF!</v>
      </c>
      <c r="Q74" s="52" t="e">
        <f>F74*Efficiencies!$AC$50</f>
        <v>#REF!</v>
      </c>
      <c r="R74" s="52" t="e">
        <f>G74*Efficiencies!$AC$50</f>
        <v>#REF!</v>
      </c>
      <c r="S74" s="52" t="e">
        <f>H74*Efficiencies!$AC$50</f>
        <v>#REF!</v>
      </c>
      <c r="T74" s="52" t="e">
        <f>I74*Efficiencies!$AC$50</f>
        <v>#REF!</v>
      </c>
      <c r="U74" s="52" t="e">
        <f>J74*Efficiencies!$AC$50</f>
        <v>#REF!</v>
      </c>
      <c r="V74" s="52" t="e">
        <f>K74*Efficiencies!$AC$50</f>
        <v>#REF!</v>
      </c>
      <c r="W74" s="52" t="e">
        <f>L74*Efficiencies!$AC$50</f>
        <v>#REF!</v>
      </c>
      <c r="X74" s="52" t="e">
        <f>M74*Efficiencies!$AC$50</f>
        <v>#REF!</v>
      </c>
      <c r="Y74" s="52" t="e">
        <f>N74*Efficiencies!$AC$50</f>
        <v>#REF!</v>
      </c>
      <c r="Z74" s="52" t="e">
        <f>O74*Efficiencies!$AC$50</f>
        <v>#REF!</v>
      </c>
      <c r="AA74" s="52"/>
      <c r="AB74" s="52" t="e">
        <f>Costs!F62+$B19</f>
        <v>#REF!</v>
      </c>
      <c r="AC74" s="52" t="e">
        <f>Costs!G62+$B19</f>
        <v>#REF!</v>
      </c>
      <c r="AD74" s="52" t="e">
        <f>Costs!H62+$B19</f>
        <v>#REF!</v>
      </c>
      <c r="AE74" s="52" t="e">
        <f>Costs!I62+$B19</f>
        <v>#REF!</v>
      </c>
      <c r="AF74" s="52" t="e">
        <f>Costs!J62+$B19</f>
        <v>#REF!</v>
      </c>
      <c r="AG74" s="52" t="e">
        <f>Costs!K62+$B19</f>
        <v>#REF!</v>
      </c>
      <c r="AH74" s="52" t="e">
        <f>Costs!L62+$B19</f>
        <v>#REF!</v>
      </c>
      <c r="AI74" s="52" t="e">
        <f>Costs!M62+$B19</f>
        <v>#REF!</v>
      </c>
      <c r="AJ74" s="52" t="e">
        <f>Costs!N62+$B19</f>
        <v>#REF!</v>
      </c>
      <c r="AK74" s="52" t="e">
        <f>Costs!O62+$B19</f>
        <v>#REF!</v>
      </c>
    </row>
    <row r="75" spans="1:37" x14ac:dyDescent="0.2">
      <c r="A75" s="40" t="s">
        <v>2647</v>
      </c>
      <c r="B75" s="40" t="s">
        <v>2629</v>
      </c>
      <c r="C75" s="40" t="s">
        <v>2099</v>
      </c>
      <c r="D75" s="40">
        <v>2010</v>
      </c>
      <c r="E75" s="52" t="e">
        <f>Efficiencies!D66</f>
        <v>#REF!</v>
      </c>
      <c r="F75" s="52" t="e">
        <f>Efficiencies!E66</f>
        <v>#REF!</v>
      </c>
      <c r="G75" s="52" t="e">
        <f>Efficiencies!F66</f>
        <v>#REF!</v>
      </c>
      <c r="H75" s="52" t="e">
        <f>Efficiencies!G66</f>
        <v>#REF!</v>
      </c>
      <c r="I75" s="52" t="e">
        <f>Efficiencies!H66</f>
        <v>#REF!</v>
      </c>
      <c r="J75" s="52" t="e">
        <f>Efficiencies!I66</f>
        <v>#REF!</v>
      </c>
      <c r="K75" s="52" t="e">
        <f>Efficiencies!J66</f>
        <v>#REF!</v>
      </c>
      <c r="L75" s="52" t="e">
        <f>Efficiencies!K66</f>
        <v>#REF!</v>
      </c>
      <c r="M75" s="52" t="e">
        <f>Efficiencies!L66</f>
        <v>#REF!</v>
      </c>
      <c r="N75" s="52" t="e">
        <f>Efficiencies!M66</f>
        <v>#REF!</v>
      </c>
      <c r="O75" s="52" t="e">
        <f>Efficiencies!N66</f>
        <v>#REF!</v>
      </c>
      <c r="P75" s="52" t="e">
        <f>E75*Efficiencies!$AC$50</f>
        <v>#REF!</v>
      </c>
      <c r="Q75" s="52" t="e">
        <f>F75*Efficiencies!$AC$50</f>
        <v>#REF!</v>
      </c>
      <c r="R75" s="52" t="e">
        <f>G75*Efficiencies!$AC$50</f>
        <v>#REF!</v>
      </c>
      <c r="S75" s="52" t="e">
        <f>H75*Efficiencies!$AC$50</f>
        <v>#REF!</v>
      </c>
      <c r="T75" s="52" t="e">
        <f>I75*Efficiencies!$AC$50</f>
        <v>#REF!</v>
      </c>
      <c r="U75" s="52" t="e">
        <f>J75*Efficiencies!$AC$50</f>
        <v>#REF!</v>
      </c>
      <c r="V75" s="52" t="e">
        <f>K75*Efficiencies!$AC$50</f>
        <v>#REF!</v>
      </c>
      <c r="W75" s="52" t="e">
        <f>L75*Efficiencies!$AC$50</f>
        <v>#REF!</v>
      </c>
      <c r="X75" s="52" t="e">
        <f>M75*Efficiencies!$AC$50</f>
        <v>#REF!</v>
      </c>
      <c r="Y75" s="52" t="e">
        <f>N75*Efficiencies!$AC$50</f>
        <v>#REF!</v>
      </c>
      <c r="Z75" s="52" t="e">
        <f>O75*Efficiencies!$AC$50</f>
        <v>#REF!</v>
      </c>
      <c r="AA75" s="52"/>
      <c r="AB75" s="52" t="e">
        <f>Costs!F66+$B19</f>
        <v>#REF!</v>
      </c>
      <c r="AC75" s="52" t="e">
        <f>Costs!G66+$B19</f>
        <v>#REF!</v>
      </c>
      <c r="AD75" s="52" t="e">
        <f>Costs!H66+$B19</f>
        <v>#REF!</v>
      </c>
      <c r="AE75" s="52" t="e">
        <f>Costs!I66+$B19</f>
        <v>#REF!</v>
      </c>
      <c r="AF75" s="52" t="e">
        <f>Costs!J66+$B19</f>
        <v>#REF!</v>
      </c>
      <c r="AG75" s="52" t="e">
        <f>Costs!K66+$B19</f>
        <v>#REF!</v>
      </c>
      <c r="AH75" s="52" t="e">
        <f>Costs!L66+$B19</f>
        <v>#REF!</v>
      </c>
      <c r="AI75" s="52" t="e">
        <f>Costs!M66+$B19</f>
        <v>#REF!</v>
      </c>
      <c r="AJ75" s="52" t="e">
        <f>Costs!N66+$B19</f>
        <v>#REF!</v>
      </c>
      <c r="AK75" s="52" t="e">
        <f>Costs!O66+$B19</f>
        <v>#REF!</v>
      </c>
    </row>
    <row r="76" spans="1:37" x14ac:dyDescent="0.2">
      <c r="A76" s="40" t="s">
        <v>2647</v>
      </c>
      <c r="B76" s="40" t="s">
        <v>2630</v>
      </c>
      <c r="C76" s="40" t="s">
        <v>2649</v>
      </c>
      <c r="D76" s="40">
        <v>2010</v>
      </c>
      <c r="E76" s="52" t="e">
        <f t="shared" ref="E76:O76" si="27">E77</f>
        <v>#REF!</v>
      </c>
      <c r="F76" s="52" t="e">
        <f t="shared" si="27"/>
        <v>#REF!</v>
      </c>
      <c r="G76" s="52" t="e">
        <f t="shared" si="27"/>
        <v>#REF!</v>
      </c>
      <c r="H76" s="52" t="e">
        <f t="shared" si="27"/>
        <v>#REF!</v>
      </c>
      <c r="I76" s="52" t="e">
        <f t="shared" si="27"/>
        <v>#REF!</v>
      </c>
      <c r="J76" s="52" t="e">
        <f t="shared" si="27"/>
        <v>#REF!</v>
      </c>
      <c r="K76" s="52" t="e">
        <f t="shared" si="27"/>
        <v>#REF!</v>
      </c>
      <c r="L76" s="52" t="e">
        <f t="shared" si="27"/>
        <v>#REF!</v>
      </c>
      <c r="M76" s="52" t="e">
        <f t="shared" si="27"/>
        <v>#REF!</v>
      </c>
      <c r="N76" s="52" t="e">
        <f t="shared" si="27"/>
        <v>#REF!</v>
      </c>
      <c r="O76" s="52" t="e">
        <f t="shared" si="27"/>
        <v>#REF!</v>
      </c>
      <c r="P76" s="52" t="e">
        <f>E76*Efficiencies!$AC$50</f>
        <v>#REF!</v>
      </c>
      <c r="Q76" s="52" t="e">
        <f>F76*Efficiencies!$AC$50</f>
        <v>#REF!</v>
      </c>
      <c r="R76" s="52" t="e">
        <f>G76*Efficiencies!$AC$50</f>
        <v>#REF!</v>
      </c>
      <c r="S76" s="52" t="e">
        <f>H76*Efficiencies!$AC$50</f>
        <v>#REF!</v>
      </c>
      <c r="T76" s="52" t="e">
        <f>I76*Efficiencies!$AC$50</f>
        <v>#REF!</v>
      </c>
      <c r="U76" s="52" t="e">
        <f>J76*Efficiencies!$AC$50</f>
        <v>#REF!</v>
      </c>
      <c r="V76" s="52" t="e">
        <f>K76*Efficiencies!$AC$50</f>
        <v>#REF!</v>
      </c>
      <c r="W76" s="52" t="e">
        <f>L76*Efficiencies!$AC$50</f>
        <v>#REF!</v>
      </c>
      <c r="X76" s="52" t="e">
        <f>M76*Efficiencies!$AC$50</f>
        <v>#REF!</v>
      </c>
      <c r="Y76" s="52" t="e">
        <f>N76*Efficiencies!$AC$50</f>
        <v>#REF!</v>
      </c>
      <c r="Z76" s="52" t="e">
        <f>O76*Efficiencies!$AC$50</f>
        <v>#REF!</v>
      </c>
      <c r="AA76" s="52"/>
      <c r="AB76" s="52" t="e">
        <f t="shared" ref="AB76:AF76" si="28">AB77+$B19</f>
        <v>#REF!</v>
      </c>
      <c r="AC76" s="52" t="e">
        <f t="shared" si="28"/>
        <v>#REF!</v>
      </c>
      <c r="AD76" s="52" t="e">
        <f t="shared" si="28"/>
        <v>#REF!</v>
      </c>
      <c r="AE76" s="52" t="e">
        <f t="shared" si="28"/>
        <v>#REF!</v>
      </c>
      <c r="AF76" s="52" t="e">
        <f t="shared" si="28"/>
        <v>#REF!</v>
      </c>
      <c r="AG76" s="52" t="e">
        <f t="shared" ref="AG76:AK76" si="29">AG77+$B19</f>
        <v>#REF!</v>
      </c>
      <c r="AH76" s="52" t="e">
        <f t="shared" si="29"/>
        <v>#REF!</v>
      </c>
      <c r="AI76" s="52" t="e">
        <f t="shared" si="29"/>
        <v>#REF!</v>
      </c>
      <c r="AJ76" s="52" t="e">
        <f t="shared" si="29"/>
        <v>#REF!</v>
      </c>
      <c r="AK76" s="52" t="e">
        <f t="shared" si="29"/>
        <v>#REF!</v>
      </c>
    </row>
    <row r="77" spans="1:37" x14ac:dyDescent="0.2">
      <c r="A77" s="40" t="s">
        <v>2647</v>
      </c>
      <c r="B77" s="40" t="s">
        <v>2632</v>
      </c>
      <c r="C77" s="82" t="s">
        <v>2650</v>
      </c>
      <c r="D77" s="40">
        <v>2000</v>
      </c>
      <c r="E77" s="52" t="e">
        <f>(Efficiencies!D62+Efficiencies!D65)/2</f>
        <v>#REF!</v>
      </c>
      <c r="F77" s="52" t="e">
        <f>(Efficiencies!E62+Efficiencies!E65)/2</f>
        <v>#REF!</v>
      </c>
      <c r="G77" s="52" t="e">
        <f>(Efficiencies!F62+Efficiencies!F65)/2</f>
        <v>#REF!</v>
      </c>
      <c r="H77" s="52" t="e">
        <f>(Efficiencies!G62+Efficiencies!G65)/2</f>
        <v>#REF!</v>
      </c>
      <c r="I77" s="52" t="e">
        <f>(Efficiencies!H62+Efficiencies!H65)/2</f>
        <v>#REF!</v>
      </c>
      <c r="J77" s="52" t="e">
        <f>(Efficiencies!I62+Efficiencies!I65)/2</f>
        <v>#REF!</v>
      </c>
      <c r="K77" s="52" t="e">
        <f>(Efficiencies!J62+Efficiencies!J65)/2</f>
        <v>#REF!</v>
      </c>
      <c r="L77" s="52" t="e">
        <f>(Efficiencies!K62+Efficiencies!K65)/2</f>
        <v>#REF!</v>
      </c>
      <c r="M77" s="52" t="e">
        <f>(Efficiencies!L62+Efficiencies!L65)/2</f>
        <v>#REF!</v>
      </c>
      <c r="N77" s="52" t="e">
        <f>(Efficiencies!M62+Efficiencies!M65)/2</f>
        <v>#REF!</v>
      </c>
      <c r="O77" s="52" t="e">
        <f>(Efficiencies!N62+Efficiencies!N65)/2</f>
        <v>#REF!</v>
      </c>
      <c r="P77" s="52" t="e">
        <f>E77*Efficiencies!$AC$50</f>
        <v>#REF!</v>
      </c>
      <c r="Q77" s="52" t="e">
        <f>F77*Efficiencies!$AC$50</f>
        <v>#REF!</v>
      </c>
      <c r="R77" s="52" t="e">
        <f>G77*Efficiencies!$AC$50</f>
        <v>#REF!</v>
      </c>
      <c r="S77" s="52" t="e">
        <f>H77*Efficiencies!$AC$50</f>
        <v>#REF!</v>
      </c>
      <c r="T77" s="52" t="e">
        <f>I77*Efficiencies!$AC$50</f>
        <v>#REF!</v>
      </c>
      <c r="U77" s="52" t="e">
        <f>J77*Efficiencies!$AC$50</f>
        <v>#REF!</v>
      </c>
      <c r="V77" s="52" t="e">
        <f>K77*Efficiencies!$AC$50</f>
        <v>#REF!</v>
      </c>
      <c r="W77" s="52" t="e">
        <f>L77*Efficiencies!$AC$50</f>
        <v>#REF!</v>
      </c>
      <c r="X77" s="52" t="e">
        <f>M77*Efficiencies!$AC$50</f>
        <v>#REF!</v>
      </c>
      <c r="Y77" s="52" t="e">
        <f>N77*Efficiencies!$AC$50</f>
        <v>#REF!</v>
      </c>
      <c r="Z77" s="52" t="e">
        <f>O77*Efficiencies!$AC$50</f>
        <v>#REF!</v>
      </c>
      <c r="AA77" s="52">
        <f>(Costs!E62+Costs!E65)/2</f>
        <v>39.545000000000002</v>
      </c>
      <c r="AB77" s="52">
        <f>(Costs!F62+Costs!F65)/2</f>
        <v>43.45</v>
      </c>
      <c r="AC77" s="52">
        <f>(Costs!G62+Costs!G65)/2</f>
        <v>45.540000000000006</v>
      </c>
      <c r="AD77" s="52">
        <f>(Costs!H62+Costs!H65)/2</f>
        <v>46.2</v>
      </c>
      <c r="AE77" s="52">
        <f>(Costs!I62+Costs!I65)/2</f>
        <v>47.664999999999999</v>
      </c>
      <c r="AF77" s="52">
        <f>(Costs!J62+Costs!J65)/2</f>
        <v>47.69</v>
      </c>
      <c r="AG77" s="52">
        <f>(Costs!K62+Costs!K65)/2</f>
        <v>47.704999999999998</v>
      </c>
      <c r="AH77" s="52">
        <f>(Costs!L62+Costs!L65)/2</f>
        <v>47.685000000000002</v>
      </c>
      <c r="AI77" s="52">
        <f>(Costs!M62+Costs!M65)/2</f>
        <v>47.685000000000002</v>
      </c>
      <c r="AJ77" s="52">
        <f>(Costs!N62+Costs!N65)/2</f>
        <v>47.685000000000002</v>
      </c>
      <c r="AK77" s="52">
        <f>(Costs!O62+Costs!O65)/2</f>
        <v>47.685000000000002</v>
      </c>
    </row>
    <row r="78" spans="1:37" x14ac:dyDescent="0.2">
      <c r="A78" s="40" t="s">
        <v>329</v>
      </c>
      <c r="B78" s="40" t="s">
        <v>2627</v>
      </c>
      <c r="C78" s="40" t="s">
        <v>2651</v>
      </c>
      <c r="D78" s="40">
        <v>2005</v>
      </c>
      <c r="E78" s="52" t="e">
        <f>Efficiencies!D67</f>
        <v>#REF!</v>
      </c>
      <c r="F78" s="52" t="e">
        <f>Efficiencies!E67</f>
        <v>#REF!</v>
      </c>
      <c r="G78" s="52" t="e">
        <f>Efficiencies!F67</f>
        <v>#REF!</v>
      </c>
      <c r="H78" s="52" t="e">
        <f>Efficiencies!G67</f>
        <v>#REF!</v>
      </c>
      <c r="I78" s="52" t="e">
        <f>Efficiencies!H67</f>
        <v>#REF!</v>
      </c>
      <c r="J78" s="52" t="e">
        <f>Efficiencies!I67</f>
        <v>#REF!</v>
      </c>
      <c r="K78" s="52" t="e">
        <f>Efficiencies!J67</f>
        <v>#REF!</v>
      </c>
      <c r="L78" s="52" t="e">
        <f>Efficiencies!K67</f>
        <v>#REF!</v>
      </c>
      <c r="M78" s="52" t="e">
        <f>Efficiencies!L67</f>
        <v>#REF!</v>
      </c>
      <c r="N78" s="52" t="e">
        <f>Efficiencies!M67</f>
        <v>#REF!</v>
      </c>
      <c r="O78" s="52" t="e">
        <f>Efficiencies!N67</f>
        <v>#REF!</v>
      </c>
      <c r="P78" s="52" t="e">
        <f>E78*Efficiencies!$AC$51</f>
        <v>#REF!</v>
      </c>
      <c r="Q78" s="52" t="e">
        <f>F78*Efficiencies!$AC$51</f>
        <v>#REF!</v>
      </c>
      <c r="R78" s="52" t="e">
        <f>G78*Efficiencies!$AC$51</f>
        <v>#REF!</v>
      </c>
      <c r="S78" s="52" t="e">
        <f>H78*Efficiencies!$AC$51</f>
        <v>#REF!</v>
      </c>
      <c r="T78" s="52" t="e">
        <f>I78*Efficiencies!$AC$51</f>
        <v>#REF!</v>
      </c>
      <c r="U78" s="52" t="e">
        <f>J78*Efficiencies!$AC$51</f>
        <v>#REF!</v>
      </c>
      <c r="V78" s="52" t="e">
        <f>K78*Efficiencies!$AC$51</f>
        <v>#REF!</v>
      </c>
      <c r="W78" s="52" t="e">
        <f>L78*Efficiencies!$AC$51</f>
        <v>#REF!</v>
      </c>
      <c r="X78" s="52" t="e">
        <f>M78*Efficiencies!$AC$51</f>
        <v>#REF!</v>
      </c>
      <c r="Y78" s="52" t="e">
        <f>N78*Efficiencies!$AC$51</f>
        <v>#REF!</v>
      </c>
      <c r="Z78" s="52" t="e">
        <f>O78*Efficiencies!$AC$51</f>
        <v>#REF!</v>
      </c>
      <c r="AA78" s="52" t="e">
        <f>Costs!E67+$B15</f>
        <v>#REF!</v>
      </c>
      <c r="AB78" s="52" t="e">
        <f>Costs!F67+$B15</f>
        <v>#REF!</v>
      </c>
      <c r="AC78" s="52" t="e">
        <f>Costs!G67+$B15</f>
        <v>#REF!</v>
      </c>
      <c r="AD78" s="52" t="e">
        <f>Costs!H67+$B15</f>
        <v>#REF!</v>
      </c>
      <c r="AE78" s="52" t="e">
        <f>Costs!I67+$B15</f>
        <v>#REF!</v>
      </c>
      <c r="AF78" s="52" t="e">
        <f>Costs!J67+$B15</f>
        <v>#REF!</v>
      </c>
      <c r="AG78" s="52" t="e">
        <f>Costs!K67+$B15</f>
        <v>#REF!</v>
      </c>
      <c r="AH78" s="52" t="e">
        <f>Costs!L67+$B15</f>
        <v>#REF!</v>
      </c>
      <c r="AI78" s="52" t="e">
        <f>Costs!M67+$B15</f>
        <v>#REF!</v>
      </c>
      <c r="AJ78" s="52" t="e">
        <f>Costs!N67+$B15</f>
        <v>#REF!</v>
      </c>
      <c r="AK78" s="52" t="e">
        <f>Costs!O67+$B15</f>
        <v>#REF!</v>
      </c>
    </row>
    <row r="79" spans="1:37" x14ac:dyDescent="0.2">
      <c r="A79" s="40" t="s">
        <v>329</v>
      </c>
      <c r="B79" s="40" t="s">
        <v>2629</v>
      </c>
      <c r="C79" s="40" t="s">
        <v>2156</v>
      </c>
      <c r="D79" s="40">
        <v>2010</v>
      </c>
      <c r="E79" s="52">
        <f>F79</f>
        <v>0</v>
      </c>
      <c r="F79" s="52">
        <f>Efficiencies!E75</f>
        <v>0</v>
      </c>
      <c r="G79" s="52" t="e">
        <f>Efficiencies!F75</f>
        <v>#REF!</v>
      </c>
      <c r="H79" s="52" t="e">
        <f>Efficiencies!G75</f>
        <v>#REF!</v>
      </c>
      <c r="I79" s="52" t="e">
        <f>Efficiencies!H75</f>
        <v>#REF!</v>
      </c>
      <c r="J79" s="52" t="e">
        <f>Efficiencies!I75</f>
        <v>#REF!</v>
      </c>
      <c r="K79" s="52" t="e">
        <f>Efficiencies!J75</f>
        <v>#REF!</v>
      </c>
      <c r="L79" s="52" t="e">
        <f>Efficiencies!K75</f>
        <v>#REF!</v>
      </c>
      <c r="M79" s="52" t="e">
        <f>Efficiencies!L75</f>
        <v>#REF!</v>
      </c>
      <c r="N79" s="52" t="e">
        <f>Efficiencies!M75</f>
        <v>#REF!</v>
      </c>
      <c r="O79" s="52" t="e">
        <f>Efficiencies!N75</f>
        <v>#REF!</v>
      </c>
      <c r="P79" s="52">
        <f>Q79</f>
        <v>0</v>
      </c>
      <c r="Q79" s="52">
        <f>F79*Efficiencies!$AC$51</f>
        <v>0</v>
      </c>
      <c r="R79" s="52" t="e">
        <f>G79*Efficiencies!$AC$51</f>
        <v>#REF!</v>
      </c>
      <c r="S79" s="52" t="e">
        <f>H79*Efficiencies!$AC$51</f>
        <v>#REF!</v>
      </c>
      <c r="T79" s="52" t="e">
        <f>I79*Efficiencies!$AC$51</f>
        <v>#REF!</v>
      </c>
      <c r="U79" s="52" t="e">
        <f>J79*Efficiencies!$AC$51</f>
        <v>#REF!</v>
      </c>
      <c r="V79" s="52" t="e">
        <f>K79*Efficiencies!$AC$51</f>
        <v>#REF!</v>
      </c>
      <c r="W79" s="52" t="e">
        <f>L79*Efficiencies!$AC$51</f>
        <v>#REF!</v>
      </c>
      <c r="X79" s="52" t="e">
        <f>M79*Efficiencies!$AC$51</f>
        <v>#REF!</v>
      </c>
      <c r="Y79" s="52" t="e">
        <f>N79*Efficiencies!$AC$51</f>
        <v>#REF!</v>
      </c>
      <c r="Z79" s="52" t="e">
        <f>O79*Efficiencies!$AC$51</f>
        <v>#REF!</v>
      </c>
      <c r="AA79" s="52"/>
      <c r="AB79" s="52" t="e">
        <f>Costs!F75+$B15</f>
        <v>#REF!</v>
      </c>
      <c r="AC79" s="52" t="e">
        <f>Costs!G75+$B15</f>
        <v>#REF!</v>
      </c>
      <c r="AD79" s="52" t="e">
        <f>Costs!H75+$B15</f>
        <v>#REF!</v>
      </c>
      <c r="AE79" s="52" t="e">
        <f>Costs!I75+$B15</f>
        <v>#REF!</v>
      </c>
      <c r="AF79" s="52" t="e">
        <f>Costs!J75+$B15</f>
        <v>#REF!</v>
      </c>
      <c r="AG79" s="52" t="e">
        <f>Costs!K75+$B15</f>
        <v>#REF!</v>
      </c>
      <c r="AH79" s="52" t="e">
        <f>Costs!L75+$B15</f>
        <v>#REF!</v>
      </c>
      <c r="AI79" s="52" t="e">
        <f>Costs!M75+$B15</f>
        <v>#REF!</v>
      </c>
      <c r="AJ79" s="52" t="e">
        <f>Costs!N75+$B15</f>
        <v>#REF!</v>
      </c>
      <c r="AK79" s="52" t="e">
        <f>Costs!O75+$B15</f>
        <v>#REF!</v>
      </c>
    </row>
    <row r="80" spans="1:37" x14ac:dyDescent="0.2">
      <c r="A80" s="40" t="s">
        <v>329</v>
      </c>
      <c r="B80" s="40" t="s">
        <v>2630</v>
      </c>
      <c r="C80" s="40" t="s">
        <v>2652</v>
      </c>
      <c r="D80" s="40">
        <v>2005</v>
      </c>
      <c r="E80" s="52" t="e">
        <f t="shared" ref="E80:O80" si="30">E81</f>
        <v>#REF!</v>
      </c>
      <c r="F80" s="52" t="e">
        <f t="shared" si="30"/>
        <v>#REF!</v>
      </c>
      <c r="G80" s="52" t="e">
        <f t="shared" si="30"/>
        <v>#REF!</v>
      </c>
      <c r="H80" s="52" t="e">
        <f t="shared" si="30"/>
        <v>#REF!</v>
      </c>
      <c r="I80" s="52" t="e">
        <f t="shared" si="30"/>
        <v>#REF!</v>
      </c>
      <c r="J80" s="52" t="e">
        <f t="shared" si="30"/>
        <v>#REF!</v>
      </c>
      <c r="K80" s="52" t="e">
        <f t="shared" si="30"/>
        <v>#REF!</v>
      </c>
      <c r="L80" s="52" t="e">
        <f t="shared" si="30"/>
        <v>#REF!</v>
      </c>
      <c r="M80" s="52" t="e">
        <f t="shared" si="30"/>
        <v>#REF!</v>
      </c>
      <c r="N80" s="52" t="e">
        <f t="shared" si="30"/>
        <v>#REF!</v>
      </c>
      <c r="O80" s="52" t="e">
        <f t="shared" si="30"/>
        <v>#REF!</v>
      </c>
      <c r="P80" s="52" t="e">
        <f>E80*Efficiencies!$AC$51</f>
        <v>#REF!</v>
      </c>
      <c r="Q80" s="52" t="e">
        <f>F80*Efficiencies!$AC$51</f>
        <v>#REF!</v>
      </c>
      <c r="R80" s="52" t="e">
        <f>G80*Efficiencies!$AC$51</f>
        <v>#REF!</v>
      </c>
      <c r="S80" s="52" t="e">
        <f>H80*Efficiencies!$AC$51</f>
        <v>#REF!</v>
      </c>
      <c r="T80" s="52" t="e">
        <f>I80*Efficiencies!$AC$51</f>
        <v>#REF!</v>
      </c>
      <c r="U80" s="52" t="e">
        <f>J80*Efficiencies!$AC$51</f>
        <v>#REF!</v>
      </c>
      <c r="V80" s="52" t="e">
        <f>K80*Efficiencies!$AC$51</f>
        <v>#REF!</v>
      </c>
      <c r="W80" s="52" t="e">
        <f>L80*Efficiencies!$AC$51</f>
        <v>#REF!</v>
      </c>
      <c r="X80" s="52" t="e">
        <f>M80*Efficiencies!$AC$51</f>
        <v>#REF!</v>
      </c>
      <c r="Y80" s="52" t="e">
        <f>N80*Efficiencies!$AC$51</f>
        <v>#REF!</v>
      </c>
      <c r="Z80" s="52" t="e">
        <f>O80*Efficiencies!$AC$51</f>
        <v>#REF!</v>
      </c>
      <c r="AA80" s="52" t="e">
        <f t="shared" ref="AA80:AF80" si="31">AA81+$B15</f>
        <v>#REF!</v>
      </c>
      <c r="AB80" s="52" t="e">
        <f t="shared" si="31"/>
        <v>#REF!</v>
      </c>
      <c r="AC80" s="52" t="e">
        <f t="shared" si="31"/>
        <v>#REF!</v>
      </c>
      <c r="AD80" s="52" t="e">
        <f t="shared" si="31"/>
        <v>#REF!</v>
      </c>
      <c r="AE80" s="52" t="e">
        <f t="shared" si="31"/>
        <v>#REF!</v>
      </c>
      <c r="AF80" s="52" t="e">
        <f t="shared" si="31"/>
        <v>#REF!</v>
      </c>
      <c r="AG80" s="52" t="e">
        <f t="shared" ref="AG80:AK80" si="32">AG81+$B15</f>
        <v>#REF!</v>
      </c>
      <c r="AH80" s="52" t="e">
        <f t="shared" si="32"/>
        <v>#REF!</v>
      </c>
      <c r="AI80" s="52" t="e">
        <f t="shared" si="32"/>
        <v>#REF!</v>
      </c>
      <c r="AJ80" s="52" t="e">
        <f t="shared" si="32"/>
        <v>#REF!</v>
      </c>
      <c r="AK80" s="52" t="e">
        <f t="shared" si="32"/>
        <v>#REF!</v>
      </c>
    </row>
    <row r="81" spans="1:37" x14ac:dyDescent="0.2">
      <c r="A81" s="40" t="s">
        <v>329</v>
      </c>
      <c r="B81" s="40" t="s">
        <v>2632</v>
      </c>
      <c r="C81" s="40" t="s">
        <v>2653</v>
      </c>
      <c r="D81" s="40">
        <v>2000</v>
      </c>
      <c r="E81" s="52" t="e">
        <f>(Efficiencies!D67+Efficiencies!D74)/2</f>
        <v>#REF!</v>
      </c>
      <c r="F81" s="52" t="e">
        <f>(Efficiencies!E67+Efficiencies!E74)/2</f>
        <v>#REF!</v>
      </c>
      <c r="G81" s="52" t="e">
        <f>(Efficiencies!F67+Efficiencies!F74)/2</f>
        <v>#REF!</v>
      </c>
      <c r="H81" s="52" t="e">
        <f>(Efficiencies!G67+Efficiencies!G74)/2</f>
        <v>#REF!</v>
      </c>
      <c r="I81" s="52" t="e">
        <f>(Efficiencies!H67+Efficiencies!H74)/2</f>
        <v>#REF!</v>
      </c>
      <c r="J81" s="52" t="e">
        <f>(Efficiencies!I67+Efficiencies!I74)/2</f>
        <v>#REF!</v>
      </c>
      <c r="K81" s="52" t="e">
        <f>(Efficiencies!J67+Efficiencies!J74)/2</f>
        <v>#REF!</v>
      </c>
      <c r="L81" s="52" t="e">
        <f>(Efficiencies!K67+Efficiencies!K74)/2</f>
        <v>#REF!</v>
      </c>
      <c r="M81" s="52" t="e">
        <f>(Efficiencies!L67+Efficiencies!L74)/2</f>
        <v>#REF!</v>
      </c>
      <c r="N81" s="52" t="e">
        <f>(Efficiencies!M67+Efficiencies!M74)/2</f>
        <v>#REF!</v>
      </c>
      <c r="O81" s="52" t="e">
        <f>(Efficiencies!N67+Efficiencies!N74)/2</f>
        <v>#REF!</v>
      </c>
      <c r="P81" s="52" t="e">
        <f>E81*Efficiencies!$AC$51</f>
        <v>#REF!</v>
      </c>
      <c r="Q81" s="52" t="e">
        <f>F81*Efficiencies!$AC$51</f>
        <v>#REF!</v>
      </c>
      <c r="R81" s="52" t="e">
        <f>G81*Efficiencies!$AC$51</f>
        <v>#REF!</v>
      </c>
      <c r="S81" s="52" t="e">
        <f>H81*Efficiencies!$AC$51</f>
        <v>#REF!</v>
      </c>
      <c r="T81" s="52" t="e">
        <f>I81*Efficiencies!$AC$51</f>
        <v>#REF!</v>
      </c>
      <c r="U81" s="52" t="e">
        <f>J81*Efficiencies!$AC$51</f>
        <v>#REF!</v>
      </c>
      <c r="V81" s="52" t="e">
        <f>K81*Efficiencies!$AC$51</f>
        <v>#REF!</v>
      </c>
      <c r="W81" s="52" t="e">
        <f>L81*Efficiencies!$AC$51</f>
        <v>#REF!</v>
      </c>
      <c r="X81" s="52" t="e">
        <f>M81*Efficiencies!$AC$51</f>
        <v>#REF!</v>
      </c>
      <c r="Y81" s="52" t="e">
        <f>N81*Efficiencies!$AC$51</f>
        <v>#REF!</v>
      </c>
      <c r="Z81" s="52" t="e">
        <f>O81*Efficiencies!$AC$51</f>
        <v>#REF!</v>
      </c>
      <c r="AA81" s="52">
        <f>(Costs!E67+Costs!E74)/2</f>
        <v>20.645000000000003</v>
      </c>
      <c r="AB81" s="52">
        <f>(Costs!F67+Costs!F74)/2</f>
        <v>23.045000000000002</v>
      </c>
      <c r="AC81" s="52">
        <f>(Costs!G67+Costs!G74)/2</f>
        <v>30.64</v>
      </c>
      <c r="AD81" s="52">
        <f>(Costs!H67+Costs!H74)/2</f>
        <v>31.575000000000003</v>
      </c>
      <c r="AE81" s="52">
        <f>(Costs!I67+Costs!I74)/2</f>
        <v>32.72</v>
      </c>
      <c r="AF81" s="52">
        <f>(Costs!J67+Costs!J74)/2</f>
        <v>32.745000000000005</v>
      </c>
      <c r="AG81" s="52">
        <f>(Costs!K67+Costs!K74)/2</f>
        <v>32.765000000000001</v>
      </c>
      <c r="AH81" s="52">
        <f>(Costs!L67+Costs!L74)/2</f>
        <v>32.805</v>
      </c>
      <c r="AI81" s="52">
        <f>(Costs!M67+Costs!M74)/2</f>
        <v>32.805</v>
      </c>
      <c r="AJ81" s="52">
        <f>(Costs!N67+Costs!N74)/2</f>
        <v>32.805</v>
      </c>
      <c r="AK81" s="52">
        <f>(Costs!O67+Costs!O74)/2</f>
        <v>32.805</v>
      </c>
    </row>
    <row r="82" spans="1:37" x14ac:dyDescent="0.2">
      <c r="A82" s="40" t="s">
        <v>329</v>
      </c>
      <c r="B82" s="40" t="s">
        <v>2634</v>
      </c>
      <c r="C82" s="40" t="s">
        <v>2384</v>
      </c>
      <c r="D82" s="40">
        <v>2010</v>
      </c>
      <c r="E82" s="52" t="e">
        <f>F82</f>
        <v>#REF!</v>
      </c>
      <c r="F82" s="52" t="e">
        <f t="shared" ref="F82:J82" si="33">F76</f>
        <v>#REF!</v>
      </c>
      <c r="G82" s="52" t="e">
        <f t="shared" si="33"/>
        <v>#REF!</v>
      </c>
      <c r="H82" s="52" t="e">
        <f t="shared" si="33"/>
        <v>#REF!</v>
      </c>
      <c r="I82" s="52" t="e">
        <f t="shared" si="33"/>
        <v>#REF!</v>
      </c>
      <c r="J82" s="52" t="e">
        <f t="shared" si="33"/>
        <v>#REF!</v>
      </c>
      <c r="K82" s="52" t="e">
        <f t="shared" ref="K82:O82" si="34">K76</f>
        <v>#REF!</v>
      </c>
      <c r="L82" s="52" t="e">
        <f t="shared" si="34"/>
        <v>#REF!</v>
      </c>
      <c r="M82" s="52" t="e">
        <f t="shared" si="34"/>
        <v>#REF!</v>
      </c>
      <c r="N82" s="52" t="e">
        <f t="shared" si="34"/>
        <v>#REF!</v>
      </c>
      <c r="O82" s="52" t="e">
        <f t="shared" si="34"/>
        <v>#REF!</v>
      </c>
      <c r="P82" s="52" t="e">
        <f>Q82</f>
        <v>#REF!</v>
      </c>
      <c r="Q82" s="52" t="e">
        <f>F82*Efficiencies!$AC$51</f>
        <v>#REF!</v>
      </c>
      <c r="R82" s="52" t="e">
        <f>G82*Efficiencies!$AC$51</f>
        <v>#REF!</v>
      </c>
      <c r="S82" s="52" t="e">
        <f>H82*Efficiencies!$AC$51</f>
        <v>#REF!</v>
      </c>
      <c r="T82" s="52" t="e">
        <f>I82*Efficiencies!$AC$51</f>
        <v>#REF!</v>
      </c>
      <c r="U82" s="52" t="e">
        <f>J82*Efficiencies!$AC$51</f>
        <v>#REF!</v>
      </c>
      <c r="V82" s="52" t="e">
        <f>K82*Efficiencies!$AC$51</f>
        <v>#REF!</v>
      </c>
      <c r="W82" s="52" t="e">
        <f>L82*Efficiencies!$AC$51</f>
        <v>#REF!</v>
      </c>
      <c r="X82" s="52" t="e">
        <f>M82*Efficiencies!$AC$51</f>
        <v>#REF!</v>
      </c>
      <c r="Y82" s="52" t="e">
        <f>N82*Efficiencies!$AC$51</f>
        <v>#REF!</v>
      </c>
      <c r="Z82" s="52" t="e">
        <f>O82*Efficiencies!$AC$51</f>
        <v>#REF!</v>
      </c>
      <c r="AA82" s="52"/>
      <c r="AB82" s="52" t="e">
        <f t="shared" ref="AB82:AF82" si="35">AB83+$B15</f>
        <v>#REF!</v>
      </c>
      <c r="AC82" s="52" t="e">
        <f t="shared" si="35"/>
        <v>#REF!</v>
      </c>
      <c r="AD82" s="52" t="e">
        <f t="shared" si="35"/>
        <v>#REF!</v>
      </c>
      <c r="AE82" s="52" t="e">
        <f t="shared" si="35"/>
        <v>#REF!</v>
      </c>
      <c r="AF82" s="52" t="e">
        <f t="shared" si="35"/>
        <v>#REF!</v>
      </c>
      <c r="AG82" s="52" t="e">
        <f t="shared" ref="AG82:AK82" si="36">AG83+$B15</f>
        <v>#REF!</v>
      </c>
      <c r="AH82" s="52" t="e">
        <f t="shared" si="36"/>
        <v>#REF!</v>
      </c>
      <c r="AI82" s="52" t="e">
        <f t="shared" si="36"/>
        <v>#REF!</v>
      </c>
      <c r="AJ82" s="52" t="e">
        <f t="shared" si="36"/>
        <v>#REF!</v>
      </c>
      <c r="AK82" s="52" t="e">
        <f t="shared" si="36"/>
        <v>#REF!</v>
      </c>
    </row>
    <row r="83" spans="1:37" x14ac:dyDescent="0.2">
      <c r="A83" s="40" t="s">
        <v>329</v>
      </c>
      <c r="B83" s="40" t="s">
        <v>2635</v>
      </c>
      <c r="C83" s="40" t="s">
        <v>2270</v>
      </c>
      <c r="D83" s="40">
        <v>2010</v>
      </c>
      <c r="E83" s="52">
        <f>F83</f>
        <v>0</v>
      </c>
      <c r="F83" s="52">
        <f>(Efficiencies!E78+Efficiencies!E75)/2</f>
        <v>0</v>
      </c>
      <c r="G83" s="52" t="e">
        <f>(Efficiencies!F78+Efficiencies!F75)/2</f>
        <v>#REF!</v>
      </c>
      <c r="H83" s="52" t="e">
        <f>(Efficiencies!G78+Efficiencies!G75)/2</f>
        <v>#REF!</v>
      </c>
      <c r="I83" s="52" t="e">
        <f>(Efficiencies!H78+Efficiencies!H75)/2</f>
        <v>#REF!</v>
      </c>
      <c r="J83" s="52" t="e">
        <f>(Efficiencies!I78+Efficiencies!I75)/2</f>
        <v>#REF!</v>
      </c>
      <c r="K83" s="52" t="e">
        <f>(Efficiencies!J78+Efficiencies!J75)/2</f>
        <v>#REF!</v>
      </c>
      <c r="L83" s="52" t="e">
        <f>(Efficiencies!K78+Efficiencies!K75)/2</f>
        <v>#REF!</v>
      </c>
      <c r="M83" s="52" t="e">
        <f>(Efficiencies!L78+Efficiencies!L75)/2</f>
        <v>#REF!</v>
      </c>
      <c r="N83" s="52" t="e">
        <f>(Efficiencies!M78+Efficiencies!M75)/2</f>
        <v>#REF!</v>
      </c>
      <c r="O83" s="52" t="e">
        <f>(Efficiencies!N78+Efficiencies!N75)/2</f>
        <v>#REF!</v>
      </c>
      <c r="P83" s="52">
        <f>Q83</f>
        <v>0</v>
      </c>
      <c r="Q83" s="52">
        <f>F83*Efficiencies!$AC$51</f>
        <v>0</v>
      </c>
      <c r="R83" s="52" t="e">
        <f>G83*Efficiencies!$AC$51</f>
        <v>#REF!</v>
      </c>
      <c r="S83" s="52" t="e">
        <f>H83*Efficiencies!$AC$51</f>
        <v>#REF!</v>
      </c>
      <c r="T83" s="52" t="e">
        <f>I83*Efficiencies!$AC$51</f>
        <v>#REF!</v>
      </c>
      <c r="U83" s="52" t="e">
        <f>J83*Efficiencies!$AC$51</f>
        <v>#REF!</v>
      </c>
      <c r="V83" s="52" t="e">
        <f>K83*Efficiencies!$AC$51</f>
        <v>#REF!</v>
      </c>
      <c r="W83" s="52" t="e">
        <f>L83*Efficiencies!$AC$51</f>
        <v>#REF!</v>
      </c>
      <c r="X83" s="52" t="e">
        <f>M83*Efficiencies!$AC$51</f>
        <v>#REF!</v>
      </c>
      <c r="Y83" s="52" t="e">
        <f>N83*Efficiencies!$AC$51</f>
        <v>#REF!</v>
      </c>
      <c r="Z83" s="52" t="e">
        <f>O83*Efficiencies!$AC$51</f>
        <v>#REF!</v>
      </c>
      <c r="AA83" s="52"/>
      <c r="AB83" s="52">
        <f>(Costs!F78-Costs!F75)*$E$36/100+Costs!F75</f>
        <v>19.76688</v>
      </c>
      <c r="AC83" s="52">
        <f>(Costs!G78-Costs!G75)*$E$36/100+Costs!G75</f>
        <v>37.770980000000002</v>
      </c>
      <c r="AD83" s="52">
        <f>(Costs!H78-Costs!H75)*$E$36/100+Costs!H75</f>
        <v>37.805860000000003</v>
      </c>
      <c r="AE83" s="52">
        <f>(Costs!I78-Costs!I75)*$E$36/100+Costs!I75</f>
        <v>38.591799999999999</v>
      </c>
      <c r="AF83" s="52">
        <f>(Costs!J78-Costs!J75)*$E$36/100+Costs!J75</f>
        <v>38.371320000000004</v>
      </c>
      <c r="AG83" s="52">
        <f>(Costs!K78-Costs!K75)*$E$36/100+Costs!K75</f>
        <v>38.32452</v>
      </c>
      <c r="AH83" s="52">
        <f>(Costs!L78-Costs!L75)*$E$36/100+Costs!L75</f>
        <v>38.341139999999996</v>
      </c>
      <c r="AI83" s="52">
        <f>(Costs!M78-Costs!M75)*$E$36/100+Costs!M75</f>
        <v>38.341139999999996</v>
      </c>
      <c r="AJ83" s="52">
        <f>(Costs!N78-Costs!N75)*$E$36/100+Costs!N75</f>
        <v>38.341139999999996</v>
      </c>
      <c r="AK83" s="52">
        <f>(Costs!O78-Costs!O75)*$E$36/100+Costs!O75</f>
        <v>38.341139999999996</v>
      </c>
    </row>
    <row r="84" spans="1:37" x14ac:dyDescent="0.2">
      <c r="A84" s="40" t="s">
        <v>329</v>
      </c>
      <c r="B84" s="40" t="s">
        <v>2636</v>
      </c>
      <c r="C84" s="40" t="s">
        <v>2498</v>
      </c>
      <c r="D84" s="40">
        <v>2010</v>
      </c>
      <c r="E84" s="52">
        <f>F84</f>
        <v>0</v>
      </c>
      <c r="F84" s="52">
        <f>Efficiencies!E78</f>
        <v>0</v>
      </c>
      <c r="G84" s="52" t="e">
        <f>Efficiencies!F78</f>
        <v>#REF!</v>
      </c>
      <c r="H84" s="52" t="e">
        <f>Efficiencies!G78</f>
        <v>#REF!</v>
      </c>
      <c r="I84" s="52" t="e">
        <f>Efficiencies!H78</f>
        <v>#REF!</v>
      </c>
      <c r="J84" s="52" t="e">
        <f>Efficiencies!I78</f>
        <v>#REF!</v>
      </c>
      <c r="K84" s="52" t="e">
        <f>Efficiencies!J78</f>
        <v>#REF!</v>
      </c>
      <c r="L84" s="52" t="e">
        <f>Efficiencies!K78</f>
        <v>#REF!</v>
      </c>
      <c r="M84" s="52" t="e">
        <f>Efficiencies!L78</f>
        <v>#REF!</v>
      </c>
      <c r="N84" s="52" t="e">
        <f>Efficiencies!M78</f>
        <v>#REF!</v>
      </c>
      <c r="O84" s="52" t="e">
        <f>Efficiencies!N78</f>
        <v>#REF!</v>
      </c>
      <c r="P84" s="52">
        <f>Q84</f>
        <v>0</v>
      </c>
      <c r="Q84" s="52">
        <f>F84*Efficiencies!$AC$51</f>
        <v>0</v>
      </c>
      <c r="R84" s="52" t="e">
        <f>G84*Efficiencies!$AC$51</f>
        <v>#REF!</v>
      </c>
      <c r="S84" s="52" t="e">
        <f>H84*Efficiencies!$AC$51</f>
        <v>#REF!</v>
      </c>
      <c r="T84" s="52" t="e">
        <f>I84*Efficiencies!$AC$51</f>
        <v>#REF!</v>
      </c>
      <c r="U84" s="52" t="e">
        <f>J84*Efficiencies!$AC$51</f>
        <v>#REF!</v>
      </c>
      <c r="V84" s="52" t="e">
        <f>K84*Efficiencies!$AC$51</f>
        <v>#REF!</v>
      </c>
      <c r="W84" s="52" t="e">
        <f>L84*Efficiencies!$AC$51</f>
        <v>#REF!</v>
      </c>
      <c r="X84" s="52" t="e">
        <f>M84*Efficiencies!$AC$51</f>
        <v>#REF!</v>
      </c>
      <c r="Y84" s="52" t="e">
        <f>N84*Efficiencies!$AC$51</f>
        <v>#REF!</v>
      </c>
      <c r="Z84" s="52" t="e">
        <f>O84*Efficiencies!$AC$51</f>
        <v>#REF!</v>
      </c>
      <c r="AA84" s="52"/>
      <c r="AB84" s="52" t="e">
        <f>Costs!F78+$B15</f>
        <v>#REF!</v>
      </c>
      <c r="AC84" s="52" t="e">
        <f>Costs!G78+$B15</f>
        <v>#REF!</v>
      </c>
      <c r="AD84" s="52" t="e">
        <f>Costs!H78+$B15</f>
        <v>#REF!</v>
      </c>
      <c r="AE84" s="52" t="e">
        <f>Costs!I78+$B15</f>
        <v>#REF!</v>
      </c>
      <c r="AF84" s="52" t="e">
        <f>Costs!J78+$B15</f>
        <v>#REF!</v>
      </c>
      <c r="AG84" s="52" t="e">
        <f>Costs!K78+$B15</f>
        <v>#REF!</v>
      </c>
      <c r="AH84" s="52" t="e">
        <f>Costs!L78+$B15</f>
        <v>#REF!</v>
      </c>
      <c r="AI84" s="52" t="e">
        <f>Costs!M78+$B15</f>
        <v>#REF!</v>
      </c>
      <c r="AJ84" s="52" t="e">
        <f>Costs!N78+$B15</f>
        <v>#REF!</v>
      </c>
      <c r="AK84" s="52" t="e">
        <f>Costs!O78+$B15</f>
        <v>#REF!</v>
      </c>
    </row>
    <row r="85" spans="1:37" x14ac:dyDescent="0.2">
      <c r="A85" s="40" t="s">
        <v>2654</v>
      </c>
      <c r="B85" s="40" t="s">
        <v>2627</v>
      </c>
      <c r="C85" s="40" t="s">
        <v>2655</v>
      </c>
      <c r="D85" s="40">
        <v>2010</v>
      </c>
      <c r="E85" s="52" t="e">
        <f>Efficiencies!D79</f>
        <v>#REF!</v>
      </c>
      <c r="F85" s="52" t="e">
        <f>Efficiencies!E79</f>
        <v>#REF!</v>
      </c>
      <c r="G85" s="52" t="e">
        <f>Efficiencies!F79</f>
        <v>#REF!</v>
      </c>
      <c r="H85" s="52" t="e">
        <f>Efficiencies!G79</f>
        <v>#REF!</v>
      </c>
      <c r="I85" s="52" t="e">
        <f>Efficiencies!H79</f>
        <v>#REF!</v>
      </c>
      <c r="J85" s="52" t="e">
        <f>Efficiencies!I79</f>
        <v>#REF!</v>
      </c>
      <c r="K85" s="52" t="e">
        <f>Efficiencies!J79</f>
        <v>#REF!</v>
      </c>
      <c r="L85" s="52" t="e">
        <f>Efficiencies!K79</f>
        <v>#REF!</v>
      </c>
      <c r="M85" s="52" t="e">
        <f>Efficiencies!L79</f>
        <v>#REF!</v>
      </c>
      <c r="N85" s="52" t="e">
        <f>Efficiencies!M79</f>
        <v>#REF!</v>
      </c>
      <c r="O85" s="52" t="e">
        <f>Efficiencies!N79</f>
        <v>#REF!</v>
      </c>
      <c r="P85" s="52" t="e">
        <f>E85*Efficiencies!$AC$51</f>
        <v>#REF!</v>
      </c>
      <c r="Q85" s="52" t="e">
        <f>F85*Efficiencies!$AC$51</f>
        <v>#REF!</v>
      </c>
      <c r="R85" s="52" t="e">
        <f>G85*Efficiencies!$AC$51</f>
        <v>#REF!</v>
      </c>
      <c r="S85" s="52" t="e">
        <f>H85*Efficiencies!$AC$51</f>
        <v>#REF!</v>
      </c>
      <c r="T85" s="52" t="e">
        <f>I85*Efficiencies!$AC$51</f>
        <v>#REF!</v>
      </c>
      <c r="U85" s="52" t="e">
        <f>J85*Efficiencies!$AC$51</f>
        <v>#REF!</v>
      </c>
      <c r="V85" s="52" t="e">
        <f>K85*Efficiencies!$AC$51</f>
        <v>#REF!</v>
      </c>
      <c r="W85" s="52" t="e">
        <f>L85*Efficiencies!$AC$51</f>
        <v>#REF!</v>
      </c>
      <c r="X85" s="52" t="e">
        <f>M85*Efficiencies!$AC$51</f>
        <v>#REF!</v>
      </c>
      <c r="Y85" s="52" t="e">
        <f>N85*Efficiencies!$AC$51</f>
        <v>#REF!</v>
      </c>
      <c r="Z85" s="52" t="e">
        <f>O85*Efficiencies!$AC$51</f>
        <v>#REF!</v>
      </c>
      <c r="AA85" s="52"/>
      <c r="AB85" s="52" t="e">
        <f>Costs!F79+$B17</f>
        <v>#REF!</v>
      </c>
      <c r="AC85" s="52" t="e">
        <f>Costs!G79+$B17</f>
        <v>#REF!</v>
      </c>
      <c r="AD85" s="52" t="e">
        <f>Costs!H79+$B17</f>
        <v>#REF!</v>
      </c>
      <c r="AE85" s="52" t="e">
        <f>Costs!I79+$B17</f>
        <v>#REF!</v>
      </c>
      <c r="AF85" s="52" t="e">
        <f>Costs!J79+$B17</f>
        <v>#REF!</v>
      </c>
      <c r="AG85" s="52" t="e">
        <f>Costs!K79+$B17</f>
        <v>#REF!</v>
      </c>
      <c r="AH85" s="52" t="e">
        <f>Costs!L79+$B17</f>
        <v>#REF!</v>
      </c>
      <c r="AI85" s="52" t="e">
        <f>Costs!M79+$B17</f>
        <v>#REF!</v>
      </c>
      <c r="AJ85" s="52" t="e">
        <f>Costs!N79+$B17</f>
        <v>#REF!</v>
      </c>
      <c r="AK85" s="52" t="e">
        <f>Costs!O79+$B17</f>
        <v>#REF!</v>
      </c>
    </row>
    <row r="86" spans="1:37" x14ac:dyDescent="0.2">
      <c r="A86" s="40" t="s">
        <v>2654</v>
      </c>
      <c r="B86" s="40" t="s">
        <v>2629</v>
      </c>
      <c r="C86" s="40" t="s">
        <v>2213</v>
      </c>
      <c r="D86" s="40">
        <v>2010</v>
      </c>
      <c r="E86" s="52" t="e">
        <f>F86</f>
        <v>#REF!</v>
      </c>
      <c r="F86" s="52" t="e">
        <f>Efficiencies!E88</f>
        <v>#REF!</v>
      </c>
      <c r="G86" s="52" t="e">
        <f>Efficiencies!F88</f>
        <v>#REF!</v>
      </c>
      <c r="H86" s="52" t="e">
        <f>Efficiencies!G88</f>
        <v>#REF!</v>
      </c>
      <c r="I86" s="52" t="e">
        <f>Efficiencies!H88</f>
        <v>#REF!</v>
      </c>
      <c r="J86" s="52" t="e">
        <f>Efficiencies!I88</f>
        <v>#REF!</v>
      </c>
      <c r="K86" s="52" t="e">
        <f>Efficiencies!J88</f>
        <v>#REF!</v>
      </c>
      <c r="L86" s="52" t="e">
        <f>Efficiencies!K88</f>
        <v>#REF!</v>
      </c>
      <c r="M86" s="52" t="e">
        <f>Efficiencies!L88</f>
        <v>#REF!</v>
      </c>
      <c r="N86" s="52" t="e">
        <f>Efficiencies!M88</f>
        <v>#REF!</v>
      </c>
      <c r="O86" s="52" t="e">
        <f>Efficiencies!N88</f>
        <v>#REF!</v>
      </c>
      <c r="P86" s="52" t="e">
        <f>Q86</f>
        <v>#REF!</v>
      </c>
      <c r="Q86" s="52" t="e">
        <f>F86*Efficiencies!$AC$51</f>
        <v>#REF!</v>
      </c>
      <c r="R86" s="52" t="e">
        <f>G86*Efficiencies!$AC$51</f>
        <v>#REF!</v>
      </c>
      <c r="S86" s="52" t="e">
        <f>H86*Efficiencies!$AC$51</f>
        <v>#REF!</v>
      </c>
      <c r="T86" s="52" t="e">
        <f>I86*Efficiencies!$AC$51</f>
        <v>#REF!</v>
      </c>
      <c r="U86" s="52" t="e">
        <f>J86*Efficiencies!$AC$51</f>
        <v>#REF!</v>
      </c>
      <c r="V86" s="52" t="e">
        <f>K86*Efficiencies!$AC$51</f>
        <v>#REF!</v>
      </c>
      <c r="W86" s="52" t="e">
        <f>L86*Efficiencies!$AC$51</f>
        <v>#REF!</v>
      </c>
      <c r="X86" s="52" t="e">
        <f>M86*Efficiencies!$AC$51</f>
        <v>#REF!</v>
      </c>
      <c r="Y86" s="52" t="e">
        <f>N86*Efficiencies!$AC$51</f>
        <v>#REF!</v>
      </c>
      <c r="Z86" s="52" t="e">
        <f>O86*Efficiencies!$AC$51</f>
        <v>#REF!</v>
      </c>
      <c r="AA86" s="52"/>
      <c r="AB86" s="52" t="e">
        <f>Costs!F88+$B17</f>
        <v>#REF!</v>
      </c>
      <c r="AC86" s="52" t="e">
        <f>Costs!G88+$B17</f>
        <v>#REF!</v>
      </c>
      <c r="AD86" s="52" t="e">
        <f>Costs!H88+$B17</f>
        <v>#REF!</v>
      </c>
      <c r="AE86" s="52" t="e">
        <f>Costs!I88+$B17</f>
        <v>#REF!</v>
      </c>
      <c r="AF86" s="52" t="e">
        <f>Costs!J88+$B17</f>
        <v>#REF!</v>
      </c>
      <c r="AG86" s="52" t="e">
        <f>Costs!K88+$B17</f>
        <v>#REF!</v>
      </c>
      <c r="AH86" s="52" t="e">
        <f>Costs!L88+$B17</f>
        <v>#REF!</v>
      </c>
      <c r="AI86" s="52" t="e">
        <f>Costs!M88+$B17</f>
        <v>#REF!</v>
      </c>
      <c r="AJ86" s="52" t="e">
        <f>Costs!N88+$B17</f>
        <v>#REF!</v>
      </c>
      <c r="AK86" s="52" t="e">
        <f>Costs!O88+$B17</f>
        <v>#REF!</v>
      </c>
    </row>
    <row r="87" spans="1:37" x14ac:dyDescent="0.2">
      <c r="A87" s="40" t="s">
        <v>2654</v>
      </c>
      <c r="B87" s="40" t="s">
        <v>2630</v>
      </c>
      <c r="C87" s="40" t="s">
        <v>2656</v>
      </c>
      <c r="D87" s="40">
        <v>2010</v>
      </c>
      <c r="E87" s="52" t="e">
        <f>E88</f>
        <v>#REF!</v>
      </c>
      <c r="F87" s="52">
        <v>27.50610686302181</v>
      </c>
      <c r="G87" s="52">
        <v>27.50610686302181</v>
      </c>
      <c r="H87" s="52">
        <v>27.50610686302181</v>
      </c>
      <c r="I87" s="52">
        <v>27.50610686302181</v>
      </c>
      <c r="J87" s="52">
        <v>27.50610686302181</v>
      </c>
      <c r="K87" s="52">
        <v>27.50610686302181</v>
      </c>
      <c r="L87" s="52">
        <v>27.50610686302181</v>
      </c>
      <c r="M87" s="52">
        <v>27.50610686302181</v>
      </c>
      <c r="N87" s="52">
        <v>27.50610686302181</v>
      </c>
      <c r="O87" s="52">
        <v>27.50610686302181</v>
      </c>
      <c r="P87" s="52" t="e">
        <f>E87*Efficiencies!$AC$51</f>
        <v>#REF!</v>
      </c>
      <c r="Q87" s="52">
        <f>F87*Efficiencies!$AC$51</f>
        <v>22.087403076514214</v>
      </c>
      <c r="R87" s="52">
        <f>G87*Efficiencies!$AC$51</f>
        <v>22.087403076514214</v>
      </c>
      <c r="S87" s="52">
        <f>H87*Efficiencies!$AC$51</f>
        <v>22.087403076514214</v>
      </c>
      <c r="T87" s="52">
        <f>I87*Efficiencies!$AC$51</f>
        <v>22.087403076514214</v>
      </c>
      <c r="U87" s="52">
        <f>J87*Efficiencies!$AC$51</f>
        <v>22.087403076514214</v>
      </c>
      <c r="V87" s="52">
        <f>K87*Efficiencies!$AC$51</f>
        <v>22.087403076514214</v>
      </c>
      <c r="W87" s="52">
        <f>L87*Efficiencies!$AC$51</f>
        <v>22.087403076514214</v>
      </c>
      <c r="X87" s="52">
        <f>M87*Efficiencies!$AC$51</f>
        <v>22.087403076514214</v>
      </c>
      <c r="Y87" s="52">
        <f>N87*Efficiencies!$AC$51</f>
        <v>22.087403076514214</v>
      </c>
      <c r="Z87" s="52">
        <f>O87*Efficiencies!$AC$51</f>
        <v>22.087403076514214</v>
      </c>
      <c r="AA87" s="52"/>
      <c r="AB87" s="52" t="e">
        <f t="shared" ref="AB87:AF87" si="37">AB88+$B17</f>
        <v>#REF!</v>
      </c>
      <c r="AC87" s="52" t="e">
        <f t="shared" si="37"/>
        <v>#REF!</v>
      </c>
      <c r="AD87" s="52" t="e">
        <f t="shared" si="37"/>
        <v>#REF!</v>
      </c>
      <c r="AE87" s="52" t="e">
        <f t="shared" si="37"/>
        <v>#REF!</v>
      </c>
      <c r="AF87" s="52" t="e">
        <f t="shared" si="37"/>
        <v>#REF!</v>
      </c>
      <c r="AG87" s="52" t="e">
        <f t="shared" ref="AG87:AK87" si="38">AG88+$B17</f>
        <v>#REF!</v>
      </c>
      <c r="AH87" s="52" t="e">
        <f t="shared" si="38"/>
        <v>#REF!</v>
      </c>
      <c r="AI87" s="52" t="e">
        <f t="shared" si="38"/>
        <v>#REF!</v>
      </c>
      <c r="AJ87" s="52" t="e">
        <f t="shared" si="38"/>
        <v>#REF!</v>
      </c>
      <c r="AK87" s="52" t="e">
        <f t="shared" si="38"/>
        <v>#REF!</v>
      </c>
    </row>
    <row r="88" spans="1:37" x14ac:dyDescent="0.2">
      <c r="A88" s="40" t="s">
        <v>2654</v>
      </c>
      <c r="B88" s="40" t="s">
        <v>2632</v>
      </c>
      <c r="C88" s="40" t="s">
        <v>2657</v>
      </c>
      <c r="D88" s="40">
        <v>2000</v>
      </c>
      <c r="E88" s="52" t="e">
        <f>(Efficiencies!D79+Efficiencies!D87)/2</f>
        <v>#REF!</v>
      </c>
      <c r="F88" s="52" t="e">
        <f>(Efficiencies!E79+Efficiencies!E87)/2</f>
        <v>#REF!</v>
      </c>
      <c r="G88" s="52" t="e">
        <f>(Efficiencies!F79+Efficiencies!F87)/2</f>
        <v>#REF!</v>
      </c>
      <c r="H88" s="52" t="e">
        <f>(Efficiencies!G79+Efficiencies!G87)/2</f>
        <v>#REF!</v>
      </c>
      <c r="I88" s="52" t="e">
        <f>(Efficiencies!H79+Efficiencies!H87)/2</f>
        <v>#REF!</v>
      </c>
      <c r="J88" s="52" t="e">
        <f>(Efficiencies!I79+Efficiencies!I87)/2</f>
        <v>#REF!</v>
      </c>
      <c r="K88" s="52" t="e">
        <f>(Efficiencies!J79+Efficiencies!J87)/2</f>
        <v>#REF!</v>
      </c>
      <c r="L88" s="52" t="e">
        <f>(Efficiencies!K79+Efficiencies!K87)/2</f>
        <v>#REF!</v>
      </c>
      <c r="M88" s="52" t="e">
        <f>(Efficiencies!L79+Efficiencies!L87)/2</f>
        <v>#REF!</v>
      </c>
      <c r="N88" s="52" t="e">
        <f>(Efficiencies!M79+Efficiencies!M87)/2</f>
        <v>#REF!</v>
      </c>
      <c r="O88" s="52" t="e">
        <f>(Efficiencies!N79+Efficiencies!N87)/2</f>
        <v>#REF!</v>
      </c>
      <c r="P88" s="52" t="e">
        <f>E88*Efficiencies!$AC$51</f>
        <v>#REF!</v>
      </c>
      <c r="Q88" s="52" t="e">
        <f>F88*Efficiencies!$AC$51</f>
        <v>#REF!</v>
      </c>
      <c r="R88" s="52" t="e">
        <f>G88*Efficiencies!$AC$51</f>
        <v>#REF!</v>
      </c>
      <c r="S88" s="52" t="e">
        <f>H88*Efficiencies!$AC$51</f>
        <v>#REF!</v>
      </c>
      <c r="T88" s="52" t="e">
        <f>I88*Efficiencies!$AC$51</f>
        <v>#REF!</v>
      </c>
      <c r="U88" s="52" t="e">
        <f>J88*Efficiencies!$AC$51</f>
        <v>#REF!</v>
      </c>
      <c r="V88" s="52" t="e">
        <f>K88*Efficiencies!$AC$51</f>
        <v>#REF!</v>
      </c>
      <c r="W88" s="52" t="e">
        <f>L88*Efficiencies!$AC$51</f>
        <v>#REF!</v>
      </c>
      <c r="X88" s="52" t="e">
        <f>M88*Efficiencies!$AC$51</f>
        <v>#REF!</v>
      </c>
      <c r="Y88" s="52" t="e">
        <f>N88*Efficiencies!$AC$51</f>
        <v>#REF!</v>
      </c>
      <c r="Z88" s="52" t="e">
        <f>O88*Efficiencies!$AC$51</f>
        <v>#REF!</v>
      </c>
      <c r="AA88" s="52">
        <f>(Costs!E79+Costs!E87)/2</f>
        <v>25.015000000000001</v>
      </c>
      <c r="AB88" s="52">
        <f>(Costs!F79+Costs!F87)/2</f>
        <v>24.405000000000001</v>
      </c>
      <c r="AC88" s="52">
        <f>(Costs!G79+Costs!G87)/2</f>
        <v>26.914999999999999</v>
      </c>
      <c r="AD88" s="52">
        <f>(Costs!H79+Costs!H87)/2</f>
        <v>27.805</v>
      </c>
      <c r="AE88" s="52">
        <f>(Costs!I79+Costs!I87)/2</f>
        <v>28.835000000000001</v>
      </c>
      <c r="AF88" s="52">
        <f>(Costs!J79+Costs!J87)/2</f>
        <v>28.905000000000001</v>
      </c>
      <c r="AG88" s="52">
        <f>(Costs!K79+Costs!K87)/2</f>
        <v>28.93</v>
      </c>
      <c r="AH88" s="52">
        <f>(Costs!L79+Costs!L87)/2</f>
        <v>28.954999999999998</v>
      </c>
      <c r="AI88" s="52">
        <f>(Costs!M79+Costs!M87)/2</f>
        <v>28.954999999999998</v>
      </c>
      <c r="AJ88" s="52">
        <f>(Costs!N79+Costs!N87)/2</f>
        <v>28.954999999999998</v>
      </c>
      <c r="AK88" s="52">
        <f>(Costs!O79+Costs!O87)/2</f>
        <v>28.954999999999998</v>
      </c>
    </row>
    <row r="89" spans="1:37" x14ac:dyDescent="0.2">
      <c r="A89" s="40" t="s">
        <v>2654</v>
      </c>
      <c r="B89" s="40" t="s">
        <v>2634</v>
      </c>
      <c r="C89" s="40" t="s">
        <v>2441</v>
      </c>
      <c r="D89" s="40">
        <v>2010</v>
      </c>
      <c r="E89" s="52">
        <f>F89</f>
        <v>0</v>
      </c>
      <c r="F89" s="52">
        <f t="shared" ref="F89:J89" si="39">F83</f>
        <v>0</v>
      </c>
      <c r="G89" s="52" t="e">
        <f t="shared" si="39"/>
        <v>#REF!</v>
      </c>
      <c r="H89" s="52" t="e">
        <f t="shared" si="39"/>
        <v>#REF!</v>
      </c>
      <c r="I89" s="52" t="e">
        <f t="shared" si="39"/>
        <v>#REF!</v>
      </c>
      <c r="J89" s="52" t="e">
        <f t="shared" si="39"/>
        <v>#REF!</v>
      </c>
      <c r="K89" s="52" t="e">
        <f t="shared" ref="K89:O89" si="40">K83</f>
        <v>#REF!</v>
      </c>
      <c r="L89" s="52" t="e">
        <f t="shared" si="40"/>
        <v>#REF!</v>
      </c>
      <c r="M89" s="52" t="e">
        <f t="shared" si="40"/>
        <v>#REF!</v>
      </c>
      <c r="N89" s="52" t="e">
        <f t="shared" si="40"/>
        <v>#REF!</v>
      </c>
      <c r="O89" s="52" t="e">
        <f t="shared" si="40"/>
        <v>#REF!</v>
      </c>
      <c r="P89" s="52">
        <f>Q89</f>
        <v>0</v>
      </c>
      <c r="Q89" s="52">
        <f>F89*Efficiencies!$AC$51</f>
        <v>0</v>
      </c>
      <c r="R89" s="52" t="e">
        <f>G89*Efficiencies!$AC$51</f>
        <v>#REF!</v>
      </c>
      <c r="S89" s="52" t="e">
        <f>H89*Efficiencies!$AC$51</f>
        <v>#REF!</v>
      </c>
      <c r="T89" s="52" t="e">
        <f>I89*Efficiencies!$AC$51</f>
        <v>#REF!</v>
      </c>
      <c r="U89" s="52" t="e">
        <f>J89*Efficiencies!$AC$51</f>
        <v>#REF!</v>
      </c>
      <c r="V89" s="52" t="e">
        <f>K89*Efficiencies!$AC$51</f>
        <v>#REF!</v>
      </c>
      <c r="W89" s="52" t="e">
        <f>L89*Efficiencies!$AC$51</f>
        <v>#REF!</v>
      </c>
      <c r="X89" s="52" t="e">
        <f>M89*Efficiencies!$AC$51</f>
        <v>#REF!</v>
      </c>
      <c r="Y89" s="52" t="e">
        <f>N89*Efficiencies!$AC$51</f>
        <v>#REF!</v>
      </c>
      <c r="Z89" s="52" t="e">
        <f>O89*Efficiencies!$AC$51</f>
        <v>#REF!</v>
      </c>
      <c r="AA89" s="52"/>
      <c r="AB89" s="52" t="e">
        <f t="shared" ref="AB89:AF89" si="41">AB90+$B17</f>
        <v>#REF!</v>
      </c>
      <c r="AC89" s="52" t="e">
        <f t="shared" si="41"/>
        <v>#REF!</v>
      </c>
      <c r="AD89" s="52" t="e">
        <f t="shared" si="41"/>
        <v>#REF!</v>
      </c>
      <c r="AE89" s="52" t="e">
        <f t="shared" si="41"/>
        <v>#REF!</v>
      </c>
      <c r="AF89" s="52" t="e">
        <f t="shared" si="41"/>
        <v>#REF!</v>
      </c>
      <c r="AG89" s="52" t="e">
        <f t="shared" ref="AG89:AK89" si="42">AG90+$B17</f>
        <v>#REF!</v>
      </c>
      <c r="AH89" s="52" t="e">
        <f t="shared" si="42"/>
        <v>#REF!</v>
      </c>
      <c r="AI89" s="52" t="e">
        <f t="shared" si="42"/>
        <v>#REF!</v>
      </c>
      <c r="AJ89" s="52" t="e">
        <f t="shared" si="42"/>
        <v>#REF!</v>
      </c>
      <c r="AK89" s="52" t="e">
        <f t="shared" si="42"/>
        <v>#REF!</v>
      </c>
    </row>
    <row r="90" spans="1:37" x14ac:dyDescent="0.2">
      <c r="A90" s="40" t="s">
        <v>2654</v>
      </c>
      <c r="B90" s="40" t="s">
        <v>2635</v>
      </c>
      <c r="C90" s="40" t="s">
        <v>2327</v>
      </c>
      <c r="D90" s="40">
        <v>2010</v>
      </c>
      <c r="E90" s="52" t="e">
        <f>F90</f>
        <v>#REF!</v>
      </c>
      <c r="F90" s="52" t="e">
        <f>(Efficiencies!E89+Efficiencies!E88)/2</f>
        <v>#REF!</v>
      </c>
      <c r="G90" s="52" t="e">
        <f>(Efficiencies!F89+Efficiencies!F88)/2</f>
        <v>#REF!</v>
      </c>
      <c r="H90" s="52" t="e">
        <f>(Efficiencies!G89+Efficiencies!G88)/2</f>
        <v>#REF!</v>
      </c>
      <c r="I90" s="52" t="e">
        <f>(Efficiencies!H89+Efficiencies!H88)/2</f>
        <v>#REF!</v>
      </c>
      <c r="J90" s="52" t="e">
        <f>(Efficiencies!I89+Efficiencies!I88)/2</f>
        <v>#REF!</v>
      </c>
      <c r="K90" s="52" t="e">
        <f>(Efficiencies!J89+Efficiencies!J88)/2</f>
        <v>#REF!</v>
      </c>
      <c r="L90" s="52" t="e">
        <f>(Efficiencies!K89+Efficiencies!K88)/2</f>
        <v>#REF!</v>
      </c>
      <c r="M90" s="52" t="e">
        <f>(Efficiencies!L89+Efficiencies!L88)/2</f>
        <v>#REF!</v>
      </c>
      <c r="N90" s="52" t="e">
        <f>(Efficiencies!M89+Efficiencies!M88)/2</f>
        <v>#REF!</v>
      </c>
      <c r="O90" s="52" t="e">
        <f>(Efficiencies!N89+Efficiencies!N88)/2</f>
        <v>#REF!</v>
      </c>
      <c r="P90" s="52" t="e">
        <f>Q90</f>
        <v>#REF!</v>
      </c>
      <c r="Q90" s="52" t="e">
        <f>F90*Efficiencies!$AC$51</f>
        <v>#REF!</v>
      </c>
      <c r="R90" s="52" t="e">
        <f>G90*Efficiencies!$AC$51</f>
        <v>#REF!</v>
      </c>
      <c r="S90" s="52" t="e">
        <f>H90*Efficiencies!$AC$51</f>
        <v>#REF!</v>
      </c>
      <c r="T90" s="52" t="e">
        <f>I90*Efficiencies!$AC$51</f>
        <v>#REF!</v>
      </c>
      <c r="U90" s="52" t="e">
        <f>J90*Efficiencies!$AC$51</f>
        <v>#REF!</v>
      </c>
      <c r="V90" s="52" t="e">
        <f>K90*Efficiencies!$AC$51</f>
        <v>#REF!</v>
      </c>
      <c r="W90" s="52" t="e">
        <f>L90*Efficiencies!$AC$51</f>
        <v>#REF!</v>
      </c>
      <c r="X90" s="52" t="e">
        <f>M90*Efficiencies!$AC$51</f>
        <v>#REF!</v>
      </c>
      <c r="Y90" s="52" t="e">
        <f>N90*Efficiencies!$AC$51</f>
        <v>#REF!</v>
      </c>
      <c r="Z90" s="52" t="e">
        <f>O90*Efficiencies!$AC$51</f>
        <v>#REF!</v>
      </c>
      <c r="AA90" s="52"/>
      <c r="AB90" s="52">
        <f>(Costs!F89-Costs!F88)*$E$36/100+Costs!F88</f>
        <v>31.093439999999998</v>
      </c>
      <c r="AC90" s="52">
        <f>(Costs!G89-Costs!G88)*$E$36/100+Costs!G88</f>
        <v>32.922080000000001</v>
      </c>
      <c r="AD90" s="52">
        <f>(Costs!H89-Costs!H88)*$E$36/100+Costs!H88</f>
        <v>33.568259999999995</v>
      </c>
      <c r="AE90" s="52">
        <f>(Costs!I89-Costs!I88)*$E$36/100+Costs!I88</f>
        <v>34.324379999999998</v>
      </c>
      <c r="AF90" s="52">
        <f>(Costs!J89-Costs!J88)*$E$36/100+Costs!J88</f>
        <v>34.200659999999999</v>
      </c>
      <c r="AG90" s="52">
        <f>(Costs!K89-Costs!K88)*$E$36/100+Costs!K88</f>
        <v>34.177219999999998</v>
      </c>
      <c r="AH90" s="52">
        <f>(Costs!L89-Costs!L88)*$E$36/100+Costs!L88</f>
        <v>34.183860000000003</v>
      </c>
      <c r="AI90" s="52">
        <f>(Costs!M89-Costs!M88)*$E$36/100+Costs!M88</f>
        <v>34.183860000000003</v>
      </c>
      <c r="AJ90" s="52">
        <f>(Costs!N89-Costs!N88)*$E$36/100+Costs!N88</f>
        <v>34.183860000000003</v>
      </c>
      <c r="AK90" s="52">
        <f>(Costs!O89-Costs!O88)*$E$36/100+Costs!O88</f>
        <v>34.183860000000003</v>
      </c>
    </row>
    <row r="91" spans="1:37" x14ac:dyDescent="0.2">
      <c r="A91" s="40" t="s">
        <v>2654</v>
      </c>
      <c r="B91" s="40" t="s">
        <v>2636</v>
      </c>
      <c r="C91" s="40" t="s">
        <v>2555</v>
      </c>
      <c r="D91" s="40">
        <v>2010</v>
      </c>
      <c r="E91" s="52" t="e">
        <f>F91</f>
        <v>#REF!</v>
      </c>
      <c r="F91" s="52" t="e">
        <f>Efficiencies!E89</f>
        <v>#REF!</v>
      </c>
      <c r="G91" s="52" t="e">
        <f>Efficiencies!F89</f>
        <v>#REF!</v>
      </c>
      <c r="H91" s="52" t="e">
        <f>Efficiencies!G89</f>
        <v>#REF!</v>
      </c>
      <c r="I91" s="52" t="e">
        <f>Efficiencies!H89</f>
        <v>#REF!</v>
      </c>
      <c r="J91" s="52" t="e">
        <f>Efficiencies!I89</f>
        <v>#REF!</v>
      </c>
      <c r="K91" s="52" t="e">
        <f>Efficiencies!J89</f>
        <v>#REF!</v>
      </c>
      <c r="L91" s="52" t="e">
        <f>Efficiencies!K89</f>
        <v>#REF!</v>
      </c>
      <c r="M91" s="52" t="e">
        <f>Efficiencies!L89</f>
        <v>#REF!</v>
      </c>
      <c r="N91" s="52" t="e">
        <f>Efficiencies!M89</f>
        <v>#REF!</v>
      </c>
      <c r="O91" s="52" t="e">
        <f>Efficiencies!N89</f>
        <v>#REF!</v>
      </c>
      <c r="P91" s="52" t="e">
        <f>Q91</f>
        <v>#REF!</v>
      </c>
      <c r="Q91" s="52" t="e">
        <f>F91*Efficiencies!$AC$51</f>
        <v>#REF!</v>
      </c>
      <c r="R91" s="52" t="e">
        <f>G91*Efficiencies!$AC$51</f>
        <v>#REF!</v>
      </c>
      <c r="S91" s="52" t="e">
        <f>H91*Efficiencies!$AC$51</f>
        <v>#REF!</v>
      </c>
      <c r="T91" s="52" t="e">
        <f>I91*Efficiencies!$AC$51</f>
        <v>#REF!</v>
      </c>
      <c r="U91" s="52" t="e">
        <f>J91*Efficiencies!$AC$51</f>
        <v>#REF!</v>
      </c>
      <c r="V91" s="52" t="e">
        <f>K91*Efficiencies!$AC$51</f>
        <v>#REF!</v>
      </c>
      <c r="W91" s="52" t="e">
        <f>L91*Efficiencies!$AC$51</f>
        <v>#REF!</v>
      </c>
      <c r="X91" s="52" t="e">
        <f>M91*Efficiencies!$AC$51</f>
        <v>#REF!</v>
      </c>
      <c r="Y91" s="52" t="e">
        <f>N91*Efficiencies!$AC$51</f>
        <v>#REF!</v>
      </c>
      <c r="Z91" s="52" t="e">
        <f>O91*Efficiencies!$AC$51</f>
        <v>#REF!</v>
      </c>
      <c r="AA91" s="52"/>
      <c r="AB91" s="52" t="e">
        <f>Costs!F89+$B17</f>
        <v>#REF!</v>
      </c>
      <c r="AC91" s="52" t="e">
        <f>Costs!G89+$B17</f>
        <v>#REF!</v>
      </c>
      <c r="AD91" s="52" t="e">
        <f>Costs!H89+$B17</f>
        <v>#REF!</v>
      </c>
      <c r="AE91" s="52" t="e">
        <f>Costs!I89+$B17</f>
        <v>#REF!</v>
      </c>
      <c r="AF91" s="52" t="e">
        <f>Costs!J89+$B17</f>
        <v>#REF!</v>
      </c>
      <c r="AG91" s="52" t="e">
        <f>Costs!K89+$B17</f>
        <v>#REF!</v>
      </c>
      <c r="AH91" s="52" t="e">
        <f>Costs!L89+$B17</f>
        <v>#REF!</v>
      </c>
      <c r="AI91" s="52" t="e">
        <f>Costs!M89+$B17</f>
        <v>#REF!</v>
      </c>
      <c r="AJ91" s="52" t="e">
        <f>Costs!N89+$B17</f>
        <v>#REF!</v>
      </c>
      <c r="AK91" s="52" t="e">
        <f>Costs!O89+$B17</f>
        <v>#REF!</v>
      </c>
    </row>
    <row r="100" spans="1:4" x14ac:dyDescent="0.2">
      <c r="A100" s="52"/>
      <c r="B100" s="52"/>
      <c r="C100" s="52"/>
      <c r="D100" s="77"/>
    </row>
  </sheetData>
  <mergeCells count="5">
    <mergeCell ref="AA44:AH44"/>
    <mergeCell ref="P43:W43"/>
    <mergeCell ref="P44:W44"/>
    <mergeCell ref="E43:L43"/>
    <mergeCell ref="E44:L44"/>
  </mergeCells>
  <phoneticPr fontId="12" type="noConversion"/>
  <pageMargins left="0.75" right="0.75" top="1" bottom="1" header="0.5" footer="0.5"/>
  <pageSetup orientation="portrait" r:id="rId1"/>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indexed="47"/>
    <pageSetUpPr fitToPage="1"/>
  </sheetPr>
  <dimension ref="A1:AC169"/>
  <sheetViews>
    <sheetView zoomScale="80" zoomScaleNormal="80" workbookViewId="0">
      <selection sqref="A1:AC169"/>
    </sheetView>
  </sheetViews>
  <sheetFormatPr defaultColWidth="9.140625" defaultRowHeight="12.75" x14ac:dyDescent="0.2"/>
  <cols>
    <col min="1" max="1" width="12.85546875" style="17" customWidth="1"/>
    <col min="2" max="2" width="15" style="17" bestFit="1" customWidth="1"/>
    <col min="3" max="3" width="15" style="17" customWidth="1"/>
    <col min="4" max="4" width="10.5703125" style="102" customWidth="1"/>
    <col min="5" max="15" width="9.140625" style="17"/>
    <col min="16" max="16" width="8.140625" style="17" customWidth="1"/>
    <col min="17" max="17" width="19.140625" style="17" customWidth="1"/>
    <col min="18" max="16384" width="9.140625" style="17"/>
  </cols>
  <sheetData>
    <row r="1" spans="1:29" x14ac:dyDescent="0.2">
      <c r="A1" s="383" t="s">
        <v>2658</v>
      </c>
      <c r="B1" s="383"/>
      <c r="C1" s="383"/>
      <c r="D1" s="384"/>
      <c r="E1" s="383"/>
      <c r="F1" s="383"/>
      <c r="G1" s="383"/>
      <c r="H1" s="383"/>
      <c r="I1" s="383"/>
      <c r="J1" s="383"/>
      <c r="K1" s="383"/>
      <c r="L1" s="383"/>
      <c r="M1" s="383"/>
      <c r="N1" s="383"/>
      <c r="O1" s="383"/>
      <c r="P1" s="383"/>
      <c r="Q1" s="383"/>
      <c r="R1" s="383"/>
      <c r="S1" s="383"/>
      <c r="T1" s="383"/>
      <c r="U1" s="383"/>
      <c r="V1" s="383"/>
      <c r="W1" s="383"/>
      <c r="X1" s="383"/>
      <c r="Y1" s="383"/>
      <c r="Z1" s="383"/>
      <c r="AA1" s="383"/>
      <c r="AB1" s="383"/>
      <c r="AC1" s="383"/>
    </row>
    <row r="2" spans="1:29" x14ac:dyDescent="0.2">
      <c r="A2" s="383" t="s">
        <v>2621</v>
      </c>
      <c r="B2" s="383"/>
      <c r="C2" s="383"/>
      <c r="D2" s="384"/>
      <c r="E2" s="383"/>
      <c r="F2" s="383"/>
      <c r="G2" s="383"/>
      <c r="H2" s="383"/>
      <c r="I2" s="383"/>
      <c r="J2" s="383"/>
      <c r="K2" s="383"/>
      <c r="L2" s="383"/>
      <c r="M2" s="383"/>
      <c r="N2" s="383"/>
      <c r="O2" s="383"/>
      <c r="P2" s="383"/>
      <c r="Q2" s="383"/>
      <c r="R2" s="383"/>
      <c r="S2" s="383"/>
      <c r="T2" s="383"/>
      <c r="U2" s="383"/>
      <c r="V2" s="383"/>
      <c r="W2" s="383"/>
      <c r="X2" s="383"/>
      <c r="Y2" s="383"/>
      <c r="Z2" s="383"/>
      <c r="AA2" s="383"/>
      <c r="AB2" s="383"/>
      <c r="AC2" s="383"/>
    </row>
    <row r="3" spans="1:29" x14ac:dyDescent="0.2">
      <c r="A3" s="383"/>
      <c r="B3" s="383"/>
      <c r="C3" s="383"/>
      <c r="D3" s="384"/>
      <c r="E3" s="383"/>
      <c r="F3" s="383"/>
      <c r="G3" s="383"/>
      <c r="H3" s="383"/>
      <c r="I3" s="383"/>
      <c r="J3" s="383"/>
      <c r="K3" s="383"/>
      <c r="L3" s="383"/>
      <c r="M3" s="383"/>
      <c r="N3" s="383"/>
      <c r="O3" s="383"/>
      <c r="P3" s="383"/>
      <c r="Q3" s="383"/>
      <c r="R3" s="383"/>
      <c r="S3" s="383"/>
      <c r="T3" s="383"/>
      <c r="U3" s="383"/>
      <c r="V3" s="383"/>
      <c r="W3" s="383"/>
      <c r="X3" s="383"/>
      <c r="Y3" s="383"/>
      <c r="Z3" s="383"/>
      <c r="AA3" s="383"/>
      <c r="AB3" s="383"/>
      <c r="AC3" s="383"/>
    </row>
    <row r="4" spans="1:29" x14ac:dyDescent="0.2">
      <c r="A4" s="385" t="s">
        <v>2659</v>
      </c>
      <c r="B4" s="383"/>
      <c r="C4" s="383"/>
      <c r="D4" s="384"/>
      <c r="E4" s="403"/>
      <c r="F4" s="403"/>
      <c r="G4" s="403"/>
      <c r="H4" s="403"/>
      <c r="I4" s="403"/>
      <c r="J4" s="403"/>
      <c r="K4" s="403"/>
      <c r="L4" s="403"/>
      <c r="M4" s="386"/>
      <c r="N4" s="386"/>
      <c r="O4" s="386"/>
      <c r="P4" s="386"/>
      <c r="Q4" s="383"/>
      <c r="R4" s="383"/>
      <c r="S4" s="383"/>
      <c r="T4" s="383"/>
      <c r="U4" s="383"/>
      <c r="V4" s="383"/>
      <c r="W4" s="383"/>
      <c r="X4" s="383"/>
      <c r="Y4" s="383"/>
      <c r="Z4" s="383"/>
      <c r="AA4" s="383"/>
      <c r="AB4" s="383"/>
      <c r="AC4" s="383"/>
    </row>
    <row r="5" spans="1:29" x14ac:dyDescent="0.2">
      <c r="A5" s="383"/>
      <c r="B5" s="383" t="s">
        <v>2660</v>
      </c>
      <c r="C5" s="383"/>
      <c r="D5" s="384"/>
      <c r="E5" s="403"/>
      <c r="F5" s="403"/>
      <c r="G5" s="403"/>
      <c r="H5" s="403"/>
      <c r="I5" s="403"/>
      <c r="J5" s="403"/>
      <c r="K5" s="403"/>
      <c r="L5" s="403"/>
      <c r="M5" s="386"/>
      <c r="N5" s="386"/>
      <c r="O5" s="386"/>
      <c r="P5" s="386"/>
      <c r="Q5" s="383"/>
      <c r="R5" s="383"/>
      <c r="S5" s="383"/>
      <c r="T5" s="383"/>
      <c r="U5" s="383"/>
      <c r="V5" s="383"/>
      <c r="W5" s="383"/>
      <c r="X5" s="383"/>
      <c r="Y5" s="383"/>
      <c r="Z5" s="383"/>
      <c r="AA5" s="383"/>
      <c r="AB5" s="383"/>
      <c r="AC5" s="383"/>
    </row>
    <row r="6" spans="1:29" x14ac:dyDescent="0.2">
      <c r="A6" s="383"/>
      <c r="B6" s="383"/>
      <c r="C6" s="383"/>
      <c r="D6" s="387" t="s">
        <v>758</v>
      </c>
      <c r="E6" s="387">
        <v>2005</v>
      </c>
      <c r="F6" s="387">
        <v>2010</v>
      </c>
      <c r="G6" s="387">
        <v>2015</v>
      </c>
      <c r="H6" s="387">
        <v>2020</v>
      </c>
      <c r="I6" s="387">
        <v>2025</v>
      </c>
      <c r="J6" s="387">
        <v>2030</v>
      </c>
      <c r="K6" s="387">
        <v>2035</v>
      </c>
      <c r="L6" s="387">
        <v>2040</v>
      </c>
      <c r="M6" s="387">
        <v>2045</v>
      </c>
      <c r="N6" s="387">
        <v>2050</v>
      </c>
      <c r="O6" s="387">
        <v>2055</v>
      </c>
      <c r="P6" s="386"/>
      <c r="Q6" s="383"/>
      <c r="R6" s="383"/>
      <c r="S6" s="383"/>
      <c r="T6" s="383"/>
      <c r="U6" s="383"/>
      <c r="V6" s="383"/>
      <c r="W6" s="383"/>
      <c r="X6" s="383"/>
      <c r="Y6" s="383"/>
      <c r="Z6" s="383"/>
      <c r="AA6" s="383"/>
      <c r="AB6" s="383"/>
      <c r="AC6" s="383"/>
    </row>
    <row r="7" spans="1:29" x14ac:dyDescent="0.2">
      <c r="A7" s="383" t="s">
        <v>2626</v>
      </c>
      <c r="B7" s="383" t="s">
        <v>2661</v>
      </c>
      <c r="C7" s="383" t="s">
        <v>2662</v>
      </c>
      <c r="D7" s="384">
        <v>2005</v>
      </c>
      <c r="E7" s="384">
        <v>19.23</v>
      </c>
      <c r="F7" s="384">
        <v>22.55</v>
      </c>
      <c r="G7" s="384">
        <v>21.73</v>
      </c>
      <c r="H7" s="384">
        <v>22.69</v>
      </c>
      <c r="I7" s="384">
        <v>24.25</v>
      </c>
      <c r="J7" s="384">
        <v>24.28</v>
      </c>
      <c r="K7" s="384">
        <v>24.3</v>
      </c>
      <c r="L7" s="384">
        <v>24.31</v>
      </c>
      <c r="M7" s="384">
        <v>24.31</v>
      </c>
      <c r="N7" s="384">
        <v>24.31</v>
      </c>
      <c r="O7" s="384">
        <v>24.31</v>
      </c>
      <c r="P7" s="383"/>
      <c r="Q7" s="388"/>
      <c r="R7" s="383"/>
      <c r="S7" s="383"/>
      <c r="T7" s="383"/>
      <c r="U7" s="383"/>
      <c r="V7" s="383"/>
      <c r="W7" s="383"/>
      <c r="X7" s="383"/>
      <c r="Y7" s="383"/>
      <c r="Z7" s="383"/>
      <c r="AA7" s="383"/>
      <c r="AB7" s="383"/>
      <c r="AC7" s="383"/>
    </row>
    <row r="8" spans="1:29" x14ac:dyDescent="0.2">
      <c r="A8" s="383" t="s">
        <v>2626</v>
      </c>
      <c r="B8" s="383" t="s">
        <v>334</v>
      </c>
      <c r="C8" s="383" t="s">
        <v>901</v>
      </c>
      <c r="D8" s="384">
        <v>2005</v>
      </c>
      <c r="E8" s="384">
        <v>24.34</v>
      </c>
      <c r="F8" s="384">
        <v>29.8</v>
      </c>
      <c r="G8" s="384">
        <v>28.09</v>
      </c>
      <c r="H8" s="384">
        <v>29.09</v>
      </c>
      <c r="I8" s="384">
        <v>30.82</v>
      </c>
      <c r="J8" s="384">
        <v>30.85</v>
      </c>
      <c r="K8" s="384">
        <v>30.87</v>
      </c>
      <c r="L8" s="384">
        <v>30.89</v>
      </c>
      <c r="M8" s="384">
        <v>30.89</v>
      </c>
      <c r="N8" s="384">
        <v>30.89</v>
      </c>
      <c r="O8" s="384">
        <v>30.89</v>
      </c>
      <c r="P8" s="383"/>
      <c r="Q8" s="383"/>
      <c r="R8" s="383"/>
      <c r="S8" s="383"/>
      <c r="T8" s="383"/>
      <c r="U8" s="383"/>
      <c r="V8" s="383"/>
      <c r="W8" s="383"/>
      <c r="X8" s="383"/>
      <c r="Y8" s="383"/>
      <c r="Z8" s="383"/>
      <c r="AA8" s="383"/>
      <c r="AB8" s="383"/>
      <c r="AC8" s="383"/>
    </row>
    <row r="9" spans="1:29" x14ac:dyDescent="0.2">
      <c r="A9" s="383" t="s">
        <v>2626</v>
      </c>
      <c r="B9" s="383" t="s">
        <v>2663</v>
      </c>
      <c r="C9" s="383" t="s">
        <v>924</v>
      </c>
      <c r="D9" s="384">
        <v>2005</v>
      </c>
      <c r="E9" s="384">
        <v>23.07</v>
      </c>
      <c r="F9" s="384">
        <v>28.4</v>
      </c>
      <c r="G9" s="384">
        <v>26.69</v>
      </c>
      <c r="H9" s="384">
        <v>27.67</v>
      </c>
      <c r="I9" s="384">
        <v>29.37</v>
      </c>
      <c r="J9" s="384">
        <v>29.41</v>
      </c>
      <c r="K9" s="384">
        <v>29.43</v>
      </c>
      <c r="L9" s="384">
        <v>29.45</v>
      </c>
      <c r="M9" s="384">
        <v>29.45</v>
      </c>
      <c r="N9" s="384">
        <v>29.45</v>
      </c>
      <c r="O9" s="384">
        <v>29.45</v>
      </c>
      <c r="P9" s="383"/>
      <c r="Q9" s="383"/>
      <c r="R9" s="383"/>
      <c r="S9" s="383"/>
      <c r="T9" s="383"/>
      <c r="U9" s="383"/>
      <c r="V9" s="383"/>
      <c r="W9" s="383"/>
      <c r="X9" s="383"/>
      <c r="Y9" s="383"/>
      <c r="Z9" s="383"/>
      <c r="AA9" s="383"/>
      <c r="AB9" s="383"/>
      <c r="AC9" s="383"/>
    </row>
    <row r="10" spans="1:29" x14ac:dyDescent="0.2">
      <c r="A10" s="383" t="s">
        <v>2626</v>
      </c>
      <c r="B10" s="383" t="s">
        <v>2664</v>
      </c>
      <c r="C10" s="383" t="s">
        <v>947</v>
      </c>
      <c r="D10" s="384">
        <v>2010</v>
      </c>
      <c r="E10" s="384">
        <v>0</v>
      </c>
      <c r="F10" s="384">
        <v>0</v>
      </c>
      <c r="G10" s="384">
        <v>0</v>
      </c>
      <c r="H10" s="384">
        <v>28.83</v>
      </c>
      <c r="I10" s="384">
        <v>28.61</v>
      </c>
      <c r="J10" s="384">
        <v>28.93</v>
      </c>
      <c r="K10" s="384">
        <v>28.8</v>
      </c>
      <c r="L10" s="384">
        <v>28.78</v>
      </c>
      <c r="M10" s="384">
        <v>28.78</v>
      </c>
      <c r="N10" s="384">
        <v>28.78</v>
      </c>
      <c r="O10" s="384">
        <v>28.78</v>
      </c>
      <c r="P10" s="383"/>
      <c r="Q10" s="383"/>
      <c r="R10" s="383"/>
      <c r="S10" s="383"/>
      <c r="T10" s="383"/>
      <c r="U10" s="383"/>
      <c r="V10" s="383"/>
      <c r="W10" s="383"/>
      <c r="X10" s="383"/>
      <c r="Y10" s="383"/>
      <c r="Z10" s="383"/>
      <c r="AA10" s="383"/>
      <c r="AB10" s="383"/>
      <c r="AC10" s="383"/>
    </row>
    <row r="11" spans="1:29" x14ac:dyDescent="0.2">
      <c r="A11" s="383" t="s">
        <v>2626</v>
      </c>
      <c r="B11" s="383" t="s">
        <v>477</v>
      </c>
      <c r="C11" s="383" t="s">
        <v>878</v>
      </c>
      <c r="D11" s="384">
        <v>2005</v>
      </c>
      <c r="E11" s="384">
        <v>18.809999999999999</v>
      </c>
      <c r="F11" s="384">
        <v>24.7</v>
      </c>
      <c r="G11" s="384">
        <v>23.81</v>
      </c>
      <c r="H11" s="384">
        <v>24.12</v>
      </c>
      <c r="I11" s="384">
        <v>24.68</v>
      </c>
      <c r="J11" s="384">
        <v>24.7</v>
      </c>
      <c r="K11" s="384">
        <v>24.72</v>
      </c>
      <c r="L11" s="384">
        <v>24.74</v>
      </c>
      <c r="M11" s="384">
        <v>24.74</v>
      </c>
      <c r="N11" s="384">
        <v>24.74</v>
      </c>
      <c r="O11" s="384">
        <v>24.74</v>
      </c>
      <c r="P11" s="383"/>
      <c r="Q11" s="383"/>
      <c r="R11" s="383"/>
      <c r="S11" s="383"/>
      <c r="T11" s="383"/>
      <c r="U11" s="383"/>
      <c r="V11" s="383"/>
      <c r="W11" s="383"/>
      <c r="X11" s="383"/>
      <c r="Y11" s="383"/>
      <c r="Z11" s="383"/>
      <c r="AA11" s="383"/>
      <c r="AB11" s="383"/>
      <c r="AC11" s="383"/>
    </row>
    <row r="12" spans="1:29" x14ac:dyDescent="0.2">
      <c r="A12" s="383" t="s">
        <v>2626</v>
      </c>
      <c r="B12" s="383" t="s">
        <v>2665</v>
      </c>
      <c r="C12" s="383" t="s">
        <v>765</v>
      </c>
      <c r="D12" s="384">
        <v>1995</v>
      </c>
      <c r="E12" s="384">
        <v>0</v>
      </c>
      <c r="F12" s="384">
        <v>0</v>
      </c>
      <c r="G12" s="384">
        <v>0</v>
      </c>
      <c r="H12" s="384">
        <v>0</v>
      </c>
      <c r="I12" s="384">
        <v>0</v>
      </c>
      <c r="J12" s="384">
        <v>0</v>
      </c>
      <c r="K12" s="384">
        <v>0</v>
      </c>
      <c r="L12" s="384">
        <v>0</v>
      </c>
      <c r="M12" s="384">
        <v>0</v>
      </c>
      <c r="N12" s="384">
        <v>0</v>
      </c>
      <c r="O12" s="384">
        <v>0</v>
      </c>
      <c r="P12" s="383"/>
      <c r="Q12" s="383"/>
      <c r="R12" s="383"/>
      <c r="S12" s="383"/>
      <c r="T12" s="383"/>
      <c r="U12" s="383"/>
      <c r="V12" s="383"/>
      <c r="W12" s="383"/>
      <c r="X12" s="383"/>
      <c r="Y12" s="383"/>
      <c r="Z12" s="383"/>
      <c r="AA12" s="383"/>
      <c r="AB12" s="383"/>
      <c r="AC12" s="383"/>
    </row>
    <row r="13" spans="1:29" x14ac:dyDescent="0.2">
      <c r="A13" s="383" t="s">
        <v>2626</v>
      </c>
      <c r="B13" s="383" t="s">
        <v>2666</v>
      </c>
      <c r="C13" s="383" t="s">
        <v>966</v>
      </c>
      <c r="D13" s="384">
        <v>2005</v>
      </c>
      <c r="E13" s="384">
        <v>0</v>
      </c>
      <c r="F13" s="384">
        <v>22.5</v>
      </c>
      <c r="G13" s="384">
        <v>20.93</v>
      </c>
      <c r="H13" s="384">
        <v>21.88</v>
      </c>
      <c r="I13" s="384">
        <v>23.45</v>
      </c>
      <c r="J13" s="384">
        <v>23.48</v>
      </c>
      <c r="K13" s="384">
        <v>23.49</v>
      </c>
      <c r="L13" s="384">
        <v>23.5</v>
      </c>
      <c r="M13" s="384">
        <v>23.5</v>
      </c>
      <c r="N13" s="384">
        <v>23.5</v>
      </c>
      <c r="O13" s="384">
        <v>23.5</v>
      </c>
      <c r="P13" s="383"/>
      <c r="Q13" s="388" t="s">
        <v>790</v>
      </c>
      <c r="R13" s="383"/>
      <c r="S13" s="383"/>
      <c r="T13" s="383"/>
      <c r="U13" s="383"/>
      <c r="V13" s="383"/>
      <c r="W13" s="383"/>
      <c r="X13" s="383"/>
      <c r="Y13" s="383"/>
      <c r="Z13" s="383"/>
      <c r="AA13" s="383"/>
      <c r="AB13" s="383"/>
      <c r="AC13" s="383"/>
    </row>
    <row r="14" spans="1:29" x14ac:dyDescent="0.2">
      <c r="A14" s="383" t="s">
        <v>2626</v>
      </c>
      <c r="B14" s="383" t="s">
        <v>2667</v>
      </c>
      <c r="C14" s="383" t="s">
        <v>987</v>
      </c>
      <c r="D14" s="384">
        <v>2005</v>
      </c>
      <c r="E14" s="384">
        <v>81.150000000000006</v>
      </c>
      <c r="F14" s="384">
        <v>74.599999999999994</v>
      </c>
      <c r="G14" s="384">
        <v>67.819999999999993</v>
      </c>
      <c r="H14" s="384">
        <v>58.79</v>
      </c>
      <c r="I14" s="384">
        <v>51.98</v>
      </c>
      <c r="J14" s="384">
        <v>47.25</v>
      </c>
      <c r="K14" s="384">
        <v>43.54</v>
      </c>
      <c r="L14" s="384">
        <v>40.619999999999997</v>
      </c>
      <c r="M14" s="384">
        <v>40.619999999999997</v>
      </c>
      <c r="N14" s="384">
        <v>40.619999999999997</v>
      </c>
      <c r="O14" s="384">
        <v>40.619999999999997</v>
      </c>
      <c r="P14" s="384"/>
      <c r="Q14" s="383" t="s">
        <v>2668</v>
      </c>
      <c r="R14" s="389">
        <v>11976</v>
      </c>
      <c r="S14" s="383" t="s">
        <v>2669</v>
      </c>
      <c r="T14" s="383"/>
      <c r="U14" s="383"/>
      <c r="V14" s="383"/>
      <c r="W14" s="383"/>
      <c r="X14" s="383"/>
      <c r="Y14" s="383"/>
      <c r="Z14" s="383"/>
      <c r="AA14" s="383"/>
      <c r="AB14" s="383"/>
      <c r="AC14" s="383"/>
    </row>
    <row r="15" spans="1:29" x14ac:dyDescent="0.2">
      <c r="A15" s="383" t="s">
        <v>2626</v>
      </c>
      <c r="B15" s="383" t="s">
        <v>2670</v>
      </c>
      <c r="C15" s="383" t="s">
        <v>855</v>
      </c>
      <c r="D15" s="384">
        <v>2005</v>
      </c>
      <c r="E15" s="384">
        <v>18.329999999999998</v>
      </c>
      <c r="F15" s="384">
        <v>21.65</v>
      </c>
      <c r="G15" s="384">
        <v>20.83</v>
      </c>
      <c r="H15" s="384">
        <v>21.78</v>
      </c>
      <c r="I15" s="384">
        <v>23.35</v>
      </c>
      <c r="J15" s="384">
        <v>23.38</v>
      </c>
      <c r="K15" s="384">
        <v>23.4</v>
      </c>
      <c r="L15" s="384">
        <v>23.41</v>
      </c>
      <c r="M15" s="384">
        <v>23.41</v>
      </c>
      <c r="N15" s="384">
        <v>23.41</v>
      </c>
      <c r="O15" s="384">
        <v>23.41</v>
      </c>
      <c r="P15" s="384"/>
      <c r="Q15" s="383"/>
      <c r="R15" s="383"/>
      <c r="S15" s="383"/>
      <c r="T15" s="383"/>
      <c r="U15" s="383"/>
      <c r="V15" s="383"/>
      <c r="W15" s="383"/>
      <c r="X15" s="383"/>
      <c r="Y15" s="383"/>
      <c r="Z15" s="383"/>
      <c r="AA15" s="383"/>
      <c r="AB15" s="383"/>
      <c r="AC15" s="383"/>
    </row>
    <row r="16" spans="1:29" x14ac:dyDescent="0.2">
      <c r="A16" s="383" t="s">
        <v>2626</v>
      </c>
      <c r="B16" s="383" t="s">
        <v>2671</v>
      </c>
      <c r="C16" s="383" t="s">
        <v>1008</v>
      </c>
      <c r="D16" s="384">
        <v>2005</v>
      </c>
      <c r="E16" s="384">
        <v>21.17</v>
      </c>
      <c r="F16" s="384">
        <v>29.4</v>
      </c>
      <c r="G16" s="384">
        <v>25.52</v>
      </c>
      <c r="H16" s="384">
        <v>26.08</v>
      </c>
      <c r="I16" s="384">
        <v>26.55</v>
      </c>
      <c r="J16" s="384">
        <v>26.07</v>
      </c>
      <c r="K16" s="384">
        <v>25.94</v>
      </c>
      <c r="L16" s="384">
        <v>25.91</v>
      </c>
      <c r="M16" s="384">
        <v>25.91</v>
      </c>
      <c r="N16" s="384">
        <v>25.91</v>
      </c>
      <c r="O16" s="384">
        <v>25.91</v>
      </c>
      <c r="P16" s="384"/>
      <c r="Q16" s="383" t="s">
        <v>2672</v>
      </c>
      <c r="R16" s="389">
        <v>11672</v>
      </c>
      <c r="S16" s="383" t="s">
        <v>2673</v>
      </c>
      <c r="T16" s="383"/>
      <c r="U16" s="383"/>
      <c r="V16" s="383"/>
      <c r="W16" s="383"/>
      <c r="X16" s="383"/>
      <c r="Y16" s="383"/>
      <c r="Z16" s="383"/>
      <c r="AA16" s="383"/>
      <c r="AB16" s="383"/>
      <c r="AC16" s="383"/>
    </row>
    <row r="17" spans="1:29" x14ac:dyDescent="0.2">
      <c r="A17" s="383" t="s">
        <v>2626</v>
      </c>
      <c r="B17" s="383" t="s">
        <v>2674</v>
      </c>
      <c r="C17" s="383" t="s">
        <v>1029</v>
      </c>
      <c r="D17" s="384">
        <v>2005</v>
      </c>
      <c r="E17" s="384">
        <v>22.5</v>
      </c>
      <c r="F17" s="384">
        <v>27.8</v>
      </c>
      <c r="G17" s="384">
        <v>26.05</v>
      </c>
      <c r="H17" s="384">
        <v>27.03</v>
      </c>
      <c r="I17" s="384">
        <v>28.73</v>
      </c>
      <c r="J17" s="384">
        <v>28.76</v>
      </c>
      <c r="K17" s="384">
        <v>28.78</v>
      </c>
      <c r="L17" s="384">
        <v>28.8</v>
      </c>
      <c r="M17" s="384">
        <v>28.8</v>
      </c>
      <c r="N17" s="384">
        <v>28.8</v>
      </c>
      <c r="O17" s="384">
        <v>28.8</v>
      </c>
      <c r="P17" s="384"/>
      <c r="Q17" s="383"/>
      <c r="R17" s="383"/>
      <c r="S17" s="383"/>
      <c r="T17" s="383"/>
      <c r="U17" s="383"/>
      <c r="V17" s="383"/>
      <c r="W17" s="383"/>
      <c r="X17" s="383"/>
      <c r="Y17" s="383"/>
      <c r="Z17" s="383"/>
      <c r="AA17" s="383"/>
      <c r="AB17" s="383"/>
      <c r="AC17" s="383"/>
    </row>
    <row r="18" spans="1:29" x14ac:dyDescent="0.2">
      <c r="A18" s="383" t="s">
        <v>2626</v>
      </c>
      <c r="B18" s="383" t="s">
        <v>2675</v>
      </c>
      <c r="C18" s="383" t="s">
        <v>1052</v>
      </c>
      <c r="D18" s="384">
        <v>2010</v>
      </c>
      <c r="E18" s="384">
        <v>0</v>
      </c>
      <c r="F18" s="384">
        <v>27.04</v>
      </c>
      <c r="G18" s="384">
        <v>26.22</v>
      </c>
      <c r="H18" s="384">
        <v>27.17</v>
      </c>
      <c r="I18" s="384">
        <v>28.74</v>
      </c>
      <c r="J18" s="384">
        <v>28.77</v>
      </c>
      <c r="K18" s="384">
        <v>28.79</v>
      </c>
      <c r="L18" s="384">
        <v>28.8</v>
      </c>
      <c r="M18" s="384">
        <v>28.8</v>
      </c>
      <c r="N18" s="384">
        <v>28.8</v>
      </c>
      <c r="O18" s="384">
        <v>28.8</v>
      </c>
      <c r="P18" s="384"/>
      <c r="Q18" s="388" t="s">
        <v>2676</v>
      </c>
      <c r="R18" s="390">
        <v>2005</v>
      </c>
      <c r="S18" s="390">
        <v>2010</v>
      </c>
      <c r="T18" s="390">
        <v>2015</v>
      </c>
      <c r="U18" s="390">
        <v>2020</v>
      </c>
      <c r="V18" s="390">
        <v>2025</v>
      </c>
      <c r="W18" s="390">
        <v>2030</v>
      </c>
      <c r="X18" s="390">
        <v>2035</v>
      </c>
      <c r="Y18" s="390">
        <v>2040</v>
      </c>
      <c r="Z18" s="383"/>
      <c r="AA18" s="383"/>
      <c r="AB18" s="383"/>
      <c r="AC18" s="383"/>
    </row>
    <row r="19" spans="1:29" x14ac:dyDescent="0.2">
      <c r="A19" s="383" t="s">
        <v>2637</v>
      </c>
      <c r="B19" s="383" t="s">
        <v>2661</v>
      </c>
      <c r="C19" s="383" t="s">
        <v>2677</v>
      </c>
      <c r="D19" s="384">
        <v>2005</v>
      </c>
      <c r="E19" s="384">
        <v>26.56</v>
      </c>
      <c r="F19" s="384">
        <v>27.22</v>
      </c>
      <c r="G19" s="384">
        <v>26.97</v>
      </c>
      <c r="H19" s="384">
        <v>27.83</v>
      </c>
      <c r="I19" s="384">
        <v>29.36</v>
      </c>
      <c r="J19" s="384">
        <v>29.41</v>
      </c>
      <c r="K19" s="384">
        <v>29.42</v>
      </c>
      <c r="L19" s="384">
        <v>29.43</v>
      </c>
      <c r="M19" s="384">
        <v>29.43</v>
      </c>
      <c r="N19" s="384">
        <v>29.43</v>
      </c>
      <c r="O19" s="384">
        <v>29.43</v>
      </c>
      <c r="P19" s="384">
        <v>19</v>
      </c>
      <c r="Q19" s="383" t="s">
        <v>2678</v>
      </c>
      <c r="R19" s="383">
        <v>1.4</v>
      </c>
      <c r="S19" s="383">
        <v>0.95</v>
      </c>
      <c r="T19" s="383">
        <v>0.84</v>
      </c>
      <c r="U19" s="383">
        <v>0.9</v>
      </c>
      <c r="V19" s="383">
        <v>0.89</v>
      </c>
      <c r="W19" s="383">
        <v>0.89</v>
      </c>
      <c r="X19" s="383">
        <v>0.89</v>
      </c>
      <c r="Y19" s="383">
        <v>0.9</v>
      </c>
      <c r="Z19" s="383"/>
      <c r="AA19" s="383"/>
      <c r="AB19" s="383"/>
      <c r="AC19" s="383"/>
    </row>
    <row r="20" spans="1:29" x14ac:dyDescent="0.2">
      <c r="A20" s="383" t="s">
        <v>2637</v>
      </c>
      <c r="B20" s="383" t="s">
        <v>334</v>
      </c>
      <c r="C20" s="383" t="s">
        <v>1094</v>
      </c>
      <c r="D20" s="384">
        <v>2005</v>
      </c>
      <c r="E20" s="384">
        <v>37.14</v>
      </c>
      <c r="F20" s="384">
        <v>36.6</v>
      </c>
      <c r="G20" s="384">
        <v>38.5</v>
      </c>
      <c r="H20" s="384">
        <v>39.81</v>
      </c>
      <c r="I20" s="384">
        <v>41.18</v>
      </c>
      <c r="J20" s="384">
        <v>41.23</v>
      </c>
      <c r="K20" s="384">
        <v>41.24</v>
      </c>
      <c r="L20" s="384">
        <v>41.25</v>
      </c>
      <c r="M20" s="384">
        <v>41.25</v>
      </c>
      <c r="N20" s="384">
        <v>41.25</v>
      </c>
      <c r="O20" s="384">
        <v>41.25</v>
      </c>
      <c r="P20" s="384">
        <v>20</v>
      </c>
      <c r="Q20" s="383" t="s">
        <v>2679</v>
      </c>
      <c r="R20" s="383">
        <v>8.8800000000000008</v>
      </c>
      <c r="S20" s="383">
        <v>16.309999999999999</v>
      </c>
      <c r="T20" s="383">
        <v>11.12</v>
      </c>
      <c r="U20" s="383">
        <v>11.99</v>
      </c>
      <c r="V20" s="383">
        <v>11.89</v>
      </c>
      <c r="W20" s="383">
        <v>11.8</v>
      </c>
      <c r="X20" s="383">
        <v>11.8</v>
      </c>
      <c r="Y20" s="383">
        <v>11.9</v>
      </c>
      <c r="Z20" s="383"/>
      <c r="AA20" s="383"/>
      <c r="AB20" s="383"/>
      <c r="AC20" s="383"/>
    </row>
    <row r="21" spans="1:29" x14ac:dyDescent="0.2">
      <c r="A21" s="383" t="s">
        <v>2637</v>
      </c>
      <c r="B21" s="383" t="s">
        <v>2663</v>
      </c>
      <c r="C21" s="383" t="s">
        <v>1117</v>
      </c>
      <c r="D21" s="384">
        <v>2005</v>
      </c>
      <c r="E21" s="384">
        <v>36.08</v>
      </c>
      <c r="F21" s="384">
        <v>35.299999999999997</v>
      </c>
      <c r="G21" s="384">
        <v>37.11</v>
      </c>
      <c r="H21" s="384">
        <v>38.42</v>
      </c>
      <c r="I21" s="384">
        <v>39.78</v>
      </c>
      <c r="J21" s="384">
        <v>39.83</v>
      </c>
      <c r="K21" s="384">
        <v>39.840000000000003</v>
      </c>
      <c r="L21" s="384">
        <v>39.85</v>
      </c>
      <c r="M21" s="384">
        <v>39.85</v>
      </c>
      <c r="N21" s="384">
        <v>39.85</v>
      </c>
      <c r="O21" s="384">
        <v>39.85</v>
      </c>
      <c r="P21" s="384">
        <v>21</v>
      </c>
      <c r="Q21" s="383" t="s">
        <v>323</v>
      </c>
      <c r="R21" s="383">
        <v>32.35</v>
      </c>
      <c r="S21" s="383">
        <v>22.59</v>
      </c>
      <c r="T21" s="383">
        <v>35.64</v>
      </c>
      <c r="U21" s="383">
        <v>36.71</v>
      </c>
      <c r="V21" s="383">
        <v>36.75</v>
      </c>
      <c r="W21" s="383">
        <v>36.85</v>
      </c>
      <c r="X21" s="383">
        <v>36.83</v>
      </c>
      <c r="Y21" s="383">
        <v>37.01</v>
      </c>
      <c r="Z21" s="383"/>
      <c r="AA21" s="383"/>
      <c r="AB21" s="383"/>
      <c r="AC21" s="383"/>
    </row>
    <row r="22" spans="1:29" x14ac:dyDescent="0.2">
      <c r="A22" s="383" t="s">
        <v>2637</v>
      </c>
      <c r="B22" s="383" t="s">
        <v>2664</v>
      </c>
      <c r="C22" s="383" t="s">
        <v>1140</v>
      </c>
      <c r="D22" s="384">
        <v>2015</v>
      </c>
      <c r="E22" s="384">
        <v>0</v>
      </c>
      <c r="F22" s="384">
        <v>0</v>
      </c>
      <c r="G22" s="384">
        <v>0</v>
      </c>
      <c r="H22" s="384">
        <v>35.159999999999997</v>
      </c>
      <c r="I22" s="384">
        <v>35.159999999999997</v>
      </c>
      <c r="J22" s="384">
        <v>34.39</v>
      </c>
      <c r="K22" s="384">
        <v>34.18</v>
      </c>
      <c r="L22" s="384">
        <v>34.08</v>
      </c>
      <c r="M22" s="384">
        <v>34.08</v>
      </c>
      <c r="N22" s="384">
        <v>34.08</v>
      </c>
      <c r="O22" s="384">
        <v>34.08</v>
      </c>
      <c r="P22" s="384">
        <v>22</v>
      </c>
      <c r="Q22" s="383" t="s">
        <v>2680</v>
      </c>
      <c r="R22" s="383">
        <v>2.13</v>
      </c>
      <c r="S22" s="383">
        <v>2.4900000000000002</v>
      </c>
      <c r="T22" s="383">
        <v>0.57999999999999996</v>
      </c>
      <c r="U22" s="383">
        <v>0.57999999999999996</v>
      </c>
      <c r="V22" s="383">
        <v>0.57999999999999996</v>
      </c>
      <c r="W22" s="383">
        <v>0.56999999999999995</v>
      </c>
      <c r="X22" s="383">
        <v>0.57999999999999996</v>
      </c>
      <c r="Y22" s="383">
        <v>0.56999999999999995</v>
      </c>
      <c r="Z22" s="383"/>
      <c r="AA22" s="383"/>
      <c r="AB22" s="383"/>
      <c r="AC22" s="383"/>
    </row>
    <row r="23" spans="1:29" x14ac:dyDescent="0.2">
      <c r="A23" s="383" t="s">
        <v>2637</v>
      </c>
      <c r="B23" s="383" t="s">
        <v>477</v>
      </c>
      <c r="C23" s="383" t="s">
        <v>1157</v>
      </c>
      <c r="D23" s="384">
        <v>2005</v>
      </c>
      <c r="E23" s="384">
        <v>26</v>
      </c>
      <c r="F23" s="384">
        <v>28.43</v>
      </c>
      <c r="G23" s="384">
        <v>28.25</v>
      </c>
      <c r="H23" s="384">
        <v>28.48</v>
      </c>
      <c r="I23" s="384">
        <v>29.25</v>
      </c>
      <c r="J23" s="384">
        <v>29.27</v>
      </c>
      <c r="K23" s="384">
        <v>29.28</v>
      </c>
      <c r="L23" s="384">
        <v>29.29</v>
      </c>
      <c r="M23" s="384">
        <v>29.29</v>
      </c>
      <c r="N23" s="384">
        <v>29.29</v>
      </c>
      <c r="O23" s="384">
        <v>29.29</v>
      </c>
      <c r="P23" s="384">
        <v>23</v>
      </c>
      <c r="Q23" s="383" t="s">
        <v>2681</v>
      </c>
      <c r="R23" s="383">
        <v>39.11</v>
      </c>
      <c r="S23" s="383">
        <v>40.520000000000003</v>
      </c>
      <c r="T23" s="383">
        <v>41.28</v>
      </c>
      <c r="U23" s="383">
        <v>40.130000000000003</v>
      </c>
      <c r="V23" s="383">
        <v>40.1</v>
      </c>
      <c r="W23" s="383">
        <v>39.950000000000003</v>
      </c>
      <c r="X23" s="383">
        <v>39.97</v>
      </c>
      <c r="Y23" s="383">
        <v>39.770000000000003</v>
      </c>
      <c r="Z23" s="383"/>
      <c r="AA23" s="383"/>
      <c r="AB23" s="383"/>
      <c r="AC23" s="383"/>
    </row>
    <row r="24" spans="1:29" x14ac:dyDescent="0.2">
      <c r="A24" s="383" t="s">
        <v>2637</v>
      </c>
      <c r="B24" s="383" t="s">
        <v>2682</v>
      </c>
      <c r="C24" s="375" t="s">
        <v>798</v>
      </c>
      <c r="D24" s="384">
        <v>1995</v>
      </c>
      <c r="E24" s="384">
        <v>0</v>
      </c>
      <c r="F24" s="384">
        <v>0</v>
      </c>
      <c r="G24" s="384">
        <v>0</v>
      </c>
      <c r="H24" s="384">
        <v>0</v>
      </c>
      <c r="I24" s="384">
        <v>0</v>
      </c>
      <c r="J24" s="384">
        <v>0</v>
      </c>
      <c r="K24" s="384">
        <v>0</v>
      </c>
      <c r="L24" s="384">
        <v>0</v>
      </c>
      <c r="M24" s="384">
        <v>0</v>
      </c>
      <c r="N24" s="384">
        <v>0</v>
      </c>
      <c r="O24" s="384">
        <v>0</v>
      </c>
      <c r="P24" s="384">
        <v>24</v>
      </c>
      <c r="Q24" s="383" t="s">
        <v>2683</v>
      </c>
      <c r="R24" s="383">
        <v>16.13</v>
      </c>
      <c r="S24" s="383">
        <v>17.149999999999999</v>
      </c>
      <c r="T24" s="383">
        <v>10.54</v>
      </c>
      <c r="U24" s="383">
        <v>9.6999999999999993</v>
      </c>
      <c r="V24" s="383">
        <v>9.7899999999999991</v>
      </c>
      <c r="W24" s="383">
        <v>9.93</v>
      </c>
      <c r="X24" s="383">
        <v>9.94</v>
      </c>
      <c r="Y24" s="383">
        <v>9.85</v>
      </c>
      <c r="Z24" s="383"/>
      <c r="AA24" s="383"/>
      <c r="AB24" s="383"/>
      <c r="AC24" s="383"/>
    </row>
    <row r="25" spans="1:29" x14ac:dyDescent="0.2">
      <c r="A25" s="383" t="s">
        <v>2637</v>
      </c>
      <c r="B25" s="383" t="s">
        <v>2684</v>
      </c>
      <c r="C25" s="383" t="s">
        <v>767</v>
      </c>
      <c r="D25" s="384">
        <v>1995</v>
      </c>
      <c r="E25" s="384">
        <v>0</v>
      </c>
      <c r="F25" s="384">
        <v>0</v>
      </c>
      <c r="G25" s="384">
        <v>0</v>
      </c>
      <c r="H25" s="384">
        <v>0</v>
      </c>
      <c r="I25" s="384">
        <v>0</v>
      </c>
      <c r="J25" s="384">
        <v>0</v>
      </c>
      <c r="K25" s="384">
        <v>0</v>
      </c>
      <c r="L25" s="384">
        <v>0</v>
      </c>
      <c r="M25" s="384">
        <v>0</v>
      </c>
      <c r="N25" s="384">
        <v>0</v>
      </c>
      <c r="O25" s="384">
        <v>0</v>
      </c>
      <c r="P25" s="384">
        <v>25</v>
      </c>
      <c r="Q25" s="383" t="s">
        <v>2685</v>
      </c>
      <c r="R25" s="383">
        <v>6.92</v>
      </c>
      <c r="S25" s="383">
        <v>4.93</v>
      </c>
      <c r="T25" s="383">
        <v>4.46</v>
      </c>
      <c r="U25" s="383">
        <v>4.21</v>
      </c>
      <c r="V25" s="383">
        <v>4.1900000000000004</v>
      </c>
      <c r="W25" s="383">
        <v>4.2699999999999996</v>
      </c>
      <c r="X25" s="383">
        <v>4.2699999999999996</v>
      </c>
      <c r="Y25" s="383">
        <v>4.24</v>
      </c>
      <c r="Z25" s="383"/>
      <c r="AA25" s="383"/>
      <c r="AB25" s="383"/>
      <c r="AC25" s="383"/>
    </row>
    <row r="26" spans="1:29" x14ac:dyDescent="0.2">
      <c r="A26" s="383" t="s">
        <v>2637</v>
      </c>
      <c r="B26" s="383" t="s">
        <v>2686</v>
      </c>
      <c r="C26" s="375" t="s">
        <v>806</v>
      </c>
      <c r="D26" s="384">
        <v>1995</v>
      </c>
      <c r="E26" s="384">
        <v>0</v>
      </c>
      <c r="F26" s="384">
        <v>0</v>
      </c>
      <c r="G26" s="384">
        <v>0</v>
      </c>
      <c r="H26" s="384">
        <v>0</v>
      </c>
      <c r="I26" s="384">
        <v>0</v>
      </c>
      <c r="J26" s="384">
        <v>0</v>
      </c>
      <c r="K26" s="384">
        <v>0</v>
      </c>
      <c r="L26" s="384">
        <v>0</v>
      </c>
      <c r="M26" s="384">
        <v>0</v>
      </c>
      <c r="N26" s="384">
        <v>0</v>
      </c>
      <c r="O26" s="384">
        <v>0</v>
      </c>
      <c r="P26" s="384">
        <v>26</v>
      </c>
      <c r="Q26" s="383" t="s">
        <v>2687</v>
      </c>
      <c r="R26" s="383">
        <v>20.16</v>
      </c>
      <c r="S26" s="383">
        <v>21.21</v>
      </c>
      <c r="T26" s="383">
        <v>22.88</v>
      </c>
      <c r="U26" s="383">
        <v>23.02</v>
      </c>
      <c r="V26" s="383">
        <v>22.79</v>
      </c>
      <c r="W26" s="383">
        <v>23.06</v>
      </c>
      <c r="X26" s="383">
        <v>23.07</v>
      </c>
      <c r="Y26" s="383">
        <v>23.09</v>
      </c>
      <c r="Z26" s="383"/>
      <c r="AA26" s="384"/>
      <c r="AB26" s="383"/>
      <c r="AC26" s="388"/>
    </row>
    <row r="27" spans="1:29" x14ac:dyDescent="0.2">
      <c r="A27" s="383" t="s">
        <v>2637</v>
      </c>
      <c r="B27" s="383" t="s">
        <v>2688</v>
      </c>
      <c r="C27" s="375" t="s">
        <v>793</v>
      </c>
      <c r="D27" s="384">
        <v>1995</v>
      </c>
      <c r="E27" s="384">
        <v>0</v>
      </c>
      <c r="F27" s="384">
        <v>0</v>
      </c>
      <c r="G27" s="384">
        <v>0</v>
      </c>
      <c r="H27" s="384">
        <v>0</v>
      </c>
      <c r="I27" s="384">
        <v>0</v>
      </c>
      <c r="J27" s="384">
        <v>0</v>
      </c>
      <c r="K27" s="384">
        <v>0</v>
      </c>
      <c r="L27" s="384">
        <v>0</v>
      </c>
      <c r="M27" s="384">
        <v>0</v>
      </c>
      <c r="N27" s="384">
        <v>0</v>
      </c>
      <c r="O27" s="384">
        <v>0</v>
      </c>
      <c r="P27" s="384">
        <v>27</v>
      </c>
      <c r="Q27" s="383" t="s">
        <v>2689</v>
      </c>
      <c r="R27" s="383">
        <v>7.72</v>
      </c>
      <c r="S27" s="383">
        <v>1.64</v>
      </c>
      <c r="T27" s="383">
        <v>0.93</v>
      </c>
      <c r="U27" s="383">
        <v>0.98</v>
      </c>
      <c r="V27" s="383">
        <v>0.96</v>
      </c>
      <c r="W27" s="383">
        <v>0.99</v>
      </c>
      <c r="X27" s="383">
        <v>0.99</v>
      </c>
      <c r="Y27" s="383">
        <v>1</v>
      </c>
      <c r="Z27" s="383"/>
      <c r="AA27" s="384"/>
      <c r="AB27" s="383"/>
      <c r="AC27" s="388"/>
    </row>
    <row r="28" spans="1:29" x14ac:dyDescent="0.2">
      <c r="A28" s="383" t="s">
        <v>2637</v>
      </c>
      <c r="B28" s="383" t="s">
        <v>2665</v>
      </c>
      <c r="C28" s="383" t="s">
        <v>769</v>
      </c>
      <c r="D28" s="384">
        <v>1995</v>
      </c>
      <c r="E28" s="384">
        <v>0</v>
      </c>
      <c r="F28" s="384">
        <v>0</v>
      </c>
      <c r="G28" s="384">
        <v>0</v>
      </c>
      <c r="H28" s="384">
        <v>0</v>
      </c>
      <c r="I28" s="384">
        <v>0</v>
      </c>
      <c r="J28" s="384">
        <v>0</v>
      </c>
      <c r="K28" s="384">
        <v>0</v>
      </c>
      <c r="L28" s="384">
        <v>0</v>
      </c>
      <c r="M28" s="384">
        <v>0</v>
      </c>
      <c r="N28" s="384">
        <v>0</v>
      </c>
      <c r="O28" s="384">
        <v>0</v>
      </c>
      <c r="P28" s="384">
        <v>28</v>
      </c>
      <c r="Q28" s="383" t="s">
        <v>2690</v>
      </c>
      <c r="R28" s="383">
        <v>9.34</v>
      </c>
      <c r="S28" s="383">
        <v>9.6</v>
      </c>
      <c r="T28" s="383">
        <v>8.64</v>
      </c>
      <c r="U28" s="383">
        <v>8.67</v>
      </c>
      <c r="V28" s="383">
        <v>8.57</v>
      </c>
      <c r="W28" s="383">
        <v>8.7100000000000009</v>
      </c>
      <c r="X28" s="383">
        <v>8.7100000000000009</v>
      </c>
      <c r="Y28" s="383">
        <v>8.7200000000000006</v>
      </c>
      <c r="Z28" s="383"/>
      <c r="AA28" s="384"/>
      <c r="AB28" s="383"/>
      <c r="AC28" s="388"/>
    </row>
    <row r="29" spans="1:29" x14ac:dyDescent="0.2">
      <c r="A29" s="383" t="s">
        <v>2637</v>
      </c>
      <c r="B29" s="383" t="s">
        <v>2691</v>
      </c>
      <c r="C29" s="375" t="s">
        <v>803</v>
      </c>
      <c r="D29" s="384">
        <v>1995</v>
      </c>
      <c r="E29" s="384">
        <v>0</v>
      </c>
      <c r="F29" s="384">
        <v>0</v>
      </c>
      <c r="G29" s="384">
        <v>0</v>
      </c>
      <c r="H29" s="384">
        <v>0</v>
      </c>
      <c r="I29" s="384">
        <v>0</v>
      </c>
      <c r="J29" s="384">
        <v>0</v>
      </c>
      <c r="K29" s="384">
        <v>0</v>
      </c>
      <c r="L29" s="384">
        <v>0</v>
      </c>
      <c r="M29" s="384">
        <v>0</v>
      </c>
      <c r="N29" s="384">
        <v>0</v>
      </c>
      <c r="O29" s="384">
        <v>0</v>
      </c>
      <c r="P29" s="384">
        <v>29</v>
      </c>
      <c r="Q29" s="383" t="s">
        <v>2692</v>
      </c>
      <c r="R29" s="383">
        <v>27.21</v>
      </c>
      <c r="S29" s="383">
        <v>34.340000000000003</v>
      </c>
      <c r="T29" s="383">
        <v>39.83</v>
      </c>
      <c r="U29" s="383">
        <v>39.74</v>
      </c>
      <c r="V29" s="383">
        <v>39.97</v>
      </c>
      <c r="W29" s="383">
        <v>39.64</v>
      </c>
      <c r="X29" s="383">
        <v>39.64</v>
      </c>
      <c r="Y29" s="383">
        <v>39.619999999999997</v>
      </c>
      <c r="Z29" s="383"/>
      <c r="AA29" s="384"/>
      <c r="AB29" s="383"/>
      <c r="AC29" s="388"/>
    </row>
    <row r="30" spans="1:29" x14ac:dyDescent="0.2">
      <c r="A30" s="383" t="s">
        <v>2637</v>
      </c>
      <c r="B30" s="383" t="s">
        <v>2693</v>
      </c>
      <c r="C30" s="375" t="s">
        <v>789</v>
      </c>
      <c r="D30" s="384">
        <v>1995</v>
      </c>
      <c r="E30" s="384">
        <v>0</v>
      </c>
      <c r="F30" s="384">
        <v>0</v>
      </c>
      <c r="G30" s="384">
        <v>0</v>
      </c>
      <c r="H30" s="384">
        <v>0</v>
      </c>
      <c r="I30" s="384">
        <v>0</v>
      </c>
      <c r="J30" s="384">
        <v>0</v>
      </c>
      <c r="K30" s="384">
        <v>0</v>
      </c>
      <c r="L30" s="384">
        <v>0</v>
      </c>
      <c r="M30" s="384">
        <v>0</v>
      </c>
      <c r="N30" s="384">
        <v>0</v>
      </c>
      <c r="O30" s="384">
        <v>0</v>
      </c>
      <c r="P30" s="384">
        <v>30</v>
      </c>
      <c r="Q30" s="383" t="s">
        <v>2694</v>
      </c>
      <c r="R30" s="383">
        <v>28.66</v>
      </c>
      <c r="S30" s="383">
        <v>28.27</v>
      </c>
      <c r="T30" s="383">
        <v>23.26</v>
      </c>
      <c r="U30" s="383">
        <v>23.38</v>
      </c>
      <c r="V30" s="383">
        <v>23.53</v>
      </c>
      <c r="W30" s="383">
        <v>23.32</v>
      </c>
      <c r="X30" s="383">
        <v>23.32</v>
      </c>
      <c r="Y30" s="383">
        <v>23.33</v>
      </c>
      <c r="Z30" s="383"/>
      <c r="AA30" s="384"/>
      <c r="AB30" s="383"/>
      <c r="AC30" s="388"/>
    </row>
    <row r="31" spans="1:29" x14ac:dyDescent="0.2">
      <c r="A31" s="383" t="s">
        <v>2637</v>
      </c>
      <c r="B31" s="383" t="s">
        <v>2695</v>
      </c>
      <c r="C31" s="383" t="s">
        <v>1180</v>
      </c>
      <c r="D31" s="384">
        <v>2005</v>
      </c>
      <c r="E31" s="384">
        <v>0</v>
      </c>
      <c r="F31" s="384">
        <v>0</v>
      </c>
      <c r="G31" s="384">
        <v>39.799999999999997</v>
      </c>
      <c r="H31" s="384">
        <v>37.4</v>
      </c>
      <c r="I31" s="384">
        <v>35.9</v>
      </c>
      <c r="J31" s="384">
        <v>34.700000000000003</v>
      </c>
      <c r="K31" s="384">
        <v>34</v>
      </c>
      <c r="L31" s="384">
        <v>34</v>
      </c>
      <c r="M31" s="384">
        <v>34</v>
      </c>
      <c r="N31" s="384">
        <v>34</v>
      </c>
      <c r="O31" s="384">
        <v>34</v>
      </c>
      <c r="P31" s="384"/>
      <c r="Q31" s="383"/>
      <c r="R31" s="383"/>
      <c r="S31" s="383"/>
      <c r="T31" s="383"/>
      <c r="U31" s="383"/>
      <c r="V31" s="383"/>
      <c r="W31" s="383"/>
      <c r="X31" s="383"/>
      <c r="Y31" s="383"/>
      <c r="Z31" s="383"/>
      <c r="AA31" s="383"/>
      <c r="AB31" s="383"/>
      <c r="AC31" s="383"/>
    </row>
    <row r="32" spans="1:29" x14ac:dyDescent="0.2">
      <c r="A32" s="383" t="s">
        <v>2637</v>
      </c>
      <c r="B32" s="383" t="s">
        <v>2666</v>
      </c>
      <c r="C32" s="383" t="s">
        <v>1199</v>
      </c>
      <c r="D32" s="384">
        <v>2005</v>
      </c>
      <c r="E32" s="384">
        <v>26.7</v>
      </c>
      <c r="F32" s="384">
        <v>26.42</v>
      </c>
      <c r="G32" s="384">
        <v>26.17</v>
      </c>
      <c r="H32" s="384">
        <v>27.03</v>
      </c>
      <c r="I32" s="384">
        <v>28.56</v>
      </c>
      <c r="J32" s="384">
        <v>28.61</v>
      </c>
      <c r="K32" s="384">
        <v>28.62</v>
      </c>
      <c r="L32" s="384">
        <v>28.63</v>
      </c>
      <c r="M32" s="384">
        <v>28.63</v>
      </c>
      <c r="N32" s="384">
        <v>28.63</v>
      </c>
      <c r="O32" s="384">
        <v>28.63</v>
      </c>
      <c r="P32" s="384"/>
      <c r="Q32" s="383"/>
      <c r="R32" s="383"/>
      <c r="S32" s="383"/>
      <c r="T32" s="383"/>
      <c r="U32" s="383"/>
      <c r="V32" s="383"/>
      <c r="W32" s="383"/>
      <c r="X32" s="383"/>
      <c r="Y32" s="383"/>
      <c r="Z32" s="383"/>
      <c r="AA32" s="383"/>
      <c r="AB32" s="383"/>
      <c r="AC32" s="383"/>
    </row>
    <row r="33" spans="1:29" x14ac:dyDescent="0.2">
      <c r="A33" s="383" t="s">
        <v>2637</v>
      </c>
      <c r="B33" s="383" t="s">
        <v>2696</v>
      </c>
      <c r="C33" s="383" t="s">
        <v>1218</v>
      </c>
      <c r="D33" s="384">
        <v>2010</v>
      </c>
      <c r="E33" s="384">
        <v>0</v>
      </c>
      <c r="F33" s="384">
        <v>0</v>
      </c>
      <c r="G33" s="384">
        <v>0</v>
      </c>
      <c r="H33" s="384">
        <v>0</v>
      </c>
      <c r="I33" s="384">
        <v>0</v>
      </c>
      <c r="J33" s="384">
        <v>0</v>
      </c>
      <c r="K33" s="384">
        <v>0</v>
      </c>
      <c r="L33" s="384">
        <v>0</v>
      </c>
      <c r="M33" s="384">
        <v>0</v>
      </c>
      <c r="N33" s="384">
        <v>0</v>
      </c>
      <c r="O33" s="384">
        <v>0</v>
      </c>
      <c r="P33" s="384"/>
      <c r="Q33" s="388" t="s">
        <v>2697</v>
      </c>
      <c r="R33" s="383" t="s">
        <v>2698</v>
      </c>
      <c r="S33" s="383"/>
      <c r="T33" s="383"/>
      <c r="U33" s="383"/>
      <c r="V33" s="383"/>
      <c r="W33" s="383"/>
      <c r="X33" s="383"/>
      <c r="Y33" s="383"/>
      <c r="Z33" s="383"/>
      <c r="AA33" s="383"/>
      <c r="AB33" s="383"/>
      <c r="AC33" s="383"/>
    </row>
    <row r="34" spans="1:29" x14ac:dyDescent="0.2">
      <c r="A34" s="383" t="s">
        <v>2637</v>
      </c>
      <c r="B34" s="383" t="s">
        <v>2667</v>
      </c>
      <c r="C34" s="383" t="s">
        <v>1237</v>
      </c>
      <c r="D34" s="384">
        <v>2015</v>
      </c>
      <c r="E34" s="384">
        <v>0</v>
      </c>
      <c r="F34" s="384">
        <v>0</v>
      </c>
      <c r="G34" s="384">
        <v>0</v>
      </c>
      <c r="H34" s="384">
        <v>67.510000000000005</v>
      </c>
      <c r="I34" s="384">
        <v>59.77</v>
      </c>
      <c r="J34" s="384">
        <v>54.51</v>
      </c>
      <c r="K34" s="384">
        <v>50.36</v>
      </c>
      <c r="L34" s="384">
        <v>47.09</v>
      </c>
      <c r="M34" s="384">
        <v>47.09</v>
      </c>
      <c r="N34" s="384">
        <v>47.09</v>
      </c>
      <c r="O34" s="384">
        <v>47.09</v>
      </c>
      <c r="P34" s="384"/>
      <c r="Q34" s="383" t="s">
        <v>355</v>
      </c>
      <c r="R34" s="391">
        <v>903</v>
      </c>
      <c r="S34" s="383">
        <v>0.90300000000000002</v>
      </c>
      <c r="T34" s="383"/>
      <c r="U34" s="383"/>
      <c r="V34" s="383"/>
      <c r="W34" s="383"/>
      <c r="X34" s="383"/>
      <c r="Y34" s="383"/>
      <c r="Z34" s="383"/>
      <c r="AA34" s="383"/>
      <c r="AB34" s="383"/>
      <c r="AC34" s="383"/>
    </row>
    <row r="35" spans="1:29" x14ac:dyDescent="0.2">
      <c r="A35" s="383" t="s">
        <v>2637</v>
      </c>
      <c r="B35" s="383" t="s">
        <v>2670</v>
      </c>
      <c r="C35" s="383" t="s">
        <v>1071</v>
      </c>
      <c r="D35" s="384">
        <v>2005</v>
      </c>
      <c r="E35" s="384">
        <v>25.66</v>
      </c>
      <c r="F35" s="384">
        <v>26.32</v>
      </c>
      <c r="G35" s="384">
        <v>26.06</v>
      </c>
      <c r="H35" s="384">
        <v>26.92</v>
      </c>
      <c r="I35" s="384">
        <v>28.46</v>
      </c>
      <c r="J35" s="384">
        <v>28.5</v>
      </c>
      <c r="K35" s="384">
        <v>28.52</v>
      </c>
      <c r="L35" s="384">
        <v>28.53</v>
      </c>
      <c r="M35" s="384">
        <v>28.53</v>
      </c>
      <c r="N35" s="384">
        <v>28.53</v>
      </c>
      <c r="O35" s="384">
        <v>28.53</v>
      </c>
      <c r="P35" s="384"/>
      <c r="Q35" s="383" t="s">
        <v>356</v>
      </c>
      <c r="R35" s="391">
        <v>1408</v>
      </c>
      <c r="S35" s="383">
        <v>1.4079999999999999</v>
      </c>
      <c r="T35" s="383"/>
      <c r="U35" s="383"/>
      <c r="V35" s="383"/>
      <c r="W35" s="383"/>
      <c r="X35" s="383"/>
      <c r="Y35" s="383"/>
      <c r="Z35" s="383"/>
      <c r="AA35" s="383"/>
      <c r="AB35" s="383"/>
      <c r="AC35" s="383"/>
    </row>
    <row r="36" spans="1:29" x14ac:dyDescent="0.2">
      <c r="A36" s="383" t="s">
        <v>2637</v>
      </c>
      <c r="B36" s="383" t="s">
        <v>2671</v>
      </c>
      <c r="C36" s="383" t="s">
        <v>1254</v>
      </c>
      <c r="D36" s="384">
        <v>2005</v>
      </c>
      <c r="E36" s="384">
        <v>27.18</v>
      </c>
      <c r="F36" s="384">
        <v>33.58</v>
      </c>
      <c r="G36" s="384">
        <v>31.45</v>
      </c>
      <c r="H36" s="384">
        <v>31.85</v>
      </c>
      <c r="I36" s="384">
        <v>32.28</v>
      </c>
      <c r="J36" s="384">
        <v>31.73</v>
      </c>
      <c r="K36" s="384">
        <v>31.58</v>
      </c>
      <c r="L36" s="384">
        <v>31.54</v>
      </c>
      <c r="M36" s="384">
        <v>31.54</v>
      </c>
      <c r="N36" s="384">
        <v>31.54</v>
      </c>
      <c r="O36" s="384">
        <v>31.54</v>
      </c>
      <c r="P36" s="384"/>
      <c r="Q36" s="383"/>
      <c r="R36" s="383"/>
      <c r="S36" s="383"/>
      <c r="T36" s="383"/>
      <c r="U36" s="383"/>
      <c r="V36" s="383"/>
      <c r="W36" s="383"/>
      <c r="X36" s="383"/>
      <c r="Y36" s="383"/>
      <c r="Z36" s="383"/>
      <c r="AA36" s="383"/>
      <c r="AB36" s="383"/>
      <c r="AC36" s="383"/>
    </row>
    <row r="37" spans="1:29" x14ac:dyDescent="0.2">
      <c r="A37" s="383" t="s">
        <v>2637</v>
      </c>
      <c r="B37" s="383" t="s">
        <v>2674</v>
      </c>
      <c r="C37" s="383" t="s">
        <v>1275</v>
      </c>
      <c r="D37" s="384">
        <v>2005</v>
      </c>
      <c r="E37" s="384">
        <v>30.95</v>
      </c>
      <c r="F37" s="384">
        <v>31.82</v>
      </c>
      <c r="G37" s="384">
        <v>31.73</v>
      </c>
      <c r="H37" s="384">
        <v>32.590000000000003</v>
      </c>
      <c r="I37" s="384">
        <v>34.130000000000003</v>
      </c>
      <c r="J37" s="384">
        <v>34.18</v>
      </c>
      <c r="K37" s="384">
        <v>34.19</v>
      </c>
      <c r="L37" s="384">
        <v>34.21</v>
      </c>
      <c r="M37" s="384">
        <v>34.21</v>
      </c>
      <c r="N37" s="384">
        <v>34.21</v>
      </c>
      <c r="O37" s="384">
        <v>34.21</v>
      </c>
      <c r="P37" s="384"/>
      <c r="Q37" s="383"/>
      <c r="R37" s="383"/>
      <c r="S37" s="383"/>
      <c r="T37" s="383"/>
      <c r="U37" s="383"/>
      <c r="V37" s="383"/>
      <c r="W37" s="383"/>
      <c r="X37" s="383"/>
      <c r="Y37" s="383"/>
      <c r="Z37" s="383"/>
      <c r="AA37" s="383"/>
      <c r="AB37" s="383"/>
      <c r="AC37" s="383"/>
    </row>
    <row r="38" spans="1:29" x14ac:dyDescent="0.2">
      <c r="A38" s="383" t="s">
        <v>2637</v>
      </c>
      <c r="B38" s="383" t="s">
        <v>2675</v>
      </c>
      <c r="C38" s="383" t="s">
        <v>1298</v>
      </c>
      <c r="D38" s="384">
        <v>2010</v>
      </c>
      <c r="E38" s="384">
        <v>0</v>
      </c>
      <c r="F38" s="384">
        <v>31.71</v>
      </c>
      <c r="G38" s="384">
        <v>31.45</v>
      </c>
      <c r="H38" s="384">
        <v>32.31</v>
      </c>
      <c r="I38" s="384">
        <v>33.85</v>
      </c>
      <c r="J38" s="384">
        <v>33.89</v>
      </c>
      <c r="K38" s="384">
        <v>33.909999999999997</v>
      </c>
      <c r="L38" s="384">
        <v>33.92</v>
      </c>
      <c r="M38" s="384">
        <v>33.92</v>
      </c>
      <c r="N38" s="384">
        <v>33.92</v>
      </c>
      <c r="O38" s="384">
        <v>33.92</v>
      </c>
      <c r="P38" s="384"/>
      <c r="Q38" s="383"/>
      <c r="R38" s="383"/>
      <c r="S38" s="383"/>
      <c r="T38" s="383"/>
      <c r="U38" s="383"/>
      <c r="V38" s="383"/>
      <c r="W38" s="383"/>
      <c r="X38" s="383"/>
      <c r="Y38" s="383"/>
      <c r="Z38" s="383"/>
      <c r="AA38" s="383"/>
      <c r="AB38" s="383"/>
      <c r="AC38" s="383"/>
    </row>
    <row r="39" spans="1:29" x14ac:dyDescent="0.2">
      <c r="A39" s="383" t="s">
        <v>2587</v>
      </c>
      <c r="B39" s="383" t="s">
        <v>2661</v>
      </c>
      <c r="C39" s="383" t="s">
        <v>2699</v>
      </c>
      <c r="D39" s="384">
        <v>2005</v>
      </c>
      <c r="E39" s="384">
        <v>36.11</v>
      </c>
      <c r="F39" s="384">
        <v>37.21</v>
      </c>
      <c r="G39" s="384">
        <v>38.97</v>
      </c>
      <c r="H39" s="384">
        <v>40.08</v>
      </c>
      <c r="I39" s="384">
        <v>41.29</v>
      </c>
      <c r="J39" s="384">
        <v>41.39</v>
      </c>
      <c r="K39" s="384">
        <v>41.41</v>
      </c>
      <c r="L39" s="384">
        <v>41.43</v>
      </c>
      <c r="M39" s="384">
        <v>41.43</v>
      </c>
      <c r="N39" s="384">
        <v>41.43</v>
      </c>
      <c r="O39" s="384">
        <v>41.43</v>
      </c>
      <c r="P39" s="384"/>
      <c r="Q39" s="388" t="s">
        <v>2700</v>
      </c>
      <c r="R39" s="383" t="s">
        <v>2698</v>
      </c>
      <c r="S39" s="383"/>
      <c r="T39" s="383"/>
      <c r="U39" s="383"/>
      <c r="V39" s="383"/>
      <c r="W39" s="383"/>
      <c r="X39" s="383"/>
      <c r="Y39" s="383"/>
      <c r="Z39" s="383"/>
      <c r="AA39" s="383"/>
      <c r="AB39" s="383"/>
      <c r="AC39" s="383"/>
    </row>
    <row r="40" spans="1:29" x14ac:dyDescent="0.2">
      <c r="A40" s="383" t="s">
        <v>2587</v>
      </c>
      <c r="B40" s="383" t="s">
        <v>2664</v>
      </c>
      <c r="C40" s="383" t="s">
        <v>1983</v>
      </c>
      <c r="D40" s="384">
        <v>2020</v>
      </c>
      <c r="E40" s="384">
        <v>0</v>
      </c>
      <c r="F40" s="384">
        <v>0</v>
      </c>
      <c r="G40" s="384">
        <v>0</v>
      </c>
      <c r="H40" s="384">
        <v>49.79</v>
      </c>
      <c r="I40" s="384">
        <v>49.41</v>
      </c>
      <c r="J40" s="384">
        <v>48.79</v>
      </c>
      <c r="K40" s="384">
        <v>48.62</v>
      </c>
      <c r="L40" s="384">
        <v>48.58</v>
      </c>
      <c r="M40" s="384">
        <v>48.58</v>
      </c>
      <c r="N40" s="384">
        <v>48.58</v>
      </c>
      <c r="O40" s="384">
        <v>48.58</v>
      </c>
      <c r="P40" s="384"/>
      <c r="Q40" s="383" t="s">
        <v>355</v>
      </c>
      <c r="R40" s="391">
        <v>5390</v>
      </c>
      <c r="S40" s="383">
        <v>5.39</v>
      </c>
      <c r="T40" s="383"/>
      <c r="U40" s="383"/>
      <c r="V40" s="383"/>
      <c r="W40" s="383"/>
      <c r="X40" s="383"/>
      <c r="Y40" s="383"/>
      <c r="Z40" s="383"/>
      <c r="AA40" s="383"/>
      <c r="AB40" s="383"/>
      <c r="AC40" s="383"/>
    </row>
    <row r="41" spans="1:29" x14ac:dyDescent="0.2">
      <c r="A41" s="383" t="s">
        <v>2587</v>
      </c>
      <c r="B41" s="383" t="s">
        <v>477</v>
      </c>
      <c r="C41" s="383" t="s">
        <v>1998</v>
      </c>
      <c r="D41" s="384">
        <v>2005</v>
      </c>
      <c r="E41" s="384">
        <v>36.42</v>
      </c>
      <c r="F41" s="384">
        <v>40.700000000000003</v>
      </c>
      <c r="G41" s="384">
        <v>42.15</v>
      </c>
      <c r="H41" s="384">
        <v>41.97</v>
      </c>
      <c r="I41" s="384">
        <v>42.81</v>
      </c>
      <c r="J41" s="384">
        <v>42.9</v>
      </c>
      <c r="K41" s="384">
        <v>42.93</v>
      </c>
      <c r="L41" s="384">
        <v>42.89</v>
      </c>
      <c r="M41" s="384">
        <v>42.89</v>
      </c>
      <c r="N41" s="384">
        <v>42.89</v>
      </c>
      <c r="O41" s="384">
        <v>42.89</v>
      </c>
      <c r="P41" s="384"/>
      <c r="Q41" s="383" t="s">
        <v>356</v>
      </c>
      <c r="R41" s="391">
        <v>7340</v>
      </c>
      <c r="S41" s="383">
        <v>7.34</v>
      </c>
      <c r="T41" s="383"/>
      <c r="U41" s="383"/>
      <c r="V41" s="383"/>
      <c r="W41" s="383"/>
      <c r="X41" s="383"/>
      <c r="Y41" s="383"/>
      <c r="Z41" s="383"/>
      <c r="AA41" s="383"/>
      <c r="AB41" s="383"/>
      <c r="AC41" s="383"/>
    </row>
    <row r="42" spans="1:29" x14ac:dyDescent="0.2">
      <c r="A42" s="383" t="s">
        <v>2587</v>
      </c>
      <c r="B42" s="383" t="s">
        <v>2665</v>
      </c>
      <c r="C42" s="383" t="s">
        <v>777</v>
      </c>
      <c r="D42" s="384">
        <v>1995</v>
      </c>
      <c r="E42" s="384">
        <v>0</v>
      </c>
      <c r="F42" s="384">
        <v>0</v>
      </c>
      <c r="G42" s="384">
        <v>0</v>
      </c>
      <c r="H42" s="384">
        <v>0</v>
      </c>
      <c r="I42" s="384">
        <v>0</v>
      </c>
      <c r="J42" s="384">
        <v>0</v>
      </c>
      <c r="K42" s="384">
        <v>0</v>
      </c>
      <c r="L42" s="384">
        <v>0</v>
      </c>
      <c r="M42" s="384">
        <v>0</v>
      </c>
      <c r="N42" s="384">
        <v>0</v>
      </c>
      <c r="O42" s="384">
        <v>0</v>
      </c>
      <c r="P42" s="384"/>
      <c r="Q42" s="383"/>
      <c r="R42" s="383"/>
      <c r="S42" s="383"/>
      <c r="T42" s="383"/>
      <c r="U42" s="383"/>
      <c r="V42" s="383"/>
      <c r="W42" s="383"/>
      <c r="X42" s="383"/>
      <c r="Y42" s="383"/>
      <c r="Z42" s="383"/>
      <c r="AA42" s="383"/>
      <c r="AB42" s="383"/>
      <c r="AC42" s="383"/>
    </row>
    <row r="43" spans="1:29" x14ac:dyDescent="0.2">
      <c r="A43" s="383" t="s">
        <v>2587</v>
      </c>
      <c r="B43" s="383" t="s">
        <v>2666</v>
      </c>
      <c r="C43" s="383" t="s">
        <v>2021</v>
      </c>
      <c r="D43" s="384">
        <v>2005</v>
      </c>
      <c r="E43" s="384">
        <v>35.1</v>
      </c>
      <c r="F43" s="384">
        <v>35.9</v>
      </c>
      <c r="G43" s="384">
        <v>37.659999999999997</v>
      </c>
      <c r="H43" s="384">
        <v>38.770000000000003</v>
      </c>
      <c r="I43" s="384">
        <v>39.979999999999997</v>
      </c>
      <c r="J43" s="384">
        <v>40.08</v>
      </c>
      <c r="K43" s="384">
        <v>40.1</v>
      </c>
      <c r="L43" s="384">
        <v>40.119999999999997</v>
      </c>
      <c r="M43" s="384">
        <v>40.119999999999997</v>
      </c>
      <c r="N43" s="384">
        <v>40.119999999999997</v>
      </c>
      <c r="O43" s="384">
        <v>40.119999999999997</v>
      </c>
      <c r="P43" s="384"/>
      <c r="Q43" s="383"/>
      <c r="R43" s="383"/>
      <c r="S43" s="383"/>
      <c r="T43" s="383"/>
      <c r="U43" s="383"/>
      <c r="V43" s="383"/>
      <c r="W43" s="383"/>
      <c r="X43" s="383"/>
      <c r="Y43" s="383"/>
      <c r="Z43" s="383"/>
      <c r="AA43" s="383"/>
      <c r="AB43" s="383"/>
      <c r="AC43" s="383"/>
    </row>
    <row r="44" spans="1:29" x14ac:dyDescent="0.2">
      <c r="A44" s="383" t="s">
        <v>2587</v>
      </c>
      <c r="B44" s="383" t="s">
        <v>2667</v>
      </c>
      <c r="C44" s="383" t="s">
        <v>2044</v>
      </c>
      <c r="D44" s="384">
        <v>2025</v>
      </c>
      <c r="E44" s="384">
        <v>0</v>
      </c>
      <c r="F44" s="384">
        <v>0</v>
      </c>
      <c r="G44" s="384">
        <v>0</v>
      </c>
      <c r="H44" s="384">
        <v>0</v>
      </c>
      <c r="I44" s="384">
        <v>84.27</v>
      </c>
      <c r="J44" s="384">
        <v>76.62</v>
      </c>
      <c r="K44" s="384">
        <v>70.739999999999995</v>
      </c>
      <c r="L44" s="384">
        <v>66.11</v>
      </c>
      <c r="M44" s="384">
        <v>66.11</v>
      </c>
      <c r="N44" s="384">
        <v>66.11</v>
      </c>
      <c r="O44" s="384">
        <v>66.11</v>
      </c>
      <c r="P44" s="384"/>
      <c r="Q44" s="383"/>
      <c r="R44" s="383"/>
      <c r="S44" s="383"/>
      <c r="T44" s="383"/>
      <c r="U44" s="383"/>
      <c r="V44" s="383"/>
      <c r="W44" s="383"/>
      <c r="X44" s="383"/>
      <c r="Y44" s="383"/>
      <c r="Z44" s="383"/>
      <c r="AA44" s="383"/>
      <c r="AB44" s="383"/>
      <c r="AC44" s="383"/>
    </row>
    <row r="45" spans="1:29" x14ac:dyDescent="0.2">
      <c r="A45" s="383" t="s">
        <v>2587</v>
      </c>
      <c r="B45" s="383" t="s">
        <v>2670</v>
      </c>
      <c r="C45" s="383" t="s">
        <v>1960</v>
      </c>
      <c r="D45" s="384">
        <v>2005</v>
      </c>
      <c r="E45" s="384">
        <v>34.71</v>
      </c>
      <c r="F45" s="384">
        <v>35.799999999999997</v>
      </c>
      <c r="G45" s="384">
        <v>37.56</v>
      </c>
      <c r="H45" s="384">
        <v>38.68</v>
      </c>
      <c r="I45" s="384">
        <v>39.880000000000003</v>
      </c>
      <c r="J45" s="384">
        <v>39.979999999999997</v>
      </c>
      <c r="K45" s="384">
        <v>40</v>
      </c>
      <c r="L45" s="384">
        <v>40.020000000000003</v>
      </c>
      <c r="M45" s="384">
        <v>40.020000000000003</v>
      </c>
      <c r="N45" s="384">
        <v>40.020000000000003</v>
      </c>
      <c r="O45" s="384">
        <v>40.020000000000003</v>
      </c>
      <c r="P45" s="384"/>
      <c r="Q45" s="383"/>
      <c r="R45" s="383"/>
      <c r="S45" s="383"/>
      <c r="T45" s="383"/>
      <c r="U45" s="383"/>
      <c r="V45" s="383"/>
      <c r="W45" s="383"/>
      <c r="X45" s="383"/>
      <c r="Y45" s="383"/>
      <c r="Z45" s="383"/>
      <c r="AA45" s="383"/>
      <c r="AB45" s="383"/>
      <c r="AC45" s="383"/>
    </row>
    <row r="46" spans="1:29" x14ac:dyDescent="0.2">
      <c r="A46" s="383" t="s">
        <v>2587</v>
      </c>
      <c r="B46" s="383" t="s">
        <v>2671</v>
      </c>
      <c r="C46" s="383" t="s">
        <v>2057</v>
      </c>
      <c r="D46" s="384">
        <v>2005</v>
      </c>
      <c r="E46" s="384">
        <v>40</v>
      </c>
      <c r="F46" s="384">
        <v>43.9</v>
      </c>
      <c r="G46" s="384">
        <v>44.2</v>
      </c>
      <c r="H46" s="384">
        <v>44.56</v>
      </c>
      <c r="I46" s="384">
        <v>44.8</v>
      </c>
      <c r="J46" s="384">
        <v>44.19</v>
      </c>
      <c r="K46" s="384">
        <v>44.02</v>
      </c>
      <c r="L46" s="384">
        <v>43.98</v>
      </c>
      <c r="M46" s="384">
        <v>43.98</v>
      </c>
      <c r="N46" s="384">
        <v>43.98</v>
      </c>
      <c r="O46" s="384">
        <v>43.98</v>
      </c>
      <c r="P46" s="384"/>
      <c r="Q46" s="383"/>
      <c r="R46" s="383"/>
      <c r="S46" s="383"/>
      <c r="T46" s="383"/>
      <c r="U46" s="383"/>
      <c r="V46" s="383"/>
      <c r="W46" s="383"/>
      <c r="X46" s="383"/>
      <c r="Y46" s="383"/>
      <c r="Z46" s="383"/>
      <c r="AA46" s="383"/>
      <c r="AB46" s="383"/>
      <c r="AC46" s="383"/>
    </row>
    <row r="47" spans="1:29" x14ac:dyDescent="0.2">
      <c r="A47" s="383" t="s">
        <v>2587</v>
      </c>
      <c r="B47" s="383" t="s">
        <v>2675</v>
      </c>
      <c r="C47" s="383" t="s">
        <v>2080</v>
      </c>
      <c r="D47" s="384">
        <v>2010</v>
      </c>
      <c r="E47" s="384">
        <v>0</v>
      </c>
      <c r="F47" s="384">
        <v>43.14</v>
      </c>
      <c r="G47" s="384">
        <v>44.9</v>
      </c>
      <c r="H47" s="384">
        <v>46.02</v>
      </c>
      <c r="I47" s="384">
        <v>47.22</v>
      </c>
      <c r="J47" s="384">
        <v>47.32</v>
      </c>
      <c r="K47" s="384">
        <v>47.34</v>
      </c>
      <c r="L47" s="384">
        <v>47.36</v>
      </c>
      <c r="M47" s="384">
        <v>47.36</v>
      </c>
      <c r="N47" s="384">
        <v>47.36</v>
      </c>
      <c r="O47" s="384">
        <v>47.36</v>
      </c>
      <c r="P47" s="384"/>
      <c r="Q47" s="383"/>
      <c r="R47" s="383"/>
      <c r="S47" s="383"/>
      <c r="T47" s="383"/>
      <c r="U47" s="383"/>
      <c r="V47" s="383"/>
      <c r="W47" s="383"/>
      <c r="X47" s="383"/>
      <c r="Y47" s="383"/>
      <c r="Z47" s="383"/>
      <c r="AA47" s="383"/>
      <c r="AB47" s="383"/>
      <c r="AC47" s="383"/>
    </row>
    <row r="48" spans="1:29" x14ac:dyDescent="0.2">
      <c r="A48" s="383" t="s">
        <v>478</v>
      </c>
      <c r="B48" s="383" t="s">
        <v>2661</v>
      </c>
      <c r="C48" s="383" t="s">
        <v>2701</v>
      </c>
      <c r="D48" s="384">
        <v>2005</v>
      </c>
      <c r="E48" s="384">
        <v>26.3</v>
      </c>
      <c r="F48" s="384">
        <v>26.83</v>
      </c>
      <c r="G48" s="384">
        <v>28.99</v>
      </c>
      <c r="H48" s="384">
        <v>29.84</v>
      </c>
      <c r="I48" s="384">
        <v>30.93</v>
      </c>
      <c r="J48" s="384">
        <v>30.97</v>
      </c>
      <c r="K48" s="384">
        <v>31</v>
      </c>
      <c r="L48" s="384">
        <v>31.02</v>
      </c>
      <c r="M48" s="384">
        <v>31.02</v>
      </c>
      <c r="N48" s="384">
        <v>31.02</v>
      </c>
      <c r="O48" s="384">
        <v>31.02</v>
      </c>
      <c r="P48" s="384"/>
      <c r="Q48" s="383"/>
      <c r="R48" s="383"/>
      <c r="S48" s="383"/>
      <c r="T48" s="383"/>
      <c r="U48" s="383"/>
      <c r="V48" s="383"/>
      <c r="W48" s="383"/>
      <c r="X48" s="383"/>
      <c r="Y48" s="383"/>
      <c r="Z48" s="383"/>
      <c r="AA48" s="383"/>
      <c r="AB48" s="383"/>
      <c r="AC48" s="383"/>
    </row>
    <row r="49" spans="1:29" x14ac:dyDescent="0.2">
      <c r="A49" s="383" t="s">
        <v>478</v>
      </c>
      <c r="B49" s="383" t="s">
        <v>334</v>
      </c>
      <c r="C49" s="383" t="s">
        <v>1340</v>
      </c>
      <c r="D49" s="384">
        <v>2005</v>
      </c>
      <c r="E49" s="384">
        <v>32.229999999999997</v>
      </c>
      <c r="F49" s="384">
        <v>33.700000000000003</v>
      </c>
      <c r="G49" s="384">
        <v>36.380000000000003</v>
      </c>
      <c r="H49" s="384">
        <v>37.21</v>
      </c>
      <c r="I49" s="384">
        <v>38.229999999999997</v>
      </c>
      <c r="J49" s="384">
        <v>38.28</v>
      </c>
      <c r="K49" s="384">
        <v>38.299999999999997</v>
      </c>
      <c r="L49" s="384">
        <v>38.33</v>
      </c>
      <c r="M49" s="384">
        <v>38.33</v>
      </c>
      <c r="N49" s="384">
        <v>38.33</v>
      </c>
      <c r="O49" s="384">
        <v>38.33</v>
      </c>
      <c r="P49" s="384"/>
      <c r="Q49" s="383"/>
      <c r="R49" s="383"/>
      <c r="S49" s="383"/>
      <c r="T49" s="383"/>
      <c r="U49" s="383"/>
      <c r="V49" s="383"/>
      <c r="W49" s="383"/>
      <c r="X49" s="383"/>
      <c r="Y49" s="383"/>
      <c r="Z49" s="383"/>
      <c r="AA49" s="383"/>
      <c r="AB49" s="383"/>
      <c r="AC49" s="383"/>
    </row>
    <row r="50" spans="1:29" x14ac:dyDescent="0.2">
      <c r="A50" s="383" t="s">
        <v>478</v>
      </c>
      <c r="B50" s="383" t="s">
        <v>2663</v>
      </c>
      <c r="C50" s="383" t="s">
        <v>1363</v>
      </c>
      <c r="D50" s="384">
        <v>2005</v>
      </c>
      <c r="E50" s="384">
        <v>31.16</v>
      </c>
      <c r="F50" s="384">
        <v>32.799999999999997</v>
      </c>
      <c r="G50" s="384">
        <v>35.44</v>
      </c>
      <c r="H50" s="384">
        <v>36.32</v>
      </c>
      <c r="I50" s="384">
        <v>37.36</v>
      </c>
      <c r="J50" s="384">
        <v>37.409999999999997</v>
      </c>
      <c r="K50" s="384">
        <v>37.44</v>
      </c>
      <c r="L50" s="384">
        <v>37.46</v>
      </c>
      <c r="M50" s="384">
        <v>37.46</v>
      </c>
      <c r="N50" s="384">
        <v>37.46</v>
      </c>
      <c r="O50" s="384">
        <v>37.46</v>
      </c>
      <c r="P50" s="384"/>
      <c r="Q50" s="383"/>
      <c r="R50" s="383"/>
      <c r="S50" s="383"/>
      <c r="T50" s="383"/>
      <c r="U50" s="383"/>
      <c r="V50" s="383"/>
      <c r="W50" s="383"/>
      <c r="X50" s="383"/>
      <c r="Y50" s="383"/>
      <c r="Z50" s="383"/>
      <c r="AA50" s="383"/>
      <c r="AB50" s="383"/>
      <c r="AC50" s="383"/>
    </row>
    <row r="51" spans="1:29" x14ac:dyDescent="0.2">
      <c r="A51" s="383" t="s">
        <v>478</v>
      </c>
      <c r="B51" s="383" t="s">
        <v>2664</v>
      </c>
      <c r="C51" s="383" t="s">
        <v>1386</v>
      </c>
      <c r="D51" s="384">
        <v>2015</v>
      </c>
      <c r="E51" s="384">
        <v>0</v>
      </c>
      <c r="F51" s="384">
        <v>0</v>
      </c>
      <c r="G51" s="384">
        <v>0</v>
      </c>
      <c r="H51" s="384">
        <v>0</v>
      </c>
      <c r="I51" s="384">
        <v>36.61</v>
      </c>
      <c r="J51" s="384">
        <v>36.07</v>
      </c>
      <c r="K51" s="384">
        <v>35.94</v>
      </c>
      <c r="L51" s="384">
        <v>35.909999999999997</v>
      </c>
      <c r="M51" s="384">
        <v>35.909999999999997</v>
      </c>
      <c r="N51" s="384">
        <v>35.909999999999997</v>
      </c>
      <c r="O51" s="384">
        <v>35.909999999999997</v>
      </c>
      <c r="P51" s="384"/>
      <c r="Q51" s="383"/>
      <c r="R51" s="383"/>
      <c r="S51" s="383"/>
      <c r="T51" s="383"/>
      <c r="U51" s="383"/>
      <c r="V51" s="383"/>
      <c r="W51" s="383"/>
      <c r="X51" s="383"/>
      <c r="Y51" s="383"/>
      <c r="Z51" s="383"/>
      <c r="AA51" s="383"/>
      <c r="AB51" s="383"/>
      <c r="AC51" s="383"/>
    </row>
    <row r="52" spans="1:29" x14ac:dyDescent="0.2">
      <c r="A52" s="383" t="s">
        <v>478</v>
      </c>
      <c r="B52" s="383" t="s">
        <v>477</v>
      </c>
      <c r="C52" s="383" t="s">
        <v>1403</v>
      </c>
      <c r="D52" s="384">
        <v>2005</v>
      </c>
      <c r="E52" s="384">
        <v>27.03</v>
      </c>
      <c r="F52" s="384">
        <v>30.73</v>
      </c>
      <c r="G52" s="384">
        <v>33.17</v>
      </c>
      <c r="H52" s="384">
        <v>33.51</v>
      </c>
      <c r="I52" s="384">
        <v>34.19</v>
      </c>
      <c r="J52" s="384">
        <v>34.22</v>
      </c>
      <c r="K52" s="384">
        <v>34.25</v>
      </c>
      <c r="L52" s="384">
        <v>34.270000000000003</v>
      </c>
      <c r="M52" s="384">
        <v>34.270000000000003</v>
      </c>
      <c r="N52" s="384">
        <v>34.270000000000003</v>
      </c>
      <c r="O52" s="384">
        <v>34.270000000000003</v>
      </c>
      <c r="P52" s="384"/>
      <c r="Q52" s="383"/>
      <c r="R52" s="383"/>
      <c r="S52" s="383"/>
      <c r="T52" s="383"/>
      <c r="U52" s="383"/>
      <c r="V52" s="383"/>
      <c r="W52" s="383"/>
      <c r="X52" s="383"/>
      <c r="Y52" s="383"/>
      <c r="Z52" s="383"/>
      <c r="AA52" s="383"/>
      <c r="AB52" s="383"/>
      <c r="AC52" s="383"/>
    </row>
    <row r="53" spans="1:29" x14ac:dyDescent="0.2">
      <c r="A53" s="383" t="s">
        <v>478</v>
      </c>
      <c r="B53" s="383" t="s">
        <v>2665</v>
      </c>
      <c r="C53" s="383" t="s">
        <v>780</v>
      </c>
      <c r="D53" s="384">
        <v>1995</v>
      </c>
      <c r="E53" s="384">
        <v>0</v>
      </c>
      <c r="F53" s="384">
        <v>0</v>
      </c>
      <c r="G53" s="384">
        <v>0</v>
      </c>
      <c r="H53" s="384">
        <v>0</v>
      </c>
      <c r="I53" s="384">
        <v>0</v>
      </c>
      <c r="J53" s="384">
        <v>0</v>
      </c>
      <c r="K53" s="384">
        <v>0</v>
      </c>
      <c r="L53" s="384">
        <v>0</v>
      </c>
      <c r="M53" s="384">
        <v>0</v>
      </c>
      <c r="N53" s="384">
        <v>0</v>
      </c>
      <c r="O53" s="384">
        <v>0</v>
      </c>
      <c r="P53" s="384"/>
      <c r="Q53" s="383"/>
      <c r="R53" s="383"/>
      <c r="S53" s="383"/>
      <c r="T53" s="383"/>
      <c r="U53" s="383"/>
      <c r="V53" s="383"/>
      <c r="W53" s="383"/>
      <c r="X53" s="383"/>
      <c r="Y53" s="383"/>
      <c r="Z53" s="383"/>
      <c r="AA53" s="383"/>
      <c r="AB53" s="383"/>
      <c r="AC53" s="383"/>
    </row>
    <row r="54" spans="1:29" x14ac:dyDescent="0.2">
      <c r="A54" s="383" t="s">
        <v>478</v>
      </c>
      <c r="B54" s="383" t="s">
        <v>2666</v>
      </c>
      <c r="C54" s="383" t="s">
        <v>1426</v>
      </c>
      <c r="D54" s="384">
        <v>2005</v>
      </c>
      <c r="E54" s="384">
        <v>26.88</v>
      </c>
      <c r="F54" s="384">
        <v>25.53</v>
      </c>
      <c r="G54" s="384">
        <v>27.69</v>
      </c>
      <c r="H54" s="384">
        <v>28.53</v>
      </c>
      <c r="I54" s="384">
        <v>29.62</v>
      </c>
      <c r="J54" s="384">
        <v>29.66</v>
      </c>
      <c r="K54" s="384">
        <v>29.69</v>
      </c>
      <c r="L54" s="384">
        <v>29.71</v>
      </c>
      <c r="M54" s="384">
        <v>29.71</v>
      </c>
      <c r="N54" s="384">
        <v>29.71</v>
      </c>
      <c r="O54" s="384">
        <v>29.71</v>
      </c>
      <c r="P54" s="384"/>
      <c r="Q54" s="383"/>
      <c r="R54" s="383"/>
      <c r="S54" s="383"/>
      <c r="T54" s="383"/>
      <c r="U54" s="383"/>
      <c r="V54" s="383"/>
      <c r="W54" s="383"/>
      <c r="X54" s="383"/>
      <c r="Y54" s="383"/>
      <c r="Z54" s="383"/>
      <c r="AA54" s="383"/>
      <c r="AB54" s="383"/>
      <c r="AC54" s="383"/>
    </row>
    <row r="55" spans="1:29" x14ac:dyDescent="0.2">
      <c r="A55" s="383" t="s">
        <v>478</v>
      </c>
      <c r="B55" s="383" t="s">
        <v>2696</v>
      </c>
      <c r="C55" s="383" t="s">
        <v>1447</v>
      </c>
      <c r="D55" s="384">
        <v>2015</v>
      </c>
      <c r="E55" s="384">
        <v>0</v>
      </c>
      <c r="F55" s="384">
        <v>0</v>
      </c>
      <c r="G55" s="384">
        <v>0</v>
      </c>
      <c r="H55" s="384">
        <v>0</v>
      </c>
      <c r="I55" s="384">
        <v>0</v>
      </c>
      <c r="J55" s="384">
        <v>0</v>
      </c>
      <c r="K55" s="384">
        <v>0</v>
      </c>
      <c r="L55" s="384">
        <v>0</v>
      </c>
      <c r="M55" s="384">
        <v>0</v>
      </c>
      <c r="N55" s="384">
        <v>0</v>
      </c>
      <c r="O55" s="384">
        <v>0</v>
      </c>
      <c r="P55" s="384"/>
      <c r="Q55" s="383"/>
      <c r="R55" s="383"/>
      <c r="S55" s="383"/>
      <c r="T55" s="383"/>
      <c r="U55" s="383"/>
      <c r="V55" s="383"/>
      <c r="W55" s="383"/>
      <c r="X55" s="383"/>
      <c r="Y55" s="383"/>
      <c r="Z55" s="383"/>
      <c r="AA55" s="383"/>
      <c r="AB55" s="383"/>
      <c r="AC55" s="383"/>
    </row>
    <row r="56" spans="1:29" x14ac:dyDescent="0.2">
      <c r="A56" s="383" t="s">
        <v>478</v>
      </c>
      <c r="B56" s="383" t="s">
        <v>2667</v>
      </c>
      <c r="C56" s="383" t="s">
        <v>1464</v>
      </c>
      <c r="D56" s="384">
        <v>2015</v>
      </c>
      <c r="E56" s="384">
        <v>0</v>
      </c>
      <c r="F56" s="384">
        <v>0</v>
      </c>
      <c r="G56" s="384">
        <v>89.29</v>
      </c>
      <c r="H56" s="384">
        <v>74.790000000000006</v>
      </c>
      <c r="I56" s="384">
        <v>62.97</v>
      </c>
      <c r="J56" s="384">
        <v>56.81</v>
      </c>
      <c r="K56" s="384">
        <v>51.99</v>
      </c>
      <c r="L56" s="384">
        <v>48.17</v>
      </c>
      <c r="M56" s="384">
        <v>48.17</v>
      </c>
      <c r="N56" s="384">
        <v>48.17</v>
      </c>
      <c r="O56" s="384">
        <v>48.17</v>
      </c>
      <c r="P56" s="384"/>
      <c r="Q56" s="383"/>
      <c r="R56" s="383"/>
      <c r="S56" s="383"/>
      <c r="T56" s="383"/>
      <c r="U56" s="383"/>
      <c r="V56" s="383"/>
      <c r="W56" s="383"/>
      <c r="X56" s="383"/>
      <c r="Y56" s="383"/>
      <c r="Z56" s="383"/>
      <c r="AA56" s="383"/>
      <c r="AB56" s="383"/>
      <c r="AC56" s="383"/>
    </row>
    <row r="57" spans="1:29" x14ac:dyDescent="0.2">
      <c r="A57" s="383" t="s">
        <v>478</v>
      </c>
      <c r="B57" s="383" t="s">
        <v>2670</v>
      </c>
      <c r="C57" s="383" t="s">
        <v>1317</v>
      </c>
      <c r="D57" s="384">
        <v>2005</v>
      </c>
      <c r="E57" s="384">
        <v>24.89</v>
      </c>
      <c r="F57" s="384">
        <v>25.43</v>
      </c>
      <c r="G57" s="384">
        <v>27.58</v>
      </c>
      <c r="H57" s="384">
        <v>28.43</v>
      </c>
      <c r="I57" s="384">
        <v>29.52</v>
      </c>
      <c r="J57" s="384">
        <v>29.57</v>
      </c>
      <c r="K57" s="384">
        <v>29.59</v>
      </c>
      <c r="L57" s="384">
        <v>29.61</v>
      </c>
      <c r="M57" s="384">
        <v>29.61</v>
      </c>
      <c r="N57" s="384">
        <v>29.61</v>
      </c>
      <c r="O57" s="384">
        <v>29.61</v>
      </c>
      <c r="P57" s="384"/>
      <c r="Q57" s="383"/>
      <c r="R57" s="383"/>
      <c r="S57" s="383"/>
      <c r="T57" s="383"/>
      <c r="U57" s="383"/>
      <c r="V57" s="383"/>
      <c r="W57" s="383"/>
      <c r="X57" s="383"/>
      <c r="Y57" s="383"/>
      <c r="Z57" s="383"/>
      <c r="AA57" s="383"/>
      <c r="AB57" s="383"/>
      <c r="AC57" s="383"/>
    </row>
    <row r="58" spans="1:29" x14ac:dyDescent="0.2">
      <c r="A58" s="383" t="s">
        <v>478</v>
      </c>
      <c r="B58" s="383" t="s">
        <v>2671</v>
      </c>
      <c r="C58" s="383" t="s">
        <v>1500</v>
      </c>
      <c r="D58" s="384">
        <v>2010</v>
      </c>
      <c r="E58" s="384">
        <v>0</v>
      </c>
      <c r="F58" s="384">
        <v>0</v>
      </c>
      <c r="G58" s="384">
        <v>0</v>
      </c>
      <c r="H58" s="384">
        <v>33.880000000000003</v>
      </c>
      <c r="I58" s="384">
        <v>33.9</v>
      </c>
      <c r="J58" s="384">
        <v>33.26</v>
      </c>
      <c r="K58" s="384">
        <v>33.119999999999997</v>
      </c>
      <c r="L58" s="384">
        <v>33.1</v>
      </c>
      <c r="M58" s="384">
        <v>33.1</v>
      </c>
      <c r="N58" s="384">
        <v>33.1</v>
      </c>
      <c r="O58" s="384">
        <v>33.1</v>
      </c>
      <c r="P58" s="384"/>
      <c r="Q58" s="383"/>
      <c r="R58" s="383"/>
      <c r="S58" s="383"/>
      <c r="T58" s="383"/>
      <c r="U58" s="383"/>
      <c r="V58" s="383"/>
      <c r="W58" s="383"/>
      <c r="X58" s="383"/>
      <c r="Y58" s="383"/>
      <c r="Z58" s="383"/>
      <c r="AA58" s="383"/>
      <c r="AB58" s="383"/>
      <c r="AC58" s="383"/>
    </row>
    <row r="59" spans="1:29" x14ac:dyDescent="0.2">
      <c r="A59" s="383" t="s">
        <v>478</v>
      </c>
      <c r="B59" s="383" t="s">
        <v>2702</v>
      </c>
      <c r="C59" s="383" t="s">
        <v>1519</v>
      </c>
      <c r="D59" s="384">
        <v>2005</v>
      </c>
      <c r="E59" s="384">
        <v>31.46</v>
      </c>
      <c r="F59" s="384">
        <v>33.9</v>
      </c>
      <c r="G59" s="384">
        <v>36.53</v>
      </c>
      <c r="H59" s="384">
        <v>37.380000000000003</v>
      </c>
      <c r="I59" s="384">
        <v>38.42</v>
      </c>
      <c r="J59" s="384">
        <v>38.47</v>
      </c>
      <c r="K59" s="384">
        <v>38.49</v>
      </c>
      <c r="L59" s="384">
        <v>38.229999999999997</v>
      </c>
      <c r="M59" s="384">
        <v>38.229999999999997</v>
      </c>
      <c r="N59" s="384">
        <v>38.229999999999997</v>
      </c>
      <c r="O59" s="384">
        <v>38.229999999999997</v>
      </c>
      <c r="P59" s="384"/>
      <c r="Q59" s="383"/>
      <c r="R59" s="383"/>
      <c r="S59" s="383"/>
      <c r="T59" s="383"/>
      <c r="U59" s="383"/>
      <c r="V59" s="383"/>
      <c r="W59" s="383"/>
      <c r="X59" s="383"/>
      <c r="Y59" s="383"/>
      <c r="Z59" s="383"/>
      <c r="AA59" s="383"/>
      <c r="AB59" s="383"/>
      <c r="AC59" s="383"/>
    </row>
    <row r="60" spans="1:29" x14ac:dyDescent="0.2">
      <c r="A60" s="383" t="s">
        <v>478</v>
      </c>
      <c r="B60" s="383" t="s">
        <v>2674</v>
      </c>
      <c r="C60" s="383" t="s">
        <v>1542</v>
      </c>
      <c r="D60" s="384">
        <v>2005</v>
      </c>
      <c r="E60" s="384">
        <v>30.24</v>
      </c>
      <c r="F60" s="384">
        <v>31.4</v>
      </c>
      <c r="G60" s="384">
        <v>34.020000000000003</v>
      </c>
      <c r="H60" s="384">
        <v>34.9</v>
      </c>
      <c r="I60" s="384">
        <v>35.94</v>
      </c>
      <c r="J60" s="384">
        <v>35.99</v>
      </c>
      <c r="K60" s="384">
        <v>36.01</v>
      </c>
      <c r="L60" s="384">
        <v>36.03</v>
      </c>
      <c r="M60" s="384">
        <v>36.03</v>
      </c>
      <c r="N60" s="384">
        <v>36.03</v>
      </c>
      <c r="O60" s="384">
        <v>36.03</v>
      </c>
      <c r="P60" s="384"/>
      <c r="Q60" s="383"/>
      <c r="R60" s="383"/>
      <c r="S60" s="383"/>
      <c r="T60" s="383"/>
      <c r="U60" s="383"/>
      <c r="V60" s="383"/>
      <c r="W60" s="383"/>
      <c r="X60" s="383"/>
      <c r="Y60" s="383"/>
      <c r="Z60" s="383"/>
      <c r="AA60" s="383"/>
      <c r="AB60" s="383"/>
      <c r="AC60" s="383"/>
    </row>
    <row r="61" spans="1:29" x14ac:dyDescent="0.2">
      <c r="A61" s="383" t="s">
        <v>478</v>
      </c>
      <c r="B61" s="383" t="s">
        <v>2675</v>
      </c>
      <c r="C61" s="383" t="s">
        <v>1565</v>
      </c>
      <c r="D61" s="384">
        <v>2010</v>
      </c>
      <c r="E61" s="384">
        <v>0</v>
      </c>
      <c r="F61" s="384">
        <v>32.770000000000003</v>
      </c>
      <c r="G61" s="384">
        <v>34.92</v>
      </c>
      <c r="H61" s="384">
        <v>35.770000000000003</v>
      </c>
      <c r="I61" s="384">
        <v>36.86</v>
      </c>
      <c r="J61" s="384">
        <v>36.909999999999997</v>
      </c>
      <c r="K61" s="384">
        <v>36.93</v>
      </c>
      <c r="L61" s="384">
        <v>36.950000000000003</v>
      </c>
      <c r="M61" s="384">
        <v>36.950000000000003</v>
      </c>
      <c r="N61" s="384">
        <v>36.950000000000003</v>
      </c>
      <c r="O61" s="384">
        <v>36.950000000000003</v>
      </c>
      <c r="P61" s="384"/>
      <c r="Q61" s="383"/>
      <c r="R61" s="383"/>
      <c r="S61" s="383"/>
      <c r="T61" s="383"/>
      <c r="U61" s="383"/>
      <c r="V61" s="383"/>
      <c r="W61" s="383"/>
      <c r="X61" s="383"/>
      <c r="Y61" s="383"/>
      <c r="Z61" s="383"/>
      <c r="AA61" s="383"/>
      <c r="AB61" s="383"/>
      <c r="AC61" s="383"/>
    </row>
    <row r="62" spans="1:29" x14ac:dyDescent="0.2">
      <c r="A62" s="383" t="s">
        <v>2647</v>
      </c>
      <c r="B62" s="383" t="s">
        <v>2661</v>
      </c>
      <c r="C62" s="383" t="s">
        <v>2703</v>
      </c>
      <c r="D62" s="384">
        <v>2005</v>
      </c>
      <c r="E62" s="384">
        <v>40</v>
      </c>
      <c r="F62" s="384">
        <v>43.9</v>
      </c>
      <c r="G62" s="384">
        <v>45.99</v>
      </c>
      <c r="H62" s="384">
        <v>46.65</v>
      </c>
      <c r="I62" s="384">
        <v>48.12</v>
      </c>
      <c r="J62" s="384">
        <v>48.14</v>
      </c>
      <c r="K62" s="384">
        <v>48.16</v>
      </c>
      <c r="L62" s="384">
        <v>48.14</v>
      </c>
      <c r="M62" s="384">
        <v>48.14</v>
      </c>
      <c r="N62" s="384">
        <v>48.14</v>
      </c>
      <c r="O62" s="384">
        <v>48.14</v>
      </c>
      <c r="P62" s="384"/>
      <c r="Q62" s="383"/>
      <c r="R62" s="383"/>
      <c r="S62" s="383"/>
      <c r="T62" s="383"/>
      <c r="U62" s="383"/>
      <c r="V62" s="383"/>
      <c r="W62" s="383"/>
      <c r="X62" s="383"/>
      <c r="Y62" s="383"/>
      <c r="Z62" s="383"/>
      <c r="AA62" s="383"/>
      <c r="AB62" s="383"/>
      <c r="AC62" s="383"/>
    </row>
    <row r="63" spans="1:29" x14ac:dyDescent="0.2">
      <c r="A63" s="383" t="s">
        <v>2704</v>
      </c>
      <c r="B63" s="383" t="s">
        <v>2665</v>
      </c>
      <c r="C63" s="383" t="s">
        <v>762</v>
      </c>
      <c r="D63" s="384">
        <v>1995</v>
      </c>
      <c r="E63" s="384">
        <v>0</v>
      </c>
      <c r="F63" s="384">
        <v>0</v>
      </c>
      <c r="G63" s="384">
        <v>0</v>
      </c>
      <c r="H63" s="384">
        <v>0</v>
      </c>
      <c r="I63" s="384">
        <v>0</v>
      </c>
      <c r="J63" s="384">
        <v>0</v>
      </c>
      <c r="K63" s="384">
        <v>0</v>
      </c>
      <c r="L63" s="384">
        <v>0</v>
      </c>
      <c r="M63" s="384">
        <v>0</v>
      </c>
      <c r="N63" s="384">
        <v>0</v>
      </c>
      <c r="O63" s="384">
        <v>0</v>
      </c>
      <c r="P63" s="384"/>
      <c r="Q63" s="383"/>
      <c r="R63" s="383"/>
      <c r="S63" s="383"/>
      <c r="T63" s="383"/>
      <c r="U63" s="383"/>
      <c r="V63" s="383"/>
      <c r="W63" s="383"/>
      <c r="X63" s="383"/>
      <c r="Y63" s="383"/>
      <c r="Z63" s="383"/>
      <c r="AA63" s="383"/>
      <c r="AB63" s="383"/>
      <c r="AC63" s="383"/>
    </row>
    <row r="64" spans="1:29" x14ac:dyDescent="0.2">
      <c r="A64" s="383" t="s">
        <v>2647</v>
      </c>
      <c r="B64" s="383" t="s">
        <v>743</v>
      </c>
      <c r="C64" s="383" t="s">
        <v>1481</v>
      </c>
      <c r="D64" s="384">
        <v>2005</v>
      </c>
      <c r="E64" s="384">
        <v>76.36</v>
      </c>
      <c r="F64" s="384">
        <v>0</v>
      </c>
      <c r="G64" s="384">
        <v>72.97</v>
      </c>
      <c r="H64" s="384">
        <v>71.400000000000006</v>
      </c>
      <c r="I64" s="384">
        <v>68.56</v>
      </c>
      <c r="J64" s="384">
        <v>66.34</v>
      </c>
      <c r="K64" s="384">
        <v>65.760000000000005</v>
      </c>
      <c r="L64" s="384">
        <v>65.63</v>
      </c>
      <c r="M64" s="384">
        <v>65.63</v>
      </c>
      <c r="N64" s="384">
        <v>65.63</v>
      </c>
      <c r="O64" s="384">
        <v>65.63</v>
      </c>
      <c r="P64" s="384"/>
      <c r="Q64" s="383"/>
      <c r="R64" s="383"/>
      <c r="S64" s="383"/>
      <c r="T64" s="383"/>
      <c r="U64" s="383"/>
      <c r="V64" s="383"/>
      <c r="W64" s="383"/>
      <c r="X64" s="383"/>
      <c r="Y64" s="383"/>
      <c r="Z64" s="383"/>
      <c r="AA64" s="383"/>
      <c r="AB64" s="383"/>
      <c r="AC64" s="383"/>
    </row>
    <row r="65" spans="1:29" x14ac:dyDescent="0.2">
      <c r="A65" s="383" t="s">
        <v>2647</v>
      </c>
      <c r="B65" s="383" t="s">
        <v>2670</v>
      </c>
      <c r="C65" s="383" t="s">
        <v>809</v>
      </c>
      <c r="D65" s="384">
        <v>2005</v>
      </c>
      <c r="E65" s="384">
        <v>39.090000000000003</v>
      </c>
      <c r="F65" s="384">
        <v>43</v>
      </c>
      <c r="G65" s="384">
        <v>45.09</v>
      </c>
      <c r="H65" s="384">
        <v>45.75</v>
      </c>
      <c r="I65" s="384">
        <v>47.21</v>
      </c>
      <c r="J65" s="384">
        <v>47.24</v>
      </c>
      <c r="K65" s="384">
        <v>47.25</v>
      </c>
      <c r="L65" s="384">
        <v>47.23</v>
      </c>
      <c r="M65" s="384">
        <v>47.23</v>
      </c>
      <c r="N65" s="384">
        <v>47.23</v>
      </c>
      <c r="O65" s="384">
        <v>47.23</v>
      </c>
      <c r="P65" s="384"/>
      <c r="Q65" s="383"/>
      <c r="R65" s="383"/>
      <c r="S65" s="383"/>
      <c r="T65" s="383"/>
      <c r="U65" s="383"/>
      <c r="V65" s="383"/>
      <c r="W65" s="383"/>
      <c r="X65" s="383"/>
      <c r="Y65" s="383"/>
      <c r="Z65" s="383"/>
      <c r="AA65" s="383"/>
      <c r="AB65" s="383"/>
      <c r="AC65" s="383"/>
    </row>
    <row r="66" spans="1:29" x14ac:dyDescent="0.2">
      <c r="A66" s="383" t="s">
        <v>2647</v>
      </c>
      <c r="B66" s="383" t="s">
        <v>2671</v>
      </c>
      <c r="C66" s="383" t="s">
        <v>836</v>
      </c>
      <c r="D66" s="384">
        <v>2005</v>
      </c>
      <c r="E66" s="384">
        <v>51.35</v>
      </c>
      <c r="F66" s="384">
        <v>51.35</v>
      </c>
      <c r="G66" s="384">
        <v>51.35</v>
      </c>
      <c r="H66" s="384">
        <v>51.35</v>
      </c>
      <c r="I66" s="384">
        <v>51.35</v>
      </c>
      <c r="J66" s="384">
        <v>51.35</v>
      </c>
      <c r="K66" s="384">
        <v>51.35</v>
      </c>
      <c r="L66" s="384">
        <v>51.35</v>
      </c>
      <c r="M66" s="384">
        <v>51.35</v>
      </c>
      <c r="N66" s="384">
        <v>51.35</v>
      </c>
      <c r="O66" s="384">
        <v>51.35</v>
      </c>
      <c r="P66" s="384"/>
      <c r="Q66" s="383"/>
      <c r="R66" s="383"/>
      <c r="S66" s="383"/>
      <c r="T66" s="383"/>
      <c r="U66" s="383"/>
      <c r="V66" s="383"/>
      <c r="W66" s="383"/>
      <c r="X66" s="383"/>
      <c r="Y66" s="383"/>
      <c r="Z66" s="383"/>
      <c r="AA66" s="383"/>
      <c r="AB66" s="383"/>
      <c r="AC66" s="383"/>
    </row>
    <row r="67" spans="1:29" x14ac:dyDescent="0.2">
      <c r="A67" s="383" t="s">
        <v>329</v>
      </c>
      <c r="B67" s="383" t="s">
        <v>2661</v>
      </c>
      <c r="C67" s="383" t="s">
        <v>2705</v>
      </c>
      <c r="D67" s="384">
        <v>2005</v>
      </c>
      <c r="E67" s="384">
        <v>21.35</v>
      </c>
      <c r="F67" s="384">
        <v>23.75</v>
      </c>
      <c r="G67" s="384">
        <v>31.34</v>
      </c>
      <c r="H67" s="384">
        <v>32.28</v>
      </c>
      <c r="I67" s="384">
        <v>33.42</v>
      </c>
      <c r="J67" s="384">
        <v>33.450000000000003</v>
      </c>
      <c r="K67" s="384">
        <v>33.47</v>
      </c>
      <c r="L67" s="384">
        <v>33.51</v>
      </c>
      <c r="M67" s="384">
        <v>33.51</v>
      </c>
      <c r="N67" s="384">
        <v>33.51</v>
      </c>
      <c r="O67" s="384">
        <v>33.51</v>
      </c>
      <c r="P67" s="384"/>
      <c r="Q67" s="383"/>
      <c r="R67" s="383"/>
      <c r="S67" s="383"/>
      <c r="T67" s="383"/>
      <c r="U67" s="383"/>
      <c r="V67" s="383"/>
      <c r="W67" s="383"/>
      <c r="X67" s="383"/>
      <c r="Y67" s="383"/>
      <c r="Z67" s="383"/>
      <c r="AA67" s="383"/>
      <c r="AB67" s="383"/>
      <c r="AC67" s="383"/>
    </row>
    <row r="68" spans="1:29" x14ac:dyDescent="0.2">
      <c r="A68" s="383" t="s">
        <v>329</v>
      </c>
      <c r="B68" s="383" t="s">
        <v>334</v>
      </c>
      <c r="C68" s="383" t="s">
        <v>1607</v>
      </c>
      <c r="D68" s="384">
        <v>2005</v>
      </c>
      <c r="E68" s="384">
        <v>28.3</v>
      </c>
      <c r="F68" s="384">
        <v>31.9</v>
      </c>
      <c r="G68" s="384">
        <v>40.1</v>
      </c>
      <c r="H68" s="384">
        <v>40.869999999999997</v>
      </c>
      <c r="I68" s="384">
        <v>41.99</v>
      </c>
      <c r="J68" s="384">
        <v>42.03</v>
      </c>
      <c r="K68" s="384">
        <v>42.05</v>
      </c>
      <c r="L68" s="384">
        <v>42.08</v>
      </c>
      <c r="M68" s="384">
        <v>42.08</v>
      </c>
      <c r="N68" s="384">
        <v>42.08</v>
      </c>
      <c r="O68" s="384">
        <v>42.08</v>
      </c>
      <c r="P68" s="384"/>
      <c r="Q68" s="383"/>
      <c r="R68" s="383"/>
      <c r="S68" s="383"/>
      <c r="T68" s="383"/>
      <c r="U68" s="383"/>
      <c r="V68" s="383"/>
      <c r="W68" s="383"/>
      <c r="X68" s="383"/>
      <c r="Y68" s="383"/>
      <c r="Z68" s="383"/>
      <c r="AA68" s="383"/>
      <c r="AB68" s="383"/>
      <c r="AC68" s="383"/>
    </row>
    <row r="69" spans="1:29" x14ac:dyDescent="0.2">
      <c r="A69" s="383" t="s">
        <v>329</v>
      </c>
      <c r="B69" s="383" t="s">
        <v>2663</v>
      </c>
      <c r="C69" s="383" t="s">
        <v>1630</v>
      </c>
      <c r="D69" s="384">
        <v>2005</v>
      </c>
      <c r="E69" s="384">
        <v>27.24</v>
      </c>
      <c r="F69" s="384">
        <v>31</v>
      </c>
      <c r="G69" s="384">
        <v>39.159999999999997</v>
      </c>
      <c r="H69" s="384">
        <v>39.99</v>
      </c>
      <c r="I69" s="384">
        <v>41.14</v>
      </c>
      <c r="J69" s="384">
        <v>41.18</v>
      </c>
      <c r="K69" s="384">
        <v>41.2</v>
      </c>
      <c r="L69" s="384">
        <v>41.23</v>
      </c>
      <c r="M69" s="384">
        <v>41.23</v>
      </c>
      <c r="N69" s="384">
        <v>41.23</v>
      </c>
      <c r="O69" s="384">
        <v>41.23</v>
      </c>
      <c r="P69" s="384"/>
      <c r="Q69" s="383"/>
      <c r="R69" s="383"/>
      <c r="S69" s="383"/>
      <c r="T69" s="383"/>
      <c r="U69" s="383"/>
      <c r="V69" s="383"/>
      <c r="W69" s="383"/>
      <c r="X69" s="383"/>
      <c r="Y69" s="383"/>
      <c r="Z69" s="383"/>
      <c r="AA69" s="383"/>
      <c r="AB69" s="383"/>
      <c r="AC69" s="383"/>
    </row>
    <row r="70" spans="1:29" x14ac:dyDescent="0.2">
      <c r="A70" s="383" t="s">
        <v>329</v>
      </c>
      <c r="B70" s="383" t="s">
        <v>477</v>
      </c>
      <c r="C70" s="383" t="s">
        <v>1653</v>
      </c>
      <c r="D70" s="384">
        <v>2005</v>
      </c>
      <c r="E70" s="384">
        <v>22.8</v>
      </c>
      <c r="F70" s="384">
        <v>27.74</v>
      </c>
      <c r="G70" s="384">
        <v>35.520000000000003</v>
      </c>
      <c r="H70" s="384">
        <v>35.950000000000003</v>
      </c>
      <c r="I70" s="384">
        <v>36.57</v>
      </c>
      <c r="J70" s="384">
        <v>36.6</v>
      </c>
      <c r="K70" s="384">
        <v>36.619999999999997</v>
      </c>
      <c r="L70" s="384">
        <v>36.659999999999997</v>
      </c>
      <c r="M70" s="384">
        <v>36.659999999999997</v>
      </c>
      <c r="N70" s="384">
        <v>36.659999999999997</v>
      </c>
      <c r="O70" s="384">
        <v>36.659999999999997</v>
      </c>
      <c r="P70" s="384"/>
      <c r="Q70" s="383"/>
      <c r="R70" s="383"/>
      <c r="S70" s="383"/>
      <c r="T70" s="383"/>
      <c r="U70" s="383"/>
      <c r="V70" s="383"/>
      <c r="W70" s="383"/>
      <c r="X70" s="383"/>
      <c r="Y70" s="383"/>
      <c r="Z70" s="383"/>
      <c r="AA70" s="383"/>
      <c r="AB70" s="383"/>
      <c r="AC70" s="383"/>
    </row>
    <row r="71" spans="1:29" x14ac:dyDescent="0.2">
      <c r="A71" s="383" t="s">
        <v>329</v>
      </c>
      <c r="B71" s="383" t="s">
        <v>2684</v>
      </c>
      <c r="C71" s="383" t="s">
        <v>786</v>
      </c>
      <c r="D71" s="384">
        <v>1995</v>
      </c>
      <c r="E71" s="384">
        <v>0</v>
      </c>
      <c r="F71" s="384">
        <v>0</v>
      </c>
      <c r="G71" s="384">
        <v>0</v>
      </c>
      <c r="H71" s="384">
        <v>0</v>
      </c>
      <c r="I71" s="384">
        <v>0</v>
      </c>
      <c r="J71" s="384">
        <v>0</v>
      </c>
      <c r="K71" s="384">
        <v>0</v>
      </c>
      <c r="L71" s="384">
        <v>0</v>
      </c>
      <c r="M71" s="384">
        <v>0</v>
      </c>
      <c r="N71" s="384">
        <v>0</v>
      </c>
      <c r="O71" s="384">
        <v>0</v>
      </c>
      <c r="P71" s="384"/>
      <c r="Q71" s="383"/>
      <c r="R71" s="383"/>
      <c r="S71" s="383"/>
      <c r="T71" s="383"/>
      <c r="U71" s="383"/>
      <c r="V71" s="383"/>
      <c r="W71" s="383"/>
      <c r="X71" s="383"/>
      <c r="Y71" s="383"/>
      <c r="Z71" s="383"/>
      <c r="AA71" s="383"/>
      <c r="AB71" s="383"/>
      <c r="AC71" s="383"/>
    </row>
    <row r="72" spans="1:29" x14ac:dyDescent="0.2">
      <c r="A72" s="383" t="s">
        <v>329</v>
      </c>
      <c r="B72" s="383" t="s">
        <v>2665</v>
      </c>
      <c r="C72" s="383" t="s">
        <v>782</v>
      </c>
      <c r="D72" s="384">
        <v>1995</v>
      </c>
      <c r="E72" s="384">
        <v>0</v>
      </c>
      <c r="F72" s="384">
        <v>0</v>
      </c>
      <c r="G72" s="384">
        <v>0</v>
      </c>
      <c r="H72" s="384">
        <v>0</v>
      </c>
      <c r="I72" s="384">
        <v>0</v>
      </c>
      <c r="J72" s="384">
        <v>0</v>
      </c>
      <c r="K72" s="384">
        <v>0</v>
      </c>
      <c r="L72" s="384">
        <v>0</v>
      </c>
      <c r="M72" s="384">
        <v>0</v>
      </c>
      <c r="N72" s="384">
        <v>0</v>
      </c>
      <c r="O72" s="384">
        <v>0</v>
      </c>
      <c r="P72" s="384"/>
      <c r="Q72" s="383"/>
      <c r="R72" s="383"/>
      <c r="S72" s="383"/>
      <c r="T72" s="383"/>
      <c r="U72" s="383"/>
      <c r="V72" s="383"/>
      <c r="W72" s="383"/>
      <c r="X72" s="383"/>
      <c r="Y72" s="383"/>
      <c r="Z72" s="383"/>
      <c r="AA72" s="383"/>
      <c r="AB72" s="383"/>
      <c r="AC72" s="383"/>
    </row>
    <row r="73" spans="1:29" x14ac:dyDescent="0.2">
      <c r="A73" s="383" t="s">
        <v>329</v>
      </c>
      <c r="B73" s="383" t="s">
        <v>2666</v>
      </c>
      <c r="C73" s="383" t="s">
        <v>1676</v>
      </c>
      <c r="D73" s="384">
        <v>2005</v>
      </c>
      <c r="E73" s="384">
        <v>21.75</v>
      </c>
      <c r="F73" s="384">
        <v>22.44</v>
      </c>
      <c r="G73" s="384">
        <v>30.04</v>
      </c>
      <c r="H73" s="384">
        <v>30.96</v>
      </c>
      <c r="I73" s="384">
        <v>32.11</v>
      </c>
      <c r="J73" s="384">
        <v>32.130000000000003</v>
      </c>
      <c r="K73" s="384">
        <v>32.159999999999997</v>
      </c>
      <c r="L73" s="384">
        <v>32.19</v>
      </c>
      <c r="M73" s="384">
        <v>32.19</v>
      </c>
      <c r="N73" s="384">
        <v>32.19</v>
      </c>
      <c r="O73" s="384">
        <v>32.19</v>
      </c>
      <c r="P73" s="384"/>
      <c r="Q73" s="383"/>
      <c r="R73" s="383"/>
      <c r="S73" s="383"/>
      <c r="T73" s="383"/>
      <c r="U73" s="383"/>
      <c r="V73" s="383"/>
      <c r="W73" s="383"/>
      <c r="X73" s="383"/>
      <c r="Y73" s="383"/>
      <c r="Z73" s="383"/>
      <c r="AA73" s="383"/>
      <c r="AB73" s="383"/>
      <c r="AC73" s="383"/>
    </row>
    <row r="74" spans="1:29" x14ac:dyDescent="0.2">
      <c r="A74" s="383" t="s">
        <v>329</v>
      </c>
      <c r="B74" s="383" t="s">
        <v>2670</v>
      </c>
      <c r="C74" s="383" t="s">
        <v>1584</v>
      </c>
      <c r="D74" s="384">
        <v>2005</v>
      </c>
      <c r="E74" s="384">
        <v>19.940000000000001</v>
      </c>
      <c r="F74" s="384">
        <v>22.34</v>
      </c>
      <c r="G74" s="384">
        <v>29.94</v>
      </c>
      <c r="H74" s="384">
        <v>30.87</v>
      </c>
      <c r="I74" s="384">
        <v>32.020000000000003</v>
      </c>
      <c r="J74" s="384">
        <v>32.04</v>
      </c>
      <c r="K74" s="384">
        <v>32.06</v>
      </c>
      <c r="L74" s="384">
        <v>32.1</v>
      </c>
      <c r="M74" s="384">
        <v>32.1</v>
      </c>
      <c r="N74" s="384">
        <v>32.1</v>
      </c>
      <c r="O74" s="384">
        <v>32.1</v>
      </c>
      <c r="P74" s="384"/>
      <c r="Q74" s="383"/>
      <c r="R74" s="383"/>
      <c r="S74" s="383"/>
      <c r="T74" s="383"/>
      <c r="U74" s="383"/>
      <c r="V74" s="383"/>
      <c r="W74" s="383"/>
      <c r="X74" s="383"/>
      <c r="Y74" s="383"/>
      <c r="Z74" s="383"/>
      <c r="AA74" s="383"/>
      <c r="AB74" s="383"/>
      <c r="AC74" s="383"/>
    </row>
    <row r="75" spans="1:29" x14ac:dyDescent="0.2">
      <c r="A75" s="383" t="s">
        <v>329</v>
      </c>
      <c r="B75" s="383" t="s">
        <v>2671</v>
      </c>
      <c r="C75" s="383" t="s">
        <v>1697</v>
      </c>
      <c r="D75" s="384">
        <v>2010</v>
      </c>
      <c r="E75" s="384">
        <v>0</v>
      </c>
      <c r="F75" s="384">
        <v>0</v>
      </c>
      <c r="G75" s="384">
        <v>38.75</v>
      </c>
      <c r="H75" s="384">
        <v>37</v>
      </c>
      <c r="I75" s="384">
        <v>37.06</v>
      </c>
      <c r="J75" s="384">
        <v>36.36</v>
      </c>
      <c r="K75" s="384">
        <v>36.18</v>
      </c>
      <c r="L75" s="384">
        <v>36.15</v>
      </c>
      <c r="M75" s="384">
        <v>36.15</v>
      </c>
      <c r="N75" s="384">
        <v>36.15</v>
      </c>
      <c r="O75" s="384">
        <v>36.15</v>
      </c>
      <c r="P75" s="384"/>
      <c r="Q75" s="383"/>
      <c r="R75" s="383"/>
      <c r="S75" s="383"/>
      <c r="T75" s="383"/>
      <c r="U75" s="383"/>
      <c r="V75" s="383"/>
      <c r="W75" s="383"/>
      <c r="X75" s="383"/>
      <c r="Y75" s="383"/>
      <c r="Z75" s="383"/>
      <c r="AA75" s="383"/>
      <c r="AB75" s="383"/>
      <c r="AC75" s="383"/>
    </row>
    <row r="76" spans="1:29" x14ac:dyDescent="0.2">
      <c r="A76" s="383" t="s">
        <v>329</v>
      </c>
      <c r="B76" s="383" t="s">
        <v>338</v>
      </c>
      <c r="C76" s="383" t="s">
        <v>1716</v>
      </c>
      <c r="D76" s="384">
        <v>2005</v>
      </c>
      <c r="E76" s="384">
        <v>27.53</v>
      </c>
      <c r="F76" s="384">
        <v>32</v>
      </c>
      <c r="G76" s="384">
        <v>40.26</v>
      </c>
      <c r="H76" s="384">
        <v>41.05</v>
      </c>
      <c r="I76" s="384">
        <v>42.19</v>
      </c>
      <c r="J76" s="384">
        <v>42.22</v>
      </c>
      <c r="K76" s="384">
        <v>42.24</v>
      </c>
      <c r="L76" s="384">
        <v>42.27</v>
      </c>
      <c r="M76" s="384">
        <v>42.27</v>
      </c>
      <c r="N76" s="384">
        <v>42.27</v>
      </c>
      <c r="O76" s="384">
        <v>42.27</v>
      </c>
      <c r="P76" s="384"/>
      <c r="Q76" s="383"/>
      <c r="R76" s="383"/>
      <c r="S76" s="383"/>
      <c r="T76" s="383"/>
      <c r="U76" s="383"/>
      <c r="V76" s="383"/>
      <c r="W76" s="383"/>
      <c r="X76" s="383"/>
      <c r="Y76" s="383"/>
      <c r="Z76" s="383"/>
      <c r="AA76" s="383"/>
      <c r="AB76" s="383"/>
      <c r="AC76" s="383"/>
    </row>
    <row r="77" spans="1:29" x14ac:dyDescent="0.2">
      <c r="A77" s="383" t="s">
        <v>329</v>
      </c>
      <c r="B77" s="383" t="s">
        <v>2674</v>
      </c>
      <c r="C77" s="383" t="s">
        <v>1739</v>
      </c>
      <c r="D77" s="384">
        <v>2005</v>
      </c>
      <c r="E77" s="384">
        <v>26.32</v>
      </c>
      <c r="F77" s="384">
        <v>29.6</v>
      </c>
      <c r="G77" s="384">
        <v>37.74</v>
      </c>
      <c r="H77" s="384">
        <v>38.57</v>
      </c>
      <c r="I77" s="384">
        <v>39.72</v>
      </c>
      <c r="J77" s="384">
        <v>39.75</v>
      </c>
      <c r="K77" s="384">
        <v>39.770000000000003</v>
      </c>
      <c r="L77" s="384">
        <v>39.799999999999997</v>
      </c>
      <c r="M77" s="384">
        <v>39.799999999999997</v>
      </c>
      <c r="N77" s="384">
        <v>39.799999999999997</v>
      </c>
      <c r="O77" s="384">
        <v>39.799999999999997</v>
      </c>
      <c r="P77" s="384"/>
      <c r="Q77" s="383"/>
      <c r="R77" s="383"/>
      <c r="S77" s="383"/>
      <c r="T77" s="383"/>
      <c r="U77" s="383"/>
      <c r="V77" s="383"/>
      <c r="W77" s="383"/>
      <c r="X77" s="383"/>
      <c r="Y77" s="383"/>
      <c r="Z77" s="383"/>
      <c r="AA77" s="383"/>
      <c r="AB77" s="383"/>
      <c r="AC77" s="383"/>
    </row>
    <row r="78" spans="1:29" x14ac:dyDescent="0.2">
      <c r="A78" s="383" t="s">
        <v>329</v>
      </c>
      <c r="B78" s="383" t="s">
        <v>2675</v>
      </c>
      <c r="C78" s="383" t="s">
        <v>1762</v>
      </c>
      <c r="D78" s="384">
        <v>2010</v>
      </c>
      <c r="E78" s="384">
        <v>0</v>
      </c>
      <c r="F78" s="384">
        <v>29.68</v>
      </c>
      <c r="G78" s="384">
        <v>37.28</v>
      </c>
      <c r="H78" s="384">
        <v>38.21</v>
      </c>
      <c r="I78" s="384">
        <v>39.36</v>
      </c>
      <c r="J78" s="384">
        <v>39.380000000000003</v>
      </c>
      <c r="K78" s="384">
        <v>39.4</v>
      </c>
      <c r="L78" s="384">
        <v>39.44</v>
      </c>
      <c r="M78" s="384">
        <v>39.44</v>
      </c>
      <c r="N78" s="384">
        <v>39.44</v>
      </c>
      <c r="O78" s="384">
        <v>39.44</v>
      </c>
      <c r="P78" s="384"/>
      <c r="Q78" s="383"/>
      <c r="R78" s="383"/>
      <c r="S78" s="383"/>
      <c r="T78" s="383"/>
      <c r="U78" s="383"/>
      <c r="V78" s="383"/>
      <c r="W78" s="383"/>
      <c r="X78" s="383"/>
      <c r="Y78" s="383"/>
      <c r="Z78" s="383"/>
      <c r="AA78" s="383"/>
      <c r="AB78" s="383"/>
      <c r="AC78" s="383"/>
    </row>
    <row r="79" spans="1:29" x14ac:dyDescent="0.2">
      <c r="A79" s="383" t="s">
        <v>2654</v>
      </c>
      <c r="B79" s="383" t="s">
        <v>2661</v>
      </c>
      <c r="C79" s="383" t="s">
        <v>2706</v>
      </c>
      <c r="D79" s="384">
        <v>2005</v>
      </c>
      <c r="E79" s="384">
        <v>25.72</v>
      </c>
      <c r="F79" s="384">
        <v>25.11</v>
      </c>
      <c r="G79" s="384">
        <v>27.62</v>
      </c>
      <c r="H79" s="384">
        <v>28.51</v>
      </c>
      <c r="I79" s="384">
        <v>29.54</v>
      </c>
      <c r="J79" s="384">
        <v>29.61</v>
      </c>
      <c r="K79" s="384">
        <v>29.63</v>
      </c>
      <c r="L79" s="384">
        <v>29.66</v>
      </c>
      <c r="M79" s="384">
        <v>29.66</v>
      </c>
      <c r="N79" s="384">
        <v>29.66</v>
      </c>
      <c r="O79" s="384">
        <v>29.66</v>
      </c>
      <c r="P79" s="384"/>
      <c r="Q79" s="383"/>
      <c r="R79" s="383"/>
      <c r="S79" s="383"/>
      <c r="T79" s="383"/>
      <c r="U79" s="383"/>
      <c r="V79" s="383"/>
      <c r="W79" s="383"/>
      <c r="X79" s="383"/>
      <c r="Y79" s="383"/>
      <c r="Z79" s="383"/>
      <c r="AA79" s="383"/>
      <c r="AB79" s="383"/>
      <c r="AC79" s="383"/>
    </row>
    <row r="80" spans="1:29" x14ac:dyDescent="0.2">
      <c r="A80" s="383" t="s">
        <v>2654</v>
      </c>
      <c r="B80" s="383" t="s">
        <v>2664</v>
      </c>
      <c r="C80" s="383" t="s">
        <v>1804</v>
      </c>
      <c r="D80" s="384">
        <v>2020</v>
      </c>
      <c r="E80" s="384">
        <v>0</v>
      </c>
      <c r="F80" s="384">
        <v>0</v>
      </c>
      <c r="G80" s="384">
        <v>0</v>
      </c>
      <c r="H80" s="384">
        <v>37.909999999999997</v>
      </c>
      <c r="I80" s="384">
        <v>37.409999999999997</v>
      </c>
      <c r="J80" s="384">
        <v>36.869999999999997</v>
      </c>
      <c r="K80" s="384">
        <v>36.729999999999997</v>
      </c>
      <c r="L80" s="384">
        <v>36.71</v>
      </c>
      <c r="M80" s="384">
        <v>36.71</v>
      </c>
      <c r="N80" s="384">
        <v>36.71</v>
      </c>
      <c r="O80" s="384">
        <v>36.71</v>
      </c>
      <c r="P80" s="384"/>
      <c r="Q80" s="383"/>
      <c r="R80" s="383"/>
      <c r="S80" s="383"/>
      <c r="T80" s="383"/>
      <c r="U80" s="383"/>
      <c r="V80" s="383"/>
      <c r="W80" s="383"/>
      <c r="X80" s="383"/>
      <c r="Y80" s="383"/>
      <c r="Z80" s="383"/>
      <c r="AA80" s="383"/>
      <c r="AB80" s="383"/>
      <c r="AC80" s="383"/>
    </row>
    <row r="81" spans="1:29" x14ac:dyDescent="0.2">
      <c r="A81" s="383" t="s">
        <v>2654</v>
      </c>
      <c r="B81" s="383" t="s">
        <v>477</v>
      </c>
      <c r="C81" s="383" t="s">
        <v>1819</v>
      </c>
      <c r="D81" s="384">
        <v>2005</v>
      </c>
      <c r="E81" s="384">
        <v>26.67</v>
      </c>
      <c r="F81" s="384">
        <v>28.4</v>
      </c>
      <c r="G81" s="384">
        <v>30.43</v>
      </c>
      <c r="H81" s="384">
        <v>30.18</v>
      </c>
      <c r="I81" s="384">
        <v>30.76</v>
      </c>
      <c r="J81" s="384">
        <v>30.83</v>
      </c>
      <c r="K81" s="384">
        <v>30.85</v>
      </c>
      <c r="L81" s="384">
        <v>30.82</v>
      </c>
      <c r="M81" s="384">
        <v>30.82</v>
      </c>
      <c r="N81" s="384">
        <v>30.82</v>
      </c>
      <c r="O81" s="384">
        <v>30.82</v>
      </c>
      <c r="P81" s="384"/>
      <c r="Q81" s="383"/>
      <c r="R81" s="383"/>
      <c r="S81" s="383"/>
      <c r="T81" s="383"/>
      <c r="U81" s="383"/>
      <c r="V81" s="383"/>
      <c r="W81" s="383"/>
      <c r="X81" s="383"/>
      <c r="Y81" s="383"/>
      <c r="Z81" s="383"/>
      <c r="AA81" s="383"/>
      <c r="AB81" s="383"/>
      <c r="AC81" s="383"/>
    </row>
    <row r="82" spans="1:29" x14ac:dyDescent="0.2">
      <c r="A82" s="383" t="s">
        <v>2654</v>
      </c>
      <c r="B82" s="383" t="s">
        <v>2665</v>
      </c>
      <c r="C82" s="383" t="s">
        <v>773</v>
      </c>
      <c r="D82" s="384">
        <v>1995</v>
      </c>
      <c r="E82" s="384">
        <v>0</v>
      </c>
      <c r="F82" s="384">
        <v>0</v>
      </c>
      <c r="G82" s="384">
        <v>0</v>
      </c>
      <c r="H82" s="384">
        <v>0</v>
      </c>
      <c r="I82" s="384">
        <v>0</v>
      </c>
      <c r="J82" s="384">
        <v>0</v>
      </c>
      <c r="K82" s="384">
        <v>0</v>
      </c>
      <c r="L82" s="384">
        <v>0</v>
      </c>
      <c r="M82" s="384">
        <v>0</v>
      </c>
      <c r="N82" s="384">
        <v>0</v>
      </c>
      <c r="O82" s="384">
        <v>0</v>
      </c>
      <c r="P82" s="384"/>
      <c r="Q82" s="383"/>
      <c r="R82" s="383"/>
      <c r="S82" s="383"/>
      <c r="T82" s="383"/>
      <c r="U82" s="383"/>
      <c r="V82" s="383"/>
      <c r="W82" s="383"/>
      <c r="X82" s="383"/>
      <c r="Y82" s="383"/>
      <c r="Z82" s="383"/>
      <c r="AA82" s="383"/>
      <c r="AB82" s="383"/>
      <c r="AC82" s="383"/>
    </row>
    <row r="83" spans="1:29" x14ac:dyDescent="0.2">
      <c r="A83" s="383" t="s">
        <v>2654</v>
      </c>
      <c r="B83" s="383" t="s">
        <v>743</v>
      </c>
      <c r="C83" s="383" t="s">
        <v>1842</v>
      </c>
      <c r="D83" s="384">
        <v>2005</v>
      </c>
      <c r="E83" s="384">
        <v>58.81</v>
      </c>
      <c r="F83" s="384">
        <v>45.3</v>
      </c>
      <c r="G83" s="384">
        <v>44.98</v>
      </c>
      <c r="H83" s="384">
        <v>42.6</v>
      </c>
      <c r="I83" s="384">
        <v>39.22</v>
      </c>
      <c r="J83" s="384">
        <v>37.32</v>
      </c>
      <c r="K83" s="384">
        <v>36.840000000000003</v>
      </c>
      <c r="L83" s="384">
        <v>36.76</v>
      </c>
      <c r="M83" s="384">
        <v>36.76</v>
      </c>
      <c r="N83" s="384">
        <v>36.76</v>
      </c>
      <c r="O83" s="384">
        <v>36.76</v>
      </c>
      <c r="P83" s="384"/>
      <c r="Q83" s="383"/>
      <c r="R83" s="383"/>
      <c r="S83" s="383"/>
      <c r="T83" s="383"/>
      <c r="U83" s="383"/>
      <c r="V83" s="383"/>
      <c r="W83" s="383"/>
      <c r="X83" s="383"/>
      <c r="Y83" s="383"/>
      <c r="Z83" s="383"/>
      <c r="AA83" s="383"/>
      <c r="AB83" s="383"/>
      <c r="AC83" s="383"/>
    </row>
    <row r="84" spans="1:29" x14ac:dyDescent="0.2">
      <c r="A84" s="383" t="s">
        <v>2654</v>
      </c>
      <c r="B84" s="383" t="s">
        <v>2666</v>
      </c>
      <c r="C84" s="383" t="s">
        <v>1865</v>
      </c>
      <c r="D84" s="384">
        <v>2005</v>
      </c>
      <c r="E84" s="384">
        <v>0</v>
      </c>
      <c r="F84" s="384">
        <v>23.8</v>
      </c>
      <c r="G84" s="384">
        <v>26.31</v>
      </c>
      <c r="H84" s="384">
        <v>27.2</v>
      </c>
      <c r="I84" s="384">
        <v>28.24</v>
      </c>
      <c r="J84" s="384">
        <v>28.31</v>
      </c>
      <c r="K84" s="384">
        <v>28.34</v>
      </c>
      <c r="L84" s="384">
        <v>28.37</v>
      </c>
      <c r="M84" s="384">
        <v>28.37</v>
      </c>
      <c r="N84" s="384">
        <v>28.37</v>
      </c>
      <c r="O84" s="384">
        <v>28.37</v>
      </c>
      <c r="P84" s="384"/>
      <c r="Q84" s="383"/>
      <c r="R84" s="383"/>
      <c r="S84" s="383"/>
      <c r="T84" s="383"/>
      <c r="U84" s="383"/>
      <c r="V84" s="383"/>
      <c r="W84" s="383"/>
      <c r="X84" s="383"/>
      <c r="Y84" s="383"/>
      <c r="Z84" s="383"/>
      <c r="AA84" s="383"/>
      <c r="AB84" s="383"/>
      <c r="AC84" s="383"/>
    </row>
    <row r="85" spans="1:29" x14ac:dyDescent="0.2">
      <c r="A85" s="383" t="s">
        <v>2654</v>
      </c>
      <c r="B85" s="383" t="s">
        <v>2696</v>
      </c>
      <c r="C85" s="383" t="s">
        <v>1884</v>
      </c>
      <c r="D85" s="384">
        <v>2015</v>
      </c>
      <c r="E85" s="384">
        <v>0</v>
      </c>
      <c r="F85" s="384">
        <v>0</v>
      </c>
      <c r="G85" s="384">
        <v>0</v>
      </c>
      <c r="H85" s="384">
        <v>0</v>
      </c>
      <c r="I85" s="384">
        <v>0</v>
      </c>
      <c r="J85" s="384">
        <v>0</v>
      </c>
      <c r="K85" s="384">
        <v>0</v>
      </c>
      <c r="L85" s="384">
        <v>0</v>
      </c>
      <c r="M85" s="384">
        <v>0</v>
      </c>
      <c r="N85" s="384">
        <v>0</v>
      </c>
      <c r="O85" s="384">
        <v>0</v>
      </c>
      <c r="P85" s="384"/>
      <c r="Q85" s="383"/>
      <c r="R85" s="383"/>
      <c r="S85" s="383"/>
      <c r="T85" s="383"/>
      <c r="U85" s="383"/>
      <c r="V85" s="383"/>
      <c r="W85" s="383"/>
      <c r="X85" s="383"/>
      <c r="Y85" s="383"/>
      <c r="Z85" s="383"/>
      <c r="AA85" s="383"/>
      <c r="AB85" s="383"/>
      <c r="AC85" s="383"/>
    </row>
    <row r="86" spans="1:29" x14ac:dyDescent="0.2">
      <c r="A86" s="383" t="s">
        <v>2654</v>
      </c>
      <c r="B86" s="383" t="s">
        <v>2667</v>
      </c>
      <c r="C86" s="383" t="s">
        <v>1901</v>
      </c>
      <c r="D86" s="384">
        <v>2005</v>
      </c>
      <c r="E86" s="384">
        <v>98.42</v>
      </c>
      <c r="F86" s="384">
        <v>0</v>
      </c>
      <c r="G86" s="384">
        <v>84.7</v>
      </c>
      <c r="H86" s="384">
        <v>71.67</v>
      </c>
      <c r="I86" s="384">
        <v>61.73</v>
      </c>
      <c r="J86" s="384">
        <v>56.04</v>
      </c>
      <c r="K86" s="384">
        <v>51.61</v>
      </c>
      <c r="L86" s="384">
        <v>48.1</v>
      </c>
      <c r="M86" s="384">
        <v>48.1</v>
      </c>
      <c r="N86" s="384">
        <v>48.1</v>
      </c>
      <c r="O86" s="384">
        <v>48.1</v>
      </c>
      <c r="P86" s="384"/>
      <c r="Q86" s="383"/>
      <c r="R86" s="383"/>
      <c r="S86" s="383"/>
      <c r="T86" s="383"/>
      <c r="U86" s="383"/>
      <c r="V86" s="383"/>
      <c r="W86" s="383"/>
      <c r="X86" s="383"/>
      <c r="Y86" s="383"/>
      <c r="Z86" s="383"/>
      <c r="AA86" s="383"/>
      <c r="AB86" s="383"/>
      <c r="AC86" s="383"/>
    </row>
    <row r="87" spans="1:29" x14ac:dyDescent="0.2">
      <c r="A87" s="383" t="s">
        <v>2654</v>
      </c>
      <c r="B87" s="383" t="s">
        <v>2670</v>
      </c>
      <c r="C87" s="383" t="s">
        <v>1781</v>
      </c>
      <c r="D87" s="384">
        <v>2005</v>
      </c>
      <c r="E87" s="384">
        <v>24.31</v>
      </c>
      <c r="F87" s="384">
        <v>23.7</v>
      </c>
      <c r="G87" s="384">
        <v>26.21</v>
      </c>
      <c r="H87" s="384">
        <v>27.1</v>
      </c>
      <c r="I87" s="384">
        <v>28.13</v>
      </c>
      <c r="J87" s="384">
        <v>28.2</v>
      </c>
      <c r="K87" s="384">
        <v>28.23</v>
      </c>
      <c r="L87" s="384">
        <v>28.25</v>
      </c>
      <c r="M87" s="384">
        <v>28.25</v>
      </c>
      <c r="N87" s="384">
        <v>28.25</v>
      </c>
      <c r="O87" s="384">
        <v>28.25</v>
      </c>
      <c r="P87" s="384"/>
      <c r="Q87" s="383"/>
      <c r="R87" s="383"/>
      <c r="S87" s="383"/>
      <c r="T87" s="383"/>
      <c r="U87" s="383"/>
      <c r="V87" s="383"/>
      <c r="W87" s="383"/>
      <c r="X87" s="383"/>
      <c r="Y87" s="383"/>
      <c r="Z87" s="383"/>
      <c r="AA87" s="383"/>
      <c r="AB87" s="383"/>
      <c r="AC87" s="383"/>
    </row>
    <row r="88" spans="1:29" x14ac:dyDescent="0.2">
      <c r="A88" s="383" t="s">
        <v>2654</v>
      </c>
      <c r="B88" s="383" t="s">
        <v>2671</v>
      </c>
      <c r="C88" s="383" t="s">
        <v>1922</v>
      </c>
      <c r="D88" s="384">
        <v>2010</v>
      </c>
      <c r="E88" s="384">
        <v>0</v>
      </c>
      <c r="F88" s="384">
        <v>31.2</v>
      </c>
      <c r="G88" s="384">
        <v>31.67</v>
      </c>
      <c r="H88" s="384">
        <v>31.83</v>
      </c>
      <c r="I88" s="384">
        <v>32.04</v>
      </c>
      <c r="J88" s="384">
        <v>31.53</v>
      </c>
      <c r="K88" s="384">
        <v>31.4</v>
      </c>
      <c r="L88" s="384">
        <v>31.38</v>
      </c>
      <c r="M88" s="384">
        <v>31.38</v>
      </c>
      <c r="N88" s="384">
        <v>31.38</v>
      </c>
      <c r="O88" s="384">
        <v>31.38</v>
      </c>
      <c r="P88" s="384"/>
      <c r="Q88" s="383"/>
      <c r="R88" s="383"/>
      <c r="S88" s="383"/>
      <c r="T88" s="383"/>
      <c r="U88" s="383"/>
      <c r="V88" s="383"/>
      <c r="W88" s="383"/>
      <c r="X88" s="383"/>
      <c r="Y88" s="383"/>
      <c r="Z88" s="383"/>
      <c r="AA88" s="383"/>
      <c r="AB88" s="383"/>
      <c r="AC88" s="383"/>
    </row>
    <row r="89" spans="1:29" x14ac:dyDescent="0.2">
      <c r="A89" s="383" t="s">
        <v>2654</v>
      </c>
      <c r="B89" s="383" t="s">
        <v>2675</v>
      </c>
      <c r="C89" s="383" t="s">
        <v>1941</v>
      </c>
      <c r="D89" s="384">
        <v>2010</v>
      </c>
      <c r="E89" s="384">
        <v>0</v>
      </c>
      <c r="F89" s="384">
        <v>31.04</v>
      </c>
      <c r="G89" s="384">
        <v>33.549999999999997</v>
      </c>
      <c r="H89" s="384">
        <v>34.44</v>
      </c>
      <c r="I89" s="384">
        <v>35.47</v>
      </c>
      <c r="J89" s="384">
        <v>35.54</v>
      </c>
      <c r="K89" s="384">
        <v>35.57</v>
      </c>
      <c r="L89" s="384">
        <v>35.590000000000003</v>
      </c>
      <c r="M89" s="384">
        <v>35.590000000000003</v>
      </c>
      <c r="N89" s="384">
        <v>35.590000000000003</v>
      </c>
      <c r="O89" s="384">
        <v>35.590000000000003</v>
      </c>
      <c r="P89" s="384"/>
      <c r="Q89" s="383"/>
      <c r="R89" s="383"/>
      <c r="S89" s="383"/>
      <c r="T89" s="383"/>
      <c r="U89" s="383"/>
      <c r="V89" s="383"/>
      <c r="W89" s="383"/>
      <c r="X89" s="383"/>
      <c r="Y89" s="383"/>
      <c r="Z89" s="383"/>
      <c r="AA89" s="383"/>
      <c r="AB89" s="383"/>
      <c r="AC89" s="383"/>
    </row>
    <row r="90" spans="1:29" x14ac:dyDescent="0.2">
      <c r="A90" s="383"/>
      <c r="B90" s="383"/>
      <c r="C90" s="383"/>
      <c r="D90" s="384"/>
      <c r="E90" s="383"/>
      <c r="F90" s="383"/>
      <c r="G90" s="383"/>
      <c r="H90" s="383"/>
      <c r="I90" s="383"/>
      <c r="J90" s="383"/>
      <c r="K90" s="383"/>
      <c r="L90" s="383"/>
      <c r="M90" s="383"/>
      <c r="N90" s="383"/>
      <c r="O90" s="383"/>
      <c r="P90" s="384"/>
      <c r="Q90" s="383"/>
      <c r="R90" s="383"/>
      <c r="S90" s="383"/>
      <c r="T90" s="383"/>
      <c r="U90" s="383"/>
      <c r="V90" s="383"/>
      <c r="W90" s="383"/>
      <c r="X90" s="383"/>
      <c r="Y90" s="383"/>
      <c r="Z90" s="383"/>
      <c r="AA90" s="383"/>
      <c r="AB90" s="383"/>
      <c r="AC90" s="383"/>
    </row>
    <row r="91" spans="1:29" x14ac:dyDescent="0.2">
      <c r="A91" s="383"/>
      <c r="B91" s="383"/>
      <c r="C91" s="383"/>
      <c r="D91" s="384"/>
      <c r="E91" s="383"/>
      <c r="F91" s="383"/>
      <c r="G91" s="383"/>
      <c r="H91" s="383"/>
      <c r="I91" s="383"/>
      <c r="J91" s="383"/>
      <c r="K91" s="383"/>
      <c r="L91" s="383"/>
      <c r="M91" s="383"/>
      <c r="N91" s="383"/>
      <c r="O91" s="383"/>
      <c r="P91" s="384"/>
      <c r="Q91" s="383"/>
      <c r="R91" s="383"/>
      <c r="S91" s="383"/>
      <c r="T91" s="383"/>
      <c r="U91" s="383"/>
      <c r="V91" s="383"/>
      <c r="W91" s="383"/>
      <c r="X91" s="383"/>
      <c r="Y91" s="383"/>
      <c r="Z91" s="383"/>
      <c r="AA91" s="383"/>
      <c r="AB91" s="383"/>
      <c r="AC91" s="383"/>
    </row>
    <row r="92" spans="1:29" x14ac:dyDescent="0.2">
      <c r="A92" s="383"/>
      <c r="B92" s="383"/>
      <c r="C92" s="383"/>
      <c r="D92" s="384"/>
      <c r="E92" s="383"/>
      <c r="F92" s="383"/>
      <c r="G92" s="383"/>
      <c r="H92" s="383"/>
      <c r="I92" s="383"/>
      <c r="J92" s="383"/>
      <c r="K92" s="383"/>
      <c r="L92" s="383"/>
      <c r="M92" s="383"/>
      <c r="N92" s="383"/>
      <c r="O92" s="383"/>
      <c r="P92" s="384"/>
      <c r="Q92" s="383"/>
      <c r="R92" s="383"/>
      <c r="S92" s="383"/>
      <c r="T92" s="383"/>
      <c r="U92" s="383"/>
      <c r="V92" s="383"/>
      <c r="W92" s="383"/>
      <c r="X92" s="383"/>
      <c r="Y92" s="383"/>
      <c r="Z92" s="383"/>
      <c r="AA92" s="383"/>
      <c r="AB92" s="383"/>
      <c r="AC92" s="383"/>
    </row>
    <row r="93" spans="1:29" x14ac:dyDescent="0.2">
      <c r="A93" s="383"/>
      <c r="B93" s="383"/>
      <c r="C93" s="383"/>
      <c r="D93" s="384"/>
      <c r="E93" s="383"/>
      <c r="F93" s="383"/>
      <c r="G93" s="383"/>
      <c r="H93" s="383"/>
      <c r="I93" s="383"/>
      <c r="J93" s="383"/>
      <c r="K93" s="383"/>
      <c r="L93" s="383"/>
      <c r="M93" s="383"/>
      <c r="N93" s="383"/>
      <c r="O93" s="383"/>
      <c r="P93" s="384"/>
      <c r="Q93" s="383"/>
      <c r="R93" s="383"/>
      <c r="S93" s="383"/>
      <c r="T93" s="383"/>
      <c r="U93" s="383"/>
      <c r="V93" s="383"/>
      <c r="W93" s="383"/>
      <c r="X93" s="383"/>
      <c r="Y93" s="383"/>
      <c r="Z93" s="383"/>
      <c r="AA93" s="383"/>
      <c r="AB93" s="383"/>
      <c r="AC93" s="383"/>
    </row>
    <row r="94" spans="1:29" x14ac:dyDescent="0.2">
      <c r="A94" s="383"/>
      <c r="B94" s="383"/>
      <c r="C94" s="383"/>
      <c r="D94" s="384"/>
      <c r="E94" s="383"/>
      <c r="F94" s="383"/>
      <c r="G94" s="383"/>
      <c r="H94" s="383"/>
      <c r="I94" s="383"/>
      <c r="J94" s="383"/>
      <c r="K94" s="383"/>
      <c r="L94" s="383"/>
      <c r="M94" s="383"/>
      <c r="N94" s="383"/>
      <c r="O94" s="383"/>
      <c r="P94" s="384"/>
      <c r="Q94" s="383"/>
      <c r="R94" s="383"/>
      <c r="S94" s="383"/>
      <c r="T94" s="383"/>
      <c r="U94" s="383"/>
      <c r="V94" s="383"/>
      <c r="W94" s="383"/>
      <c r="X94" s="383"/>
      <c r="Y94" s="383"/>
      <c r="Z94" s="383"/>
      <c r="AA94" s="383"/>
      <c r="AB94" s="383"/>
      <c r="AC94" s="383"/>
    </row>
    <row r="95" spans="1:29" x14ac:dyDescent="0.2">
      <c r="A95" s="383"/>
      <c r="B95" s="383"/>
      <c r="C95" s="383"/>
      <c r="D95" s="384"/>
      <c r="E95" s="383"/>
      <c r="F95" s="383"/>
      <c r="G95" s="383"/>
      <c r="H95" s="383"/>
      <c r="I95" s="383"/>
      <c r="J95" s="383"/>
      <c r="K95" s="383"/>
      <c r="L95" s="383"/>
      <c r="M95" s="383"/>
      <c r="N95" s="383"/>
      <c r="O95" s="383"/>
      <c r="P95" s="384"/>
      <c r="Q95" s="383"/>
      <c r="R95" s="383"/>
      <c r="S95" s="383"/>
      <c r="T95" s="383"/>
      <c r="U95" s="383"/>
      <c r="V95" s="383"/>
      <c r="W95" s="383"/>
      <c r="X95" s="383"/>
      <c r="Y95" s="383"/>
      <c r="Z95" s="383"/>
      <c r="AA95" s="383"/>
      <c r="AB95" s="383"/>
      <c r="AC95" s="383"/>
    </row>
    <row r="96" spans="1:29" x14ac:dyDescent="0.2">
      <c r="A96" s="383"/>
      <c r="B96" s="383"/>
      <c r="C96" s="383"/>
      <c r="D96" s="384"/>
      <c r="E96" s="383"/>
      <c r="F96" s="383"/>
      <c r="G96" s="383"/>
      <c r="H96" s="383"/>
      <c r="I96" s="383"/>
      <c r="J96" s="383"/>
      <c r="K96" s="383"/>
      <c r="L96" s="384"/>
      <c r="M96" s="383"/>
      <c r="N96" s="384"/>
      <c r="O96" s="384"/>
      <c r="P96" s="383"/>
      <c r="Q96" s="383"/>
      <c r="R96" s="383"/>
      <c r="S96" s="383"/>
      <c r="T96" s="383"/>
      <c r="U96" s="383"/>
      <c r="V96" s="383"/>
      <c r="W96" s="383"/>
      <c r="X96" s="383"/>
      <c r="Y96" s="383"/>
      <c r="Z96" s="383"/>
      <c r="AA96" s="383"/>
      <c r="AB96" s="383"/>
      <c r="AC96" s="383"/>
    </row>
    <row r="97" spans="1:29" x14ac:dyDescent="0.2">
      <c r="A97" s="383"/>
      <c r="B97" s="383"/>
      <c r="C97" s="383"/>
      <c r="D97" s="384"/>
      <c r="E97" s="383"/>
      <c r="F97" s="383"/>
      <c r="G97" s="383"/>
      <c r="H97" s="383"/>
      <c r="I97" s="383"/>
      <c r="J97" s="383"/>
      <c r="K97" s="383"/>
      <c r="L97" s="383"/>
      <c r="M97" s="383"/>
      <c r="N97" s="383"/>
      <c r="O97" s="383"/>
      <c r="P97" s="384"/>
      <c r="Q97" s="383"/>
      <c r="R97" s="383"/>
      <c r="S97" s="383"/>
      <c r="T97" s="383"/>
      <c r="U97" s="383"/>
      <c r="V97" s="383"/>
      <c r="W97" s="383"/>
      <c r="X97" s="383"/>
      <c r="Y97" s="383"/>
      <c r="Z97" s="383"/>
      <c r="AA97" s="383"/>
      <c r="AB97" s="383"/>
      <c r="AC97" s="383"/>
    </row>
    <row r="98" spans="1:29" x14ac:dyDescent="0.2">
      <c r="A98" s="383"/>
      <c r="B98" s="383"/>
      <c r="C98" s="383"/>
      <c r="D98" s="384"/>
      <c r="E98" s="383"/>
      <c r="F98" s="383"/>
      <c r="G98" s="383"/>
      <c r="H98" s="383"/>
      <c r="I98" s="383"/>
      <c r="J98" s="383"/>
      <c r="K98" s="383"/>
      <c r="L98" s="383"/>
      <c r="M98" s="383"/>
      <c r="N98" s="383"/>
      <c r="O98" s="383"/>
      <c r="P98" s="384"/>
      <c r="Q98" s="383"/>
      <c r="R98" s="383"/>
      <c r="S98" s="383"/>
      <c r="T98" s="383"/>
      <c r="U98" s="383"/>
      <c r="V98" s="383"/>
      <c r="W98" s="383"/>
      <c r="X98" s="383"/>
      <c r="Y98" s="383"/>
      <c r="Z98" s="383"/>
      <c r="AA98" s="383"/>
      <c r="AB98" s="383"/>
      <c r="AC98" s="383"/>
    </row>
    <row r="99" spans="1:29" x14ac:dyDescent="0.2">
      <c r="A99" s="383"/>
      <c r="B99" s="383"/>
      <c r="C99" s="383"/>
      <c r="D99" s="384"/>
      <c r="E99" s="383"/>
      <c r="F99" s="383"/>
      <c r="G99" s="383"/>
      <c r="H99" s="383"/>
      <c r="I99" s="383"/>
      <c r="J99" s="383"/>
      <c r="K99" s="383"/>
      <c r="L99" s="383"/>
      <c r="M99" s="383"/>
      <c r="N99" s="383"/>
      <c r="O99" s="383"/>
      <c r="P99" s="384"/>
      <c r="Q99" s="383"/>
      <c r="R99" s="383"/>
      <c r="S99" s="383"/>
      <c r="T99" s="383"/>
      <c r="U99" s="383"/>
      <c r="V99" s="383"/>
      <c r="W99" s="383"/>
      <c r="X99" s="383"/>
      <c r="Y99" s="383"/>
      <c r="Z99" s="383"/>
      <c r="AA99" s="383"/>
      <c r="AB99" s="383"/>
      <c r="AC99" s="383"/>
    </row>
    <row r="100" spans="1:29" x14ac:dyDescent="0.2">
      <c r="A100" s="383"/>
      <c r="B100" s="383"/>
      <c r="C100" s="383"/>
      <c r="D100" s="384"/>
      <c r="E100" s="383"/>
      <c r="F100" s="383"/>
      <c r="G100" s="383"/>
      <c r="H100" s="383"/>
      <c r="I100" s="383"/>
      <c r="J100" s="383"/>
      <c r="K100" s="383"/>
      <c r="L100" s="383"/>
      <c r="M100" s="383"/>
      <c r="N100" s="383"/>
      <c r="O100" s="383"/>
      <c r="P100" s="384"/>
      <c r="Q100" s="383"/>
      <c r="R100" s="383"/>
      <c r="S100" s="383"/>
      <c r="T100" s="383"/>
      <c r="U100" s="383"/>
      <c r="V100" s="383"/>
      <c r="W100" s="383"/>
      <c r="X100" s="383"/>
      <c r="Y100" s="383"/>
      <c r="Z100" s="383"/>
      <c r="AA100" s="383"/>
      <c r="AB100" s="383"/>
      <c r="AC100" s="383"/>
    </row>
    <row r="101" spans="1:29" x14ac:dyDescent="0.2">
      <c r="A101" s="383"/>
      <c r="B101" s="383"/>
      <c r="C101" s="383"/>
      <c r="D101" s="384"/>
      <c r="E101" s="383"/>
      <c r="F101" s="383"/>
      <c r="G101" s="383"/>
      <c r="H101" s="383"/>
      <c r="I101" s="383"/>
      <c r="J101" s="383"/>
      <c r="K101" s="383"/>
      <c r="L101" s="383"/>
      <c r="M101" s="383"/>
      <c r="N101" s="383"/>
      <c r="O101" s="383"/>
      <c r="P101" s="384"/>
      <c r="Q101" s="383"/>
      <c r="R101" s="383"/>
      <c r="S101" s="383"/>
      <c r="T101" s="383"/>
      <c r="U101" s="383"/>
      <c r="V101" s="383"/>
      <c r="W101" s="383"/>
      <c r="X101" s="383"/>
      <c r="Y101" s="383"/>
      <c r="Z101" s="383"/>
      <c r="AA101" s="383"/>
      <c r="AB101" s="383"/>
      <c r="AC101" s="383"/>
    </row>
    <row r="102" spans="1:29" x14ac:dyDescent="0.2">
      <c r="A102" s="383"/>
      <c r="B102" s="383"/>
      <c r="C102" s="383"/>
      <c r="D102" s="384"/>
      <c r="E102" s="383"/>
      <c r="F102" s="383"/>
      <c r="G102" s="383"/>
      <c r="H102" s="383"/>
      <c r="I102" s="383"/>
      <c r="J102" s="383"/>
      <c r="K102" s="383"/>
      <c r="L102" s="383"/>
      <c r="M102" s="383"/>
      <c r="N102" s="383"/>
      <c r="O102" s="383"/>
      <c r="P102" s="384"/>
      <c r="Q102" s="383"/>
      <c r="R102" s="383"/>
      <c r="S102" s="383"/>
      <c r="T102" s="383"/>
      <c r="U102" s="383"/>
      <c r="V102" s="383"/>
      <c r="W102" s="383"/>
      <c r="X102" s="383"/>
      <c r="Y102" s="383"/>
      <c r="Z102" s="383"/>
      <c r="AA102" s="383"/>
      <c r="AB102" s="383"/>
      <c r="AC102" s="383"/>
    </row>
    <row r="103" spans="1:29" x14ac:dyDescent="0.2">
      <c r="A103" s="383"/>
      <c r="B103" s="383"/>
      <c r="C103" s="383"/>
      <c r="D103" s="384"/>
      <c r="E103" s="383"/>
      <c r="F103" s="383"/>
      <c r="G103" s="383"/>
      <c r="H103" s="383"/>
      <c r="I103" s="383"/>
      <c r="J103" s="383"/>
      <c r="K103" s="383"/>
      <c r="L103" s="383"/>
      <c r="M103" s="383"/>
      <c r="N103" s="383"/>
      <c r="O103" s="383"/>
      <c r="P103" s="384"/>
      <c r="Q103" s="383"/>
      <c r="R103" s="383"/>
      <c r="S103" s="383"/>
      <c r="T103" s="383"/>
      <c r="U103" s="383"/>
      <c r="V103" s="383"/>
      <c r="W103" s="383"/>
      <c r="X103" s="383"/>
      <c r="Y103" s="383"/>
      <c r="Z103" s="383"/>
      <c r="AA103" s="383"/>
      <c r="AB103" s="383"/>
      <c r="AC103" s="383"/>
    </row>
    <row r="104" spans="1:29" x14ac:dyDescent="0.2">
      <c r="A104" s="383"/>
      <c r="B104" s="383"/>
      <c r="C104" s="383"/>
      <c r="D104" s="384"/>
      <c r="E104" s="383"/>
      <c r="F104" s="383"/>
      <c r="G104" s="383"/>
      <c r="H104" s="383"/>
      <c r="I104" s="383"/>
      <c r="J104" s="383"/>
      <c r="K104" s="383"/>
      <c r="L104" s="383"/>
      <c r="M104" s="383"/>
      <c r="N104" s="383"/>
      <c r="O104" s="383"/>
      <c r="P104" s="384"/>
      <c r="Q104" s="383"/>
      <c r="R104" s="383"/>
      <c r="S104" s="383"/>
      <c r="T104" s="383"/>
      <c r="U104" s="383"/>
      <c r="V104" s="383"/>
      <c r="W104" s="383"/>
      <c r="X104" s="383"/>
      <c r="Y104" s="383"/>
      <c r="Z104" s="383"/>
      <c r="AA104" s="383"/>
      <c r="AB104" s="383"/>
      <c r="AC104" s="383"/>
    </row>
    <row r="105" spans="1:29" x14ac:dyDescent="0.2">
      <c r="A105" s="383"/>
      <c r="B105" s="383"/>
      <c r="C105" s="383"/>
      <c r="D105" s="384"/>
      <c r="E105" s="383"/>
      <c r="F105" s="383"/>
      <c r="G105" s="383"/>
      <c r="H105" s="383"/>
      <c r="I105" s="383"/>
      <c r="J105" s="383"/>
      <c r="K105" s="383"/>
      <c r="L105" s="383"/>
      <c r="M105" s="383"/>
      <c r="N105" s="383"/>
      <c r="O105" s="383"/>
      <c r="P105" s="384"/>
      <c r="Q105" s="383"/>
      <c r="R105" s="383"/>
      <c r="S105" s="383"/>
      <c r="T105" s="383"/>
      <c r="U105" s="383"/>
      <c r="V105" s="383"/>
      <c r="W105" s="383"/>
      <c r="X105" s="383"/>
      <c r="Y105" s="383"/>
      <c r="Z105" s="383"/>
      <c r="AA105" s="383"/>
      <c r="AB105" s="383"/>
      <c r="AC105" s="383"/>
    </row>
    <row r="106" spans="1:29" x14ac:dyDescent="0.2">
      <c r="A106" s="383"/>
      <c r="B106" s="383"/>
      <c r="C106" s="383"/>
      <c r="D106" s="384"/>
      <c r="E106" s="383"/>
      <c r="F106" s="383"/>
      <c r="G106" s="383"/>
      <c r="H106" s="383"/>
      <c r="I106" s="383"/>
      <c r="J106" s="383"/>
      <c r="K106" s="383"/>
      <c r="L106" s="383"/>
      <c r="M106" s="383"/>
      <c r="N106" s="383"/>
      <c r="O106" s="383"/>
      <c r="P106" s="384"/>
      <c r="Q106" s="383"/>
      <c r="R106" s="383"/>
      <c r="S106" s="383"/>
      <c r="T106" s="383"/>
      <c r="U106" s="383"/>
      <c r="V106" s="383"/>
      <c r="W106" s="383"/>
      <c r="X106" s="383"/>
      <c r="Y106" s="383"/>
      <c r="Z106" s="383"/>
      <c r="AA106" s="383"/>
      <c r="AB106" s="383"/>
      <c r="AC106" s="383"/>
    </row>
    <row r="107" spans="1:29" x14ac:dyDescent="0.2">
      <c r="A107" s="383"/>
      <c r="B107" s="383"/>
      <c r="C107" s="383"/>
      <c r="D107" s="384"/>
      <c r="E107" s="383"/>
      <c r="F107" s="383"/>
      <c r="G107" s="383"/>
      <c r="H107" s="383"/>
      <c r="I107" s="383"/>
      <c r="J107" s="383"/>
      <c r="K107" s="383"/>
      <c r="L107" s="383"/>
      <c r="M107" s="383"/>
      <c r="N107" s="383"/>
      <c r="O107" s="383"/>
      <c r="P107" s="384"/>
      <c r="Q107" s="383"/>
      <c r="R107" s="383"/>
      <c r="S107" s="383"/>
      <c r="T107" s="383"/>
      <c r="U107" s="383"/>
      <c r="V107" s="383"/>
      <c r="W107" s="383"/>
      <c r="X107" s="383"/>
      <c r="Y107" s="383"/>
      <c r="Z107" s="383"/>
      <c r="AA107" s="383"/>
      <c r="AB107" s="383"/>
      <c r="AC107" s="383"/>
    </row>
    <row r="108" spans="1:29" x14ac:dyDescent="0.2">
      <c r="A108" s="383"/>
      <c r="B108" s="383"/>
      <c r="C108" s="383"/>
      <c r="D108" s="384"/>
      <c r="E108" s="383"/>
      <c r="F108" s="383"/>
      <c r="G108" s="383"/>
      <c r="H108" s="383"/>
      <c r="I108" s="383"/>
      <c r="J108" s="383"/>
      <c r="K108" s="383"/>
      <c r="L108" s="383"/>
      <c r="M108" s="383"/>
      <c r="N108" s="383"/>
      <c r="O108" s="383"/>
      <c r="P108" s="384"/>
      <c r="Q108" s="383"/>
      <c r="R108" s="383"/>
      <c r="S108" s="383"/>
      <c r="T108" s="383"/>
      <c r="U108" s="383"/>
      <c r="V108" s="383"/>
      <c r="W108" s="383"/>
      <c r="X108" s="383"/>
      <c r="Y108" s="383"/>
      <c r="Z108" s="383"/>
      <c r="AA108" s="383"/>
      <c r="AB108" s="383"/>
      <c r="AC108" s="383"/>
    </row>
    <row r="109" spans="1:29" x14ac:dyDescent="0.2">
      <c r="A109" s="383"/>
      <c r="B109" s="383"/>
      <c r="C109" s="383"/>
      <c r="D109" s="384"/>
      <c r="E109" s="383"/>
      <c r="F109" s="383"/>
      <c r="G109" s="383"/>
      <c r="H109" s="383"/>
      <c r="I109" s="383"/>
      <c r="J109" s="383"/>
      <c r="K109" s="383"/>
      <c r="L109" s="383"/>
      <c r="M109" s="383"/>
      <c r="N109" s="383"/>
      <c r="O109" s="383"/>
      <c r="P109" s="384"/>
      <c r="Q109" s="383"/>
      <c r="R109" s="383"/>
      <c r="S109" s="383"/>
      <c r="T109" s="383"/>
      <c r="U109" s="383"/>
      <c r="V109" s="383"/>
      <c r="W109" s="383"/>
      <c r="X109" s="383"/>
      <c r="Y109" s="383"/>
      <c r="Z109" s="383"/>
      <c r="AA109" s="383"/>
      <c r="AB109" s="383"/>
      <c r="AC109" s="383"/>
    </row>
    <row r="110" spans="1:29" x14ac:dyDescent="0.2">
      <c r="A110" s="383"/>
      <c r="B110" s="383"/>
      <c r="C110" s="383"/>
      <c r="D110" s="384"/>
      <c r="E110" s="383"/>
      <c r="F110" s="383"/>
      <c r="G110" s="383"/>
      <c r="H110" s="383"/>
      <c r="I110" s="383"/>
      <c r="J110" s="383"/>
      <c r="K110" s="383"/>
      <c r="L110" s="383"/>
      <c r="M110" s="383"/>
      <c r="N110" s="383"/>
      <c r="O110" s="383"/>
      <c r="P110" s="384"/>
      <c r="Q110" s="383"/>
      <c r="R110" s="383"/>
      <c r="S110" s="383"/>
      <c r="T110" s="383"/>
      <c r="U110" s="383"/>
      <c r="V110" s="383"/>
      <c r="W110" s="383"/>
      <c r="X110" s="383"/>
      <c r="Y110" s="383"/>
      <c r="Z110" s="383"/>
      <c r="AA110" s="383"/>
      <c r="AB110" s="383"/>
      <c r="AC110" s="383"/>
    </row>
    <row r="111" spans="1:29" x14ac:dyDescent="0.2">
      <c r="A111" s="383"/>
      <c r="B111" s="383"/>
      <c r="C111" s="383"/>
      <c r="D111" s="384"/>
      <c r="E111" s="383"/>
      <c r="F111" s="383"/>
      <c r="G111" s="383"/>
      <c r="H111" s="383"/>
      <c r="I111" s="383"/>
      <c r="J111" s="383"/>
      <c r="K111" s="383"/>
      <c r="L111" s="383"/>
      <c r="M111" s="383"/>
      <c r="N111" s="383"/>
      <c r="O111" s="383"/>
      <c r="P111" s="384"/>
      <c r="Q111" s="383"/>
      <c r="R111" s="383"/>
      <c r="S111" s="383"/>
      <c r="T111" s="383"/>
      <c r="U111" s="383"/>
      <c r="V111" s="383"/>
      <c r="W111" s="383"/>
      <c r="X111" s="383"/>
      <c r="Y111" s="383"/>
      <c r="Z111" s="383"/>
      <c r="AA111" s="383"/>
      <c r="AB111" s="383"/>
      <c r="AC111" s="383"/>
    </row>
    <row r="112" spans="1:29" x14ac:dyDescent="0.2">
      <c r="A112" s="383"/>
      <c r="B112" s="383"/>
      <c r="C112" s="383"/>
      <c r="D112" s="384"/>
      <c r="E112" s="383"/>
      <c r="F112" s="383"/>
      <c r="G112" s="383"/>
      <c r="H112" s="383"/>
      <c r="I112" s="383"/>
      <c r="J112" s="383"/>
      <c r="K112" s="383"/>
      <c r="L112" s="383"/>
      <c r="M112" s="383"/>
      <c r="N112" s="383"/>
      <c r="O112" s="383"/>
      <c r="P112" s="384"/>
      <c r="Q112" s="383"/>
      <c r="R112" s="383"/>
      <c r="S112" s="383"/>
      <c r="T112" s="383"/>
      <c r="U112" s="383"/>
      <c r="V112" s="383"/>
      <c r="W112" s="383"/>
      <c r="X112" s="383"/>
      <c r="Y112" s="383"/>
      <c r="Z112" s="383"/>
      <c r="AA112" s="383"/>
      <c r="AB112" s="383"/>
      <c r="AC112" s="383"/>
    </row>
    <row r="113" spans="1:29" x14ac:dyDescent="0.2">
      <c r="A113" s="383"/>
      <c r="B113" s="383"/>
      <c r="C113" s="383"/>
      <c r="D113" s="384"/>
      <c r="E113" s="383"/>
      <c r="F113" s="383"/>
      <c r="G113" s="383"/>
      <c r="H113" s="383"/>
      <c r="I113" s="383"/>
      <c r="J113" s="383"/>
      <c r="K113" s="383"/>
      <c r="L113" s="383"/>
      <c r="M113" s="383"/>
      <c r="N113" s="383"/>
      <c r="O113" s="383"/>
      <c r="P113" s="384"/>
      <c r="Q113" s="383"/>
      <c r="R113" s="383"/>
      <c r="S113" s="383"/>
      <c r="T113" s="383"/>
      <c r="U113" s="383"/>
      <c r="V113" s="383"/>
      <c r="W113" s="383"/>
      <c r="X113" s="383"/>
      <c r="Y113" s="383"/>
      <c r="Z113" s="383"/>
      <c r="AA113" s="383"/>
      <c r="AB113" s="383"/>
      <c r="AC113" s="383"/>
    </row>
    <row r="114" spans="1:29" x14ac:dyDescent="0.2">
      <c r="A114" s="383"/>
      <c r="B114" s="383"/>
      <c r="C114" s="383"/>
      <c r="D114" s="384"/>
      <c r="E114" s="383"/>
      <c r="F114" s="383"/>
      <c r="G114" s="383"/>
      <c r="H114" s="383"/>
      <c r="I114" s="383"/>
      <c r="J114" s="383"/>
      <c r="K114" s="383"/>
      <c r="L114" s="383"/>
      <c r="M114" s="383"/>
      <c r="N114" s="383"/>
      <c r="O114" s="383"/>
      <c r="P114" s="384"/>
      <c r="Q114" s="383"/>
      <c r="R114" s="383"/>
      <c r="S114" s="383"/>
      <c r="T114" s="383"/>
      <c r="U114" s="383"/>
      <c r="V114" s="383"/>
      <c r="W114" s="383"/>
      <c r="X114" s="383"/>
      <c r="Y114" s="383"/>
      <c r="Z114" s="383"/>
      <c r="AA114" s="383"/>
      <c r="AB114" s="383"/>
      <c r="AC114" s="383"/>
    </row>
    <row r="115" spans="1:29" x14ac:dyDescent="0.2">
      <c r="A115" s="383"/>
      <c r="B115" s="383"/>
      <c r="C115" s="383"/>
      <c r="D115" s="384"/>
      <c r="E115" s="383"/>
      <c r="F115" s="383"/>
      <c r="G115" s="383"/>
      <c r="H115" s="383"/>
      <c r="I115" s="383"/>
      <c r="J115" s="383"/>
      <c r="K115" s="383"/>
      <c r="L115" s="383"/>
      <c r="M115" s="383"/>
      <c r="N115" s="383"/>
      <c r="O115" s="383"/>
      <c r="P115" s="384"/>
      <c r="Q115" s="383"/>
      <c r="R115" s="383"/>
      <c r="S115" s="383"/>
      <c r="T115" s="383"/>
      <c r="U115" s="383"/>
      <c r="V115" s="383"/>
      <c r="W115" s="383"/>
      <c r="X115" s="383"/>
      <c r="Y115" s="383"/>
      <c r="Z115" s="383"/>
      <c r="AA115" s="383"/>
      <c r="AB115" s="383"/>
      <c r="AC115" s="383"/>
    </row>
    <row r="116" spans="1:29" x14ac:dyDescent="0.2">
      <c r="A116" s="383"/>
      <c r="B116" s="383"/>
      <c r="C116" s="383"/>
      <c r="D116" s="384"/>
      <c r="E116" s="383"/>
      <c r="F116" s="383"/>
      <c r="G116" s="383"/>
      <c r="H116" s="383"/>
      <c r="I116" s="383"/>
      <c r="J116" s="383"/>
      <c r="K116" s="383"/>
      <c r="L116" s="383"/>
      <c r="M116" s="383"/>
      <c r="N116" s="383"/>
      <c r="O116" s="383"/>
      <c r="P116" s="384"/>
      <c r="Q116" s="383"/>
      <c r="R116" s="383"/>
      <c r="S116" s="383"/>
      <c r="T116" s="383"/>
      <c r="U116" s="383"/>
      <c r="V116" s="383"/>
      <c r="W116" s="383"/>
      <c r="X116" s="383"/>
      <c r="Y116" s="383"/>
      <c r="Z116" s="383"/>
      <c r="AA116" s="383"/>
      <c r="AB116" s="383"/>
      <c r="AC116" s="383"/>
    </row>
    <row r="117" spans="1:29" x14ac:dyDescent="0.2">
      <c r="A117" s="383"/>
      <c r="B117" s="383"/>
      <c r="C117" s="383"/>
      <c r="D117" s="384"/>
      <c r="E117" s="383"/>
      <c r="F117" s="383"/>
      <c r="G117" s="383"/>
      <c r="H117" s="383"/>
      <c r="I117" s="383"/>
      <c r="J117" s="383"/>
      <c r="K117" s="383"/>
      <c r="L117" s="383"/>
      <c r="M117" s="383"/>
      <c r="N117" s="383"/>
      <c r="O117" s="383"/>
      <c r="P117" s="384"/>
      <c r="Q117" s="383"/>
      <c r="R117" s="383"/>
      <c r="S117" s="383"/>
      <c r="T117" s="383"/>
      <c r="U117" s="383"/>
      <c r="V117" s="383"/>
      <c r="W117" s="383"/>
      <c r="X117" s="383"/>
      <c r="Y117" s="383"/>
      <c r="Z117" s="383"/>
      <c r="AA117" s="383"/>
      <c r="AB117" s="383"/>
      <c r="AC117" s="383"/>
    </row>
    <row r="118" spans="1:29" x14ac:dyDescent="0.2">
      <c r="A118" s="383"/>
      <c r="B118" s="383"/>
      <c r="C118" s="383"/>
      <c r="D118" s="384"/>
      <c r="E118" s="383"/>
      <c r="F118" s="383"/>
      <c r="G118" s="383"/>
      <c r="H118" s="383"/>
      <c r="I118" s="383"/>
      <c r="J118" s="383"/>
      <c r="K118" s="383"/>
      <c r="L118" s="383"/>
      <c r="M118" s="383"/>
      <c r="N118" s="383"/>
      <c r="O118" s="383"/>
      <c r="P118" s="384"/>
      <c r="Q118" s="383"/>
      <c r="R118" s="383"/>
      <c r="S118" s="383"/>
      <c r="T118" s="383"/>
      <c r="U118" s="383"/>
      <c r="V118" s="383"/>
      <c r="W118" s="383"/>
      <c r="X118" s="383"/>
      <c r="Y118" s="383"/>
      <c r="Z118" s="383"/>
      <c r="AA118" s="383"/>
      <c r="AB118" s="383"/>
      <c r="AC118" s="383"/>
    </row>
    <row r="119" spans="1:29" x14ac:dyDescent="0.2">
      <c r="A119" s="383"/>
      <c r="B119" s="383"/>
      <c r="C119" s="383"/>
      <c r="D119" s="384"/>
      <c r="E119" s="383"/>
      <c r="F119" s="383"/>
      <c r="G119" s="383"/>
      <c r="H119" s="383"/>
      <c r="I119" s="383"/>
      <c r="J119" s="383"/>
      <c r="K119" s="383"/>
      <c r="L119" s="383"/>
      <c r="M119" s="383"/>
      <c r="N119" s="383"/>
      <c r="O119" s="383"/>
      <c r="P119" s="384"/>
      <c r="Q119" s="383"/>
      <c r="R119" s="383"/>
      <c r="S119" s="383"/>
      <c r="T119" s="383"/>
      <c r="U119" s="383"/>
      <c r="V119" s="383"/>
      <c r="W119" s="383"/>
      <c r="X119" s="383"/>
      <c r="Y119" s="383"/>
      <c r="Z119" s="383"/>
      <c r="AA119" s="383"/>
      <c r="AB119" s="383"/>
      <c r="AC119" s="383"/>
    </row>
    <row r="120" spans="1:29" x14ac:dyDescent="0.2">
      <c r="A120" s="383"/>
      <c r="B120" s="383"/>
      <c r="C120" s="383"/>
      <c r="D120" s="384"/>
      <c r="E120" s="383"/>
      <c r="F120" s="383"/>
      <c r="G120" s="383"/>
      <c r="H120" s="383"/>
      <c r="I120" s="383"/>
      <c r="J120" s="383"/>
      <c r="K120" s="383"/>
      <c r="L120" s="383"/>
      <c r="M120" s="383"/>
      <c r="N120" s="383"/>
      <c r="O120" s="383"/>
      <c r="P120" s="384"/>
      <c r="Q120" s="383"/>
      <c r="R120" s="383"/>
      <c r="S120" s="383"/>
      <c r="T120" s="383"/>
      <c r="U120" s="383"/>
      <c r="V120" s="383"/>
      <c r="W120" s="383"/>
      <c r="X120" s="383"/>
      <c r="Y120" s="383"/>
      <c r="Z120" s="383"/>
      <c r="AA120" s="383"/>
      <c r="AB120" s="383"/>
      <c r="AC120" s="383"/>
    </row>
    <row r="121" spans="1:29" x14ac:dyDescent="0.2">
      <c r="A121" s="383"/>
      <c r="B121" s="383"/>
      <c r="C121" s="383"/>
      <c r="D121" s="384"/>
      <c r="E121" s="383"/>
      <c r="F121" s="383"/>
      <c r="G121" s="383"/>
      <c r="H121" s="383"/>
      <c r="I121" s="383"/>
      <c r="J121" s="383"/>
      <c r="K121" s="383"/>
      <c r="L121" s="383"/>
      <c r="M121" s="383"/>
      <c r="N121" s="383"/>
      <c r="O121" s="383"/>
      <c r="P121" s="384"/>
      <c r="Q121" s="383"/>
      <c r="R121" s="383"/>
      <c r="S121" s="383"/>
      <c r="T121" s="383"/>
      <c r="U121" s="383"/>
      <c r="V121" s="383"/>
      <c r="W121" s="383"/>
      <c r="X121" s="383"/>
      <c r="Y121" s="383"/>
      <c r="Z121" s="383"/>
      <c r="AA121" s="383"/>
      <c r="AB121" s="383"/>
      <c r="AC121" s="383"/>
    </row>
    <row r="122" spans="1:29" x14ac:dyDescent="0.2">
      <c r="A122" s="383"/>
      <c r="B122" s="383"/>
      <c r="C122" s="383"/>
      <c r="D122" s="384"/>
      <c r="E122" s="383"/>
      <c r="F122" s="383"/>
      <c r="G122" s="383"/>
      <c r="H122" s="383"/>
      <c r="I122" s="383"/>
      <c r="J122" s="383"/>
      <c r="K122" s="383"/>
      <c r="L122" s="383"/>
      <c r="M122" s="383"/>
      <c r="N122" s="383"/>
      <c r="O122" s="383"/>
      <c r="P122" s="384"/>
      <c r="Q122" s="383"/>
      <c r="R122" s="383"/>
      <c r="S122" s="383"/>
      <c r="T122" s="383"/>
      <c r="U122" s="383"/>
      <c r="V122" s="383"/>
      <c r="W122" s="383"/>
      <c r="X122" s="383"/>
      <c r="Y122" s="383"/>
      <c r="Z122" s="383"/>
      <c r="AA122" s="383"/>
      <c r="AB122" s="383"/>
      <c r="AC122" s="383"/>
    </row>
    <row r="123" spans="1:29" x14ac:dyDescent="0.2">
      <c r="A123" s="383"/>
      <c r="B123" s="383"/>
      <c r="C123" s="383"/>
      <c r="D123" s="384"/>
      <c r="E123" s="383"/>
      <c r="F123" s="383"/>
      <c r="G123" s="383"/>
      <c r="H123" s="383"/>
      <c r="I123" s="383"/>
      <c r="J123" s="383"/>
      <c r="K123" s="383"/>
      <c r="L123" s="383"/>
      <c r="M123" s="383"/>
      <c r="N123" s="383"/>
      <c r="O123" s="383"/>
      <c r="P123" s="384"/>
      <c r="Q123" s="383"/>
      <c r="R123" s="383"/>
      <c r="S123" s="383"/>
      <c r="T123" s="383"/>
      <c r="U123" s="383"/>
      <c r="V123" s="383"/>
      <c r="W123" s="383"/>
      <c r="X123" s="383"/>
      <c r="Y123" s="383"/>
      <c r="Z123" s="383"/>
      <c r="AA123" s="383"/>
      <c r="AB123" s="383"/>
      <c r="AC123" s="383"/>
    </row>
    <row r="124" spans="1:29" x14ac:dyDescent="0.2">
      <c r="A124" s="383"/>
      <c r="B124" s="383"/>
      <c r="C124" s="383"/>
      <c r="D124" s="384"/>
      <c r="E124" s="383"/>
      <c r="F124" s="383"/>
      <c r="G124" s="383"/>
      <c r="H124" s="383"/>
      <c r="I124" s="383"/>
      <c r="J124" s="383"/>
      <c r="K124" s="383"/>
      <c r="L124" s="383"/>
      <c r="M124" s="383"/>
      <c r="N124" s="383"/>
      <c r="O124" s="383"/>
      <c r="P124" s="384"/>
      <c r="Q124" s="383"/>
      <c r="R124" s="383"/>
      <c r="S124" s="383"/>
      <c r="T124" s="383"/>
      <c r="U124" s="383"/>
      <c r="V124" s="383"/>
      <c r="W124" s="383"/>
      <c r="X124" s="383"/>
      <c r="Y124" s="383"/>
      <c r="Z124" s="383"/>
      <c r="AA124" s="383"/>
      <c r="AB124" s="383"/>
      <c r="AC124" s="383"/>
    </row>
    <row r="125" spans="1:29" x14ac:dyDescent="0.2">
      <c r="A125" s="383"/>
      <c r="B125" s="383"/>
      <c r="C125" s="383"/>
      <c r="D125" s="384"/>
      <c r="E125" s="383"/>
      <c r="F125" s="383"/>
      <c r="G125" s="383"/>
      <c r="H125" s="383"/>
      <c r="I125" s="383"/>
      <c r="J125" s="383"/>
      <c r="K125" s="383"/>
      <c r="L125" s="383"/>
      <c r="M125" s="383"/>
      <c r="N125" s="383"/>
      <c r="O125" s="383"/>
      <c r="P125" s="384"/>
      <c r="Q125" s="383"/>
      <c r="R125" s="383"/>
      <c r="S125" s="383"/>
      <c r="T125" s="383"/>
      <c r="U125" s="383"/>
      <c r="V125" s="383"/>
      <c r="W125" s="383"/>
      <c r="X125" s="383"/>
      <c r="Y125" s="383"/>
      <c r="Z125" s="383"/>
      <c r="AA125" s="383"/>
      <c r="AB125" s="383"/>
      <c r="AC125" s="383"/>
    </row>
    <row r="126" spans="1:29" x14ac:dyDescent="0.2">
      <c r="A126" s="383"/>
      <c r="B126" s="383"/>
      <c r="C126" s="383"/>
      <c r="D126" s="384"/>
      <c r="E126" s="383"/>
      <c r="F126" s="383"/>
      <c r="G126" s="383"/>
      <c r="H126" s="383"/>
      <c r="I126" s="383"/>
      <c r="J126" s="383"/>
      <c r="K126" s="383"/>
      <c r="L126" s="383"/>
      <c r="M126" s="383"/>
      <c r="N126" s="383"/>
      <c r="O126" s="383"/>
      <c r="P126" s="384"/>
      <c r="Q126" s="383"/>
      <c r="R126" s="383"/>
      <c r="S126" s="383"/>
      <c r="T126" s="383"/>
      <c r="U126" s="383"/>
      <c r="V126" s="383"/>
      <c r="W126" s="383"/>
      <c r="X126" s="383"/>
      <c r="Y126" s="383"/>
      <c r="Z126" s="383"/>
      <c r="AA126" s="383"/>
      <c r="AB126" s="383"/>
      <c r="AC126" s="383"/>
    </row>
    <row r="127" spans="1:29" x14ac:dyDescent="0.2">
      <c r="A127" s="383"/>
      <c r="B127" s="383"/>
      <c r="C127" s="383"/>
      <c r="D127" s="384"/>
      <c r="E127" s="383"/>
      <c r="F127" s="383"/>
      <c r="G127" s="383"/>
      <c r="H127" s="383"/>
      <c r="I127" s="383"/>
      <c r="J127" s="383"/>
      <c r="K127" s="383"/>
      <c r="L127" s="383"/>
      <c r="M127" s="383"/>
      <c r="N127" s="383"/>
      <c r="O127" s="383"/>
      <c r="P127" s="384"/>
      <c r="Q127" s="383"/>
      <c r="R127" s="383"/>
      <c r="S127" s="383"/>
      <c r="T127" s="383"/>
      <c r="U127" s="383"/>
      <c r="V127" s="383"/>
      <c r="W127" s="383"/>
      <c r="X127" s="383"/>
      <c r="Y127" s="383"/>
      <c r="Z127" s="383"/>
      <c r="AA127" s="383"/>
      <c r="AB127" s="383"/>
      <c r="AC127" s="383"/>
    </row>
    <row r="128" spans="1:29" x14ac:dyDescent="0.2">
      <c r="A128" s="383"/>
      <c r="B128" s="383"/>
      <c r="C128" s="383"/>
      <c r="D128" s="384"/>
      <c r="E128" s="383"/>
      <c r="F128" s="383"/>
      <c r="G128" s="383"/>
      <c r="H128" s="383"/>
      <c r="I128" s="383"/>
      <c r="J128" s="383"/>
      <c r="K128" s="383"/>
      <c r="L128" s="383"/>
      <c r="M128" s="383"/>
      <c r="N128" s="383"/>
      <c r="O128" s="383"/>
      <c r="P128" s="384"/>
      <c r="Q128" s="383"/>
      <c r="R128" s="383"/>
      <c r="S128" s="383"/>
      <c r="T128" s="383"/>
      <c r="U128" s="383"/>
      <c r="V128" s="383"/>
      <c r="W128" s="383"/>
      <c r="X128" s="383"/>
      <c r="Y128" s="383"/>
      <c r="Z128" s="383"/>
      <c r="AA128" s="383"/>
      <c r="AB128" s="383"/>
      <c r="AC128" s="383"/>
    </row>
    <row r="129" spans="1:29" x14ac:dyDescent="0.2">
      <c r="A129" s="383"/>
      <c r="B129" s="383"/>
      <c r="C129" s="383"/>
      <c r="D129" s="384"/>
      <c r="E129" s="383"/>
      <c r="F129" s="383"/>
      <c r="G129" s="383"/>
      <c r="H129" s="383"/>
      <c r="I129" s="383"/>
      <c r="J129" s="383"/>
      <c r="K129" s="383"/>
      <c r="L129" s="383"/>
      <c r="M129" s="383"/>
      <c r="N129" s="383"/>
      <c r="O129" s="383"/>
      <c r="P129" s="384"/>
      <c r="Q129" s="383"/>
      <c r="R129" s="383"/>
      <c r="S129" s="383"/>
      <c r="T129" s="383"/>
      <c r="U129" s="383"/>
      <c r="V129" s="383"/>
      <c r="W129" s="383"/>
      <c r="X129" s="383"/>
      <c r="Y129" s="383"/>
      <c r="Z129" s="383"/>
      <c r="AA129" s="383"/>
      <c r="AB129" s="383"/>
      <c r="AC129" s="383"/>
    </row>
    <row r="130" spans="1:29" x14ac:dyDescent="0.2">
      <c r="A130" s="383"/>
      <c r="B130" s="383"/>
      <c r="C130" s="383"/>
      <c r="D130" s="384"/>
      <c r="E130" s="383"/>
      <c r="F130" s="383"/>
      <c r="G130" s="383"/>
      <c r="H130" s="383"/>
      <c r="I130" s="383"/>
      <c r="J130" s="383"/>
      <c r="K130" s="383"/>
      <c r="L130" s="383"/>
      <c r="M130" s="383"/>
      <c r="N130" s="383"/>
      <c r="O130" s="383"/>
      <c r="P130" s="384"/>
      <c r="Q130" s="383"/>
      <c r="R130" s="383"/>
      <c r="S130" s="383"/>
      <c r="T130" s="383"/>
      <c r="U130" s="383"/>
      <c r="V130" s="383"/>
      <c r="W130" s="383"/>
      <c r="X130" s="383"/>
      <c r="Y130" s="383"/>
      <c r="Z130" s="383"/>
      <c r="AA130" s="383"/>
      <c r="AB130" s="383"/>
      <c r="AC130" s="383"/>
    </row>
    <row r="131" spans="1:29" x14ac:dyDescent="0.2">
      <c r="A131" s="383"/>
      <c r="B131" s="383"/>
      <c r="C131" s="383"/>
      <c r="D131" s="384"/>
      <c r="E131" s="383"/>
      <c r="F131" s="383"/>
      <c r="G131" s="383"/>
      <c r="H131" s="383"/>
      <c r="I131" s="383"/>
      <c r="J131" s="383"/>
      <c r="K131" s="383"/>
      <c r="L131" s="383"/>
      <c r="M131" s="383"/>
      <c r="N131" s="383"/>
      <c r="O131" s="383"/>
      <c r="P131" s="384"/>
      <c r="Q131" s="383"/>
      <c r="R131" s="383"/>
      <c r="S131" s="383"/>
      <c r="T131" s="383"/>
      <c r="U131" s="383"/>
      <c r="V131" s="383"/>
      <c r="W131" s="383"/>
      <c r="X131" s="383"/>
      <c r="Y131" s="383"/>
      <c r="Z131" s="383"/>
      <c r="AA131" s="383"/>
      <c r="AB131" s="383"/>
      <c r="AC131" s="383"/>
    </row>
    <row r="132" spans="1:29" x14ac:dyDescent="0.2">
      <c r="A132" s="383"/>
      <c r="B132" s="383"/>
      <c r="C132" s="383"/>
      <c r="D132" s="384"/>
      <c r="E132" s="383"/>
      <c r="F132" s="383"/>
      <c r="G132" s="383"/>
      <c r="H132" s="383"/>
      <c r="I132" s="383"/>
      <c r="J132" s="383"/>
      <c r="K132" s="383"/>
      <c r="L132" s="383"/>
      <c r="M132" s="383"/>
      <c r="N132" s="383"/>
      <c r="O132" s="383"/>
      <c r="P132" s="384"/>
      <c r="Q132" s="383"/>
      <c r="R132" s="383"/>
      <c r="S132" s="383"/>
      <c r="T132" s="383"/>
      <c r="U132" s="383"/>
      <c r="V132" s="383"/>
      <c r="W132" s="383"/>
      <c r="X132" s="383"/>
      <c r="Y132" s="383"/>
      <c r="Z132" s="383"/>
      <c r="AA132" s="383"/>
      <c r="AB132" s="383"/>
      <c r="AC132" s="383"/>
    </row>
    <row r="133" spans="1:29" x14ac:dyDescent="0.2">
      <c r="A133" s="383"/>
      <c r="B133" s="383"/>
      <c r="C133" s="383"/>
      <c r="D133" s="384"/>
      <c r="E133" s="383"/>
      <c r="F133" s="383"/>
      <c r="G133" s="383"/>
      <c r="H133" s="383"/>
      <c r="I133" s="383"/>
      <c r="J133" s="383"/>
      <c r="K133" s="383"/>
      <c r="L133" s="383"/>
      <c r="M133" s="383"/>
      <c r="N133" s="383"/>
      <c r="O133" s="383"/>
      <c r="P133" s="384"/>
      <c r="Q133" s="383"/>
      <c r="R133" s="383"/>
      <c r="S133" s="383"/>
      <c r="T133" s="383"/>
      <c r="U133" s="383"/>
      <c r="V133" s="383"/>
      <c r="W133" s="383"/>
      <c r="X133" s="383"/>
      <c r="Y133" s="383"/>
      <c r="Z133" s="383"/>
      <c r="AA133" s="383"/>
      <c r="AB133" s="383"/>
      <c r="AC133" s="383"/>
    </row>
    <row r="134" spans="1:29" x14ac:dyDescent="0.2">
      <c r="A134" s="383"/>
      <c r="B134" s="383"/>
      <c r="C134" s="383"/>
      <c r="D134" s="384"/>
      <c r="E134" s="383"/>
      <c r="F134" s="383"/>
      <c r="G134" s="383"/>
      <c r="H134" s="383"/>
      <c r="I134" s="383"/>
      <c r="J134" s="383"/>
      <c r="K134" s="383"/>
      <c r="L134" s="383"/>
      <c r="M134" s="383"/>
      <c r="N134" s="383"/>
      <c r="O134" s="383"/>
      <c r="P134" s="384"/>
      <c r="Q134" s="383"/>
      <c r="R134" s="383"/>
      <c r="S134" s="383"/>
      <c r="T134" s="383"/>
      <c r="U134" s="383"/>
      <c r="V134" s="383"/>
      <c r="W134" s="383"/>
      <c r="X134" s="383"/>
      <c r="Y134" s="383"/>
      <c r="Z134" s="383"/>
      <c r="AA134" s="383"/>
      <c r="AB134" s="383"/>
      <c r="AC134" s="383"/>
    </row>
    <row r="135" spans="1:29" x14ac:dyDescent="0.2">
      <c r="A135" s="383"/>
      <c r="B135" s="383"/>
      <c r="C135" s="383"/>
      <c r="D135" s="384"/>
      <c r="E135" s="383"/>
      <c r="F135" s="383"/>
      <c r="G135" s="383"/>
      <c r="H135" s="383"/>
      <c r="I135" s="383"/>
      <c r="J135" s="383"/>
      <c r="K135" s="383"/>
      <c r="L135" s="383"/>
      <c r="M135" s="383"/>
      <c r="N135" s="383"/>
      <c r="O135" s="383"/>
      <c r="P135" s="384"/>
      <c r="Q135" s="383"/>
      <c r="R135" s="383"/>
      <c r="S135" s="383"/>
      <c r="T135" s="383"/>
      <c r="U135" s="383"/>
      <c r="V135" s="383"/>
      <c r="W135" s="383"/>
      <c r="X135" s="383"/>
      <c r="Y135" s="383"/>
      <c r="Z135" s="383"/>
      <c r="AA135" s="383"/>
      <c r="AB135" s="383"/>
      <c r="AC135" s="383"/>
    </row>
    <row r="136" spans="1:29" x14ac:dyDescent="0.2">
      <c r="A136" s="383"/>
      <c r="B136" s="383"/>
      <c r="C136" s="383"/>
      <c r="D136" s="384"/>
      <c r="E136" s="383"/>
      <c r="F136" s="383"/>
      <c r="G136" s="383"/>
      <c r="H136" s="383"/>
      <c r="I136" s="383"/>
      <c r="J136" s="383"/>
      <c r="K136" s="383"/>
      <c r="L136" s="383"/>
      <c r="M136" s="383"/>
      <c r="N136" s="383"/>
      <c r="O136" s="383"/>
      <c r="P136" s="384"/>
      <c r="Q136" s="383"/>
      <c r="R136" s="383"/>
      <c r="S136" s="383"/>
      <c r="T136" s="383"/>
      <c r="U136" s="383"/>
      <c r="V136" s="383"/>
      <c r="W136" s="383"/>
      <c r="X136" s="383"/>
      <c r="Y136" s="383"/>
      <c r="Z136" s="383"/>
      <c r="AA136" s="383"/>
      <c r="AB136" s="383"/>
      <c r="AC136" s="383"/>
    </row>
    <row r="137" spans="1:29" x14ac:dyDescent="0.2">
      <c r="A137" s="383"/>
      <c r="B137" s="383"/>
      <c r="C137" s="383"/>
      <c r="D137" s="384"/>
      <c r="E137" s="383"/>
      <c r="F137" s="383"/>
      <c r="G137" s="383"/>
      <c r="H137" s="383"/>
      <c r="I137" s="383"/>
      <c r="J137" s="383"/>
      <c r="K137" s="383"/>
      <c r="L137" s="383"/>
      <c r="M137" s="383"/>
      <c r="N137" s="383"/>
      <c r="O137" s="383"/>
      <c r="P137" s="384"/>
      <c r="Q137" s="383"/>
      <c r="R137" s="383"/>
      <c r="S137" s="383"/>
      <c r="T137" s="383"/>
      <c r="U137" s="383"/>
      <c r="V137" s="383"/>
      <c r="W137" s="383"/>
      <c r="X137" s="383"/>
      <c r="Y137" s="383"/>
      <c r="Z137" s="383"/>
      <c r="AA137" s="383"/>
      <c r="AB137" s="383"/>
      <c r="AC137" s="383"/>
    </row>
    <row r="138" spans="1:29" x14ac:dyDescent="0.2">
      <c r="A138" s="383"/>
      <c r="B138" s="383"/>
      <c r="C138" s="383"/>
      <c r="D138" s="384"/>
      <c r="E138" s="383"/>
      <c r="F138" s="383"/>
      <c r="G138" s="383"/>
      <c r="H138" s="383"/>
      <c r="I138" s="383"/>
      <c r="J138" s="383"/>
      <c r="K138" s="383"/>
      <c r="L138" s="383"/>
      <c r="M138" s="383"/>
      <c r="N138" s="383"/>
      <c r="O138" s="383"/>
      <c r="P138" s="384"/>
      <c r="Q138" s="383"/>
      <c r="R138" s="383"/>
      <c r="S138" s="383"/>
      <c r="T138" s="383"/>
      <c r="U138" s="383"/>
      <c r="V138" s="383"/>
      <c r="W138" s="383"/>
      <c r="X138" s="383"/>
      <c r="Y138" s="383"/>
      <c r="Z138" s="383"/>
      <c r="AA138" s="383"/>
      <c r="AB138" s="383"/>
      <c r="AC138" s="383"/>
    </row>
    <row r="139" spans="1:29" x14ac:dyDescent="0.2">
      <c r="A139" s="383"/>
      <c r="B139" s="383"/>
      <c r="C139" s="383"/>
      <c r="D139" s="384"/>
      <c r="E139" s="383"/>
      <c r="F139" s="383"/>
      <c r="G139" s="383"/>
      <c r="H139" s="383"/>
      <c r="I139" s="383"/>
      <c r="J139" s="383"/>
      <c r="K139" s="383"/>
      <c r="L139" s="383"/>
      <c r="M139" s="383"/>
      <c r="N139" s="383"/>
      <c r="O139" s="383"/>
      <c r="P139" s="384"/>
      <c r="Q139" s="383"/>
      <c r="R139" s="383"/>
      <c r="S139" s="383"/>
      <c r="T139" s="383"/>
      <c r="U139" s="383"/>
      <c r="V139" s="383"/>
      <c r="W139" s="383"/>
      <c r="X139" s="383"/>
      <c r="Y139" s="383"/>
      <c r="Z139" s="383"/>
      <c r="AA139" s="383"/>
      <c r="AB139" s="383"/>
      <c r="AC139" s="383"/>
    </row>
    <row r="140" spans="1:29" x14ac:dyDescent="0.2">
      <c r="A140" s="383"/>
      <c r="B140" s="383"/>
      <c r="C140" s="383"/>
      <c r="D140" s="384"/>
      <c r="E140" s="383"/>
      <c r="F140" s="383"/>
      <c r="G140" s="383"/>
      <c r="H140" s="383"/>
      <c r="I140" s="383"/>
      <c r="J140" s="383"/>
      <c r="K140" s="383"/>
      <c r="L140" s="383"/>
      <c r="M140" s="383"/>
      <c r="N140" s="383"/>
      <c r="O140" s="383"/>
      <c r="P140" s="384"/>
      <c r="Q140" s="383"/>
      <c r="R140" s="383"/>
      <c r="S140" s="383"/>
      <c r="T140" s="383"/>
      <c r="U140" s="383"/>
      <c r="V140" s="383"/>
      <c r="W140" s="383"/>
      <c r="X140" s="383"/>
      <c r="Y140" s="383"/>
      <c r="Z140" s="383"/>
      <c r="AA140" s="383"/>
      <c r="AB140" s="383"/>
      <c r="AC140" s="383"/>
    </row>
    <row r="141" spans="1:29" x14ac:dyDescent="0.2">
      <c r="A141" s="383"/>
      <c r="B141" s="383"/>
      <c r="C141" s="383"/>
      <c r="D141" s="384"/>
      <c r="E141" s="383"/>
      <c r="F141" s="383"/>
      <c r="G141" s="383"/>
      <c r="H141" s="383"/>
      <c r="I141" s="383"/>
      <c r="J141" s="383"/>
      <c r="K141" s="383"/>
      <c r="L141" s="383"/>
      <c r="M141" s="383"/>
      <c r="N141" s="383"/>
      <c r="O141" s="383"/>
      <c r="P141" s="384"/>
      <c r="Q141" s="383"/>
      <c r="R141" s="383"/>
      <c r="S141" s="383"/>
      <c r="T141" s="383"/>
      <c r="U141" s="383"/>
      <c r="V141" s="383"/>
      <c r="W141" s="383"/>
      <c r="X141" s="383"/>
      <c r="Y141" s="383"/>
      <c r="Z141" s="383"/>
      <c r="AA141" s="383"/>
      <c r="AB141" s="383"/>
      <c r="AC141" s="383"/>
    </row>
    <row r="142" spans="1:29" x14ac:dyDescent="0.2">
      <c r="A142" s="383"/>
      <c r="B142" s="383"/>
      <c r="C142" s="383"/>
      <c r="D142" s="384"/>
      <c r="E142" s="383"/>
      <c r="F142" s="383"/>
      <c r="G142" s="383"/>
      <c r="H142" s="383"/>
      <c r="I142" s="383"/>
      <c r="J142" s="383"/>
      <c r="K142" s="383"/>
      <c r="L142" s="383"/>
      <c r="M142" s="383"/>
      <c r="N142" s="383"/>
      <c r="O142" s="383"/>
      <c r="P142" s="384"/>
      <c r="Q142" s="383"/>
      <c r="R142" s="383"/>
      <c r="S142" s="383"/>
      <c r="T142" s="383"/>
      <c r="U142" s="383"/>
      <c r="V142" s="383"/>
      <c r="W142" s="383"/>
      <c r="X142" s="383"/>
      <c r="Y142" s="383"/>
      <c r="Z142" s="383"/>
      <c r="AA142" s="383"/>
      <c r="AB142" s="383"/>
      <c r="AC142" s="383"/>
    </row>
    <row r="143" spans="1:29" x14ac:dyDescent="0.2">
      <c r="A143" s="383"/>
      <c r="B143" s="383"/>
      <c r="C143" s="383"/>
      <c r="D143" s="384"/>
      <c r="E143" s="383"/>
      <c r="F143" s="383"/>
      <c r="G143" s="383"/>
      <c r="H143" s="383"/>
      <c r="I143" s="383"/>
      <c r="J143" s="383"/>
      <c r="K143" s="383"/>
      <c r="L143" s="383"/>
      <c r="M143" s="383"/>
      <c r="N143" s="383"/>
      <c r="O143" s="383"/>
      <c r="P143" s="384"/>
      <c r="Q143" s="383"/>
      <c r="R143" s="383"/>
      <c r="S143" s="383"/>
      <c r="T143" s="383"/>
      <c r="U143" s="383"/>
      <c r="V143" s="383"/>
      <c r="W143" s="383"/>
      <c r="X143" s="383"/>
      <c r="Y143" s="383"/>
      <c r="Z143" s="383"/>
      <c r="AA143" s="383"/>
      <c r="AB143" s="383"/>
      <c r="AC143" s="383"/>
    </row>
    <row r="144" spans="1:29" x14ac:dyDescent="0.2">
      <c r="A144" s="383"/>
      <c r="B144" s="383"/>
      <c r="C144" s="383"/>
      <c r="D144" s="384"/>
      <c r="E144" s="383"/>
      <c r="F144" s="383"/>
      <c r="G144" s="383"/>
      <c r="H144" s="383"/>
      <c r="I144" s="383"/>
      <c r="J144" s="383"/>
      <c r="K144" s="383"/>
      <c r="L144" s="383"/>
      <c r="M144" s="383"/>
      <c r="N144" s="383"/>
      <c r="O144" s="383"/>
      <c r="P144" s="384"/>
      <c r="Q144" s="383"/>
      <c r="R144" s="383"/>
      <c r="S144" s="383"/>
      <c r="T144" s="383"/>
      <c r="U144" s="383"/>
      <c r="V144" s="383"/>
      <c r="W144" s="383"/>
      <c r="X144" s="383"/>
      <c r="Y144" s="383"/>
      <c r="Z144" s="383"/>
      <c r="AA144" s="383"/>
      <c r="AB144" s="383"/>
      <c r="AC144" s="383"/>
    </row>
    <row r="145" spans="1:29" x14ac:dyDescent="0.2">
      <c r="A145" s="383"/>
      <c r="B145" s="383"/>
      <c r="C145" s="383"/>
      <c r="D145" s="384"/>
      <c r="E145" s="383"/>
      <c r="F145" s="383"/>
      <c r="G145" s="383"/>
      <c r="H145" s="383"/>
      <c r="I145" s="383"/>
      <c r="J145" s="383"/>
      <c r="K145" s="383"/>
      <c r="L145" s="383"/>
      <c r="M145" s="383"/>
      <c r="N145" s="383"/>
      <c r="O145" s="383"/>
      <c r="P145" s="384"/>
      <c r="Q145" s="383"/>
      <c r="R145" s="383"/>
      <c r="S145" s="383"/>
      <c r="T145" s="383"/>
      <c r="U145" s="383"/>
      <c r="V145" s="383"/>
      <c r="W145" s="383"/>
      <c r="X145" s="383"/>
      <c r="Y145" s="383"/>
      <c r="Z145" s="383"/>
      <c r="AA145" s="383"/>
      <c r="AB145" s="383"/>
      <c r="AC145" s="383"/>
    </row>
    <row r="146" spans="1:29" x14ac:dyDescent="0.2">
      <c r="A146" s="383"/>
      <c r="B146" s="383"/>
      <c r="C146" s="383"/>
      <c r="D146" s="384"/>
      <c r="E146" s="383"/>
      <c r="F146" s="383"/>
      <c r="G146" s="383"/>
      <c r="H146" s="383"/>
      <c r="I146" s="383"/>
      <c r="J146" s="383"/>
      <c r="K146" s="383"/>
      <c r="L146" s="383"/>
      <c r="M146" s="383"/>
      <c r="N146" s="383"/>
      <c r="O146" s="383"/>
      <c r="P146" s="384"/>
      <c r="Q146" s="383"/>
      <c r="R146" s="383"/>
      <c r="S146" s="383"/>
      <c r="T146" s="383"/>
      <c r="U146" s="383"/>
      <c r="V146" s="383"/>
      <c r="W146" s="383"/>
      <c r="X146" s="383"/>
      <c r="Y146" s="383"/>
      <c r="Z146" s="383"/>
      <c r="AA146" s="383"/>
      <c r="AB146" s="383"/>
      <c r="AC146" s="383"/>
    </row>
    <row r="147" spans="1:29" x14ac:dyDescent="0.2">
      <c r="A147" s="383"/>
      <c r="B147" s="383"/>
      <c r="C147" s="383"/>
      <c r="D147" s="384"/>
      <c r="E147" s="383"/>
      <c r="F147" s="383"/>
      <c r="G147" s="383"/>
      <c r="H147" s="383"/>
      <c r="I147" s="383"/>
      <c r="J147" s="383"/>
      <c r="K147" s="383"/>
      <c r="L147" s="383"/>
      <c r="M147" s="383"/>
      <c r="N147" s="383"/>
      <c r="O147" s="383"/>
      <c r="P147" s="384"/>
      <c r="Q147" s="383"/>
      <c r="R147" s="383"/>
      <c r="S147" s="383"/>
      <c r="T147" s="383"/>
      <c r="U147" s="383"/>
      <c r="V147" s="383"/>
      <c r="W147" s="383"/>
      <c r="X147" s="383"/>
      <c r="Y147" s="383"/>
      <c r="Z147" s="383"/>
      <c r="AA147" s="383"/>
      <c r="AB147" s="383"/>
      <c r="AC147" s="383"/>
    </row>
    <row r="148" spans="1:29" x14ac:dyDescent="0.2">
      <c r="A148" s="383"/>
      <c r="B148" s="383"/>
      <c r="C148" s="383"/>
      <c r="D148" s="384"/>
      <c r="E148" s="383"/>
      <c r="F148" s="383"/>
      <c r="G148" s="383"/>
      <c r="H148" s="383"/>
      <c r="I148" s="383"/>
      <c r="J148" s="383"/>
      <c r="K148" s="383"/>
      <c r="L148" s="383"/>
      <c r="M148" s="383"/>
      <c r="N148" s="383"/>
      <c r="O148" s="383"/>
      <c r="P148" s="384"/>
      <c r="Q148" s="383"/>
      <c r="R148" s="383"/>
      <c r="S148" s="383"/>
      <c r="T148" s="383"/>
      <c r="U148" s="383"/>
      <c r="V148" s="383"/>
      <c r="W148" s="383"/>
      <c r="X148" s="383"/>
      <c r="Y148" s="383"/>
      <c r="Z148" s="383"/>
      <c r="AA148" s="383"/>
      <c r="AB148" s="383"/>
      <c r="AC148" s="383"/>
    </row>
    <row r="149" spans="1:29" x14ac:dyDescent="0.2">
      <c r="A149" s="383"/>
      <c r="B149" s="383"/>
      <c r="C149" s="383"/>
      <c r="D149" s="384"/>
      <c r="E149" s="383"/>
      <c r="F149" s="383"/>
      <c r="G149" s="383"/>
      <c r="H149" s="383"/>
      <c r="I149" s="383"/>
      <c r="J149" s="383"/>
      <c r="K149" s="383"/>
      <c r="L149" s="383"/>
      <c r="M149" s="383"/>
      <c r="N149" s="383"/>
      <c r="O149" s="383"/>
      <c r="P149" s="384"/>
      <c r="Q149" s="383"/>
      <c r="R149" s="383"/>
      <c r="S149" s="383"/>
      <c r="T149" s="383"/>
      <c r="U149" s="383"/>
      <c r="V149" s="383"/>
      <c r="W149" s="383"/>
      <c r="X149" s="383"/>
      <c r="Y149" s="383"/>
      <c r="Z149" s="383"/>
      <c r="AA149" s="383"/>
      <c r="AB149" s="383"/>
      <c r="AC149" s="383"/>
    </row>
    <row r="150" spans="1:29" x14ac:dyDescent="0.2">
      <c r="A150" s="383"/>
      <c r="B150" s="383"/>
      <c r="C150" s="383"/>
      <c r="D150" s="384"/>
      <c r="E150" s="383"/>
      <c r="F150" s="383"/>
      <c r="G150" s="383"/>
      <c r="H150" s="383"/>
      <c r="I150" s="383"/>
      <c r="J150" s="383"/>
      <c r="K150" s="383"/>
      <c r="L150" s="383"/>
      <c r="M150" s="383"/>
      <c r="N150" s="383"/>
      <c r="O150" s="383"/>
      <c r="P150" s="384"/>
      <c r="Q150" s="383"/>
      <c r="R150" s="383"/>
      <c r="S150" s="383"/>
      <c r="T150" s="383"/>
      <c r="U150" s="383"/>
      <c r="V150" s="383"/>
      <c r="W150" s="383"/>
      <c r="X150" s="383"/>
      <c r="Y150" s="383"/>
      <c r="Z150" s="383"/>
      <c r="AA150" s="383"/>
      <c r="AB150" s="383"/>
      <c r="AC150" s="383"/>
    </row>
    <row r="151" spans="1:29" x14ac:dyDescent="0.2">
      <c r="A151" s="383"/>
      <c r="B151" s="383"/>
      <c r="C151" s="383"/>
      <c r="D151" s="384"/>
      <c r="E151" s="383"/>
      <c r="F151" s="383"/>
      <c r="G151" s="383"/>
      <c r="H151" s="383"/>
      <c r="I151" s="383"/>
      <c r="J151" s="383"/>
      <c r="K151" s="383"/>
      <c r="L151" s="383"/>
      <c r="M151" s="383"/>
      <c r="N151" s="383"/>
      <c r="O151" s="383"/>
      <c r="P151" s="384"/>
      <c r="Q151" s="383"/>
      <c r="R151" s="383"/>
      <c r="S151" s="383"/>
      <c r="T151" s="383"/>
      <c r="U151" s="383"/>
      <c r="V151" s="383"/>
      <c r="W151" s="383"/>
      <c r="X151" s="383"/>
      <c r="Y151" s="383"/>
      <c r="Z151" s="383"/>
      <c r="AA151" s="383"/>
      <c r="AB151" s="383"/>
      <c r="AC151" s="383"/>
    </row>
    <row r="152" spans="1:29" x14ac:dyDescent="0.2">
      <c r="A152" s="383"/>
      <c r="B152" s="383"/>
      <c r="C152" s="383"/>
      <c r="D152" s="384"/>
      <c r="E152" s="383"/>
      <c r="F152" s="383"/>
      <c r="G152" s="383"/>
      <c r="H152" s="383"/>
      <c r="I152" s="383"/>
      <c r="J152" s="383"/>
      <c r="K152" s="383"/>
      <c r="L152" s="383"/>
      <c r="M152" s="383"/>
      <c r="N152" s="383"/>
      <c r="O152" s="383"/>
      <c r="P152" s="384"/>
      <c r="Q152" s="383"/>
      <c r="R152" s="383"/>
      <c r="S152" s="383"/>
      <c r="T152" s="383"/>
      <c r="U152" s="383"/>
      <c r="V152" s="383"/>
      <c r="W152" s="383"/>
      <c r="X152" s="383"/>
      <c r="Y152" s="383"/>
      <c r="Z152" s="383"/>
      <c r="AA152" s="383"/>
      <c r="AB152" s="383"/>
      <c r="AC152" s="383"/>
    </row>
    <row r="153" spans="1:29" x14ac:dyDescent="0.2">
      <c r="A153" s="383"/>
      <c r="B153" s="383"/>
      <c r="C153" s="383"/>
      <c r="D153" s="384"/>
      <c r="E153" s="383"/>
      <c r="F153" s="383"/>
      <c r="G153" s="383"/>
      <c r="H153" s="383"/>
      <c r="I153" s="383"/>
      <c r="J153" s="383"/>
      <c r="K153" s="383"/>
      <c r="L153" s="383"/>
      <c r="M153" s="383"/>
      <c r="N153" s="383"/>
      <c r="O153" s="383"/>
      <c r="P153" s="384"/>
      <c r="Q153" s="383"/>
      <c r="R153" s="383"/>
      <c r="S153" s="383"/>
      <c r="T153" s="383"/>
      <c r="U153" s="383"/>
      <c r="V153" s="383"/>
      <c r="W153" s="383"/>
      <c r="X153" s="383"/>
      <c r="Y153" s="383"/>
      <c r="Z153" s="383"/>
      <c r="AA153" s="383"/>
      <c r="AB153" s="383"/>
      <c r="AC153" s="383"/>
    </row>
    <row r="154" spans="1:29" x14ac:dyDescent="0.2">
      <c r="A154" s="383"/>
      <c r="B154" s="383"/>
      <c r="C154" s="383"/>
      <c r="D154" s="384"/>
      <c r="E154" s="383"/>
      <c r="F154" s="383"/>
      <c r="G154" s="383"/>
      <c r="H154" s="383"/>
      <c r="I154" s="383"/>
      <c r="J154" s="383"/>
      <c r="K154" s="383"/>
      <c r="L154" s="383"/>
      <c r="M154" s="383"/>
      <c r="N154" s="383"/>
      <c r="O154" s="383"/>
      <c r="P154" s="384"/>
      <c r="Q154" s="383"/>
      <c r="R154" s="383"/>
      <c r="S154" s="383"/>
      <c r="T154" s="383"/>
      <c r="U154" s="383"/>
      <c r="V154" s="383"/>
      <c r="W154" s="383"/>
      <c r="X154" s="383"/>
      <c r="Y154" s="383"/>
      <c r="Z154" s="383"/>
      <c r="AA154" s="383"/>
      <c r="AB154" s="383"/>
      <c r="AC154" s="383"/>
    </row>
    <row r="155" spans="1:29" x14ac:dyDescent="0.2">
      <c r="A155" s="383"/>
      <c r="B155" s="383"/>
      <c r="C155" s="383"/>
      <c r="D155" s="384"/>
      <c r="E155" s="383"/>
      <c r="F155" s="383"/>
      <c r="G155" s="383"/>
      <c r="H155" s="383"/>
      <c r="I155" s="383"/>
      <c r="J155" s="383"/>
      <c r="K155" s="383"/>
      <c r="L155" s="383"/>
      <c r="M155" s="383"/>
      <c r="N155" s="383"/>
      <c r="O155" s="383"/>
      <c r="P155" s="384"/>
      <c r="Q155" s="383"/>
      <c r="R155" s="383"/>
      <c r="S155" s="383"/>
      <c r="T155" s="383"/>
      <c r="U155" s="383"/>
      <c r="V155" s="383"/>
      <c r="W155" s="383"/>
      <c r="X155" s="383"/>
      <c r="Y155" s="383"/>
      <c r="Z155" s="383"/>
      <c r="AA155" s="383"/>
      <c r="AB155" s="383"/>
      <c r="AC155" s="383"/>
    </row>
    <row r="156" spans="1:29" x14ac:dyDescent="0.2">
      <c r="A156" s="383"/>
      <c r="B156" s="383"/>
      <c r="C156" s="383"/>
      <c r="D156" s="384"/>
      <c r="E156" s="383"/>
      <c r="F156" s="383"/>
      <c r="G156" s="383"/>
      <c r="H156" s="383"/>
      <c r="I156" s="383"/>
      <c r="J156" s="383"/>
      <c r="K156" s="383"/>
      <c r="L156" s="383"/>
      <c r="M156" s="383"/>
      <c r="N156" s="383"/>
      <c r="O156" s="383"/>
      <c r="P156" s="384"/>
      <c r="Q156" s="383"/>
      <c r="R156" s="383"/>
      <c r="S156" s="383"/>
      <c r="T156" s="383"/>
      <c r="U156" s="383"/>
      <c r="V156" s="383"/>
      <c r="W156" s="383"/>
      <c r="X156" s="383"/>
      <c r="Y156" s="383"/>
      <c r="Z156" s="383"/>
      <c r="AA156" s="383"/>
      <c r="AB156" s="383"/>
      <c r="AC156" s="383"/>
    </row>
    <row r="157" spans="1:29" x14ac:dyDescent="0.2">
      <c r="A157" s="383"/>
      <c r="B157" s="383"/>
      <c r="C157" s="383"/>
      <c r="D157" s="384"/>
      <c r="E157" s="383"/>
      <c r="F157" s="383"/>
      <c r="G157" s="383"/>
      <c r="H157" s="383"/>
      <c r="I157" s="383"/>
      <c r="J157" s="383"/>
      <c r="K157" s="383"/>
      <c r="L157" s="383"/>
      <c r="M157" s="383"/>
      <c r="N157" s="383"/>
      <c r="O157" s="383"/>
      <c r="P157" s="384"/>
      <c r="Q157" s="383"/>
      <c r="R157" s="383"/>
      <c r="S157" s="383"/>
      <c r="T157" s="383"/>
      <c r="U157" s="383"/>
      <c r="V157" s="383"/>
      <c r="W157" s="383"/>
      <c r="X157" s="383"/>
      <c r="Y157" s="383"/>
      <c r="Z157" s="383"/>
      <c r="AA157" s="383"/>
      <c r="AB157" s="383"/>
      <c r="AC157" s="383"/>
    </row>
    <row r="158" spans="1:29" x14ac:dyDescent="0.2">
      <c r="A158" s="383"/>
      <c r="B158" s="383"/>
      <c r="C158" s="383"/>
      <c r="D158" s="384"/>
      <c r="E158" s="383"/>
      <c r="F158" s="383"/>
      <c r="G158" s="383"/>
      <c r="H158" s="383"/>
      <c r="I158" s="383"/>
      <c r="J158" s="383"/>
      <c r="K158" s="383"/>
      <c r="L158" s="383"/>
      <c r="M158" s="383"/>
      <c r="N158" s="383"/>
      <c r="O158" s="383"/>
      <c r="P158" s="384"/>
      <c r="Q158" s="383"/>
      <c r="R158" s="383"/>
      <c r="S158" s="383"/>
      <c r="T158" s="383"/>
      <c r="U158" s="383"/>
      <c r="V158" s="383"/>
      <c r="W158" s="383"/>
      <c r="X158" s="383"/>
      <c r="Y158" s="383"/>
      <c r="Z158" s="383"/>
      <c r="AA158" s="383"/>
      <c r="AB158" s="383"/>
      <c r="AC158" s="383"/>
    </row>
    <row r="159" spans="1:29" x14ac:dyDescent="0.2">
      <c r="A159" s="383"/>
      <c r="B159" s="383"/>
      <c r="C159" s="383"/>
      <c r="D159" s="384"/>
      <c r="E159" s="383"/>
      <c r="F159" s="383"/>
      <c r="G159" s="383"/>
      <c r="H159" s="383"/>
      <c r="I159" s="383"/>
      <c r="J159" s="383"/>
      <c r="K159" s="383"/>
      <c r="L159" s="383"/>
      <c r="M159" s="383"/>
      <c r="N159" s="383"/>
      <c r="O159" s="383"/>
      <c r="P159" s="384"/>
      <c r="Q159" s="383"/>
      <c r="R159" s="383"/>
      <c r="S159" s="383"/>
      <c r="T159" s="383"/>
      <c r="U159" s="383"/>
      <c r="V159" s="383"/>
      <c r="W159" s="383"/>
      <c r="X159" s="383"/>
      <c r="Y159" s="383"/>
      <c r="Z159" s="383"/>
      <c r="AA159" s="383"/>
      <c r="AB159" s="383"/>
      <c r="AC159" s="383"/>
    </row>
    <row r="160" spans="1:29" x14ac:dyDescent="0.2">
      <c r="A160" s="383"/>
      <c r="B160" s="383"/>
      <c r="C160" s="383"/>
      <c r="D160" s="384"/>
      <c r="E160" s="383"/>
      <c r="F160" s="383"/>
      <c r="G160" s="383"/>
      <c r="H160" s="383"/>
      <c r="I160" s="383"/>
      <c r="J160" s="383"/>
      <c r="K160" s="383"/>
      <c r="L160" s="383"/>
      <c r="M160" s="383"/>
      <c r="N160" s="383"/>
      <c r="O160" s="383"/>
      <c r="P160" s="384"/>
      <c r="Q160" s="383"/>
      <c r="R160" s="383"/>
      <c r="S160" s="383"/>
      <c r="T160" s="383"/>
      <c r="U160" s="383"/>
      <c r="V160" s="383"/>
      <c r="W160" s="383"/>
      <c r="X160" s="383"/>
      <c r="Y160" s="383"/>
      <c r="Z160" s="383"/>
      <c r="AA160" s="383"/>
      <c r="AB160" s="383"/>
      <c r="AC160" s="383"/>
    </row>
    <row r="161" spans="1:29" x14ac:dyDescent="0.2">
      <c r="A161" s="383"/>
      <c r="B161" s="383"/>
      <c r="C161" s="383"/>
      <c r="D161" s="384"/>
      <c r="E161" s="383"/>
      <c r="F161" s="383"/>
      <c r="G161" s="383"/>
      <c r="H161" s="383"/>
      <c r="I161" s="383"/>
      <c r="J161" s="383"/>
      <c r="K161" s="383"/>
      <c r="L161" s="383"/>
      <c r="M161" s="383"/>
      <c r="N161" s="383"/>
      <c r="O161" s="383"/>
      <c r="P161" s="384"/>
      <c r="Q161" s="383"/>
      <c r="R161" s="383"/>
      <c r="S161" s="383"/>
      <c r="T161" s="383"/>
      <c r="U161" s="383"/>
      <c r="V161" s="383"/>
      <c r="W161" s="383"/>
      <c r="X161" s="383"/>
      <c r="Y161" s="383"/>
      <c r="Z161" s="383"/>
      <c r="AA161" s="383"/>
      <c r="AB161" s="383"/>
      <c r="AC161" s="383"/>
    </row>
    <row r="162" spans="1:29" x14ac:dyDescent="0.2">
      <c r="A162" s="383"/>
      <c r="B162" s="383"/>
      <c r="C162" s="383"/>
      <c r="D162" s="384"/>
      <c r="E162" s="383"/>
      <c r="F162" s="383"/>
      <c r="G162" s="383"/>
      <c r="H162" s="383"/>
      <c r="I162" s="383"/>
      <c r="J162" s="383"/>
      <c r="K162" s="383"/>
      <c r="L162" s="383"/>
      <c r="M162" s="383"/>
      <c r="N162" s="383"/>
      <c r="O162" s="383"/>
      <c r="P162" s="384"/>
      <c r="Q162" s="383"/>
      <c r="R162" s="383"/>
      <c r="S162" s="383"/>
      <c r="T162" s="383"/>
      <c r="U162" s="383"/>
      <c r="V162" s="383"/>
      <c r="W162" s="383"/>
      <c r="X162" s="383"/>
      <c r="Y162" s="383"/>
      <c r="Z162" s="383"/>
      <c r="AA162" s="383"/>
      <c r="AB162" s="383"/>
      <c r="AC162" s="383"/>
    </row>
    <row r="163" spans="1:29" x14ac:dyDescent="0.2">
      <c r="A163" s="383"/>
      <c r="B163" s="383"/>
      <c r="C163" s="383"/>
      <c r="D163" s="384"/>
      <c r="E163" s="383"/>
      <c r="F163" s="383"/>
      <c r="G163" s="383"/>
      <c r="H163" s="383"/>
      <c r="I163" s="383"/>
      <c r="J163" s="383"/>
      <c r="K163" s="383"/>
      <c r="L163" s="383"/>
      <c r="M163" s="383"/>
      <c r="N163" s="383"/>
      <c r="O163" s="383"/>
      <c r="P163" s="384"/>
      <c r="Q163" s="383"/>
      <c r="R163" s="383"/>
      <c r="S163" s="383"/>
      <c r="T163" s="383"/>
      <c r="U163" s="383"/>
      <c r="V163" s="383"/>
      <c r="W163" s="383"/>
      <c r="X163" s="383"/>
      <c r="Y163" s="383"/>
      <c r="Z163" s="383"/>
      <c r="AA163" s="383"/>
      <c r="AB163" s="383"/>
      <c r="AC163" s="383"/>
    </row>
    <row r="164" spans="1:29" x14ac:dyDescent="0.2">
      <c r="A164" s="383"/>
      <c r="B164" s="383"/>
      <c r="C164" s="383"/>
      <c r="D164" s="384"/>
      <c r="E164" s="383"/>
      <c r="F164" s="383"/>
      <c r="G164" s="383"/>
      <c r="H164" s="383"/>
      <c r="I164" s="383"/>
      <c r="J164" s="383"/>
      <c r="K164" s="383"/>
      <c r="L164" s="383"/>
      <c r="M164" s="383"/>
      <c r="N164" s="383"/>
      <c r="O164" s="383"/>
      <c r="P164" s="384"/>
      <c r="Q164" s="383"/>
      <c r="R164" s="383"/>
      <c r="S164" s="383"/>
      <c r="T164" s="383"/>
      <c r="U164" s="383"/>
      <c r="V164" s="383"/>
      <c r="W164" s="383"/>
      <c r="X164" s="383"/>
      <c r="Y164" s="383"/>
      <c r="Z164" s="383"/>
      <c r="AA164" s="383"/>
      <c r="AB164" s="383"/>
      <c r="AC164" s="383"/>
    </row>
    <row r="165" spans="1:29" x14ac:dyDescent="0.2">
      <c r="A165" s="383"/>
      <c r="B165" s="383"/>
      <c r="C165" s="383"/>
      <c r="D165" s="384"/>
      <c r="E165" s="383"/>
      <c r="F165" s="383"/>
      <c r="G165" s="383"/>
      <c r="H165" s="383"/>
      <c r="I165" s="383"/>
      <c r="J165" s="383"/>
      <c r="K165" s="383"/>
      <c r="L165" s="383"/>
      <c r="M165" s="383"/>
      <c r="N165" s="383"/>
      <c r="O165" s="383"/>
      <c r="P165" s="384"/>
      <c r="Q165" s="383"/>
      <c r="R165" s="383"/>
      <c r="S165" s="383"/>
      <c r="T165" s="383"/>
      <c r="U165" s="383"/>
      <c r="V165" s="383"/>
      <c r="W165" s="383"/>
      <c r="X165" s="383"/>
      <c r="Y165" s="383"/>
      <c r="Z165" s="383"/>
      <c r="AA165" s="383"/>
      <c r="AB165" s="383"/>
      <c r="AC165" s="383"/>
    </row>
    <row r="166" spans="1:29" x14ac:dyDescent="0.2">
      <c r="A166" s="383"/>
      <c r="B166" s="383"/>
      <c r="C166" s="383"/>
      <c r="D166" s="384"/>
      <c r="E166" s="383"/>
      <c r="F166" s="383"/>
      <c r="G166" s="383"/>
      <c r="H166" s="383"/>
      <c r="I166" s="383"/>
      <c r="J166" s="383"/>
      <c r="K166" s="383"/>
      <c r="L166" s="383"/>
      <c r="M166" s="383"/>
      <c r="N166" s="383"/>
      <c r="O166" s="383"/>
      <c r="P166" s="384"/>
      <c r="Q166" s="383"/>
      <c r="R166" s="383"/>
      <c r="S166" s="383"/>
      <c r="T166" s="383"/>
      <c r="U166" s="383"/>
      <c r="V166" s="383"/>
      <c r="W166" s="383"/>
      <c r="X166" s="383"/>
      <c r="Y166" s="383"/>
      <c r="Z166" s="383"/>
      <c r="AA166" s="383"/>
      <c r="AB166" s="383"/>
      <c r="AC166" s="383"/>
    </row>
    <row r="167" spans="1:29" x14ac:dyDescent="0.2">
      <c r="A167" s="383"/>
      <c r="B167" s="383"/>
      <c r="C167" s="383"/>
      <c r="D167" s="384"/>
      <c r="E167" s="383"/>
      <c r="F167" s="383"/>
      <c r="G167" s="383"/>
      <c r="H167" s="383"/>
      <c r="I167" s="383"/>
      <c r="J167" s="383"/>
      <c r="K167" s="383"/>
      <c r="L167" s="383"/>
      <c r="M167" s="383"/>
      <c r="N167" s="383"/>
      <c r="O167" s="383"/>
      <c r="P167" s="384"/>
      <c r="Q167" s="383"/>
      <c r="R167" s="383"/>
      <c r="S167" s="383"/>
      <c r="T167" s="383"/>
      <c r="U167" s="383"/>
      <c r="V167" s="383"/>
      <c r="W167" s="383"/>
      <c r="X167" s="383"/>
      <c r="Y167" s="383"/>
      <c r="Z167" s="383"/>
      <c r="AA167" s="383"/>
      <c r="AB167" s="383"/>
      <c r="AC167" s="383"/>
    </row>
    <row r="168" spans="1:29" x14ac:dyDescent="0.2">
      <c r="A168" s="383"/>
      <c r="B168" s="383"/>
      <c r="C168" s="383"/>
      <c r="D168" s="384"/>
      <c r="E168" s="383"/>
      <c r="F168" s="383"/>
      <c r="G168" s="383"/>
      <c r="H168" s="383"/>
      <c r="I168" s="383"/>
      <c r="J168" s="383"/>
      <c r="K168" s="383"/>
      <c r="L168" s="383"/>
      <c r="M168" s="383"/>
      <c r="N168" s="383"/>
      <c r="O168" s="383"/>
      <c r="P168" s="384"/>
      <c r="Q168" s="383"/>
      <c r="R168" s="383"/>
      <c r="S168" s="383"/>
      <c r="T168" s="383"/>
      <c r="U168" s="383"/>
      <c r="V168" s="383"/>
      <c r="W168" s="383"/>
      <c r="X168" s="383"/>
      <c r="Y168" s="383"/>
      <c r="Z168" s="383"/>
      <c r="AA168" s="383"/>
      <c r="AB168" s="383"/>
      <c r="AC168" s="383"/>
    </row>
    <row r="169" spans="1:29" x14ac:dyDescent="0.2">
      <c r="A169" s="383"/>
      <c r="B169" s="383"/>
      <c r="C169" s="383"/>
      <c r="D169" s="384"/>
      <c r="E169" s="383"/>
      <c r="F169" s="383"/>
      <c r="G169" s="383"/>
      <c r="H169" s="383"/>
      <c r="I169" s="383"/>
      <c r="J169" s="383"/>
      <c r="K169" s="383"/>
      <c r="L169" s="383"/>
      <c r="M169" s="383"/>
      <c r="N169" s="383"/>
      <c r="O169" s="383"/>
      <c r="P169" s="384"/>
      <c r="Q169" s="383"/>
      <c r="R169" s="383"/>
      <c r="S169" s="383"/>
      <c r="T169" s="383"/>
      <c r="U169" s="383"/>
      <c r="V169" s="383"/>
      <c r="W169" s="383"/>
      <c r="X169" s="383"/>
      <c r="Y169" s="383"/>
      <c r="Z169" s="383"/>
      <c r="AA169" s="383"/>
      <c r="AB169" s="383"/>
      <c r="AC169" s="383"/>
    </row>
  </sheetData>
  <mergeCells count="2">
    <mergeCell ref="E4:L4"/>
    <mergeCell ref="E5:L5"/>
  </mergeCells>
  <phoneticPr fontId="12" type="noConversion"/>
  <pageMargins left="0.75" right="0.75" top="1" bottom="1" header="0.5" footer="0.5"/>
  <pageSetup scale="42" orientation="landscape" r:id="rId1"/>
  <headerFooter alignWithMargins="0"/>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6367-68DF-4791-B72F-AE90BC3BF50E}">
  <sheetPr>
    <tabColor indexed="47"/>
  </sheetPr>
  <dimension ref="A1:X524"/>
  <sheetViews>
    <sheetView workbookViewId="0">
      <selection sqref="A1:X524"/>
    </sheetView>
  </sheetViews>
  <sheetFormatPr defaultRowHeight="12.75" x14ac:dyDescent="0.2"/>
  <sheetData>
    <row r="1" spans="1:24" x14ac:dyDescent="0.2">
      <c r="A1" s="373" t="s">
        <v>3348</v>
      </c>
      <c r="B1" s="374"/>
      <c r="C1" s="374"/>
      <c r="D1" s="374"/>
      <c r="E1" s="374"/>
      <c r="F1" s="374"/>
      <c r="G1" s="374"/>
      <c r="H1" s="374"/>
      <c r="I1" s="374"/>
      <c r="J1" s="374"/>
      <c r="K1" s="374"/>
      <c r="L1" s="374"/>
      <c r="M1" s="374"/>
      <c r="N1" s="374"/>
      <c r="O1" s="374"/>
      <c r="P1" s="374"/>
      <c r="Q1" s="374"/>
      <c r="R1" s="374"/>
      <c r="S1" s="374"/>
      <c r="T1" s="374"/>
      <c r="U1" s="374"/>
      <c r="V1" s="374"/>
      <c r="W1" s="374"/>
      <c r="X1" s="374"/>
    </row>
    <row r="2" spans="1:24" x14ac:dyDescent="0.2">
      <c r="A2" s="373" t="s">
        <v>3349</v>
      </c>
      <c r="B2" s="374"/>
      <c r="C2" s="374"/>
      <c r="D2" s="374"/>
      <c r="E2" s="374"/>
      <c r="F2" s="374"/>
      <c r="G2" s="374"/>
      <c r="H2" s="374"/>
      <c r="I2" s="374"/>
      <c r="J2" s="374"/>
      <c r="K2" s="374"/>
      <c r="L2" s="374"/>
      <c r="M2" s="374"/>
      <c r="N2" s="374"/>
      <c r="O2" s="374"/>
      <c r="P2" s="374"/>
      <c r="Q2" s="374"/>
      <c r="R2" s="374"/>
      <c r="S2" s="374"/>
      <c r="T2" s="374"/>
      <c r="U2" s="374"/>
      <c r="V2" s="374"/>
      <c r="W2" s="374"/>
      <c r="X2" s="374"/>
    </row>
    <row r="3" spans="1:24" x14ac:dyDescent="0.2">
      <c r="A3" s="375"/>
      <c r="B3" s="374"/>
      <c r="C3" s="374"/>
      <c r="D3" s="374"/>
      <c r="E3" s="374"/>
      <c r="F3" s="374"/>
      <c r="G3" s="374"/>
      <c r="H3" s="374"/>
      <c r="I3" s="374"/>
      <c r="J3" s="374"/>
      <c r="K3" s="374"/>
      <c r="L3" s="374"/>
      <c r="M3" s="374"/>
      <c r="N3" s="374"/>
      <c r="O3" s="374"/>
      <c r="P3" s="374"/>
      <c r="Q3" s="374"/>
      <c r="R3" s="374"/>
      <c r="S3" s="374"/>
      <c r="T3" s="374"/>
      <c r="U3" s="374"/>
      <c r="V3" s="374"/>
      <c r="W3" s="374"/>
      <c r="X3" s="374"/>
    </row>
    <row r="4" spans="1:24" x14ac:dyDescent="0.2">
      <c r="A4" s="373" t="s">
        <v>3350</v>
      </c>
      <c r="B4" s="374"/>
      <c r="C4" s="374"/>
      <c r="D4" s="374"/>
      <c r="E4" s="374"/>
      <c r="F4" s="374"/>
      <c r="G4" s="374"/>
      <c r="H4" s="374"/>
      <c r="I4" s="374"/>
      <c r="J4" s="374"/>
      <c r="K4" s="374"/>
      <c r="L4" s="374"/>
      <c r="M4" s="374"/>
      <c r="N4" s="374"/>
      <c r="O4" s="374"/>
      <c r="P4" s="374"/>
      <c r="Q4" s="374"/>
      <c r="R4" s="374"/>
      <c r="S4" s="374"/>
      <c r="T4" s="374"/>
      <c r="U4" s="374"/>
      <c r="V4" s="374"/>
      <c r="W4" s="374"/>
      <c r="X4" s="374"/>
    </row>
    <row r="5" spans="1:24" x14ac:dyDescent="0.2">
      <c r="A5" s="373" t="s">
        <v>3351</v>
      </c>
      <c r="B5" s="374"/>
      <c r="C5" s="374"/>
      <c r="D5" s="374"/>
      <c r="E5" s="374"/>
      <c r="F5" s="374"/>
      <c r="G5" s="374"/>
      <c r="H5" s="374"/>
      <c r="I5" s="374"/>
      <c r="J5" s="374"/>
      <c r="K5" s="374"/>
      <c r="L5" s="374"/>
      <c r="M5" s="374"/>
      <c r="N5" s="374"/>
      <c r="O5" s="374"/>
      <c r="P5" s="374"/>
      <c r="Q5" s="374"/>
      <c r="R5" s="374"/>
      <c r="S5" s="374"/>
      <c r="T5" s="374"/>
      <c r="U5" s="374"/>
      <c r="V5" s="374"/>
      <c r="W5" s="374"/>
      <c r="X5" s="374"/>
    </row>
    <row r="6" spans="1:24" x14ac:dyDescent="0.2">
      <c r="A6" s="374"/>
      <c r="B6" s="374"/>
      <c r="C6" s="374"/>
      <c r="D6" s="374"/>
      <c r="E6" s="374"/>
      <c r="F6" s="374"/>
      <c r="G6" s="374"/>
      <c r="H6" s="374"/>
      <c r="I6" s="374"/>
      <c r="J6" s="374"/>
      <c r="K6" s="374"/>
      <c r="L6" s="374"/>
      <c r="M6" s="374"/>
      <c r="N6" s="374"/>
      <c r="O6" s="374"/>
      <c r="P6" s="374"/>
      <c r="Q6" s="374"/>
      <c r="R6" s="374"/>
      <c r="S6" s="374"/>
      <c r="T6" s="374"/>
      <c r="U6" s="374"/>
      <c r="V6" s="374"/>
      <c r="W6" s="374"/>
      <c r="X6" s="374"/>
    </row>
    <row r="7" spans="1:24" x14ac:dyDescent="0.2">
      <c r="A7" s="374"/>
      <c r="B7" s="374" t="s">
        <v>3352</v>
      </c>
      <c r="C7" s="374" t="s">
        <v>3353</v>
      </c>
      <c r="D7" s="374" t="s">
        <v>3354</v>
      </c>
      <c r="E7" s="374" t="s">
        <v>3354</v>
      </c>
      <c r="F7" s="374" t="s">
        <v>3354</v>
      </c>
      <c r="G7" s="374" t="s">
        <v>3354</v>
      </c>
      <c r="H7" s="374" t="s">
        <v>3354</v>
      </c>
      <c r="I7" s="374" t="s">
        <v>3354</v>
      </c>
      <c r="J7" s="374"/>
      <c r="K7" s="374"/>
      <c r="L7" s="374"/>
      <c r="M7" s="374"/>
      <c r="N7" s="374"/>
      <c r="O7" s="374"/>
      <c r="P7" s="374"/>
      <c r="Q7" s="374"/>
      <c r="R7" s="374"/>
      <c r="S7" s="374"/>
      <c r="T7" s="374"/>
      <c r="U7" s="374"/>
      <c r="V7" s="374"/>
      <c r="W7" s="374"/>
      <c r="X7" s="374"/>
    </row>
    <row r="8" spans="1:24" x14ac:dyDescent="0.2">
      <c r="A8" s="374"/>
      <c r="B8" s="374" t="s">
        <v>3355</v>
      </c>
      <c r="C8" s="374" t="s">
        <v>3356</v>
      </c>
      <c r="D8" s="374" t="s">
        <v>3357</v>
      </c>
      <c r="E8" s="374" t="s">
        <v>3357</v>
      </c>
      <c r="F8" s="374" t="s">
        <v>3357</v>
      </c>
      <c r="G8" s="374" t="s">
        <v>3357</v>
      </c>
      <c r="H8" s="374" t="s">
        <v>3357</v>
      </c>
      <c r="I8" s="374" t="s">
        <v>3357</v>
      </c>
      <c r="J8" s="374"/>
      <c r="K8" s="374"/>
      <c r="L8" s="374"/>
      <c r="M8" s="374"/>
      <c r="N8" s="374"/>
      <c r="O8" s="374"/>
      <c r="P8" s="374"/>
      <c r="Q8" s="374"/>
      <c r="R8" s="374"/>
      <c r="S8" s="374"/>
      <c r="T8" s="374"/>
      <c r="U8" s="374"/>
      <c r="V8" s="374"/>
      <c r="W8" s="374"/>
      <c r="X8" s="374"/>
    </row>
    <row r="9" spans="1:24" x14ac:dyDescent="0.2">
      <c r="A9" s="374"/>
      <c r="B9" s="377">
        <v>2005</v>
      </c>
      <c r="C9" s="377">
        <v>2010</v>
      </c>
      <c r="D9" s="377">
        <v>2015</v>
      </c>
      <c r="E9" s="377">
        <v>2020</v>
      </c>
      <c r="F9" s="377">
        <v>2025</v>
      </c>
      <c r="G9" s="377">
        <v>2030</v>
      </c>
      <c r="H9" s="377">
        <v>2035</v>
      </c>
      <c r="I9" s="377">
        <v>2040</v>
      </c>
      <c r="J9" s="374"/>
      <c r="K9" s="374"/>
      <c r="L9" s="374"/>
      <c r="M9" s="374"/>
      <c r="N9" s="374"/>
      <c r="O9" s="374"/>
      <c r="P9" s="374"/>
      <c r="Q9" s="374"/>
      <c r="R9" s="374"/>
      <c r="S9" s="374"/>
      <c r="T9" s="374"/>
      <c r="U9" s="374"/>
      <c r="V9" s="374"/>
      <c r="W9" s="374"/>
      <c r="X9" s="374"/>
    </row>
    <row r="10" spans="1:24" x14ac:dyDescent="0.2">
      <c r="A10" s="374"/>
      <c r="B10" s="374"/>
      <c r="C10" s="374"/>
      <c r="D10" s="374"/>
      <c r="E10" s="374"/>
      <c r="F10" s="374"/>
      <c r="G10" s="374"/>
      <c r="H10" s="374"/>
      <c r="I10" s="374"/>
      <c r="J10" s="374"/>
      <c r="K10" s="374"/>
      <c r="L10" s="374"/>
      <c r="M10" s="374"/>
      <c r="N10" s="374"/>
      <c r="O10" s="374"/>
      <c r="P10" s="374"/>
      <c r="Q10" s="374"/>
      <c r="R10" s="374"/>
      <c r="S10" s="374"/>
      <c r="T10" s="374"/>
      <c r="U10" s="374"/>
      <c r="V10" s="374"/>
      <c r="W10" s="374"/>
      <c r="X10" s="374"/>
    </row>
    <row r="11" spans="1:24" x14ac:dyDescent="0.2">
      <c r="A11" s="374"/>
      <c r="B11" s="374"/>
      <c r="C11" s="374"/>
      <c r="D11" s="374"/>
      <c r="E11" s="374"/>
      <c r="F11" s="374"/>
      <c r="G11" s="374"/>
      <c r="H11" s="374"/>
      <c r="I11" s="374"/>
      <c r="J11" s="374"/>
      <c r="K11" s="374"/>
      <c r="L11" s="374"/>
      <c r="M11" s="374"/>
      <c r="N11" s="374"/>
      <c r="O11" s="374"/>
      <c r="P11" s="374"/>
      <c r="Q11" s="374"/>
      <c r="R11" s="374"/>
      <c r="S11" s="374"/>
      <c r="T11" s="374"/>
      <c r="U11" s="374"/>
      <c r="V11" s="374"/>
      <c r="W11" s="374"/>
      <c r="X11" s="374"/>
    </row>
    <row r="12" spans="1:24" x14ac:dyDescent="0.2">
      <c r="A12" s="374" t="s">
        <v>315</v>
      </c>
      <c r="B12" s="374"/>
      <c r="C12" s="374"/>
      <c r="D12" s="374"/>
      <c r="E12" s="374"/>
      <c r="F12" s="374"/>
      <c r="G12" s="374"/>
      <c r="H12" s="374"/>
      <c r="I12" s="374"/>
      <c r="J12" s="374"/>
      <c r="K12" s="374"/>
      <c r="L12" s="374"/>
      <c r="M12" s="374"/>
      <c r="N12" s="374"/>
      <c r="O12" s="374"/>
      <c r="P12" s="374"/>
      <c r="Q12" s="374"/>
      <c r="R12" s="374"/>
      <c r="S12" s="374"/>
      <c r="T12" s="374"/>
      <c r="U12" s="374"/>
      <c r="V12" s="374"/>
      <c r="W12" s="374"/>
      <c r="X12" s="374"/>
    </row>
    <row r="13" spans="1:24" x14ac:dyDescent="0.2">
      <c r="A13" s="374" t="s">
        <v>3358</v>
      </c>
      <c r="B13" s="374">
        <v>29.8</v>
      </c>
      <c r="C13" s="374">
        <v>38.799999999999997</v>
      </c>
      <c r="D13" s="378">
        <v>38.971062000000003</v>
      </c>
      <c r="E13" s="378">
        <v>39.863822999999996</v>
      </c>
      <c r="F13" s="378">
        <v>41.353248999999998</v>
      </c>
      <c r="G13" s="378">
        <v>41.389839000000002</v>
      </c>
      <c r="H13" s="378">
        <v>41.411532999999999</v>
      </c>
      <c r="I13" s="378">
        <v>41.431033999999997</v>
      </c>
      <c r="J13" s="374"/>
      <c r="K13" s="374"/>
      <c r="L13" s="374"/>
      <c r="M13" s="374"/>
      <c r="N13" s="374"/>
      <c r="O13" s="374"/>
      <c r="P13" s="374"/>
      <c r="Q13" s="374"/>
      <c r="R13" s="374"/>
      <c r="S13" s="374"/>
      <c r="T13" s="374"/>
      <c r="U13" s="374"/>
      <c r="V13" s="374"/>
      <c r="W13" s="374"/>
      <c r="X13" s="374"/>
    </row>
    <row r="14" spans="1:24" x14ac:dyDescent="0.2">
      <c r="A14" s="374" t="s">
        <v>3359</v>
      </c>
      <c r="B14" s="374">
        <v>21.6</v>
      </c>
      <c r="C14" s="374">
        <v>20.6</v>
      </c>
      <c r="D14" s="378">
        <v>22.247463</v>
      </c>
      <c r="E14" s="378">
        <v>23.070934000000001</v>
      </c>
      <c r="F14" s="378">
        <v>24.258597999999999</v>
      </c>
      <c r="G14" s="378">
        <v>24.299209999999999</v>
      </c>
      <c r="H14" s="378">
        <v>24.31711</v>
      </c>
      <c r="I14" s="378">
        <v>24.332708</v>
      </c>
      <c r="J14" s="374"/>
      <c r="K14" s="374"/>
      <c r="L14" s="374"/>
      <c r="M14" s="374"/>
      <c r="N14" s="374"/>
      <c r="O14" s="374"/>
      <c r="P14" s="374"/>
      <c r="Q14" s="374"/>
      <c r="R14" s="374"/>
      <c r="S14" s="374"/>
      <c r="T14" s="374"/>
      <c r="U14" s="374"/>
      <c r="V14" s="374"/>
      <c r="W14" s="374"/>
      <c r="X14" s="374"/>
    </row>
    <row r="15" spans="1:24" x14ac:dyDescent="0.2">
      <c r="A15" s="374" t="s">
        <v>3360</v>
      </c>
      <c r="B15" s="374">
        <v>17.399999999999999</v>
      </c>
      <c r="C15" s="374">
        <v>22.4</v>
      </c>
      <c r="D15" s="378">
        <v>20.381657000000001</v>
      </c>
      <c r="E15" s="378">
        <v>21.362869</v>
      </c>
      <c r="F15" s="378">
        <v>23.050415000000001</v>
      </c>
      <c r="G15" s="378">
        <v>23.084016999999999</v>
      </c>
      <c r="H15" s="378">
        <v>23.100224999999998</v>
      </c>
      <c r="I15" s="378">
        <v>23.113780999999999</v>
      </c>
      <c r="J15" s="374"/>
      <c r="K15" s="374"/>
      <c r="L15" s="374"/>
      <c r="M15" s="374"/>
      <c r="N15" s="374"/>
      <c r="O15" s="374"/>
      <c r="P15" s="374"/>
      <c r="Q15" s="374"/>
      <c r="R15" s="374"/>
      <c r="S15" s="374"/>
      <c r="T15" s="374"/>
      <c r="U15" s="374"/>
      <c r="V15" s="374"/>
      <c r="W15" s="374"/>
      <c r="X15" s="374"/>
    </row>
    <row r="16" spans="1:24" x14ac:dyDescent="0.2">
      <c r="A16" s="374" t="s">
        <v>3361</v>
      </c>
      <c r="B16" s="374">
        <v>23.9</v>
      </c>
      <c r="C16" s="374">
        <v>25.1</v>
      </c>
      <c r="D16" s="378">
        <v>24.855861999999998</v>
      </c>
      <c r="E16" s="378">
        <v>25.671123999999999</v>
      </c>
      <c r="F16" s="378">
        <v>27.233581999999998</v>
      </c>
      <c r="G16" s="378">
        <v>27.255831000000001</v>
      </c>
      <c r="H16" s="378">
        <v>27.272953000000001</v>
      </c>
      <c r="I16" s="378">
        <v>27.288817999999999</v>
      </c>
      <c r="J16" s="374"/>
      <c r="K16" s="374"/>
      <c r="L16" s="374"/>
      <c r="M16" s="374"/>
      <c r="N16" s="374"/>
      <c r="O16" s="374"/>
      <c r="P16" s="374"/>
      <c r="Q16" s="374"/>
      <c r="R16" s="374"/>
      <c r="S16" s="374"/>
      <c r="T16" s="374"/>
      <c r="U16" s="374"/>
      <c r="V16" s="374"/>
      <c r="W16" s="374"/>
      <c r="X16" s="374"/>
    </row>
    <row r="17" spans="1:24" x14ac:dyDescent="0.2">
      <c r="A17" s="374" t="s">
        <v>3362</v>
      </c>
      <c r="B17" s="374">
        <v>29.9</v>
      </c>
      <c r="C17" s="374">
        <v>29.2</v>
      </c>
      <c r="D17" s="378">
        <v>30.800386</v>
      </c>
      <c r="E17" s="378">
        <v>32.108074000000002</v>
      </c>
      <c r="F17" s="378">
        <v>33.466968999999999</v>
      </c>
      <c r="G17" s="378">
        <v>33.521698000000001</v>
      </c>
      <c r="H17" s="378">
        <v>33.536369000000001</v>
      </c>
      <c r="I17" s="378">
        <v>33.550148</v>
      </c>
      <c r="J17" s="374"/>
      <c r="K17" s="374"/>
      <c r="L17" s="374"/>
      <c r="M17" s="374"/>
      <c r="N17" s="374"/>
      <c r="O17" s="374"/>
      <c r="P17" s="374"/>
      <c r="Q17" s="374"/>
      <c r="R17" s="374"/>
      <c r="S17" s="374"/>
      <c r="T17" s="374"/>
      <c r="U17" s="374"/>
      <c r="V17" s="374"/>
      <c r="W17" s="374"/>
      <c r="X17" s="374"/>
    </row>
    <row r="18" spans="1:24" x14ac:dyDescent="0.2">
      <c r="A18" s="374" t="s">
        <v>3363</v>
      </c>
      <c r="B18" s="374">
        <v>45.2</v>
      </c>
      <c r="C18" s="374">
        <v>44.6</v>
      </c>
      <c r="D18" s="378">
        <v>53.933514000000002</v>
      </c>
      <c r="E18" s="378">
        <v>54.864258</v>
      </c>
      <c r="F18" s="378">
        <v>56.288181000000002</v>
      </c>
      <c r="G18" s="378">
        <v>56.295493999999998</v>
      </c>
      <c r="H18" s="378">
        <v>56.304687999999999</v>
      </c>
      <c r="I18" s="378">
        <v>56.313254999999998</v>
      </c>
      <c r="J18" s="374"/>
      <c r="K18" s="374"/>
      <c r="L18" s="374"/>
      <c r="M18" s="374"/>
      <c r="N18" s="374"/>
      <c r="O18" s="374"/>
      <c r="P18" s="374"/>
      <c r="Q18" s="374"/>
      <c r="R18" s="374"/>
      <c r="S18" s="374"/>
      <c r="T18" s="374"/>
      <c r="U18" s="374"/>
      <c r="V18" s="374"/>
      <c r="W18" s="374"/>
      <c r="X18" s="374"/>
    </row>
    <row r="19" spans="1:24" x14ac:dyDescent="0.2">
      <c r="A19" s="374" t="s">
        <v>3364</v>
      </c>
      <c r="B19" s="374">
        <v>16.8</v>
      </c>
      <c r="C19" s="374">
        <v>16.5</v>
      </c>
      <c r="D19" s="378">
        <v>21.497831000000001</v>
      </c>
      <c r="E19" s="378">
        <v>22.483511</v>
      </c>
      <c r="F19" s="378">
        <v>23.667338999999998</v>
      </c>
      <c r="G19" s="378">
        <v>23.703156</v>
      </c>
      <c r="H19" s="378">
        <v>23.718069</v>
      </c>
      <c r="I19" s="378">
        <v>23.738638000000002</v>
      </c>
      <c r="J19" s="374"/>
      <c r="K19" s="374"/>
      <c r="L19" s="374"/>
      <c r="M19" s="374"/>
      <c r="N19" s="374"/>
      <c r="O19" s="374"/>
      <c r="P19" s="374"/>
      <c r="Q19" s="374"/>
      <c r="R19" s="374"/>
      <c r="S19" s="374"/>
      <c r="T19" s="374"/>
      <c r="U19" s="374"/>
      <c r="V19" s="374"/>
      <c r="W19" s="374"/>
      <c r="X19" s="374"/>
    </row>
    <row r="20" spans="1:24" x14ac:dyDescent="0.2">
      <c r="A20" s="374" t="s">
        <v>3365</v>
      </c>
      <c r="B20" s="374">
        <v>21</v>
      </c>
      <c r="C20" s="374">
        <v>23.7</v>
      </c>
      <c r="D20" s="378">
        <v>31.581312</v>
      </c>
      <c r="E20" s="378">
        <v>32.403888999999999</v>
      </c>
      <c r="F20" s="378">
        <v>33.551654999999997</v>
      </c>
      <c r="G20" s="378">
        <v>33.586067</v>
      </c>
      <c r="H20" s="378">
        <v>33.609394000000002</v>
      </c>
      <c r="I20" s="378">
        <v>33.632381000000002</v>
      </c>
      <c r="J20" s="374"/>
      <c r="K20" s="374"/>
      <c r="L20" s="374"/>
      <c r="M20" s="374"/>
      <c r="N20" s="374"/>
      <c r="O20" s="374"/>
      <c r="P20" s="374"/>
      <c r="Q20" s="374"/>
      <c r="R20" s="374"/>
      <c r="S20" s="374"/>
      <c r="T20" s="374"/>
      <c r="U20" s="374"/>
      <c r="V20" s="374"/>
      <c r="W20" s="374"/>
      <c r="X20" s="374"/>
    </row>
    <row r="21" spans="1:24" x14ac:dyDescent="0.2">
      <c r="A21" s="374" t="s">
        <v>3366</v>
      </c>
      <c r="B21" s="374">
        <v>24.8</v>
      </c>
      <c r="C21" s="374">
        <v>25</v>
      </c>
      <c r="D21" s="378">
        <v>25.012613000000002</v>
      </c>
      <c r="E21" s="378">
        <v>25.770316999999999</v>
      </c>
      <c r="F21" s="378">
        <v>27.249300000000002</v>
      </c>
      <c r="G21" s="378">
        <v>27.307154000000001</v>
      </c>
      <c r="H21" s="378">
        <v>27.338795000000001</v>
      </c>
      <c r="I21" s="378">
        <v>27.366914999999999</v>
      </c>
      <c r="J21" s="374"/>
      <c r="K21" s="374"/>
      <c r="L21" s="374"/>
      <c r="M21" s="374"/>
      <c r="N21" s="374"/>
      <c r="O21" s="374"/>
      <c r="P21" s="374"/>
      <c r="Q21" s="374"/>
      <c r="R21" s="374"/>
      <c r="S21" s="374"/>
      <c r="T21" s="374"/>
      <c r="U21" s="374"/>
      <c r="V21" s="374"/>
      <c r="W21" s="374"/>
      <c r="X21" s="374"/>
    </row>
    <row r="22" spans="1:24" x14ac:dyDescent="0.2">
      <c r="A22" s="374" t="s">
        <v>3367</v>
      </c>
      <c r="B22" s="374">
        <v>25</v>
      </c>
      <c r="C22" s="374">
        <v>25.5</v>
      </c>
      <c r="D22" s="378">
        <v>27.860481</v>
      </c>
      <c r="E22" s="378">
        <v>28.732519</v>
      </c>
      <c r="F22" s="378">
        <v>29.773232</v>
      </c>
      <c r="G22" s="378">
        <v>29.824560000000002</v>
      </c>
      <c r="H22" s="378">
        <v>29.846108999999998</v>
      </c>
      <c r="I22" s="378">
        <v>29.867833999999998</v>
      </c>
      <c r="J22" s="374"/>
      <c r="K22" s="374"/>
      <c r="L22" s="374"/>
      <c r="M22" s="374"/>
      <c r="N22" s="374"/>
      <c r="O22" s="374"/>
      <c r="P22" s="374"/>
      <c r="Q22" s="374"/>
      <c r="R22" s="374"/>
      <c r="S22" s="374"/>
      <c r="T22" s="374"/>
      <c r="U22" s="374"/>
      <c r="V22" s="374"/>
      <c r="W22" s="374"/>
      <c r="X22" s="374"/>
    </row>
    <row r="23" spans="1:24" x14ac:dyDescent="0.2">
      <c r="A23" s="374" t="s">
        <v>3368</v>
      </c>
      <c r="B23" s="374">
        <v>24.3</v>
      </c>
      <c r="C23" s="374">
        <v>23.7</v>
      </c>
      <c r="D23" s="378">
        <v>26.208597000000001</v>
      </c>
      <c r="E23" s="378">
        <v>27.098749000000002</v>
      </c>
      <c r="F23" s="378">
        <v>28.131363</v>
      </c>
      <c r="G23" s="378">
        <v>28.197983000000001</v>
      </c>
      <c r="H23" s="378">
        <v>28.225764999999999</v>
      </c>
      <c r="I23" s="378">
        <v>28.250692000000001</v>
      </c>
      <c r="J23" s="374"/>
      <c r="K23" s="374"/>
      <c r="L23" s="374"/>
      <c r="M23" s="374"/>
      <c r="N23" s="374"/>
      <c r="O23" s="374"/>
      <c r="P23" s="374"/>
      <c r="Q23" s="374"/>
      <c r="R23" s="374"/>
      <c r="S23" s="374"/>
      <c r="T23" s="374"/>
      <c r="U23" s="374"/>
      <c r="V23" s="374"/>
      <c r="W23" s="374"/>
      <c r="X23" s="374"/>
    </row>
    <row r="24" spans="1:24" x14ac:dyDescent="0.2">
      <c r="A24" s="374" t="s">
        <v>3369</v>
      </c>
      <c r="B24" s="374">
        <v>34.700000000000003</v>
      </c>
      <c r="C24" s="374">
        <v>35.799999999999997</v>
      </c>
      <c r="D24" s="378">
        <v>37.563426999999997</v>
      </c>
      <c r="E24" s="378">
        <v>38.676684999999999</v>
      </c>
      <c r="F24" s="378">
        <v>39.877827000000003</v>
      </c>
      <c r="G24" s="378">
        <v>39.978938999999997</v>
      </c>
      <c r="H24" s="378">
        <v>40.000400999999997</v>
      </c>
      <c r="I24" s="378">
        <v>40.019325000000002</v>
      </c>
      <c r="J24" s="374"/>
      <c r="K24" s="374"/>
      <c r="L24" s="374"/>
      <c r="M24" s="374"/>
      <c r="N24" s="374"/>
      <c r="O24" s="374"/>
      <c r="P24" s="374"/>
      <c r="Q24" s="374"/>
      <c r="R24" s="374"/>
      <c r="S24" s="374"/>
      <c r="T24" s="374"/>
      <c r="U24" s="374"/>
      <c r="V24" s="374"/>
      <c r="W24" s="374"/>
      <c r="X24" s="374"/>
    </row>
    <row r="25" spans="1:24" x14ac:dyDescent="0.2">
      <c r="A25" s="374"/>
      <c r="B25" s="374"/>
      <c r="C25" s="374"/>
      <c r="D25" s="374"/>
      <c r="E25" s="374"/>
      <c r="F25" s="374"/>
      <c r="G25" s="374"/>
      <c r="H25" s="374"/>
      <c r="I25" s="374"/>
      <c r="J25" s="374"/>
      <c r="K25" s="374"/>
      <c r="L25" s="374"/>
      <c r="M25" s="374"/>
      <c r="N25" s="374"/>
      <c r="O25" s="374"/>
      <c r="P25" s="374"/>
      <c r="Q25" s="374"/>
      <c r="R25" s="374"/>
      <c r="S25" s="374"/>
      <c r="T25" s="374"/>
      <c r="U25" s="374"/>
      <c r="V25" s="374"/>
      <c r="W25" s="374"/>
      <c r="X25" s="374"/>
    </row>
    <row r="26" spans="1:24" x14ac:dyDescent="0.2">
      <c r="A26" s="374" t="s">
        <v>3370</v>
      </c>
      <c r="B26" s="374"/>
      <c r="C26" s="374"/>
      <c r="D26" s="374"/>
      <c r="E26" s="374"/>
      <c r="F26" s="374"/>
      <c r="G26" s="374"/>
      <c r="H26" s="374"/>
      <c r="I26" s="374"/>
      <c r="J26" s="374"/>
      <c r="K26" s="374"/>
      <c r="L26" s="374"/>
      <c r="M26" s="374"/>
      <c r="N26" s="374"/>
      <c r="O26" s="374"/>
      <c r="P26" s="374"/>
      <c r="Q26" s="374"/>
      <c r="R26" s="374"/>
      <c r="S26" s="374"/>
      <c r="T26" s="374"/>
      <c r="U26" s="374"/>
      <c r="V26" s="374"/>
      <c r="W26" s="374"/>
      <c r="X26" s="374"/>
    </row>
    <row r="27" spans="1:24" x14ac:dyDescent="0.2">
      <c r="A27" s="374" t="s">
        <v>3358</v>
      </c>
      <c r="B27" s="374">
        <v>0</v>
      </c>
      <c r="C27" s="374">
        <v>0</v>
      </c>
      <c r="D27" s="378">
        <v>0</v>
      </c>
      <c r="E27" s="378">
        <v>0</v>
      </c>
      <c r="F27" s="378">
        <v>0</v>
      </c>
      <c r="G27" s="378">
        <v>0</v>
      </c>
      <c r="H27" s="378">
        <v>0</v>
      </c>
      <c r="I27" s="378">
        <v>0</v>
      </c>
      <c r="J27" s="374"/>
      <c r="K27" s="374"/>
      <c r="L27" s="374"/>
      <c r="M27" s="374"/>
      <c r="N27" s="374"/>
      <c r="O27" s="374"/>
      <c r="P27" s="374"/>
      <c r="Q27" s="374"/>
      <c r="R27" s="374"/>
      <c r="S27" s="374"/>
      <c r="T27" s="374"/>
      <c r="U27" s="374"/>
      <c r="V27" s="374"/>
      <c r="W27" s="374"/>
      <c r="X27" s="374"/>
    </row>
    <row r="28" spans="1:24" x14ac:dyDescent="0.2">
      <c r="A28" s="374" t="s">
        <v>3359</v>
      </c>
      <c r="B28" s="374">
        <v>0</v>
      </c>
      <c r="C28" s="374">
        <v>24</v>
      </c>
      <c r="D28" s="378">
        <v>26.009739</v>
      </c>
      <c r="E28" s="378">
        <v>26.445156000000001</v>
      </c>
      <c r="F28" s="378">
        <v>27.369844000000001</v>
      </c>
      <c r="G28" s="378">
        <v>27.400372000000001</v>
      </c>
      <c r="H28" s="378">
        <v>27.423615999999999</v>
      </c>
      <c r="I28" s="378">
        <v>27.445595000000001</v>
      </c>
      <c r="J28" s="374"/>
      <c r="K28" s="374"/>
      <c r="L28" s="374"/>
      <c r="M28" s="374"/>
      <c r="N28" s="374"/>
      <c r="O28" s="374"/>
      <c r="P28" s="374"/>
      <c r="Q28" s="374"/>
      <c r="R28" s="374"/>
      <c r="S28" s="374"/>
      <c r="T28" s="374"/>
      <c r="U28" s="374"/>
      <c r="V28" s="374"/>
      <c r="W28" s="374"/>
      <c r="X28" s="374"/>
    </row>
    <row r="29" spans="1:24" x14ac:dyDescent="0.2">
      <c r="A29" s="374" t="s">
        <v>3360</v>
      </c>
      <c r="B29" s="374">
        <v>18.8</v>
      </c>
      <c r="C29" s="374">
        <v>25.2</v>
      </c>
      <c r="D29" s="378">
        <v>23.117659</v>
      </c>
      <c r="E29" s="378">
        <v>23.356335000000001</v>
      </c>
      <c r="F29" s="378">
        <v>23.811074999999999</v>
      </c>
      <c r="G29" s="378">
        <v>23.835692999999999</v>
      </c>
      <c r="H29" s="378">
        <v>23.854960999999999</v>
      </c>
      <c r="I29" s="378">
        <v>23.872651999999999</v>
      </c>
      <c r="J29" s="374"/>
      <c r="K29" s="374"/>
      <c r="L29" s="374"/>
      <c r="M29" s="374"/>
      <c r="N29" s="374"/>
      <c r="O29" s="374"/>
      <c r="P29" s="374"/>
      <c r="Q29" s="374"/>
      <c r="R29" s="374"/>
      <c r="S29" s="374"/>
      <c r="T29" s="374"/>
      <c r="U29" s="374"/>
      <c r="V29" s="374"/>
      <c r="W29" s="374"/>
      <c r="X29" s="374"/>
    </row>
    <row r="30" spans="1:24" x14ac:dyDescent="0.2">
      <c r="A30" s="374" t="s">
        <v>3361</v>
      </c>
      <c r="B30" s="374">
        <v>26</v>
      </c>
      <c r="C30" s="374">
        <v>27</v>
      </c>
      <c r="D30" s="378">
        <v>26.925594</v>
      </c>
      <c r="E30" s="378">
        <v>27.219173000000001</v>
      </c>
      <c r="F30" s="378">
        <v>28.03079</v>
      </c>
      <c r="G30" s="378">
        <v>28.053549</v>
      </c>
      <c r="H30" s="378">
        <v>28.071873</v>
      </c>
      <c r="I30" s="378">
        <v>28.089188</v>
      </c>
      <c r="J30" s="374"/>
      <c r="K30" s="374"/>
      <c r="L30" s="374"/>
      <c r="M30" s="374"/>
      <c r="N30" s="374"/>
      <c r="O30" s="374"/>
      <c r="P30" s="374"/>
      <c r="Q30" s="374"/>
      <c r="R30" s="374"/>
      <c r="S30" s="374"/>
      <c r="T30" s="374"/>
      <c r="U30" s="374"/>
      <c r="V30" s="374"/>
      <c r="W30" s="374"/>
      <c r="X30" s="374"/>
    </row>
    <row r="31" spans="1:24" x14ac:dyDescent="0.2">
      <c r="A31" s="374" t="s">
        <v>3362</v>
      </c>
      <c r="B31" s="374">
        <v>0</v>
      </c>
      <c r="C31" s="374">
        <v>31.8</v>
      </c>
      <c r="D31" s="378">
        <v>33.446911</v>
      </c>
      <c r="E31" s="378">
        <v>33.680038000000003</v>
      </c>
      <c r="F31" s="378">
        <v>34.224262000000003</v>
      </c>
      <c r="G31" s="378">
        <v>34.155887999999997</v>
      </c>
      <c r="H31" s="378">
        <v>34.161040999999997</v>
      </c>
      <c r="I31" s="378">
        <v>34.132621999999998</v>
      </c>
      <c r="J31" s="374"/>
      <c r="K31" s="374"/>
      <c r="L31" s="374"/>
      <c r="M31" s="374"/>
      <c r="N31" s="374"/>
      <c r="O31" s="374"/>
      <c r="P31" s="374"/>
      <c r="Q31" s="374"/>
      <c r="R31" s="374"/>
      <c r="S31" s="374"/>
      <c r="T31" s="374"/>
      <c r="U31" s="374"/>
      <c r="V31" s="374"/>
      <c r="W31" s="374"/>
      <c r="X31" s="374"/>
    </row>
    <row r="32" spans="1:24" x14ac:dyDescent="0.2">
      <c r="A32" s="374" t="s">
        <v>3363</v>
      </c>
      <c r="B32" s="374">
        <v>0</v>
      </c>
      <c r="C32" s="374">
        <v>0</v>
      </c>
      <c r="D32" s="378">
        <v>0</v>
      </c>
      <c r="E32" s="378">
        <v>0</v>
      </c>
      <c r="F32" s="378">
        <v>0</v>
      </c>
      <c r="G32" s="378">
        <v>0</v>
      </c>
      <c r="H32" s="378">
        <v>0</v>
      </c>
      <c r="I32" s="378">
        <v>0</v>
      </c>
      <c r="J32" s="374"/>
      <c r="K32" s="374"/>
      <c r="L32" s="374"/>
      <c r="M32" s="374"/>
      <c r="N32" s="374"/>
      <c r="O32" s="374"/>
      <c r="P32" s="374"/>
      <c r="Q32" s="374"/>
      <c r="R32" s="374"/>
      <c r="S32" s="374"/>
      <c r="T32" s="374"/>
      <c r="U32" s="374"/>
      <c r="V32" s="374"/>
      <c r="W32" s="374"/>
      <c r="X32" s="374"/>
    </row>
    <row r="33" spans="1:24" x14ac:dyDescent="0.2">
      <c r="A33" s="374" t="s">
        <v>3364</v>
      </c>
      <c r="B33" s="374">
        <v>0</v>
      </c>
      <c r="C33" s="374">
        <v>21.9</v>
      </c>
      <c r="D33" s="378">
        <v>27.055748000000001</v>
      </c>
      <c r="E33" s="378">
        <v>27.418118</v>
      </c>
      <c r="F33" s="378">
        <v>28.184311000000001</v>
      </c>
      <c r="G33" s="378">
        <v>28.218568999999999</v>
      </c>
      <c r="H33" s="378">
        <v>28.232859000000001</v>
      </c>
      <c r="I33" s="378">
        <v>28.253751999999999</v>
      </c>
      <c r="J33" s="374"/>
      <c r="K33" s="374"/>
      <c r="L33" s="374"/>
      <c r="M33" s="374"/>
      <c r="N33" s="374"/>
      <c r="O33" s="374"/>
      <c r="P33" s="374"/>
      <c r="Q33" s="374"/>
      <c r="R33" s="374"/>
      <c r="S33" s="374"/>
      <c r="T33" s="374"/>
      <c r="U33" s="374"/>
      <c r="V33" s="374"/>
      <c r="W33" s="374"/>
      <c r="X33" s="374"/>
    </row>
    <row r="34" spans="1:24" x14ac:dyDescent="0.2">
      <c r="A34" s="374" t="s">
        <v>3365</v>
      </c>
      <c r="B34" s="374">
        <v>22.8</v>
      </c>
      <c r="C34" s="374">
        <v>29.1</v>
      </c>
      <c r="D34" s="378">
        <v>37.169426000000001</v>
      </c>
      <c r="E34" s="378">
        <v>37.514431000000002</v>
      </c>
      <c r="F34" s="378">
        <v>38.113579000000001</v>
      </c>
      <c r="G34" s="378">
        <v>38.147167000000003</v>
      </c>
      <c r="H34" s="378">
        <v>38.174720999999998</v>
      </c>
      <c r="I34" s="378">
        <v>38.199801999999998</v>
      </c>
      <c r="J34" s="374"/>
      <c r="K34" s="374"/>
      <c r="L34" s="374"/>
      <c r="M34" s="374"/>
      <c r="N34" s="374"/>
      <c r="O34" s="374"/>
      <c r="P34" s="374"/>
      <c r="Q34" s="374"/>
      <c r="R34" s="374"/>
      <c r="S34" s="374"/>
      <c r="T34" s="374"/>
      <c r="U34" s="374"/>
      <c r="V34" s="374"/>
      <c r="W34" s="374"/>
      <c r="X34" s="374"/>
    </row>
    <row r="35" spans="1:24" x14ac:dyDescent="0.2">
      <c r="A35" s="374" t="s">
        <v>3366</v>
      </c>
      <c r="B35" s="374">
        <v>0</v>
      </c>
      <c r="C35" s="374">
        <v>30.3</v>
      </c>
      <c r="D35" s="378">
        <v>30.650238000000002</v>
      </c>
      <c r="E35" s="378">
        <v>31.029913000000001</v>
      </c>
      <c r="F35" s="378">
        <v>32.050055999999998</v>
      </c>
      <c r="G35" s="378">
        <v>32.100814999999997</v>
      </c>
      <c r="H35" s="378">
        <v>32.129531999999998</v>
      </c>
      <c r="I35" s="378">
        <v>32.154541000000002</v>
      </c>
      <c r="J35" s="374"/>
      <c r="K35" s="374"/>
      <c r="L35" s="374"/>
      <c r="M35" s="374"/>
      <c r="N35" s="374"/>
      <c r="O35" s="374"/>
      <c r="P35" s="374"/>
      <c r="Q35" s="374"/>
      <c r="R35" s="374"/>
      <c r="S35" s="374"/>
      <c r="T35" s="374"/>
      <c r="U35" s="374"/>
      <c r="V35" s="374"/>
      <c r="W35" s="374"/>
      <c r="X35" s="374"/>
    </row>
    <row r="36" spans="1:24" x14ac:dyDescent="0.2">
      <c r="A36" s="374" t="s">
        <v>3367</v>
      </c>
      <c r="B36" s="374">
        <v>27</v>
      </c>
      <c r="C36" s="374">
        <v>30.8</v>
      </c>
      <c r="D36" s="378">
        <v>33.440094000000002</v>
      </c>
      <c r="E36" s="378">
        <v>33.789375</v>
      </c>
      <c r="F36" s="378">
        <v>34.428345</v>
      </c>
      <c r="G36" s="378">
        <v>34.462516999999998</v>
      </c>
      <c r="H36" s="378">
        <v>34.486935000000003</v>
      </c>
      <c r="I36" s="378">
        <v>34.508293000000002</v>
      </c>
      <c r="J36" s="374"/>
      <c r="K36" s="374"/>
      <c r="L36" s="374"/>
      <c r="M36" s="374"/>
      <c r="N36" s="374"/>
      <c r="O36" s="374"/>
      <c r="P36" s="374"/>
      <c r="Q36" s="374"/>
      <c r="R36" s="374"/>
      <c r="S36" s="374"/>
      <c r="T36" s="374"/>
      <c r="U36" s="374"/>
      <c r="V36" s="374"/>
      <c r="W36" s="374"/>
      <c r="X36" s="374"/>
    </row>
    <row r="37" spans="1:24" x14ac:dyDescent="0.2">
      <c r="A37" s="374" t="s">
        <v>3368</v>
      </c>
      <c r="B37" s="374">
        <v>26.7</v>
      </c>
      <c r="C37" s="374">
        <v>28.4</v>
      </c>
      <c r="D37" s="378">
        <v>30.425367000000001</v>
      </c>
      <c r="E37" s="378">
        <v>30.182333</v>
      </c>
      <c r="F37" s="378">
        <v>30.764894000000002</v>
      </c>
      <c r="G37" s="378">
        <v>30.828385999999998</v>
      </c>
      <c r="H37" s="378">
        <v>30.850760000000001</v>
      </c>
      <c r="I37" s="378">
        <v>30.821728</v>
      </c>
      <c r="J37" s="374"/>
      <c r="K37" s="374"/>
      <c r="L37" s="374"/>
      <c r="M37" s="374"/>
      <c r="N37" s="374"/>
      <c r="O37" s="374"/>
      <c r="P37" s="374"/>
      <c r="Q37" s="374"/>
      <c r="R37" s="374"/>
      <c r="S37" s="374"/>
      <c r="T37" s="374"/>
      <c r="U37" s="374"/>
      <c r="V37" s="374"/>
      <c r="W37" s="374"/>
      <c r="X37" s="374"/>
    </row>
    <row r="38" spans="1:24" x14ac:dyDescent="0.2">
      <c r="A38" s="374" t="s">
        <v>3369</v>
      </c>
      <c r="B38" s="374">
        <v>36.4</v>
      </c>
      <c r="C38" s="374">
        <v>40.700000000000003</v>
      </c>
      <c r="D38" s="378">
        <v>42.146560999999998</v>
      </c>
      <c r="E38" s="378">
        <v>41.966881000000001</v>
      </c>
      <c r="F38" s="378">
        <v>42.806221000000001</v>
      </c>
      <c r="G38" s="378">
        <v>42.895676000000002</v>
      </c>
      <c r="H38" s="378">
        <v>42.925674000000001</v>
      </c>
      <c r="I38" s="378">
        <v>42.894587999999999</v>
      </c>
      <c r="J38" s="374"/>
      <c r="K38" s="374"/>
      <c r="L38" s="374"/>
      <c r="M38" s="374"/>
      <c r="N38" s="374"/>
      <c r="O38" s="374"/>
      <c r="P38" s="374"/>
      <c r="Q38" s="374"/>
      <c r="R38" s="374"/>
      <c r="S38" s="374"/>
      <c r="T38" s="374"/>
      <c r="U38" s="374"/>
      <c r="V38" s="374"/>
      <c r="W38" s="374"/>
      <c r="X38" s="374"/>
    </row>
    <row r="39" spans="1:24" x14ac:dyDescent="0.2">
      <c r="A39" s="374"/>
      <c r="B39" s="374"/>
      <c r="C39" s="374"/>
      <c r="D39" s="374"/>
      <c r="E39" s="374"/>
      <c r="F39" s="374"/>
      <c r="G39" s="374"/>
      <c r="H39" s="374"/>
      <c r="I39" s="374"/>
      <c r="J39" s="374"/>
      <c r="K39" s="374"/>
      <c r="L39" s="374"/>
      <c r="M39" s="374"/>
      <c r="N39" s="374"/>
      <c r="O39" s="374"/>
      <c r="P39" s="374"/>
      <c r="Q39" s="374"/>
      <c r="R39" s="374"/>
      <c r="S39" s="374"/>
      <c r="T39" s="374"/>
      <c r="U39" s="374"/>
      <c r="V39" s="374"/>
      <c r="W39" s="374"/>
      <c r="X39" s="374"/>
    </row>
    <row r="40" spans="1:24" x14ac:dyDescent="0.2">
      <c r="A40" s="374" t="s">
        <v>3371</v>
      </c>
      <c r="B40" s="374"/>
      <c r="C40" s="374"/>
      <c r="D40" s="374"/>
      <c r="E40" s="374"/>
      <c r="F40" s="374"/>
      <c r="G40" s="374"/>
      <c r="H40" s="374"/>
      <c r="I40" s="374"/>
      <c r="J40" s="374"/>
      <c r="K40" s="374"/>
      <c r="L40" s="374"/>
      <c r="M40" s="374"/>
      <c r="N40" s="374"/>
      <c r="O40" s="374"/>
      <c r="P40" s="374"/>
      <c r="Q40" s="374"/>
      <c r="R40" s="374"/>
      <c r="S40" s="374"/>
      <c r="T40" s="374"/>
      <c r="U40" s="374"/>
      <c r="V40" s="374"/>
      <c r="W40" s="374"/>
      <c r="X40" s="374"/>
    </row>
    <row r="41" spans="1:24" x14ac:dyDescent="0.2">
      <c r="A41" s="374" t="s">
        <v>3358</v>
      </c>
      <c r="B41" s="374">
        <v>0</v>
      </c>
      <c r="C41" s="374">
        <v>0</v>
      </c>
      <c r="D41" s="378">
        <v>0</v>
      </c>
      <c r="E41" s="378">
        <v>0</v>
      </c>
      <c r="F41" s="378">
        <v>0</v>
      </c>
      <c r="G41" s="378">
        <v>0</v>
      </c>
      <c r="H41" s="378">
        <v>0</v>
      </c>
      <c r="I41" s="378">
        <v>0</v>
      </c>
      <c r="J41" s="374"/>
      <c r="K41" s="374"/>
      <c r="L41" s="374"/>
      <c r="M41" s="374"/>
      <c r="N41" s="374"/>
      <c r="O41" s="374"/>
      <c r="P41" s="374"/>
      <c r="Q41" s="374"/>
      <c r="R41" s="374"/>
      <c r="S41" s="374"/>
      <c r="T41" s="374"/>
      <c r="U41" s="374"/>
      <c r="V41" s="374"/>
      <c r="W41" s="374"/>
      <c r="X41" s="374"/>
    </row>
    <row r="42" spans="1:24" x14ac:dyDescent="0.2">
      <c r="A42" s="374" t="s">
        <v>3359</v>
      </c>
      <c r="B42" s="374">
        <v>0</v>
      </c>
      <c r="C42" s="374">
        <v>0</v>
      </c>
      <c r="D42" s="378">
        <v>0</v>
      </c>
      <c r="E42" s="378">
        <v>0</v>
      </c>
      <c r="F42" s="378">
        <v>31.614252</v>
      </c>
      <c r="G42" s="378">
        <v>30.670057</v>
      </c>
      <c r="H42" s="378">
        <v>30.413471000000001</v>
      </c>
      <c r="I42" s="378">
        <v>30.348106000000001</v>
      </c>
      <c r="J42" s="374"/>
      <c r="K42" s="374"/>
      <c r="L42" s="374"/>
      <c r="M42" s="374"/>
      <c r="N42" s="374"/>
      <c r="O42" s="374"/>
      <c r="P42" s="374"/>
      <c r="Q42" s="374"/>
      <c r="R42" s="374"/>
      <c r="S42" s="374"/>
      <c r="T42" s="374"/>
      <c r="U42" s="374"/>
      <c r="V42" s="374"/>
      <c r="W42" s="374"/>
      <c r="X42" s="374"/>
    </row>
    <row r="43" spans="1:24" x14ac:dyDescent="0.2">
      <c r="A43" s="374" t="s">
        <v>3360</v>
      </c>
      <c r="B43" s="374">
        <v>0</v>
      </c>
      <c r="C43" s="374">
        <v>0</v>
      </c>
      <c r="D43" s="378">
        <v>30.413001999999999</v>
      </c>
      <c r="E43" s="378">
        <v>30.439444000000002</v>
      </c>
      <c r="F43" s="378">
        <v>29.946812000000001</v>
      </c>
      <c r="G43" s="378">
        <v>28.989370000000001</v>
      </c>
      <c r="H43" s="378">
        <v>28.721457000000001</v>
      </c>
      <c r="I43" s="378">
        <v>28.647938</v>
      </c>
      <c r="J43" s="374"/>
      <c r="K43" s="374"/>
      <c r="L43" s="374"/>
      <c r="M43" s="374"/>
      <c r="N43" s="374"/>
      <c r="O43" s="374"/>
      <c r="P43" s="374"/>
      <c r="Q43" s="374"/>
      <c r="R43" s="374"/>
      <c r="S43" s="374"/>
      <c r="T43" s="374"/>
      <c r="U43" s="374"/>
      <c r="V43" s="374"/>
      <c r="W43" s="374"/>
      <c r="X43" s="374"/>
    </row>
    <row r="44" spans="1:24" x14ac:dyDescent="0.2">
      <c r="A44" s="374" t="s">
        <v>3361</v>
      </c>
      <c r="B44" s="374">
        <v>0</v>
      </c>
      <c r="C44" s="374">
        <v>0</v>
      </c>
      <c r="D44" s="378">
        <v>36.332714000000003</v>
      </c>
      <c r="E44" s="378">
        <v>36.142704000000002</v>
      </c>
      <c r="F44" s="378">
        <v>35.564117000000003</v>
      </c>
      <c r="G44" s="378">
        <v>34.396113999999997</v>
      </c>
      <c r="H44" s="378">
        <v>34.071941000000002</v>
      </c>
      <c r="I44" s="378">
        <v>33.981495000000002</v>
      </c>
      <c r="J44" s="374"/>
      <c r="K44" s="374"/>
      <c r="L44" s="374"/>
      <c r="M44" s="374"/>
      <c r="N44" s="374"/>
      <c r="O44" s="374"/>
      <c r="P44" s="374"/>
      <c r="Q44" s="374"/>
      <c r="R44" s="374"/>
      <c r="S44" s="374"/>
      <c r="T44" s="374"/>
      <c r="U44" s="374"/>
      <c r="V44" s="374"/>
      <c r="W44" s="374"/>
      <c r="X44" s="374"/>
    </row>
    <row r="45" spans="1:24" x14ac:dyDescent="0.2">
      <c r="A45" s="374" t="s">
        <v>3362</v>
      </c>
      <c r="B45" s="374">
        <v>0</v>
      </c>
      <c r="C45" s="374">
        <v>0</v>
      </c>
      <c r="D45" s="378">
        <v>0</v>
      </c>
      <c r="E45" s="378">
        <v>45.154873000000002</v>
      </c>
      <c r="F45" s="378">
        <v>43.935676999999998</v>
      </c>
      <c r="G45" s="378">
        <v>42.419037000000003</v>
      </c>
      <c r="H45" s="378">
        <v>41.994202000000001</v>
      </c>
      <c r="I45" s="378">
        <v>41.870441</v>
      </c>
      <c r="J45" s="374"/>
      <c r="K45" s="374"/>
      <c r="L45" s="374"/>
      <c r="M45" s="374"/>
      <c r="N45" s="374"/>
      <c r="O45" s="374"/>
      <c r="P45" s="374"/>
      <c r="Q45" s="374"/>
      <c r="R45" s="374"/>
      <c r="S45" s="374"/>
      <c r="T45" s="374"/>
      <c r="U45" s="374"/>
      <c r="V45" s="374"/>
      <c r="W45" s="374"/>
      <c r="X45" s="374"/>
    </row>
    <row r="46" spans="1:24" x14ac:dyDescent="0.2">
      <c r="A46" s="374" t="s">
        <v>3363</v>
      </c>
      <c r="B46" s="374">
        <v>0</v>
      </c>
      <c r="C46" s="374">
        <v>0</v>
      </c>
      <c r="D46" s="378">
        <v>67.942970000000003</v>
      </c>
      <c r="E46" s="378">
        <v>67.465087999999994</v>
      </c>
      <c r="F46" s="378">
        <v>66.166686999999996</v>
      </c>
      <c r="G46" s="378">
        <v>64.662025</v>
      </c>
      <c r="H46" s="378">
        <v>64.233879000000002</v>
      </c>
      <c r="I46" s="378">
        <v>64.103568999999993</v>
      </c>
      <c r="J46" s="374"/>
      <c r="K46" s="374"/>
      <c r="L46" s="374"/>
      <c r="M46" s="374"/>
      <c r="N46" s="374"/>
      <c r="O46" s="374"/>
      <c r="P46" s="374"/>
      <c r="Q46" s="374"/>
      <c r="R46" s="374"/>
      <c r="S46" s="374"/>
      <c r="T46" s="374"/>
      <c r="U46" s="374"/>
      <c r="V46" s="374"/>
      <c r="W46" s="374"/>
      <c r="X46" s="374"/>
    </row>
    <row r="47" spans="1:24" x14ac:dyDescent="0.2">
      <c r="A47" s="374" t="s">
        <v>3364</v>
      </c>
      <c r="B47" s="374">
        <v>0</v>
      </c>
      <c r="C47" s="374">
        <v>0</v>
      </c>
      <c r="D47" s="378">
        <v>0</v>
      </c>
      <c r="E47" s="378">
        <v>0</v>
      </c>
      <c r="F47" s="378">
        <v>0</v>
      </c>
      <c r="G47" s="378">
        <v>0</v>
      </c>
      <c r="H47" s="378">
        <v>0</v>
      </c>
      <c r="I47" s="378">
        <v>0</v>
      </c>
      <c r="J47" s="374"/>
      <c r="K47" s="374"/>
      <c r="L47" s="374"/>
      <c r="M47" s="374"/>
      <c r="N47" s="374"/>
      <c r="O47" s="374"/>
      <c r="P47" s="374"/>
      <c r="Q47" s="374"/>
      <c r="R47" s="374"/>
      <c r="S47" s="374"/>
      <c r="T47" s="374"/>
      <c r="U47" s="374"/>
      <c r="V47" s="374"/>
      <c r="W47" s="374"/>
      <c r="X47" s="374"/>
    </row>
    <row r="48" spans="1:24" x14ac:dyDescent="0.2">
      <c r="A48" s="374" t="s">
        <v>3365</v>
      </c>
      <c r="B48" s="374">
        <v>0</v>
      </c>
      <c r="C48" s="374">
        <v>0</v>
      </c>
      <c r="D48" s="378">
        <v>0</v>
      </c>
      <c r="E48" s="378">
        <v>0</v>
      </c>
      <c r="F48" s="378">
        <v>0</v>
      </c>
      <c r="G48" s="378">
        <v>0</v>
      </c>
      <c r="H48" s="378">
        <v>0</v>
      </c>
      <c r="I48" s="378">
        <v>0</v>
      </c>
      <c r="J48" s="374"/>
      <c r="K48" s="374"/>
      <c r="L48" s="374"/>
      <c r="M48" s="374"/>
      <c r="N48" s="374"/>
      <c r="O48" s="374"/>
      <c r="P48" s="374"/>
      <c r="Q48" s="374"/>
      <c r="R48" s="374"/>
      <c r="S48" s="374"/>
      <c r="T48" s="374"/>
      <c r="U48" s="374"/>
      <c r="V48" s="374"/>
      <c r="W48" s="374"/>
      <c r="X48" s="374"/>
    </row>
    <row r="49" spans="1:24" x14ac:dyDescent="0.2">
      <c r="A49" s="374" t="s">
        <v>3366</v>
      </c>
      <c r="B49" s="374">
        <v>0</v>
      </c>
      <c r="C49" s="374">
        <v>0</v>
      </c>
      <c r="D49" s="378">
        <v>0</v>
      </c>
      <c r="E49" s="378">
        <v>36.547328999999998</v>
      </c>
      <c r="F49" s="378">
        <v>35.924518999999997</v>
      </c>
      <c r="G49" s="378">
        <v>34.786129000000003</v>
      </c>
      <c r="H49" s="378">
        <v>34.486728999999997</v>
      </c>
      <c r="I49" s="378">
        <v>34.412601000000002</v>
      </c>
      <c r="J49" s="374"/>
      <c r="K49" s="374"/>
      <c r="L49" s="374"/>
      <c r="M49" s="374"/>
      <c r="N49" s="374"/>
      <c r="O49" s="374"/>
      <c r="P49" s="374"/>
      <c r="Q49" s="374"/>
      <c r="R49" s="374"/>
      <c r="S49" s="374"/>
      <c r="T49" s="374"/>
      <c r="U49" s="374"/>
      <c r="V49" s="374"/>
      <c r="W49" s="374"/>
      <c r="X49" s="374"/>
    </row>
    <row r="50" spans="1:24" x14ac:dyDescent="0.2">
      <c r="A50" s="374" t="s">
        <v>3367</v>
      </c>
      <c r="B50" s="374">
        <v>0</v>
      </c>
      <c r="C50" s="374">
        <v>0</v>
      </c>
      <c r="D50" s="378">
        <v>0</v>
      </c>
      <c r="E50" s="378">
        <v>0</v>
      </c>
      <c r="F50" s="378">
        <v>0</v>
      </c>
      <c r="G50" s="378">
        <v>0</v>
      </c>
      <c r="H50" s="378">
        <v>0</v>
      </c>
      <c r="I50" s="378">
        <v>0</v>
      </c>
      <c r="J50" s="374"/>
      <c r="K50" s="374"/>
      <c r="L50" s="374"/>
      <c r="M50" s="374"/>
      <c r="N50" s="374"/>
      <c r="O50" s="374"/>
      <c r="P50" s="374"/>
      <c r="Q50" s="374"/>
      <c r="R50" s="374"/>
      <c r="S50" s="374"/>
      <c r="T50" s="374"/>
      <c r="U50" s="374"/>
      <c r="V50" s="374"/>
      <c r="W50" s="374"/>
      <c r="X50" s="374"/>
    </row>
    <row r="51" spans="1:24" x14ac:dyDescent="0.2">
      <c r="A51" s="374" t="s">
        <v>3368</v>
      </c>
      <c r="B51" s="374">
        <v>0</v>
      </c>
      <c r="C51" s="374">
        <v>0</v>
      </c>
      <c r="D51" s="378">
        <v>0</v>
      </c>
      <c r="E51" s="378">
        <v>37.065044</v>
      </c>
      <c r="F51" s="378">
        <v>36.337131999999997</v>
      </c>
      <c r="G51" s="378">
        <v>35.242885999999999</v>
      </c>
      <c r="H51" s="378">
        <v>34.951324</v>
      </c>
      <c r="I51" s="378">
        <v>34.877991000000002</v>
      </c>
      <c r="J51" s="374"/>
      <c r="K51" s="374"/>
      <c r="L51" s="374"/>
      <c r="M51" s="374"/>
      <c r="N51" s="374"/>
      <c r="O51" s="374"/>
      <c r="P51" s="374"/>
      <c r="Q51" s="374"/>
      <c r="R51" s="374"/>
      <c r="S51" s="374"/>
      <c r="T51" s="374"/>
      <c r="U51" s="374"/>
      <c r="V51" s="374"/>
      <c r="W51" s="374"/>
      <c r="X51" s="374"/>
    </row>
    <row r="52" spans="1:24" x14ac:dyDescent="0.2">
      <c r="A52" s="374" t="s">
        <v>3369</v>
      </c>
      <c r="B52" s="374">
        <v>0</v>
      </c>
      <c r="C52" s="374">
        <v>0</v>
      </c>
      <c r="D52" s="378">
        <v>0</v>
      </c>
      <c r="E52" s="378">
        <v>0</v>
      </c>
      <c r="F52" s="378">
        <v>0</v>
      </c>
      <c r="G52" s="378">
        <v>0</v>
      </c>
      <c r="H52" s="378">
        <v>0</v>
      </c>
      <c r="I52" s="378">
        <v>0</v>
      </c>
      <c r="J52" s="374"/>
      <c r="K52" s="374"/>
      <c r="L52" s="374"/>
      <c r="M52" s="374"/>
      <c r="N52" s="374"/>
      <c r="O52" s="374"/>
      <c r="P52" s="374"/>
      <c r="Q52" s="374"/>
      <c r="R52" s="374"/>
      <c r="S52" s="374"/>
      <c r="T52" s="374"/>
      <c r="U52" s="374"/>
      <c r="V52" s="374"/>
      <c r="W52" s="374"/>
      <c r="X52" s="374"/>
    </row>
    <row r="53" spans="1:24" x14ac:dyDescent="0.2">
      <c r="A53" s="374"/>
      <c r="B53" s="374"/>
      <c r="C53" s="374"/>
      <c r="D53" s="374"/>
      <c r="E53" s="374"/>
      <c r="F53" s="374"/>
      <c r="G53" s="374"/>
      <c r="H53" s="374"/>
      <c r="I53" s="374"/>
      <c r="J53" s="374"/>
      <c r="K53" s="374"/>
      <c r="L53" s="374"/>
      <c r="M53" s="374"/>
      <c r="N53" s="374"/>
      <c r="O53" s="374"/>
      <c r="P53" s="374"/>
      <c r="Q53" s="374"/>
      <c r="R53" s="374"/>
      <c r="S53" s="374"/>
      <c r="T53" s="374"/>
      <c r="U53" s="374"/>
      <c r="V53" s="374"/>
      <c r="W53" s="374"/>
      <c r="X53" s="374"/>
    </row>
    <row r="54" spans="1:24" x14ac:dyDescent="0.2">
      <c r="A54" s="374" t="s">
        <v>574</v>
      </c>
      <c r="B54" s="374"/>
      <c r="C54" s="374"/>
      <c r="D54" s="374"/>
      <c r="E54" s="374"/>
      <c r="F54" s="374"/>
      <c r="G54" s="374"/>
      <c r="H54" s="374"/>
      <c r="I54" s="374"/>
      <c r="J54" s="374"/>
      <c r="K54" s="374"/>
      <c r="L54" s="374"/>
      <c r="M54" s="374"/>
      <c r="N54" s="374"/>
      <c r="O54" s="374"/>
      <c r="P54" s="374"/>
      <c r="Q54" s="374"/>
      <c r="R54" s="374"/>
      <c r="S54" s="374"/>
      <c r="T54" s="374"/>
      <c r="U54" s="374"/>
      <c r="V54" s="374"/>
      <c r="W54" s="374"/>
      <c r="X54" s="374"/>
    </row>
    <row r="55" spans="1:24" x14ac:dyDescent="0.2">
      <c r="A55" s="374" t="s">
        <v>3358</v>
      </c>
      <c r="B55" s="374">
        <v>0</v>
      </c>
      <c r="C55" s="374">
        <v>0</v>
      </c>
      <c r="D55" s="374">
        <v>0</v>
      </c>
      <c r="E55" s="374">
        <v>0</v>
      </c>
      <c r="F55" s="374">
        <v>0</v>
      </c>
      <c r="G55" s="374">
        <v>0</v>
      </c>
      <c r="H55" s="374">
        <v>0</v>
      </c>
      <c r="I55" s="374" t="s">
        <v>2768</v>
      </c>
      <c r="J55" s="374"/>
      <c r="K55" s="374"/>
      <c r="L55" s="374"/>
      <c r="M55" s="374"/>
      <c r="N55" s="374"/>
      <c r="O55" s="374"/>
      <c r="P55" s="374"/>
      <c r="Q55" s="374"/>
      <c r="R55" s="374"/>
      <c r="S55" s="374"/>
      <c r="T55" s="374"/>
      <c r="U55" s="374"/>
      <c r="V55" s="374"/>
      <c r="W55" s="374"/>
      <c r="X55" s="374"/>
    </row>
    <row r="56" spans="1:24" x14ac:dyDescent="0.2">
      <c r="A56" s="374" t="s">
        <v>3359</v>
      </c>
      <c r="B56" s="374">
        <v>0</v>
      </c>
      <c r="C56" s="374">
        <v>0</v>
      </c>
      <c r="D56" s="374">
        <v>0</v>
      </c>
      <c r="E56" s="374">
        <v>0</v>
      </c>
      <c r="F56" s="374">
        <v>30.3</v>
      </c>
      <c r="G56" s="374">
        <v>29.4</v>
      </c>
      <c r="H56" s="374">
        <v>28.7</v>
      </c>
      <c r="I56" s="374" t="s">
        <v>2768</v>
      </c>
      <c r="J56" s="374"/>
      <c r="K56" s="374"/>
      <c r="L56" s="374"/>
      <c r="M56" s="374"/>
      <c r="N56" s="374"/>
      <c r="O56" s="374"/>
      <c r="P56" s="374"/>
      <c r="Q56" s="374"/>
      <c r="R56" s="374"/>
      <c r="S56" s="374"/>
      <c r="T56" s="374"/>
      <c r="U56" s="374"/>
      <c r="V56" s="374"/>
      <c r="W56" s="374"/>
      <c r="X56" s="374"/>
    </row>
    <row r="57" spans="1:24" x14ac:dyDescent="0.2">
      <c r="A57" s="374" t="s">
        <v>3360</v>
      </c>
      <c r="B57" s="374">
        <v>0</v>
      </c>
      <c r="C57" s="374">
        <v>0</v>
      </c>
      <c r="D57" s="374">
        <v>37.6</v>
      </c>
      <c r="E57" s="374">
        <v>35.200000000000003</v>
      </c>
      <c r="F57" s="374">
        <v>33.799999999999997</v>
      </c>
      <c r="G57" s="374">
        <v>32.700000000000003</v>
      </c>
      <c r="H57" s="374">
        <v>32</v>
      </c>
      <c r="I57" s="374" t="s">
        <v>2768</v>
      </c>
      <c r="J57" s="374"/>
      <c r="K57" s="374"/>
      <c r="L57" s="374"/>
      <c r="M57" s="374"/>
      <c r="N57" s="374"/>
      <c r="O57" s="374"/>
      <c r="P57" s="374"/>
      <c r="Q57" s="374"/>
      <c r="R57" s="374"/>
      <c r="S57" s="374"/>
      <c r="T57" s="374"/>
      <c r="U57" s="374"/>
      <c r="V57" s="374"/>
      <c r="W57" s="374"/>
      <c r="X57" s="374"/>
    </row>
    <row r="58" spans="1:24" x14ac:dyDescent="0.2">
      <c r="A58" s="374" t="s">
        <v>3361</v>
      </c>
      <c r="B58" s="374">
        <v>0</v>
      </c>
      <c r="C58" s="374">
        <v>0</v>
      </c>
      <c r="D58" s="374">
        <v>39.799999999999997</v>
      </c>
      <c r="E58" s="374">
        <v>37.4</v>
      </c>
      <c r="F58" s="374">
        <v>35.9</v>
      </c>
      <c r="G58" s="374">
        <v>34.700000000000003</v>
      </c>
      <c r="H58" s="374">
        <v>34</v>
      </c>
      <c r="I58" s="374" t="s">
        <v>2768</v>
      </c>
      <c r="J58" s="374"/>
      <c r="K58" s="374"/>
      <c r="L58" s="374"/>
      <c r="M58" s="374"/>
      <c r="N58" s="374"/>
      <c r="O58" s="374"/>
      <c r="P58" s="374"/>
      <c r="Q58" s="374"/>
      <c r="R58" s="374"/>
      <c r="S58" s="374"/>
      <c r="T58" s="374"/>
      <c r="U58" s="374"/>
      <c r="V58" s="374"/>
      <c r="W58" s="374"/>
      <c r="X58" s="374"/>
    </row>
    <row r="59" spans="1:24" x14ac:dyDescent="0.2">
      <c r="A59" s="374" t="s">
        <v>3362</v>
      </c>
      <c r="B59" s="374">
        <v>0</v>
      </c>
      <c r="C59" s="374">
        <v>0</v>
      </c>
      <c r="D59" s="374">
        <v>0</v>
      </c>
      <c r="E59" s="374">
        <v>41.8</v>
      </c>
      <c r="F59" s="374">
        <v>40.4</v>
      </c>
      <c r="G59" s="374">
        <v>39</v>
      </c>
      <c r="H59" s="374">
        <v>38.200000000000003</v>
      </c>
      <c r="I59" s="374" t="s">
        <v>2768</v>
      </c>
      <c r="J59" s="374"/>
      <c r="K59" s="374"/>
      <c r="L59" s="374"/>
      <c r="M59" s="374"/>
      <c r="N59" s="374"/>
      <c r="O59" s="374"/>
      <c r="P59" s="374"/>
      <c r="Q59" s="374"/>
      <c r="R59" s="374"/>
      <c r="S59" s="374"/>
      <c r="T59" s="374"/>
      <c r="U59" s="374"/>
      <c r="V59" s="374"/>
      <c r="W59" s="374"/>
      <c r="X59" s="374"/>
    </row>
    <row r="60" spans="1:24" x14ac:dyDescent="0.2">
      <c r="A60" s="374" t="s">
        <v>3363</v>
      </c>
      <c r="B60" s="374">
        <v>0</v>
      </c>
      <c r="C60" s="374">
        <v>0</v>
      </c>
      <c r="D60" s="374">
        <v>0</v>
      </c>
      <c r="E60" s="374">
        <v>0</v>
      </c>
      <c r="F60" s="374">
        <v>0</v>
      </c>
      <c r="G60" s="374">
        <v>0</v>
      </c>
      <c r="H60" s="374">
        <v>0</v>
      </c>
      <c r="I60" s="374" t="s">
        <v>2768</v>
      </c>
      <c r="J60" s="374"/>
      <c r="K60" s="374"/>
      <c r="L60" s="374"/>
      <c r="M60" s="374"/>
      <c r="N60" s="374"/>
      <c r="O60" s="374"/>
      <c r="P60" s="374"/>
      <c r="Q60" s="374"/>
      <c r="R60" s="374"/>
      <c r="S60" s="374"/>
      <c r="T60" s="374"/>
      <c r="U60" s="374"/>
      <c r="V60" s="374"/>
      <c r="W60" s="374"/>
      <c r="X60" s="374"/>
    </row>
    <row r="61" spans="1:24" x14ac:dyDescent="0.2">
      <c r="A61" s="374" t="s">
        <v>3364</v>
      </c>
      <c r="B61" s="374">
        <v>0</v>
      </c>
      <c r="C61" s="374">
        <v>0</v>
      </c>
      <c r="D61" s="374">
        <v>0</v>
      </c>
      <c r="E61" s="374">
        <v>0</v>
      </c>
      <c r="F61" s="374">
        <v>0</v>
      </c>
      <c r="G61" s="374">
        <v>0</v>
      </c>
      <c r="H61" s="374">
        <v>0</v>
      </c>
      <c r="I61" s="374" t="s">
        <v>2768</v>
      </c>
      <c r="J61" s="374"/>
      <c r="K61" s="374"/>
      <c r="L61" s="374"/>
      <c r="M61" s="374"/>
      <c r="N61" s="374"/>
      <c r="O61" s="374"/>
      <c r="P61" s="374"/>
      <c r="Q61" s="374"/>
      <c r="R61" s="374"/>
      <c r="S61" s="374"/>
      <c r="T61" s="374"/>
      <c r="U61" s="374"/>
      <c r="V61" s="374"/>
      <c r="W61" s="374"/>
      <c r="X61" s="374"/>
    </row>
    <row r="62" spans="1:24" x14ac:dyDescent="0.2">
      <c r="A62" s="374" t="s">
        <v>3365</v>
      </c>
      <c r="B62" s="374">
        <v>0</v>
      </c>
      <c r="C62" s="374">
        <v>0</v>
      </c>
      <c r="D62" s="374">
        <v>0</v>
      </c>
      <c r="E62" s="374">
        <v>0</v>
      </c>
      <c r="F62" s="374">
        <v>0</v>
      </c>
      <c r="G62" s="374">
        <v>0</v>
      </c>
      <c r="H62" s="374">
        <v>0</v>
      </c>
      <c r="I62" s="374" t="s">
        <v>2768</v>
      </c>
      <c r="J62" s="374"/>
      <c r="K62" s="374"/>
      <c r="L62" s="374"/>
      <c r="M62" s="374"/>
      <c r="N62" s="374"/>
      <c r="O62" s="374"/>
      <c r="P62" s="374"/>
      <c r="Q62" s="374"/>
      <c r="R62" s="374"/>
      <c r="S62" s="374"/>
      <c r="T62" s="374"/>
      <c r="U62" s="374"/>
      <c r="V62" s="374"/>
      <c r="W62" s="374"/>
      <c r="X62" s="374"/>
    </row>
    <row r="63" spans="1:24" x14ac:dyDescent="0.2">
      <c r="A63" s="374" t="s">
        <v>3366</v>
      </c>
      <c r="B63" s="374">
        <v>0</v>
      </c>
      <c r="C63" s="374">
        <v>0</v>
      </c>
      <c r="D63" s="374">
        <v>0</v>
      </c>
      <c r="E63" s="374">
        <v>0</v>
      </c>
      <c r="F63" s="374">
        <v>0</v>
      </c>
      <c r="G63" s="374">
        <v>0</v>
      </c>
      <c r="H63" s="374">
        <v>0</v>
      </c>
      <c r="I63" s="374" t="s">
        <v>2768</v>
      </c>
      <c r="J63" s="374"/>
      <c r="K63" s="374"/>
      <c r="L63" s="374"/>
      <c r="M63" s="374"/>
      <c r="N63" s="374"/>
      <c r="O63" s="374"/>
      <c r="P63" s="374"/>
      <c r="Q63" s="374"/>
      <c r="R63" s="374"/>
      <c r="S63" s="374"/>
      <c r="T63" s="374"/>
      <c r="U63" s="374"/>
      <c r="V63" s="374"/>
      <c r="W63" s="374"/>
      <c r="X63" s="374"/>
    </row>
    <row r="64" spans="1:24" x14ac:dyDescent="0.2">
      <c r="A64" s="374" t="s">
        <v>3367</v>
      </c>
      <c r="B64" s="374">
        <v>0</v>
      </c>
      <c r="C64" s="374">
        <v>0</v>
      </c>
      <c r="D64" s="374">
        <v>0</v>
      </c>
      <c r="E64" s="374">
        <v>0</v>
      </c>
      <c r="F64" s="374">
        <v>0</v>
      </c>
      <c r="G64" s="374">
        <v>0</v>
      </c>
      <c r="H64" s="374">
        <v>0</v>
      </c>
      <c r="I64" s="374" t="s">
        <v>2768</v>
      </c>
      <c r="J64" s="374"/>
      <c r="K64" s="374"/>
      <c r="L64" s="374"/>
      <c r="M64" s="374"/>
      <c r="N64" s="374"/>
      <c r="O64" s="374"/>
      <c r="P64" s="374"/>
      <c r="Q64" s="374"/>
      <c r="R64" s="374"/>
      <c r="S64" s="374"/>
      <c r="T64" s="374"/>
      <c r="U64" s="374"/>
      <c r="V64" s="374"/>
      <c r="W64" s="374"/>
      <c r="X64" s="374"/>
    </row>
    <row r="65" spans="1:24" x14ac:dyDescent="0.2">
      <c r="A65" s="374" t="s">
        <v>3368</v>
      </c>
      <c r="B65" s="374">
        <v>0</v>
      </c>
      <c r="C65" s="374">
        <v>0</v>
      </c>
      <c r="D65" s="374">
        <v>0</v>
      </c>
      <c r="E65" s="374">
        <v>0</v>
      </c>
      <c r="F65" s="374">
        <v>0</v>
      </c>
      <c r="G65" s="374">
        <v>0</v>
      </c>
      <c r="H65" s="374">
        <v>0</v>
      </c>
      <c r="I65" s="374" t="s">
        <v>2768</v>
      </c>
      <c r="J65" s="374"/>
      <c r="K65" s="374"/>
      <c r="L65" s="374"/>
      <c r="M65" s="374"/>
      <c r="N65" s="374"/>
      <c r="O65" s="374"/>
      <c r="P65" s="374"/>
      <c r="Q65" s="374"/>
      <c r="R65" s="374"/>
      <c r="S65" s="374"/>
      <c r="T65" s="374"/>
      <c r="U65" s="374"/>
      <c r="V65" s="374"/>
      <c r="W65" s="374"/>
      <c r="X65" s="374"/>
    </row>
    <row r="66" spans="1:24" x14ac:dyDescent="0.2">
      <c r="A66" s="374" t="s">
        <v>3369</v>
      </c>
      <c r="B66" s="374">
        <v>0</v>
      </c>
      <c r="C66" s="374">
        <v>0</v>
      </c>
      <c r="D66" s="374">
        <v>0</v>
      </c>
      <c r="E66" s="374">
        <v>0</v>
      </c>
      <c r="F66" s="374">
        <v>0</v>
      </c>
      <c r="G66" s="374">
        <v>0</v>
      </c>
      <c r="H66" s="374">
        <v>0</v>
      </c>
      <c r="I66" s="374" t="s">
        <v>2768</v>
      </c>
      <c r="J66" s="374"/>
      <c r="K66" s="374"/>
      <c r="L66" s="374"/>
      <c r="M66" s="374"/>
      <c r="N66" s="374"/>
      <c r="O66" s="374"/>
      <c r="P66" s="374"/>
      <c r="Q66" s="374"/>
      <c r="R66" s="374"/>
      <c r="S66" s="374"/>
      <c r="T66" s="374"/>
      <c r="U66" s="374"/>
      <c r="V66" s="374"/>
      <c r="W66" s="374"/>
      <c r="X66" s="374"/>
    </row>
    <row r="67" spans="1:24" x14ac:dyDescent="0.2">
      <c r="A67" s="374"/>
      <c r="B67" s="374"/>
      <c r="C67" s="374"/>
      <c r="D67" s="374"/>
      <c r="E67" s="374"/>
      <c r="F67" s="374"/>
      <c r="G67" s="374"/>
      <c r="H67" s="374"/>
      <c r="I67" s="374"/>
      <c r="J67" s="374"/>
      <c r="K67" s="374"/>
      <c r="L67" s="374"/>
      <c r="M67" s="374"/>
      <c r="N67" s="374"/>
      <c r="O67" s="374"/>
      <c r="P67" s="374"/>
      <c r="Q67" s="374"/>
      <c r="R67" s="374"/>
      <c r="S67" s="374"/>
      <c r="T67" s="374"/>
      <c r="U67" s="374"/>
      <c r="V67" s="374"/>
      <c r="W67" s="374"/>
      <c r="X67" s="374"/>
    </row>
    <row r="68" spans="1:24" x14ac:dyDescent="0.2">
      <c r="A68" s="374" t="s">
        <v>331</v>
      </c>
      <c r="B68" s="374"/>
      <c r="C68" s="374"/>
      <c r="D68" s="374"/>
      <c r="E68" s="374"/>
      <c r="F68" s="374"/>
      <c r="G68" s="374"/>
      <c r="H68" s="374"/>
      <c r="I68" s="374"/>
      <c r="J68" s="374" t="s">
        <v>3372</v>
      </c>
      <c r="K68" s="374"/>
      <c r="L68" s="374"/>
      <c r="M68" s="374"/>
      <c r="N68" s="374"/>
      <c r="O68" s="374"/>
      <c r="P68" s="374"/>
      <c r="Q68" s="374" t="s">
        <v>3373</v>
      </c>
      <c r="R68" s="379" t="s">
        <v>2676</v>
      </c>
      <c r="S68" s="374"/>
      <c r="T68" s="374"/>
      <c r="U68" s="374"/>
      <c r="V68" s="374"/>
      <c r="W68" s="374"/>
      <c r="X68" s="374"/>
    </row>
    <row r="69" spans="1:24" x14ac:dyDescent="0.2">
      <c r="A69" s="374" t="s">
        <v>3358</v>
      </c>
      <c r="B69" s="374">
        <v>0</v>
      </c>
      <c r="C69" s="374">
        <v>0</v>
      </c>
      <c r="D69" s="378">
        <v>39.047539</v>
      </c>
      <c r="E69" s="378">
        <v>39.937179999999998</v>
      </c>
      <c r="F69" s="378">
        <v>41.426597999999998</v>
      </c>
      <c r="G69" s="378">
        <v>41.463191999999999</v>
      </c>
      <c r="H69" s="378">
        <v>41.48489</v>
      </c>
      <c r="I69" s="378">
        <v>41.504387000000001</v>
      </c>
      <c r="J69" s="374"/>
      <c r="K69" s="374">
        <v>0</v>
      </c>
      <c r="L69" s="374">
        <v>0</v>
      </c>
      <c r="M69" s="374">
        <v>7.6477000000000003E-2</v>
      </c>
      <c r="N69" s="374">
        <v>7.3357000000000006E-2</v>
      </c>
      <c r="O69" s="374">
        <v>7.3348999999999998E-2</v>
      </c>
      <c r="P69" s="374">
        <v>7.3353000000000002E-2</v>
      </c>
      <c r="Q69" s="374">
        <v>7.3353000000000002E-2</v>
      </c>
      <c r="R69" s="374" t="s">
        <v>3358</v>
      </c>
      <c r="S69" s="374">
        <v>1.4</v>
      </c>
      <c r="T69" s="374"/>
      <c r="U69" s="374"/>
      <c r="V69" s="374"/>
      <c r="W69" s="374"/>
      <c r="X69" s="374"/>
    </row>
    <row r="70" spans="1:24" x14ac:dyDescent="0.2">
      <c r="A70" s="374" t="s">
        <v>3359</v>
      </c>
      <c r="B70" s="374">
        <v>0</v>
      </c>
      <c r="C70" s="374">
        <v>0</v>
      </c>
      <c r="D70" s="378">
        <v>22.345863000000001</v>
      </c>
      <c r="E70" s="378">
        <v>23.161493</v>
      </c>
      <c r="F70" s="378">
        <v>24.350441</v>
      </c>
      <c r="G70" s="378">
        <v>24.385168</v>
      </c>
      <c r="H70" s="378">
        <v>24.39855</v>
      </c>
      <c r="I70" s="378">
        <v>24.410015000000001</v>
      </c>
      <c r="J70" s="374"/>
      <c r="K70" s="374">
        <v>0</v>
      </c>
      <c r="L70" s="374">
        <v>0</v>
      </c>
      <c r="M70" s="374">
        <v>9.8400000000000001E-2</v>
      </c>
      <c r="N70" s="374">
        <v>9.0559000000000001E-2</v>
      </c>
      <c r="O70" s="374">
        <v>9.1842999999999994E-2</v>
      </c>
      <c r="P70" s="374">
        <v>8.5958000000000007E-2</v>
      </c>
      <c r="Q70" s="374">
        <v>7.3352000000000001E-2</v>
      </c>
      <c r="R70" s="374" t="s">
        <v>3359</v>
      </c>
      <c r="S70" s="374">
        <v>8.8800000000000008</v>
      </c>
      <c r="T70" s="374"/>
      <c r="U70" s="374"/>
      <c r="V70" s="374"/>
      <c r="W70" s="374"/>
      <c r="X70" s="374"/>
    </row>
    <row r="71" spans="1:24" x14ac:dyDescent="0.2">
      <c r="A71" s="374" t="s">
        <v>3360</v>
      </c>
      <c r="B71" s="374">
        <v>0</v>
      </c>
      <c r="C71" s="374">
        <v>22.5</v>
      </c>
      <c r="D71" s="378">
        <v>20.484262000000001</v>
      </c>
      <c r="E71" s="378">
        <v>21.464812999999999</v>
      </c>
      <c r="F71" s="378">
        <v>23.156079999999999</v>
      </c>
      <c r="G71" s="378">
        <v>23.187519000000002</v>
      </c>
      <c r="H71" s="378">
        <v>23.201059000000001</v>
      </c>
      <c r="I71" s="378">
        <v>23.211604999999999</v>
      </c>
      <c r="J71" s="374"/>
      <c r="K71" s="374">
        <v>0</v>
      </c>
      <c r="L71" s="374">
        <v>0.1</v>
      </c>
      <c r="M71" s="374">
        <v>0.102605</v>
      </c>
      <c r="N71" s="374">
        <v>0.10194400000000001</v>
      </c>
      <c r="O71" s="374">
        <v>0.105665</v>
      </c>
      <c r="P71" s="374">
        <v>0.103502</v>
      </c>
      <c r="Q71" s="374">
        <v>8.5619333000000006E-2</v>
      </c>
      <c r="R71" s="374" t="s">
        <v>3360</v>
      </c>
      <c r="S71" s="374">
        <v>32.35</v>
      </c>
      <c r="T71" s="374"/>
      <c r="U71" s="374"/>
      <c r="V71" s="374"/>
      <c r="W71" s="374"/>
      <c r="X71" s="374"/>
    </row>
    <row r="72" spans="1:24" x14ac:dyDescent="0.2">
      <c r="A72" s="374" t="s">
        <v>3361</v>
      </c>
      <c r="B72" s="374">
        <v>24.7</v>
      </c>
      <c r="C72" s="374">
        <v>25.2</v>
      </c>
      <c r="D72" s="378">
        <v>24.958286000000001</v>
      </c>
      <c r="E72" s="378">
        <v>25.773655000000002</v>
      </c>
      <c r="F72" s="378">
        <v>27.338425000000001</v>
      </c>
      <c r="G72" s="378">
        <v>27.359207000000001</v>
      </c>
      <c r="H72" s="378">
        <v>27.374949999999998</v>
      </c>
      <c r="I72" s="378">
        <v>27.389434999999999</v>
      </c>
      <c r="J72" s="374"/>
      <c r="K72" s="374">
        <v>0.80511856100000001</v>
      </c>
      <c r="L72" s="374">
        <v>0.1</v>
      </c>
      <c r="M72" s="374">
        <v>0.102424</v>
      </c>
      <c r="N72" s="374">
        <v>0.102531</v>
      </c>
      <c r="O72" s="374">
        <v>0.10484300000000001</v>
      </c>
      <c r="P72" s="374">
        <v>0.103376</v>
      </c>
      <c r="Q72" s="374">
        <v>0.21971542699999999</v>
      </c>
      <c r="R72" s="374" t="s">
        <v>3361</v>
      </c>
      <c r="S72" s="374">
        <v>39.11</v>
      </c>
      <c r="T72" s="374"/>
      <c r="U72" s="374"/>
      <c r="V72" s="374"/>
      <c r="W72" s="374"/>
      <c r="X72" s="374"/>
    </row>
    <row r="73" spans="1:24" x14ac:dyDescent="0.2">
      <c r="A73" s="374" t="s">
        <v>3362</v>
      </c>
      <c r="B73" s="374">
        <v>31.5</v>
      </c>
      <c r="C73" s="374">
        <v>29.3</v>
      </c>
      <c r="D73" s="378">
        <v>30.901465999999999</v>
      </c>
      <c r="E73" s="378">
        <v>32.208022999999997</v>
      </c>
      <c r="F73" s="378">
        <v>33.568843999999999</v>
      </c>
      <c r="G73" s="378">
        <v>33.626041000000001</v>
      </c>
      <c r="H73" s="378">
        <v>33.642574000000003</v>
      </c>
      <c r="I73" s="378">
        <v>33.657730000000001</v>
      </c>
      <c r="J73" s="374"/>
      <c r="K73" s="374">
        <v>1.635469437</v>
      </c>
      <c r="L73" s="374">
        <v>0.1</v>
      </c>
      <c r="M73" s="374">
        <v>0.10108</v>
      </c>
      <c r="N73" s="374">
        <v>9.9948999999999996E-2</v>
      </c>
      <c r="O73" s="374">
        <v>0.10187499999999999</v>
      </c>
      <c r="P73" s="374">
        <v>0.10434300000000001</v>
      </c>
      <c r="Q73" s="374">
        <v>0.1014494</v>
      </c>
      <c r="R73" s="374" t="s">
        <v>3362</v>
      </c>
      <c r="S73" s="374">
        <v>16.13</v>
      </c>
      <c r="T73" s="374"/>
      <c r="U73" s="374"/>
      <c r="V73" s="374"/>
      <c r="W73" s="374"/>
      <c r="X73" s="374"/>
    </row>
    <row r="74" spans="1:24" x14ac:dyDescent="0.2">
      <c r="A74" s="374" t="s">
        <v>3363</v>
      </c>
      <c r="B74" s="374">
        <v>0</v>
      </c>
      <c r="C74" s="374">
        <v>0</v>
      </c>
      <c r="D74" s="378">
        <v>54.014834999999998</v>
      </c>
      <c r="E74" s="378">
        <v>54.871029</v>
      </c>
      <c r="F74" s="378">
        <v>56.355797000000003</v>
      </c>
      <c r="G74" s="378">
        <v>56.361342999999998</v>
      </c>
      <c r="H74" s="378">
        <v>56.369002999999999</v>
      </c>
      <c r="I74" s="378">
        <v>56.376094999999999</v>
      </c>
      <c r="J74" s="374"/>
      <c r="K74" s="374">
        <v>0</v>
      </c>
      <c r="L74" s="374">
        <v>0</v>
      </c>
      <c r="M74" s="374">
        <v>8.1321000000000004E-2</v>
      </c>
      <c r="N74" s="374">
        <v>6.7710000000000001E-3</v>
      </c>
      <c r="O74" s="374">
        <v>6.7615999999999996E-2</v>
      </c>
      <c r="P74" s="374">
        <v>6.5849000000000005E-2</v>
      </c>
      <c r="Q74" s="374">
        <v>3.6926167000000003E-2</v>
      </c>
      <c r="R74" s="374" t="s">
        <v>3363</v>
      </c>
      <c r="S74" s="374">
        <v>2.13</v>
      </c>
      <c r="T74" s="374"/>
      <c r="U74" s="374"/>
      <c r="V74" s="374"/>
      <c r="W74" s="374"/>
      <c r="X74" s="374"/>
    </row>
    <row r="75" spans="1:24" x14ac:dyDescent="0.2">
      <c r="A75" s="374" t="s">
        <v>3364</v>
      </c>
      <c r="B75" s="374">
        <v>19.600000000000001</v>
      </c>
      <c r="C75" s="374">
        <v>16.600000000000001</v>
      </c>
      <c r="D75" s="378">
        <v>21.599155</v>
      </c>
      <c r="E75" s="378">
        <v>22.575890999999999</v>
      </c>
      <c r="F75" s="378">
        <v>23.764977999999999</v>
      </c>
      <c r="G75" s="378">
        <v>23.801760000000002</v>
      </c>
      <c r="H75" s="378">
        <v>23.816545000000001</v>
      </c>
      <c r="I75" s="378">
        <v>23.836387999999999</v>
      </c>
      <c r="J75" s="374"/>
      <c r="K75" s="374">
        <v>2.8565273279999999</v>
      </c>
      <c r="L75" s="374">
        <v>0.1</v>
      </c>
      <c r="M75" s="374">
        <v>0.101324</v>
      </c>
      <c r="N75" s="374">
        <v>9.2380000000000004E-2</v>
      </c>
      <c r="O75" s="374">
        <v>9.7639000000000004E-2</v>
      </c>
      <c r="P75" s="374">
        <v>9.8603999999999997E-2</v>
      </c>
      <c r="Q75" s="374">
        <v>0.55774572099999997</v>
      </c>
      <c r="R75" s="374" t="s">
        <v>3364</v>
      </c>
      <c r="S75" s="374">
        <v>6.92</v>
      </c>
      <c r="T75" s="374"/>
      <c r="U75" s="374"/>
      <c r="V75" s="374"/>
      <c r="W75" s="374"/>
      <c r="X75" s="374"/>
    </row>
    <row r="76" spans="1:24" x14ac:dyDescent="0.2">
      <c r="A76" s="374" t="s">
        <v>3365</v>
      </c>
      <c r="B76" s="374">
        <v>22.5</v>
      </c>
      <c r="C76" s="374">
        <v>23.8</v>
      </c>
      <c r="D76" s="378">
        <v>31.682827</v>
      </c>
      <c r="E76" s="378">
        <v>32.498176999999998</v>
      </c>
      <c r="F76" s="378">
        <v>33.642426</v>
      </c>
      <c r="G76" s="378">
        <v>33.677311000000003</v>
      </c>
      <c r="H76" s="378">
        <v>33.700226000000001</v>
      </c>
      <c r="I76" s="378">
        <v>33.722298000000002</v>
      </c>
      <c r="J76" s="374"/>
      <c r="K76" s="374">
        <v>1.4512786870000001</v>
      </c>
      <c r="L76" s="374">
        <v>0.1</v>
      </c>
      <c r="M76" s="374">
        <v>0.10151499999999999</v>
      </c>
      <c r="N76" s="374">
        <v>9.4287999999999997E-2</v>
      </c>
      <c r="O76" s="374">
        <v>9.0771000000000004E-2</v>
      </c>
      <c r="P76" s="374">
        <v>9.1244000000000006E-2</v>
      </c>
      <c r="Q76" s="374">
        <v>0.32151611400000002</v>
      </c>
      <c r="R76" s="374" t="s">
        <v>3365</v>
      </c>
      <c r="S76" s="374">
        <v>20.16</v>
      </c>
      <c r="T76" s="374"/>
      <c r="U76" s="374"/>
      <c r="V76" s="374"/>
      <c r="W76" s="374"/>
      <c r="X76" s="374"/>
    </row>
    <row r="77" spans="1:24" x14ac:dyDescent="0.2">
      <c r="A77" s="374" t="s">
        <v>3366</v>
      </c>
      <c r="B77" s="374">
        <v>27.1</v>
      </c>
      <c r="C77" s="374">
        <v>25.1</v>
      </c>
      <c r="D77" s="378">
        <v>25.115939999999998</v>
      </c>
      <c r="E77" s="378">
        <v>25.869731999999999</v>
      </c>
      <c r="F77" s="378">
        <v>27.358391000000001</v>
      </c>
      <c r="G77" s="378">
        <v>27.420079999999999</v>
      </c>
      <c r="H77" s="378">
        <v>27.453409000000001</v>
      </c>
      <c r="I77" s="378">
        <v>27.481642000000001</v>
      </c>
      <c r="J77" s="374"/>
      <c r="K77" s="374">
        <v>2.2677536009999999</v>
      </c>
      <c r="L77" s="374">
        <v>0.1</v>
      </c>
      <c r="M77" s="374">
        <v>0.103327</v>
      </c>
      <c r="N77" s="374">
        <v>9.9415000000000003E-2</v>
      </c>
      <c r="O77" s="374">
        <v>0.10909099999999999</v>
      </c>
      <c r="P77" s="374">
        <v>0.112926</v>
      </c>
      <c r="Q77" s="374">
        <v>0.46541876700000001</v>
      </c>
      <c r="R77" s="374" t="s">
        <v>3366</v>
      </c>
      <c r="S77" s="374">
        <v>7.72</v>
      </c>
      <c r="T77" s="374"/>
      <c r="U77" s="374"/>
      <c r="V77" s="374"/>
      <c r="W77" s="374"/>
      <c r="X77" s="374"/>
    </row>
    <row r="78" spans="1:24" x14ac:dyDescent="0.2">
      <c r="A78" s="374" t="s">
        <v>3367</v>
      </c>
      <c r="B78" s="374">
        <v>26.7</v>
      </c>
      <c r="C78" s="374">
        <v>25.6</v>
      </c>
      <c r="D78" s="378">
        <v>27.962294</v>
      </c>
      <c r="E78" s="378">
        <v>28.828900999999998</v>
      </c>
      <c r="F78" s="378">
        <v>29.868334000000001</v>
      </c>
      <c r="G78" s="378">
        <v>29.920479</v>
      </c>
      <c r="H78" s="378">
        <v>29.94182</v>
      </c>
      <c r="I78" s="378">
        <v>29.962931000000001</v>
      </c>
      <c r="J78" s="374"/>
      <c r="K78" s="374">
        <v>1.751966476</v>
      </c>
      <c r="L78" s="374">
        <v>0.1</v>
      </c>
      <c r="M78" s="374">
        <v>0.101813</v>
      </c>
      <c r="N78" s="374">
        <v>9.6381999999999995E-2</v>
      </c>
      <c r="O78" s="374">
        <v>9.5102000000000006E-2</v>
      </c>
      <c r="P78" s="374">
        <v>9.5919000000000004E-2</v>
      </c>
      <c r="Q78" s="374">
        <v>0.37353041300000001</v>
      </c>
      <c r="R78" s="374" t="s">
        <v>3367</v>
      </c>
      <c r="S78" s="374">
        <v>9.34</v>
      </c>
      <c r="T78" s="374"/>
      <c r="U78" s="374"/>
      <c r="V78" s="374"/>
      <c r="W78" s="374"/>
      <c r="X78" s="374"/>
    </row>
    <row r="79" spans="1:24" x14ac:dyDescent="0.2">
      <c r="A79" s="374" t="s">
        <v>3368</v>
      </c>
      <c r="B79" s="374">
        <v>0</v>
      </c>
      <c r="C79" s="374">
        <v>23.8</v>
      </c>
      <c r="D79" s="378">
        <v>26.310092999999998</v>
      </c>
      <c r="E79" s="378">
        <v>27.195955000000001</v>
      </c>
      <c r="F79" s="378">
        <v>28.237303000000001</v>
      </c>
      <c r="G79" s="378">
        <v>28.309078</v>
      </c>
      <c r="H79" s="378">
        <v>28.339355000000001</v>
      </c>
      <c r="I79" s="378">
        <v>28.365051000000001</v>
      </c>
      <c r="J79" s="374"/>
      <c r="K79" s="374">
        <v>0</v>
      </c>
      <c r="L79" s="374">
        <v>0.1</v>
      </c>
      <c r="M79" s="374">
        <v>0.101496</v>
      </c>
      <c r="N79" s="374">
        <v>9.7206000000000001E-2</v>
      </c>
      <c r="O79" s="374">
        <v>0.10594000000000001</v>
      </c>
      <c r="P79" s="374">
        <v>0.111095</v>
      </c>
      <c r="Q79" s="374">
        <v>0.1031474</v>
      </c>
      <c r="R79" s="374" t="s">
        <v>3368</v>
      </c>
      <c r="S79" s="374">
        <v>27.21</v>
      </c>
      <c r="T79" s="374"/>
      <c r="U79" s="374"/>
      <c r="V79" s="374"/>
      <c r="W79" s="374"/>
      <c r="X79" s="374"/>
    </row>
    <row r="80" spans="1:24" x14ac:dyDescent="0.2">
      <c r="A80" s="374" t="s">
        <v>3369</v>
      </c>
      <c r="B80" s="374">
        <v>35.1</v>
      </c>
      <c r="C80" s="374">
        <v>35.9</v>
      </c>
      <c r="D80" s="378">
        <v>37.663170000000001</v>
      </c>
      <c r="E80" s="378">
        <v>38.771324</v>
      </c>
      <c r="F80" s="378">
        <v>39.976005999999998</v>
      </c>
      <c r="G80" s="378">
        <v>40.077927000000003</v>
      </c>
      <c r="H80" s="378">
        <v>40.099850000000004</v>
      </c>
      <c r="I80" s="378">
        <v>40.118523000000003</v>
      </c>
      <c r="J80" s="374"/>
      <c r="K80" s="374">
        <v>0.39274978599999999</v>
      </c>
      <c r="L80" s="374">
        <v>0.1</v>
      </c>
      <c r="M80" s="374">
        <v>9.9742999999999998E-2</v>
      </c>
      <c r="N80" s="374">
        <v>9.4639000000000001E-2</v>
      </c>
      <c r="O80" s="374">
        <v>9.8179000000000002E-2</v>
      </c>
      <c r="P80" s="374">
        <v>9.8988000000000007E-2</v>
      </c>
      <c r="Q80" s="374">
        <v>0.147383131</v>
      </c>
      <c r="R80" s="374" t="s">
        <v>3369</v>
      </c>
      <c r="S80" s="374">
        <v>28.66</v>
      </c>
      <c r="T80" s="374"/>
      <c r="U80" s="374"/>
      <c r="V80" s="374"/>
      <c r="W80" s="374"/>
      <c r="X80" s="374"/>
    </row>
    <row r="81" spans="1:24" x14ac:dyDescent="0.2">
      <c r="A81" s="374"/>
      <c r="B81" s="374"/>
      <c r="C81" s="374"/>
      <c r="D81" s="374"/>
      <c r="E81" s="374"/>
      <c r="F81" s="374"/>
      <c r="G81" s="374"/>
      <c r="H81" s="374"/>
      <c r="I81" s="374"/>
      <c r="J81" s="374"/>
      <c r="K81" s="374"/>
      <c r="L81" s="374"/>
      <c r="M81" s="374"/>
      <c r="N81" s="374"/>
      <c r="O81" s="374"/>
      <c r="P81" s="374"/>
      <c r="Q81" s="374"/>
      <c r="R81" s="374"/>
      <c r="S81" s="374"/>
      <c r="T81" s="374"/>
      <c r="U81" s="374"/>
      <c r="V81" s="374"/>
      <c r="W81" s="374"/>
      <c r="X81" s="374"/>
    </row>
    <row r="82" spans="1:24" x14ac:dyDescent="0.2">
      <c r="A82" s="374" t="s">
        <v>3374</v>
      </c>
      <c r="B82" s="374"/>
      <c r="C82" s="374"/>
      <c r="D82" s="374"/>
      <c r="E82" s="374"/>
      <c r="F82" s="374"/>
      <c r="G82" s="374"/>
      <c r="H82" s="374"/>
      <c r="I82" s="374"/>
      <c r="J82" s="374"/>
      <c r="K82" s="374"/>
      <c r="L82" s="374"/>
      <c r="M82" s="374"/>
      <c r="N82" s="374"/>
      <c r="O82" s="374"/>
      <c r="P82" s="374"/>
      <c r="Q82" s="374"/>
      <c r="R82" s="374"/>
      <c r="S82" s="374"/>
      <c r="T82" s="374"/>
      <c r="U82" s="374"/>
      <c r="V82" s="374"/>
      <c r="W82" s="374"/>
      <c r="X82" s="374"/>
    </row>
    <row r="83" spans="1:24" x14ac:dyDescent="0.2">
      <c r="A83" s="374" t="s">
        <v>3358</v>
      </c>
      <c r="B83" s="374">
        <v>0</v>
      </c>
      <c r="C83" s="374">
        <v>0</v>
      </c>
      <c r="D83" s="378">
        <v>0</v>
      </c>
      <c r="E83" s="378">
        <v>0</v>
      </c>
      <c r="F83" s="378">
        <v>0</v>
      </c>
      <c r="G83" s="378">
        <v>0</v>
      </c>
      <c r="H83" s="378">
        <v>0</v>
      </c>
      <c r="I83" s="378">
        <v>0</v>
      </c>
      <c r="J83" s="374"/>
      <c r="K83" s="374"/>
      <c r="L83" s="374"/>
      <c r="M83" s="374"/>
      <c r="N83" s="374"/>
      <c r="O83" s="374"/>
      <c r="P83" s="374"/>
      <c r="Q83" s="374"/>
      <c r="R83" s="374"/>
      <c r="S83" s="374"/>
      <c r="T83" s="374"/>
      <c r="U83" s="374"/>
      <c r="V83" s="374"/>
      <c r="W83" s="374"/>
      <c r="X83" s="374"/>
    </row>
    <row r="84" spans="1:24" x14ac:dyDescent="0.2">
      <c r="A84" s="374" t="s">
        <v>3359</v>
      </c>
      <c r="B84" s="374">
        <v>0</v>
      </c>
      <c r="C84" s="374">
        <v>0</v>
      </c>
      <c r="D84" s="378">
        <v>0</v>
      </c>
      <c r="E84" s="378">
        <v>0</v>
      </c>
      <c r="F84" s="378">
        <v>0</v>
      </c>
      <c r="G84" s="378">
        <v>0</v>
      </c>
      <c r="H84" s="378">
        <v>0</v>
      </c>
      <c r="I84" s="378">
        <v>0</v>
      </c>
      <c r="J84" s="374"/>
      <c r="K84" s="374"/>
      <c r="L84" s="374"/>
      <c r="M84" s="374"/>
      <c r="N84" s="374"/>
      <c r="O84" s="374"/>
      <c r="P84" s="374"/>
      <c r="Q84" s="374"/>
      <c r="R84" s="374"/>
      <c r="S84" s="374"/>
      <c r="T84" s="374"/>
      <c r="U84" s="374"/>
      <c r="V84" s="374"/>
      <c r="W84" s="374"/>
      <c r="X84" s="374"/>
    </row>
    <row r="85" spans="1:24" x14ac:dyDescent="0.2">
      <c r="A85" s="374" t="s">
        <v>3360</v>
      </c>
      <c r="B85" s="374">
        <v>24.3</v>
      </c>
      <c r="C85" s="374">
        <v>29.8</v>
      </c>
      <c r="D85" s="378">
        <v>28.091436000000002</v>
      </c>
      <c r="E85" s="378">
        <v>29.086880000000001</v>
      </c>
      <c r="F85" s="378">
        <v>30.816352999999999</v>
      </c>
      <c r="G85" s="378">
        <v>30.852898</v>
      </c>
      <c r="H85" s="378">
        <v>30.873076999999999</v>
      </c>
      <c r="I85" s="378">
        <v>30.891131999999999</v>
      </c>
      <c r="J85" s="374"/>
      <c r="K85" s="374"/>
      <c r="L85" s="374"/>
      <c r="M85" s="374"/>
      <c r="N85" s="374"/>
      <c r="O85" s="374"/>
      <c r="P85" s="374"/>
      <c r="Q85" s="374"/>
      <c r="R85" s="374"/>
      <c r="S85" s="374"/>
      <c r="T85" s="374"/>
      <c r="U85" s="374"/>
      <c r="V85" s="374"/>
      <c r="W85" s="374"/>
      <c r="X85" s="374"/>
    </row>
    <row r="86" spans="1:24" x14ac:dyDescent="0.2">
      <c r="A86" s="374" t="s">
        <v>3361</v>
      </c>
      <c r="B86" s="374">
        <v>0</v>
      </c>
      <c r="C86" s="374">
        <v>0</v>
      </c>
      <c r="D86" s="378">
        <v>0</v>
      </c>
      <c r="E86" s="378">
        <v>0</v>
      </c>
      <c r="F86" s="378">
        <v>0</v>
      </c>
      <c r="G86" s="378">
        <v>0</v>
      </c>
      <c r="H86" s="378">
        <v>0</v>
      </c>
      <c r="I86" s="378">
        <v>0</v>
      </c>
      <c r="J86" s="374"/>
      <c r="K86" s="374"/>
      <c r="L86" s="374"/>
      <c r="M86" s="374"/>
      <c r="N86" s="374"/>
      <c r="O86" s="374"/>
      <c r="P86" s="374"/>
      <c r="Q86" s="374"/>
      <c r="R86" s="374"/>
      <c r="S86" s="374"/>
      <c r="T86" s="374"/>
      <c r="U86" s="374"/>
      <c r="V86" s="374"/>
      <c r="W86" s="374"/>
      <c r="X86" s="374"/>
    </row>
    <row r="87" spans="1:24" x14ac:dyDescent="0.2">
      <c r="A87" s="374" t="s">
        <v>3362</v>
      </c>
      <c r="B87" s="374">
        <v>37.1</v>
      </c>
      <c r="C87" s="374">
        <v>36.6</v>
      </c>
      <c r="D87" s="378">
        <v>38.504852</v>
      </c>
      <c r="E87" s="378">
        <v>39.807017999999999</v>
      </c>
      <c r="F87" s="378">
        <v>41.176594000000001</v>
      </c>
      <c r="G87" s="378">
        <v>41.225853000000001</v>
      </c>
      <c r="H87" s="378">
        <v>41.237285999999997</v>
      </c>
      <c r="I87" s="378">
        <v>41.248493000000003</v>
      </c>
      <c r="J87" s="374"/>
      <c r="K87" s="374"/>
      <c r="L87" s="374"/>
      <c r="M87" s="374"/>
      <c r="N87" s="374"/>
      <c r="O87" s="374"/>
      <c r="P87" s="374"/>
      <c r="Q87" s="374"/>
      <c r="R87" s="374"/>
      <c r="S87" s="374"/>
      <c r="T87" s="374"/>
      <c r="U87" s="374"/>
      <c r="V87" s="374"/>
      <c r="W87" s="374"/>
      <c r="X87" s="374"/>
    </row>
    <row r="88" spans="1:24" x14ac:dyDescent="0.2">
      <c r="A88" s="374" t="s">
        <v>3363</v>
      </c>
      <c r="B88" s="374">
        <v>0</v>
      </c>
      <c r="C88" s="374">
        <v>0</v>
      </c>
      <c r="D88" s="378">
        <v>0</v>
      </c>
      <c r="E88" s="378">
        <v>0</v>
      </c>
      <c r="F88" s="378">
        <v>0</v>
      </c>
      <c r="G88" s="378">
        <v>0</v>
      </c>
      <c r="H88" s="378">
        <v>0</v>
      </c>
      <c r="I88" s="378">
        <v>0</v>
      </c>
      <c r="J88" s="374"/>
      <c r="K88" s="374"/>
      <c r="L88" s="374"/>
      <c r="M88" s="374"/>
      <c r="N88" s="374"/>
      <c r="O88" s="374"/>
      <c r="P88" s="374"/>
      <c r="Q88" s="374"/>
      <c r="R88" s="374"/>
      <c r="S88" s="374"/>
      <c r="T88" s="374"/>
      <c r="U88" s="374"/>
      <c r="V88" s="374"/>
      <c r="W88" s="374"/>
      <c r="X88" s="374"/>
    </row>
    <row r="89" spans="1:24" x14ac:dyDescent="0.2">
      <c r="A89" s="374" t="s">
        <v>3364</v>
      </c>
      <c r="B89" s="374">
        <v>0</v>
      </c>
      <c r="C89" s="374">
        <v>0</v>
      </c>
      <c r="D89" s="378">
        <v>0</v>
      </c>
      <c r="E89" s="378">
        <v>0</v>
      </c>
      <c r="F89" s="378">
        <v>0</v>
      </c>
      <c r="G89" s="378">
        <v>0</v>
      </c>
      <c r="H89" s="378">
        <v>0</v>
      </c>
      <c r="I89" s="378">
        <v>0</v>
      </c>
      <c r="J89" s="374"/>
      <c r="K89" s="374"/>
      <c r="L89" s="374"/>
      <c r="M89" s="374"/>
      <c r="N89" s="374"/>
      <c r="O89" s="374"/>
      <c r="P89" s="374"/>
      <c r="Q89" s="374"/>
      <c r="R89" s="374"/>
      <c r="S89" s="374"/>
      <c r="T89" s="374"/>
      <c r="U89" s="374"/>
      <c r="V89" s="374"/>
      <c r="W89" s="374"/>
      <c r="X89" s="374"/>
    </row>
    <row r="90" spans="1:24" x14ac:dyDescent="0.2">
      <c r="A90" s="374" t="s">
        <v>3365</v>
      </c>
      <c r="B90" s="374">
        <v>28.3</v>
      </c>
      <c r="C90" s="374">
        <v>31.9</v>
      </c>
      <c r="D90" s="378">
        <v>40.101948</v>
      </c>
      <c r="E90" s="378">
        <v>40.872734000000001</v>
      </c>
      <c r="F90" s="378">
        <v>41.993457999999997</v>
      </c>
      <c r="G90" s="378">
        <v>42.026553999999997</v>
      </c>
      <c r="H90" s="378">
        <v>42.052441000000002</v>
      </c>
      <c r="I90" s="378">
        <v>42.077015000000003</v>
      </c>
      <c r="J90" s="374"/>
      <c r="K90" s="374"/>
      <c r="L90" s="374"/>
      <c r="M90" s="374"/>
      <c r="N90" s="374"/>
      <c r="O90" s="374"/>
      <c r="P90" s="374"/>
      <c r="Q90" s="374"/>
      <c r="R90" s="374"/>
      <c r="S90" s="374"/>
      <c r="T90" s="374"/>
      <c r="U90" s="374"/>
      <c r="V90" s="374"/>
      <c r="W90" s="374"/>
      <c r="X90" s="374"/>
    </row>
    <row r="91" spans="1:24" x14ac:dyDescent="0.2">
      <c r="A91" s="374" t="s">
        <v>3366</v>
      </c>
      <c r="B91" s="374">
        <v>0</v>
      </c>
      <c r="C91" s="374">
        <v>0</v>
      </c>
      <c r="D91" s="378">
        <v>0</v>
      </c>
      <c r="E91" s="378">
        <v>0</v>
      </c>
      <c r="F91" s="378">
        <v>0</v>
      </c>
      <c r="G91" s="378">
        <v>0</v>
      </c>
      <c r="H91" s="378">
        <v>0</v>
      </c>
      <c r="I91" s="378">
        <v>0</v>
      </c>
      <c r="J91" s="374"/>
      <c r="K91" s="374"/>
      <c r="L91" s="374"/>
      <c r="M91" s="374"/>
      <c r="N91" s="374"/>
      <c r="O91" s="374"/>
      <c r="P91" s="374"/>
      <c r="Q91" s="374"/>
      <c r="R91" s="374"/>
      <c r="S91" s="374"/>
      <c r="T91" s="374"/>
      <c r="U91" s="374"/>
      <c r="V91" s="374"/>
      <c r="W91" s="374"/>
      <c r="X91" s="374"/>
    </row>
    <row r="92" spans="1:24" x14ac:dyDescent="0.2">
      <c r="A92" s="374" t="s">
        <v>3367</v>
      </c>
      <c r="B92" s="374">
        <v>32.200000000000003</v>
      </c>
      <c r="C92" s="374">
        <v>33.700000000000003</v>
      </c>
      <c r="D92" s="378">
        <v>36.376559999999998</v>
      </c>
      <c r="E92" s="378">
        <v>37.205539999999999</v>
      </c>
      <c r="F92" s="378">
        <v>38.229743999999997</v>
      </c>
      <c r="G92" s="378">
        <v>38.278571999999997</v>
      </c>
      <c r="H92" s="378">
        <v>38.302109000000002</v>
      </c>
      <c r="I92" s="378">
        <v>38.326476999999997</v>
      </c>
      <c r="J92" s="374"/>
      <c r="K92" s="374"/>
      <c r="L92" s="374"/>
      <c r="M92" s="374"/>
      <c r="N92" s="374"/>
      <c r="O92" s="374"/>
      <c r="P92" s="374"/>
      <c r="Q92" s="374"/>
      <c r="R92" s="374"/>
      <c r="S92" s="374"/>
      <c r="T92" s="374"/>
      <c r="U92" s="374"/>
      <c r="V92" s="374"/>
      <c r="W92" s="374"/>
      <c r="X92" s="374"/>
    </row>
    <row r="93" spans="1:24" x14ac:dyDescent="0.2">
      <c r="A93" s="374" t="s">
        <v>3368</v>
      </c>
      <c r="B93" s="374">
        <v>0</v>
      </c>
      <c r="C93" s="374">
        <v>0</v>
      </c>
      <c r="D93" s="378">
        <v>0</v>
      </c>
      <c r="E93" s="378">
        <v>0</v>
      </c>
      <c r="F93" s="378">
        <v>0</v>
      </c>
      <c r="G93" s="378">
        <v>0</v>
      </c>
      <c r="H93" s="378">
        <v>0</v>
      </c>
      <c r="I93" s="378">
        <v>0</v>
      </c>
      <c r="J93" s="374"/>
      <c r="K93" s="374"/>
      <c r="L93" s="374"/>
      <c r="M93" s="374"/>
      <c r="N93" s="374"/>
      <c r="O93" s="374"/>
      <c r="P93" s="374"/>
      <c r="Q93" s="374"/>
      <c r="R93" s="374"/>
      <c r="S93" s="374"/>
      <c r="T93" s="374"/>
      <c r="U93" s="374"/>
      <c r="V93" s="374"/>
      <c r="W93" s="374"/>
      <c r="X93" s="374"/>
    </row>
    <row r="94" spans="1:24" x14ac:dyDescent="0.2">
      <c r="A94" s="374" t="s">
        <v>3369</v>
      </c>
      <c r="B94" s="374">
        <v>0</v>
      </c>
      <c r="C94" s="374">
        <v>0</v>
      </c>
      <c r="D94" s="378">
        <v>0</v>
      </c>
      <c r="E94" s="378">
        <v>0</v>
      </c>
      <c r="F94" s="378">
        <v>0</v>
      </c>
      <c r="G94" s="378">
        <v>0</v>
      </c>
      <c r="H94" s="378">
        <v>0</v>
      </c>
      <c r="I94" s="378">
        <v>0</v>
      </c>
      <c r="J94" s="374"/>
      <c r="K94" s="374"/>
      <c r="L94" s="374"/>
      <c r="M94" s="374"/>
      <c r="N94" s="374"/>
      <c r="O94" s="374"/>
      <c r="P94" s="374"/>
      <c r="Q94" s="374"/>
      <c r="R94" s="374"/>
      <c r="S94" s="374"/>
      <c r="T94" s="374"/>
      <c r="U94" s="374"/>
      <c r="V94" s="374"/>
      <c r="W94" s="374"/>
      <c r="X94" s="374"/>
    </row>
    <row r="95" spans="1:24" x14ac:dyDescent="0.2">
      <c r="A95" s="374"/>
      <c r="B95" s="374"/>
      <c r="C95" s="374"/>
      <c r="D95" s="374"/>
      <c r="E95" s="374"/>
      <c r="F95" s="374"/>
      <c r="G95" s="374"/>
      <c r="H95" s="374"/>
      <c r="I95" s="374"/>
      <c r="J95" s="374"/>
      <c r="K95" s="374"/>
      <c r="L95" s="374"/>
      <c r="M95" s="374"/>
      <c r="N95" s="374"/>
      <c r="O95" s="374"/>
      <c r="P95" s="374"/>
      <c r="Q95" s="374"/>
      <c r="R95" s="374"/>
      <c r="S95" s="374"/>
      <c r="T95" s="374"/>
      <c r="U95" s="374"/>
      <c r="V95" s="374"/>
      <c r="W95" s="374"/>
      <c r="X95" s="374"/>
    </row>
    <row r="96" spans="1:24" x14ac:dyDescent="0.2">
      <c r="A96" s="374" t="s">
        <v>3375</v>
      </c>
      <c r="B96" s="374"/>
      <c r="C96" s="374"/>
      <c r="D96" s="374"/>
      <c r="E96" s="374"/>
      <c r="F96" s="374"/>
      <c r="G96" s="374"/>
      <c r="H96" s="374"/>
      <c r="I96" s="374"/>
      <c r="J96" s="374"/>
      <c r="K96" s="374"/>
      <c r="L96" s="374"/>
      <c r="M96" s="374"/>
      <c r="N96" s="374"/>
      <c r="O96" s="374"/>
      <c r="P96" s="374"/>
      <c r="Q96" s="374"/>
      <c r="R96" s="374"/>
      <c r="S96" s="374"/>
      <c r="T96" s="374"/>
      <c r="U96" s="374"/>
      <c r="V96" s="374"/>
      <c r="W96" s="374"/>
      <c r="X96" s="374"/>
    </row>
    <row r="97" spans="1:24" x14ac:dyDescent="0.2">
      <c r="A97" s="374" t="s">
        <v>3358</v>
      </c>
      <c r="B97" s="374">
        <v>0</v>
      </c>
      <c r="C97" s="374">
        <v>0</v>
      </c>
      <c r="D97" s="378">
        <v>0</v>
      </c>
      <c r="E97" s="378">
        <v>0</v>
      </c>
      <c r="F97" s="378">
        <v>0</v>
      </c>
      <c r="G97" s="378">
        <v>0</v>
      </c>
      <c r="H97" s="378">
        <v>0</v>
      </c>
      <c r="I97" s="378">
        <v>0</v>
      </c>
      <c r="J97" s="374"/>
      <c r="K97" s="374"/>
      <c r="L97" s="374"/>
      <c r="M97" s="374"/>
      <c r="N97" s="374"/>
      <c r="O97" s="374"/>
      <c r="P97" s="374"/>
      <c r="Q97" s="374"/>
      <c r="R97" s="374"/>
      <c r="S97" s="374"/>
      <c r="T97" s="374"/>
      <c r="U97" s="374"/>
      <c r="V97" s="374"/>
      <c r="W97" s="374"/>
      <c r="X97" s="374"/>
    </row>
    <row r="98" spans="1:24" x14ac:dyDescent="0.2">
      <c r="A98" s="374" t="s">
        <v>3359</v>
      </c>
      <c r="B98" s="374">
        <v>0</v>
      </c>
      <c r="C98" s="374">
        <v>0</v>
      </c>
      <c r="D98" s="378">
        <v>0</v>
      </c>
      <c r="E98" s="378">
        <v>0</v>
      </c>
      <c r="F98" s="378">
        <v>0</v>
      </c>
      <c r="G98" s="378">
        <v>0</v>
      </c>
      <c r="H98" s="378">
        <v>0</v>
      </c>
      <c r="I98" s="378">
        <v>0</v>
      </c>
      <c r="J98" s="374"/>
      <c r="K98" s="374"/>
      <c r="L98" s="374"/>
      <c r="M98" s="374"/>
      <c r="N98" s="374"/>
      <c r="O98" s="374"/>
      <c r="P98" s="374"/>
      <c r="Q98" s="374"/>
      <c r="R98" s="374"/>
      <c r="S98" s="374"/>
      <c r="T98" s="374"/>
      <c r="U98" s="374"/>
      <c r="V98" s="374"/>
      <c r="W98" s="374"/>
      <c r="X98" s="374"/>
    </row>
    <row r="99" spans="1:24" x14ac:dyDescent="0.2">
      <c r="A99" s="374" t="s">
        <v>3360</v>
      </c>
      <c r="B99" s="374">
        <v>23.1</v>
      </c>
      <c r="C99" s="374">
        <v>28.4</v>
      </c>
      <c r="D99" s="378">
        <v>26.686928000000002</v>
      </c>
      <c r="E99" s="378">
        <v>27.674738000000001</v>
      </c>
      <c r="F99" s="378">
        <v>29.370415000000001</v>
      </c>
      <c r="G99" s="378">
        <v>29.406832000000001</v>
      </c>
      <c r="H99" s="378">
        <v>29.427052</v>
      </c>
      <c r="I99" s="378">
        <v>29.445522</v>
      </c>
      <c r="J99" s="374"/>
      <c r="K99" s="374"/>
      <c r="L99" s="374"/>
      <c r="M99" s="374"/>
      <c r="N99" s="374"/>
      <c r="O99" s="374"/>
      <c r="P99" s="374"/>
      <c r="Q99" s="374"/>
      <c r="R99" s="374"/>
      <c r="S99" s="374"/>
      <c r="T99" s="374"/>
      <c r="U99" s="374"/>
      <c r="V99" s="374"/>
      <c r="W99" s="374"/>
      <c r="X99" s="374"/>
    </row>
    <row r="100" spans="1:24" x14ac:dyDescent="0.2">
      <c r="A100" s="374" t="s">
        <v>3361</v>
      </c>
      <c r="B100" s="374">
        <v>0</v>
      </c>
      <c r="C100" s="374">
        <v>0</v>
      </c>
      <c r="D100" s="378">
        <v>0</v>
      </c>
      <c r="E100" s="378">
        <v>0</v>
      </c>
      <c r="F100" s="378">
        <v>0</v>
      </c>
      <c r="G100" s="378">
        <v>0</v>
      </c>
      <c r="H100" s="378">
        <v>0</v>
      </c>
      <c r="I100" s="378">
        <v>0</v>
      </c>
      <c r="J100" s="374"/>
      <c r="K100" s="374"/>
      <c r="L100" s="374"/>
      <c r="M100" s="374"/>
      <c r="N100" s="374"/>
      <c r="O100" s="374"/>
      <c r="P100" s="374"/>
      <c r="Q100" s="374"/>
      <c r="R100" s="374"/>
      <c r="S100" s="374"/>
      <c r="T100" s="374"/>
      <c r="U100" s="374"/>
      <c r="V100" s="374"/>
      <c r="W100" s="374"/>
      <c r="X100" s="374"/>
    </row>
    <row r="101" spans="1:24" x14ac:dyDescent="0.2">
      <c r="A101" s="374" t="s">
        <v>3362</v>
      </c>
      <c r="B101" s="374">
        <v>36.1</v>
      </c>
      <c r="C101" s="374">
        <v>35.299999999999997</v>
      </c>
      <c r="D101" s="378">
        <v>37.106135999999999</v>
      </c>
      <c r="E101" s="378">
        <v>38.418495</v>
      </c>
      <c r="F101" s="378">
        <v>39.783099999999997</v>
      </c>
      <c r="G101" s="378">
        <v>39.833095999999998</v>
      </c>
      <c r="H101" s="378">
        <v>39.844082</v>
      </c>
      <c r="I101" s="378">
        <v>39.854877000000002</v>
      </c>
      <c r="J101" s="374"/>
      <c r="K101" s="374"/>
      <c r="L101" s="374"/>
      <c r="M101" s="374"/>
      <c r="N101" s="374"/>
      <c r="O101" s="374"/>
      <c r="P101" s="374"/>
      <c r="Q101" s="374"/>
      <c r="R101" s="374"/>
      <c r="S101" s="374"/>
      <c r="T101" s="374"/>
      <c r="U101" s="374"/>
      <c r="V101" s="374"/>
      <c r="W101" s="374"/>
      <c r="X101" s="374"/>
    </row>
    <row r="102" spans="1:24" x14ac:dyDescent="0.2">
      <c r="A102" s="374" t="s">
        <v>3363</v>
      </c>
      <c r="B102" s="374">
        <v>0</v>
      </c>
      <c r="C102" s="374">
        <v>0</v>
      </c>
      <c r="D102" s="378">
        <v>0</v>
      </c>
      <c r="E102" s="378">
        <v>0</v>
      </c>
      <c r="F102" s="378">
        <v>0</v>
      </c>
      <c r="G102" s="378">
        <v>0</v>
      </c>
      <c r="H102" s="378">
        <v>0</v>
      </c>
      <c r="I102" s="378">
        <v>0</v>
      </c>
      <c r="J102" s="374"/>
      <c r="K102" s="374"/>
      <c r="L102" s="374"/>
      <c r="M102" s="374"/>
      <c r="N102" s="374"/>
      <c r="O102" s="374"/>
      <c r="P102" s="374"/>
      <c r="Q102" s="374"/>
      <c r="R102" s="374"/>
      <c r="S102" s="374"/>
      <c r="T102" s="374"/>
      <c r="U102" s="374"/>
      <c r="V102" s="374"/>
      <c r="W102" s="374"/>
      <c r="X102" s="374"/>
    </row>
    <row r="103" spans="1:24" x14ac:dyDescent="0.2">
      <c r="A103" s="374" t="s">
        <v>3364</v>
      </c>
      <c r="B103" s="374">
        <v>0</v>
      </c>
      <c r="C103" s="374">
        <v>0</v>
      </c>
      <c r="D103" s="378">
        <v>0</v>
      </c>
      <c r="E103" s="378">
        <v>0</v>
      </c>
      <c r="F103" s="378">
        <v>0</v>
      </c>
      <c r="G103" s="378">
        <v>0</v>
      </c>
      <c r="H103" s="378">
        <v>0</v>
      </c>
      <c r="I103" s="378">
        <v>0</v>
      </c>
      <c r="J103" s="374"/>
      <c r="K103" s="374"/>
      <c r="L103" s="374"/>
      <c r="M103" s="374"/>
      <c r="N103" s="374"/>
      <c r="O103" s="374"/>
      <c r="P103" s="374"/>
      <c r="Q103" s="374"/>
      <c r="R103" s="374"/>
      <c r="S103" s="374"/>
      <c r="T103" s="374"/>
      <c r="U103" s="374"/>
      <c r="V103" s="374"/>
      <c r="W103" s="374"/>
      <c r="X103" s="374"/>
    </row>
    <row r="104" spans="1:24" x14ac:dyDescent="0.2">
      <c r="A104" s="374" t="s">
        <v>3365</v>
      </c>
      <c r="B104" s="374">
        <v>27.2</v>
      </c>
      <c r="C104" s="374">
        <v>31</v>
      </c>
      <c r="D104" s="378">
        <v>39.163432999999998</v>
      </c>
      <c r="E104" s="378">
        <v>39.988579000000001</v>
      </c>
      <c r="F104" s="378">
        <v>41.143177000000001</v>
      </c>
      <c r="G104" s="378">
        <v>41.176212</v>
      </c>
      <c r="H104" s="378">
        <v>41.202567999999999</v>
      </c>
      <c r="I104" s="378">
        <v>41.227463</v>
      </c>
      <c r="J104" s="374"/>
      <c r="K104" s="374"/>
      <c r="L104" s="374"/>
      <c r="M104" s="374"/>
      <c r="N104" s="374"/>
      <c r="O104" s="374"/>
      <c r="P104" s="374"/>
      <c r="Q104" s="374"/>
      <c r="R104" s="374"/>
      <c r="S104" s="374"/>
      <c r="T104" s="374"/>
      <c r="U104" s="374"/>
      <c r="V104" s="374"/>
      <c r="W104" s="374"/>
      <c r="X104" s="374"/>
    </row>
    <row r="105" spans="1:24" x14ac:dyDescent="0.2">
      <c r="A105" s="374" t="s">
        <v>3366</v>
      </c>
      <c r="B105" s="374">
        <v>0</v>
      </c>
      <c r="C105" s="374">
        <v>0</v>
      </c>
      <c r="D105" s="378">
        <v>0</v>
      </c>
      <c r="E105" s="378">
        <v>0</v>
      </c>
      <c r="F105" s="378">
        <v>0</v>
      </c>
      <c r="G105" s="378">
        <v>0</v>
      </c>
      <c r="H105" s="378">
        <v>0</v>
      </c>
      <c r="I105" s="378">
        <v>0</v>
      </c>
      <c r="J105" s="374"/>
      <c r="K105" s="374"/>
      <c r="L105" s="374"/>
      <c r="M105" s="374"/>
      <c r="N105" s="374"/>
      <c r="O105" s="374"/>
      <c r="P105" s="374"/>
      <c r="Q105" s="374"/>
      <c r="R105" s="374"/>
      <c r="S105" s="374"/>
      <c r="T105" s="374"/>
      <c r="U105" s="374"/>
      <c r="V105" s="374"/>
      <c r="W105" s="374"/>
      <c r="X105" s="374"/>
    </row>
    <row r="106" spans="1:24" x14ac:dyDescent="0.2">
      <c r="A106" s="374" t="s">
        <v>3367</v>
      </c>
      <c r="B106" s="374">
        <v>31.2</v>
      </c>
      <c r="C106" s="374">
        <v>32.799999999999997</v>
      </c>
      <c r="D106" s="378">
        <v>35.442309999999999</v>
      </c>
      <c r="E106" s="378">
        <v>36.316054999999999</v>
      </c>
      <c r="F106" s="378">
        <v>37.363959999999999</v>
      </c>
      <c r="G106" s="378">
        <v>37.413001999999999</v>
      </c>
      <c r="H106" s="378">
        <v>37.435988999999999</v>
      </c>
      <c r="I106" s="378">
        <v>37.458396999999998</v>
      </c>
      <c r="J106" s="374"/>
      <c r="K106" s="374"/>
      <c r="L106" s="374"/>
      <c r="M106" s="374"/>
      <c r="N106" s="374"/>
      <c r="O106" s="374"/>
      <c r="P106" s="374"/>
      <c r="Q106" s="374"/>
      <c r="R106" s="374"/>
      <c r="S106" s="374"/>
      <c r="T106" s="374"/>
      <c r="U106" s="374"/>
      <c r="V106" s="374"/>
      <c r="W106" s="374"/>
      <c r="X106" s="374"/>
    </row>
    <row r="107" spans="1:24" x14ac:dyDescent="0.2">
      <c r="A107" s="374" t="s">
        <v>3368</v>
      </c>
      <c r="B107" s="374">
        <v>0</v>
      </c>
      <c r="C107" s="374">
        <v>0</v>
      </c>
      <c r="D107" s="378">
        <v>0</v>
      </c>
      <c r="E107" s="378">
        <v>0</v>
      </c>
      <c r="F107" s="378">
        <v>0</v>
      </c>
      <c r="G107" s="378">
        <v>0</v>
      </c>
      <c r="H107" s="378">
        <v>0</v>
      </c>
      <c r="I107" s="378">
        <v>0</v>
      </c>
      <c r="J107" s="374"/>
      <c r="K107" s="374"/>
      <c r="L107" s="374"/>
      <c r="M107" s="374"/>
      <c r="N107" s="374"/>
      <c r="O107" s="374"/>
      <c r="P107" s="374"/>
      <c r="Q107" s="374"/>
      <c r="R107" s="374"/>
      <c r="S107" s="374"/>
      <c r="T107" s="374"/>
      <c r="U107" s="374"/>
      <c r="V107" s="374"/>
      <c r="W107" s="374"/>
      <c r="X107" s="374"/>
    </row>
    <row r="108" spans="1:24" x14ac:dyDescent="0.2">
      <c r="A108" s="374" t="s">
        <v>3369</v>
      </c>
      <c r="B108" s="374">
        <v>0</v>
      </c>
      <c r="C108" s="374">
        <v>0</v>
      </c>
      <c r="D108" s="378">
        <v>0</v>
      </c>
      <c r="E108" s="378">
        <v>0</v>
      </c>
      <c r="F108" s="378">
        <v>0</v>
      </c>
      <c r="G108" s="378">
        <v>0</v>
      </c>
      <c r="H108" s="378">
        <v>0</v>
      </c>
      <c r="I108" s="378">
        <v>0</v>
      </c>
      <c r="J108" s="374"/>
      <c r="K108" s="374"/>
      <c r="L108" s="374"/>
      <c r="M108" s="374"/>
      <c r="N108" s="374"/>
      <c r="O108" s="374"/>
      <c r="P108" s="374"/>
      <c r="Q108" s="374"/>
      <c r="R108" s="374"/>
      <c r="S108" s="374"/>
      <c r="T108" s="374"/>
      <c r="U108" s="374"/>
      <c r="V108" s="374"/>
      <c r="W108" s="374"/>
      <c r="X108" s="374"/>
    </row>
    <row r="109" spans="1:24" x14ac:dyDescent="0.2">
      <c r="A109" s="374"/>
      <c r="B109" s="374"/>
      <c r="C109" s="374"/>
      <c r="D109" s="374"/>
      <c r="E109" s="374"/>
      <c r="F109" s="374"/>
      <c r="G109" s="374"/>
      <c r="H109" s="374"/>
      <c r="I109" s="374"/>
      <c r="J109" s="374"/>
      <c r="K109" s="374"/>
      <c r="L109" s="374"/>
      <c r="M109" s="374"/>
      <c r="N109" s="374"/>
      <c r="O109" s="374"/>
      <c r="P109" s="374"/>
      <c r="Q109" s="374"/>
      <c r="R109" s="374"/>
      <c r="S109" s="374"/>
      <c r="T109" s="374"/>
      <c r="U109" s="374"/>
      <c r="V109" s="374"/>
      <c r="W109" s="374"/>
      <c r="X109" s="374"/>
    </row>
    <row r="110" spans="1:24" x14ac:dyDescent="0.2">
      <c r="A110" s="374" t="s">
        <v>3376</v>
      </c>
      <c r="B110" s="374"/>
      <c r="C110" s="374"/>
      <c r="D110" s="374"/>
      <c r="E110" s="374"/>
      <c r="F110" s="374"/>
      <c r="G110" s="374"/>
      <c r="H110" s="374"/>
      <c r="I110" s="374"/>
      <c r="J110" s="374"/>
      <c r="K110" s="374"/>
      <c r="L110" s="374"/>
      <c r="M110" s="374"/>
      <c r="N110" s="374"/>
      <c r="O110" s="374"/>
      <c r="P110" s="374"/>
      <c r="Q110" s="374"/>
      <c r="R110" s="374"/>
      <c r="S110" s="374"/>
      <c r="T110" s="374"/>
      <c r="U110" s="374"/>
      <c r="V110" s="374"/>
      <c r="W110" s="374"/>
      <c r="X110" s="374"/>
    </row>
    <row r="111" spans="1:24" x14ac:dyDescent="0.2">
      <c r="A111" s="374" t="s">
        <v>3358</v>
      </c>
      <c r="B111" s="374">
        <v>0</v>
      </c>
      <c r="C111" s="374">
        <v>0</v>
      </c>
      <c r="D111" s="378">
        <v>0</v>
      </c>
      <c r="E111" s="378">
        <v>0</v>
      </c>
      <c r="F111" s="378">
        <v>0</v>
      </c>
      <c r="G111" s="378">
        <v>0</v>
      </c>
      <c r="H111" s="378">
        <v>0</v>
      </c>
      <c r="I111" s="378">
        <v>0</v>
      </c>
      <c r="J111" s="374"/>
      <c r="K111" s="374"/>
      <c r="L111" s="374"/>
      <c r="M111" s="374"/>
      <c r="N111" s="374"/>
      <c r="O111" s="374"/>
      <c r="P111" s="374"/>
      <c r="Q111" s="374"/>
      <c r="R111" s="374"/>
      <c r="S111" s="374"/>
      <c r="T111" s="374"/>
      <c r="U111" s="374"/>
      <c r="V111" s="374"/>
      <c r="W111" s="374"/>
      <c r="X111" s="374"/>
    </row>
    <row r="112" spans="1:24" x14ac:dyDescent="0.2">
      <c r="A112" s="374" t="s">
        <v>3359</v>
      </c>
      <c r="B112" s="374">
        <v>0</v>
      </c>
      <c r="C112" s="374">
        <v>0</v>
      </c>
      <c r="D112" s="378">
        <v>0</v>
      </c>
      <c r="E112" s="378">
        <v>0</v>
      </c>
      <c r="F112" s="378">
        <v>0</v>
      </c>
      <c r="G112" s="378">
        <v>0</v>
      </c>
      <c r="H112" s="378">
        <v>0</v>
      </c>
      <c r="I112" s="378">
        <v>0</v>
      </c>
      <c r="J112" s="374"/>
      <c r="K112" s="374"/>
      <c r="L112" s="374"/>
      <c r="M112" s="374"/>
      <c r="N112" s="374"/>
      <c r="O112" s="374"/>
      <c r="P112" s="374"/>
      <c r="Q112" s="374"/>
      <c r="R112" s="374"/>
      <c r="S112" s="374"/>
      <c r="T112" s="374"/>
      <c r="U112" s="374"/>
      <c r="V112" s="374"/>
      <c r="W112" s="374"/>
      <c r="X112" s="374"/>
    </row>
    <row r="113" spans="1:24" x14ac:dyDescent="0.2">
      <c r="A113" s="374" t="s">
        <v>3360</v>
      </c>
      <c r="B113" s="374">
        <v>0</v>
      </c>
      <c r="C113" s="374">
        <v>0</v>
      </c>
      <c r="D113" s="378">
        <v>0</v>
      </c>
      <c r="E113" s="378">
        <v>0</v>
      </c>
      <c r="F113" s="378">
        <v>0</v>
      </c>
      <c r="G113" s="378">
        <v>0</v>
      </c>
      <c r="H113" s="378">
        <v>0</v>
      </c>
      <c r="I113" s="378">
        <v>0</v>
      </c>
      <c r="J113" s="374"/>
      <c r="K113" s="374"/>
      <c r="L113" s="374"/>
      <c r="M113" s="374"/>
      <c r="N113" s="374"/>
      <c r="O113" s="374"/>
      <c r="P113" s="374"/>
      <c r="Q113" s="374"/>
      <c r="R113" s="374"/>
      <c r="S113" s="374"/>
      <c r="T113" s="374"/>
      <c r="U113" s="374"/>
      <c r="V113" s="374"/>
      <c r="W113" s="374"/>
      <c r="X113" s="374"/>
    </row>
    <row r="114" spans="1:24" x14ac:dyDescent="0.2">
      <c r="A114" s="374" t="s">
        <v>3361</v>
      </c>
      <c r="B114" s="374">
        <v>0</v>
      </c>
      <c r="C114" s="374">
        <v>0</v>
      </c>
      <c r="D114" s="378">
        <v>0</v>
      </c>
      <c r="E114" s="378">
        <v>0</v>
      </c>
      <c r="F114" s="378">
        <v>0</v>
      </c>
      <c r="G114" s="378">
        <v>0</v>
      </c>
      <c r="H114" s="378">
        <v>0</v>
      </c>
      <c r="I114" s="378">
        <v>0</v>
      </c>
      <c r="J114" s="374"/>
      <c r="K114" s="374"/>
      <c r="L114" s="374"/>
      <c r="M114" s="374"/>
      <c r="N114" s="374"/>
      <c r="O114" s="374"/>
      <c r="P114" s="374"/>
      <c r="Q114" s="374"/>
      <c r="R114" s="374"/>
      <c r="S114" s="374"/>
      <c r="T114" s="374"/>
      <c r="U114" s="374"/>
      <c r="V114" s="374"/>
      <c r="W114" s="374"/>
      <c r="X114" s="374"/>
    </row>
    <row r="115" spans="1:24" x14ac:dyDescent="0.2">
      <c r="A115" s="374" t="s">
        <v>3362</v>
      </c>
      <c r="B115" s="374">
        <v>0</v>
      </c>
      <c r="C115" s="374">
        <v>34.799999999999997</v>
      </c>
      <c r="D115" s="378">
        <v>36.648052</v>
      </c>
      <c r="E115" s="378">
        <v>37.951796999999999</v>
      </c>
      <c r="F115" s="378">
        <v>39.314781000000004</v>
      </c>
      <c r="G115" s="378">
        <v>39.368842999999998</v>
      </c>
      <c r="H115" s="378">
        <v>39.383437999999998</v>
      </c>
      <c r="I115" s="378">
        <v>39.397148000000001</v>
      </c>
      <c r="J115" s="374"/>
      <c r="K115" s="374"/>
      <c r="L115" s="374"/>
      <c r="M115" s="374"/>
      <c r="N115" s="374"/>
      <c r="O115" s="374"/>
      <c r="P115" s="374"/>
      <c r="Q115" s="374"/>
      <c r="R115" s="374"/>
      <c r="S115" s="374"/>
      <c r="T115" s="374"/>
      <c r="U115" s="374"/>
      <c r="V115" s="374"/>
      <c r="W115" s="374"/>
      <c r="X115" s="374"/>
    </row>
    <row r="116" spans="1:24" x14ac:dyDescent="0.2">
      <c r="A116" s="374" t="s">
        <v>3363</v>
      </c>
      <c r="B116" s="374">
        <v>0</v>
      </c>
      <c r="C116" s="374">
        <v>0</v>
      </c>
      <c r="D116" s="378">
        <v>0</v>
      </c>
      <c r="E116" s="378">
        <v>0</v>
      </c>
      <c r="F116" s="378">
        <v>0</v>
      </c>
      <c r="G116" s="378">
        <v>0</v>
      </c>
      <c r="H116" s="378">
        <v>0</v>
      </c>
      <c r="I116" s="378">
        <v>0</v>
      </c>
      <c r="J116" s="374"/>
      <c r="K116" s="374"/>
      <c r="L116" s="374"/>
      <c r="M116" s="374"/>
      <c r="N116" s="374"/>
      <c r="O116" s="374"/>
      <c r="P116" s="374"/>
      <c r="Q116" s="374"/>
      <c r="R116" s="374"/>
      <c r="S116" s="374"/>
      <c r="T116" s="374"/>
      <c r="U116" s="374"/>
      <c r="V116" s="374"/>
      <c r="W116" s="374"/>
      <c r="X116" s="374"/>
    </row>
    <row r="117" spans="1:24" x14ac:dyDescent="0.2">
      <c r="A117" s="374" t="s">
        <v>3364</v>
      </c>
      <c r="B117" s="374">
        <v>0</v>
      </c>
      <c r="C117" s="374">
        <v>0</v>
      </c>
      <c r="D117" s="378">
        <v>0</v>
      </c>
      <c r="E117" s="378">
        <v>0</v>
      </c>
      <c r="F117" s="378">
        <v>0</v>
      </c>
      <c r="G117" s="378">
        <v>0</v>
      </c>
      <c r="H117" s="378">
        <v>0</v>
      </c>
      <c r="I117" s="378">
        <v>0</v>
      </c>
      <c r="J117" s="374"/>
      <c r="K117" s="374"/>
      <c r="L117" s="374"/>
      <c r="M117" s="374"/>
      <c r="N117" s="374"/>
      <c r="O117" s="374"/>
      <c r="P117" s="374"/>
      <c r="Q117" s="374"/>
      <c r="R117" s="374"/>
      <c r="S117" s="374"/>
      <c r="T117" s="374"/>
      <c r="U117" s="374"/>
      <c r="V117" s="374"/>
      <c r="W117" s="374"/>
      <c r="X117" s="374"/>
    </row>
    <row r="118" spans="1:24" x14ac:dyDescent="0.2">
      <c r="A118" s="374" t="s">
        <v>3365</v>
      </c>
      <c r="B118" s="374">
        <v>27.5</v>
      </c>
      <c r="C118" s="374">
        <v>32</v>
      </c>
      <c r="D118" s="378">
        <v>40.255951000000003</v>
      </c>
      <c r="E118" s="378">
        <v>41.053196</v>
      </c>
      <c r="F118" s="378">
        <v>42.186481000000001</v>
      </c>
      <c r="G118" s="378">
        <v>42.220497000000002</v>
      </c>
      <c r="H118" s="378">
        <v>42.243668</v>
      </c>
      <c r="I118" s="378">
        <v>42.266486999999998</v>
      </c>
      <c r="J118" s="374"/>
      <c r="K118" s="374"/>
      <c r="L118" s="374"/>
      <c r="M118" s="374"/>
      <c r="N118" s="374"/>
      <c r="O118" s="374"/>
      <c r="P118" s="374"/>
      <c r="Q118" s="374"/>
      <c r="R118" s="374"/>
      <c r="S118" s="374"/>
      <c r="T118" s="374"/>
      <c r="U118" s="374"/>
      <c r="V118" s="374"/>
      <c r="W118" s="374"/>
      <c r="X118" s="374"/>
    </row>
    <row r="119" spans="1:24" x14ac:dyDescent="0.2">
      <c r="A119" s="374" t="s">
        <v>3366</v>
      </c>
      <c r="B119" s="374">
        <v>0</v>
      </c>
      <c r="C119" s="374">
        <v>0</v>
      </c>
      <c r="D119" s="378">
        <v>0</v>
      </c>
      <c r="E119" s="378">
        <v>0</v>
      </c>
      <c r="F119" s="378">
        <v>0</v>
      </c>
      <c r="G119" s="378">
        <v>0</v>
      </c>
      <c r="H119" s="378">
        <v>0</v>
      </c>
      <c r="I119" s="378">
        <v>0</v>
      </c>
      <c r="J119" s="374"/>
      <c r="K119" s="374"/>
      <c r="L119" s="374"/>
      <c r="M119" s="374"/>
      <c r="N119" s="374"/>
      <c r="O119" s="374"/>
      <c r="P119" s="374"/>
      <c r="Q119" s="374"/>
      <c r="R119" s="374"/>
      <c r="S119" s="374"/>
      <c r="T119" s="374"/>
      <c r="U119" s="374"/>
      <c r="V119" s="374"/>
      <c r="W119" s="374"/>
      <c r="X119" s="374"/>
    </row>
    <row r="120" spans="1:24" x14ac:dyDescent="0.2">
      <c r="A120" s="374" t="s">
        <v>3367</v>
      </c>
      <c r="B120" s="374">
        <v>31.5</v>
      </c>
      <c r="C120" s="374">
        <v>33.9</v>
      </c>
      <c r="D120" s="378">
        <v>36.533607000000003</v>
      </c>
      <c r="E120" s="378">
        <v>37.384616999999999</v>
      </c>
      <c r="F120" s="378">
        <v>38.416446999999998</v>
      </c>
      <c r="G120" s="378">
        <v>38.467201000000003</v>
      </c>
      <c r="H120" s="378">
        <v>38.488822999999996</v>
      </c>
      <c r="I120" s="378">
        <v>38.231116999999998</v>
      </c>
      <c r="J120" s="374"/>
      <c r="K120" s="374"/>
      <c r="L120" s="374"/>
      <c r="M120" s="374"/>
      <c r="N120" s="374"/>
      <c r="O120" s="374"/>
      <c r="P120" s="374"/>
      <c r="Q120" s="374"/>
      <c r="R120" s="374"/>
      <c r="S120" s="374"/>
      <c r="T120" s="374"/>
      <c r="U120" s="374"/>
      <c r="V120" s="374"/>
      <c r="W120" s="374"/>
      <c r="X120" s="374"/>
    </row>
    <row r="121" spans="1:24" x14ac:dyDescent="0.2">
      <c r="A121" s="374" t="s">
        <v>3368</v>
      </c>
      <c r="B121" s="374">
        <v>0</v>
      </c>
      <c r="C121" s="374">
        <v>0</v>
      </c>
      <c r="D121" s="378">
        <v>0</v>
      </c>
      <c r="E121" s="378">
        <v>0</v>
      </c>
      <c r="F121" s="378">
        <v>0</v>
      </c>
      <c r="G121" s="378">
        <v>0</v>
      </c>
      <c r="H121" s="378">
        <v>0</v>
      </c>
      <c r="I121" s="378">
        <v>0</v>
      </c>
      <c r="J121" s="374"/>
      <c r="K121" s="374"/>
      <c r="L121" s="374"/>
      <c r="M121" s="374"/>
      <c r="N121" s="374"/>
      <c r="O121" s="374"/>
      <c r="P121" s="374"/>
      <c r="Q121" s="374"/>
      <c r="R121" s="374"/>
      <c r="S121" s="374"/>
      <c r="T121" s="374"/>
      <c r="U121" s="374"/>
      <c r="V121" s="374"/>
      <c r="W121" s="374"/>
      <c r="X121" s="374"/>
    </row>
    <row r="122" spans="1:24" x14ac:dyDescent="0.2">
      <c r="A122" s="374" t="s">
        <v>3369</v>
      </c>
      <c r="B122" s="374">
        <v>0</v>
      </c>
      <c r="C122" s="374">
        <v>0</v>
      </c>
      <c r="D122" s="378">
        <v>0</v>
      </c>
      <c r="E122" s="378">
        <v>0</v>
      </c>
      <c r="F122" s="378">
        <v>0</v>
      </c>
      <c r="G122" s="378">
        <v>0</v>
      </c>
      <c r="H122" s="378">
        <v>0</v>
      </c>
      <c r="I122" s="378">
        <v>0</v>
      </c>
      <c r="J122" s="374"/>
      <c r="K122" s="374"/>
      <c r="L122" s="374"/>
      <c r="M122" s="374"/>
      <c r="N122" s="374"/>
      <c r="O122" s="374"/>
      <c r="P122" s="374"/>
      <c r="Q122" s="374"/>
      <c r="R122" s="374"/>
      <c r="S122" s="374"/>
      <c r="T122" s="374"/>
      <c r="U122" s="374"/>
      <c r="V122" s="374"/>
      <c r="W122" s="374"/>
      <c r="X122" s="374"/>
    </row>
    <row r="123" spans="1:24" x14ac:dyDescent="0.2">
      <c r="A123" s="374"/>
      <c r="B123" s="374"/>
      <c r="C123" s="374"/>
      <c r="D123" s="374"/>
      <c r="E123" s="374"/>
      <c r="F123" s="374"/>
      <c r="G123" s="374"/>
      <c r="H123" s="374"/>
      <c r="I123" s="374"/>
      <c r="J123" s="374"/>
      <c r="K123" s="374"/>
      <c r="L123" s="374"/>
      <c r="M123" s="374"/>
      <c r="N123" s="374"/>
      <c r="O123" s="374"/>
      <c r="P123" s="374"/>
      <c r="Q123" s="374"/>
      <c r="R123" s="374"/>
      <c r="S123" s="374"/>
      <c r="T123" s="374"/>
      <c r="U123" s="374"/>
      <c r="V123" s="374"/>
      <c r="W123" s="374"/>
      <c r="X123" s="374"/>
    </row>
    <row r="124" spans="1:24" x14ac:dyDescent="0.2">
      <c r="A124" s="374" t="s">
        <v>3377</v>
      </c>
      <c r="B124" s="374"/>
      <c r="C124" s="374"/>
      <c r="D124" s="374"/>
      <c r="E124" s="374"/>
      <c r="F124" s="374"/>
      <c r="G124" s="374"/>
      <c r="H124" s="374"/>
      <c r="I124" s="374"/>
      <c r="J124" s="374"/>
      <c r="K124" s="374"/>
      <c r="L124" s="374"/>
      <c r="M124" s="374"/>
      <c r="N124" s="374"/>
      <c r="O124" s="374"/>
      <c r="P124" s="374"/>
      <c r="Q124" s="374"/>
      <c r="R124" s="374"/>
      <c r="S124" s="374"/>
      <c r="T124" s="374"/>
      <c r="U124" s="374"/>
      <c r="V124" s="374"/>
      <c r="W124" s="374"/>
      <c r="X124" s="374"/>
    </row>
    <row r="125" spans="1:24" x14ac:dyDescent="0.2">
      <c r="A125" s="374" t="s">
        <v>3358</v>
      </c>
      <c r="B125" s="374">
        <v>0</v>
      </c>
      <c r="C125" s="374">
        <v>0</v>
      </c>
      <c r="D125" s="378">
        <v>0</v>
      </c>
      <c r="E125" s="378">
        <v>0</v>
      </c>
      <c r="F125" s="378">
        <v>0</v>
      </c>
      <c r="G125" s="378">
        <v>0</v>
      </c>
      <c r="H125" s="378">
        <v>0</v>
      </c>
      <c r="I125" s="378">
        <v>0</v>
      </c>
      <c r="J125" s="374"/>
      <c r="K125" s="374"/>
      <c r="L125" s="374"/>
      <c r="M125" s="374"/>
      <c r="N125" s="374"/>
      <c r="O125" s="374"/>
      <c r="P125" s="374"/>
      <c r="Q125" s="374"/>
      <c r="R125" s="374"/>
      <c r="S125" s="374"/>
      <c r="T125" s="374"/>
      <c r="U125" s="374"/>
      <c r="V125" s="374"/>
      <c r="W125" s="374"/>
      <c r="X125" s="374"/>
    </row>
    <row r="126" spans="1:24" x14ac:dyDescent="0.2">
      <c r="A126" s="374" t="s">
        <v>3359</v>
      </c>
      <c r="B126" s="374">
        <v>0</v>
      </c>
      <c r="C126" s="374">
        <v>0</v>
      </c>
      <c r="D126" s="378">
        <v>0</v>
      </c>
      <c r="E126" s="378">
        <v>0</v>
      </c>
      <c r="F126" s="378">
        <v>0</v>
      </c>
      <c r="G126" s="378">
        <v>0</v>
      </c>
      <c r="H126" s="378">
        <v>0</v>
      </c>
      <c r="I126" s="378">
        <v>0</v>
      </c>
      <c r="J126" s="374"/>
      <c r="K126" s="374"/>
      <c r="L126" s="374"/>
      <c r="M126" s="374"/>
      <c r="N126" s="374"/>
      <c r="O126" s="374"/>
      <c r="P126" s="374"/>
      <c r="Q126" s="374"/>
      <c r="R126" s="374"/>
      <c r="S126" s="374"/>
      <c r="T126" s="374"/>
      <c r="U126" s="374"/>
      <c r="V126" s="374"/>
      <c r="W126" s="374"/>
      <c r="X126" s="374"/>
    </row>
    <row r="127" spans="1:24" x14ac:dyDescent="0.2">
      <c r="A127" s="374" t="s">
        <v>3360</v>
      </c>
      <c r="B127" s="374">
        <v>22.5</v>
      </c>
      <c r="C127" s="374">
        <v>27.8</v>
      </c>
      <c r="D127" s="378">
        <v>26.048479</v>
      </c>
      <c r="E127" s="378">
        <v>27.034738999999998</v>
      </c>
      <c r="F127" s="378">
        <v>28.728225999999999</v>
      </c>
      <c r="G127" s="378">
        <v>28.763667999999999</v>
      </c>
      <c r="H127" s="378">
        <v>28.782444000000002</v>
      </c>
      <c r="I127" s="378">
        <v>28.799164000000001</v>
      </c>
      <c r="J127" s="374"/>
      <c r="K127" s="374"/>
      <c r="L127" s="374"/>
      <c r="M127" s="374"/>
      <c r="N127" s="374"/>
      <c r="O127" s="374"/>
      <c r="P127" s="374"/>
      <c r="Q127" s="374"/>
      <c r="R127" s="374"/>
      <c r="S127" s="374"/>
      <c r="T127" s="374"/>
      <c r="U127" s="374"/>
      <c r="V127" s="374"/>
      <c r="W127" s="374"/>
      <c r="X127" s="374"/>
    </row>
    <row r="128" spans="1:24" x14ac:dyDescent="0.2">
      <c r="A128" s="374" t="s">
        <v>3361</v>
      </c>
      <c r="B128" s="374">
        <v>29.2</v>
      </c>
      <c r="C128" s="374">
        <v>30.6</v>
      </c>
      <c r="D128" s="378">
        <v>30.522929999999999</v>
      </c>
      <c r="E128" s="378">
        <v>31.341094999999999</v>
      </c>
      <c r="F128" s="378">
        <v>32.907783999999999</v>
      </c>
      <c r="G128" s="378">
        <v>32.931583000000003</v>
      </c>
      <c r="H128" s="378">
        <v>32.950358999999999</v>
      </c>
      <c r="I128" s="378">
        <v>32.968040000000002</v>
      </c>
      <c r="J128" s="374"/>
      <c r="K128" s="374"/>
      <c r="L128" s="374"/>
      <c r="M128" s="374"/>
      <c r="N128" s="374"/>
      <c r="O128" s="374"/>
      <c r="P128" s="374"/>
      <c r="Q128" s="374"/>
      <c r="R128" s="374"/>
      <c r="S128" s="374"/>
      <c r="T128" s="374"/>
      <c r="U128" s="374"/>
      <c r="V128" s="374"/>
      <c r="W128" s="374"/>
      <c r="X128" s="374"/>
    </row>
    <row r="129" spans="1:24" x14ac:dyDescent="0.2">
      <c r="A129" s="374" t="s">
        <v>3362</v>
      </c>
      <c r="B129" s="374">
        <v>35.200000000000003</v>
      </c>
      <c r="C129" s="374">
        <v>34.700000000000003</v>
      </c>
      <c r="D129" s="378">
        <v>36.467807999999998</v>
      </c>
      <c r="E129" s="378">
        <v>37.776305999999998</v>
      </c>
      <c r="F129" s="378">
        <v>39.134990999999999</v>
      </c>
      <c r="G129" s="378">
        <v>39.186667999999997</v>
      </c>
      <c r="H129" s="378">
        <v>39.199036</v>
      </c>
      <c r="I129" s="378">
        <v>39.210999000000001</v>
      </c>
      <c r="J129" s="374"/>
      <c r="K129" s="374"/>
      <c r="L129" s="374"/>
      <c r="M129" s="374"/>
      <c r="N129" s="374"/>
      <c r="O129" s="374"/>
      <c r="P129" s="374"/>
      <c r="Q129" s="374"/>
      <c r="R129" s="374"/>
      <c r="S129" s="374"/>
      <c r="T129" s="374"/>
      <c r="U129" s="374"/>
      <c r="V129" s="374"/>
      <c r="W129" s="374"/>
      <c r="X129" s="374"/>
    </row>
    <row r="130" spans="1:24" x14ac:dyDescent="0.2">
      <c r="A130" s="374" t="s">
        <v>3363</v>
      </c>
      <c r="B130" s="374">
        <v>0</v>
      </c>
      <c r="C130" s="374">
        <v>0</v>
      </c>
      <c r="D130" s="378">
        <v>0</v>
      </c>
      <c r="E130" s="378">
        <v>0</v>
      </c>
      <c r="F130" s="378">
        <v>0</v>
      </c>
      <c r="G130" s="378">
        <v>0</v>
      </c>
      <c r="H130" s="378">
        <v>0</v>
      </c>
      <c r="I130" s="378">
        <v>0</v>
      </c>
      <c r="J130" s="374"/>
      <c r="K130" s="374"/>
      <c r="L130" s="374"/>
      <c r="M130" s="374"/>
      <c r="N130" s="374"/>
      <c r="O130" s="374"/>
      <c r="P130" s="374"/>
      <c r="Q130" s="374"/>
      <c r="R130" s="374"/>
      <c r="S130" s="374"/>
      <c r="T130" s="374"/>
      <c r="U130" s="374"/>
      <c r="V130" s="374"/>
      <c r="W130" s="374"/>
      <c r="X130" s="374"/>
    </row>
    <row r="131" spans="1:24" x14ac:dyDescent="0.2">
      <c r="A131" s="374" t="s">
        <v>3364</v>
      </c>
      <c r="B131" s="374">
        <v>0</v>
      </c>
      <c r="C131" s="374">
        <v>0</v>
      </c>
      <c r="D131" s="378">
        <v>0</v>
      </c>
      <c r="E131" s="378">
        <v>0</v>
      </c>
      <c r="F131" s="378">
        <v>0</v>
      </c>
      <c r="G131" s="378">
        <v>0</v>
      </c>
      <c r="H131" s="378">
        <v>0</v>
      </c>
      <c r="I131" s="378">
        <v>0</v>
      </c>
      <c r="J131" s="374"/>
      <c r="K131" s="374"/>
      <c r="L131" s="374"/>
      <c r="M131" s="374"/>
      <c r="N131" s="374"/>
      <c r="O131" s="374"/>
      <c r="P131" s="374"/>
      <c r="Q131" s="374"/>
      <c r="R131" s="374"/>
      <c r="S131" s="374"/>
      <c r="T131" s="374"/>
      <c r="U131" s="374"/>
      <c r="V131" s="374"/>
      <c r="W131" s="374"/>
      <c r="X131" s="374"/>
    </row>
    <row r="132" spans="1:24" x14ac:dyDescent="0.2">
      <c r="A132" s="374" t="s">
        <v>3365</v>
      </c>
      <c r="B132" s="374">
        <v>26.3</v>
      </c>
      <c r="C132" s="374">
        <v>29.6</v>
      </c>
      <c r="D132" s="378">
        <v>37.743434999999998</v>
      </c>
      <c r="E132" s="378">
        <v>38.567805999999997</v>
      </c>
      <c r="F132" s="378">
        <v>39.716495999999999</v>
      </c>
      <c r="G132" s="378">
        <v>39.750092000000002</v>
      </c>
      <c r="H132" s="378">
        <v>39.773701000000003</v>
      </c>
      <c r="I132" s="378">
        <v>39.797642000000003</v>
      </c>
      <c r="J132" s="374"/>
      <c r="K132" s="374"/>
      <c r="L132" s="374"/>
      <c r="M132" s="374"/>
      <c r="N132" s="374"/>
      <c r="O132" s="374"/>
      <c r="P132" s="374"/>
      <c r="Q132" s="374"/>
      <c r="R132" s="374"/>
      <c r="S132" s="374"/>
      <c r="T132" s="374"/>
      <c r="U132" s="374"/>
      <c r="V132" s="374"/>
      <c r="W132" s="374"/>
      <c r="X132" s="374"/>
    </row>
    <row r="133" spans="1:24" x14ac:dyDescent="0.2">
      <c r="A133" s="374" t="s">
        <v>3366</v>
      </c>
      <c r="B133" s="374">
        <v>0</v>
      </c>
      <c r="C133" s="374">
        <v>0</v>
      </c>
      <c r="D133" s="378">
        <v>0</v>
      </c>
      <c r="E133" s="378">
        <v>0</v>
      </c>
      <c r="F133" s="378">
        <v>0</v>
      </c>
      <c r="G133" s="378">
        <v>0</v>
      </c>
      <c r="H133" s="378">
        <v>0</v>
      </c>
      <c r="I133" s="378">
        <v>0</v>
      </c>
      <c r="J133" s="374"/>
      <c r="K133" s="374"/>
      <c r="L133" s="374"/>
      <c r="M133" s="374"/>
      <c r="N133" s="374"/>
      <c r="O133" s="374"/>
      <c r="P133" s="374"/>
      <c r="Q133" s="374"/>
      <c r="R133" s="374"/>
      <c r="S133" s="374"/>
      <c r="T133" s="374"/>
      <c r="U133" s="374"/>
      <c r="V133" s="374"/>
      <c r="W133" s="374"/>
      <c r="X133" s="374"/>
    </row>
    <row r="134" spans="1:24" x14ac:dyDescent="0.2">
      <c r="A134" s="374" t="s">
        <v>3367</v>
      </c>
      <c r="B134" s="374">
        <v>30.2</v>
      </c>
      <c r="C134" s="374">
        <v>31.4</v>
      </c>
      <c r="D134" s="378">
        <v>34.022247</v>
      </c>
      <c r="E134" s="378">
        <v>34.895290000000003</v>
      </c>
      <c r="F134" s="378">
        <v>35.936253000000001</v>
      </c>
      <c r="G134" s="378">
        <v>35.986156000000001</v>
      </c>
      <c r="H134" s="378">
        <v>36.007465000000003</v>
      </c>
      <c r="I134" s="378">
        <v>36.029693999999999</v>
      </c>
      <c r="J134" s="374"/>
      <c r="K134" s="374"/>
      <c r="L134" s="374"/>
      <c r="M134" s="374"/>
      <c r="N134" s="374"/>
      <c r="O134" s="374"/>
      <c r="P134" s="374"/>
      <c r="Q134" s="374"/>
      <c r="R134" s="374"/>
      <c r="S134" s="374"/>
      <c r="T134" s="374"/>
      <c r="U134" s="374"/>
      <c r="V134" s="374"/>
      <c r="W134" s="374"/>
      <c r="X134" s="374"/>
    </row>
    <row r="135" spans="1:24" x14ac:dyDescent="0.2">
      <c r="A135" s="374" t="s">
        <v>3368</v>
      </c>
      <c r="B135" s="374">
        <v>0</v>
      </c>
      <c r="C135" s="374">
        <v>0</v>
      </c>
      <c r="D135" s="378">
        <v>0</v>
      </c>
      <c r="E135" s="378">
        <v>0</v>
      </c>
      <c r="F135" s="378">
        <v>0</v>
      </c>
      <c r="G135" s="378">
        <v>0</v>
      </c>
      <c r="H135" s="378">
        <v>0</v>
      </c>
      <c r="I135" s="378">
        <v>0</v>
      </c>
      <c r="J135" s="374"/>
      <c r="K135" s="374"/>
      <c r="L135" s="374"/>
      <c r="M135" s="374"/>
      <c r="N135" s="374"/>
      <c r="O135" s="374"/>
      <c r="P135" s="374"/>
      <c r="Q135" s="374"/>
      <c r="R135" s="374"/>
      <c r="S135" s="374"/>
      <c r="T135" s="374"/>
      <c r="U135" s="374"/>
      <c r="V135" s="374"/>
      <c r="W135" s="374"/>
      <c r="X135" s="374"/>
    </row>
    <row r="136" spans="1:24" x14ac:dyDescent="0.2">
      <c r="A136" s="374" t="s">
        <v>3369</v>
      </c>
      <c r="B136" s="374">
        <v>0</v>
      </c>
      <c r="C136" s="374">
        <v>0</v>
      </c>
      <c r="D136" s="378">
        <v>0</v>
      </c>
      <c r="E136" s="378">
        <v>0</v>
      </c>
      <c r="F136" s="378">
        <v>0</v>
      </c>
      <c r="G136" s="378">
        <v>0</v>
      </c>
      <c r="H136" s="378">
        <v>0</v>
      </c>
      <c r="I136" s="378">
        <v>0</v>
      </c>
      <c r="J136" s="374"/>
      <c r="K136" s="374"/>
      <c r="L136" s="374"/>
      <c r="M136" s="374"/>
      <c r="N136" s="374"/>
      <c r="O136" s="374"/>
      <c r="P136" s="374"/>
      <c r="Q136" s="374"/>
      <c r="R136" s="374"/>
      <c r="S136" s="374"/>
      <c r="T136" s="374"/>
      <c r="U136" s="374"/>
      <c r="V136" s="374"/>
      <c r="W136" s="374"/>
      <c r="X136" s="374"/>
    </row>
    <row r="137" spans="1:24" x14ac:dyDescent="0.2">
      <c r="A137" s="374"/>
      <c r="B137" s="374"/>
      <c r="C137" s="374"/>
      <c r="D137" s="374"/>
      <c r="E137" s="374"/>
      <c r="F137" s="374"/>
      <c r="G137" s="374"/>
      <c r="H137" s="374"/>
      <c r="I137" s="374"/>
      <c r="J137" s="374"/>
      <c r="K137" s="374"/>
      <c r="L137" s="374"/>
      <c r="M137" s="374"/>
      <c r="N137" s="374"/>
      <c r="O137" s="374"/>
      <c r="P137" s="374"/>
      <c r="Q137" s="374"/>
      <c r="R137" s="374"/>
      <c r="S137" s="374"/>
      <c r="T137" s="374"/>
      <c r="U137" s="374"/>
      <c r="V137" s="374"/>
      <c r="W137" s="374"/>
      <c r="X137" s="374"/>
    </row>
    <row r="138" spans="1:24" x14ac:dyDescent="0.2">
      <c r="A138" s="374" t="s">
        <v>3378</v>
      </c>
      <c r="B138" s="374"/>
      <c r="C138" s="374"/>
      <c r="D138" s="374"/>
      <c r="E138" s="374"/>
      <c r="F138" s="374"/>
      <c r="G138" s="374"/>
      <c r="H138" s="374"/>
      <c r="I138" s="374"/>
      <c r="J138" s="374"/>
      <c r="K138" s="374"/>
      <c r="L138" s="374"/>
      <c r="M138" s="374"/>
      <c r="N138" s="374"/>
      <c r="O138" s="374"/>
      <c r="P138" s="374"/>
      <c r="Q138" s="374"/>
      <c r="R138" s="374"/>
      <c r="S138" s="374"/>
      <c r="T138" s="374"/>
      <c r="U138" s="374"/>
      <c r="V138" s="374"/>
      <c r="W138" s="374"/>
      <c r="X138" s="374"/>
    </row>
    <row r="139" spans="1:24" x14ac:dyDescent="0.2">
      <c r="A139" s="374" t="s">
        <v>3379</v>
      </c>
      <c r="B139" s="374">
        <v>0</v>
      </c>
      <c r="C139" s="374">
        <v>0</v>
      </c>
      <c r="D139" s="378">
        <v>53.962513000000001</v>
      </c>
      <c r="E139" s="378">
        <v>52.610992000000003</v>
      </c>
      <c r="F139" s="378">
        <v>50.542084000000003</v>
      </c>
      <c r="G139" s="378">
        <v>48.868439000000002</v>
      </c>
      <c r="H139" s="378">
        <v>48.446407000000001</v>
      </c>
      <c r="I139" s="378">
        <v>48.370781000000001</v>
      </c>
      <c r="J139" s="374"/>
      <c r="K139" s="374"/>
      <c r="L139" s="374"/>
      <c r="M139" s="374"/>
      <c r="N139" s="374"/>
      <c r="O139" s="374"/>
      <c r="P139" s="374"/>
      <c r="Q139" s="374"/>
      <c r="R139" s="374"/>
      <c r="S139" s="374"/>
      <c r="T139" s="374"/>
      <c r="U139" s="374"/>
      <c r="V139" s="374"/>
      <c r="W139" s="374"/>
      <c r="X139" s="374"/>
    </row>
    <row r="140" spans="1:24" x14ac:dyDescent="0.2">
      <c r="A140" s="374" t="s">
        <v>3380</v>
      </c>
      <c r="B140" s="374">
        <v>0</v>
      </c>
      <c r="C140" s="374">
        <v>36.5</v>
      </c>
      <c r="D140" s="378">
        <v>36.984431999999998</v>
      </c>
      <c r="E140" s="378">
        <v>35.705761000000003</v>
      </c>
      <c r="F140" s="378">
        <v>33.623913000000002</v>
      </c>
      <c r="G140" s="378">
        <v>31.978268</v>
      </c>
      <c r="H140" s="378">
        <v>31.561644000000001</v>
      </c>
      <c r="I140" s="378">
        <v>31.486856</v>
      </c>
      <c r="J140" s="374"/>
      <c r="K140" s="374"/>
      <c r="L140" s="374"/>
      <c r="M140" s="374"/>
      <c r="N140" s="374"/>
      <c r="O140" s="374"/>
      <c r="P140" s="374"/>
      <c r="Q140" s="374"/>
      <c r="R140" s="374"/>
      <c r="S140" s="374"/>
      <c r="T140" s="374"/>
      <c r="U140" s="374"/>
      <c r="V140" s="374"/>
      <c r="W140" s="374"/>
      <c r="X140" s="374"/>
    </row>
    <row r="141" spans="1:24" x14ac:dyDescent="0.2">
      <c r="A141" s="374" t="s">
        <v>3381</v>
      </c>
      <c r="B141" s="374">
        <v>0</v>
      </c>
      <c r="C141" s="374">
        <v>0</v>
      </c>
      <c r="D141" s="378">
        <v>35.381698999999998</v>
      </c>
      <c r="E141" s="378">
        <v>34.138474000000002</v>
      </c>
      <c r="F141" s="378">
        <v>31.789698000000001</v>
      </c>
      <c r="G141" s="378">
        <v>30.129148000000001</v>
      </c>
      <c r="H141" s="378">
        <v>29.709645999999999</v>
      </c>
      <c r="I141" s="378">
        <v>29.634267999999999</v>
      </c>
      <c r="J141" s="374"/>
      <c r="K141" s="374"/>
      <c r="L141" s="374"/>
      <c r="M141" s="374"/>
      <c r="N141" s="374"/>
      <c r="O141" s="374"/>
      <c r="P141" s="374"/>
      <c r="Q141" s="374"/>
      <c r="R141" s="374"/>
      <c r="S141" s="374"/>
      <c r="T141" s="374"/>
      <c r="U141" s="374"/>
      <c r="V141" s="374"/>
      <c r="W141" s="374"/>
      <c r="X141" s="374"/>
    </row>
    <row r="142" spans="1:24" x14ac:dyDescent="0.2">
      <c r="A142" s="374" t="s">
        <v>3382</v>
      </c>
      <c r="B142" s="374">
        <v>0</v>
      </c>
      <c r="C142" s="374">
        <v>0</v>
      </c>
      <c r="D142" s="378">
        <v>43.045147</v>
      </c>
      <c r="E142" s="378">
        <v>41.505859000000001</v>
      </c>
      <c r="F142" s="378">
        <v>38.747917000000001</v>
      </c>
      <c r="G142" s="378">
        <v>36.692931999999999</v>
      </c>
      <c r="H142" s="378">
        <v>36.163597000000003</v>
      </c>
      <c r="I142" s="378">
        <v>36.056750999999998</v>
      </c>
      <c r="J142" s="374"/>
      <c r="K142" s="374"/>
      <c r="L142" s="374"/>
      <c r="M142" s="374"/>
      <c r="N142" s="374"/>
      <c r="O142" s="374"/>
      <c r="P142" s="374"/>
      <c r="Q142" s="374"/>
      <c r="R142" s="374"/>
      <c r="S142" s="374"/>
      <c r="T142" s="374"/>
      <c r="U142" s="374"/>
      <c r="V142" s="374"/>
      <c r="W142" s="374"/>
      <c r="X142" s="374"/>
    </row>
    <row r="143" spans="1:24" x14ac:dyDescent="0.2">
      <c r="A143" s="374" t="s">
        <v>3383</v>
      </c>
      <c r="B143" s="374">
        <v>0</v>
      </c>
      <c r="C143" s="374">
        <v>0</v>
      </c>
      <c r="D143" s="378">
        <v>0</v>
      </c>
      <c r="E143" s="378">
        <v>0</v>
      </c>
      <c r="F143" s="378">
        <v>0</v>
      </c>
      <c r="G143" s="378">
        <v>0</v>
      </c>
      <c r="H143" s="378">
        <v>0</v>
      </c>
      <c r="I143" s="378">
        <v>0</v>
      </c>
      <c r="J143" s="374"/>
      <c r="K143" s="374"/>
      <c r="L143" s="374"/>
      <c r="M143" s="374"/>
      <c r="N143" s="374"/>
      <c r="O143" s="374"/>
      <c r="P143" s="374"/>
      <c r="Q143" s="374"/>
      <c r="R143" s="374"/>
      <c r="S143" s="374"/>
      <c r="T143" s="374"/>
      <c r="U143" s="374"/>
      <c r="V143" s="374"/>
      <c r="W143" s="374"/>
      <c r="X143" s="374"/>
    </row>
    <row r="144" spans="1:24" x14ac:dyDescent="0.2">
      <c r="A144" s="374" t="s">
        <v>3384</v>
      </c>
      <c r="B144" s="374">
        <v>76.400000000000006</v>
      </c>
      <c r="C144" s="374">
        <v>0</v>
      </c>
      <c r="D144" s="378">
        <v>72.972237000000007</v>
      </c>
      <c r="E144" s="378">
        <v>71.397223999999994</v>
      </c>
      <c r="F144" s="378">
        <v>68.558739000000003</v>
      </c>
      <c r="G144" s="378">
        <v>66.339675999999997</v>
      </c>
      <c r="H144" s="378">
        <v>65.757087999999996</v>
      </c>
      <c r="I144" s="378">
        <v>65.626152000000005</v>
      </c>
      <c r="J144" s="374"/>
      <c r="K144" s="374"/>
      <c r="L144" s="374"/>
      <c r="M144" s="374"/>
      <c r="N144" s="374"/>
      <c r="O144" s="374"/>
      <c r="P144" s="374"/>
      <c r="Q144" s="374"/>
      <c r="R144" s="374"/>
      <c r="S144" s="374"/>
      <c r="T144" s="374"/>
      <c r="U144" s="374"/>
      <c r="V144" s="374"/>
      <c r="W144" s="374"/>
      <c r="X144" s="374"/>
    </row>
    <row r="145" spans="1:24" x14ac:dyDescent="0.2">
      <c r="A145" s="374" t="s">
        <v>3385</v>
      </c>
      <c r="B145" s="374">
        <v>0</v>
      </c>
      <c r="C145" s="374">
        <v>0</v>
      </c>
      <c r="D145" s="378">
        <v>0</v>
      </c>
      <c r="E145" s="378">
        <v>0</v>
      </c>
      <c r="F145" s="378">
        <v>0</v>
      </c>
      <c r="G145" s="378">
        <v>0</v>
      </c>
      <c r="H145" s="378">
        <v>0</v>
      </c>
      <c r="I145" s="378">
        <v>0</v>
      </c>
      <c r="J145" s="374"/>
      <c r="K145" s="374"/>
      <c r="L145" s="374"/>
      <c r="M145" s="374"/>
      <c r="N145" s="374"/>
      <c r="O145" s="374"/>
      <c r="P145" s="374"/>
      <c r="Q145" s="374"/>
      <c r="R145" s="374"/>
      <c r="S145" s="374"/>
      <c r="T145" s="374"/>
      <c r="U145" s="374"/>
      <c r="V145" s="374"/>
      <c r="W145" s="374"/>
      <c r="X145" s="374"/>
    </row>
    <row r="146" spans="1:24" x14ac:dyDescent="0.2">
      <c r="A146" s="374" t="s">
        <v>3386</v>
      </c>
      <c r="B146" s="374">
        <v>0</v>
      </c>
      <c r="C146" s="374">
        <v>0</v>
      </c>
      <c r="D146" s="378">
        <v>0</v>
      </c>
      <c r="E146" s="378">
        <v>0</v>
      </c>
      <c r="F146" s="378">
        <v>0</v>
      </c>
      <c r="G146" s="378">
        <v>0</v>
      </c>
      <c r="H146" s="378">
        <v>0</v>
      </c>
      <c r="I146" s="378">
        <v>0</v>
      </c>
      <c r="J146" s="374"/>
      <c r="K146" s="374"/>
      <c r="L146" s="374"/>
      <c r="M146" s="374"/>
      <c r="N146" s="374"/>
      <c r="O146" s="374"/>
      <c r="P146" s="374"/>
      <c r="Q146" s="374"/>
      <c r="R146" s="374"/>
      <c r="S146" s="374"/>
      <c r="T146" s="374"/>
      <c r="U146" s="374"/>
      <c r="V146" s="374"/>
      <c r="W146" s="374"/>
      <c r="X146" s="374"/>
    </row>
    <row r="147" spans="1:24" x14ac:dyDescent="0.2">
      <c r="A147" s="374" t="s">
        <v>3387</v>
      </c>
      <c r="B147" s="374">
        <v>0</v>
      </c>
      <c r="C147" s="374">
        <v>0</v>
      </c>
      <c r="D147" s="378">
        <v>0</v>
      </c>
      <c r="E147" s="378">
        <v>43.668559999999999</v>
      </c>
      <c r="F147" s="378">
        <v>39.557147999999998</v>
      </c>
      <c r="G147" s="378">
        <v>37.506900999999999</v>
      </c>
      <c r="H147" s="378">
        <v>36.994083000000003</v>
      </c>
      <c r="I147" s="378">
        <v>36.907631000000002</v>
      </c>
      <c r="J147" s="374"/>
      <c r="K147" s="374"/>
      <c r="L147" s="374"/>
      <c r="M147" s="374"/>
      <c r="N147" s="374"/>
      <c r="O147" s="374"/>
      <c r="P147" s="374"/>
      <c r="Q147" s="374"/>
      <c r="R147" s="374"/>
      <c r="S147" s="374"/>
      <c r="T147" s="374"/>
      <c r="U147" s="374"/>
      <c r="V147" s="374"/>
      <c r="W147" s="374"/>
      <c r="X147" s="374"/>
    </row>
    <row r="148" spans="1:24" x14ac:dyDescent="0.2">
      <c r="A148" s="374" t="s">
        <v>3388</v>
      </c>
      <c r="B148" s="374">
        <v>0</v>
      </c>
      <c r="C148" s="374">
        <v>0</v>
      </c>
      <c r="D148" s="378">
        <v>0</v>
      </c>
      <c r="E148" s="378">
        <v>0</v>
      </c>
      <c r="F148" s="378">
        <v>0</v>
      </c>
      <c r="G148" s="378">
        <v>0</v>
      </c>
      <c r="H148" s="378">
        <v>0</v>
      </c>
      <c r="I148" s="378">
        <v>0</v>
      </c>
      <c r="J148" s="374"/>
      <c r="K148" s="374"/>
      <c r="L148" s="374"/>
      <c r="M148" s="374"/>
      <c r="N148" s="374"/>
      <c r="O148" s="374"/>
      <c r="P148" s="374"/>
      <c r="Q148" s="374"/>
      <c r="R148" s="374"/>
      <c r="S148" s="374"/>
      <c r="T148" s="374"/>
      <c r="U148" s="374"/>
      <c r="V148" s="374"/>
      <c r="W148" s="374"/>
      <c r="X148" s="374"/>
    </row>
    <row r="149" spans="1:24" x14ac:dyDescent="0.2">
      <c r="A149" s="374" t="s">
        <v>3389</v>
      </c>
      <c r="B149" s="374">
        <v>58.8</v>
      </c>
      <c r="C149" s="374">
        <v>45.3</v>
      </c>
      <c r="D149" s="378">
        <v>44.983246000000001</v>
      </c>
      <c r="E149" s="378">
        <v>42.604084</v>
      </c>
      <c r="F149" s="378">
        <v>39.217491000000003</v>
      </c>
      <c r="G149" s="378">
        <v>37.317157999999999</v>
      </c>
      <c r="H149" s="378">
        <v>36.842421999999999</v>
      </c>
      <c r="I149" s="378">
        <v>36.759686000000002</v>
      </c>
      <c r="J149" s="374"/>
      <c r="K149" s="374"/>
      <c r="L149" s="374"/>
      <c r="M149" s="374"/>
      <c r="N149" s="374"/>
      <c r="O149" s="374"/>
      <c r="P149" s="374"/>
      <c r="Q149" s="374"/>
      <c r="R149" s="374"/>
      <c r="S149" s="374"/>
      <c r="T149" s="374"/>
      <c r="U149" s="374"/>
      <c r="V149" s="374"/>
      <c r="W149" s="374"/>
      <c r="X149" s="374"/>
    </row>
    <row r="150" spans="1:24" x14ac:dyDescent="0.2">
      <c r="A150" s="374" t="s">
        <v>3390</v>
      </c>
      <c r="B150" s="374">
        <v>0</v>
      </c>
      <c r="C150" s="374">
        <v>0</v>
      </c>
      <c r="D150" s="378">
        <v>0</v>
      </c>
      <c r="E150" s="378">
        <v>0</v>
      </c>
      <c r="F150" s="378">
        <v>0</v>
      </c>
      <c r="G150" s="378">
        <v>0</v>
      </c>
      <c r="H150" s="378">
        <v>0</v>
      </c>
      <c r="I150" s="378">
        <v>0</v>
      </c>
      <c r="J150" s="374"/>
      <c r="K150" s="374"/>
      <c r="L150" s="374"/>
      <c r="M150" s="374"/>
      <c r="N150" s="374"/>
      <c r="O150" s="374"/>
      <c r="P150" s="374"/>
      <c r="Q150" s="374"/>
      <c r="R150" s="374"/>
      <c r="S150" s="374"/>
      <c r="T150" s="374"/>
      <c r="U150" s="374"/>
      <c r="V150" s="374"/>
      <c r="W150" s="374"/>
      <c r="X150" s="374"/>
    </row>
    <row r="151" spans="1:24" x14ac:dyDescent="0.2">
      <c r="A151" s="374"/>
      <c r="B151" s="374"/>
      <c r="C151" s="374"/>
      <c r="D151" s="374"/>
      <c r="E151" s="374"/>
      <c r="F151" s="374"/>
      <c r="G151" s="374"/>
      <c r="H151" s="374"/>
      <c r="I151" s="374"/>
      <c r="J151" s="374"/>
      <c r="K151" s="374"/>
      <c r="L151" s="374"/>
      <c r="M151" s="374"/>
      <c r="N151" s="374"/>
      <c r="O151" s="374"/>
      <c r="P151" s="374"/>
      <c r="Q151" s="374"/>
      <c r="R151" s="374"/>
      <c r="S151" s="374"/>
      <c r="T151" s="374"/>
      <c r="U151" s="374"/>
      <c r="V151" s="374"/>
      <c r="W151" s="374"/>
      <c r="X151" s="374"/>
    </row>
    <row r="152" spans="1:24" x14ac:dyDescent="0.2">
      <c r="A152" s="374" t="s">
        <v>3391</v>
      </c>
      <c r="B152" s="374"/>
      <c r="C152" s="374"/>
      <c r="D152" s="374"/>
      <c r="E152" s="374"/>
      <c r="F152" s="374"/>
      <c r="G152" s="374"/>
      <c r="H152" s="374"/>
      <c r="I152" s="374"/>
      <c r="J152" s="374"/>
      <c r="K152" s="374"/>
      <c r="L152" s="374"/>
      <c r="M152" s="374"/>
      <c r="N152" s="374"/>
      <c r="O152" s="374"/>
      <c r="P152" s="374"/>
      <c r="Q152" s="374"/>
      <c r="R152" s="374"/>
      <c r="S152" s="374"/>
      <c r="T152" s="374"/>
      <c r="U152" s="374"/>
      <c r="V152" s="374"/>
      <c r="W152" s="374"/>
      <c r="X152" s="374"/>
    </row>
    <row r="153" spans="1:24" x14ac:dyDescent="0.2">
      <c r="A153" s="374" t="s">
        <v>3379</v>
      </c>
      <c r="B153" s="374"/>
      <c r="C153" s="374">
        <v>0</v>
      </c>
      <c r="D153" s="378">
        <v>0</v>
      </c>
      <c r="E153" s="378">
        <v>0</v>
      </c>
      <c r="F153" s="378">
        <v>0</v>
      </c>
      <c r="G153" s="378">
        <v>0</v>
      </c>
      <c r="H153" s="378">
        <v>0</v>
      </c>
      <c r="I153" s="378">
        <v>0</v>
      </c>
      <c r="J153" s="374"/>
      <c r="K153" s="374"/>
      <c r="L153" s="374"/>
      <c r="M153" s="374"/>
      <c r="N153" s="374"/>
      <c r="O153" s="374"/>
      <c r="P153" s="374"/>
      <c r="Q153" s="374"/>
      <c r="R153" s="374"/>
      <c r="S153" s="374"/>
      <c r="T153" s="374"/>
      <c r="U153" s="374"/>
      <c r="V153" s="374"/>
      <c r="W153" s="374"/>
      <c r="X153" s="374"/>
    </row>
    <row r="154" spans="1:24" x14ac:dyDescent="0.2">
      <c r="A154" s="374" t="s">
        <v>3380</v>
      </c>
      <c r="B154" s="374"/>
      <c r="C154" s="374">
        <v>0</v>
      </c>
      <c r="D154" s="378">
        <v>0</v>
      </c>
      <c r="E154" s="378">
        <v>47.973174999999998</v>
      </c>
      <c r="F154" s="378">
        <v>44.129986000000002</v>
      </c>
      <c r="G154" s="378">
        <v>41.098056999999997</v>
      </c>
      <c r="H154" s="378">
        <v>40.335281000000002</v>
      </c>
      <c r="I154" s="378">
        <v>40.203754000000004</v>
      </c>
      <c r="J154" s="374"/>
      <c r="K154" s="374"/>
      <c r="L154" s="374"/>
      <c r="M154" s="374"/>
      <c r="N154" s="374"/>
      <c r="O154" s="374"/>
      <c r="P154" s="374"/>
      <c r="Q154" s="374"/>
      <c r="R154" s="374"/>
      <c r="S154" s="374"/>
      <c r="T154" s="374"/>
      <c r="U154" s="374"/>
      <c r="V154" s="374"/>
      <c r="W154" s="374"/>
      <c r="X154" s="374"/>
    </row>
    <row r="155" spans="1:24" x14ac:dyDescent="0.2">
      <c r="A155" s="374" t="s">
        <v>3381</v>
      </c>
      <c r="B155" s="374"/>
      <c r="C155" s="374">
        <v>0</v>
      </c>
      <c r="D155" s="378">
        <v>0</v>
      </c>
      <c r="E155" s="378">
        <v>0</v>
      </c>
      <c r="F155" s="378">
        <v>44.007420000000003</v>
      </c>
      <c r="G155" s="378">
        <v>40.947102000000001</v>
      </c>
      <c r="H155" s="378">
        <v>40.17886</v>
      </c>
      <c r="I155" s="378">
        <v>40.046188000000001</v>
      </c>
      <c r="J155" s="374"/>
      <c r="K155" s="374"/>
      <c r="L155" s="374"/>
      <c r="M155" s="374"/>
      <c r="N155" s="374"/>
      <c r="O155" s="374"/>
      <c r="P155" s="374"/>
      <c r="Q155" s="374"/>
      <c r="R155" s="374"/>
      <c r="S155" s="374"/>
      <c r="T155" s="374"/>
      <c r="U155" s="374"/>
      <c r="V155" s="374"/>
      <c r="W155" s="374"/>
      <c r="X155" s="374"/>
    </row>
    <row r="156" spans="1:24" x14ac:dyDescent="0.2">
      <c r="A156" s="374" t="s">
        <v>3382</v>
      </c>
      <c r="B156" s="374"/>
      <c r="C156" s="374">
        <v>0</v>
      </c>
      <c r="D156" s="378">
        <v>0</v>
      </c>
      <c r="E156" s="378">
        <v>54.841686000000003</v>
      </c>
      <c r="F156" s="378">
        <v>49.963222999999999</v>
      </c>
      <c r="G156" s="378">
        <v>46.363655000000001</v>
      </c>
      <c r="H156" s="378">
        <v>45.449936000000001</v>
      </c>
      <c r="I156" s="378">
        <v>45.280082999999998</v>
      </c>
      <c r="J156" s="374"/>
      <c r="K156" s="374"/>
      <c r="L156" s="374"/>
      <c r="M156" s="374"/>
      <c r="N156" s="374"/>
      <c r="O156" s="374"/>
      <c r="P156" s="374"/>
      <c r="Q156" s="374"/>
      <c r="R156" s="374"/>
      <c r="S156" s="374"/>
      <c r="T156" s="374"/>
      <c r="U156" s="374"/>
      <c r="V156" s="374"/>
      <c r="W156" s="374"/>
      <c r="X156" s="374"/>
    </row>
    <row r="157" spans="1:24" x14ac:dyDescent="0.2">
      <c r="A157" s="374" t="s">
        <v>3383</v>
      </c>
      <c r="B157" s="374"/>
      <c r="C157" s="374">
        <v>0</v>
      </c>
      <c r="D157" s="378">
        <v>68.858727000000002</v>
      </c>
      <c r="E157" s="378">
        <v>64.749206999999998</v>
      </c>
      <c r="F157" s="378">
        <v>58.417011000000002</v>
      </c>
      <c r="G157" s="378">
        <v>54.380600000000001</v>
      </c>
      <c r="H157" s="378">
        <v>53.335650999999999</v>
      </c>
      <c r="I157" s="378">
        <v>53.128838000000002</v>
      </c>
      <c r="J157" s="374"/>
      <c r="K157" s="374"/>
      <c r="L157" s="374"/>
      <c r="M157" s="374"/>
      <c r="N157" s="374"/>
      <c r="O157" s="374"/>
      <c r="P157" s="374"/>
      <c r="Q157" s="374"/>
      <c r="R157" s="374"/>
      <c r="S157" s="374"/>
      <c r="T157" s="374"/>
      <c r="U157" s="374"/>
      <c r="V157" s="374"/>
      <c r="W157" s="374"/>
      <c r="X157" s="374"/>
    </row>
    <row r="158" spans="1:24" x14ac:dyDescent="0.2">
      <c r="A158" s="374" t="s">
        <v>3384</v>
      </c>
      <c r="B158" s="374"/>
      <c r="C158" s="374">
        <v>112.3</v>
      </c>
      <c r="D158" s="378">
        <v>86.196556000000001</v>
      </c>
      <c r="E158" s="378">
        <v>83.520302000000001</v>
      </c>
      <c r="F158" s="378">
        <v>78.773055999999997</v>
      </c>
      <c r="G158" s="378">
        <v>75.100250000000003</v>
      </c>
      <c r="H158" s="378">
        <v>74.157027999999997</v>
      </c>
      <c r="I158" s="378">
        <v>73.967003000000005</v>
      </c>
      <c r="J158" s="374"/>
      <c r="K158" s="374"/>
      <c r="L158" s="374"/>
      <c r="M158" s="374"/>
      <c r="N158" s="374"/>
      <c r="O158" s="374"/>
      <c r="P158" s="374"/>
      <c r="Q158" s="374"/>
      <c r="R158" s="374"/>
      <c r="S158" s="374"/>
      <c r="T158" s="374"/>
      <c r="U158" s="374"/>
      <c r="V158" s="374"/>
      <c r="W158" s="374"/>
      <c r="X158" s="374"/>
    </row>
    <row r="159" spans="1:24" x14ac:dyDescent="0.2">
      <c r="A159" s="374" t="s">
        <v>3385</v>
      </c>
      <c r="B159" s="374"/>
      <c r="C159" s="374">
        <v>0</v>
      </c>
      <c r="D159" s="378">
        <v>0</v>
      </c>
      <c r="E159" s="378">
        <v>0</v>
      </c>
      <c r="F159" s="378">
        <v>0</v>
      </c>
      <c r="G159" s="378">
        <v>0</v>
      </c>
      <c r="H159" s="378">
        <v>0</v>
      </c>
      <c r="I159" s="378">
        <v>0</v>
      </c>
      <c r="J159" s="374"/>
      <c r="K159" s="374"/>
      <c r="L159" s="374"/>
      <c r="M159" s="374"/>
      <c r="N159" s="374"/>
      <c r="O159" s="374"/>
      <c r="P159" s="374"/>
      <c r="Q159" s="374"/>
      <c r="R159" s="374"/>
      <c r="S159" s="374"/>
      <c r="T159" s="374"/>
      <c r="U159" s="374"/>
      <c r="V159" s="374"/>
      <c r="W159" s="374"/>
      <c r="X159" s="374"/>
    </row>
    <row r="160" spans="1:24" x14ac:dyDescent="0.2">
      <c r="A160" s="374" t="s">
        <v>3386</v>
      </c>
      <c r="B160" s="374"/>
      <c r="C160" s="374">
        <v>0</v>
      </c>
      <c r="D160" s="378">
        <v>0</v>
      </c>
      <c r="E160" s="378">
        <v>0</v>
      </c>
      <c r="F160" s="378">
        <v>0</v>
      </c>
      <c r="G160" s="378">
        <v>0</v>
      </c>
      <c r="H160" s="378">
        <v>0</v>
      </c>
      <c r="I160" s="378">
        <v>0</v>
      </c>
      <c r="J160" s="374"/>
      <c r="K160" s="374"/>
      <c r="L160" s="374"/>
      <c r="M160" s="374"/>
      <c r="N160" s="374"/>
      <c r="O160" s="374"/>
      <c r="P160" s="374"/>
      <c r="Q160" s="374"/>
      <c r="R160" s="374"/>
      <c r="S160" s="374"/>
      <c r="T160" s="374"/>
      <c r="U160" s="374"/>
      <c r="V160" s="374"/>
      <c r="W160" s="374"/>
      <c r="X160" s="374"/>
    </row>
    <row r="161" spans="1:24" x14ac:dyDescent="0.2">
      <c r="A161" s="374" t="s">
        <v>3387</v>
      </c>
      <c r="B161" s="374"/>
      <c r="C161" s="374">
        <v>0</v>
      </c>
      <c r="D161" s="378">
        <v>0</v>
      </c>
      <c r="E161" s="378">
        <v>60.679671999999997</v>
      </c>
      <c r="F161" s="378">
        <v>52.891064</v>
      </c>
      <c r="G161" s="378">
        <v>49.020470000000003</v>
      </c>
      <c r="H161" s="378">
        <v>48.054012</v>
      </c>
      <c r="I161" s="378">
        <v>47.892947999999997</v>
      </c>
      <c r="J161" s="374"/>
      <c r="K161" s="374"/>
      <c r="L161" s="374"/>
      <c r="M161" s="374"/>
      <c r="N161" s="374"/>
      <c r="O161" s="374"/>
      <c r="P161" s="374"/>
      <c r="Q161" s="374"/>
      <c r="R161" s="374"/>
      <c r="S161" s="374"/>
      <c r="T161" s="374"/>
      <c r="U161" s="374"/>
      <c r="V161" s="374"/>
      <c r="W161" s="374"/>
      <c r="X161" s="374"/>
    </row>
    <row r="162" spans="1:24" x14ac:dyDescent="0.2">
      <c r="A162" s="374" t="s">
        <v>3388</v>
      </c>
      <c r="B162" s="374"/>
      <c r="C162" s="374">
        <v>0</v>
      </c>
      <c r="D162" s="378">
        <v>0</v>
      </c>
      <c r="E162" s="378">
        <v>0</v>
      </c>
      <c r="F162" s="378">
        <v>0</v>
      </c>
      <c r="G162" s="378">
        <v>0</v>
      </c>
      <c r="H162" s="378">
        <v>0</v>
      </c>
      <c r="I162" s="378">
        <v>0</v>
      </c>
      <c r="J162" s="374"/>
      <c r="K162" s="374"/>
      <c r="L162" s="374"/>
      <c r="M162" s="374"/>
      <c r="N162" s="374"/>
      <c r="O162" s="374"/>
      <c r="P162" s="374"/>
      <c r="Q162" s="374"/>
      <c r="R162" s="374"/>
      <c r="S162" s="374"/>
      <c r="T162" s="374"/>
      <c r="U162" s="374"/>
      <c r="V162" s="374"/>
      <c r="W162" s="374"/>
      <c r="X162" s="374"/>
    </row>
    <row r="163" spans="1:24" x14ac:dyDescent="0.2">
      <c r="A163" s="374" t="s">
        <v>3389</v>
      </c>
      <c r="B163" s="374"/>
      <c r="C163" s="374">
        <v>0</v>
      </c>
      <c r="D163" s="378">
        <v>0</v>
      </c>
      <c r="E163" s="378">
        <v>57.862544999999997</v>
      </c>
      <c r="F163" s="378">
        <v>51.453933999999997</v>
      </c>
      <c r="G163" s="378">
        <v>47.868766999999998</v>
      </c>
      <c r="H163" s="378">
        <v>46.974803999999999</v>
      </c>
      <c r="I163" s="378">
        <v>46.820824000000002</v>
      </c>
      <c r="J163" s="374"/>
      <c r="K163" s="374"/>
      <c r="L163" s="374"/>
      <c r="M163" s="374"/>
      <c r="N163" s="374"/>
      <c r="O163" s="374"/>
      <c r="P163" s="374"/>
      <c r="Q163" s="374"/>
      <c r="R163" s="374"/>
      <c r="S163" s="374"/>
      <c r="T163" s="374"/>
      <c r="U163" s="374"/>
      <c r="V163" s="374"/>
      <c r="W163" s="374"/>
      <c r="X163" s="374"/>
    </row>
    <row r="164" spans="1:24" x14ac:dyDescent="0.2">
      <c r="A164" s="374" t="s">
        <v>3390</v>
      </c>
      <c r="B164" s="374"/>
      <c r="C164" s="374">
        <v>0</v>
      </c>
      <c r="D164" s="378">
        <v>0</v>
      </c>
      <c r="E164" s="378">
        <v>0</v>
      </c>
      <c r="F164" s="378">
        <v>0</v>
      </c>
      <c r="G164" s="378">
        <v>0</v>
      </c>
      <c r="H164" s="378">
        <v>0</v>
      </c>
      <c r="I164" s="378">
        <v>0</v>
      </c>
      <c r="J164" s="374"/>
      <c r="K164" s="374"/>
      <c r="L164" s="374"/>
      <c r="M164" s="374"/>
      <c r="N164" s="374"/>
      <c r="O164" s="374"/>
      <c r="P164" s="374"/>
      <c r="Q164" s="374"/>
      <c r="R164" s="374"/>
      <c r="S164" s="374"/>
      <c r="T164" s="374"/>
      <c r="U164" s="374"/>
      <c r="V164" s="374"/>
      <c r="W164" s="374"/>
      <c r="X164" s="374"/>
    </row>
    <row r="165" spans="1:24" x14ac:dyDescent="0.2">
      <c r="A165" s="374"/>
      <c r="B165" s="374"/>
      <c r="C165" s="374"/>
      <c r="D165" s="374"/>
      <c r="E165" s="374"/>
      <c r="F165" s="374"/>
      <c r="G165" s="374"/>
      <c r="H165" s="374"/>
      <c r="I165" s="374"/>
      <c r="J165" s="374"/>
      <c r="K165" s="374"/>
      <c r="L165" s="374"/>
      <c r="M165" s="374"/>
      <c r="N165" s="374"/>
      <c r="O165" s="374"/>
      <c r="P165" s="374"/>
      <c r="Q165" s="374"/>
      <c r="R165" s="374"/>
      <c r="S165" s="374"/>
      <c r="T165" s="374"/>
      <c r="U165" s="374"/>
      <c r="V165" s="374"/>
      <c r="W165" s="374"/>
      <c r="X165" s="374"/>
    </row>
    <row r="166" spans="1:24" x14ac:dyDescent="0.2">
      <c r="A166" s="374" t="s">
        <v>3392</v>
      </c>
      <c r="B166" s="374"/>
      <c r="C166" s="374"/>
      <c r="D166" s="374"/>
      <c r="E166" s="374"/>
      <c r="F166" s="374"/>
      <c r="G166" s="374"/>
      <c r="H166" s="374"/>
      <c r="I166" s="374"/>
      <c r="J166" s="374"/>
      <c r="K166" s="374"/>
      <c r="L166" s="374"/>
      <c r="M166" s="374"/>
      <c r="N166" s="374"/>
      <c r="O166" s="374"/>
      <c r="P166" s="374"/>
      <c r="Q166" s="374"/>
      <c r="R166" s="374"/>
      <c r="S166" s="374"/>
      <c r="T166" s="374"/>
      <c r="U166" s="374"/>
      <c r="V166" s="374"/>
      <c r="W166" s="374"/>
      <c r="X166" s="374"/>
    </row>
    <row r="167" spans="1:24" x14ac:dyDescent="0.2">
      <c r="A167" s="374" t="s">
        <v>3358</v>
      </c>
      <c r="B167" s="374">
        <v>0</v>
      </c>
      <c r="C167" s="374">
        <v>0</v>
      </c>
      <c r="D167" s="378">
        <v>0</v>
      </c>
      <c r="E167" s="378">
        <v>0</v>
      </c>
      <c r="F167" s="378">
        <v>0</v>
      </c>
      <c r="G167" s="378">
        <v>0</v>
      </c>
      <c r="H167" s="378">
        <v>0</v>
      </c>
      <c r="I167" s="378">
        <v>0</v>
      </c>
      <c r="J167" s="374"/>
      <c r="K167" s="374"/>
      <c r="L167" s="374"/>
      <c r="M167" s="374"/>
      <c r="N167" s="374"/>
      <c r="O167" s="374"/>
      <c r="P167" s="374"/>
      <c r="Q167" s="374"/>
      <c r="R167" s="374"/>
      <c r="S167" s="374"/>
      <c r="T167" s="374"/>
      <c r="U167" s="374"/>
      <c r="V167" s="374"/>
      <c r="W167" s="374"/>
      <c r="X167" s="374"/>
    </row>
    <row r="168" spans="1:24" x14ac:dyDescent="0.2">
      <c r="A168" s="374" t="s">
        <v>3359</v>
      </c>
      <c r="B168" s="374">
        <v>0</v>
      </c>
      <c r="C168" s="374">
        <v>0</v>
      </c>
      <c r="D168" s="378">
        <v>0</v>
      </c>
      <c r="E168" s="378">
        <v>0</v>
      </c>
      <c r="F168" s="378">
        <v>0</v>
      </c>
      <c r="G168" s="378">
        <v>31.440757999999999</v>
      </c>
      <c r="H168" s="378">
        <v>31.316524999999999</v>
      </c>
      <c r="I168" s="378">
        <v>31.290040999999999</v>
      </c>
      <c r="J168" s="374"/>
      <c r="K168" s="374"/>
      <c r="L168" s="374"/>
      <c r="M168" s="374"/>
      <c r="N168" s="374"/>
      <c r="O168" s="374"/>
      <c r="P168" s="374"/>
      <c r="Q168" s="374"/>
      <c r="R168" s="374"/>
      <c r="S168" s="374"/>
      <c r="T168" s="374"/>
      <c r="U168" s="374"/>
      <c r="V168" s="374"/>
      <c r="W168" s="374"/>
      <c r="X168" s="374"/>
    </row>
    <row r="169" spans="1:24" x14ac:dyDescent="0.2">
      <c r="A169" s="374" t="s">
        <v>3360</v>
      </c>
      <c r="B169" s="374">
        <v>0</v>
      </c>
      <c r="C169" s="374">
        <v>0</v>
      </c>
      <c r="D169" s="378">
        <v>0</v>
      </c>
      <c r="E169" s="378">
        <v>28.831980000000001</v>
      </c>
      <c r="F169" s="378">
        <v>28.609933999999999</v>
      </c>
      <c r="G169" s="378">
        <v>28.122458999999999</v>
      </c>
      <c r="H169" s="378">
        <v>27.995850000000001</v>
      </c>
      <c r="I169" s="378">
        <v>27.968575999999999</v>
      </c>
      <c r="J169" s="374"/>
      <c r="K169" s="374"/>
      <c r="L169" s="374"/>
      <c r="M169" s="374"/>
      <c r="N169" s="374"/>
      <c r="O169" s="374"/>
      <c r="P169" s="374"/>
      <c r="Q169" s="374"/>
      <c r="R169" s="374"/>
      <c r="S169" s="374"/>
      <c r="T169" s="374"/>
      <c r="U169" s="374"/>
      <c r="V169" s="374"/>
      <c r="W169" s="374"/>
      <c r="X169" s="374"/>
    </row>
    <row r="170" spans="1:24" x14ac:dyDescent="0.2">
      <c r="A170" s="374" t="s">
        <v>3361</v>
      </c>
      <c r="B170" s="374">
        <v>0</v>
      </c>
      <c r="C170" s="374">
        <v>0</v>
      </c>
      <c r="D170" s="378">
        <v>0</v>
      </c>
      <c r="E170" s="378">
        <v>0</v>
      </c>
      <c r="F170" s="378">
        <v>33.552760999999997</v>
      </c>
      <c r="G170" s="378">
        <v>32.729004000000003</v>
      </c>
      <c r="H170" s="378">
        <v>32.505333</v>
      </c>
      <c r="I170" s="378">
        <v>32.397925999999998</v>
      </c>
      <c r="J170" s="374"/>
      <c r="K170" s="374"/>
      <c r="L170" s="374"/>
      <c r="M170" s="374"/>
      <c r="N170" s="374"/>
      <c r="O170" s="374"/>
      <c r="P170" s="374"/>
      <c r="Q170" s="374"/>
      <c r="R170" s="374"/>
      <c r="S170" s="374"/>
      <c r="T170" s="374"/>
      <c r="U170" s="374"/>
      <c r="V170" s="374"/>
      <c r="W170" s="374"/>
      <c r="X170" s="374"/>
    </row>
    <row r="171" spans="1:24" x14ac:dyDescent="0.2">
      <c r="A171" s="374" t="s">
        <v>3362</v>
      </c>
      <c r="B171" s="374">
        <v>0</v>
      </c>
      <c r="C171" s="374">
        <v>0</v>
      </c>
      <c r="D171" s="378">
        <v>0</v>
      </c>
      <c r="E171" s="378">
        <v>0</v>
      </c>
      <c r="F171" s="378">
        <v>41.727367000000001</v>
      </c>
      <c r="G171" s="378">
        <v>41.077309</v>
      </c>
      <c r="H171" s="378">
        <v>40.898353999999998</v>
      </c>
      <c r="I171" s="378">
        <v>40.851413999999998</v>
      </c>
      <c r="J171" s="374"/>
      <c r="K171" s="374"/>
      <c r="L171" s="374"/>
      <c r="M171" s="374"/>
      <c r="N171" s="374"/>
      <c r="O171" s="374"/>
      <c r="P171" s="374"/>
      <c r="Q171" s="374"/>
      <c r="R171" s="374"/>
      <c r="S171" s="374"/>
      <c r="T171" s="374"/>
      <c r="U171" s="374"/>
      <c r="V171" s="374"/>
      <c r="W171" s="374"/>
      <c r="X171" s="374"/>
    </row>
    <row r="172" spans="1:24" x14ac:dyDescent="0.2">
      <c r="A172" s="374" t="s">
        <v>3363</v>
      </c>
      <c r="B172" s="374">
        <v>0</v>
      </c>
      <c r="C172" s="374">
        <v>0</v>
      </c>
      <c r="D172" s="378">
        <v>0</v>
      </c>
      <c r="E172" s="378">
        <v>0</v>
      </c>
      <c r="F172" s="378">
        <v>0</v>
      </c>
      <c r="G172" s="378">
        <v>0</v>
      </c>
      <c r="H172" s="378">
        <v>0</v>
      </c>
      <c r="I172" s="378">
        <v>0</v>
      </c>
      <c r="J172" s="374"/>
      <c r="K172" s="374"/>
      <c r="L172" s="374"/>
      <c r="M172" s="374"/>
      <c r="N172" s="374"/>
      <c r="O172" s="374"/>
      <c r="P172" s="374"/>
      <c r="Q172" s="374"/>
      <c r="R172" s="374"/>
      <c r="S172" s="374"/>
      <c r="T172" s="374"/>
      <c r="U172" s="374"/>
      <c r="V172" s="374"/>
      <c r="W172" s="374"/>
      <c r="X172" s="374"/>
    </row>
    <row r="173" spans="1:24" x14ac:dyDescent="0.2">
      <c r="A173" s="374" t="s">
        <v>3364</v>
      </c>
      <c r="B173" s="374">
        <v>0</v>
      </c>
      <c r="C173" s="374">
        <v>0</v>
      </c>
      <c r="D173" s="378">
        <v>0</v>
      </c>
      <c r="E173" s="378">
        <v>0</v>
      </c>
      <c r="F173" s="378">
        <v>0</v>
      </c>
      <c r="G173" s="378">
        <v>0</v>
      </c>
      <c r="H173" s="378">
        <v>0</v>
      </c>
      <c r="I173" s="378">
        <v>0</v>
      </c>
      <c r="J173" s="374"/>
      <c r="K173" s="374"/>
      <c r="L173" s="374"/>
      <c r="M173" s="374"/>
      <c r="N173" s="374"/>
      <c r="O173" s="374"/>
      <c r="P173" s="374"/>
      <c r="Q173" s="374"/>
      <c r="R173" s="374"/>
      <c r="S173" s="374"/>
      <c r="T173" s="374"/>
      <c r="U173" s="374"/>
      <c r="V173" s="374"/>
      <c r="W173" s="374"/>
      <c r="X173" s="374"/>
    </row>
    <row r="174" spans="1:24" x14ac:dyDescent="0.2">
      <c r="A174" s="374" t="s">
        <v>3365</v>
      </c>
      <c r="B174" s="374">
        <v>0</v>
      </c>
      <c r="C174" s="374">
        <v>0</v>
      </c>
      <c r="D174" s="378">
        <v>0</v>
      </c>
      <c r="E174" s="378">
        <v>0</v>
      </c>
      <c r="F174" s="378">
        <v>0</v>
      </c>
      <c r="G174" s="378">
        <v>44.416457999999999</v>
      </c>
      <c r="H174" s="378">
        <v>44.221156999999998</v>
      </c>
      <c r="I174" s="378">
        <v>44.174281999999998</v>
      </c>
      <c r="J174" s="374"/>
      <c r="K174" s="374"/>
      <c r="L174" s="374"/>
      <c r="M174" s="374"/>
      <c r="N174" s="374"/>
      <c r="O174" s="374"/>
      <c r="P174" s="374"/>
      <c r="Q174" s="374"/>
      <c r="R174" s="374"/>
      <c r="S174" s="374"/>
      <c r="T174" s="374"/>
      <c r="U174" s="374"/>
      <c r="V174" s="374"/>
      <c r="W174" s="374"/>
      <c r="X174" s="374"/>
    </row>
    <row r="175" spans="1:24" x14ac:dyDescent="0.2">
      <c r="A175" s="374" t="s">
        <v>3366</v>
      </c>
      <c r="B175" s="374">
        <v>0</v>
      </c>
      <c r="C175" s="374">
        <v>0</v>
      </c>
      <c r="D175" s="378">
        <v>0</v>
      </c>
      <c r="E175" s="378">
        <v>0</v>
      </c>
      <c r="F175" s="378">
        <v>36.612282</v>
      </c>
      <c r="G175" s="378">
        <v>36.067664999999998</v>
      </c>
      <c r="H175" s="378">
        <v>35.936732999999997</v>
      </c>
      <c r="I175" s="378">
        <v>35.911900000000003</v>
      </c>
      <c r="J175" s="374"/>
      <c r="K175" s="374"/>
      <c r="L175" s="374"/>
      <c r="M175" s="374"/>
      <c r="N175" s="374"/>
      <c r="O175" s="374"/>
      <c r="P175" s="374"/>
      <c r="Q175" s="374"/>
      <c r="R175" s="374"/>
      <c r="S175" s="374"/>
      <c r="T175" s="374"/>
      <c r="U175" s="374"/>
      <c r="V175" s="374"/>
      <c r="W175" s="374"/>
      <c r="X175" s="374"/>
    </row>
    <row r="176" spans="1:24" x14ac:dyDescent="0.2">
      <c r="A176" s="374" t="s">
        <v>3367</v>
      </c>
      <c r="B176" s="374">
        <v>0</v>
      </c>
      <c r="C176" s="374">
        <v>0</v>
      </c>
      <c r="D176" s="378">
        <v>0</v>
      </c>
      <c r="E176" s="378">
        <v>0</v>
      </c>
      <c r="F176" s="378">
        <v>40.510432999999999</v>
      </c>
      <c r="G176" s="378">
        <v>39.853073000000002</v>
      </c>
      <c r="H176" s="378">
        <v>39.675311999999998</v>
      </c>
      <c r="I176" s="378">
        <v>39.635235000000002</v>
      </c>
      <c r="J176" s="374"/>
      <c r="K176" s="374"/>
      <c r="L176" s="374"/>
      <c r="M176" s="374"/>
      <c r="N176" s="374"/>
      <c r="O176" s="374"/>
      <c r="P176" s="374"/>
      <c r="Q176" s="374"/>
      <c r="R176" s="374"/>
      <c r="S176" s="374"/>
      <c r="T176" s="374"/>
      <c r="U176" s="374"/>
      <c r="V176" s="374"/>
      <c r="W176" s="374"/>
      <c r="X176" s="374"/>
    </row>
    <row r="177" spans="1:24" x14ac:dyDescent="0.2">
      <c r="A177" s="374" t="s">
        <v>3368</v>
      </c>
      <c r="B177" s="374">
        <v>0</v>
      </c>
      <c r="C177" s="374">
        <v>0</v>
      </c>
      <c r="D177" s="378">
        <v>0</v>
      </c>
      <c r="E177" s="378">
        <v>37.907772000000001</v>
      </c>
      <c r="F177" s="378">
        <v>37.407165999999997</v>
      </c>
      <c r="G177" s="378">
        <v>36.869522000000003</v>
      </c>
      <c r="H177" s="378">
        <v>36.732089999999999</v>
      </c>
      <c r="I177" s="378">
        <v>36.705306999999998</v>
      </c>
      <c r="J177" s="374"/>
      <c r="K177" s="374"/>
      <c r="L177" s="374"/>
      <c r="M177" s="374"/>
      <c r="N177" s="374"/>
      <c r="O177" s="374"/>
      <c r="P177" s="374"/>
      <c r="Q177" s="374"/>
      <c r="R177" s="374"/>
      <c r="S177" s="374"/>
      <c r="T177" s="374"/>
      <c r="U177" s="374"/>
      <c r="V177" s="374"/>
      <c r="W177" s="374"/>
      <c r="X177" s="374"/>
    </row>
    <row r="178" spans="1:24" x14ac:dyDescent="0.2">
      <c r="A178" s="374" t="s">
        <v>3369</v>
      </c>
      <c r="B178" s="374">
        <v>0</v>
      </c>
      <c r="C178" s="374">
        <v>0</v>
      </c>
      <c r="D178" s="378">
        <v>0</v>
      </c>
      <c r="E178" s="378">
        <v>49.790413000000001</v>
      </c>
      <c r="F178" s="378">
        <v>49.414485999999997</v>
      </c>
      <c r="G178" s="378">
        <v>48.786391999999999</v>
      </c>
      <c r="H178" s="378">
        <v>48.617038999999998</v>
      </c>
      <c r="I178" s="378">
        <v>48.580672999999997</v>
      </c>
      <c r="J178" s="374"/>
      <c r="K178" s="374"/>
      <c r="L178" s="374"/>
      <c r="M178" s="374"/>
      <c r="N178" s="374"/>
      <c r="O178" s="374"/>
      <c r="P178" s="374"/>
      <c r="Q178" s="374"/>
      <c r="R178" s="374"/>
      <c r="S178" s="374"/>
      <c r="T178" s="374"/>
      <c r="U178" s="374"/>
      <c r="V178" s="374"/>
      <c r="W178" s="374"/>
      <c r="X178" s="374"/>
    </row>
    <row r="179" spans="1:24" x14ac:dyDescent="0.2">
      <c r="A179" s="374"/>
      <c r="B179" s="374"/>
      <c r="C179" s="374"/>
      <c r="D179" s="374"/>
      <c r="E179" s="374"/>
      <c r="F179" s="374"/>
      <c r="G179" s="374"/>
      <c r="H179" s="374"/>
      <c r="I179" s="374"/>
      <c r="J179" s="374"/>
      <c r="K179" s="374"/>
      <c r="L179" s="374"/>
      <c r="M179" s="374"/>
      <c r="N179" s="374"/>
      <c r="O179" s="374"/>
      <c r="P179" s="374"/>
      <c r="Q179" s="374"/>
      <c r="R179" s="374"/>
      <c r="S179" s="374"/>
      <c r="T179" s="374"/>
      <c r="U179" s="374"/>
      <c r="V179" s="374"/>
      <c r="W179" s="374"/>
      <c r="X179" s="374"/>
    </row>
    <row r="180" spans="1:24" x14ac:dyDescent="0.2">
      <c r="A180" s="374" t="s">
        <v>3393</v>
      </c>
      <c r="B180" s="374"/>
      <c r="C180" s="374"/>
      <c r="D180" s="374"/>
      <c r="E180" s="374"/>
      <c r="F180" s="374"/>
      <c r="G180" s="374"/>
      <c r="H180" s="374"/>
      <c r="I180" s="374"/>
      <c r="J180" s="374"/>
      <c r="K180" s="374"/>
      <c r="L180" s="374"/>
      <c r="M180" s="374"/>
      <c r="N180" s="374"/>
      <c r="O180" s="374"/>
      <c r="P180" s="374"/>
      <c r="Q180" s="374"/>
      <c r="R180" s="374"/>
      <c r="S180" s="374"/>
      <c r="T180" s="374"/>
      <c r="U180" s="374"/>
      <c r="V180" s="374"/>
      <c r="W180" s="374"/>
      <c r="X180" s="374"/>
    </row>
    <row r="181" spans="1:24" x14ac:dyDescent="0.2">
      <c r="A181" s="374" t="s">
        <v>3358</v>
      </c>
      <c r="B181" s="374">
        <v>0</v>
      </c>
      <c r="C181" s="374">
        <v>0</v>
      </c>
      <c r="D181" s="378">
        <v>0</v>
      </c>
      <c r="E181" s="378">
        <v>0</v>
      </c>
      <c r="F181" s="378">
        <v>0</v>
      </c>
      <c r="G181" s="378">
        <v>0</v>
      </c>
      <c r="H181" s="378">
        <v>0</v>
      </c>
      <c r="I181" s="378">
        <v>0</v>
      </c>
      <c r="J181" s="374"/>
      <c r="K181" s="374"/>
      <c r="L181" s="374"/>
      <c r="M181" s="374"/>
      <c r="N181" s="374"/>
      <c r="O181" s="374"/>
      <c r="P181" s="374"/>
      <c r="Q181" s="374"/>
      <c r="R181" s="374"/>
      <c r="S181" s="374"/>
      <c r="T181" s="374"/>
      <c r="U181" s="374"/>
      <c r="V181" s="374"/>
      <c r="W181" s="374"/>
      <c r="X181" s="374"/>
    </row>
    <row r="182" spans="1:24" x14ac:dyDescent="0.2">
      <c r="A182" s="374" t="s">
        <v>3359</v>
      </c>
      <c r="B182" s="374">
        <v>0</v>
      </c>
      <c r="C182" s="374">
        <v>0</v>
      </c>
      <c r="D182" s="378">
        <v>26.910820000000001</v>
      </c>
      <c r="E182" s="378">
        <v>27.311195000000001</v>
      </c>
      <c r="F182" s="378">
        <v>27.424244000000002</v>
      </c>
      <c r="G182" s="378">
        <v>26.941109000000001</v>
      </c>
      <c r="H182" s="378">
        <v>26.810573999999999</v>
      </c>
      <c r="I182" s="378">
        <v>26.779993000000001</v>
      </c>
      <c r="J182" s="374"/>
      <c r="K182" s="374"/>
      <c r="L182" s="374"/>
      <c r="M182" s="374"/>
      <c r="N182" s="374"/>
      <c r="O182" s="374"/>
      <c r="P182" s="374"/>
      <c r="Q182" s="374"/>
      <c r="R182" s="374"/>
      <c r="S182" s="374"/>
      <c r="T182" s="374"/>
      <c r="U182" s="374"/>
      <c r="V182" s="374"/>
      <c r="W182" s="374"/>
      <c r="X182" s="374"/>
    </row>
    <row r="183" spans="1:24" x14ac:dyDescent="0.2">
      <c r="A183" s="374" t="s">
        <v>3360</v>
      </c>
      <c r="B183" s="374">
        <v>21.2</v>
      </c>
      <c r="C183" s="374">
        <v>29.4</v>
      </c>
      <c r="D183" s="378">
        <v>25.085629000000001</v>
      </c>
      <c r="E183" s="378">
        <v>25.672232000000001</v>
      </c>
      <c r="F183" s="378">
        <v>26.272589</v>
      </c>
      <c r="G183" s="378">
        <v>25.788250000000001</v>
      </c>
      <c r="H183" s="378">
        <v>25.656578</v>
      </c>
      <c r="I183" s="378">
        <v>25.625309000000001</v>
      </c>
      <c r="J183" s="374"/>
      <c r="K183" s="374"/>
      <c r="L183" s="374"/>
      <c r="M183" s="374"/>
      <c r="N183" s="374"/>
      <c r="O183" s="374"/>
      <c r="P183" s="374"/>
      <c r="Q183" s="374"/>
      <c r="R183" s="374"/>
      <c r="S183" s="374"/>
      <c r="T183" s="374"/>
      <c r="U183" s="374"/>
      <c r="V183" s="374"/>
      <c r="W183" s="374"/>
      <c r="X183" s="374"/>
    </row>
    <row r="184" spans="1:24" x14ac:dyDescent="0.2">
      <c r="A184" s="374" t="s">
        <v>3361</v>
      </c>
      <c r="B184" s="374">
        <v>27.2</v>
      </c>
      <c r="C184" s="374">
        <v>32.299999999999997</v>
      </c>
      <c r="D184" s="378">
        <v>30.080379000000001</v>
      </c>
      <c r="E184" s="378">
        <v>30.472360999999999</v>
      </c>
      <c r="F184" s="378">
        <v>30.923151000000001</v>
      </c>
      <c r="G184" s="378">
        <v>30.367001999999999</v>
      </c>
      <c r="H184" s="378">
        <v>30.219377999999999</v>
      </c>
      <c r="I184" s="378">
        <v>30.184926999999998</v>
      </c>
      <c r="J184" s="374"/>
      <c r="K184" s="374"/>
      <c r="L184" s="374"/>
      <c r="M184" s="374"/>
      <c r="N184" s="374"/>
      <c r="O184" s="374"/>
      <c r="P184" s="374"/>
      <c r="Q184" s="374"/>
      <c r="R184" s="374"/>
      <c r="S184" s="374"/>
      <c r="T184" s="374"/>
      <c r="U184" s="374"/>
      <c r="V184" s="374"/>
      <c r="W184" s="374"/>
      <c r="X184" s="374"/>
    </row>
    <row r="185" spans="1:24" x14ac:dyDescent="0.2">
      <c r="A185" s="374" t="s">
        <v>3362</v>
      </c>
      <c r="B185" s="374">
        <v>0</v>
      </c>
      <c r="C185" s="374">
        <v>36.6</v>
      </c>
      <c r="D185" s="378">
        <v>36.835022000000002</v>
      </c>
      <c r="E185" s="378">
        <v>37.530234999999998</v>
      </c>
      <c r="F185" s="378">
        <v>37.829101999999999</v>
      </c>
      <c r="G185" s="378">
        <v>37.216686000000003</v>
      </c>
      <c r="H185" s="378">
        <v>37.041611000000003</v>
      </c>
      <c r="I185" s="378">
        <v>36.996608999999999</v>
      </c>
      <c r="J185" s="374"/>
      <c r="K185" s="374"/>
      <c r="L185" s="374"/>
      <c r="M185" s="374"/>
      <c r="N185" s="374"/>
      <c r="O185" s="374"/>
      <c r="P185" s="374"/>
      <c r="Q185" s="374"/>
      <c r="R185" s="374"/>
      <c r="S185" s="374"/>
      <c r="T185" s="374"/>
      <c r="U185" s="374"/>
      <c r="V185" s="374"/>
      <c r="W185" s="374"/>
      <c r="X185" s="374"/>
    </row>
    <row r="186" spans="1:24" x14ac:dyDescent="0.2">
      <c r="A186" s="374" t="s">
        <v>3363</v>
      </c>
      <c r="B186" s="374">
        <v>51.4</v>
      </c>
      <c r="C186" s="374">
        <v>0</v>
      </c>
      <c r="D186" s="378">
        <v>59.597507</v>
      </c>
      <c r="E186" s="378">
        <v>59.746464000000003</v>
      </c>
      <c r="F186" s="378">
        <v>60.081142</v>
      </c>
      <c r="G186" s="378">
        <v>59.445663000000003</v>
      </c>
      <c r="H186" s="378">
        <v>59.270893000000001</v>
      </c>
      <c r="I186" s="378">
        <v>59.222332000000002</v>
      </c>
      <c r="J186" s="374"/>
      <c r="K186" s="374"/>
      <c r="L186" s="374"/>
      <c r="M186" s="374"/>
      <c r="N186" s="374"/>
      <c r="O186" s="374"/>
      <c r="P186" s="374"/>
      <c r="Q186" s="374"/>
      <c r="R186" s="374"/>
      <c r="S186" s="374"/>
      <c r="T186" s="374"/>
      <c r="U186" s="374"/>
      <c r="V186" s="374"/>
      <c r="W186" s="374"/>
      <c r="X186" s="374"/>
    </row>
    <row r="187" spans="1:24" x14ac:dyDescent="0.2">
      <c r="A187" s="374" t="s">
        <v>3364</v>
      </c>
      <c r="B187" s="374">
        <v>0</v>
      </c>
      <c r="C187" s="374">
        <v>0</v>
      </c>
      <c r="D187" s="378">
        <v>0</v>
      </c>
      <c r="E187" s="378">
        <v>27.096026999999999</v>
      </c>
      <c r="F187" s="378">
        <v>27.512104000000001</v>
      </c>
      <c r="G187" s="378">
        <v>26.968132000000001</v>
      </c>
      <c r="H187" s="378">
        <v>26.826253999999999</v>
      </c>
      <c r="I187" s="378">
        <v>26.796203999999999</v>
      </c>
      <c r="J187" s="374"/>
      <c r="K187" s="374"/>
      <c r="L187" s="374"/>
      <c r="M187" s="374"/>
      <c r="N187" s="374"/>
      <c r="O187" s="374"/>
      <c r="P187" s="374"/>
      <c r="Q187" s="374"/>
      <c r="R187" s="374"/>
      <c r="S187" s="374"/>
      <c r="T187" s="374"/>
      <c r="U187" s="374"/>
      <c r="V187" s="374"/>
      <c r="W187" s="374"/>
      <c r="X187" s="374"/>
    </row>
    <row r="188" spans="1:24" x14ac:dyDescent="0.2">
      <c r="A188" s="374" t="s">
        <v>3365</v>
      </c>
      <c r="B188" s="374">
        <v>0</v>
      </c>
      <c r="C188" s="374">
        <v>0</v>
      </c>
      <c r="D188" s="378">
        <v>38.746056000000003</v>
      </c>
      <c r="E188" s="378">
        <v>38.808261999999999</v>
      </c>
      <c r="F188" s="378">
        <v>38.816498000000003</v>
      </c>
      <c r="G188" s="378">
        <v>38.100409999999997</v>
      </c>
      <c r="H188" s="378">
        <v>37.913944000000001</v>
      </c>
      <c r="I188" s="378">
        <v>37.872070000000001</v>
      </c>
      <c r="J188" s="374"/>
      <c r="K188" s="374"/>
      <c r="L188" s="374"/>
      <c r="M188" s="374"/>
      <c r="N188" s="374"/>
      <c r="O188" s="374"/>
      <c r="P188" s="374"/>
      <c r="Q188" s="374"/>
      <c r="R188" s="374"/>
      <c r="S188" s="374"/>
      <c r="T188" s="374"/>
      <c r="U188" s="374"/>
      <c r="V188" s="374"/>
      <c r="W188" s="374"/>
      <c r="X188" s="374"/>
    </row>
    <row r="189" spans="1:24" x14ac:dyDescent="0.2">
      <c r="A189" s="374" t="s">
        <v>3366</v>
      </c>
      <c r="B189" s="374">
        <v>0</v>
      </c>
      <c r="C189" s="374">
        <v>31.7</v>
      </c>
      <c r="D189" s="378">
        <v>0</v>
      </c>
      <c r="E189" s="378">
        <v>30.660339</v>
      </c>
      <c r="F189" s="378">
        <v>31.201260000000001</v>
      </c>
      <c r="G189" s="378">
        <v>30.664065999999998</v>
      </c>
      <c r="H189" s="378">
        <v>30.53351</v>
      </c>
      <c r="I189" s="378">
        <v>30.508879</v>
      </c>
      <c r="J189" s="374"/>
      <c r="K189" s="374"/>
      <c r="L189" s="374"/>
      <c r="M189" s="374"/>
      <c r="N189" s="374"/>
      <c r="O189" s="374"/>
      <c r="P189" s="374"/>
      <c r="Q189" s="374"/>
      <c r="R189" s="374"/>
      <c r="S189" s="374"/>
      <c r="T189" s="374"/>
      <c r="U189" s="374"/>
      <c r="V189" s="374"/>
      <c r="W189" s="374"/>
      <c r="X189" s="374"/>
    </row>
    <row r="190" spans="1:24" x14ac:dyDescent="0.2">
      <c r="A190" s="374" t="s">
        <v>3367</v>
      </c>
      <c r="B190" s="374">
        <v>0</v>
      </c>
      <c r="C190" s="374">
        <v>0</v>
      </c>
      <c r="D190" s="378">
        <v>0</v>
      </c>
      <c r="E190" s="378">
        <v>34.24004</v>
      </c>
      <c r="F190" s="378">
        <v>34.196250999999997</v>
      </c>
      <c r="G190" s="378">
        <v>33.559708000000001</v>
      </c>
      <c r="H190" s="378">
        <v>33.414287999999999</v>
      </c>
      <c r="I190" s="378">
        <v>33.392643</v>
      </c>
      <c r="J190" s="374"/>
      <c r="K190" s="374"/>
      <c r="L190" s="374"/>
      <c r="M190" s="374"/>
      <c r="N190" s="374"/>
      <c r="O190" s="374"/>
      <c r="P190" s="374"/>
      <c r="Q190" s="374"/>
      <c r="R190" s="374"/>
      <c r="S190" s="374"/>
      <c r="T190" s="374"/>
      <c r="U190" s="374"/>
      <c r="V190" s="374"/>
      <c r="W190" s="374"/>
      <c r="X190" s="374"/>
    </row>
    <row r="191" spans="1:24" x14ac:dyDescent="0.2">
      <c r="A191" s="374" t="s">
        <v>3368</v>
      </c>
      <c r="B191" s="374">
        <v>0</v>
      </c>
      <c r="C191" s="374">
        <v>31.2</v>
      </c>
      <c r="D191" s="378">
        <v>31.674154000000001</v>
      </c>
      <c r="E191" s="378">
        <v>31.826983999999999</v>
      </c>
      <c r="F191" s="378">
        <v>32.044243000000002</v>
      </c>
      <c r="G191" s="378">
        <v>31.531047999999998</v>
      </c>
      <c r="H191" s="378">
        <v>31.400120000000001</v>
      </c>
      <c r="I191" s="378">
        <v>31.377238999999999</v>
      </c>
      <c r="J191" s="374"/>
      <c r="K191" s="374"/>
      <c r="L191" s="374"/>
      <c r="M191" s="374"/>
      <c r="N191" s="374"/>
      <c r="O191" s="374"/>
      <c r="P191" s="374"/>
      <c r="Q191" s="374"/>
      <c r="R191" s="374"/>
      <c r="S191" s="374"/>
      <c r="T191" s="374"/>
      <c r="U191" s="374"/>
      <c r="V191" s="374"/>
      <c r="W191" s="374"/>
      <c r="X191" s="374"/>
    </row>
    <row r="192" spans="1:24" x14ac:dyDescent="0.2">
      <c r="A192" s="374" t="s">
        <v>3369</v>
      </c>
      <c r="B192" s="374">
        <v>40</v>
      </c>
      <c r="C192" s="374">
        <v>43.9</v>
      </c>
      <c r="D192" s="378">
        <v>44.195537999999999</v>
      </c>
      <c r="E192" s="378">
        <v>44.564770000000003</v>
      </c>
      <c r="F192" s="378">
        <v>44.804358999999998</v>
      </c>
      <c r="G192" s="378">
        <v>44.189663000000003</v>
      </c>
      <c r="H192" s="378">
        <v>44.016457000000003</v>
      </c>
      <c r="I192" s="378">
        <v>43.977322000000001</v>
      </c>
      <c r="J192" s="374"/>
      <c r="K192" s="374"/>
      <c r="L192" s="374"/>
      <c r="M192" s="374"/>
      <c r="N192" s="374"/>
      <c r="O192" s="374"/>
      <c r="P192" s="374"/>
      <c r="Q192" s="374"/>
      <c r="R192" s="374"/>
      <c r="S192" s="374"/>
      <c r="T192" s="374"/>
      <c r="U192" s="374"/>
      <c r="V192" s="374"/>
      <c r="W192" s="374"/>
      <c r="X192" s="374"/>
    </row>
    <row r="193" spans="1:24" x14ac:dyDescent="0.2">
      <c r="A193" s="374"/>
      <c r="B193" s="374"/>
      <c r="C193" s="374"/>
      <c r="D193" s="374"/>
      <c r="E193" s="374"/>
      <c r="F193" s="374"/>
      <c r="G193" s="374"/>
      <c r="H193" s="374"/>
      <c r="I193" s="374"/>
      <c r="J193" s="374"/>
      <c r="K193" s="374"/>
      <c r="L193" s="374"/>
      <c r="M193" s="374"/>
      <c r="N193" s="374"/>
      <c r="O193" s="374"/>
      <c r="P193" s="374"/>
      <c r="Q193" s="374"/>
      <c r="R193" s="374"/>
      <c r="S193" s="374"/>
      <c r="T193" s="374"/>
      <c r="U193" s="374"/>
      <c r="V193" s="374"/>
      <c r="W193" s="374"/>
      <c r="X193" s="374"/>
    </row>
    <row r="194" spans="1:24" x14ac:dyDescent="0.2">
      <c r="A194" s="374" t="s">
        <v>3394</v>
      </c>
      <c r="B194" s="374"/>
      <c r="C194" s="374"/>
      <c r="D194" s="374"/>
      <c r="E194" s="374"/>
      <c r="F194" s="374"/>
      <c r="G194" s="374"/>
      <c r="H194" s="374"/>
      <c r="I194" s="374"/>
      <c r="J194" s="374"/>
      <c r="K194" s="374"/>
      <c r="L194" s="374"/>
      <c r="M194" s="374"/>
      <c r="N194" s="374"/>
      <c r="O194" s="374"/>
      <c r="P194" s="374"/>
      <c r="Q194" s="374"/>
      <c r="R194" s="374"/>
      <c r="S194" s="374"/>
      <c r="T194" s="374"/>
      <c r="U194" s="374"/>
      <c r="V194" s="374"/>
      <c r="W194" s="374"/>
      <c r="X194" s="374"/>
    </row>
    <row r="195" spans="1:24" x14ac:dyDescent="0.2">
      <c r="A195" s="374" t="s">
        <v>3358</v>
      </c>
      <c r="B195" s="374">
        <v>0</v>
      </c>
      <c r="C195" s="374">
        <v>0</v>
      </c>
      <c r="D195" s="374">
        <v>0</v>
      </c>
      <c r="E195" s="374">
        <v>0</v>
      </c>
      <c r="F195" s="374">
        <v>0</v>
      </c>
      <c r="G195" s="374">
        <v>0</v>
      </c>
      <c r="H195" s="374">
        <v>0</v>
      </c>
      <c r="I195" s="374" t="s">
        <v>2768</v>
      </c>
      <c r="J195" s="374"/>
      <c r="K195" s="374"/>
      <c r="L195" s="374"/>
      <c r="M195" s="374"/>
      <c r="N195" s="374"/>
      <c r="O195" s="374"/>
      <c r="P195" s="374"/>
      <c r="Q195" s="374"/>
      <c r="R195" s="374"/>
      <c r="S195" s="374"/>
      <c r="T195" s="374"/>
      <c r="U195" s="374"/>
      <c r="V195" s="374"/>
      <c r="W195" s="374"/>
      <c r="X195" s="374"/>
    </row>
    <row r="196" spans="1:24" x14ac:dyDescent="0.2">
      <c r="A196" s="374" t="s">
        <v>3359</v>
      </c>
      <c r="B196" s="374">
        <v>0</v>
      </c>
      <c r="C196" s="374">
        <v>0</v>
      </c>
      <c r="D196" s="374">
        <v>0</v>
      </c>
      <c r="E196" s="374">
        <v>0</v>
      </c>
      <c r="F196" s="374">
        <v>0</v>
      </c>
      <c r="G196" s="374">
        <v>0</v>
      </c>
      <c r="H196" s="374">
        <v>0</v>
      </c>
      <c r="I196" s="374" t="s">
        <v>2768</v>
      </c>
      <c r="J196" s="374"/>
      <c r="K196" s="374"/>
      <c r="L196" s="374"/>
      <c r="M196" s="374"/>
      <c r="N196" s="374"/>
      <c r="O196" s="374"/>
      <c r="P196" s="374"/>
      <c r="Q196" s="374"/>
      <c r="R196" s="374"/>
      <c r="S196" s="374"/>
      <c r="T196" s="374"/>
      <c r="U196" s="374"/>
      <c r="V196" s="374"/>
      <c r="W196" s="374"/>
      <c r="X196" s="374"/>
    </row>
    <row r="197" spans="1:24" x14ac:dyDescent="0.2">
      <c r="A197" s="374" t="s">
        <v>3360</v>
      </c>
      <c r="B197" s="374">
        <v>0</v>
      </c>
      <c r="C197" s="374">
        <v>0</v>
      </c>
      <c r="D197" s="374">
        <v>0</v>
      </c>
      <c r="E197" s="374">
        <v>0</v>
      </c>
      <c r="F197" s="374">
        <v>0</v>
      </c>
      <c r="G197" s="374">
        <v>0</v>
      </c>
      <c r="H197" s="374">
        <v>0</v>
      </c>
      <c r="I197" s="374" t="s">
        <v>2768</v>
      </c>
      <c r="J197" s="374"/>
      <c r="K197" s="374"/>
      <c r="L197" s="374"/>
      <c r="M197" s="374"/>
      <c r="N197" s="374"/>
      <c r="O197" s="374"/>
      <c r="P197" s="374"/>
      <c r="Q197" s="374"/>
      <c r="R197" s="374"/>
      <c r="S197" s="374"/>
      <c r="T197" s="374"/>
      <c r="U197" s="374"/>
      <c r="V197" s="374"/>
      <c r="W197" s="374"/>
      <c r="X197" s="374"/>
    </row>
    <row r="198" spans="1:24" x14ac:dyDescent="0.2">
      <c r="A198" s="374" t="s">
        <v>3361</v>
      </c>
      <c r="B198" s="374">
        <v>0</v>
      </c>
      <c r="C198" s="374">
        <v>0</v>
      </c>
      <c r="D198" s="374">
        <v>0</v>
      </c>
      <c r="E198" s="374">
        <v>0</v>
      </c>
      <c r="F198" s="374">
        <v>0</v>
      </c>
      <c r="G198" s="374">
        <v>0</v>
      </c>
      <c r="H198" s="374">
        <v>0</v>
      </c>
      <c r="I198" s="374" t="s">
        <v>2768</v>
      </c>
      <c r="J198" s="374"/>
      <c r="K198" s="374"/>
      <c r="L198" s="374"/>
      <c r="M198" s="374"/>
      <c r="N198" s="374"/>
      <c r="O198" s="374"/>
      <c r="P198" s="374"/>
      <c r="Q198" s="374"/>
      <c r="R198" s="374"/>
      <c r="S198" s="374"/>
      <c r="T198" s="374"/>
      <c r="U198" s="374"/>
      <c r="V198" s="374"/>
      <c r="W198" s="374"/>
      <c r="X198" s="374"/>
    </row>
    <row r="199" spans="1:24" x14ac:dyDescent="0.2">
      <c r="A199" s="374" t="s">
        <v>3362</v>
      </c>
      <c r="B199" s="374">
        <v>0</v>
      </c>
      <c r="C199" s="374">
        <v>0</v>
      </c>
      <c r="D199" s="374">
        <v>0</v>
      </c>
      <c r="E199" s="374">
        <v>0</v>
      </c>
      <c r="F199" s="374">
        <v>0</v>
      </c>
      <c r="G199" s="374">
        <v>0</v>
      </c>
      <c r="H199" s="374">
        <v>0</v>
      </c>
      <c r="I199" s="374" t="s">
        <v>2768</v>
      </c>
      <c r="J199" s="374"/>
      <c r="K199" s="374"/>
      <c r="L199" s="374"/>
      <c r="M199" s="374"/>
      <c r="N199" s="374"/>
      <c r="O199" s="374"/>
      <c r="P199" s="374"/>
      <c r="Q199" s="374"/>
      <c r="R199" s="374"/>
      <c r="S199" s="374"/>
      <c r="T199" s="374"/>
      <c r="U199" s="374"/>
      <c r="V199" s="374"/>
      <c r="W199" s="374"/>
      <c r="X199" s="374"/>
    </row>
    <row r="200" spans="1:24" x14ac:dyDescent="0.2">
      <c r="A200" s="374" t="s">
        <v>3363</v>
      </c>
      <c r="B200" s="374">
        <v>0</v>
      </c>
      <c r="C200" s="374">
        <v>0</v>
      </c>
      <c r="D200" s="374">
        <v>0</v>
      </c>
      <c r="E200" s="374">
        <v>0</v>
      </c>
      <c r="F200" s="374">
        <v>0</v>
      </c>
      <c r="G200" s="374">
        <v>0</v>
      </c>
      <c r="H200" s="374">
        <v>0</v>
      </c>
      <c r="I200" s="374" t="s">
        <v>2768</v>
      </c>
      <c r="J200" s="374"/>
      <c r="K200" s="374"/>
      <c r="L200" s="374"/>
      <c r="M200" s="374"/>
      <c r="N200" s="374"/>
      <c r="O200" s="374"/>
      <c r="P200" s="374"/>
      <c r="Q200" s="374"/>
      <c r="R200" s="374"/>
      <c r="S200" s="374"/>
      <c r="T200" s="374"/>
      <c r="U200" s="374"/>
      <c r="V200" s="374"/>
      <c r="W200" s="374"/>
      <c r="X200" s="374"/>
    </row>
    <row r="201" spans="1:24" x14ac:dyDescent="0.2">
      <c r="A201" s="374" t="s">
        <v>3364</v>
      </c>
      <c r="B201" s="374">
        <v>0</v>
      </c>
      <c r="C201" s="374">
        <v>0</v>
      </c>
      <c r="D201" s="374">
        <v>0</v>
      </c>
      <c r="E201" s="374">
        <v>0</v>
      </c>
      <c r="F201" s="374">
        <v>0</v>
      </c>
      <c r="G201" s="374">
        <v>0</v>
      </c>
      <c r="H201" s="374">
        <v>0</v>
      </c>
      <c r="I201" s="374" t="s">
        <v>2768</v>
      </c>
      <c r="J201" s="374"/>
      <c r="K201" s="374"/>
      <c r="L201" s="374"/>
      <c r="M201" s="374"/>
      <c r="N201" s="374"/>
      <c r="O201" s="374"/>
      <c r="P201" s="374"/>
      <c r="Q201" s="374"/>
      <c r="R201" s="374"/>
      <c r="S201" s="374"/>
      <c r="T201" s="374"/>
      <c r="U201" s="374"/>
      <c r="V201" s="374"/>
      <c r="W201" s="374"/>
      <c r="X201" s="374"/>
    </row>
    <row r="202" spans="1:24" x14ac:dyDescent="0.2">
      <c r="A202" s="374" t="s">
        <v>3365</v>
      </c>
      <c r="B202" s="374">
        <v>0</v>
      </c>
      <c r="C202" s="374">
        <v>0</v>
      </c>
      <c r="D202" s="374">
        <v>0</v>
      </c>
      <c r="E202" s="374">
        <v>0</v>
      </c>
      <c r="F202" s="374">
        <v>0</v>
      </c>
      <c r="G202" s="374">
        <v>0</v>
      </c>
      <c r="H202" s="374">
        <v>0</v>
      </c>
      <c r="I202" s="374" t="s">
        <v>2768</v>
      </c>
      <c r="J202" s="374"/>
      <c r="K202" s="374"/>
      <c r="L202" s="374"/>
      <c r="M202" s="374"/>
      <c r="N202" s="374"/>
      <c r="O202" s="374"/>
      <c r="P202" s="374"/>
      <c r="Q202" s="374"/>
      <c r="R202" s="374"/>
      <c r="S202" s="374"/>
      <c r="T202" s="374"/>
      <c r="U202" s="374"/>
      <c r="V202" s="374"/>
      <c r="W202" s="374"/>
      <c r="X202" s="374"/>
    </row>
    <row r="203" spans="1:24" x14ac:dyDescent="0.2">
      <c r="A203" s="374" t="s">
        <v>3366</v>
      </c>
      <c r="B203" s="374">
        <v>0</v>
      </c>
      <c r="C203" s="374">
        <v>0</v>
      </c>
      <c r="D203" s="374">
        <v>0</v>
      </c>
      <c r="E203" s="374">
        <v>0</v>
      </c>
      <c r="F203" s="374">
        <v>0</v>
      </c>
      <c r="G203" s="374">
        <v>0</v>
      </c>
      <c r="H203" s="374">
        <v>0</v>
      </c>
      <c r="I203" s="374" t="s">
        <v>2768</v>
      </c>
      <c r="J203" s="374"/>
      <c r="K203" s="374"/>
      <c r="L203" s="374"/>
      <c r="M203" s="374"/>
      <c r="N203" s="374"/>
      <c r="O203" s="374"/>
      <c r="P203" s="374"/>
      <c r="Q203" s="374"/>
      <c r="R203" s="374"/>
      <c r="S203" s="374"/>
      <c r="T203" s="374"/>
      <c r="U203" s="374"/>
      <c r="V203" s="374"/>
      <c r="W203" s="374"/>
      <c r="X203" s="374"/>
    </row>
    <row r="204" spans="1:24" x14ac:dyDescent="0.2">
      <c r="A204" s="374" t="s">
        <v>3367</v>
      </c>
      <c r="B204" s="374">
        <v>0</v>
      </c>
      <c r="C204" s="374">
        <v>0</v>
      </c>
      <c r="D204" s="374">
        <v>0</v>
      </c>
      <c r="E204" s="374">
        <v>0</v>
      </c>
      <c r="F204" s="374">
        <v>0</v>
      </c>
      <c r="G204" s="374">
        <v>0</v>
      </c>
      <c r="H204" s="374">
        <v>0</v>
      </c>
      <c r="I204" s="374" t="s">
        <v>2768</v>
      </c>
      <c r="J204" s="374"/>
      <c r="K204" s="374"/>
      <c r="L204" s="374"/>
      <c r="M204" s="374"/>
      <c r="N204" s="374"/>
      <c r="O204" s="374"/>
      <c r="P204" s="374"/>
      <c r="Q204" s="374"/>
      <c r="R204" s="374"/>
      <c r="S204" s="374"/>
      <c r="T204" s="374"/>
      <c r="U204" s="374"/>
      <c r="V204" s="374"/>
      <c r="W204" s="374"/>
      <c r="X204" s="374"/>
    </row>
    <row r="205" spans="1:24" x14ac:dyDescent="0.2">
      <c r="A205" s="374" t="s">
        <v>3368</v>
      </c>
      <c r="B205" s="374">
        <v>0</v>
      </c>
      <c r="C205" s="374">
        <v>0</v>
      </c>
      <c r="D205" s="374">
        <v>0</v>
      </c>
      <c r="E205" s="374">
        <v>0</v>
      </c>
      <c r="F205" s="374">
        <v>0</v>
      </c>
      <c r="G205" s="374">
        <v>0</v>
      </c>
      <c r="H205" s="374">
        <v>0</v>
      </c>
      <c r="I205" s="374" t="s">
        <v>2768</v>
      </c>
      <c r="J205" s="374"/>
      <c r="K205" s="374"/>
      <c r="L205" s="374"/>
      <c r="M205" s="374"/>
      <c r="N205" s="374"/>
      <c r="O205" s="374"/>
      <c r="P205" s="374"/>
      <c r="Q205" s="374"/>
      <c r="R205" s="374"/>
      <c r="S205" s="374"/>
      <c r="T205" s="374"/>
      <c r="U205" s="374"/>
      <c r="V205" s="374"/>
      <c r="W205" s="374"/>
      <c r="X205" s="374"/>
    </row>
    <row r="206" spans="1:24" x14ac:dyDescent="0.2">
      <c r="A206" s="374" t="s">
        <v>3369</v>
      </c>
      <c r="B206" s="374">
        <v>0</v>
      </c>
      <c r="C206" s="374">
        <v>0</v>
      </c>
      <c r="D206" s="374">
        <v>0</v>
      </c>
      <c r="E206" s="374">
        <v>0</v>
      </c>
      <c r="F206" s="374">
        <v>0</v>
      </c>
      <c r="G206" s="374">
        <v>0</v>
      </c>
      <c r="H206" s="374">
        <v>0</v>
      </c>
      <c r="I206" s="374" t="s">
        <v>2768</v>
      </c>
      <c r="J206" s="374"/>
      <c r="K206" s="374"/>
      <c r="L206" s="374"/>
      <c r="M206" s="374"/>
      <c r="N206" s="374"/>
      <c r="O206" s="374"/>
      <c r="P206" s="374"/>
      <c r="Q206" s="374"/>
      <c r="R206" s="374"/>
      <c r="S206" s="374"/>
      <c r="T206" s="374"/>
      <c r="U206" s="374"/>
      <c r="V206" s="374"/>
      <c r="W206" s="374"/>
      <c r="X206" s="374"/>
    </row>
    <row r="207" spans="1:24" x14ac:dyDescent="0.2">
      <c r="A207" s="374"/>
      <c r="B207" s="374"/>
      <c r="C207" s="374"/>
      <c r="D207" s="374"/>
      <c r="E207" s="374"/>
      <c r="F207" s="374"/>
      <c r="G207" s="374"/>
      <c r="H207" s="374"/>
      <c r="I207" s="374"/>
      <c r="J207" s="374"/>
      <c r="K207" s="374"/>
      <c r="L207" s="374"/>
      <c r="M207" s="374"/>
      <c r="N207" s="374"/>
      <c r="O207" s="374"/>
      <c r="P207" s="374"/>
      <c r="Q207" s="374"/>
      <c r="R207" s="374"/>
      <c r="S207" s="374"/>
      <c r="T207" s="374"/>
      <c r="U207" s="374"/>
      <c r="V207" s="374"/>
      <c r="W207" s="374"/>
      <c r="X207" s="374"/>
    </row>
    <row r="208" spans="1:24" x14ac:dyDescent="0.2">
      <c r="A208" s="374" t="s">
        <v>3395</v>
      </c>
      <c r="B208" s="374"/>
      <c r="C208" s="374"/>
      <c r="D208" s="374"/>
      <c r="E208" s="374"/>
      <c r="F208" s="374"/>
      <c r="G208" s="374"/>
      <c r="H208" s="374"/>
      <c r="I208" s="374"/>
      <c r="J208" s="374"/>
      <c r="K208" s="374"/>
      <c r="L208" s="374"/>
      <c r="M208" s="374"/>
      <c r="N208" s="374"/>
      <c r="O208" s="374"/>
      <c r="P208" s="374"/>
      <c r="Q208" s="374"/>
      <c r="R208" s="374"/>
      <c r="S208" s="374"/>
      <c r="T208" s="374"/>
      <c r="U208" s="374"/>
      <c r="V208" s="374"/>
      <c r="W208" s="374"/>
      <c r="X208" s="374"/>
    </row>
    <row r="209" spans="1:24" x14ac:dyDescent="0.2">
      <c r="A209" s="374" t="s">
        <v>3358</v>
      </c>
      <c r="B209" s="374">
        <v>0</v>
      </c>
      <c r="C209" s="374">
        <v>0</v>
      </c>
      <c r="D209" s="378">
        <v>0</v>
      </c>
      <c r="E209" s="378">
        <v>0</v>
      </c>
      <c r="F209" s="378">
        <v>0</v>
      </c>
      <c r="G209" s="378">
        <v>0</v>
      </c>
      <c r="H209" s="378">
        <v>0</v>
      </c>
      <c r="I209" s="378">
        <v>0</v>
      </c>
      <c r="J209" s="374"/>
      <c r="K209" s="374"/>
      <c r="L209" s="374"/>
      <c r="M209" s="374"/>
      <c r="N209" s="374"/>
      <c r="O209" s="374"/>
      <c r="P209" s="374"/>
      <c r="Q209" s="374"/>
      <c r="R209" s="374"/>
      <c r="S209" s="374"/>
      <c r="T209" s="374"/>
      <c r="U209" s="374"/>
      <c r="V209" s="374"/>
      <c r="W209" s="374"/>
      <c r="X209" s="374"/>
    </row>
    <row r="210" spans="1:24" x14ac:dyDescent="0.2">
      <c r="A210" s="374" t="s">
        <v>3359</v>
      </c>
      <c r="B210" s="374">
        <v>81.099999999999994</v>
      </c>
      <c r="C210" s="374">
        <v>74.599999999999994</v>
      </c>
      <c r="D210" s="378">
        <v>67.822829999999996</v>
      </c>
      <c r="E210" s="378">
        <v>59.365443999999997</v>
      </c>
      <c r="F210" s="378">
        <v>53.029068000000002</v>
      </c>
      <c r="G210" s="378">
        <v>48.334479999999999</v>
      </c>
      <c r="H210" s="378">
        <v>44.650623000000003</v>
      </c>
      <c r="I210" s="378">
        <v>41.738388</v>
      </c>
      <c r="J210" s="374"/>
      <c r="K210" s="374"/>
      <c r="L210" s="374"/>
      <c r="M210" s="374"/>
      <c r="N210" s="374"/>
      <c r="O210" s="374"/>
      <c r="P210" s="374"/>
      <c r="Q210" s="374"/>
      <c r="R210" s="374"/>
      <c r="S210" s="374"/>
      <c r="T210" s="374"/>
      <c r="U210" s="374"/>
      <c r="V210" s="374"/>
      <c r="W210" s="374"/>
      <c r="X210" s="374"/>
    </row>
    <row r="211" spans="1:24" x14ac:dyDescent="0.2">
      <c r="A211" s="374" t="s">
        <v>3360</v>
      </c>
      <c r="B211" s="374">
        <v>0</v>
      </c>
      <c r="C211" s="374">
        <v>0</v>
      </c>
      <c r="D211" s="378">
        <v>0</v>
      </c>
      <c r="E211" s="378">
        <v>58.604916000000003</v>
      </c>
      <c r="F211" s="378">
        <v>51.635399</v>
      </c>
      <c r="G211" s="378">
        <v>46.898701000000003</v>
      </c>
      <c r="H211" s="378">
        <v>43.188160000000003</v>
      </c>
      <c r="I211" s="378">
        <v>40.254837000000002</v>
      </c>
      <c r="J211" s="374"/>
      <c r="K211" s="374"/>
      <c r="L211" s="374"/>
      <c r="M211" s="374"/>
      <c r="N211" s="374"/>
      <c r="O211" s="374"/>
      <c r="P211" s="374"/>
      <c r="Q211" s="374"/>
      <c r="R211" s="374"/>
      <c r="S211" s="374"/>
      <c r="T211" s="374"/>
      <c r="U211" s="374"/>
      <c r="V211" s="374"/>
      <c r="W211" s="374"/>
      <c r="X211" s="374"/>
    </row>
    <row r="212" spans="1:24" x14ac:dyDescent="0.2">
      <c r="A212" s="374" t="s">
        <v>3361</v>
      </c>
      <c r="B212" s="374">
        <v>0</v>
      </c>
      <c r="C212" s="374">
        <v>0</v>
      </c>
      <c r="D212" s="378">
        <v>0</v>
      </c>
      <c r="E212" s="378">
        <v>65.765724000000006</v>
      </c>
      <c r="F212" s="378">
        <v>58.305858999999998</v>
      </c>
      <c r="G212" s="378">
        <v>53.080410000000001</v>
      </c>
      <c r="H212" s="378">
        <v>48.989738000000003</v>
      </c>
      <c r="I212" s="378">
        <v>45.755909000000003</v>
      </c>
      <c r="J212" s="374"/>
      <c r="K212" s="374"/>
      <c r="L212" s="374"/>
      <c r="M212" s="374"/>
      <c r="N212" s="374"/>
      <c r="O212" s="374"/>
      <c r="P212" s="374"/>
      <c r="Q212" s="374"/>
      <c r="R212" s="374"/>
      <c r="S212" s="374"/>
      <c r="T212" s="374"/>
      <c r="U212" s="374"/>
      <c r="V212" s="374"/>
      <c r="W212" s="374"/>
      <c r="X212" s="374"/>
    </row>
    <row r="213" spans="1:24" x14ac:dyDescent="0.2">
      <c r="A213" s="374" t="s">
        <v>3362</v>
      </c>
      <c r="B213" s="374">
        <v>0</v>
      </c>
      <c r="C213" s="374">
        <v>95.3</v>
      </c>
      <c r="D213" s="378">
        <v>86.444785999999993</v>
      </c>
      <c r="E213" s="378">
        <v>74.736855000000006</v>
      </c>
      <c r="F213" s="378">
        <v>65.763938999999993</v>
      </c>
      <c r="G213" s="378">
        <v>60.245663</v>
      </c>
      <c r="H213" s="378">
        <v>55.895339999999997</v>
      </c>
      <c r="I213" s="378">
        <v>52.456429</v>
      </c>
      <c r="J213" s="374"/>
      <c r="K213" s="374"/>
      <c r="L213" s="374"/>
      <c r="M213" s="374"/>
      <c r="N213" s="374"/>
      <c r="O213" s="374"/>
      <c r="P213" s="374"/>
      <c r="Q213" s="374"/>
      <c r="R213" s="374"/>
      <c r="S213" s="374"/>
      <c r="T213" s="374"/>
      <c r="U213" s="374"/>
      <c r="V213" s="374"/>
      <c r="W213" s="374"/>
      <c r="X213" s="374"/>
    </row>
    <row r="214" spans="1:24" x14ac:dyDescent="0.2">
      <c r="A214" s="374" t="s">
        <v>3363</v>
      </c>
      <c r="B214" s="374">
        <v>0</v>
      </c>
      <c r="C214" s="374">
        <v>0</v>
      </c>
      <c r="D214" s="378">
        <v>0</v>
      </c>
      <c r="E214" s="378">
        <v>0</v>
      </c>
      <c r="F214" s="378">
        <v>0</v>
      </c>
      <c r="G214" s="378">
        <v>0</v>
      </c>
      <c r="H214" s="378">
        <v>0</v>
      </c>
      <c r="I214" s="378">
        <v>0</v>
      </c>
      <c r="J214" s="374"/>
      <c r="K214" s="374"/>
      <c r="L214" s="374"/>
      <c r="M214" s="374"/>
      <c r="N214" s="374"/>
      <c r="O214" s="374"/>
      <c r="P214" s="374"/>
      <c r="Q214" s="374"/>
      <c r="R214" s="374"/>
      <c r="S214" s="374"/>
      <c r="T214" s="374"/>
      <c r="U214" s="374"/>
      <c r="V214" s="374"/>
      <c r="W214" s="374"/>
      <c r="X214" s="374"/>
    </row>
    <row r="215" spans="1:24" x14ac:dyDescent="0.2">
      <c r="A215" s="374" t="s">
        <v>3364</v>
      </c>
      <c r="B215" s="374">
        <v>0</v>
      </c>
      <c r="C215" s="374">
        <v>0</v>
      </c>
      <c r="D215" s="378">
        <v>0</v>
      </c>
      <c r="E215" s="378">
        <v>0</v>
      </c>
      <c r="F215" s="378">
        <v>0</v>
      </c>
      <c r="G215" s="378">
        <v>0</v>
      </c>
      <c r="H215" s="378">
        <v>0</v>
      </c>
      <c r="I215" s="378">
        <v>0</v>
      </c>
      <c r="J215" s="374"/>
      <c r="K215" s="374"/>
      <c r="L215" s="374"/>
      <c r="M215" s="374"/>
      <c r="N215" s="374"/>
      <c r="O215" s="374"/>
      <c r="P215" s="374"/>
      <c r="Q215" s="374"/>
      <c r="R215" s="374"/>
      <c r="S215" s="374"/>
      <c r="T215" s="374"/>
      <c r="U215" s="374"/>
      <c r="V215" s="374"/>
      <c r="W215" s="374"/>
      <c r="X215" s="374"/>
    </row>
    <row r="216" spans="1:24" x14ac:dyDescent="0.2">
      <c r="A216" s="374" t="s">
        <v>3365</v>
      </c>
      <c r="B216" s="374">
        <v>0</v>
      </c>
      <c r="C216" s="374">
        <v>0</v>
      </c>
      <c r="D216" s="378">
        <v>0</v>
      </c>
      <c r="E216" s="378">
        <v>0</v>
      </c>
      <c r="F216" s="378">
        <v>0</v>
      </c>
      <c r="G216" s="378">
        <v>0</v>
      </c>
      <c r="H216" s="378">
        <v>0</v>
      </c>
      <c r="I216" s="378">
        <v>0</v>
      </c>
      <c r="J216" s="374"/>
      <c r="K216" s="374"/>
      <c r="L216" s="374"/>
      <c r="M216" s="374"/>
      <c r="N216" s="374"/>
      <c r="O216" s="374"/>
      <c r="P216" s="374"/>
      <c r="Q216" s="374"/>
      <c r="R216" s="374"/>
      <c r="S216" s="374"/>
      <c r="T216" s="374"/>
      <c r="U216" s="374"/>
      <c r="V216" s="374"/>
      <c r="W216" s="374"/>
      <c r="X216" s="374"/>
    </row>
    <row r="217" spans="1:24" x14ac:dyDescent="0.2">
      <c r="A217" s="374" t="s">
        <v>3366</v>
      </c>
      <c r="B217" s="374">
        <v>0</v>
      </c>
      <c r="C217" s="374">
        <v>0</v>
      </c>
      <c r="D217" s="378">
        <v>89.289032000000006</v>
      </c>
      <c r="E217" s="378">
        <v>74.793212999999994</v>
      </c>
      <c r="F217" s="378">
        <v>62.973948999999998</v>
      </c>
      <c r="G217" s="378">
        <v>56.813094999999997</v>
      </c>
      <c r="H217" s="378">
        <v>51.985374</v>
      </c>
      <c r="I217" s="378">
        <v>48.168506999999998</v>
      </c>
      <c r="J217" s="374"/>
      <c r="K217" s="374"/>
      <c r="L217" s="374"/>
      <c r="M217" s="374"/>
      <c r="N217" s="374"/>
      <c r="O217" s="374"/>
      <c r="P217" s="374"/>
      <c r="Q217" s="374"/>
      <c r="R217" s="374"/>
      <c r="S217" s="374"/>
      <c r="T217" s="374"/>
      <c r="U217" s="374"/>
      <c r="V217" s="374"/>
      <c r="W217" s="374"/>
      <c r="X217" s="374"/>
    </row>
    <row r="218" spans="1:24" x14ac:dyDescent="0.2">
      <c r="A218" s="374" t="s">
        <v>3367</v>
      </c>
      <c r="B218" s="374">
        <v>0</v>
      </c>
      <c r="C218" s="374">
        <v>0</v>
      </c>
      <c r="D218" s="378">
        <v>0</v>
      </c>
      <c r="E218" s="378">
        <v>0</v>
      </c>
      <c r="F218" s="378">
        <v>0</v>
      </c>
      <c r="G218" s="378">
        <v>0</v>
      </c>
      <c r="H218" s="378">
        <v>0</v>
      </c>
      <c r="I218" s="378">
        <v>0</v>
      </c>
      <c r="J218" s="374"/>
      <c r="K218" s="374"/>
      <c r="L218" s="374"/>
      <c r="M218" s="374"/>
      <c r="N218" s="374"/>
      <c r="O218" s="374"/>
      <c r="P218" s="374"/>
      <c r="Q218" s="374"/>
      <c r="R218" s="374"/>
      <c r="S218" s="374"/>
      <c r="T218" s="374"/>
      <c r="U218" s="374"/>
      <c r="V218" s="374"/>
      <c r="W218" s="374"/>
      <c r="X218" s="374"/>
    </row>
    <row r="219" spans="1:24" x14ac:dyDescent="0.2">
      <c r="A219" s="374" t="s">
        <v>3368</v>
      </c>
      <c r="B219" s="374">
        <v>98.4</v>
      </c>
      <c r="C219" s="374">
        <v>0</v>
      </c>
      <c r="D219" s="378">
        <v>84.701530000000005</v>
      </c>
      <c r="E219" s="378">
        <v>71.671974000000006</v>
      </c>
      <c r="F219" s="378">
        <v>61.728203000000001</v>
      </c>
      <c r="G219" s="378">
        <v>56.040562000000001</v>
      </c>
      <c r="H219" s="378">
        <v>51.605316000000002</v>
      </c>
      <c r="I219" s="378">
        <v>48.099964</v>
      </c>
      <c r="J219" s="374"/>
      <c r="K219" s="374"/>
      <c r="L219" s="374"/>
      <c r="M219" s="374"/>
      <c r="N219" s="374"/>
      <c r="O219" s="374"/>
      <c r="P219" s="374"/>
      <c r="Q219" s="374"/>
      <c r="R219" s="374"/>
      <c r="S219" s="374"/>
      <c r="T219" s="374"/>
      <c r="U219" s="374"/>
      <c r="V219" s="374"/>
      <c r="W219" s="374"/>
      <c r="X219" s="374"/>
    </row>
    <row r="220" spans="1:24" x14ac:dyDescent="0.2">
      <c r="A220" s="374" t="s">
        <v>3369</v>
      </c>
      <c r="B220" s="374">
        <v>0</v>
      </c>
      <c r="C220" s="374">
        <v>0</v>
      </c>
      <c r="D220" s="378">
        <v>0</v>
      </c>
      <c r="E220" s="378">
        <v>0</v>
      </c>
      <c r="F220" s="378">
        <v>84.272307999999995</v>
      </c>
      <c r="G220" s="378">
        <v>76.616759999999999</v>
      </c>
      <c r="H220" s="378">
        <v>70.744949000000005</v>
      </c>
      <c r="I220" s="378">
        <v>66.107765000000001</v>
      </c>
      <c r="J220" s="374"/>
      <c r="K220" s="374"/>
      <c r="L220" s="374"/>
      <c r="M220" s="374"/>
      <c r="N220" s="374"/>
      <c r="O220" s="374"/>
      <c r="P220" s="374"/>
      <c r="Q220" s="374"/>
      <c r="R220" s="374"/>
      <c r="S220" s="374"/>
      <c r="T220" s="374"/>
      <c r="U220" s="374"/>
      <c r="V220" s="374"/>
      <c r="W220" s="374"/>
      <c r="X220" s="374"/>
    </row>
    <row r="221" spans="1:24" x14ac:dyDescent="0.2">
      <c r="A221" s="374"/>
      <c r="B221" s="374"/>
      <c r="C221" s="374"/>
      <c r="D221" s="374"/>
      <c r="E221" s="374"/>
      <c r="F221" s="374"/>
      <c r="G221" s="374"/>
      <c r="H221" s="374"/>
      <c r="I221" s="374"/>
      <c r="J221" s="374"/>
      <c r="K221" s="374"/>
      <c r="L221" s="374"/>
      <c r="M221" s="374"/>
      <c r="N221" s="374"/>
      <c r="O221" s="374"/>
      <c r="P221" s="374"/>
      <c r="Q221" s="374"/>
      <c r="R221" s="374"/>
      <c r="S221" s="374"/>
      <c r="T221" s="374"/>
      <c r="U221" s="374"/>
      <c r="V221" s="374"/>
      <c r="W221" s="374"/>
      <c r="X221" s="374"/>
    </row>
    <row r="222" spans="1:24" x14ac:dyDescent="0.2">
      <c r="A222" s="374" t="s">
        <v>3396</v>
      </c>
      <c r="B222" s="374"/>
      <c r="C222" s="374"/>
      <c r="D222" s="374"/>
      <c r="E222" s="374"/>
      <c r="F222" s="374"/>
      <c r="G222" s="374"/>
      <c r="H222" s="374"/>
      <c r="I222" s="374"/>
      <c r="J222" s="374"/>
      <c r="K222" s="374"/>
      <c r="L222" s="374"/>
      <c r="M222" s="374"/>
      <c r="N222" s="374"/>
      <c r="O222" s="374"/>
      <c r="P222" s="374"/>
      <c r="Q222" s="374"/>
      <c r="R222" s="374"/>
      <c r="S222" s="374"/>
      <c r="T222" s="374"/>
      <c r="U222" s="374"/>
      <c r="V222" s="374"/>
      <c r="W222" s="374"/>
      <c r="X222" s="374"/>
    </row>
    <row r="223" spans="1:24" x14ac:dyDescent="0.2">
      <c r="A223" s="374" t="s">
        <v>3358</v>
      </c>
      <c r="B223" s="374">
        <v>0</v>
      </c>
      <c r="C223" s="374">
        <v>0</v>
      </c>
      <c r="D223" s="374">
        <v>0</v>
      </c>
      <c r="E223" s="374">
        <v>0</v>
      </c>
      <c r="F223" s="374">
        <v>0</v>
      </c>
      <c r="G223" s="374">
        <v>0</v>
      </c>
      <c r="H223" s="374">
        <v>0</v>
      </c>
      <c r="I223" s="374" t="s">
        <v>2768</v>
      </c>
      <c r="J223" s="374"/>
      <c r="K223" s="374"/>
      <c r="L223" s="374"/>
      <c r="M223" s="374"/>
      <c r="N223" s="374"/>
      <c r="O223" s="374"/>
      <c r="P223" s="374"/>
      <c r="Q223" s="374"/>
      <c r="R223" s="374"/>
      <c r="S223" s="374"/>
      <c r="T223" s="374"/>
      <c r="U223" s="374"/>
      <c r="V223" s="374"/>
      <c r="W223" s="374"/>
      <c r="X223" s="374"/>
    </row>
    <row r="224" spans="1:24" x14ac:dyDescent="0.2">
      <c r="A224" s="374" t="s">
        <v>3359</v>
      </c>
      <c r="B224" s="374">
        <v>0</v>
      </c>
      <c r="C224" s="374">
        <v>0</v>
      </c>
      <c r="D224" s="374">
        <v>0</v>
      </c>
      <c r="E224" s="374">
        <v>0</v>
      </c>
      <c r="F224" s="374">
        <v>0</v>
      </c>
      <c r="G224" s="374">
        <v>0</v>
      </c>
      <c r="H224" s="374">
        <v>0</v>
      </c>
      <c r="I224" s="374" t="s">
        <v>2768</v>
      </c>
      <c r="J224" s="374"/>
      <c r="K224" s="374"/>
      <c r="L224" s="374"/>
      <c r="M224" s="374"/>
      <c r="N224" s="374"/>
      <c r="O224" s="374"/>
      <c r="P224" s="374"/>
      <c r="Q224" s="374"/>
      <c r="R224" s="374"/>
      <c r="S224" s="374"/>
      <c r="T224" s="374"/>
      <c r="U224" s="374"/>
      <c r="V224" s="374"/>
      <c r="W224" s="374"/>
      <c r="X224" s="374"/>
    </row>
    <row r="225" spans="1:24" x14ac:dyDescent="0.2">
      <c r="A225" s="374" t="s">
        <v>3360</v>
      </c>
      <c r="B225" s="374">
        <v>0</v>
      </c>
      <c r="C225" s="374">
        <v>0</v>
      </c>
      <c r="D225" s="374">
        <v>0</v>
      </c>
      <c r="E225" s="374">
        <v>0</v>
      </c>
      <c r="F225" s="374">
        <v>0</v>
      </c>
      <c r="G225" s="374">
        <v>0</v>
      </c>
      <c r="H225" s="374">
        <v>0</v>
      </c>
      <c r="I225" s="374" t="s">
        <v>2768</v>
      </c>
      <c r="J225" s="374"/>
      <c r="K225" s="374"/>
      <c r="L225" s="374"/>
      <c r="M225" s="374"/>
      <c r="N225" s="374"/>
      <c r="O225" s="374"/>
      <c r="P225" s="374"/>
      <c r="Q225" s="374"/>
      <c r="R225" s="374"/>
      <c r="S225" s="374"/>
      <c r="T225" s="374"/>
      <c r="U225" s="374"/>
      <c r="V225" s="374"/>
      <c r="W225" s="374"/>
      <c r="X225" s="374"/>
    </row>
    <row r="226" spans="1:24" x14ac:dyDescent="0.2">
      <c r="A226" s="374" t="s">
        <v>3361</v>
      </c>
      <c r="B226" s="374">
        <v>0</v>
      </c>
      <c r="C226" s="374">
        <v>0</v>
      </c>
      <c r="D226" s="374">
        <v>0</v>
      </c>
      <c r="E226" s="374">
        <v>0</v>
      </c>
      <c r="F226" s="374">
        <v>0</v>
      </c>
      <c r="G226" s="374">
        <v>0</v>
      </c>
      <c r="H226" s="374">
        <v>0</v>
      </c>
      <c r="I226" s="374" t="s">
        <v>2768</v>
      </c>
      <c r="J226" s="374"/>
      <c r="K226" s="374"/>
      <c r="L226" s="374"/>
      <c r="M226" s="374"/>
      <c r="N226" s="374"/>
      <c r="O226" s="374"/>
      <c r="P226" s="374"/>
      <c r="Q226" s="374"/>
      <c r="R226" s="374"/>
      <c r="S226" s="374"/>
      <c r="T226" s="374"/>
      <c r="U226" s="374"/>
      <c r="V226" s="374"/>
      <c r="W226" s="374"/>
      <c r="X226" s="374"/>
    </row>
    <row r="227" spans="1:24" x14ac:dyDescent="0.2">
      <c r="A227" s="374" t="s">
        <v>3362</v>
      </c>
      <c r="B227" s="374">
        <v>0</v>
      </c>
      <c r="C227" s="374">
        <v>0</v>
      </c>
      <c r="D227" s="374">
        <v>0</v>
      </c>
      <c r="E227" s="374">
        <v>0</v>
      </c>
      <c r="F227" s="374">
        <v>0</v>
      </c>
      <c r="G227" s="374">
        <v>0</v>
      </c>
      <c r="H227" s="374">
        <v>0</v>
      </c>
      <c r="I227" s="374" t="s">
        <v>2768</v>
      </c>
      <c r="J227" s="374"/>
      <c r="K227" s="374"/>
      <c r="L227" s="374"/>
      <c r="M227" s="374"/>
      <c r="N227" s="374"/>
      <c r="O227" s="374"/>
      <c r="P227" s="374"/>
      <c r="Q227" s="374"/>
      <c r="R227" s="374"/>
      <c r="S227" s="374"/>
      <c r="T227" s="374"/>
      <c r="U227" s="374"/>
      <c r="V227" s="374"/>
      <c r="W227" s="374"/>
      <c r="X227" s="374"/>
    </row>
    <row r="228" spans="1:24" x14ac:dyDescent="0.2">
      <c r="A228" s="374" t="s">
        <v>3363</v>
      </c>
      <c r="B228" s="374">
        <v>0</v>
      </c>
      <c r="C228" s="374">
        <v>0</v>
      </c>
      <c r="D228" s="374">
        <v>0</v>
      </c>
      <c r="E228" s="374">
        <v>0</v>
      </c>
      <c r="F228" s="374">
        <v>0</v>
      </c>
      <c r="G228" s="374">
        <v>0</v>
      </c>
      <c r="H228" s="374">
        <v>0</v>
      </c>
      <c r="I228" s="374" t="s">
        <v>2768</v>
      </c>
      <c r="J228" s="374"/>
      <c r="K228" s="374"/>
      <c r="L228" s="374"/>
      <c r="M228" s="374"/>
      <c r="N228" s="374"/>
      <c r="O228" s="374"/>
      <c r="P228" s="374"/>
      <c r="Q228" s="374"/>
      <c r="R228" s="374"/>
      <c r="S228" s="374"/>
      <c r="T228" s="374"/>
      <c r="U228" s="374"/>
      <c r="V228" s="374"/>
      <c r="W228" s="374"/>
      <c r="X228" s="374"/>
    </row>
    <row r="229" spans="1:24" x14ac:dyDescent="0.2">
      <c r="A229" s="374" t="s">
        <v>3364</v>
      </c>
      <c r="B229" s="374">
        <v>0</v>
      </c>
      <c r="C229" s="374">
        <v>0</v>
      </c>
      <c r="D229" s="374">
        <v>0</v>
      </c>
      <c r="E229" s="374">
        <v>0</v>
      </c>
      <c r="F229" s="374">
        <v>0</v>
      </c>
      <c r="G229" s="374">
        <v>0</v>
      </c>
      <c r="H229" s="374">
        <v>0</v>
      </c>
      <c r="I229" s="374" t="s">
        <v>2768</v>
      </c>
      <c r="J229" s="374"/>
      <c r="K229" s="374"/>
      <c r="L229" s="374"/>
      <c r="M229" s="374"/>
      <c r="N229" s="374"/>
      <c r="O229" s="374"/>
      <c r="P229" s="374"/>
      <c r="Q229" s="374"/>
      <c r="R229" s="374"/>
      <c r="S229" s="374"/>
      <c r="T229" s="374"/>
      <c r="U229" s="374"/>
      <c r="V229" s="374"/>
      <c r="W229" s="374"/>
      <c r="X229" s="374"/>
    </row>
    <row r="230" spans="1:24" x14ac:dyDescent="0.2">
      <c r="A230" s="374" t="s">
        <v>3365</v>
      </c>
      <c r="B230" s="374">
        <v>0</v>
      </c>
      <c r="C230" s="374">
        <v>0</v>
      </c>
      <c r="D230" s="374">
        <v>0</v>
      </c>
      <c r="E230" s="374">
        <v>0</v>
      </c>
      <c r="F230" s="374">
        <v>0</v>
      </c>
      <c r="G230" s="374">
        <v>0</v>
      </c>
      <c r="H230" s="374">
        <v>0</v>
      </c>
      <c r="I230" s="374" t="s">
        <v>2768</v>
      </c>
      <c r="J230" s="374"/>
      <c r="K230" s="374"/>
      <c r="L230" s="374"/>
      <c r="M230" s="374"/>
      <c r="N230" s="374"/>
      <c r="O230" s="374"/>
      <c r="P230" s="374"/>
      <c r="Q230" s="374"/>
      <c r="R230" s="374"/>
      <c r="S230" s="374"/>
      <c r="T230" s="374"/>
      <c r="U230" s="374"/>
      <c r="V230" s="374"/>
      <c r="W230" s="374"/>
      <c r="X230" s="374"/>
    </row>
    <row r="231" spans="1:24" x14ac:dyDescent="0.2">
      <c r="A231" s="374" t="s">
        <v>3366</v>
      </c>
      <c r="B231" s="374">
        <v>0</v>
      </c>
      <c r="C231" s="374">
        <v>0</v>
      </c>
      <c r="D231" s="374">
        <v>0</v>
      </c>
      <c r="E231" s="374">
        <v>0</v>
      </c>
      <c r="F231" s="374">
        <v>0</v>
      </c>
      <c r="G231" s="374">
        <v>0</v>
      </c>
      <c r="H231" s="374">
        <v>0</v>
      </c>
      <c r="I231" s="374" t="s">
        <v>2768</v>
      </c>
      <c r="J231" s="374"/>
      <c r="K231" s="374"/>
      <c r="L231" s="374"/>
      <c r="M231" s="374"/>
      <c r="N231" s="374"/>
      <c r="O231" s="374"/>
      <c r="P231" s="374"/>
      <c r="Q231" s="374"/>
      <c r="R231" s="374"/>
      <c r="S231" s="374"/>
      <c r="T231" s="374"/>
      <c r="U231" s="374"/>
      <c r="V231" s="374"/>
      <c r="W231" s="374"/>
      <c r="X231" s="374"/>
    </row>
    <row r="232" spans="1:24" x14ac:dyDescent="0.2">
      <c r="A232" s="374" t="s">
        <v>3367</v>
      </c>
      <c r="B232" s="374">
        <v>0</v>
      </c>
      <c r="C232" s="374">
        <v>0</v>
      </c>
      <c r="D232" s="374">
        <v>0</v>
      </c>
      <c r="E232" s="374">
        <v>0</v>
      </c>
      <c r="F232" s="374">
        <v>0</v>
      </c>
      <c r="G232" s="374">
        <v>0</v>
      </c>
      <c r="H232" s="374">
        <v>0</v>
      </c>
      <c r="I232" s="374" t="s">
        <v>2768</v>
      </c>
      <c r="J232" s="374"/>
      <c r="K232" s="374"/>
      <c r="L232" s="374"/>
      <c r="M232" s="374"/>
      <c r="N232" s="374"/>
      <c r="O232" s="374"/>
      <c r="P232" s="374"/>
      <c r="Q232" s="374"/>
      <c r="R232" s="374"/>
      <c r="S232" s="374"/>
      <c r="T232" s="374"/>
      <c r="U232" s="374"/>
      <c r="V232" s="374"/>
      <c r="W232" s="374"/>
      <c r="X232" s="374"/>
    </row>
    <row r="233" spans="1:24" x14ac:dyDescent="0.2">
      <c r="A233" s="374" t="s">
        <v>3368</v>
      </c>
      <c r="B233" s="374">
        <v>0</v>
      </c>
      <c r="C233" s="374">
        <v>0</v>
      </c>
      <c r="D233" s="374">
        <v>0</v>
      </c>
      <c r="E233" s="374">
        <v>0</v>
      </c>
      <c r="F233" s="374">
        <v>0</v>
      </c>
      <c r="G233" s="374">
        <v>0</v>
      </c>
      <c r="H233" s="374">
        <v>0</v>
      </c>
      <c r="I233" s="374" t="s">
        <v>2768</v>
      </c>
      <c r="J233" s="374"/>
      <c r="K233" s="374"/>
      <c r="L233" s="374"/>
      <c r="M233" s="374"/>
      <c r="N233" s="374"/>
      <c r="O233" s="374"/>
      <c r="P233" s="374"/>
      <c r="Q233" s="374"/>
      <c r="R233" s="374"/>
      <c r="S233" s="374"/>
      <c r="T233" s="374"/>
      <c r="U233" s="374"/>
      <c r="V233" s="374"/>
      <c r="W233" s="374"/>
      <c r="X233" s="374"/>
    </row>
    <row r="234" spans="1:24" x14ac:dyDescent="0.2">
      <c r="A234" s="374" t="s">
        <v>3369</v>
      </c>
      <c r="B234" s="374">
        <v>0</v>
      </c>
      <c r="C234" s="374">
        <v>0</v>
      </c>
      <c r="D234" s="374">
        <v>0</v>
      </c>
      <c r="E234" s="374">
        <v>0</v>
      </c>
      <c r="F234" s="374">
        <v>0</v>
      </c>
      <c r="G234" s="374">
        <v>0</v>
      </c>
      <c r="H234" s="374">
        <v>0</v>
      </c>
      <c r="I234" s="374" t="s">
        <v>2768</v>
      </c>
      <c r="J234" s="374"/>
      <c r="K234" s="374"/>
      <c r="L234" s="374"/>
      <c r="M234" s="374"/>
      <c r="N234" s="374"/>
      <c r="O234" s="374"/>
      <c r="P234" s="374"/>
      <c r="Q234" s="374"/>
      <c r="R234" s="374"/>
      <c r="S234" s="374"/>
      <c r="T234" s="374"/>
      <c r="U234" s="374"/>
      <c r="V234" s="374"/>
      <c r="W234" s="374"/>
      <c r="X234" s="374"/>
    </row>
    <row r="235" spans="1:24" x14ac:dyDescent="0.2">
      <c r="A235" s="374"/>
      <c r="B235" s="374"/>
      <c r="C235" s="374"/>
      <c r="D235" s="374"/>
      <c r="E235" s="374"/>
      <c r="F235" s="374"/>
      <c r="G235" s="374"/>
      <c r="H235" s="374"/>
      <c r="I235" s="374"/>
      <c r="J235" s="374"/>
      <c r="K235" s="374"/>
      <c r="L235" s="374"/>
      <c r="M235" s="374"/>
      <c r="N235" s="374"/>
      <c r="O235" s="374"/>
      <c r="P235" s="374"/>
      <c r="Q235" s="374"/>
      <c r="R235" s="374"/>
      <c r="S235" s="374"/>
      <c r="T235" s="374"/>
      <c r="U235" s="374"/>
      <c r="V235" s="374"/>
      <c r="W235" s="374"/>
      <c r="X235" s="374"/>
    </row>
    <row r="236" spans="1:24" x14ac:dyDescent="0.2">
      <c r="A236" s="374" t="s">
        <v>3397</v>
      </c>
      <c r="B236" s="374"/>
      <c r="C236" s="374"/>
      <c r="D236" s="374"/>
      <c r="E236" s="374"/>
      <c r="F236" s="374"/>
      <c r="G236" s="374"/>
      <c r="H236" s="374"/>
      <c r="I236" s="374"/>
      <c r="J236" s="374"/>
      <c r="K236" s="374"/>
      <c r="L236" s="374"/>
      <c r="M236" s="374"/>
      <c r="N236" s="374"/>
      <c r="O236" s="374"/>
      <c r="P236" s="374"/>
      <c r="Q236" s="374"/>
      <c r="R236" s="374"/>
      <c r="S236" s="374"/>
      <c r="T236" s="374"/>
      <c r="U236" s="374"/>
      <c r="V236" s="374"/>
      <c r="W236" s="374"/>
      <c r="X236" s="374"/>
    </row>
    <row r="237" spans="1:24" x14ac:dyDescent="0.2">
      <c r="A237" s="374" t="s">
        <v>3398</v>
      </c>
      <c r="B237" s="374">
        <v>23.2</v>
      </c>
      <c r="C237" s="374">
        <v>25.4</v>
      </c>
      <c r="D237" s="374">
        <v>25.6</v>
      </c>
      <c r="E237" s="374">
        <v>26.2</v>
      </c>
      <c r="F237" s="374">
        <v>26.3</v>
      </c>
      <c r="G237" s="374">
        <v>26.4</v>
      </c>
      <c r="H237" s="374">
        <v>26.5</v>
      </c>
      <c r="I237" s="380">
        <v>3.0000000000000001E-3</v>
      </c>
      <c r="J237" s="374"/>
      <c r="K237" s="374"/>
      <c r="L237" s="374"/>
      <c r="M237" s="374"/>
      <c r="N237" s="374"/>
      <c r="O237" s="374"/>
      <c r="P237" s="374"/>
      <c r="Q237" s="374"/>
      <c r="R237" s="374"/>
      <c r="S237" s="374"/>
      <c r="T237" s="374"/>
      <c r="U237" s="374"/>
      <c r="V237" s="374"/>
      <c r="W237" s="374"/>
      <c r="X237" s="374"/>
    </row>
    <row r="238" spans="1:24" x14ac:dyDescent="0.2">
      <c r="A238" s="374" t="s">
        <v>3399</v>
      </c>
      <c r="B238" s="374">
        <v>26.5</v>
      </c>
      <c r="C238" s="374">
        <v>27.1</v>
      </c>
      <c r="D238" s="374">
        <v>27.8</v>
      </c>
      <c r="E238" s="374">
        <v>28.5</v>
      </c>
      <c r="F238" s="374">
        <v>28.6</v>
      </c>
      <c r="G238" s="374">
        <v>28.6</v>
      </c>
      <c r="H238" s="374">
        <v>28.7</v>
      </c>
      <c r="I238" s="380">
        <v>3.0000000000000001E-3</v>
      </c>
      <c r="J238" s="374"/>
      <c r="K238" s="374"/>
      <c r="L238" s="374"/>
      <c r="M238" s="374"/>
      <c r="N238" s="374"/>
      <c r="O238" s="374"/>
      <c r="P238" s="374"/>
      <c r="Q238" s="374"/>
      <c r="R238" s="374"/>
      <c r="S238" s="374"/>
      <c r="T238" s="374"/>
      <c r="U238" s="374"/>
      <c r="V238" s="374"/>
      <c r="W238" s="374"/>
      <c r="X238" s="374"/>
    </row>
    <row r="239" spans="1:24" x14ac:dyDescent="0.2">
      <c r="A239" s="374" t="s">
        <v>3400</v>
      </c>
      <c r="B239" s="374">
        <v>24.9</v>
      </c>
      <c r="C239" s="374">
        <v>26.2</v>
      </c>
      <c r="D239" s="374">
        <v>26.5</v>
      </c>
      <c r="E239" s="374">
        <v>27.1</v>
      </c>
      <c r="F239" s="374">
        <v>27.1</v>
      </c>
      <c r="G239" s="374">
        <v>27.2</v>
      </c>
      <c r="H239" s="374">
        <v>27.3</v>
      </c>
      <c r="I239" s="380">
        <v>3.0000000000000001E-3</v>
      </c>
      <c r="J239" s="374"/>
      <c r="K239" s="374"/>
      <c r="L239" s="374"/>
      <c r="M239" s="374"/>
      <c r="N239" s="374"/>
      <c r="O239" s="374"/>
      <c r="P239" s="374"/>
      <c r="Q239" s="374"/>
      <c r="R239" s="374"/>
      <c r="S239" s="374"/>
      <c r="T239" s="374"/>
      <c r="U239" s="374"/>
      <c r="V239" s="374"/>
      <c r="W239" s="374"/>
      <c r="X239" s="374"/>
    </row>
    <row r="240" spans="1:24" x14ac:dyDescent="0.2">
      <c r="A240" s="374"/>
      <c r="B240" s="374"/>
      <c r="C240" s="374"/>
      <c r="D240" s="374"/>
      <c r="E240" s="374"/>
      <c r="F240" s="374"/>
      <c r="G240" s="374"/>
      <c r="H240" s="374"/>
      <c r="I240" s="374"/>
      <c r="J240" s="374"/>
      <c r="K240" s="374"/>
      <c r="L240" s="374"/>
      <c r="M240" s="374"/>
      <c r="N240" s="374"/>
      <c r="O240" s="374"/>
      <c r="P240" s="374"/>
      <c r="Q240" s="374"/>
      <c r="R240" s="374"/>
      <c r="S240" s="374"/>
      <c r="T240" s="374"/>
      <c r="U240" s="374"/>
      <c r="V240" s="374"/>
      <c r="W240" s="374"/>
      <c r="X240" s="374"/>
    </row>
    <row r="241" spans="1:24" x14ac:dyDescent="0.2">
      <c r="A241" s="374"/>
      <c r="B241" s="374"/>
      <c r="C241" s="374"/>
      <c r="D241" s="374"/>
      <c r="E241" s="374"/>
      <c r="F241" s="374"/>
      <c r="G241" s="374"/>
      <c r="H241" s="374"/>
      <c r="I241" s="374"/>
      <c r="J241" s="374"/>
      <c r="K241" s="374"/>
      <c r="L241" s="374"/>
      <c r="M241" s="374"/>
      <c r="N241" s="374"/>
      <c r="O241" s="374"/>
      <c r="P241" s="374"/>
      <c r="Q241" s="374"/>
      <c r="R241" s="374"/>
      <c r="S241" s="374"/>
      <c r="T241" s="374"/>
      <c r="U241" s="374"/>
      <c r="V241" s="374"/>
      <c r="W241" s="374"/>
      <c r="X241" s="374"/>
    </row>
    <row r="242" spans="1:24" x14ac:dyDescent="0.2">
      <c r="A242" s="374" t="s">
        <v>2769</v>
      </c>
      <c r="B242" s="374"/>
      <c r="C242" s="374"/>
      <c r="D242" s="374"/>
      <c r="E242" s="374"/>
      <c r="F242" s="374"/>
      <c r="G242" s="374"/>
      <c r="H242" s="374"/>
      <c r="I242" s="374"/>
      <c r="J242" s="374"/>
      <c r="K242" s="374"/>
      <c r="L242" s="374"/>
      <c r="M242" s="374"/>
      <c r="N242" s="374"/>
      <c r="O242" s="374"/>
      <c r="P242" s="374"/>
      <c r="Q242" s="374"/>
      <c r="R242" s="374"/>
      <c r="S242" s="374"/>
      <c r="T242" s="374"/>
      <c r="U242" s="374"/>
      <c r="V242" s="374"/>
      <c r="W242" s="374"/>
      <c r="X242" s="374"/>
    </row>
    <row r="243" spans="1:24" x14ac:dyDescent="0.2">
      <c r="A243" s="374" t="s">
        <v>2770</v>
      </c>
      <c r="B243" s="374"/>
      <c r="C243" s="374"/>
      <c r="D243" s="374"/>
      <c r="E243" s="374"/>
      <c r="F243" s="374"/>
      <c r="G243" s="374"/>
      <c r="H243" s="374"/>
      <c r="I243" s="374"/>
      <c r="J243" s="374"/>
      <c r="K243" s="374"/>
      <c r="L243" s="374"/>
      <c r="M243" s="374"/>
      <c r="N243" s="374"/>
      <c r="O243" s="374"/>
      <c r="P243" s="374"/>
      <c r="Q243" s="374"/>
      <c r="R243" s="374"/>
      <c r="S243" s="374"/>
      <c r="T243" s="374"/>
      <c r="U243" s="374"/>
      <c r="V243" s="374"/>
      <c r="W243" s="374"/>
      <c r="X243" s="374"/>
    </row>
    <row r="244" spans="1:24" x14ac:dyDescent="0.2">
      <c r="A244" s="374"/>
      <c r="B244" s="374"/>
      <c r="C244" s="374"/>
      <c r="D244" s="374"/>
      <c r="E244" s="374"/>
      <c r="F244" s="374"/>
      <c r="G244" s="374"/>
      <c r="H244" s="374"/>
      <c r="I244" s="374"/>
      <c r="J244" s="374"/>
      <c r="K244" s="374"/>
      <c r="L244" s="374"/>
      <c r="M244" s="374"/>
      <c r="N244" s="374"/>
      <c r="O244" s="374"/>
      <c r="P244" s="374"/>
      <c r="Q244" s="374"/>
      <c r="R244" s="374"/>
      <c r="S244" s="374"/>
      <c r="T244" s="374"/>
      <c r="U244" s="374"/>
      <c r="V244" s="374"/>
      <c r="W244" s="374"/>
      <c r="X244" s="374"/>
    </row>
    <row r="245" spans="1:24" x14ac:dyDescent="0.2">
      <c r="A245" s="374"/>
      <c r="B245" s="374"/>
      <c r="C245" s="374"/>
      <c r="D245" s="374"/>
      <c r="E245" s="374"/>
      <c r="F245" s="374"/>
      <c r="G245" s="374"/>
      <c r="H245" s="374"/>
      <c r="I245" s="374"/>
      <c r="J245" s="374"/>
      <c r="K245" s="374"/>
      <c r="L245" s="374"/>
      <c r="M245" s="374"/>
      <c r="N245" s="374"/>
      <c r="O245" s="374"/>
      <c r="P245" s="374"/>
      <c r="Q245" s="374"/>
      <c r="R245" s="374"/>
      <c r="S245" s="374"/>
      <c r="T245" s="374"/>
      <c r="U245" s="374"/>
      <c r="V245" s="374"/>
      <c r="W245" s="374"/>
      <c r="X245" s="374"/>
    </row>
    <row r="246" spans="1:24" x14ac:dyDescent="0.2">
      <c r="A246" s="374"/>
      <c r="B246" s="374"/>
      <c r="C246" s="374"/>
      <c r="D246" s="374"/>
      <c r="E246" s="374"/>
      <c r="F246" s="374"/>
      <c r="G246" s="374"/>
      <c r="H246" s="374"/>
      <c r="I246" s="374"/>
      <c r="J246" s="374"/>
      <c r="K246" s="374"/>
      <c r="L246" s="374"/>
      <c r="M246" s="374"/>
      <c r="N246" s="374"/>
      <c r="O246" s="374"/>
      <c r="P246" s="374"/>
      <c r="Q246" s="374"/>
      <c r="R246" s="374"/>
      <c r="S246" s="374"/>
      <c r="T246" s="374"/>
      <c r="U246" s="374"/>
      <c r="V246" s="374"/>
      <c r="W246" s="374"/>
      <c r="X246" s="374"/>
    </row>
    <row r="247" spans="1:24" x14ac:dyDescent="0.2">
      <c r="A247" s="381"/>
      <c r="B247" s="381"/>
      <c r="C247" s="381"/>
      <c r="D247" s="381"/>
      <c r="E247" s="381"/>
      <c r="F247" s="381"/>
      <c r="G247" s="381"/>
      <c r="H247" s="381"/>
      <c r="I247" s="381"/>
      <c r="J247" s="381"/>
      <c r="K247" s="381"/>
      <c r="L247" s="381"/>
      <c r="M247" s="381"/>
      <c r="N247" s="381"/>
      <c r="O247" s="381"/>
      <c r="P247" s="381"/>
      <c r="Q247" s="381"/>
      <c r="R247" s="381"/>
      <c r="S247" s="381"/>
      <c r="T247" s="381"/>
      <c r="U247" s="374"/>
      <c r="V247" s="374"/>
      <c r="W247" s="374"/>
      <c r="X247" s="374"/>
    </row>
    <row r="248" spans="1:24" x14ac:dyDescent="0.2">
      <c r="A248" s="381"/>
      <c r="B248" s="381"/>
      <c r="C248" s="381"/>
      <c r="D248" s="381"/>
      <c r="E248" s="381"/>
      <c r="F248" s="381"/>
      <c r="G248" s="381"/>
      <c r="H248" s="381"/>
      <c r="I248" s="381"/>
      <c r="J248" s="381"/>
      <c r="K248" s="381"/>
      <c r="L248" s="381"/>
      <c r="M248" s="381"/>
      <c r="N248" s="381"/>
      <c r="O248" s="381"/>
      <c r="P248" s="381"/>
      <c r="Q248" s="381"/>
      <c r="R248" s="381"/>
      <c r="S248" s="381"/>
      <c r="T248" s="381"/>
      <c r="U248" s="374"/>
      <c r="V248" s="374"/>
      <c r="W248" s="374"/>
      <c r="X248" s="374"/>
    </row>
    <row r="249" spans="1:24" x14ac:dyDescent="0.2">
      <c r="A249" s="381"/>
      <c r="B249" s="374"/>
      <c r="C249" s="381"/>
      <c r="D249" s="381"/>
      <c r="E249" s="381"/>
      <c r="F249" s="381"/>
      <c r="G249" s="381"/>
      <c r="H249" s="381"/>
      <c r="I249" s="381"/>
      <c r="J249" s="381"/>
      <c r="K249" s="381"/>
      <c r="L249" s="381"/>
      <c r="M249" s="381"/>
      <c r="N249" s="381"/>
      <c r="O249" s="381"/>
      <c r="P249" s="381"/>
      <c r="Q249" s="381"/>
      <c r="R249" s="381"/>
      <c r="S249" s="381"/>
      <c r="T249" s="381"/>
      <c r="U249" s="374"/>
      <c r="V249" s="374"/>
      <c r="W249" s="374"/>
      <c r="X249" s="374"/>
    </row>
    <row r="250" spans="1:24" x14ac:dyDescent="0.2">
      <c r="A250" s="381"/>
      <c r="B250" s="374"/>
      <c r="C250" s="381"/>
      <c r="D250" s="381"/>
      <c r="E250" s="381"/>
      <c r="F250" s="381"/>
      <c r="G250" s="381"/>
      <c r="H250" s="381"/>
      <c r="I250" s="381"/>
      <c r="J250" s="381"/>
      <c r="K250" s="381"/>
      <c r="L250" s="381"/>
      <c r="M250" s="381"/>
      <c r="N250" s="381"/>
      <c r="O250" s="381"/>
      <c r="P250" s="381"/>
      <c r="Q250" s="381"/>
      <c r="R250" s="381"/>
      <c r="S250" s="381"/>
      <c r="T250" s="381"/>
      <c r="U250" s="374"/>
      <c r="V250" s="374"/>
      <c r="W250" s="374"/>
      <c r="X250" s="374"/>
    </row>
    <row r="251" spans="1:24" x14ac:dyDescent="0.2">
      <c r="A251" s="381"/>
      <c r="B251" s="374"/>
      <c r="C251" s="381"/>
      <c r="D251" s="381"/>
      <c r="E251" s="381"/>
      <c r="F251" s="381"/>
      <c r="G251" s="381"/>
      <c r="H251" s="381"/>
      <c r="I251" s="381"/>
      <c r="J251" s="381"/>
      <c r="K251" s="381"/>
      <c r="L251" s="381"/>
      <c r="M251" s="381"/>
      <c r="N251" s="381"/>
      <c r="O251" s="381"/>
      <c r="P251" s="381"/>
      <c r="Q251" s="381"/>
      <c r="R251" s="381"/>
      <c r="S251" s="381"/>
      <c r="T251" s="381"/>
      <c r="U251" s="374"/>
      <c r="V251" s="374"/>
      <c r="W251" s="374"/>
      <c r="X251" s="374"/>
    </row>
    <row r="252" spans="1:24" x14ac:dyDescent="0.2">
      <c r="A252" s="381"/>
      <c r="B252" s="374"/>
      <c r="C252" s="381"/>
      <c r="D252" s="381"/>
      <c r="E252" s="381"/>
      <c r="F252" s="381"/>
      <c r="G252" s="381"/>
      <c r="H252" s="381"/>
      <c r="I252" s="381"/>
      <c r="J252" s="381"/>
      <c r="K252" s="381"/>
      <c r="L252" s="381"/>
      <c r="M252" s="381"/>
      <c r="N252" s="381"/>
      <c r="O252" s="381"/>
      <c r="P252" s="381"/>
      <c r="Q252" s="381"/>
      <c r="R252" s="381"/>
      <c r="S252" s="381"/>
      <c r="T252" s="381"/>
      <c r="U252" s="374"/>
      <c r="V252" s="374"/>
      <c r="W252" s="374"/>
      <c r="X252" s="374"/>
    </row>
    <row r="253" spans="1:24" x14ac:dyDescent="0.2">
      <c r="A253" s="381"/>
      <c r="B253" s="381"/>
      <c r="C253" s="381"/>
      <c r="D253" s="381"/>
      <c r="E253" s="381"/>
      <c r="F253" s="381"/>
      <c r="G253" s="381"/>
      <c r="H253" s="381"/>
      <c r="I253" s="381"/>
      <c r="J253" s="381"/>
      <c r="K253" s="381"/>
      <c r="L253" s="381"/>
      <c r="M253" s="381"/>
      <c r="N253" s="381"/>
      <c r="O253" s="381"/>
      <c r="P253" s="381"/>
      <c r="Q253" s="381"/>
      <c r="R253" s="381"/>
      <c r="S253" s="381"/>
      <c r="T253" s="381"/>
      <c r="U253" s="374"/>
      <c r="V253" s="374"/>
      <c r="W253" s="374"/>
      <c r="X253" s="374"/>
    </row>
    <row r="254" spans="1:24" x14ac:dyDescent="0.2">
      <c r="A254" s="381"/>
      <c r="B254" s="381"/>
      <c r="C254" s="381"/>
      <c r="D254" s="381"/>
      <c r="E254" s="381"/>
      <c r="F254" s="381"/>
      <c r="G254" s="381"/>
      <c r="H254" s="381"/>
      <c r="I254" s="381"/>
      <c r="J254" s="381"/>
      <c r="K254" s="381"/>
      <c r="L254" s="381"/>
      <c r="M254" s="381"/>
      <c r="N254" s="381"/>
      <c r="O254" s="381"/>
      <c r="P254" s="381"/>
      <c r="Q254" s="381"/>
      <c r="R254" s="381"/>
      <c r="S254" s="381"/>
      <c r="T254" s="381"/>
      <c r="U254" s="374"/>
      <c r="V254" s="374"/>
      <c r="W254" s="374"/>
      <c r="X254" s="374"/>
    </row>
    <row r="255" spans="1:24" x14ac:dyDescent="0.2">
      <c r="A255" s="381"/>
      <c r="B255" s="381"/>
      <c r="C255" s="381"/>
      <c r="D255" s="381"/>
      <c r="E255" s="381"/>
      <c r="F255" s="381"/>
      <c r="G255" s="381"/>
      <c r="H255" s="381"/>
      <c r="I255" s="381"/>
      <c r="J255" s="381"/>
      <c r="K255" s="381"/>
      <c r="L255" s="381"/>
      <c r="M255" s="381"/>
      <c r="N255" s="381"/>
      <c r="O255" s="381"/>
      <c r="P255" s="381"/>
      <c r="Q255" s="381"/>
      <c r="R255" s="381"/>
      <c r="S255" s="381"/>
      <c r="T255" s="381"/>
      <c r="U255" s="374"/>
      <c r="V255" s="374"/>
      <c r="W255" s="374"/>
      <c r="X255" s="374"/>
    </row>
    <row r="256" spans="1:24" x14ac:dyDescent="0.2">
      <c r="A256" s="381"/>
      <c r="B256" s="381"/>
      <c r="C256" s="381"/>
      <c r="D256" s="381"/>
      <c r="E256" s="381"/>
      <c r="F256" s="381"/>
      <c r="G256" s="381"/>
      <c r="H256" s="381"/>
      <c r="I256" s="381"/>
      <c r="J256" s="381"/>
      <c r="K256" s="381"/>
      <c r="L256" s="381"/>
      <c r="M256" s="381"/>
      <c r="N256" s="381"/>
      <c r="O256" s="381"/>
      <c r="P256" s="381"/>
      <c r="Q256" s="381"/>
      <c r="R256" s="381"/>
      <c r="S256" s="381"/>
      <c r="T256" s="381"/>
      <c r="U256" s="374"/>
      <c r="V256" s="374"/>
      <c r="W256" s="374"/>
      <c r="X256" s="374"/>
    </row>
    <row r="257" spans="1:24" x14ac:dyDescent="0.2">
      <c r="A257" s="374"/>
      <c r="B257" s="374"/>
      <c r="C257" s="374"/>
      <c r="D257" s="374"/>
      <c r="E257" s="374"/>
      <c r="F257" s="374"/>
      <c r="G257" s="374"/>
      <c r="H257" s="374"/>
      <c r="I257" s="374"/>
      <c r="J257" s="374"/>
      <c r="K257" s="374"/>
      <c r="L257" s="374"/>
      <c r="M257" s="374"/>
      <c r="N257" s="374"/>
      <c r="O257" s="374"/>
      <c r="P257" s="374"/>
      <c r="Q257" s="374"/>
      <c r="R257" s="374"/>
      <c r="S257" s="374"/>
      <c r="T257" s="374"/>
      <c r="U257" s="374"/>
      <c r="V257" s="374"/>
      <c r="W257" s="374"/>
      <c r="X257" s="374"/>
    </row>
    <row r="258" spans="1:24" x14ac:dyDescent="0.2">
      <c r="A258" s="374"/>
      <c r="B258" s="374"/>
      <c r="C258" s="374"/>
      <c r="D258" s="374"/>
      <c r="E258" s="374"/>
      <c r="F258" s="374"/>
      <c r="G258" s="374"/>
      <c r="H258" s="374"/>
      <c r="I258" s="374"/>
      <c r="J258" s="374"/>
      <c r="K258" s="374"/>
      <c r="L258" s="374"/>
      <c r="M258" s="374"/>
      <c r="N258" s="374"/>
      <c r="O258" s="374"/>
      <c r="P258" s="374"/>
      <c r="Q258" s="374"/>
      <c r="R258" s="374"/>
      <c r="S258" s="374"/>
      <c r="T258" s="374"/>
      <c r="U258" s="374"/>
      <c r="V258" s="374"/>
      <c r="W258" s="374"/>
      <c r="X258" s="374"/>
    </row>
    <row r="259" spans="1:24" x14ac:dyDescent="0.2">
      <c r="A259" s="381"/>
      <c r="B259" s="374"/>
      <c r="C259" s="374"/>
      <c r="D259" s="374"/>
      <c r="E259" s="374"/>
      <c r="F259" s="374"/>
      <c r="G259" s="374"/>
      <c r="H259" s="374"/>
      <c r="I259" s="374"/>
      <c r="J259" s="374"/>
      <c r="K259" s="374"/>
      <c r="L259" s="374"/>
      <c r="M259" s="374"/>
      <c r="N259" s="374"/>
      <c r="O259" s="374"/>
      <c r="P259" s="374"/>
      <c r="Q259" s="374"/>
      <c r="R259" s="374"/>
      <c r="S259" s="374"/>
      <c r="T259" s="374"/>
      <c r="U259" s="374"/>
      <c r="V259" s="374"/>
      <c r="W259" s="374"/>
      <c r="X259" s="374"/>
    </row>
    <row r="260" spans="1:24" x14ac:dyDescent="0.2">
      <c r="A260" s="381"/>
      <c r="B260" s="374"/>
      <c r="C260" s="374"/>
      <c r="D260" s="374"/>
      <c r="E260" s="374"/>
      <c r="F260" s="374"/>
      <c r="G260" s="374"/>
      <c r="H260" s="374"/>
      <c r="I260" s="374"/>
      <c r="J260" s="374"/>
      <c r="K260" s="374"/>
      <c r="L260" s="374"/>
      <c r="M260" s="374"/>
      <c r="N260" s="374"/>
      <c r="O260" s="374"/>
      <c r="P260" s="374"/>
      <c r="Q260" s="374"/>
      <c r="R260" s="374"/>
      <c r="S260" s="374"/>
      <c r="T260" s="374"/>
      <c r="U260" s="374"/>
      <c r="V260" s="374"/>
      <c r="W260" s="374"/>
      <c r="X260" s="374"/>
    </row>
    <row r="261" spans="1:24" x14ac:dyDescent="0.2">
      <c r="A261" s="381"/>
      <c r="B261" s="381"/>
      <c r="C261" s="381"/>
      <c r="D261" s="381"/>
      <c r="E261" s="381"/>
      <c r="F261" s="381"/>
      <c r="G261" s="381"/>
      <c r="H261" s="381"/>
      <c r="I261" s="381"/>
      <c r="J261" s="381"/>
      <c r="K261" s="381"/>
      <c r="L261" s="381"/>
      <c r="M261" s="381"/>
      <c r="N261" s="381"/>
      <c r="O261" s="381"/>
      <c r="P261" s="381"/>
      <c r="Q261" s="381"/>
      <c r="R261" s="381"/>
      <c r="S261" s="381"/>
      <c r="T261" s="381"/>
      <c r="U261" s="374"/>
      <c r="V261" s="374"/>
      <c r="W261" s="374"/>
      <c r="X261" s="374"/>
    </row>
    <row r="262" spans="1:24" x14ac:dyDescent="0.2">
      <c r="A262" s="382"/>
      <c r="B262" s="381"/>
      <c r="C262" s="381"/>
      <c r="D262" s="381"/>
      <c r="E262" s="381"/>
      <c r="F262" s="381"/>
      <c r="G262" s="381"/>
      <c r="H262" s="381"/>
      <c r="I262" s="374"/>
      <c r="J262" s="374"/>
      <c r="K262" s="374"/>
      <c r="L262" s="374"/>
      <c r="M262" s="374"/>
      <c r="N262" s="374"/>
      <c r="O262" s="374"/>
      <c r="P262" s="374"/>
      <c r="Q262" s="374"/>
      <c r="R262" s="374"/>
      <c r="S262" s="374"/>
      <c r="T262" s="374"/>
      <c r="U262" s="381"/>
      <c r="V262" s="374"/>
      <c r="W262" s="374"/>
      <c r="X262" s="374"/>
    </row>
    <row r="263" spans="1:24" x14ac:dyDescent="0.2">
      <c r="A263" s="374"/>
      <c r="B263" s="374"/>
      <c r="C263" s="374"/>
      <c r="D263" s="374"/>
      <c r="E263" s="374"/>
      <c r="F263" s="374"/>
      <c r="G263" s="374"/>
      <c r="H263" s="374"/>
      <c r="I263" s="374"/>
      <c r="J263" s="374"/>
      <c r="K263" s="374"/>
      <c r="L263" s="374"/>
      <c r="M263" s="374"/>
      <c r="N263" s="374"/>
      <c r="O263" s="374"/>
      <c r="P263" s="374"/>
      <c r="Q263" s="374"/>
      <c r="R263" s="374"/>
      <c r="S263" s="374"/>
      <c r="T263" s="374"/>
      <c r="U263" s="381"/>
      <c r="V263" s="381"/>
      <c r="W263" s="381"/>
      <c r="X263" s="374"/>
    </row>
    <row r="264" spans="1:24" x14ac:dyDescent="0.2">
      <c r="A264" s="381"/>
      <c r="B264" s="374"/>
      <c r="C264" s="374"/>
      <c r="D264" s="374"/>
      <c r="E264" s="374"/>
      <c r="F264" s="374"/>
      <c r="G264" s="374"/>
      <c r="H264" s="374"/>
      <c r="I264" s="374"/>
      <c r="J264" s="374"/>
      <c r="K264" s="374"/>
      <c r="L264" s="374"/>
      <c r="M264" s="374"/>
      <c r="N264" s="374"/>
      <c r="O264" s="374"/>
      <c r="P264" s="374"/>
      <c r="Q264" s="374"/>
      <c r="R264" s="374"/>
      <c r="S264" s="374"/>
      <c r="T264" s="374"/>
      <c r="U264" s="381"/>
      <c r="V264" s="381"/>
      <c r="W264" s="381"/>
      <c r="X264" s="374"/>
    </row>
    <row r="265" spans="1:24" x14ac:dyDescent="0.2">
      <c r="A265" s="374"/>
      <c r="B265" s="374"/>
      <c r="C265" s="374"/>
      <c r="D265" s="374"/>
      <c r="E265" s="374"/>
      <c r="F265" s="374"/>
      <c r="G265" s="374"/>
      <c r="H265" s="374"/>
      <c r="I265" s="374"/>
      <c r="J265" s="374"/>
      <c r="K265" s="374"/>
      <c r="L265" s="374"/>
      <c r="M265" s="374"/>
      <c r="N265" s="374"/>
      <c r="O265" s="374"/>
      <c r="P265" s="374"/>
      <c r="Q265" s="374"/>
      <c r="R265" s="374"/>
      <c r="S265" s="374"/>
      <c r="T265" s="374"/>
      <c r="U265" s="381"/>
      <c r="V265" s="381"/>
      <c r="W265" s="381"/>
      <c r="X265" s="374"/>
    </row>
    <row r="266" spans="1:24" x14ac:dyDescent="0.2">
      <c r="A266" s="374"/>
      <c r="B266" s="374"/>
      <c r="C266" s="374"/>
      <c r="D266" s="374"/>
      <c r="E266" s="374"/>
      <c r="F266" s="374"/>
      <c r="G266" s="374"/>
      <c r="H266" s="374"/>
      <c r="I266" s="374"/>
      <c r="J266" s="374"/>
      <c r="K266" s="374"/>
      <c r="L266" s="374"/>
      <c r="M266" s="374"/>
      <c r="N266" s="374"/>
      <c r="O266" s="374"/>
      <c r="P266" s="374"/>
      <c r="Q266" s="374"/>
      <c r="R266" s="374"/>
      <c r="S266" s="374"/>
      <c r="T266" s="374"/>
      <c r="U266" s="381"/>
      <c r="V266" s="381"/>
      <c r="W266" s="381"/>
      <c r="X266" s="374"/>
    </row>
    <row r="267" spans="1:24" x14ac:dyDescent="0.2">
      <c r="A267" s="374"/>
      <c r="B267" s="374"/>
      <c r="C267" s="374"/>
      <c r="D267" s="374"/>
      <c r="E267" s="374"/>
      <c r="F267" s="374"/>
      <c r="G267" s="374"/>
      <c r="H267" s="374"/>
      <c r="I267" s="374"/>
      <c r="J267" s="374"/>
      <c r="K267" s="374"/>
      <c r="L267" s="374"/>
      <c r="M267" s="374"/>
      <c r="N267" s="374"/>
      <c r="O267" s="374"/>
      <c r="P267" s="374"/>
      <c r="Q267" s="374"/>
      <c r="R267" s="374"/>
      <c r="S267" s="374"/>
      <c r="T267" s="374"/>
      <c r="U267" s="381"/>
      <c r="V267" s="381"/>
      <c r="W267" s="381"/>
      <c r="X267" s="374"/>
    </row>
    <row r="268" spans="1:24" x14ac:dyDescent="0.2">
      <c r="A268" s="374"/>
      <c r="B268" s="374"/>
      <c r="C268" s="374"/>
      <c r="D268" s="374"/>
      <c r="E268" s="374"/>
      <c r="F268" s="374"/>
      <c r="G268" s="374"/>
      <c r="H268" s="374"/>
      <c r="I268" s="374"/>
      <c r="J268" s="374"/>
      <c r="K268" s="374"/>
      <c r="L268" s="374"/>
      <c r="M268" s="374"/>
      <c r="N268" s="374"/>
      <c r="O268" s="374"/>
      <c r="P268" s="374"/>
      <c r="Q268" s="374"/>
      <c r="R268" s="374"/>
      <c r="S268" s="374"/>
      <c r="T268" s="374"/>
      <c r="U268" s="381"/>
      <c r="V268" s="381"/>
      <c r="W268" s="381"/>
      <c r="X268" s="374"/>
    </row>
    <row r="269" spans="1:24" x14ac:dyDescent="0.2">
      <c r="A269" s="374"/>
      <c r="B269" s="374"/>
      <c r="C269" s="374"/>
      <c r="D269" s="374"/>
      <c r="E269" s="374"/>
      <c r="F269" s="374"/>
      <c r="G269" s="374"/>
      <c r="H269" s="374"/>
      <c r="I269" s="374"/>
      <c r="J269" s="374"/>
      <c r="K269" s="374"/>
      <c r="L269" s="374"/>
      <c r="M269" s="374"/>
      <c r="N269" s="374"/>
      <c r="O269" s="374"/>
      <c r="P269" s="374"/>
      <c r="Q269" s="374"/>
      <c r="R269" s="374"/>
      <c r="S269" s="374"/>
      <c r="T269" s="374"/>
      <c r="U269" s="381"/>
      <c r="V269" s="381"/>
      <c r="W269" s="381"/>
      <c r="X269" s="374"/>
    </row>
    <row r="270" spans="1:24" x14ac:dyDescent="0.2">
      <c r="A270" s="374"/>
      <c r="B270" s="374"/>
      <c r="C270" s="374"/>
      <c r="D270" s="374"/>
      <c r="E270" s="374"/>
      <c r="F270" s="374"/>
      <c r="G270" s="374"/>
      <c r="H270" s="374"/>
      <c r="I270" s="374"/>
      <c r="J270" s="374"/>
      <c r="K270" s="374"/>
      <c r="L270" s="374"/>
      <c r="M270" s="374"/>
      <c r="N270" s="374"/>
      <c r="O270" s="374"/>
      <c r="P270" s="374"/>
      <c r="Q270" s="374"/>
      <c r="R270" s="374"/>
      <c r="S270" s="374"/>
      <c r="T270" s="374"/>
      <c r="U270" s="381"/>
      <c r="V270" s="381"/>
      <c r="W270" s="381"/>
      <c r="X270" s="374"/>
    </row>
    <row r="271" spans="1:24" x14ac:dyDescent="0.2">
      <c r="A271" s="374"/>
      <c r="B271" s="374"/>
      <c r="C271" s="374"/>
      <c r="D271" s="374"/>
      <c r="E271" s="374"/>
      <c r="F271" s="374"/>
      <c r="G271" s="374"/>
      <c r="H271" s="374"/>
      <c r="I271" s="374"/>
      <c r="J271" s="374"/>
      <c r="K271" s="374"/>
      <c r="L271" s="374"/>
      <c r="M271" s="374"/>
      <c r="N271" s="374"/>
      <c r="O271" s="374"/>
      <c r="P271" s="374"/>
      <c r="Q271" s="374"/>
      <c r="R271" s="374"/>
      <c r="S271" s="374"/>
      <c r="T271" s="374"/>
      <c r="U271" s="381"/>
      <c r="V271" s="381"/>
      <c r="W271" s="381"/>
      <c r="X271" s="374"/>
    </row>
    <row r="272" spans="1:24" x14ac:dyDescent="0.2">
      <c r="A272" s="374"/>
      <c r="B272" s="374"/>
      <c r="C272" s="374"/>
      <c r="D272" s="374"/>
      <c r="E272" s="374"/>
      <c r="F272" s="374"/>
      <c r="G272" s="374"/>
      <c r="H272" s="374"/>
      <c r="I272" s="374"/>
      <c r="J272" s="374"/>
      <c r="K272" s="374"/>
      <c r="L272" s="374"/>
      <c r="M272" s="374"/>
      <c r="N272" s="374"/>
      <c r="O272" s="374"/>
      <c r="P272" s="374"/>
      <c r="Q272" s="374"/>
      <c r="R272" s="374"/>
      <c r="S272" s="374"/>
      <c r="T272" s="374"/>
      <c r="U272" s="374"/>
      <c r="V272" s="381"/>
      <c r="W272" s="381"/>
      <c r="X272" s="374"/>
    </row>
    <row r="273" spans="1:24" x14ac:dyDescent="0.2">
      <c r="A273" s="374"/>
      <c r="B273" s="374"/>
      <c r="C273" s="374"/>
      <c r="D273" s="374"/>
      <c r="E273" s="374"/>
      <c r="F273" s="374"/>
      <c r="G273" s="374"/>
      <c r="H273" s="374"/>
      <c r="I273" s="374"/>
      <c r="J273" s="374"/>
      <c r="K273" s="374"/>
      <c r="L273" s="374"/>
      <c r="M273" s="374"/>
      <c r="N273" s="374"/>
      <c r="O273" s="374"/>
      <c r="P273" s="374"/>
      <c r="Q273" s="374"/>
      <c r="R273" s="374"/>
      <c r="S273" s="374"/>
      <c r="T273" s="374"/>
      <c r="U273" s="374"/>
      <c r="V273" s="374"/>
      <c r="W273" s="374"/>
      <c r="X273" s="374"/>
    </row>
    <row r="274" spans="1:24" x14ac:dyDescent="0.2">
      <c r="A274" s="374"/>
      <c r="B274" s="374"/>
      <c r="C274" s="374"/>
      <c r="D274" s="374"/>
      <c r="E274" s="374"/>
      <c r="F274" s="374"/>
      <c r="G274" s="374"/>
      <c r="H274" s="374"/>
      <c r="I274" s="374"/>
      <c r="J274" s="374"/>
      <c r="K274" s="374"/>
      <c r="L274" s="374"/>
      <c r="M274" s="374"/>
      <c r="N274" s="374"/>
      <c r="O274" s="374"/>
      <c r="P274" s="374"/>
      <c r="Q274" s="374"/>
      <c r="R274" s="374"/>
      <c r="S274" s="374"/>
      <c r="T274" s="374"/>
      <c r="U274" s="374"/>
      <c r="V274" s="374"/>
      <c r="W274" s="374"/>
      <c r="X274" s="374"/>
    </row>
    <row r="275" spans="1:24" x14ac:dyDescent="0.2">
      <c r="A275" s="374"/>
      <c r="B275" s="374"/>
      <c r="C275" s="374"/>
      <c r="D275" s="374"/>
      <c r="E275" s="374"/>
      <c r="F275" s="374"/>
      <c r="G275" s="374"/>
      <c r="H275" s="374"/>
      <c r="I275" s="374"/>
      <c r="J275" s="374"/>
      <c r="K275" s="374"/>
      <c r="L275" s="374"/>
      <c r="M275" s="374"/>
      <c r="N275" s="374"/>
      <c r="O275" s="374"/>
      <c r="P275" s="374"/>
      <c r="Q275" s="374"/>
      <c r="R275" s="374"/>
      <c r="S275" s="374"/>
      <c r="T275" s="374"/>
      <c r="U275" s="374"/>
      <c r="V275" s="374"/>
      <c r="W275" s="374"/>
      <c r="X275" s="374"/>
    </row>
    <row r="276" spans="1:24" x14ac:dyDescent="0.2">
      <c r="A276" s="374"/>
      <c r="B276" s="374"/>
      <c r="C276" s="374"/>
      <c r="D276" s="374"/>
      <c r="E276" s="374"/>
      <c r="F276" s="374"/>
      <c r="G276" s="374"/>
      <c r="H276" s="374"/>
      <c r="I276" s="374"/>
      <c r="J276" s="374"/>
      <c r="K276" s="374"/>
      <c r="L276" s="374"/>
      <c r="M276" s="374"/>
      <c r="N276" s="374"/>
      <c r="O276" s="374"/>
      <c r="P276" s="374"/>
      <c r="Q276" s="374"/>
      <c r="R276" s="374"/>
      <c r="S276" s="374"/>
      <c r="T276" s="374"/>
      <c r="U276" s="381"/>
      <c r="V276" s="374"/>
      <c r="W276" s="374"/>
      <c r="X276" s="374"/>
    </row>
    <row r="277" spans="1:24" x14ac:dyDescent="0.2">
      <c r="A277" s="374"/>
      <c r="B277" s="374"/>
      <c r="C277" s="374"/>
      <c r="D277" s="374"/>
      <c r="E277" s="374"/>
      <c r="F277" s="374"/>
      <c r="G277" s="374"/>
      <c r="H277" s="374"/>
      <c r="I277" s="374"/>
      <c r="J277" s="374"/>
      <c r="K277" s="374"/>
      <c r="L277" s="374"/>
      <c r="M277" s="374"/>
      <c r="N277" s="374"/>
      <c r="O277" s="374"/>
      <c r="P277" s="374"/>
      <c r="Q277" s="374"/>
      <c r="R277" s="374"/>
      <c r="S277" s="374"/>
      <c r="T277" s="374"/>
      <c r="U277" s="374"/>
      <c r="V277" s="381"/>
      <c r="W277" s="381"/>
      <c r="X277" s="381"/>
    </row>
    <row r="278" spans="1:24" x14ac:dyDescent="0.2">
      <c r="A278" s="381"/>
      <c r="B278" s="374"/>
      <c r="C278" s="374"/>
      <c r="D278" s="374"/>
      <c r="E278" s="374"/>
      <c r="F278" s="374"/>
      <c r="G278" s="374"/>
      <c r="H278" s="374"/>
      <c r="I278" s="374"/>
      <c r="J278" s="374"/>
      <c r="K278" s="374"/>
      <c r="L278" s="374"/>
      <c r="M278" s="374"/>
      <c r="N278" s="374"/>
      <c r="O278" s="374"/>
      <c r="P278" s="374"/>
      <c r="Q278" s="374"/>
      <c r="R278" s="374"/>
      <c r="S278" s="374"/>
      <c r="T278" s="374"/>
      <c r="U278" s="374"/>
      <c r="V278" s="374"/>
      <c r="W278" s="374"/>
      <c r="X278" s="374"/>
    </row>
    <row r="279" spans="1:24" x14ac:dyDescent="0.2">
      <c r="A279" s="374"/>
      <c r="B279" s="374"/>
      <c r="C279" s="374"/>
      <c r="D279" s="374"/>
      <c r="E279" s="374"/>
      <c r="F279" s="374"/>
      <c r="G279" s="374"/>
      <c r="H279" s="374"/>
      <c r="I279" s="374"/>
      <c r="J279" s="374"/>
      <c r="K279" s="374"/>
      <c r="L279" s="374"/>
      <c r="M279" s="374"/>
      <c r="N279" s="374"/>
      <c r="O279" s="374"/>
      <c r="P279" s="374"/>
      <c r="Q279" s="374"/>
      <c r="R279" s="374"/>
      <c r="S279" s="374"/>
      <c r="T279" s="374"/>
      <c r="U279" s="374"/>
      <c r="V279" s="374"/>
      <c r="W279" s="374"/>
      <c r="X279" s="374"/>
    </row>
    <row r="280" spans="1:24" x14ac:dyDescent="0.2">
      <c r="A280" s="374"/>
      <c r="B280" s="374"/>
      <c r="C280" s="374"/>
      <c r="D280" s="374"/>
      <c r="E280" s="374"/>
      <c r="F280" s="374"/>
      <c r="G280" s="374"/>
      <c r="H280" s="374"/>
      <c r="I280" s="374"/>
      <c r="J280" s="374"/>
      <c r="K280" s="374"/>
      <c r="L280" s="374"/>
      <c r="M280" s="374"/>
      <c r="N280" s="374"/>
      <c r="O280" s="374"/>
      <c r="P280" s="374"/>
      <c r="Q280" s="374"/>
      <c r="R280" s="374"/>
      <c r="S280" s="374"/>
      <c r="T280" s="374"/>
      <c r="U280" s="374"/>
      <c r="V280" s="374"/>
      <c r="W280" s="374"/>
      <c r="X280" s="374"/>
    </row>
    <row r="281" spans="1:24" x14ac:dyDescent="0.2">
      <c r="A281" s="374"/>
      <c r="B281" s="374"/>
      <c r="C281" s="374"/>
      <c r="D281" s="374"/>
      <c r="E281" s="374"/>
      <c r="F281" s="374"/>
      <c r="G281" s="374"/>
      <c r="H281" s="374"/>
      <c r="I281" s="374"/>
      <c r="J281" s="374"/>
      <c r="K281" s="374"/>
      <c r="L281" s="374"/>
      <c r="M281" s="374"/>
      <c r="N281" s="374"/>
      <c r="O281" s="374"/>
      <c r="P281" s="374"/>
      <c r="Q281" s="374"/>
      <c r="R281" s="374"/>
      <c r="S281" s="374"/>
      <c r="T281" s="374"/>
      <c r="U281" s="374"/>
      <c r="V281" s="374"/>
      <c r="W281" s="374"/>
      <c r="X281" s="374"/>
    </row>
    <row r="282" spans="1:24" x14ac:dyDescent="0.2">
      <c r="A282" s="374"/>
      <c r="B282" s="374"/>
      <c r="C282" s="374"/>
      <c r="D282" s="374"/>
      <c r="E282" s="374"/>
      <c r="F282" s="374"/>
      <c r="G282" s="374"/>
      <c r="H282" s="374"/>
      <c r="I282" s="374"/>
      <c r="J282" s="374"/>
      <c r="K282" s="374"/>
      <c r="L282" s="374"/>
      <c r="M282" s="374"/>
      <c r="N282" s="374"/>
      <c r="O282" s="374"/>
      <c r="P282" s="374"/>
      <c r="Q282" s="374"/>
      <c r="R282" s="374"/>
      <c r="S282" s="374"/>
      <c r="T282" s="374"/>
      <c r="U282" s="374"/>
      <c r="V282" s="374"/>
      <c r="W282" s="374"/>
      <c r="X282" s="374"/>
    </row>
    <row r="283" spans="1:24" x14ac:dyDescent="0.2">
      <c r="A283" s="374"/>
      <c r="B283" s="374"/>
      <c r="C283" s="374"/>
      <c r="D283" s="374"/>
      <c r="E283" s="374"/>
      <c r="F283" s="374"/>
      <c r="G283" s="374"/>
      <c r="H283" s="374"/>
      <c r="I283" s="374"/>
      <c r="J283" s="374"/>
      <c r="K283" s="374"/>
      <c r="L283" s="374"/>
      <c r="M283" s="374"/>
      <c r="N283" s="374"/>
      <c r="O283" s="374"/>
      <c r="P283" s="374"/>
      <c r="Q283" s="374"/>
      <c r="R283" s="374"/>
      <c r="S283" s="374"/>
      <c r="T283" s="374"/>
      <c r="U283" s="374"/>
      <c r="V283" s="374"/>
      <c r="W283" s="374"/>
      <c r="X283" s="374"/>
    </row>
    <row r="284" spans="1:24" x14ac:dyDescent="0.2">
      <c r="A284" s="374"/>
      <c r="B284" s="374"/>
      <c r="C284" s="374"/>
      <c r="D284" s="374"/>
      <c r="E284" s="374"/>
      <c r="F284" s="374"/>
      <c r="G284" s="374"/>
      <c r="H284" s="374"/>
      <c r="I284" s="374"/>
      <c r="J284" s="374"/>
      <c r="K284" s="374"/>
      <c r="L284" s="374"/>
      <c r="M284" s="374"/>
      <c r="N284" s="374"/>
      <c r="O284" s="374"/>
      <c r="P284" s="374"/>
      <c r="Q284" s="374"/>
      <c r="R284" s="374"/>
      <c r="S284" s="374"/>
      <c r="T284" s="374"/>
      <c r="U284" s="374"/>
      <c r="V284" s="374"/>
      <c r="W284" s="374"/>
      <c r="X284" s="374"/>
    </row>
    <row r="285" spans="1:24" x14ac:dyDescent="0.2">
      <c r="A285" s="374"/>
      <c r="B285" s="374"/>
      <c r="C285" s="374"/>
      <c r="D285" s="374"/>
      <c r="E285" s="374"/>
      <c r="F285" s="374"/>
      <c r="G285" s="374"/>
      <c r="H285" s="374"/>
      <c r="I285" s="374"/>
      <c r="J285" s="374"/>
      <c r="K285" s="374"/>
      <c r="L285" s="374"/>
      <c r="M285" s="374"/>
      <c r="N285" s="374"/>
      <c r="O285" s="374"/>
      <c r="P285" s="374"/>
      <c r="Q285" s="374"/>
      <c r="R285" s="374"/>
      <c r="S285" s="374"/>
      <c r="T285" s="374"/>
      <c r="U285" s="374"/>
      <c r="V285" s="374"/>
      <c r="W285" s="374"/>
      <c r="X285" s="374"/>
    </row>
    <row r="286" spans="1:24" x14ac:dyDescent="0.2">
      <c r="A286" s="374"/>
      <c r="B286" s="374"/>
      <c r="C286" s="374"/>
      <c r="D286" s="374"/>
      <c r="E286" s="374"/>
      <c r="F286" s="374"/>
      <c r="G286" s="374"/>
      <c r="H286" s="374"/>
      <c r="I286" s="374"/>
      <c r="J286" s="374"/>
      <c r="K286" s="374"/>
      <c r="L286" s="374"/>
      <c r="M286" s="374"/>
      <c r="N286" s="374"/>
      <c r="O286" s="374"/>
      <c r="P286" s="374"/>
      <c r="Q286" s="374"/>
      <c r="R286" s="374"/>
      <c r="S286" s="374"/>
      <c r="T286" s="374"/>
      <c r="U286" s="374"/>
      <c r="V286" s="374"/>
      <c r="W286" s="374"/>
      <c r="X286" s="374"/>
    </row>
    <row r="287" spans="1:24" x14ac:dyDescent="0.2">
      <c r="A287" s="374"/>
      <c r="B287" s="374"/>
      <c r="C287" s="374"/>
      <c r="D287" s="374"/>
      <c r="E287" s="374"/>
      <c r="F287" s="374"/>
      <c r="G287" s="374"/>
      <c r="H287" s="374"/>
      <c r="I287" s="374"/>
      <c r="J287" s="374"/>
      <c r="K287" s="374"/>
      <c r="L287" s="374"/>
      <c r="M287" s="374"/>
      <c r="N287" s="374"/>
      <c r="O287" s="374"/>
      <c r="P287" s="374"/>
      <c r="Q287" s="374"/>
      <c r="R287" s="374"/>
      <c r="S287" s="374"/>
      <c r="T287" s="374"/>
      <c r="U287" s="374"/>
      <c r="V287" s="374"/>
      <c r="W287" s="374"/>
      <c r="X287" s="374"/>
    </row>
    <row r="288" spans="1:24" x14ac:dyDescent="0.2">
      <c r="A288" s="374"/>
      <c r="B288" s="374"/>
      <c r="C288" s="374"/>
      <c r="D288" s="374"/>
      <c r="E288" s="374"/>
      <c r="F288" s="374"/>
      <c r="G288" s="374"/>
      <c r="H288" s="374"/>
      <c r="I288" s="374"/>
      <c r="J288" s="374"/>
      <c r="K288" s="374"/>
      <c r="L288" s="374"/>
      <c r="M288" s="374"/>
      <c r="N288" s="374"/>
      <c r="O288" s="374"/>
      <c r="P288" s="374"/>
      <c r="Q288" s="374"/>
      <c r="R288" s="374"/>
      <c r="S288" s="374"/>
      <c r="T288" s="374"/>
      <c r="U288" s="374"/>
      <c r="V288" s="374"/>
      <c r="W288" s="374"/>
      <c r="X288" s="374"/>
    </row>
    <row r="289" spans="1:24" x14ac:dyDescent="0.2">
      <c r="A289" s="374"/>
      <c r="B289" s="374"/>
      <c r="C289" s="374"/>
      <c r="D289" s="374"/>
      <c r="E289" s="374"/>
      <c r="F289" s="374"/>
      <c r="G289" s="374"/>
      <c r="H289" s="374"/>
      <c r="I289" s="374"/>
      <c r="J289" s="374"/>
      <c r="K289" s="374"/>
      <c r="L289" s="374"/>
      <c r="M289" s="374"/>
      <c r="N289" s="374"/>
      <c r="O289" s="374"/>
      <c r="P289" s="374"/>
      <c r="Q289" s="374"/>
      <c r="R289" s="374"/>
      <c r="S289" s="374"/>
      <c r="T289" s="374"/>
      <c r="U289" s="374"/>
      <c r="V289" s="374"/>
      <c r="W289" s="374"/>
      <c r="X289" s="374"/>
    </row>
    <row r="290" spans="1:24" x14ac:dyDescent="0.2">
      <c r="A290" s="374"/>
      <c r="B290" s="374"/>
      <c r="C290" s="374"/>
      <c r="D290" s="374"/>
      <c r="E290" s="374"/>
      <c r="F290" s="374"/>
      <c r="G290" s="374"/>
      <c r="H290" s="374"/>
      <c r="I290" s="374"/>
      <c r="J290" s="374"/>
      <c r="K290" s="374"/>
      <c r="L290" s="374"/>
      <c r="M290" s="374"/>
      <c r="N290" s="374"/>
      <c r="O290" s="374"/>
      <c r="P290" s="374"/>
      <c r="Q290" s="374"/>
      <c r="R290" s="374"/>
      <c r="S290" s="374"/>
      <c r="T290" s="374"/>
      <c r="U290" s="374"/>
      <c r="V290" s="374"/>
      <c r="W290" s="374"/>
      <c r="X290" s="374"/>
    </row>
    <row r="291" spans="1:24" x14ac:dyDescent="0.2">
      <c r="A291" s="374"/>
      <c r="B291" s="374"/>
      <c r="C291" s="374"/>
      <c r="D291" s="374"/>
      <c r="E291" s="374"/>
      <c r="F291" s="374"/>
      <c r="G291" s="374"/>
      <c r="H291" s="374"/>
      <c r="I291" s="374"/>
      <c r="J291" s="374"/>
      <c r="K291" s="374"/>
      <c r="L291" s="374"/>
      <c r="M291" s="374"/>
      <c r="N291" s="374"/>
      <c r="O291" s="374"/>
      <c r="P291" s="374"/>
      <c r="Q291" s="374"/>
      <c r="R291" s="374"/>
      <c r="S291" s="374"/>
      <c r="T291" s="374"/>
      <c r="U291" s="374"/>
      <c r="V291" s="374"/>
      <c r="W291" s="374"/>
      <c r="X291" s="374"/>
    </row>
    <row r="292" spans="1:24" x14ac:dyDescent="0.2">
      <c r="A292" s="381"/>
      <c r="B292" s="374"/>
      <c r="C292" s="374"/>
      <c r="D292" s="374"/>
      <c r="E292" s="374"/>
      <c r="F292" s="374"/>
      <c r="G292" s="374"/>
      <c r="H292" s="374"/>
      <c r="I292" s="374"/>
      <c r="J292" s="374"/>
      <c r="K292" s="374"/>
      <c r="L292" s="374"/>
      <c r="M292" s="374"/>
      <c r="N292" s="374"/>
      <c r="O292" s="374"/>
      <c r="P292" s="374"/>
      <c r="Q292" s="374"/>
      <c r="R292" s="374"/>
      <c r="S292" s="374"/>
      <c r="T292" s="374"/>
      <c r="U292" s="374"/>
      <c r="V292" s="374"/>
      <c r="W292" s="374"/>
      <c r="X292" s="374"/>
    </row>
    <row r="293" spans="1:24" x14ac:dyDescent="0.2">
      <c r="A293" s="374"/>
      <c r="B293" s="374"/>
      <c r="C293" s="374"/>
      <c r="D293" s="374"/>
      <c r="E293" s="374"/>
      <c r="F293" s="374"/>
      <c r="G293" s="374"/>
      <c r="H293" s="374"/>
      <c r="I293" s="374"/>
      <c r="J293" s="374"/>
      <c r="K293" s="374"/>
      <c r="L293" s="374"/>
      <c r="M293" s="374"/>
      <c r="N293" s="374"/>
      <c r="O293" s="374"/>
      <c r="P293" s="374"/>
      <c r="Q293" s="374"/>
      <c r="R293" s="374"/>
      <c r="S293" s="374"/>
      <c r="T293" s="374"/>
      <c r="U293" s="374"/>
      <c r="V293" s="374"/>
      <c r="W293" s="374"/>
      <c r="X293" s="374"/>
    </row>
    <row r="294" spans="1:24" x14ac:dyDescent="0.2">
      <c r="A294" s="374"/>
      <c r="B294" s="374"/>
      <c r="C294" s="374"/>
      <c r="D294" s="374"/>
      <c r="E294" s="374"/>
      <c r="F294" s="374"/>
      <c r="G294" s="374"/>
      <c r="H294" s="374"/>
      <c r="I294" s="374"/>
      <c r="J294" s="374"/>
      <c r="K294" s="374"/>
      <c r="L294" s="374"/>
      <c r="M294" s="374"/>
      <c r="N294" s="374"/>
      <c r="O294" s="374"/>
      <c r="P294" s="374"/>
      <c r="Q294" s="374"/>
      <c r="R294" s="374"/>
      <c r="S294" s="374"/>
      <c r="T294" s="374"/>
      <c r="U294" s="374"/>
      <c r="V294" s="374"/>
      <c r="W294" s="374"/>
      <c r="X294" s="374"/>
    </row>
    <row r="295" spans="1:24" x14ac:dyDescent="0.2">
      <c r="A295" s="374"/>
      <c r="B295" s="374"/>
      <c r="C295" s="374"/>
      <c r="D295" s="374"/>
      <c r="E295" s="374"/>
      <c r="F295" s="374"/>
      <c r="G295" s="374"/>
      <c r="H295" s="374"/>
      <c r="I295" s="374"/>
      <c r="J295" s="374"/>
      <c r="K295" s="374"/>
      <c r="L295" s="374"/>
      <c r="M295" s="374"/>
      <c r="N295" s="374"/>
      <c r="O295" s="374"/>
      <c r="P295" s="374"/>
      <c r="Q295" s="374"/>
      <c r="R295" s="374"/>
      <c r="S295" s="374"/>
      <c r="T295" s="374"/>
      <c r="U295" s="374"/>
      <c r="V295" s="374"/>
      <c r="W295" s="374"/>
      <c r="X295" s="374"/>
    </row>
    <row r="296" spans="1:24" x14ac:dyDescent="0.2">
      <c r="A296" s="374"/>
      <c r="B296" s="374"/>
      <c r="C296" s="374"/>
      <c r="D296" s="374"/>
      <c r="E296" s="374"/>
      <c r="F296" s="374"/>
      <c r="G296" s="374"/>
      <c r="H296" s="374"/>
      <c r="I296" s="374"/>
      <c r="J296" s="374"/>
      <c r="K296" s="374"/>
      <c r="L296" s="374"/>
      <c r="M296" s="374"/>
      <c r="N296" s="374"/>
      <c r="O296" s="374"/>
      <c r="P296" s="374"/>
      <c r="Q296" s="374"/>
      <c r="R296" s="374"/>
      <c r="S296" s="374"/>
      <c r="T296" s="374"/>
      <c r="U296" s="374"/>
      <c r="V296" s="374"/>
      <c r="W296" s="374"/>
      <c r="X296" s="374"/>
    </row>
    <row r="297" spans="1:24" x14ac:dyDescent="0.2">
      <c r="A297" s="374"/>
      <c r="B297" s="374"/>
      <c r="C297" s="374"/>
      <c r="D297" s="374"/>
      <c r="E297" s="374"/>
      <c r="F297" s="374"/>
      <c r="G297" s="374"/>
      <c r="H297" s="374"/>
      <c r="I297" s="374"/>
      <c r="J297" s="374"/>
      <c r="K297" s="374"/>
      <c r="L297" s="374"/>
      <c r="M297" s="374"/>
      <c r="N297" s="374"/>
      <c r="O297" s="374"/>
      <c r="P297" s="374"/>
      <c r="Q297" s="374"/>
      <c r="R297" s="374"/>
      <c r="S297" s="374"/>
      <c r="T297" s="374"/>
      <c r="U297" s="374"/>
      <c r="V297" s="374"/>
      <c r="W297" s="374"/>
      <c r="X297" s="374"/>
    </row>
    <row r="298" spans="1:24" x14ac:dyDescent="0.2">
      <c r="A298" s="374"/>
      <c r="B298" s="374"/>
      <c r="C298" s="374"/>
      <c r="D298" s="374"/>
      <c r="E298" s="374"/>
      <c r="F298" s="374"/>
      <c r="G298" s="374"/>
      <c r="H298" s="374"/>
      <c r="I298" s="374"/>
      <c r="J298" s="374"/>
      <c r="K298" s="374"/>
      <c r="L298" s="374"/>
      <c r="M298" s="374"/>
      <c r="N298" s="374"/>
      <c r="O298" s="374"/>
      <c r="P298" s="374"/>
      <c r="Q298" s="374"/>
      <c r="R298" s="374"/>
      <c r="S298" s="374"/>
      <c r="T298" s="374"/>
      <c r="U298" s="374"/>
      <c r="V298" s="374"/>
      <c r="W298" s="374"/>
      <c r="X298" s="374"/>
    </row>
    <row r="299" spans="1:24" x14ac:dyDescent="0.2">
      <c r="A299" s="374"/>
      <c r="B299" s="374"/>
      <c r="C299" s="374"/>
      <c r="D299" s="374"/>
      <c r="E299" s="374"/>
      <c r="F299" s="374"/>
      <c r="G299" s="374"/>
      <c r="H299" s="374"/>
      <c r="I299" s="374"/>
      <c r="J299" s="374"/>
      <c r="K299" s="374"/>
      <c r="L299" s="374"/>
      <c r="M299" s="374"/>
      <c r="N299" s="374"/>
      <c r="O299" s="374"/>
      <c r="P299" s="374"/>
      <c r="Q299" s="374"/>
      <c r="R299" s="374"/>
      <c r="S299" s="374"/>
      <c r="T299" s="374"/>
      <c r="U299" s="374"/>
      <c r="V299" s="374"/>
      <c r="W299" s="374"/>
      <c r="X299" s="374"/>
    </row>
    <row r="300" spans="1:24" x14ac:dyDescent="0.2">
      <c r="A300" s="374"/>
      <c r="B300" s="374"/>
      <c r="C300" s="374"/>
      <c r="D300" s="374"/>
      <c r="E300" s="374"/>
      <c r="F300" s="374"/>
      <c r="G300" s="374"/>
      <c r="H300" s="374"/>
      <c r="I300" s="374"/>
      <c r="J300" s="374"/>
      <c r="K300" s="374"/>
      <c r="L300" s="374"/>
      <c r="M300" s="374"/>
      <c r="N300" s="374"/>
      <c r="O300" s="374"/>
      <c r="P300" s="374"/>
      <c r="Q300" s="374"/>
      <c r="R300" s="374"/>
      <c r="S300" s="374"/>
      <c r="T300" s="374"/>
      <c r="U300" s="374"/>
      <c r="V300" s="374"/>
      <c r="W300" s="374"/>
      <c r="X300" s="374"/>
    </row>
    <row r="301" spans="1:24" x14ac:dyDescent="0.2">
      <c r="A301" s="374"/>
      <c r="B301" s="374"/>
      <c r="C301" s="374"/>
      <c r="D301" s="374"/>
      <c r="E301" s="374"/>
      <c r="F301" s="374"/>
      <c r="G301" s="374"/>
      <c r="H301" s="374"/>
      <c r="I301" s="374"/>
      <c r="J301" s="374"/>
      <c r="K301" s="374"/>
      <c r="L301" s="374"/>
      <c r="M301" s="374"/>
      <c r="N301" s="374"/>
      <c r="O301" s="374"/>
      <c r="P301" s="374"/>
      <c r="Q301" s="374"/>
      <c r="R301" s="374"/>
      <c r="S301" s="374"/>
      <c r="T301" s="374"/>
      <c r="U301" s="374"/>
      <c r="V301" s="374"/>
      <c r="W301" s="374"/>
      <c r="X301" s="374"/>
    </row>
    <row r="302" spans="1:24" x14ac:dyDescent="0.2">
      <c r="A302" s="374"/>
      <c r="B302" s="374"/>
      <c r="C302" s="374"/>
      <c r="D302" s="374"/>
      <c r="E302" s="374"/>
      <c r="F302" s="374"/>
      <c r="G302" s="374"/>
      <c r="H302" s="374"/>
      <c r="I302" s="374"/>
      <c r="J302" s="374"/>
      <c r="K302" s="374"/>
      <c r="L302" s="374"/>
      <c r="M302" s="374"/>
      <c r="N302" s="374"/>
      <c r="O302" s="374"/>
      <c r="P302" s="374"/>
      <c r="Q302" s="374"/>
      <c r="R302" s="374"/>
      <c r="S302" s="374"/>
      <c r="T302" s="374"/>
      <c r="U302" s="374"/>
      <c r="V302" s="374"/>
      <c r="W302" s="374"/>
      <c r="X302" s="374"/>
    </row>
    <row r="303" spans="1:24" x14ac:dyDescent="0.2">
      <c r="A303" s="374"/>
      <c r="B303" s="374"/>
      <c r="C303" s="374"/>
      <c r="D303" s="374"/>
      <c r="E303" s="374"/>
      <c r="F303" s="374"/>
      <c r="G303" s="374"/>
      <c r="H303" s="374"/>
      <c r="I303" s="374"/>
      <c r="J303" s="374"/>
      <c r="K303" s="374"/>
      <c r="L303" s="374"/>
      <c r="M303" s="374"/>
      <c r="N303" s="374"/>
      <c r="O303" s="374"/>
      <c r="P303" s="374"/>
      <c r="Q303" s="374"/>
      <c r="R303" s="374"/>
      <c r="S303" s="374"/>
      <c r="T303" s="374"/>
      <c r="U303" s="374"/>
      <c r="V303" s="374"/>
      <c r="W303" s="374"/>
      <c r="X303" s="374"/>
    </row>
    <row r="304" spans="1:24" x14ac:dyDescent="0.2">
      <c r="A304" s="374"/>
      <c r="B304" s="374"/>
      <c r="C304" s="374"/>
      <c r="D304" s="374"/>
      <c r="E304" s="374"/>
      <c r="F304" s="374"/>
      <c r="G304" s="374"/>
      <c r="H304" s="374"/>
      <c r="I304" s="374"/>
      <c r="J304" s="374"/>
      <c r="K304" s="374"/>
      <c r="L304" s="374"/>
      <c r="M304" s="374"/>
      <c r="N304" s="374"/>
      <c r="O304" s="374"/>
      <c r="P304" s="374"/>
      <c r="Q304" s="374"/>
      <c r="R304" s="374"/>
      <c r="S304" s="374"/>
      <c r="T304" s="374"/>
      <c r="U304" s="374"/>
      <c r="V304" s="374"/>
      <c r="W304" s="374"/>
      <c r="X304" s="374"/>
    </row>
    <row r="305" spans="1:24" x14ac:dyDescent="0.2">
      <c r="A305" s="374"/>
      <c r="B305" s="374"/>
      <c r="C305" s="374"/>
      <c r="D305" s="374"/>
      <c r="E305" s="374"/>
      <c r="F305" s="374"/>
      <c r="G305" s="374"/>
      <c r="H305" s="374"/>
      <c r="I305" s="374"/>
      <c r="J305" s="374"/>
      <c r="K305" s="374"/>
      <c r="L305" s="374"/>
      <c r="M305" s="374"/>
      <c r="N305" s="374"/>
      <c r="O305" s="374"/>
      <c r="P305" s="374"/>
      <c r="Q305" s="374"/>
      <c r="R305" s="374"/>
      <c r="S305" s="374"/>
      <c r="T305" s="374"/>
      <c r="U305" s="374"/>
      <c r="V305" s="374"/>
      <c r="W305" s="374"/>
      <c r="X305" s="374"/>
    </row>
    <row r="306" spans="1:24" x14ac:dyDescent="0.2">
      <c r="A306" s="381"/>
      <c r="B306" s="374"/>
      <c r="C306" s="374"/>
      <c r="D306" s="374"/>
      <c r="E306" s="374"/>
      <c r="F306" s="374"/>
      <c r="G306" s="374"/>
      <c r="H306" s="374"/>
      <c r="I306" s="374"/>
      <c r="J306" s="374"/>
      <c r="K306" s="374"/>
      <c r="L306" s="374"/>
      <c r="M306" s="374"/>
      <c r="N306" s="374"/>
      <c r="O306" s="374"/>
      <c r="P306" s="374"/>
      <c r="Q306" s="374"/>
      <c r="R306" s="374"/>
      <c r="S306" s="374"/>
      <c r="T306" s="374"/>
      <c r="U306" s="374"/>
      <c r="V306" s="374"/>
      <c r="W306" s="374"/>
      <c r="X306" s="374"/>
    </row>
    <row r="307" spans="1:24" x14ac:dyDescent="0.2">
      <c r="A307" s="374"/>
      <c r="B307" s="374"/>
      <c r="C307" s="374"/>
      <c r="D307" s="374"/>
      <c r="E307" s="374"/>
      <c r="F307" s="374"/>
      <c r="G307" s="374"/>
      <c r="H307" s="374"/>
      <c r="I307" s="374"/>
      <c r="J307" s="374"/>
      <c r="K307" s="374"/>
      <c r="L307" s="374"/>
      <c r="M307" s="374"/>
      <c r="N307" s="374"/>
      <c r="O307" s="374"/>
      <c r="P307" s="374"/>
      <c r="Q307" s="374"/>
      <c r="R307" s="374"/>
      <c r="S307" s="374"/>
      <c r="T307" s="374"/>
      <c r="U307" s="374"/>
      <c r="V307" s="374"/>
      <c r="W307" s="374"/>
      <c r="X307" s="374"/>
    </row>
    <row r="308" spans="1:24" x14ac:dyDescent="0.2">
      <c r="A308" s="374"/>
      <c r="B308" s="374"/>
      <c r="C308" s="374"/>
      <c r="D308" s="374"/>
      <c r="E308" s="374"/>
      <c r="F308" s="374"/>
      <c r="G308" s="374"/>
      <c r="H308" s="374"/>
      <c r="I308" s="374"/>
      <c r="J308" s="374"/>
      <c r="K308" s="374"/>
      <c r="L308" s="374"/>
      <c r="M308" s="374"/>
      <c r="N308" s="374"/>
      <c r="O308" s="374"/>
      <c r="P308" s="374"/>
      <c r="Q308" s="374"/>
      <c r="R308" s="374"/>
      <c r="S308" s="374"/>
      <c r="T308" s="374"/>
      <c r="U308" s="374"/>
      <c r="V308" s="374"/>
      <c r="W308" s="374"/>
      <c r="X308" s="374"/>
    </row>
    <row r="309" spans="1:24" x14ac:dyDescent="0.2">
      <c r="A309" s="374"/>
      <c r="B309" s="374"/>
      <c r="C309" s="374"/>
      <c r="D309" s="374"/>
      <c r="E309" s="374"/>
      <c r="F309" s="374"/>
      <c r="G309" s="374"/>
      <c r="H309" s="374"/>
      <c r="I309" s="374"/>
      <c r="J309" s="374"/>
      <c r="K309" s="374"/>
      <c r="L309" s="374"/>
      <c r="M309" s="374"/>
      <c r="N309" s="374"/>
      <c r="O309" s="374"/>
      <c r="P309" s="374"/>
      <c r="Q309" s="374"/>
      <c r="R309" s="374"/>
      <c r="S309" s="374"/>
      <c r="T309" s="374"/>
      <c r="U309" s="374"/>
      <c r="V309" s="374"/>
      <c r="W309" s="374"/>
      <c r="X309" s="374"/>
    </row>
    <row r="310" spans="1:24" x14ac:dyDescent="0.2">
      <c r="A310" s="374"/>
      <c r="B310" s="374"/>
      <c r="C310" s="374"/>
      <c r="D310" s="374"/>
      <c r="E310" s="374"/>
      <c r="F310" s="374"/>
      <c r="G310" s="374"/>
      <c r="H310" s="374"/>
      <c r="I310" s="374"/>
      <c r="J310" s="374"/>
      <c r="K310" s="374"/>
      <c r="L310" s="374"/>
      <c r="M310" s="374"/>
      <c r="N310" s="374"/>
      <c r="O310" s="374"/>
      <c r="P310" s="374"/>
      <c r="Q310" s="374"/>
      <c r="R310" s="374"/>
      <c r="S310" s="374"/>
      <c r="T310" s="374"/>
      <c r="U310" s="374"/>
      <c r="V310" s="374"/>
      <c r="W310" s="374"/>
      <c r="X310" s="374"/>
    </row>
    <row r="311" spans="1:24" x14ac:dyDescent="0.2">
      <c r="A311" s="374"/>
      <c r="B311" s="374"/>
      <c r="C311" s="374"/>
      <c r="D311" s="374"/>
      <c r="E311" s="374"/>
      <c r="F311" s="374"/>
      <c r="G311" s="374"/>
      <c r="H311" s="374"/>
      <c r="I311" s="374"/>
      <c r="J311" s="374"/>
      <c r="K311" s="374"/>
      <c r="L311" s="374"/>
      <c r="M311" s="374"/>
      <c r="N311" s="374"/>
      <c r="O311" s="374"/>
      <c r="P311" s="374"/>
      <c r="Q311" s="374"/>
      <c r="R311" s="374"/>
      <c r="S311" s="374"/>
      <c r="T311" s="374"/>
      <c r="U311" s="374"/>
      <c r="V311" s="374"/>
      <c r="W311" s="374"/>
      <c r="X311" s="374"/>
    </row>
    <row r="312" spans="1:24" x14ac:dyDescent="0.2">
      <c r="A312" s="374"/>
      <c r="B312" s="374"/>
      <c r="C312" s="374"/>
      <c r="D312" s="374"/>
      <c r="E312" s="374"/>
      <c r="F312" s="374"/>
      <c r="G312" s="374"/>
      <c r="H312" s="374"/>
      <c r="I312" s="374"/>
      <c r="J312" s="374"/>
      <c r="K312" s="374"/>
      <c r="L312" s="374"/>
      <c r="M312" s="374"/>
      <c r="N312" s="374"/>
      <c r="O312" s="374"/>
      <c r="P312" s="374"/>
      <c r="Q312" s="374"/>
      <c r="R312" s="374"/>
      <c r="S312" s="374"/>
      <c r="T312" s="374"/>
      <c r="U312" s="374"/>
      <c r="V312" s="374"/>
      <c r="W312" s="374"/>
      <c r="X312" s="374"/>
    </row>
    <row r="313" spans="1:24" x14ac:dyDescent="0.2">
      <c r="A313" s="374"/>
      <c r="B313" s="374"/>
      <c r="C313" s="374"/>
      <c r="D313" s="374"/>
      <c r="E313" s="374"/>
      <c r="F313" s="374"/>
      <c r="G313" s="374"/>
      <c r="H313" s="374"/>
      <c r="I313" s="374"/>
      <c r="J313" s="374"/>
      <c r="K313" s="374"/>
      <c r="L313" s="374"/>
      <c r="M313" s="374"/>
      <c r="N313" s="374"/>
      <c r="O313" s="374"/>
      <c r="P313" s="374"/>
      <c r="Q313" s="374"/>
      <c r="R313" s="374"/>
      <c r="S313" s="374"/>
      <c r="T313" s="374"/>
      <c r="U313" s="374"/>
      <c r="V313" s="374"/>
      <c r="W313" s="374"/>
      <c r="X313" s="374"/>
    </row>
    <row r="314" spans="1:24" x14ac:dyDescent="0.2">
      <c r="A314" s="374"/>
      <c r="B314" s="374"/>
      <c r="C314" s="374"/>
      <c r="D314" s="374"/>
      <c r="E314" s="374"/>
      <c r="F314" s="374"/>
      <c r="G314" s="374"/>
      <c r="H314" s="374"/>
      <c r="I314" s="374"/>
      <c r="J314" s="374"/>
      <c r="K314" s="374"/>
      <c r="L314" s="374"/>
      <c r="M314" s="374"/>
      <c r="N314" s="374"/>
      <c r="O314" s="374"/>
      <c r="P314" s="374"/>
      <c r="Q314" s="374"/>
      <c r="R314" s="374"/>
      <c r="S314" s="374"/>
      <c r="T314" s="374"/>
      <c r="U314" s="374"/>
      <c r="V314" s="374"/>
      <c r="W314" s="374"/>
      <c r="X314" s="374"/>
    </row>
    <row r="315" spans="1:24" x14ac:dyDescent="0.2">
      <c r="A315" s="374"/>
      <c r="B315" s="374"/>
      <c r="C315" s="374"/>
      <c r="D315" s="374"/>
      <c r="E315" s="374"/>
      <c r="F315" s="374"/>
      <c r="G315" s="374"/>
      <c r="H315" s="374"/>
      <c r="I315" s="374"/>
      <c r="J315" s="374"/>
      <c r="K315" s="374"/>
      <c r="L315" s="374"/>
      <c r="M315" s="374"/>
      <c r="N315" s="374"/>
      <c r="O315" s="374"/>
      <c r="P315" s="374"/>
      <c r="Q315" s="374"/>
      <c r="R315" s="374"/>
      <c r="S315" s="374"/>
      <c r="T315" s="374"/>
      <c r="U315" s="374"/>
      <c r="V315" s="374"/>
      <c r="W315" s="374"/>
      <c r="X315" s="374"/>
    </row>
    <row r="316" spans="1:24" x14ac:dyDescent="0.2">
      <c r="A316" s="374"/>
      <c r="B316" s="374"/>
      <c r="C316" s="374"/>
      <c r="D316" s="374"/>
      <c r="E316" s="374"/>
      <c r="F316" s="374"/>
      <c r="G316" s="374"/>
      <c r="H316" s="374"/>
      <c r="I316" s="374"/>
      <c r="J316" s="374"/>
      <c r="K316" s="374"/>
      <c r="L316" s="374"/>
      <c r="M316" s="374"/>
      <c r="N316" s="374"/>
      <c r="O316" s="374"/>
      <c r="P316" s="374"/>
      <c r="Q316" s="374"/>
      <c r="R316" s="374"/>
      <c r="S316" s="374"/>
      <c r="T316" s="374"/>
      <c r="U316" s="374"/>
      <c r="V316" s="374"/>
      <c r="W316" s="374"/>
      <c r="X316" s="374"/>
    </row>
    <row r="317" spans="1:24" x14ac:dyDescent="0.2">
      <c r="A317" s="374"/>
      <c r="B317" s="374"/>
      <c r="C317" s="374"/>
      <c r="D317" s="374"/>
      <c r="E317" s="374"/>
      <c r="F317" s="374"/>
      <c r="G317" s="374"/>
      <c r="H317" s="374"/>
      <c r="I317" s="374"/>
      <c r="J317" s="374"/>
      <c r="K317" s="374"/>
      <c r="L317" s="374"/>
      <c r="M317" s="374"/>
      <c r="N317" s="374"/>
      <c r="O317" s="374"/>
      <c r="P317" s="374"/>
      <c r="Q317" s="374"/>
      <c r="R317" s="374"/>
      <c r="S317" s="374"/>
      <c r="T317" s="374"/>
      <c r="U317" s="374"/>
      <c r="V317" s="374"/>
      <c r="W317" s="374"/>
      <c r="X317" s="374"/>
    </row>
    <row r="318" spans="1:24" x14ac:dyDescent="0.2">
      <c r="A318" s="374"/>
      <c r="B318" s="374"/>
      <c r="C318" s="374"/>
      <c r="D318" s="374"/>
      <c r="E318" s="374"/>
      <c r="F318" s="374"/>
      <c r="G318" s="374"/>
      <c r="H318" s="374"/>
      <c r="I318" s="374"/>
      <c r="J318" s="374"/>
      <c r="K318" s="374"/>
      <c r="L318" s="374"/>
      <c r="M318" s="374"/>
      <c r="N318" s="374"/>
      <c r="O318" s="374"/>
      <c r="P318" s="374"/>
      <c r="Q318" s="374"/>
      <c r="R318" s="374"/>
      <c r="S318" s="374"/>
      <c r="T318" s="374"/>
      <c r="U318" s="374"/>
      <c r="V318" s="374"/>
      <c r="W318" s="374"/>
      <c r="X318" s="374"/>
    </row>
    <row r="319" spans="1:24" x14ac:dyDescent="0.2">
      <c r="A319" s="374"/>
      <c r="B319" s="374"/>
      <c r="C319" s="374"/>
      <c r="D319" s="374"/>
      <c r="E319" s="374"/>
      <c r="F319" s="374"/>
      <c r="G319" s="374"/>
      <c r="H319" s="374"/>
      <c r="I319" s="374"/>
      <c r="J319" s="374"/>
      <c r="K319" s="374"/>
      <c r="L319" s="374"/>
      <c r="M319" s="374"/>
      <c r="N319" s="374"/>
      <c r="O319" s="374"/>
      <c r="P319" s="374"/>
      <c r="Q319" s="374"/>
      <c r="R319" s="374"/>
      <c r="S319" s="374"/>
      <c r="T319" s="374"/>
      <c r="U319" s="374"/>
      <c r="V319" s="374"/>
      <c r="W319" s="374"/>
      <c r="X319" s="374"/>
    </row>
    <row r="320" spans="1:24" x14ac:dyDescent="0.2">
      <c r="A320" s="381"/>
      <c r="B320" s="374"/>
      <c r="C320" s="374"/>
      <c r="D320" s="374"/>
      <c r="E320" s="374"/>
      <c r="F320" s="374"/>
      <c r="G320" s="374"/>
      <c r="H320" s="374"/>
      <c r="I320" s="374"/>
      <c r="J320" s="374"/>
      <c r="K320" s="374"/>
      <c r="L320" s="374"/>
      <c r="M320" s="374"/>
      <c r="N320" s="374"/>
      <c r="O320" s="374"/>
      <c r="P320" s="374"/>
      <c r="Q320" s="374"/>
      <c r="R320" s="374"/>
      <c r="S320" s="374"/>
      <c r="T320" s="374"/>
      <c r="U320" s="374"/>
      <c r="V320" s="374"/>
      <c r="W320" s="374"/>
      <c r="X320" s="374"/>
    </row>
    <row r="321" spans="1:24" x14ac:dyDescent="0.2">
      <c r="A321" s="374"/>
      <c r="B321" s="374"/>
      <c r="C321" s="374"/>
      <c r="D321" s="374"/>
      <c r="E321" s="374"/>
      <c r="F321" s="374"/>
      <c r="G321" s="374"/>
      <c r="H321" s="374"/>
      <c r="I321" s="374"/>
      <c r="J321" s="374"/>
      <c r="K321" s="374"/>
      <c r="L321" s="374"/>
      <c r="M321" s="374"/>
      <c r="N321" s="374"/>
      <c r="O321" s="374"/>
      <c r="P321" s="374"/>
      <c r="Q321" s="374"/>
      <c r="R321" s="374"/>
      <c r="S321" s="374"/>
      <c r="T321" s="374"/>
      <c r="U321" s="374"/>
      <c r="V321" s="374"/>
      <c r="W321" s="374"/>
      <c r="X321" s="374"/>
    </row>
    <row r="322" spans="1:24" x14ac:dyDescent="0.2">
      <c r="A322" s="374"/>
      <c r="B322" s="374"/>
      <c r="C322" s="374"/>
      <c r="D322" s="374"/>
      <c r="E322" s="374"/>
      <c r="F322" s="374"/>
      <c r="G322" s="374"/>
      <c r="H322" s="374"/>
      <c r="I322" s="374"/>
      <c r="J322" s="374"/>
      <c r="K322" s="374"/>
      <c r="L322" s="374"/>
      <c r="M322" s="374"/>
      <c r="N322" s="374"/>
      <c r="O322" s="374"/>
      <c r="P322" s="374"/>
      <c r="Q322" s="374"/>
      <c r="R322" s="374"/>
      <c r="S322" s="374"/>
      <c r="T322" s="374"/>
      <c r="U322" s="374"/>
      <c r="V322" s="374"/>
      <c r="W322" s="374"/>
      <c r="X322" s="374"/>
    </row>
    <row r="323" spans="1:24" x14ac:dyDescent="0.2">
      <c r="A323" s="374"/>
      <c r="B323" s="374"/>
      <c r="C323" s="374"/>
      <c r="D323" s="374"/>
      <c r="E323" s="374"/>
      <c r="F323" s="374"/>
      <c r="G323" s="374"/>
      <c r="H323" s="374"/>
      <c r="I323" s="374"/>
      <c r="J323" s="374"/>
      <c r="K323" s="374"/>
      <c r="L323" s="374"/>
      <c r="M323" s="374"/>
      <c r="N323" s="374"/>
      <c r="O323" s="374"/>
      <c r="P323" s="374"/>
      <c r="Q323" s="374"/>
      <c r="R323" s="374"/>
      <c r="S323" s="374"/>
      <c r="T323" s="374"/>
      <c r="U323" s="374"/>
      <c r="V323" s="374"/>
      <c r="W323" s="374"/>
      <c r="X323" s="374"/>
    </row>
    <row r="324" spans="1:24" x14ac:dyDescent="0.2">
      <c r="A324" s="374"/>
      <c r="B324" s="374"/>
      <c r="C324" s="374"/>
      <c r="D324" s="374"/>
      <c r="E324" s="374"/>
      <c r="F324" s="374"/>
      <c r="G324" s="374"/>
      <c r="H324" s="374"/>
      <c r="I324" s="374"/>
      <c r="J324" s="374"/>
      <c r="K324" s="374"/>
      <c r="L324" s="374"/>
      <c r="M324" s="374"/>
      <c r="N324" s="374"/>
      <c r="O324" s="374"/>
      <c r="P324" s="374"/>
      <c r="Q324" s="374"/>
      <c r="R324" s="374"/>
      <c r="S324" s="374"/>
      <c r="T324" s="374"/>
      <c r="U324" s="374"/>
      <c r="V324" s="374"/>
      <c r="W324" s="374"/>
      <c r="X324" s="374"/>
    </row>
    <row r="325" spans="1:24" x14ac:dyDescent="0.2">
      <c r="A325" s="374"/>
      <c r="B325" s="374"/>
      <c r="C325" s="374"/>
      <c r="D325" s="374"/>
      <c r="E325" s="374"/>
      <c r="F325" s="374"/>
      <c r="G325" s="374"/>
      <c r="H325" s="374"/>
      <c r="I325" s="374"/>
      <c r="J325" s="374"/>
      <c r="K325" s="374"/>
      <c r="L325" s="374"/>
      <c r="M325" s="374"/>
      <c r="N325" s="374"/>
      <c r="O325" s="374"/>
      <c r="P325" s="374"/>
      <c r="Q325" s="374"/>
      <c r="R325" s="374"/>
      <c r="S325" s="374"/>
      <c r="T325" s="374"/>
      <c r="U325" s="374"/>
      <c r="V325" s="374"/>
      <c r="W325" s="374"/>
      <c r="X325" s="374"/>
    </row>
    <row r="326" spans="1:24" x14ac:dyDescent="0.2">
      <c r="A326" s="374"/>
      <c r="B326" s="374"/>
      <c r="C326" s="374"/>
      <c r="D326" s="374"/>
      <c r="E326" s="374"/>
      <c r="F326" s="374"/>
      <c r="G326" s="374"/>
      <c r="H326" s="374"/>
      <c r="I326" s="374"/>
      <c r="J326" s="374"/>
      <c r="K326" s="374"/>
      <c r="L326" s="374"/>
      <c r="M326" s="374"/>
      <c r="N326" s="374"/>
      <c r="O326" s="374"/>
      <c r="P326" s="374"/>
      <c r="Q326" s="374"/>
      <c r="R326" s="374"/>
      <c r="S326" s="374"/>
      <c r="T326" s="374"/>
      <c r="U326" s="374"/>
      <c r="V326" s="374"/>
      <c r="W326" s="374"/>
      <c r="X326" s="374"/>
    </row>
    <row r="327" spans="1:24" x14ac:dyDescent="0.2">
      <c r="A327" s="374"/>
      <c r="B327" s="374"/>
      <c r="C327" s="374"/>
      <c r="D327" s="374"/>
      <c r="E327" s="374"/>
      <c r="F327" s="374"/>
      <c r="G327" s="374"/>
      <c r="H327" s="374"/>
      <c r="I327" s="374"/>
      <c r="J327" s="374"/>
      <c r="K327" s="374"/>
      <c r="L327" s="374"/>
      <c r="M327" s="374"/>
      <c r="N327" s="374"/>
      <c r="O327" s="374"/>
      <c r="P327" s="374"/>
      <c r="Q327" s="374"/>
      <c r="R327" s="374"/>
      <c r="S327" s="374"/>
      <c r="T327" s="374"/>
      <c r="U327" s="374"/>
      <c r="V327" s="374"/>
      <c r="W327" s="374"/>
      <c r="X327" s="374"/>
    </row>
    <row r="328" spans="1:24" x14ac:dyDescent="0.2">
      <c r="A328" s="374"/>
      <c r="B328" s="374"/>
      <c r="C328" s="374"/>
      <c r="D328" s="374"/>
      <c r="E328" s="374"/>
      <c r="F328" s="374"/>
      <c r="G328" s="374"/>
      <c r="H328" s="374"/>
      <c r="I328" s="374"/>
      <c r="J328" s="374"/>
      <c r="K328" s="374"/>
      <c r="L328" s="374"/>
      <c r="M328" s="374"/>
      <c r="N328" s="374"/>
      <c r="O328" s="374"/>
      <c r="P328" s="374"/>
      <c r="Q328" s="374"/>
      <c r="R328" s="374"/>
      <c r="S328" s="374"/>
      <c r="T328" s="374"/>
      <c r="U328" s="374"/>
      <c r="V328" s="374"/>
      <c r="W328" s="374"/>
      <c r="X328" s="374"/>
    </row>
    <row r="329" spans="1:24" x14ac:dyDescent="0.2">
      <c r="A329" s="374"/>
      <c r="B329" s="374"/>
      <c r="C329" s="374"/>
      <c r="D329" s="374"/>
      <c r="E329" s="374"/>
      <c r="F329" s="374"/>
      <c r="G329" s="374"/>
      <c r="H329" s="374"/>
      <c r="I329" s="374"/>
      <c r="J329" s="374"/>
      <c r="K329" s="374"/>
      <c r="L329" s="374"/>
      <c r="M329" s="374"/>
      <c r="N329" s="374"/>
      <c r="O329" s="374"/>
      <c r="P329" s="374"/>
      <c r="Q329" s="374"/>
      <c r="R329" s="374"/>
      <c r="S329" s="374"/>
      <c r="T329" s="374"/>
      <c r="U329" s="374"/>
      <c r="V329" s="374"/>
      <c r="W329" s="374"/>
      <c r="X329" s="374"/>
    </row>
    <row r="330" spans="1:24" x14ac:dyDescent="0.2">
      <c r="A330" s="374"/>
      <c r="B330" s="374"/>
      <c r="C330" s="374"/>
      <c r="D330" s="374"/>
      <c r="E330" s="374"/>
      <c r="F330" s="374"/>
      <c r="G330" s="374"/>
      <c r="H330" s="374"/>
      <c r="I330" s="374"/>
      <c r="J330" s="374"/>
      <c r="K330" s="374"/>
      <c r="L330" s="374"/>
      <c r="M330" s="374"/>
      <c r="N330" s="374"/>
      <c r="O330" s="374"/>
      <c r="P330" s="374"/>
      <c r="Q330" s="374"/>
      <c r="R330" s="374"/>
      <c r="S330" s="374"/>
      <c r="T330" s="374"/>
      <c r="U330" s="374"/>
      <c r="V330" s="374"/>
      <c r="W330" s="374"/>
      <c r="X330" s="374"/>
    </row>
    <row r="331" spans="1:24" x14ac:dyDescent="0.2">
      <c r="A331" s="374"/>
      <c r="B331" s="374"/>
      <c r="C331" s="374"/>
      <c r="D331" s="374"/>
      <c r="E331" s="374"/>
      <c r="F331" s="374"/>
      <c r="G331" s="374"/>
      <c r="H331" s="374"/>
      <c r="I331" s="374"/>
      <c r="J331" s="374"/>
      <c r="K331" s="374"/>
      <c r="L331" s="374"/>
      <c r="M331" s="374"/>
      <c r="N331" s="374"/>
      <c r="O331" s="374"/>
      <c r="P331" s="374"/>
      <c r="Q331" s="374"/>
      <c r="R331" s="374"/>
      <c r="S331" s="374"/>
      <c r="T331" s="374"/>
      <c r="U331" s="374"/>
      <c r="V331" s="374"/>
      <c r="W331" s="374"/>
      <c r="X331" s="374"/>
    </row>
    <row r="332" spans="1:24" x14ac:dyDescent="0.2">
      <c r="A332" s="374"/>
      <c r="B332" s="374"/>
      <c r="C332" s="374"/>
      <c r="D332" s="374"/>
      <c r="E332" s="374"/>
      <c r="F332" s="374"/>
      <c r="G332" s="374"/>
      <c r="H332" s="374"/>
      <c r="I332" s="374"/>
      <c r="J332" s="374"/>
      <c r="K332" s="374"/>
      <c r="L332" s="374"/>
      <c r="M332" s="374"/>
      <c r="N332" s="374"/>
      <c r="O332" s="374"/>
      <c r="P332" s="374"/>
      <c r="Q332" s="374"/>
      <c r="R332" s="374"/>
      <c r="S332" s="374"/>
      <c r="T332" s="374"/>
      <c r="U332" s="374"/>
      <c r="V332" s="374"/>
      <c r="W332" s="374"/>
      <c r="X332" s="374"/>
    </row>
    <row r="333" spans="1:24" x14ac:dyDescent="0.2">
      <c r="A333" s="374"/>
      <c r="B333" s="374"/>
      <c r="C333" s="374"/>
      <c r="D333" s="374"/>
      <c r="E333" s="374"/>
      <c r="F333" s="374"/>
      <c r="G333" s="374"/>
      <c r="H333" s="374"/>
      <c r="I333" s="374"/>
      <c r="J333" s="374"/>
      <c r="K333" s="374"/>
      <c r="L333" s="374"/>
      <c r="M333" s="374"/>
      <c r="N333" s="374"/>
      <c r="O333" s="374"/>
      <c r="P333" s="374"/>
      <c r="Q333" s="374"/>
      <c r="R333" s="374"/>
      <c r="S333" s="374"/>
      <c r="T333" s="374"/>
      <c r="U333" s="374"/>
      <c r="V333" s="374"/>
      <c r="W333" s="374"/>
      <c r="X333" s="374"/>
    </row>
    <row r="334" spans="1:24" x14ac:dyDescent="0.2">
      <c r="A334" s="381"/>
      <c r="B334" s="374"/>
      <c r="C334" s="374"/>
      <c r="D334" s="374"/>
      <c r="E334" s="374"/>
      <c r="F334" s="374"/>
      <c r="G334" s="374"/>
      <c r="H334" s="374"/>
      <c r="I334" s="374"/>
      <c r="J334" s="374"/>
      <c r="K334" s="374"/>
      <c r="L334" s="374"/>
      <c r="M334" s="374"/>
      <c r="N334" s="374"/>
      <c r="O334" s="374"/>
      <c r="P334" s="374"/>
      <c r="Q334" s="374"/>
      <c r="R334" s="374"/>
      <c r="S334" s="374"/>
      <c r="T334" s="374"/>
      <c r="U334" s="374"/>
      <c r="V334" s="374"/>
      <c r="W334" s="374"/>
      <c r="X334" s="374"/>
    </row>
    <row r="335" spans="1:24" x14ac:dyDescent="0.2">
      <c r="A335" s="374"/>
      <c r="B335" s="374"/>
      <c r="C335" s="374"/>
      <c r="D335" s="374"/>
      <c r="E335" s="374"/>
      <c r="F335" s="374"/>
      <c r="G335" s="374"/>
      <c r="H335" s="374"/>
      <c r="I335" s="374"/>
      <c r="J335" s="374"/>
      <c r="K335" s="374"/>
      <c r="L335" s="374"/>
      <c r="M335" s="374"/>
      <c r="N335" s="374"/>
      <c r="O335" s="374"/>
      <c r="P335" s="374"/>
      <c r="Q335" s="374"/>
      <c r="R335" s="374"/>
      <c r="S335" s="374"/>
      <c r="T335" s="374"/>
      <c r="U335" s="374"/>
      <c r="V335" s="374"/>
      <c r="W335" s="374"/>
      <c r="X335" s="374"/>
    </row>
    <row r="336" spans="1:24" x14ac:dyDescent="0.2">
      <c r="A336" s="374"/>
      <c r="B336" s="374"/>
      <c r="C336" s="374"/>
      <c r="D336" s="374"/>
      <c r="E336" s="374"/>
      <c r="F336" s="374"/>
      <c r="G336" s="374"/>
      <c r="H336" s="374"/>
      <c r="I336" s="374"/>
      <c r="J336" s="374"/>
      <c r="K336" s="374"/>
      <c r="L336" s="374"/>
      <c r="M336" s="374"/>
      <c r="N336" s="374"/>
      <c r="O336" s="374"/>
      <c r="P336" s="374"/>
      <c r="Q336" s="374"/>
      <c r="R336" s="374"/>
      <c r="S336" s="374"/>
      <c r="T336" s="374"/>
      <c r="U336" s="374"/>
      <c r="V336" s="374"/>
      <c r="W336" s="374"/>
      <c r="X336" s="374"/>
    </row>
    <row r="337" spans="1:24" x14ac:dyDescent="0.2">
      <c r="A337" s="374"/>
      <c r="B337" s="374"/>
      <c r="C337" s="374"/>
      <c r="D337" s="374"/>
      <c r="E337" s="374"/>
      <c r="F337" s="374"/>
      <c r="G337" s="374"/>
      <c r="H337" s="374"/>
      <c r="I337" s="374"/>
      <c r="J337" s="374"/>
      <c r="K337" s="374"/>
      <c r="L337" s="374"/>
      <c r="M337" s="374"/>
      <c r="N337" s="374"/>
      <c r="O337" s="374"/>
      <c r="P337" s="374"/>
      <c r="Q337" s="374"/>
      <c r="R337" s="374"/>
      <c r="S337" s="374"/>
      <c r="T337" s="374"/>
      <c r="U337" s="374"/>
      <c r="V337" s="374"/>
      <c r="W337" s="374"/>
      <c r="X337" s="374"/>
    </row>
    <row r="338" spans="1:24" x14ac:dyDescent="0.2">
      <c r="A338" s="374"/>
      <c r="B338" s="374"/>
      <c r="C338" s="374"/>
      <c r="D338" s="374"/>
      <c r="E338" s="374"/>
      <c r="F338" s="374"/>
      <c r="G338" s="374"/>
      <c r="H338" s="374"/>
      <c r="I338" s="374"/>
      <c r="J338" s="374"/>
      <c r="K338" s="374"/>
      <c r="L338" s="374"/>
      <c r="M338" s="374"/>
      <c r="N338" s="374"/>
      <c r="O338" s="374"/>
      <c r="P338" s="374"/>
      <c r="Q338" s="374"/>
      <c r="R338" s="374"/>
      <c r="S338" s="374"/>
      <c r="T338" s="374"/>
      <c r="U338" s="374"/>
      <c r="V338" s="374"/>
      <c r="W338" s="374"/>
      <c r="X338" s="374"/>
    </row>
    <row r="339" spans="1:24" x14ac:dyDescent="0.2">
      <c r="A339" s="374"/>
      <c r="B339" s="374"/>
      <c r="C339" s="374"/>
      <c r="D339" s="374"/>
      <c r="E339" s="374"/>
      <c r="F339" s="374"/>
      <c r="G339" s="374"/>
      <c r="H339" s="374"/>
      <c r="I339" s="374"/>
      <c r="J339" s="374"/>
      <c r="K339" s="374"/>
      <c r="L339" s="374"/>
      <c r="M339" s="374"/>
      <c r="N339" s="374"/>
      <c r="O339" s="374"/>
      <c r="P339" s="374"/>
      <c r="Q339" s="374"/>
      <c r="R339" s="374"/>
      <c r="S339" s="374"/>
      <c r="T339" s="374"/>
      <c r="U339" s="374"/>
      <c r="V339" s="374"/>
      <c r="W339" s="374"/>
      <c r="X339" s="374"/>
    </row>
    <row r="340" spans="1:24" x14ac:dyDescent="0.2">
      <c r="A340" s="374"/>
      <c r="B340" s="374"/>
      <c r="C340" s="374"/>
      <c r="D340" s="374"/>
      <c r="E340" s="374"/>
      <c r="F340" s="374"/>
      <c r="G340" s="374"/>
      <c r="H340" s="374"/>
      <c r="I340" s="374"/>
      <c r="J340" s="374"/>
      <c r="K340" s="374"/>
      <c r="L340" s="374"/>
      <c r="M340" s="374"/>
      <c r="N340" s="374"/>
      <c r="O340" s="374"/>
      <c r="P340" s="374"/>
      <c r="Q340" s="374"/>
      <c r="R340" s="374"/>
      <c r="S340" s="374"/>
      <c r="T340" s="374"/>
      <c r="U340" s="374"/>
      <c r="V340" s="374"/>
      <c r="W340" s="374"/>
      <c r="X340" s="374"/>
    </row>
    <row r="341" spans="1:24" x14ac:dyDescent="0.2">
      <c r="A341" s="374"/>
      <c r="B341" s="374"/>
      <c r="C341" s="374"/>
      <c r="D341" s="374"/>
      <c r="E341" s="374"/>
      <c r="F341" s="374"/>
      <c r="G341" s="374"/>
      <c r="H341" s="374"/>
      <c r="I341" s="374"/>
      <c r="J341" s="374"/>
      <c r="K341" s="374"/>
      <c r="L341" s="374"/>
      <c r="M341" s="374"/>
      <c r="N341" s="374"/>
      <c r="O341" s="374"/>
      <c r="P341" s="374"/>
      <c r="Q341" s="374"/>
      <c r="R341" s="374"/>
      <c r="S341" s="374"/>
      <c r="T341" s="374"/>
      <c r="U341" s="374"/>
      <c r="V341" s="374"/>
      <c r="W341" s="374"/>
      <c r="X341" s="374"/>
    </row>
    <row r="342" spans="1:24" x14ac:dyDescent="0.2">
      <c r="A342" s="374"/>
      <c r="B342" s="374"/>
      <c r="C342" s="374"/>
      <c r="D342" s="374"/>
      <c r="E342" s="374"/>
      <c r="F342" s="374"/>
      <c r="G342" s="374"/>
      <c r="H342" s="374"/>
      <c r="I342" s="374"/>
      <c r="J342" s="374"/>
      <c r="K342" s="374"/>
      <c r="L342" s="374"/>
      <c r="M342" s="374"/>
      <c r="N342" s="374"/>
      <c r="O342" s="374"/>
      <c r="P342" s="374"/>
      <c r="Q342" s="374"/>
      <c r="R342" s="374"/>
      <c r="S342" s="374"/>
      <c r="T342" s="374"/>
      <c r="U342" s="374"/>
      <c r="V342" s="374"/>
      <c r="W342" s="374"/>
      <c r="X342" s="374"/>
    </row>
    <row r="343" spans="1:24" x14ac:dyDescent="0.2">
      <c r="A343" s="374"/>
      <c r="B343" s="374"/>
      <c r="C343" s="374"/>
      <c r="D343" s="374"/>
      <c r="E343" s="374"/>
      <c r="F343" s="374"/>
      <c r="G343" s="374"/>
      <c r="H343" s="374"/>
      <c r="I343" s="374"/>
      <c r="J343" s="374"/>
      <c r="K343" s="374"/>
      <c r="L343" s="374"/>
      <c r="M343" s="374"/>
      <c r="N343" s="374"/>
      <c r="O343" s="374"/>
      <c r="P343" s="374"/>
      <c r="Q343" s="374"/>
      <c r="R343" s="374"/>
      <c r="S343" s="374"/>
      <c r="T343" s="374"/>
      <c r="U343" s="374"/>
      <c r="V343" s="374"/>
      <c r="W343" s="374"/>
      <c r="X343" s="374"/>
    </row>
    <row r="344" spans="1:24" x14ac:dyDescent="0.2">
      <c r="A344" s="374"/>
      <c r="B344" s="374"/>
      <c r="C344" s="374"/>
      <c r="D344" s="374"/>
      <c r="E344" s="374"/>
      <c r="F344" s="374"/>
      <c r="G344" s="374"/>
      <c r="H344" s="374"/>
      <c r="I344" s="374"/>
      <c r="J344" s="374"/>
      <c r="K344" s="374"/>
      <c r="L344" s="374"/>
      <c r="M344" s="374"/>
      <c r="N344" s="374"/>
      <c r="O344" s="374"/>
      <c r="P344" s="374"/>
      <c r="Q344" s="374"/>
      <c r="R344" s="374"/>
      <c r="S344" s="374"/>
      <c r="T344" s="374"/>
      <c r="U344" s="374"/>
      <c r="V344" s="374"/>
      <c r="W344" s="374"/>
      <c r="X344" s="374"/>
    </row>
    <row r="345" spans="1:24" x14ac:dyDescent="0.2">
      <c r="A345" s="374"/>
      <c r="B345" s="374"/>
      <c r="C345" s="374"/>
      <c r="D345" s="374"/>
      <c r="E345" s="374"/>
      <c r="F345" s="374"/>
      <c r="G345" s="374"/>
      <c r="H345" s="374"/>
      <c r="I345" s="374"/>
      <c r="J345" s="374"/>
      <c r="K345" s="374"/>
      <c r="L345" s="374"/>
      <c r="M345" s="374"/>
      <c r="N345" s="374"/>
      <c r="O345" s="374"/>
      <c r="P345" s="374"/>
      <c r="Q345" s="374"/>
      <c r="R345" s="374"/>
      <c r="S345" s="374"/>
      <c r="T345" s="374"/>
      <c r="U345" s="374"/>
      <c r="V345" s="374"/>
      <c r="W345" s="374"/>
      <c r="X345" s="374"/>
    </row>
    <row r="346" spans="1:24" x14ac:dyDescent="0.2">
      <c r="A346" s="374"/>
      <c r="B346" s="374"/>
      <c r="C346" s="374"/>
      <c r="D346" s="374"/>
      <c r="E346" s="374"/>
      <c r="F346" s="374"/>
      <c r="G346" s="374"/>
      <c r="H346" s="374"/>
      <c r="I346" s="374"/>
      <c r="J346" s="374"/>
      <c r="K346" s="374"/>
      <c r="L346" s="374"/>
      <c r="M346" s="374"/>
      <c r="N346" s="374"/>
      <c r="O346" s="374"/>
      <c r="P346" s="374"/>
      <c r="Q346" s="374"/>
      <c r="R346" s="374"/>
      <c r="S346" s="374"/>
      <c r="T346" s="374"/>
      <c r="U346" s="374"/>
      <c r="V346" s="374"/>
      <c r="W346" s="374"/>
      <c r="X346" s="374"/>
    </row>
    <row r="347" spans="1:24" x14ac:dyDescent="0.2">
      <c r="A347" s="374"/>
      <c r="B347" s="374"/>
      <c r="C347" s="374"/>
      <c r="D347" s="374"/>
      <c r="E347" s="374"/>
      <c r="F347" s="374"/>
      <c r="G347" s="374"/>
      <c r="H347" s="374"/>
      <c r="I347" s="374"/>
      <c r="J347" s="374"/>
      <c r="K347" s="374"/>
      <c r="L347" s="374"/>
      <c r="M347" s="374"/>
      <c r="N347" s="374"/>
      <c r="O347" s="374"/>
      <c r="P347" s="374"/>
      <c r="Q347" s="374"/>
      <c r="R347" s="374"/>
      <c r="S347" s="374"/>
      <c r="T347" s="374"/>
      <c r="U347" s="374"/>
      <c r="V347" s="374"/>
      <c r="W347" s="374"/>
      <c r="X347" s="374"/>
    </row>
    <row r="348" spans="1:24" x14ac:dyDescent="0.2">
      <c r="A348" s="381"/>
      <c r="B348" s="374"/>
      <c r="C348" s="374"/>
      <c r="D348" s="374"/>
      <c r="E348" s="374"/>
      <c r="F348" s="374"/>
      <c r="G348" s="374"/>
      <c r="H348" s="374"/>
      <c r="I348" s="374"/>
      <c r="J348" s="374"/>
      <c r="K348" s="374"/>
      <c r="L348" s="374"/>
      <c r="M348" s="374"/>
      <c r="N348" s="374"/>
      <c r="O348" s="374"/>
      <c r="P348" s="374"/>
      <c r="Q348" s="374"/>
      <c r="R348" s="374"/>
      <c r="S348" s="374"/>
      <c r="T348" s="374"/>
      <c r="U348" s="374"/>
      <c r="V348" s="374"/>
      <c r="W348" s="374"/>
      <c r="X348" s="374"/>
    </row>
    <row r="349" spans="1:24" x14ac:dyDescent="0.2">
      <c r="A349" s="374"/>
      <c r="B349" s="374"/>
      <c r="C349" s="374"/>
      <c r="D349" s="374"/>
      <c r="E349" s="374"/>
      <c r="F349" s="374"/>
      <c r="G349" s="374"/>
      <c r="H349" s="374"/>
      <c r="I349" s="374"/>
      <c r="J349" s="374"/>
      <c r="K349" s="374"/>
      <c r="L349" s="374"/>
      <c r="M349" s="374"/>
      <c r="N349" s="374"/>
      <c r="O349" s="374"/>
      <c r="P349" s="374"/>
      <c r="Q349" s="374"/>
      <c r="R349" s="374"/>
      <c r="S349" s="374"/>
      <c r="T349" s="374"/>
      <c r="U349" s="374"/>
      <c r="V349" s="374"/>
      <c r="W349" s="374"/>
      <c r="X349" s="374"/>
    </row>
    <row r="350" spans="1:24" x14ac:dyDescent="0.2">
      <c r="A350" s="374"/>
      <c r="B350" s="374"/>
      <c r="C350" s="374"/>
      <c r="D350" s="374"/>
      <c r="E350" s="374"/>
      <c r="F350" s="374"/>
      <c r="G350" s="374"/>
      <c r="H350" s="374"/>
      <c r="I350" s="374"/>
      <c r="J350" s="374"/>
      <c r="K350" s="374"/>
      <c r="L350" s="374"/>
      <c r="M350" s="374"/>
      <c r="N350" s="374"/>
      <c r="O350" s="374"/>
      <c r="P350" s="374"/>
      <c r="Q350" s="374"/>
      <c r="R350" s="374"/>
      <c r="S350" s="374"/>
      <c r="T350" s="374"/>
      <c r="U350" s="374"/>
      <c r="V350" s="374"/>
      <c r="W350" s="374"/>
      <c r="X350" s="374"/>
    </row>
    <row r="351" spans="1:24" x14ac:dyDescent="0.2">
      <c r="A351" s="374"/>
      <c r="B351" s="374"/>
      <c r="C351" s="374"/>
      <c r="D351" s="374"/>
      <c r="E351" s="374"/>
      <c r="F351" s="374"/>
      <c r="G351" s="374"/>
      <c r="H351" s="374"/>
      <c r="I351" s="374"/>
      <c r="J351" s="374"/>
      <c r="K351" s="374"/>
      <c r="L351" s="374"/>
      <c r="M351" s="374"/>
      <c r="N351" s="374"/>
      <c r="O351" s="374"/>
      <c r="P351" s="374"/>
      <c r="Q351" s="374"/>
      <c r="R351" s="374"/>
      <c r="S351" s="374"/>
      <c r="T351" s="374"/>
      <c r="U351" s="374"/>
      <c r="V351" s="374"/>
      <c r="W351" s="374"/>
      <c r="X351" s="374"/>
    </row>
    <row r="352" spans="1:24" x14ac:dyDescent="0.2">
      <c r="A352" s="374"/>
      <c r="B352" s="374"/>
      <c r="C352" s="374"/>
      <c r="D352" s="374"/>
      <c r="E352" s="374"/>
      <c r="F352" s="374"/>
      <c r="G352" s="374"/>
      <c r="H352" s="374"/>
      <c r="I352" s="374"/>
      <c r="J352" s="374"/>
      <c r="K352" s="374"/>
      <c r="L352" s="374"/>
      <c r="M352" s="374"/>
      <c r="N352" s="374"/>
      <c r="O352" s="374"/>
      <c r="P352" s="374"/>
      <c r="Q352" s="374"/>
      <c r="R352" s="374"/>
      <c r="S352" s="374"/>
      <c r="T352" s="374"/>
      <c r="U352" s="374"/>
      <c r="V352" s="374"/>
      <c r="W352" s="374"/>
      <c r="X352" s="374"/>
    </row>
    <row r="353" spans="1:24" x14ac:dyDescent="0.2">
      <c r="A353" s="374"/>
      <c r="B353" s="374"/>
      <c r="C353" s="374"/>
      <c r="D353" s="374"/>
      <c r="E353" s="374"/>
      <c r="F353" s="374"/>
      <c r="G353" s="374"/>
      <c r="H353" s="374"/>
      <c r="I353" s="374"/>
      <c r="J353" s="374"/>
      <c r="K353" s="374"/>
      <c r="L353" s="374"/>
      <c r="M353" s="374"/>
      <c r="N353" s="374"/>
      <c r="O353" s="374"/>
      <c r="P353" s="374"/>
      <c r="Q353" s="374"/>
      <c r="R353" s="374"/>
      <c r="S353" s="374"/>
      <c r="T353" s="374"/>
      <c r="U353" s="374"/>
      <c r="V353" s="374"/>
      <c r="W353" s="374"/>
      <c r="X353" s="374"/>
    </row>
    <row r="354" spans="1:24" x14ac:dyDescent="0.2">
      <c r="A354" s="374"/>
      <c r="B354" s="374"/>
      <c r="C354" s="374"/>
      <c r="D354" s="374"/>
      <c r="E354" s="374"/>
      <c r="F354" s="374"/>
      <c r="G354" s="374"/>
      <c r="H354" s="374"/>
      <c r="I354" s="374"/>
      <c r="J354" s="374"/>
      <c r="K354" s="374"/>
      <c r="L354" s="374"/>
      <c r="M354" s="374"/>
      <c r="N354" s="374"/>
      <c r="O354" s="374"/>
      <c r="P354" s="374"/>
      <c r="Q354" s="374"/>
      <c r="R354" s="374"/>
      <c r="S354" s="374"/>
      <c r="T354" s="374"/>
      <c r="U354" s="374"/>
      <c r="V354" s="374"/>
      <c r="W354" s="374"/>
      <c r="X354" s="374"/>
    </row>
    <row r="355" spans="1:24" x14ac:dyDescent="0.2">
      <c r="A355" s="374"/>
      <c r="B355" s="374"/>
      <c r="C355" s="374"/>
      <c r="D355" s="374"/>
      <c r="E355" s="374"/>
      <c r="F355" s="374"/>
      <c r="G355" s="374"/>
      <c r="H355" s="374"/>
      <c r="I355" s="374"/>
      <c r="J355" s="374"/>
      <c r="K355" s="374"/>
      <c r="L355" s="374"/>
      <c r="M355" s="374"/>
      <c r="N355" s="374"/>
      <c r="O355" s="374"/>
      <c r="P355" s="374"/>
      <c r="Q355" s="374"/>
      <c r="R355" s="374"/>
      <c r="S355" s="374"/>
      <c r="T355" s="374"/>
      <c r="U355" s="374"/>
      <c r="V355" s="374"/>
      <c r="W355" s="374"/>
      <c r="X355" s="374"/>
    </row>
    <row r="356" spans="1:24" x14ac:dyDescent="0.2">
      <c r="A356" s="374"/>
      <c r="B356" s="374"/>
      <c r="C356" s="374"/>
      <c r="D356" s="374"/>
      <c r="E356" s="374"/>
      <c r="F356" s="374"/>
      <c r="G356" s="374"/>
      <c r="H356" s="374"/>
      <c r="I356" s="374"/>
      <c r="J356" s="374"/>
      <c r="K356" s="374"/>
      <c r="L356" s="374"/>
      <c r="M356" s="374"/>
      <c r="N356" s="374"/>
      <c r="O356" s="374"/>
      <c r="P356" s="374"/>
      <c r="Q356" s="374"/>
      <c r="R356" s="374"/>
      <c r="S356" s="374"/>
      <c r="T356" s="374"/>
      <c r="U356" s="374"/>
      <c r="V356" s="374"/>
      <c r="W356" s="374"/>
      <c r="X356" s="374"/>
    </row>
    <row r="357" spans="1:24" x14ac:dyDescent="0.2">
      <c r="A357" s="374"/>
      <c r="B357" s="374"/>
      <c r="C357" s="374"/>
      <c r="D357" s="374"/>
      <c r="E357" s="374"/>
      <c r="F357" s="374"/>
      <c r="G357" s="374"/>
      <c r="H357" s="374"/>
      <c r="I357" s="374"/>
      <c r="J357" s="374"/>
      <c r="K357" s="374"/>
      <c r="L357" s="374"/>
      <c r="M357" s="374"/>
      <c r="N357" s="374"/>
      <c r="O357" s="374"/>
      <c r="P357" s="374"/>
      <c r="Q357" s="374"/>
      <c r="R357" s="374"/>
      <c r="S357" s="374"/>
      <c r="T357" s="374"/>
      <c r="U357" s="374"/>
      <c r="V357" s="374"/>
      <c r="W357" s="374"/>
      <c r="X357" s="374"/>
    </row>
    <row r="358" spans="1:24" x14ac:dyDescent="0.2">
      <c r="A358" s="374"/>
      <c r="B358" s="374"/>
      <c r="C358" s="374"/>
      <c r="D358" s="374"/>
      <c r="E358" s="374"/>
      <c r="F358" s="374"/>
      <c r="G358" s="374"/>
      <c r="H358" s="374"/>
      <c r="I358" s="374"/>
      <c r="J358" s="374"/>
      <c r="K358" s="374"/>
      <c r="L358" s="374"/>
      <c r="M358" s="374"/>
      <c r="N358" s="374"/>
      <c r="O358" s="374"/>
      <c r="P358" s="374"/>
      <c r="Q358" s="374"/>
      <c r="R358" s="374"/>
      <c r="S358" s="374"/>
      <c r="T358" s="374"/>
      <c r="U358" s="374"/>
      <c r="V358" s="374"/>
      <c r="W358" s="374"/>
      <c r="X358" s="374"/>
    </row>
    <row r="359" spans="1:24" x14ac:dyDescent="0.2">
      <c r="A359" s="374"/>
      <c r="B359" s="374"/>
      <c r="C359" s="374"/>
      <c r="D359" s="374"/>
      <c r="E359" s="374"/>
      <c r="F359" s="374"/>
      <c r="G359" s="374"/>
      <c r="H359" s="374"/>
      <c r="I359" s="374"/>
      <c r="J359" s="374"/>
      <c r="K359" s="374"/>
      <c r="L359" s="374"/>
      <c r="M359" s="374"/>
      <c r="N359" s="374"/>
      <c r="O359" s="374"/>
      <c r="P359" s="374"/>
      <c r="Q359" s="374"/>
      <c r="R359" s="374"/>
      <c r="S359" s="374"/>
      <c r="T359" s="374"/>
      <c r="U359" s="374"/>
      <c r="V359" s="374"/>
      <c r="W359" s="374"/>
      <c r="X359" s="374"/>
    </row>
    <row r="360" spans="1:24" x14ac:dyDescent="0.2">
      <c r="A360" s="374"/>
      <c r="B360" s="374"/>
      <c r="C360" s="374"/>
      <c r="D360" s="374"/>
      <c r="E360" s="374"/>
      <c r="F360" s="374"/>
      <c r="G360" s="374"/>
      <c r="H360" s="374"/>
      <c r="I360" s="374"/>
      <c r="J360" s="374"/>
      <c r="K360" s="374"/>
      <c r="L360" s="374"/>
      <c r="M360" s="374"/>
      <c r="N360" s="374"/>
      <c r="O360" s="374"/>
      <c r="P360" s="374"/>
      <c r="Q360" s="374"/>
      <c r="R360" s="374"/>
      <c r="S360" s="374"/>
      <c r="T360" s="374"/>
      <c r="U360" s="374"/>
      <c r="V360" s="374"/>
      <c r="W360" s="374"/>
      <c r="X360" s="374"/>
    </row>
    <row r="361" spans="1:24" x14ac:dyDescent="0.2">
      <c r="A361" s="374"/>
      <c r="B361" s="374"/>
      <c r="C361" s="374"/>
      <c r="D361" s="374"/>
      <c r="E361" s="374"/>
      <c r="F361" s="374"/>
      <c r="G361" s="374"/>
      <c r="H361" s="374"/>
      <c r="I361" s="374"/>
      <c r="J361" s="374"/>
      <c r="K361" s="374"/>
      <c r="L361" s="374"/>
      <c r="M361" s="374"/>
      <c r="N361" s="374"/>
      <c r="O361" s="374"/>
      <c r="P361" s="374"/>
      <c r="Q361" s="374"/>
      <c r="R361" s="374"/>
      <c r="S361" s="374"/>
      <c r="T361" s="374"/>
      <c r="U361" s="374"/>
      <c r="V361" s="374"/>
      <c r="W361" s="374"/>
      <c r="X361" s="374"/>
    </row>
    <row r="362" spans="1:24" x14ac:dyDescent="0.2">
      <c r="A362" s="381"/>
      <c r="B362" s="374"/>
      <c r="C362" s="374"/>
      <c r="D362" s="374"/>
      <c r="E362" s="374"/>
      <c r="F362" s="374"/>
      <c r="G362" s="374"/>
      <c r="H362" s="374"/>
      <c r="I362" s="374"/>
      <c r="J362" s="374"/>
      <c r="K362" s="374"/>
      <c r="L362" s="374"/>
      <c r="M362" s="374"/>
      <c r="N362" s="374"/>
      <c r="O362" s="374"/>
      <c r="P362" s="374"/>
      <c r="Q362" s="374"/>
      <c r="R362" s="374"/>
      <c r="S362" s="374"/>
      <c r="T362" s="374"/>
      <c r="U362" s="374"/>
      <c r="V362" s="374"/>
      <c r="W362" s="374"/>
      <c r="X362" s="374"/>
    </row>
    <row r="363" spans="1:24" x14ac:dyDescent="0.2">
      <c r="A363" s="374"/>
      <c r="B363" s="374"/>
      <c r="C363" s="374"/>
      <c r="D363" s="374"/>
      <c r="E363" s="374"/>
      <c r="F363" s="374"/>
      <c r="G363" s="374"/>
      <c r="H363" s="374"/>
      <c r="I363" s="374"/>
      <c r="J363" s="374"/>
      <c r="K363" s="374"/>
      <c r="L363" s="374"/>
      <c r="M363" s="374"/>
      <c r="N363" s="374"/>
      <c r="O363" s="374"/>
      <c r="P363" s="374"/>
      <c r="Q363" s="374"/>
      <c r="R363" s="374"/>
      <c r="S363" s="374"/>
      <c r="T363" s="374"/>
      <c r="U363" s="374"/>
      <c r="V363" s="374"/>
      <c r="W363" s="374"/>
      <c r="X363" s="374"/>
    </row>
    <row r="364" spans="1:24" x14ac:dyDescent="0.2">
      <c r="A364" s="374"/>
      <c r="B364" s="374"/>
      <c r="C364" s="374"/>
      <c r="D364" s="374"/>
      <c r="E364" s="374"/>
      <c r="F364" s="374"/>
      <c r="G364" s="374"/>
      <c r="H364" s="374"/>
      <c r="I364" s="374"/>
      <c r="J364" s="374"/>
      <c r="K364" s="374"/>
      <c r="L364" s="374"/>
      <c r="M364" s="374"/>
      <c r="N364" s="374"/>
      <c r="O364" s="374"/>
      <c r="P364" s="374"/>
      <c r="Q364" s="374"/>
      <c r="R364" s="374"/>
      <c r="S364" s="374"/>
      <c r="T364" s="374"/>
      <c r="U364" s="374"/>
      <c r="V364" s="374"/>
      <c r="W364" s="374"/>
      <c r="X364" s="374"/>
    </row>
    <row r="365" spans="1:24" x14ac:dyDescent="0.2">
      <c r="A365" s="374"/>
      <c r="B365" s="374"/>
      <c r="C365" s="374"/>
      <c r="D365" s="374"/>
      <c r="E365" s="374"/>
      <c r="F365" s="374"/>
      <c r="G365" s="374"/>
      <c r="H365" s="374"/>
      <c r="I365" s="374"/>
      <c r="J365" s="374"/>
      <c r="K365" s="374"/>
      <c r="L365" s="374"/>
      <c r="M365" s="374"/>
      <c r="N365" s="374"/>
      <c r="O365" s="374"/>
      <c r="P365" s="374"/>
      <c r="Q365" s="374"/>
      <c r="R365" s="374"/>
      <c r="S365" s="374"/>
      <c r="T365" s="374"/>
      <c r="U365" s="374"/>
      <c r="V365" s="374"/>
      <c r="W365" s="374"/>
      <c r="X365" s="374"/>
    </row>
    <row r="366" spans="1:24" x14ac:dyDescent="0.2">
      <c r="A366" s="374"/>
      <c r="B366" s="374"/>
      <c r="C366" s="374"/>
      <c r="D366" s="374"/>
      <c r="E366" s="374"/>
      <c r="F366" s="374"/>
      <c r="G366" s="374"/>
      <c r="H366" s="374"/>
      <c r="I366" s="374"/>
      <c r="J366" s="374"/>
      <c r="K366" s="374"/>
      <c r="L366" s="374"/>
      <c r="M366" s="374"/>
      <c r="N366" s="374"/>
      <c r="O366" s="374"/>
      <c r="P366" s="374"/>
      <c r="Q366" s="374"/>
      <c r="R366" s="374"/>
      <c r="S366" s="374"/>
      <c r="T366" s="374"/>
      <c r="U366" s="374"/>
      <c r="V366" s="374"/>
      <c r="W366" s="374"/>
      <c r="X366" s="374"/>
    </row>
    <row r="367" spans="1:24" x14ac:dyDescent="0.2">
      <c r="A367" s="374"/>
      <c r="B367" s="374"/>
      <c r="C367" s="374"/>
      <c r="D367" s="374"/>
      <c r="E367" s="374"/>
      <c r="F367" s="374"/>
      <c r="G367" s="374"/>
      <c r="H367" s="374"/>
      <c r="I367" s="374"/>
      <c r="J367" s="374"/>
      <c r="K367" s="374"/>
      <c r="L367" s="374"/>
      <c r="M367" s="374"/>
      <c r="N367" s="374"/>
      <c r="O367" s="374"/>
      <c r="P367" s="374"/>
      <c r="Q367" s="374"/>
      <c r="R367" s="374"/>
      <c r="S367" s="374"/>
      <c r="T367" s="374"/>
      <c r="U367" s="374"/>
      <c r="V367" s="374"/>
      <c r="W367" s="374"/>
      <c r="X367" s="374"/>
    </row>
    <row r="368" spans="1:24" x14ac:dyDescent="0.2">
      <c r="A368" s="374"/>
      <c r="B368" s="374"/>
      <c r="C368" s="374"/>
      <c r="D368" s="374"/>
      <c r="E368" s="374"/>
      <c r="F368" s="374"/>
      <c r="G368" s="374"/>
      <c r="H368" s="374"/>
      <c r="I368" s="374"/>
      <c r="J368" s="374"/>
      <c r="K368" s="374"/>
      <c r="L368" s="374"/>
      <c r="M368" s="374"/>
      <c r="N368" s="374"/>
      <c r="O368" s="374"/>
      <c r="P368" s="374"/>
      <c r="Q368" s="374"/>
      <c r="R368" s="374"/>
      <c r="S368" s="374"/>
      <c r="T368" s="374"/>
      <c r="U368" s="374"/>
      <c r="V368" s="374"/>
      <c r="W368" s="374"/>
      <c r="X368" s="374"/>
    </row>
    <row r="369" spans="1:24" x14ac:dyDescent="0.2">
      <c r="A369" s="374"/>
      <c r="B369" s="374"/>
      <c r="C369" s="374"/>
      <c r="D369" s="374"/>
      <c r="E369" s="374"/>
      <c r="F369" s="374"/>
      <c r="G369" s="374"/>
      <c r="H369" s="374"/>
      <c r="I369" s="374"/>
      <c r="J369" s="374"/>
      <c r="K369" s="374"/>
      <c r="L369" s="374"/>
      <c r="M369" s="374"/>
      <c r="N369" s="374"/>
      <c r="O369" s="374"/>
      <c r="P369" s="374"/>
      <c r="Q369" s="374"/>
      <c r="R369" s="374"/>
      <c r="S369" s="374"/>
      <c r="T369" s="374"/>
      <c r="U369" s="374"/>
      <c r="V369" s="374"/>
      <c r="W369" s="374"/>
      <c r="X369" s="374"/>
    </row>
    <row r="370" spans="1:24" x14ac:dyDescent="0.2">
      <c r="A370" s="374"/>
      <c r="B370" s="374"/>
      <c r="C370" s="374"/>
      <c r="D370" s="374"/>
      <c r="E370" s="374"/>
      <c r="F370" s="374"/>
      <c r="G370" s="374"/>
      <c r="H370" s="374"/>
      <c r="I370" s="374"/>
      <c r="J370" s="374"/>
      <c r="K370" s="374"/>
      <c r="L370" s="374"/>
      <c r="M370" s="374"/>
      <c r="N370" s="374"/>
      <c r="O370" s="374"/>
      <c r="P370" s="374"/>
      <c r="Q370" s="374"/>
      <c r="R370" s="374"/>
      <c r="S370" s="374"/>
      <c r="T370" s="374"/>
      <c r="U370" s="374"/>
      <c r="V370" s="374"/>
      <c r="W370" s="374"/>
      <c r="X370" s="374"/>
    </row>
    <row r="371" spans="1:24" x14ac:dyDescent="0.2">
      <c r="A371" s="374"/>
      <c r="B371" s="374"/>
      <c r="C371" s="374"/>
      <c r="D371" s="374"/>
      <c r="E371" s="374"/>
      <c r="F371" s="374"/>
      <c r="G371" s="374"/>
      <c r="H371" s="374"/>
      <c r="I371" s="374"/>
      <c r="J371" s="374"/>
      <c r="K371" s="374"/>
      <c r="L371" s="374"/>
      <c r="M371" s="374"/>
      <c r="N371" s="374"/>
      <c r="O371" s="374"/>
      <c r="P371" s="374"/>
      <c r="Q371" s="374"/>
      <c r="R371" s="374"/>
      <c r="S371" s="374"/>
      <c r="T371" s="374"/>
      <c r="U371" s="374"/>
      <c r="V371" s="374"/>
      <c r="W371" s="374"/>
      <c r="X371" s="374"/>
    </row>
    <row r="372" spans="1:24" x14ac:dyDescent="0.2">
      <c r="A372" s="374"/>
      <c r="B372" s="374"/>
      <c r="C372" s="374"/>
      <c r="D372" s="374"/>
      <c r="E372" s="374"/>
      <c r="F372" s="374"/>
      <c r="G372" s="374"/>
      <c r="H372" s="374"/>
      <c r="I372" s="374"/>
      <c r="J372" s="374"/>
      <c r="K372" s="374"/>
      <c r="L372" s="374"/>
      <c r="M372" s="374"/>
      <c r="N372" s="374"/>
      <c r="O372" s="374"/>
      <c r="P372" s="374"/>
      <c r="Q372" s="374"/>
      <c r="R372" s="374"/>
      <c r="S372" s="374"/>
      <c r="T372" s="374"/>
      <c r="U372" s="374"/>
      <c r="V372" s="374"/>
      <c r="W372" s="374"/>
      <c r="X372" s="374"/>
    </row>
    <row r="373" spans="1:24" x14ac:dyDescent="0.2">
      <c r="A373" s="374"/>
      <c r="B373" s="374"/>
      <c r="C373" s="374"/>
      <c r="D373" s="374"/>
      <c r="E373" s="374"/>
      <c r="F373" s="374"/>
      <c r="G373" s="374"/>
      <c r="H373" s="374"/>
      <c r="I373" s="374"/>
      <c r="J373" s="374"/>
      <c r="K373" s="374"/>
      <c r="L373" s="374"/>
      <c r="M373" s="374"/>
      <c r="N373" s="374"/>
      <c r="O373" s="374"/>
      <c r="P373" s="374"/>
      <c r="Q373" s="374"/>
      <c r="R373" s="374"/>
      <c r="S373" s="374"/>
      <c r="T373" s="374"/>
      <c r="U373" s="374"/>
      <c r="V373" s="374"/>
      <c r="W373" s="374"/>
      <c r="X373" s="374"/>
    </row>
    <row r="374" spans="1:24" x14ac:dyDescent="0.2">
      <c r="A374" s="374"/>
      <c r="B374" s="374"/>
      <c r="C374" s="374"/>
      <c r="D374" s="374"/>
      <c r="E374" s="374"/>
      <c r="F374" s="374"/>
      <c r="G374" s="374"/>
      <c r="H374" s="374"/>
      <c r="I374" s="374"/>
      <c r="J374" s="374"/>
      <c r="K374" s="374"/>
      <c r="L374" s="374"/>
      <c r="M374" s="374"/>
      <c r="N374" s="374"/>
      <c r="O374" s="374"/>
      <c r="P374" s="374"/>
      <c r="Q374" s="374"/>
      <c r="R374" s="374"/>
      <c r="S374" s="374"/>
      <c r="T374" s="374"/>
      <c r="U374" s="374"/>
      <c r="V374" s="374"/>
      <c r="W374" s="374"/>
      <c r="X374" s="374"/>
    </row>
    <row r="375" spans="1:24" x14ac:dyDescent="0.2">
      <c r="A375" s="374"/>
      <c r="B375" s="374"/>
      <c r="C375" s="374"/>
      <c r="D375" s="374"/>
      <c r="E375" s="374"/>
      <c r="F375" s="374"/>
      <c r="G375" s="374"/>
      <c r="H375" s="374"/>
      <c r="I375" s="374"/>
      <c r="J375" s="374"/>
      <c r="K375" s="374"/>
      <c r="L375" s="374"/>
      <c r="M375" s="374"/>
      <c r="N375" s="374"/>
      <c r="O375" s="374"/>
      <c r="P375" s="374"/>
      <c r="Q375" s="374"/>
      <c r="R375" s="374"/>
      <c r="S375" s="374"/>
      <c r="T375" s="374"/>
      <c r="U375" s="374"/>
      <c r="V375" s="374"/>
      <c r="W375" s="374"/>
      <c r="X375" s="374"/>
    </row>
    <row r="376" spans="1:24" x14ac:dyDescent="0.2">
      <c r="A376" s="381"/>
      <c r="B376" s="374"/>
      <c r="C376" s="374"/>
      <c r="D376" s="374"/>
      <c r="E376" s="374"/>
      <c r="F376" s="374"/>
      <c r="G376" s="374"/>
      <c r="H376" s="374"/>
      <c r="I376" s="374"/>
      <c r="J376" s="374"/>
      <c r="K376" s="374"/>
      <c r="L376" s="374"/>
      <c r="M376" s="374"/>
      <c r="N376" s="374"/>
      <c r="O376" s="374"/>
      <c r="P376" s="374"/>
      <c r="Q376" s="374"/>
      <c r="R376" s="374"/>
      <c r="S376" s="374"/>
      <c r="T376" s="374"/>
      <c r="U376" s="374"/>
      <c r="V376" s="374"/>
      <c r="W376" s="374"/>
      <c r="X376" s="374"/>
    </row>
    <row r="377" spans="1:24" x14ac:dyDescent="0.2">
      <c r="A377" s="374"/>
      <c r="B377" s="374"/>
      <c r="C377" s="374"/>
      <c r="D377" s="374"/>
      <c r="E377" s="374"/>
      <c r="F377" s="374"/>
      <c r="G377" s="374"/>
      <c r="H377" s="374"/>
      <c r="I377" s="374"/>
      <c r="J377" s="374"/>
      <c r="K377" s="374"/>
      <c r="L377" s="374"/>
      <c r="M377" s="374"/>
      <c r="N377" s="374"/>
      <c r="O377" s="374"/>
      <c r="P377" s="374"/>
      <c r="Q377" s="374"/>
      <c r="R377" s="374"/>
      <c r="S377" s="374"/>
      <c r="T377" s="374"/>
      <c r="U377" s="374"/>
      <c r="V377" s="374"/>
      <c r="W377" s="374"/>
      <c r="X377" s="374"/>
    </row>
    <row r="378" spans="1:24" x14ac:dyDescent="0.2">
      <c r="A378" s="374"/>
      <c r="B378" s="374"/>
      <c r="C378" s="374"/>
      <c r="D378" s="374"/>
      <c r="E378" s="374"/>
      <c r="F378" s="374"/>
      <c r="G378" s="374"/>
      <c r="H378" s="374"/>
      <c r="I378" s="374"/>
      <c r="J378" s="374"/>
      <c r="K378" s="374"/>
      <c r="L378" s="374"/>
      <c r="M378" s="374"/>
      <c r="N378" s="374"/>
      <c r="O378" s="374"/>
      <c r="P378" s="374"/>
      <c r="Q378" s="374"/>
      <c r="R378" s="374"/>
      <c r="S378" s="374"/>
      <c r="T378" s="374"/>
      <c r="U378" s="374"/>
      <c r="V378" s="374"/>
      <c r="W378" s="374"/>
      <c r="X378" s="374"/>
    </row>
    <row r="379" spans="1:24" x14ac:dyDescent="0.2">
      <c r="A379" s="374"/>
      <c r="B379" s="374"/>
      <c r="C379" s="374"/>
      <c r="D379" s="374"/>
      <c r="E379" s="374"/>
      <c r="F379" s="374"/>
      <c r="G379" s="374"/>
      <c r="H379" s="374"/>
      <c r="I379" s="374"/>
      <c r="J379" s="374"/>
      <c r="K379" s="374"/>
      <c r="L379" s="374"/>
      <c r="M379" s="374"/>
      <c r="N379" s="374"/>
      <c r="O379" s="374"/>
      <c r="P379" s="374"/>
      <c r="Q379" s="374"/>
      <c r="R379" s="374"/>
      <c r="S379" s="374"/>
      <c r="T379" s="374"/>
      <c r="U379" s="374"/>
      <c r="V379" s="374"/>
      <c r="W379" s="374"/>
      <c r="X379" s="374"/>
    </row>
    <row r="380" spans="1:24" x14ac:dyDescent="0.2">
      <c r="A380" s="374"/>
      <c r="B380" s="374"/>
      <c r="C380" s="374"/>
      <c r="D380" s="374"/>
      <c r="E380" s="374"/>
      <c r="F380" s="374"/>
      <c r="G380" s="374"/>
      <c r="H380" s="374"/>
      <c r="I380" s="374"/>
      <c r="J380" s="374"/>
      <c r="K380" s="374"/>
      <c r="L380" s="374"/>
      <c r="M380" s="374"/>
      <c r="N380" s="374"/>
      <c r="O380" s="374"/>
      <c r="P380" s="374"/>
      <c r="Q380" s="374"/>
      <c r="R380" s="374"/>
      <c r="S380" s="374"/>
      <c r="T380" s="374"/>
      <c r="U380" s="374"/>
      <c r="V380" s="374"/>
      <c r="W380" s="374"/>
      <c r="X380" s="374"/>
    </row>
    <row r="381" spans="1:24" x14ac:dyDescent="0.2">
      <c r="A381" s="374"/>
      <c r="B381" s="374"/>
      <c r="C381" s="374"/>
      <c r="D381" s="374"/>
      <c r="E381" s="374"/>
      <c r="F381" s="374"/>
      <c r="G381" s="374"/>
      <c r="H381" s="374"/>
      <c r="I381" s="374"/>
      <c r="J381" s="374"/>
      <c r="K381" s="374"/>
      <c r="L381" s="374"/>
      <c r="M381" s="374"/>
      <c r="N381" s="374"/>
      <c r="O381" s="374"/>
      <c r="P381" s="374"/>
      <c r="Q381" s="374"/>
      <c r="R381" s="374"/>
      <c r="S381" s="374"/>
      <c r="T381" s="374"/>
      <c r="U381" s="374"/>
      <c r="V381" s="374"/>
      <c r="W381" s="374"/>
      <c r="X381" s="374"/>
    </row>
    <row r="382" spans="1:24" x14ac:dyDescent="0.2">
      <c r="A382" s="374"/>
      <c r="B382" s="374"/>
      <c r="C382" s="374"/>
      <c r="D382" s="374"/>
      <c r="E382" s="374"/>
      <c r="F382" s="374"/>
      <c r="G382" s="374"/>
      <c r="H382" s="374"/>
      <c r="I382" s="374"/>
      <c r="J382" s="374"/>
      <c r="K382" s="374"/>
      <c r="L382" s="374"/>
      <c r="M382" s="374"/>
      <c r="N382" s="374"/>
      <c r="O382" s="374"/>
      <c r="P382" s="374"/>
      <c r="Q382" s="374"/>
      <c r="R382" s="374"/>
      <c r="S382" s="374"/>
      <c r="T382" s="374"/>
      <c r="U382" s="374"/>
      <c r="V382" s="374"/>
      <c r="W382" s="374"/>
      <c r="X382" s="374"/>
    </row>
    <row r="383" spans="1:24" x14ac:dyDescent="0.2">
      <c r="A383" s="374"/>
      <c r="B383" s="374"/>
      <c r="C383" s="374"/>
      <c r="D383" s="374"/>
      <c r="E383" s="374"/>
      <c r="F383" s="374"/>
      <c r="G383" s="374"/>
      <c r="H383" s="374"/>
      <c r="I383" s="374"/>
      <c r="J383" s="374"/>
      <c r="K383" s="374"/>
      <c r="L383" s="374"/>
      <c r="M383" s="374"/>
      <c r="N383" s="374"/>
      <c r="O383" s="374"/>
      <c r="P383" s="374"/>
      <c r="Q383" s="374"/>
      <c r="R383" s="374"/>
      <c r="S383" s="374"/>
      <c r="T383" s="374"/>
      <c r="U383" s="374"/>
      <c r="V383" s="374"/>
      <c r="W383" s="374"/>
      <c r="X383" s="374"/>
    </row>
    <row r="384" spans="1:24" x14ac:dyDescent="0.2">
      <c r="A384" s="374"/>
      <c r="B384" s="374"/>
      <c r="C384" s="374"/>
      <c r="D384" s="374"/>
      <c r="E384" s="374"/>
      <c r="F384" s="374"/>
      <c r="G384" s="374"/>
      <c r="H384" s="374"/>
      <c r="I384" s="374"/>
      <c r="J384" s="374"/>
      <c r="K384" s="374"/>
      <c r="L384" s="374"/>
      <c r="M384" s="374"/>
      <c r="N384" s="374"/>
      <c r="O384" s="374"/>
      <c r="P384" s="374"/>
      <c r="Q384" s="374"/>
      <c r="R384" s="374"/>
      <c r="S384" s="374"/>
      <c r="T384" s="374"/>
      <c r="U384" s="374"/>
      <c r="V384" s="374"/>
      <c r="W384" s="374"/>
      <c r="X384" s="374"/>
    </row>
    <row r="385" spans="1:24" x14ac:dyDescent="0.2">
      <c r="A385" s="374"/>
      <c r="B385" s="374"/>
      <c r="C385" s="374"/>
      <c r="D385" s="374"/>
      <c r="E385" s="374"/>
      <c r="F385" s="374"/>
      <c r="G385" s="374"/>
      <c r="H385" s="374"/>
      <c r="I385" s="374"/>
      <c r="J385" s="374"/>
      <c r="K385" s="374"/>
      <c r="L385" s="374"/>
      <c r="M385" s="374"/>
      <c r="N385" s="374"/>
      <c r="O385" s="374"/>
      <c r="P385" s="374"/>
      <c r="Q385" s="374"/>
      <c r="R385" s="374"/>
      <c r="S385" s="374"/>
      <c r="T385" s="374"/>
      <c r="U385" s="374"/>
      <c r="V385" s="374"/>
      <c r="W385" s="374"/>
      <c r="X385" s="374"/>
    </row>
    <row r="386" spans="1:24" x14ac:dyDescent="0.2">
      <c r="A386" s="374"/>
      <c r="B386" s="374"/>
      <c r="C386" s="374"/>
      <c r="D386" s="374"/>
      <c r="E386" s="374"/>
      <c r="F386" s="374"/>
      <c r="G386" s="374"/>
      <c r="H386" s="374"/>
      <c r="I386" s="374"/>
      <c r="J386" s="374"/>
      <c r="K386" s="374"/>
      <c r="L386" s="374"/>
      <c r="M386" s="374"/>
      <c r="N386" s="374"/>
      <c r="O386" s="374"/>
      <c r="P386" s="374"/>
      <c r="Q386" s="374"/>
      <c r="R386" s="374"/>
      <c r="S386" s="374"/>
      <c r="T386" s="374"/>
      <c r="U386" s="374"/>
      <c r="V386" s="374"/>
      <c r="W386" s="374"/>
      <c r="X386" s="374"/>
    </row>
    <row r="387" spans="1:24" x14ac:dyDescent="0.2">
      <c r="A387" s="374"/>
      <c r="B387" s="374"/>
      <c r="C387" s="374"/>
      <c r="D387" s="374"/>
      <c r="E387" s="374"/>
      <c r="F387" s="374"/>
      <c r="G387" s="374"/>
      <c r="H387" s="374"/>
      <c r="I387" s="374"/>
      <c r="J387" s="374"/>
      <c r="K387" s="374"/>
      <c r="L387" s="374"/>
      <c r="M387" s="374"/>
      <c r="N387" s="374"/>
      <c r="O387" s="374"/>
      <c r="P387" s="374"/>
      <c r="Q387" s="374"/>
      <c r="R387" s="374"/>
      <c r="S387" s="374"/>
      <c r="T387" s="374"/>
      <c r="U387" s="374"/>
      <c r="V387" s="374"/>
      <c r="W387" s="374"/>
      <c r="X387" s="374"/>
    </row>
    <row r="388" spans="1:24" x14ac:dyDescent="0.2">
      <c r="A388" s="374"/>
      <c r="B388" s="374"/>
      <c r="C388" s="374"/>
      <c r="D388" s="374"/>
      <c r="E388" s="374"/>
      <c r="F388" s="374"/>
      <c r="G388" s="374"/>
      <c r="H388" s="374"/>
      <c r="I388" s="374"/>
      <c r="J388" s="374"/>
      <c r="K388" s="374"/>
      <c r="L388" s="374"/>
      <c r="M388" s="374"/>
      <c r="N388" s="374"/>
      <c r="O388" s="374"/>
      <c r="P388" s="374"/>
      <c r="Q388" s="374"/>
      <c r="R388" s="374"/>
      <c r="S388" s="374"/>
      <c r="T388" s="374"/>
      <c r="U388" s="374"/>
      <c r="V388" s="374"/>
      <c r="W388" s="374"/>
      <c r="X388" s="374"/>
    </row>
    <row r="389" spans="1:24" x14ac:dyDescent="0.2">
      <c r="A389" s="374"/>
      <c r="B389" s="374"/>
      <c r="C389" s="374"/>
      <c r="D389" s="374"/>
      <c r="E389" s="374"/>
      <c r="F389" s="374"/>
      <c r="G389" s="374"/>
      <c r="H389" s="374"/>
      <c r="I389" s="374"/>
      <c r="J389" s="374"/>
      <c r="K389" s="374"/>
      <c r="L389" s="374"/>
      <c r="M389" s="374"/>
      <c r="N389" s="374"/>
      <c r="O389" s="374"/>
      <c r="P389" s="374"/>
      <c r="Q389" s="374"/>
      <c r="R389" s="374"/>
      <c r="S389" s="374"/>
      <c r="T389" s="374"/>
      <c r="U389" s="374"/>
      <c r="V389" s="374"/>
      <c r="W389" s="374"/>
      <c r="X389" s="374"/>
    </row>
    <row r="390" spans="1:24" x14ac:dyDescent="0.2">
      <c r="A390" s="381"/>
      <c r="B390" s="374"/>
      <c r="C390" s="374"/>
      <c r="D390" s="374"/>
      <c r="E390" s="374"/>
      <c r="F390" s="374"/>
      <c r="G390" s="374"/>
      <c r="H390" s="374"/>
      <c r="I390" s="374"/>
      <c r="J390" s="374"/>
      <c r="K390" s="374"/>
      <c r="L390" s="374"/>
      <c r="M390" s="374"/>
      <c r="N390" s="374"/>
      <c r="O390" s="374"/>
      <c r="P390" s="374"/>
      <c r="Q390" s="374"/>
      <c r="R390" s="374"/>
      <c r="S390" s="374"/>
      <c r="T390" s="374"/>
      <c r="U390" s="374"/>
      <c r="V390" s="374"/>
      <c r="W390" s="374"/>
      <c r="X390" s="374"/>
    </row>
    <row r="391" spans="1:24" x14ac:dyDescent="0.2">
      <c r="A391" s="374"/>
      <c r="B391" s="374"/>
      <c r="C391" s="374"/>
      <c r="D391" s="374"/>
      <c r="E391" s="374"/>
      <c r="F391" s="374"/>
      <c r="G391" s="374"/>
      <c r="H391" s="374"/>
      <c r="I391" s="374"/>
      <c r="J391" s="374"/>
      <c r="K391" s="374"/>
      <c r="L391" s="374"/>
      <c r="M391" s="374"/>
      <c r="N391" s="374"/>
      <c r="O391" s="374"/>
      <c r="P391" s="374"/>
      <c r="Q391" s="374"/>
      <c r="R391" s="374"/>
      <c r="S391" s="374"/>
      <c r="T391" s="374"/>
      <c r="U391" s="374"/>
      <c r="V391" s="374"/>
      <c r="W391" s="374"/>
      <c r="X391" s="374"/>
    </row>
    <row r="392" spans="1:24" x14ac:dyDescent="0.2">
      <c r="A392" s="374"/>
      <c r="B392" s="374"/>
      <c r="C392" s="374"/>
      <c r="D392" s="374"/>
      <c r="E392" s="374"/>
      <c r="F392" s="374"/>
      <c r="G392" s="374"/>
      <c r="H392" s="374"/>
      <c r="I392" s="374"/>
      <c r="J392" s="374"/>
      <c r="K392" s="374"/>
      <c r="L392" s="374"/>
      <c r="M392" s="374"/>
      <c r="N392" s="374"/>
      <c r="O392" s="374"/>
      <c r="P392" s="374"/>
      <c r="Q392" s="374"/>
      <c r="R392" s="374"/>
      <c r="S392" s="374"/>
      <c r="T392" s="374"/>
      <c r="U392" s="374"/>
      <c r="V392" s="374"/>
      <c r="W392" s="374"/>
      <c r="X392" s="374"/>
    </row>
    <row r="393" spans="1:24" x14ac:dyDescent="0.2">
      <c r="A393" s="374"/>
      <c r="B393" s="374"/>
      <c r="C393" s="374"/>
      <c r="D393" s="374"/>
      <c r="E393" s="374"/>
      <c r="F393" s="374"/>
      <c r="G393" s="374"/>
      <c r="H393" s="374"/>
      <c r="I393" s="374"/>
      <c r="J393" s="374"/>
      <c r="K393" s="374"/>
      <c r="L393" s="374"/>
      <c r="M393" s="374"/>
      <c r="N393" s="374"/>
      <c r="O393" s="374"/>
      <c r="P393" s="374"/>
      <c r="Q393" s="374"/>
      <c r="R393" s="374"/>
      <c r="S393" s="374"/>
      <c r="T393" s="374"/>
      <c r="U393" s="374"/>
      <c r="V393" s="374"/>
      <c r="W393" s="374"/>
      <c r="X393" s="374"/>
    </row>
    <row r="394" spans="1:24" x14ac:dyDescent="0.2">
      <c r="A394" s="374"/>
      <c r="B394" s="374"/>
      <c r="C394" s="374"/>
      <c r="D394" s="374"/>
      <c r="E394" s="374"/>
      <c r="F394" s="374"/>
      <c r="G394" s="374"/>
      <c r="H394" s="374"/>
      <c r="I394" s="374"/>
      <c r="J394" s="374"/>
      <c r="K394" s="374"/>
      <c r="L394" s="374"/>
      <c r="M394" s="374"/>
      <c r="N394" s="374"/>
      <c r="O394" s="374"/>
      <c r="P394" s="374"/>
      <c r="Q394" s="374"/>
      <c r="R394" s="374"/>
      <c r="S394" s="374"/>
      <c r="T394" s="374"/>
      <c r="U394" s="374"/>
      <c r="V394" s="374"/>
      <c r="W394" s="374"/>
      <c r="X394" s="374"/>
    </row>
    <row r="395" spans="1:24" x14ac:dyDescent="0.2">
      <c r="A395" s="374"/>
      <c r="B395" s="374"/>
      <c r="C395" s="374"/>
      <c r="D395" s="374"/>
      <c r="E395" s="374"/>
      <c r="F395" s="374"/>
      <c r="G395" s="374"/>
      <c r="H395" s="374"/>
      <c r="I395" s="374"/>
      <c r="J395" s="374"/>
      <c r="K395" s="374"/>
      <c r="L395" s="374"/>
      <c r="M395" s="374"/>
      <c r="N395" s="374"/>
      <c r="O395" s="374"/>
      <c r="P395" s="374"/>
      <c r="Q395" s="374"/>
      <c r="R395" s="374"/>
      <c r="S395" s="374"/>
      <c r="T395" s="374"/>
      <c r="U395" s="374"/>
      <c r="V395" s="374"/>
      <c r="W395" s="374"/>
      <c r="X395" s="374"/>
    </row>
    <row r="396" spans="1:24" x14ac:dyDescent="0.2">
      <c r="A396" s="374"/>
      <c r="B396" s="374"/>
      <c r="C396" s="374"/>
      <c r="D396" s="374"/>
      <c r="E396" s="374"/>
      <c r="F396" s="374"/>
      <c r="G396" s="374"/>
      <c r="H396" s="374"/>
      <c r="I396" s="374"/>
      <c r="J396" s="374"/>
      <c r="K396" s="374"/>
      <c r="L396" s="374"/>
      <c r="M396" s="374"/>
      <c r="N396" s="374"/>
      <c r="O396" s="374"/>
      <c r="P396" s="374"/>
      <c r="Q396" s="374"/>
      <c r="R396" s="374"/>
      <c r="S396" s="374"/>
      <c r="T396" s="374"/>
      <c r="U396" s="374"/>
      <c r="V396" s="374"/>
      <c r="W396" s="374"/>
      <c r="X396" s="374"/>
    </row>
    <row r="397" spans="1:24" x14ac:dyDescent="0.2">
      <c r="A397" s="374"/>
      <c r="B397" s="374"/>
      <c r="C397" s="374"/>
      <c r="D397" s="374"/>
      <c r="E397" s="374"/>
      <c r="F397" s="374"/>
      <c r="G397" s="374"/>
      <c r="H397" s="374"/>
      <c r="I397" s="374"/>
      <c r="J397" s="374"/>
      <c r="K397" s="374"/>
      <c r="L397" s="374"/>
      <c r="M397" s="374"/>
      <c r="N397" s="374"/>
      <c r="O397" s="374"/>
      <c r="P397" s="374"/>
      <c r="Q397" s="374"/>
      <c r="R397" s="374"/>
      <c r="S397" s="374"/>
      <c r="T397" s="374"/>
      <c r="U397" s="374"/>
      <c r="V397" s="374"/>
      <c r="W397" s="374"/>
      <c r="X397" s="374"/>
    </row>
    <row r="398" spans="1:24" x14ac:dyDescent="0.2">
      <c r="A398" s="374"/>
      <c r="B398" s="374"/>
      <c r="C398" s="374"/>
      <c r="D398" s="374"/>
      <c r="E398" s="374"/>
      <c r="F398" s="374"/>
      <c r="G398" s="374"/>
      <c r="H398" s="374"/>
      <c r="I398" s="374"/>
      <c r="J398" s="374"/>
      <c r="K398" s="374"/>
      <c r="L398" s="374"/>
      <c r="M398" s="374"/>
      <c r="N398" s="374"/>
      <c r="O398" s="374"/>
      <c r="P398" s="374"/>
      <c r="Q398" s="374"/>
      <c r="R398" s="374"/>
      <c r="S398" s="374"/>
      <c r="T398" s="374"/>
      <c r="U398" s="374"/>
      <c r="V398" s="374"/>
      <c r="W398" s="374"/>
      <c r="X398" s="374"/>
    </row>
    <row r="399" spans="1:24" x14ac:dyDescent="0.2">
      <c r="A399" s="374"/>
      <c r="B399" s="374"/>
      <c r="C399" s="374"/>
      <c r="D399" s="374"/>
      <c r="E399" s="374"/>
      <c r="F399" s="374"/>
      <c r="G399" s="374"/>
      <c r="H399" s="374"/>
      <c r="I399" s="374"/>
      <c r="J399" s="374"/>
      <c r="K399" s="374"/>
      <c r="L399" s="374"/>
      <c r="M399" s="374"/>
      <c r="N399" s="374"/>
      <c r="O399" s="374"/>
      <c r="P399" s="374"/>
      <c r="Q399" s="374"/>
      <c r="R399" s="374"/>
      <c r="S399" s="374"/>
      <c r="T399" s="374"/>
      <c r="U399" s="374"/>
      <c r="V399" s="374"/>
      <c r="W399" s="374"/>
      <c r="X399" s="374"/>
    </row>
    <row r="400" spans="1:24" x14ac:dyDescent="0.2">
      <c r="A400" s="374"/>
      <c r="B400" s="374"/>
      <c r="C400" s="374"/>
      <c r="D400" s="374"/>
      <c r="E400" s="374"/>
      <c r="F400" s="374"/>
      <c r="G400" s="374"/>
      <c r="H400" s="374"/>
      <c r="I400" s="374"/>
      <c r="J400" s="374"/>
      <c r="K400" s="374"/>
      <c r="L400" s="374"/>
      <c r="M400" s="374"/>
      <c r="N400" s="374"/>
      <c r="O400" s="374"/>
      <c r="P400" s="374"/>
      <c r="Q400" s="374"/>
      <c r="R400" s="374"/>
      <c r="S400" s="374"/>
      <c r="T400" s="374"/>
      <c r="U400" s="374"/>
      <c r="V400" s="374"/>
      <c r="W400" s="374"/>
      <c r="X400" s="374"/>
    </row>
    <row r="401" spans="1:24" x14ac:dyDescent="0.2">
      <c r="A401" s="374"/>
      <c r="B401" s="374"/>
      <c r="C401" s="374"/>
      <c r="D401" s="374"/>
      <c r="E401" s="374"/>
      <c r="F401" s="374"/>
      <c r="G401" s="374"/>
      <c r="H401" s="374"/>
      <c r="I401" s="374"/>
      <c r="J401" s="374"/>
      <c r="K401" s="374"/>
      <c r="L401" s="374"/>
      <c r="M401" s="374"/>
      <c r="N401" s="374"/>
      <c r="O401" s="374"/>
      <c r="P401" s="374"/>
      <c r="Q401" s="374"/>
      <c r="R401" s="374"/>
      <c r="S401" s="374"/>
      <c r="T401" s="374"/>
      <c r="U401" s="374"/>
      <c r="V401" s="374"/>
      <c r="W401" s="374"/>
      <c r="X401" s="374"/>
    </row>
    <row r="402" spans="1:24" x14ac:dyDescent="0.2">
      <c r="A402" s="374"/>
      <c r="B402" s="374"/>
      <c r="C402" s="374"/>
      <c r="D402" s="374"/>
      <c r="E402" s="374"/>
      <c r="F402" s="374"/>
      <c r="G402" s="374"/>
      <c r="H402" s="374"/>
      <c r="I402" s="374"/>
      <c r="J402" s="374"/>
      <c r="K402" s="374"/>
      <c r="L402" s="374"/>
      <c r="M402" s="374"/>
      <c r="N402" s="374"/>
      <c r="O402" s="374"/>
      <c r="P402" s="374"/>
      <c r="Q402" s="374"/>
      <c r="R402" s="374"/>
      <c r="S402" s="374"/>
      <c r="T402" s="374"/>
      <c r="U402" s="374"/>
      <c r="V402" s="374"/>
      <c r="W402" s="374"/>
      <c r="X402" s="374"/>
    </row>
    <row r="403" spans="1:24" x14ac:dyDescent="0.2">
      <c r="A403" s="374"/>
      <c r="B403" s="374"/>
      <c r="C403" s="374"/>
      <c r="D403" s="374"/>
      <c r="E403" s="374"/>
      <c r="F403" s="374"/>
      <c r="G403" s="374"/>
      <c r="H403" s="374"/>
      <c r="I403" s="374"/>
      <c r="J403" s="374"/>
      <c r="K403" s="374"/>
      <c r="L403" s="374"/>
      <c r="M403" s="374"/>
      <c r="N403" s="374"/>
      <c r="O403" s="374"/>
      <c r="P403" s="374"/>
      <c r="Q403" s="374"/>
      <c r="R403" s="374"/>
      <c r="S403" s="374"/>
      <c r="T403" s="374"/>
      <c r="U403" s="374"/>
      <c r="V403" s="374"/>
      <c r="W403" s="374"/>
      <c r="X403" s="374"/>
    </row>
    <row r="404" spans="1:24" x14ac:dyDescent="0.2">
      <c r="A404" s="381"/>
      <c r="B404" s="374"/>
      <c r="C404" s="374"/>
      <c r="D404" s="374"/>
      <c r="E404" s="374"/>
      <c r="F404" s="374"/>
      <c r="G404" s="374"/>
      <c r="H404" s="374"/>
      <c r="I404" s="374"/>
      <c r="J404" s="374"/>
      <c r="K404" s="374"/>
      <c r="L404" s="374"/>
      <c r="M404" s="374"/>
      <c r="N404" s="374"/>
      <c r="O404" s="374"/>
      <c r="P404" s="374"/>
      <c r="Q404" s="374"/>
      <c r="R404" s="374"/>
      <c r="S404" s="374"/>
      <c r="T404" s="374"/>
      <c r="U404" s="374"/>
      <c r="V404" s="374"/>
      <c r="W404" s="374"/>
      <c r="X404" s="374"/>
    </row>
    <row r="405" spans="1:24" x14ac:dyDescent="0.2">
      <c r="A405" s="374"/>
      <c r="B405" s="374"/>
      <c r="C405" s="374"/>
      <c r="D405" s="374"/>
      <c r="E405" s="374"/>
      <c r="F405" s="374"/>
      <c r="G405" s="374"/>
      <c r="H405" s="374"/>
      <c r="I405" s="374"/>
      <c r="J405" s="374"/>
      <c r="K405" s="374"/>
      <c r="L405" s="374"/>
      <c r="M405" s="374"/>
      <c r="N405" s="374"/>
      <c r="O405" s="374"/>
      <c r="P405" s="374"/>
      <c r="Q405" s="374"/>
      <c r="R405" s="374"/>
      <c r="S405" s="374"/>
      <c r="T405" s="374"/>
      <c r="U405" s="374"/>
      <c r="V405" s="374"/>
      <c r="W405" s="374"/>
      <c r="X405" s="374"/>
    </row>
    <row r="406" spans="1:24" x14ac:dyDescent="0.2">
      <c r="A406" s="374"/>
      <c r="B406" s="374"/>
      <c r="C406" s="374"/>
      <c r="D406" s="374"/>
      <c r="E406" s="374"/>
      <c r="F406" s="374"/>
      <c r="G406" s="374"/>
      <c r="H406" s="374"/>
      <c r="I406" s="374"/>
      <c r="J406" s="374"/>
      <c r="K406" s="374"/>
      <c r="L406" s="374"/>
      <c r="M406" s="374"/>
      <c r="N406" s="374"/>
      <c r="O406" s="374"/>
      <c r="P406" s="374"/>
      <c r="Q406" s="374"/>
      <c r="R406" s="374"/>
      <c r="S406" s="374"/>
      <c r="T406" s="374"/>
      <c r="U406" s="374"/>
      <c r="V406" s="374"/>
      <c r="W406" s="374"/>
      <c r="X406" s="374"/>
    </row>
    <row r="407" spans="1:24" x14ac:dyDescent="0.2">
      <c r="A407" s="374"/>
      <c r="B407" s="374"/>
      <c r="C407" s="374"/>
      <c r="D407" s="374"/>
      <c r="E407" s="374"/>
      <c r="F407" s="374"/>
      <c r="G407" s="374"/>
      <c r="H407" s="374"/>
      <c r="I407" s="374"/>
      <c r="J407" s="374"/>
      <c r="K407" s="374"/>
      <c r="L407" s="374"/>
      <c r="M407" s="374"/>
      <c r="N407" s="374"/>
      <c r="O407" s="374"/>
      <c r="P407" s="374"/>
      <c r="Q407" s="374"/>
      <c r="R407" s="374"/>
      <c r="S407" s="374"/>
      <c r="T407" s="374"/>
      <c r="U407" s="374"/>
      <c r="V407" s="374"/>
      <c r="W407" s="374"/>
      <c r="X407" s="374"/>
    </row>
    <row r="408" spans="1:24" x14ac:dyDescent="0.2">
      <c r="A408" s="374"/>
      <c r="B408" s="374"/>
      <c r="C408" s="374"/>
      <c r="D408" s="374"/>
      <c r="E408" s="374"/>
      <c r="F408" s="374"/>
      <c r="G408" s="374"/>
      <c r="H408" s="374"/>
      <c r="I408" s="374"/>
      <c r="J408" s="374"/>
      <c r="K408" s="374"/>
      <c r="L408" s="374"/>
      <c r="M408" s="374"/>
      <c r="N408" s="374"/>
      <c r="O408" s="374"/>
      <c r="P408" s="374"/>
      <c r="Q408" s="374"/>
      <c r="R408" s="374"/>
      <c r="S408" s="374"/>
      <c r="T408" s="374"/>
      <c r="U408" s="374"/>
      <c r="V408" s="374"/>
      <c r="W408" s="374"/>
      <c r="X408" s="374"/>
    </row>
    <row r="409" spans="1:24" x14ac:dyDescent="0.2">
      <c r="A409" s="374"/>
      <c r="B409" s="374"/>
      <c r="C409" s="374"/>
      <c r="D409" s="374"/>
      <c r="E409" s="374"/>
      <c r="F409" s="374"/>
      <c r="G409" s="374"/>
      <c r="H409" s="374"/>
      <c r="I409" s="374"/>
      <c r="J409" s="374"/>
      <c r="K409" s="374"/>
      <c r="L409" s="374"/>
      <c r="M409" s="374"/>
      <c r="N409" s="374"/>
      <c r="O409" s="374"/>
      <c r="P409" s="374"/>
      <c r="Q409" s="374"/>
      <c r="R409" s="374"/>
      <c r="S409" s="374"/>
      <c r="T409" s="374"/>
      <c r="U409" s="374"/>
      <c r="V409" s="374"/>
      <c r="W409" s="374"/>
      <c r="X409" s="374"/>
    </row>
    <row r="410" spans="1:24" x14ac:dyDescent="0.2">
      <c r="A410" s="374"/>
      <c r="B410" s="374"/>
      <c r="C410" s="374"/>
      <c r="D410" s="374"/>
      <c r="E410" s="374"/>
      <c r="F410" s="374"/>
      <c r="G410" s="374"/>
      <c r="H410" s="374"/>
      <c r="I410" s="374"/>
      <c r="J410" s="374"/>
      <c r="K410" s="374"/>
      <c r="L410" s="374"/>
      <c r="M410" s="374"/>
      <c r="N410" s="374"/>
      <c r="O410" s="374"/>
      <c r="P410" s="374"/>
      <c r="Q410" s="374"/>
      <c r="R410" s="374"/>
      <c r="S410" s="374"/>
      <c r="T410" s="374"/>
      <c r="U410" s="374"/>
      <c r="V410" s="374"/>
      <c r="W410" s="374"/>
      <c r="X410" s="374"/>
    </row>
    <row r="411" spans="1:24" x14ac:dyDescent="0.2">
      <c r="A411" s="374"/>
      <c r="B411" s="374"/>
      <c r="C411" s="374"/>
      <c r="D411" s="374"/>
      <c r="E411" s="374"/>
      <c r="F411" s="374"/>
      <c r="G411" s="374"/>
      <c r="H411" s="374"/>
      <c r="I411" s="374"/>
      <c r="J411" s="374"/>
      <c r="K411" s="374"/>
      <c r="L411" s="374"/>
      <c r="M411" s="374"/>
      <c r="N411" s="374"/>
      <c r="O411" s="374"/>
      <c r="P411" s="374"/>
      <c r="Q411" s="374"/>
      <c r="R411" s="374"/>
      <c r="S411" s="374"/>
      <c r="T411" s="374"/>
      <c r="U411" s="374"/>
      <c r="V411" s="374"/>
      <c r="W411" s="374"/>
      <c r="X411" s="374"/>
    </row>
    <row r="412" spans="1:24" x14ac:dyDescent="0.2">
      <c r="A412" s="374"/>
      <c r="B412" s="374"/>
      <c r="C412" s="374"/>
      <c r="D412" s="374"/>
      <c r="E412" s="374"/>
      <c r="F412" s="374"/>
      <c r="G412" s="374"/>
      <c r="H412" s="374"/>
      <c r="I412" s="374"/>
      <c r="J412" s="374"/>
      <c r="K412" s="374"/>
      <c r="L412" s="374"/>
      <c r="M412" s="374"/>
      <c r="N412" s="374"/>
      <c r="O412" s="374"/>
      <c r="P412" s="374"/>
      <c r="Q412" s="374"/>
      <c r="R412" s="374"/>
      <c r="S412" s="374"/>
      <c r="T412" s="374"/>
      <c r="U412" s="374"/>
      <c r="V412" s="374"/>
      <c r="W412" s="374"/>
      <c r="X412" s="374"/>
    </row>
    <row r="413" spans="1:24" x14ac:dyDescent="0.2">
      <c r="A413" s="374"/>
      <c r="B413" s="374"/>
      <c r="C413" s="374"/>
      <c r="D413" s="374"/>
      <c r="E413" s="374"/>
      <c r="F413" s="374"/>
      <c r="G413" s="374"/>
      <c r="H413" s="374"/>
      <c r="I413" s="374"/>
      <c r="J413" s="374"/>
      <c r="K413" s="374"/>
      <c r="L413" s="374"/>
      <c r="M413" s="374"/>
      <c r="N413" s="374"/>
      <c r="O413" s="374"/>
      <c r="P413" s="374"/>
      <c r="Q413" s="374"/>
      <c r="R413" s="374"/>
      <c r="S413" s="374"/>
      <c r="T413" s="374"/>
      <c r="U413" s="374"/>
      <c r="V413" s="374"/>
      <c r="W413" s="374"/>
      <c r="X413" s="374"/>
    </row>
    <row r="414" spans="1:24" x14ac:dyDescent="0.2">
      <c r="A414" s="374"/>
      <c r="B414" s="374"/>
      <c r="C414" s="374"/>
      <c r="D414" s="374"/>
      <c r="E414" s="374"/>
      <c r="F414" s="374"/>
      <c r="G414" s="374"/>
      <c r="H414" s="374"/>
      <c r="I414" s="374"/>
      <c r="J414" s="374"/>
      <c r="K414" s="374"/>
      <c r="L414" s="374"/>
      <c r="M414" s="374"/>
      <c r="N414" s="374"/>
      <c r="O414" s="374"/>
      <c r="P414" s="374"/>
      <c r="Q414" s="374"/>
      <c r="R414" s="374"/>
      <c r="S414" s="374"/>
      <c r="T414" s="374"/>
      <c r="U414" s="374"/>
      <c r="V414" s="374"/>
      <c r="W414" s="374"/>
      <c r="X414" s="374"/>
    </row>
    <row r="415" spans="1:24" x14ac:dyDescent="0.2">
      <c r="A415" s="374"/>
      <c r="B415" s="374"/>
      <c r="C415" s="374"/>
      <c r="D415" s="374"/>
      <c r="E415" s="374"/>
      <c r="F415" s="374"/>
      <c r="G415" s="374"/>
      <c r="H415" s="374"/>
      <c r="I415" s="374"/>
      <c r="J415" s="374"/>
      <c r="K415" s="374"/>
      <c r="L415" s="374"/>
      <c r="M415" s="374"/>
      <c r="N415" s="374"/>
      <c r="O415" s="374"/>
      <c r="P415" s="374"/>
      <c r="Q415" s="374"/>
      <c r="R415" s="374"/>
      <c r="S415" s="374"/>
      <c r="T415" s="374"/>
      <c r="U415" s="374"/>
      <c r="V415" s="374"/>
      <c r="W415" s="374"/>
      <c r="X415" s="374"/>
    </row>
    <row r="416" spans="1:24" x14ac:dyDescent="0.2">
      <c r="A416" s="374"/>
      <c r="B416" s="374"/>
      <c r="C416" s="374"/>
      <c r="D416" s="374"/>
      <c r="E416" s="374"/>
      <c r="F416" s="374"/>
      <c r="G416" s="374"/>
      <c r="H416" s="374"/>
      <c r="I416" s="374"/>
      <c r="J416" s="374"/>
      <c r="K416" s="374"/>
      <c r="L416" s="374"/>
      <c r="M416" s="374"/>
      <c r="N416" s="374"/>
      <c r="O416" s="374"/>
      <c r="P416" s="374"/>
      <c r="Q416" s="374"/>
      <c r="R416" s="374"/>
      <c r="S416" s="374"/>
      <c r="T416" s="374"/>
      <c r="U416" s="374"/>
      <c r="V416" s="374"/>
      <c r="W416" s="374"/>
      <c r="X416" s="374"/>
    </row>
    <row r="417" spans="1:24" x14ac:dyDescent="0.2">
      <c r="A417" s="374"/>
      <c r="B417" s="374"/>
      <c r="C417" s="374"/>
      <c r="D417" s="374"/>
      <c r="E417" s="374"/>
      <c r="F417" s="374"/>
      <c r="G417" s="374"/>
      <c r="H417" s="374"/>
      <c r="I417" s="374"/>
      <c r="J417" s="374"/>
      <c r="K417" s="374"/>
      <c r="L417" s="374"/>
      <c r="M417" s="374"/>
      <c r="N417" s="374"/>
      <c r="O417" s="374"/>
      <c r="P417" s="374"/>
      <c r="Q417" s="374"/>
      <c r="R417" s="374"/>
      <c r="S417" s="374"/>
      <c r="T417" s="374"/>
      <c r="U417" s="374"/>
      <c r="V417" s="374"/>
      <c r="W417" s="374"/>
      <c r="X417" s="374"/>
    </row>
    <row r="418" spans="1:24" x14ac:dyDescent="0.2">
      <c r="A418" s="381"/>
      <c r="B418" s="374"/>
      <c r="C418" s="374"/>
      <c r="D418" s="374"/>
      <c r="E418" s="374"/>
      <c r="F418" s="374"/>
      <c r="G418" s="374"/>
      <c r="H418" s="374"/>
      <c r="I418" s="374"/>
      <c r="J418" s="374"/>
      <c r="K418" s="374"/>
      <c r="L418" s="374"/>
      <c r="M418" s="374"/>
      <c r="N418" s="374"/>
      <c r="O418" s="374"/>
      <c r="P418" s="374"/>
      <c r="Q418" s="374"/>
      <c r="R418" s="374"/>
      <c r="S418" s="374"/>
      <c r="T418" s="374"/>
      <c r="U418" s="374"/>
      <c r="V418" s="374"/>
      <c r="W418" s="374"/>
      <c r="X418" s="374"/>
    </row>
    <row r="419" spans="1:24" x14ac:dyDescent="0.2">
      <c r="A419" s="374"/>
      <c r="B419" s="374"/>
      <c r="C419" s="374"/>
      <c r="D419" s="374"/>
      <c r="E419" s="374"/>
      <c r="F419" s="374"/>
      <c r="G419" s="374"/>
      <c r="H419" s="374"/>
      <c r="I419" s="374"/>
      <c r="J419" s="374"/>
      <c r="K419" s="374"/>
      <c r="L419" s="374"/>
      <c r="M419" s="374"/>
      <c r="N419" s="374"/>
      <c r="O419" s="374"/>
      <c r="P419" s="374"/>
      <c r="Q419" s="374"/>
      <c r="R419" s="374"/>
      <c r="S419" s="374"/>
      <c r="T419" s="374"/>
      <c r="U419" s="374"/>
      <c r="V419" s="374"/>
      <c r="W419" s="374"/>
      <c r="X419" s="374"/>
    </row>
    <row r="420" spans="1:24" x14ac:dyDescent="0.2">
      <c r="A420" s="374"/>
      <c r="B420" s="374"/>
      <c r="C420" s="374"/>
      <c r="D420" s="374"/>
      <c r="E420" s="374"/>
      <c r="F420" s="374"/>
      <c r="G420" s="374"/>
      <c r="H420" s="374"/>
      <c r="I420" s="374"/>
      <c r="J420" s="374"/>
      <c r="K420" s="374"/>
      <c r="L420" s="374"/>
      <c r="M420" s="374"/>
      <c r="N420" s="374"/>
      <c r="O420" s="374"/>
      <c r="P420" s="374"/>
      <c r="Q420" s="374"/>
      <c r="R420" s="374"/>
      <c r="S420" s="374"/>
      <c r="T420" s="374"/>
      <c r="U420" s="374"/>
      <c r="V420" s="374"/>
      <c r="W420" s="374"/>
      <c r="X420" s="374"/>
    </row>
    <row r="421" spans="1:24" x14ac:dyDescent="0.2">
      <c r="A421" s="374"/>
      <c r="B421" s="374"/>
      <c r="C421" s="374"/>
      <c r="D421" s="374"/>
      <c r="E421" s="374"/>
      <c r="F421" s="374"/>
      <c r="G421" s="374"/>
      <c r="H421" s="374"/>
      <c r="I421" s="374"/>
      <c r="J421" s="374"/>
      <c r="K421" s="374"/>
      <c r="L421" s="374"/>
      <c r="M421" s="374"/>
      <c r="N421" s="374"/>
      <c r="O421" s="374"/>
      <c r="P421" s="374"/>
      <c r="Q421" s="374"/>
      <c r="R421" s="374"/>
      <c r="S421" s="374"/>
      <c r="T421" s="374"/>
      <c r="U421" s="374"/>
      <c r="V421" s="374"/>
      <c r="W421" s="374"/>
      <c r="X421" s="374"/>
    </row>
    <row r="422" spans="1:24" x14ac:dyDescent="0.2">
      <c r="A422" s="374"/>
      <c r="B422" s="374"/>
      <c r="C422" s="374"/>
      <c r="D422" s="374"/>
      <c r="E422" s="374"/>
      <c r="F422" s="374"/>
      <c r="G422" s="374"/>
      <c r="H422" s="374"/>
      <c r="I422" s="374"/>
      <c r="J422" s="374"/>
      <c r="K422" s="374"/>
      <c r="L422" s="374"/>
      <c r="M422" s="374"/>
      <c r="N422" s="374"/>
      <c r="O422" s="374"/>
      <c r="P422" s="374"/>
      <c r="Q422" s="374"/>
      <c r="R422" s="374"/>
      <c r="S422" s="374"/>
      <c r="T422" s="374"/>
      <c r="U422" s="374"/>
      <c r="V422" s="374"/>
      <c r="W422" s="374"/>
      <c r="X422" s="374"/>
    </row>
    <row r="423" spans="1:24" x14ac:dyDescent="0.2">
      <c r="A423" s="374"/>
      <c r="B423" s="374"/>
      <c r="C423" s="374"/>
      <c r="D423" s="374"/>
      <c r="E423" s="374"/>
      <c r="F423" s="374"/>
      <c r="G423" s="374"/>
      <c r="H423" s="374"/>
      <c r="I423" s="374"/>
      <c r="J423" s="374"/>
      <c r="K423" s="374"/>
      <c r="L423" s="374"/>
      <c r="M423" s="374"/>
      <c r="N423" s="374"/>
      <c r="O423" s="374"/>
      <c r="P423" s="374"/>
      <c r="Q423" s="374"/>
      <c r="R423" s="374"/>
      <c r="S423" s="374"/>
      <c r="T423" s="374"/>
      <c r="U423" s="374"/>
      <c r="V423" s="374"/>
      <c r="W423" s="374"/>
      <c r="X423" s="374"/>
    </row>
    <row r="424" spans="1:24" x14ac:dyDescent="0.2">
      <c r="A424" s="374"/>
      <c r="B424" s="374"/>
      <c r="C424" s="374"/>
      <c r="D424" s="374"/>
      <c r="E424" s="374"/>
      <c r="F424" s="374"/>
      <c r="G424" s="374"/>
      <c r="H424" s="374"/>
      <c r="I424" s="374"/>
      <c r="J424" s="374"/>
      <c r="K424" s="374"/>
      <c r="L424" s="374"/>
      <c r="M424" s="374"/>
      <c r="N424" s="374"/>
      <c r="O424" s="374"/>
      <c r="P424" s="374"/>
      <c r="Q424" s="374"/>
      <c r="R424" s="374"/>
      <c r="S424" s="374"/>
      <c r="T424" s="374"/>
      <c r="U424" s="374"/>
      <c r="V424" s="374"/>
      <c r="W424" s="374"/>
      <c r="X424" s="374"/>
    </row>
    <row r="425" spans="1:24" x14ac:dyDescent="0.2">
      <c r="A425" s="374"/>
      <c r="B425" s="374"/>
      <c r="C425" s="374"/>
      <c r="D425" s="374"/>
      <c r="E425" s="374"/>
      <c r="F425" s="374"/>
      <c r="G425" s="374"/>
      <c r="H425" s="374"/>
      <c r="I425" s="374"/>
      <c r="J425" s="374"/>
      <c r="K425" s="374"/>
      <c r="L425" s="374"/>
      <c r="M425" s="374"/>
      <c r="N425" s="374"/>
      <c r="O425" s="374"/>
      <c r="P425" s="374"/>
      <c r="Q425" s="374"/>
      <c r="R425" s="374"/>
      <c r="S425" s="374"/>
      <c r="T425" s="374"/>
      <c r="U425" s="374"/>
      <c r="V425" s="374"/>
      <c r="W425" s="374"/>
      <c r="X425" s="374"/>
    </row>
    <row r="426" spans="1:24" x14ac:dyDescent="0.2">
      <c r="A426" s="374"/>
      <c r="B426" s="374"/>
      <c r="C426" s="374"/>
      <c r="D426" s="374"/>
      <c r="E426" s="374"/>
      <c r="F426" s="374"/>
      <c r="G426" s="374"/>
      <c r="H426" s="374"/>
      <c r="I426" s="374"/>
      <c r="J426" s="374"/>
      <c r="K426" s="374"/>
      <c r="L426" s="374"/>
      <c r="M426" s="374"/>
      <c r="N426" s="374"/>
      <c r="O426" s="374"/>
      <c r="P426" s="374"/>
      <c r="Q426" s="374"/>
      <c r="R426" s="374"/>
      <c r="S426" s="374"/>
      <c r="T426" s="374"/>
      <c r="U426" s="374"/>
      <c r="V426" s="374"/>
      <c r="W426" s="374"/>
      <c r="X426" s="374"/>
    </row>
    <row r="427" spans="1:24" x14ac:dyDescent="0.2">
      <c r="A427" s="374"/>
      <c r="B427" s="374"/>
      <c r="C427" s="374"/>
      <c r="D427" s="374"/>
      <c r="E427" s="374"/>
      <c r="F427" s="374"/>
      <c r="G427" s="374"/>
      <c r="H427" s="374"/>
      <c r="I427" s="374"/>
      <c r="J427" s="374"/>
      <c r="K427" s="374"/>
      <c r="L427" s="374"/>
      <c r="M427" s="374"/>
      <c r="N427" s="374"/>
      <c r="O427" s="374"/>
      <c r="P427" s="374"/>
      <c r="Q427" s="374"/>
      <c r="R427" s="374"/>
      <c r="S427" s="374"/>
      <c r="T427" s="374"/>
      <c r="U427" s="374"/>
      <c r="V427" s="374"/>
      <c r="W427" s="374"/>
      <c r="X427" s="374"/>
    </row>
    <row r="428" spans="1:24" x14ac:dyDescent="0.2">
      <c r="A428" s="374"/>
      <c r="B428" s="374"/>
      <c r="C428" s="374"/>
      <c r="D428" s="374"/>
      <c r="E428" s="374"/>
      <c r="F428" s="374"/>
      <c r="G428" s="374"/>
      <c r="H428" s="374"/>
      <c r="I428" s="374"/>
      <c r="J428" s="374"/>
      <c r="K428" s="374"/>
      <c r="L428" s="374"/>
      <c r="M428" s="374"/>
      <c r="N428" s="374"/>
      <c r="O428" s="374"/>
      <c r="P428" s="374"/>
      <c r="Q428" s="374"/>
      <c r="R428" s="374"/>
      <c r="S428" s="374"/>
      <c r="T428" s="374"/>
      <c r="U428" s="374"/>
      <c r="V428" s="374"/>
      <c r="W428" s="374"/>
      <c r="X428" s="374"/>
    </row>
    <row r="429" spans="1:24" x14ac:dyDescent="0.2">
      <c r="A429" s="374"/>
      <c r="B429" s="374"/>
      <c r="C429" s="374"/>
      <c r="D429" s="374"/>
      <c r="E429" s="374"/>
      <c r="F429" s="374"/>
      <c r="G429" s="374"/>
      <c r="H429" s="374"/>
      <c r="I429" s="374"/>
      <c r="J429" s="374"/>
      <c r="K429" s="374"/>
      <c r="L429" s="374"/>
      <c r="M429" s="374"/>
      <c r="N429" s="374"/>
      <c r="O429" s="374"/>
      <c r="P429" s="374"/>
      <c r="Q429" s="374"/>
      <c r="R429" s="374"/>
      <c r="S429" s="374"/>
      <c r="T429" s="374"/>
      <c r="U429" s="374"/>
      <c r="V429" s="374"/>
      <c r="W429" s="374"/>
      <c r="X429" s="374"/>
    </row>
    <row r="430" spans="1:24" x14ac:dyDescent="0.2">
      <c r="A430" s="374"/>
      <c r="B430" s="374"/>
      <c r="C430" s="374"/>
      <c r="D430" s="374"/>
      <c r="E430" s="374"/>
      <c r="F430" s="374"/>
      <c r="G430" s="374"/>
      <c r="H430" s="374"/>
      <c r="I430" s="374"/>
      <c r="J430" s="374"/>
      <c r="K430" s="374"/>
      <c r="L430" s="374"/>
      <c r="M430" s="374"/>
      <c r="N430" s="374"/>
      <c r="O430" s="374"/>
      <c r="P430" s="374"/>
      <c r="Q430" s="374"/>
      <c r="R430" s="374"/>
      <c r="S430" s="374"/>
      <c r="T430" s="374"/>
      <c r="U430" s="374"/>
      <c r="V430" s="374"/>
      <c r="W430" s="374"/>
      <c r="X430" s="374"/>
    </row>
    <row r="431" spans="1:24" x14ac:dyDescent="0.2">
      <c r="A431" s="374"/>
      <c r="B431" s="374"/>
      <c r="C431" s="374"/>
      <c r="D431" s="374"/>
      <c r="E431" s="374"/>
      <c r="F431" s="374"/>
      <c r="G431" s="374"/>
      <c r="H431" s="374"/>
      <c r="I431" s="374"/>
      <c r="J431" s="374"/>
      <c r="K431" s="374"/>
      <c r="L431" s="374"/>
      <c r="M431" s="374"/>
      <c r="N431" s="374"/>
      <c r="O431" s="374"/>
      <c r="P431" s="374"/>
      <c r="Q431" s="374"/>
      <c r="R431" s="374"/>
      <c r="S431" s="374"/>
      <c r="T431" s="374"/>
      <c r="U431" s="374"/>
      <c r="V431" s="374"/>
      <c r="W431" s="374"/>
      <c r="X431" s="374"/>
    </row>
    <row r="432" spans="1:24" x14ac:dyDescent="0.2">
      <c r="A432" s="381"/>
      <c r="B432" s="374"/>
      <c r="C432" s="374"/>
      <c r="D432" s="374"/>
      <c r="E432" s="374"/>
      <c r="F432" s="374"/>
      <c r="G432" s="374"/>
      <c r="H432" s="374"/>
      <c r="I432" s="374"/>
      <c r="J432" s="374"/>
      <c r="K432" s="374"/>
      <c r="L432" s="374"/>
      <c r="M432" s="374"/>
      <c r="N432" s="374"/>
      <c r="O432" s="374"/>
      <c r="P432" s="374"/>
      <c r="Q432" s="374"/>
      <c r="R432" s="374"/>
      <c r="S432" s="374"/>
      <c r="T432" s="374"/>
      <c r="U432" s="374"/>
      <c r="V432" s="374"/>
      <c r="W432" s="374"/>
      <c r="X432" s="374"/>
    </row>
    <row r="433" spans="1:24" x14ac:dyDescent="0.2">
      <c r="A433" s="374"/>
      <c r="B433" s="374"/>
      <c r="C433" s="374"/>
      <c r="D433" s="374"/>
      <c r="E433" s="374"/>
      <c r="F433" s="374"/>
      <c r="G433" s="374"/>
      <c r="H433" s="374"/>
      <c r="I433" s="374"/>
      <c r="J433" s="374"/>
      <c r="K433" s="374"/>
      <c r="L433" s="374"/>
      <c r="M433" s="374"/>
      <c r="N433" s="374"/>
      <c r="O433" s="374"/>
      <c r="P433" s="374"/>
      <c r="Q433" s="374"/>
      <c r="R433" s="374"/>
      <c r="S433" s="374"/>
      <c r="T433" s="374"/>
      <c r="U433" s="374"/>
      <c r="V433" s="374"/>
      <c r="W433" s="374"/>
      <c r="X433" s="374"/>
    </row>
    <row r="434" spans="1:24" x14ac:dyDescent="0.2">
      <c r="A434" s="374"/>
      <c r="B434" s="374"/>
      <c r="C434" s="374"/>
      <c r="D434" s="374"/>
      <c r="E434" s="374"/>
      <c r="F434" s="374"/>
      <c r="G434" s="374"/>
      <c r="H434" s="374"/>
      <c r="I434" s="374"/>
      <c r="J434" s="374"/>
      <c r="K434" s="374"/>
      <c r="L434" s="374"/>
      <c r="M434" s="374"/>
      <c r="N434" s="374"/>
      <c r="O434" s="374"/>
      <c r="P434" s="374"/>
      <c r="Q434" s="374"/>
      <c r="R434" s="374"/>
      <c r="S434" s="374"/>
      <c r="T434" s="374"/>
      <c r="U434" s="374"/>
      <c r="V434" s="374"/>
      <c r="W434" s="374"/>
      <c r="X434" s="374"/>
    </row>
    <row r="435" spans="1:24" x14ac:dyDescent="0.2">
      <c r="A435" s="374"/>
      <c r="B435" s="374"/>
      <c r="C435" s="374"/>
      <c r="D435" s="374"/>
      <c r="E435" s="374"/>
      <c r="F435" s="374"/>
      <c r="G435" s="374"/>
      <c r="H435" s="374"/>
      <c r="I435" s="374"/>
      <c r="J435" s="374"/>
      <c r="K435" s="374"/>
      <c r="L435" s="374"/>
      <c r="M435" s="374"/>
      <c r="N435" s="374"/>
      <c r="O435" s="374"/>
      <c r="P435" s="374"/>
      <c r="Q435" s="374"/>
      <c r="R435" s="374"/>
      <c r="S435" s="374"/>
      <c r="T435" s="374"/>
      <c r="U435" s="374"/>
      <c r="V435" s="374"/>
      <c r="W435" s="374"/>
      <c r="X435" s="374"/>
    </row>
    <row r="436" spans="1:24" x14ac:dyDescent="0.2">
      <c r="A436" s="374"/>
      <c r="B436" s="374"/>
      <c r="C436" s="374"/>
      <c r="D436" s="374"/>
      <c r="E436" s="374"/>
      <c r="F436" s="374"/>
      <c r="G436" s="374"/>
      <c r="H436" s="374"/>
      <c r="I436" s="374"/>
      <c r="J436" s="374"/>
      <c r="K436" s="374"/>
      <c r="L436" s="374"/>
      <c r="M436" s="374"/>
      <c r="N436" s="374"/>
      <c r="O436" s="374"/>
      <c r="P436" s="374"/>
      <c r="Q436" s="374"/>
      <c r="R436" s="374"/>
      <c r="S436" s="374"/>
      <c r="T436" s="374"/>
      <c r="U436" s="374"/>
      <c r="V436" s="374"/>
      <c r="W436" s="374"/>
      <c r="X436" s="374"/>
    </row>
    <row r="437" spans="1:24" x14ac:dyDescent="0.2">
      <c r="A437" s="374"/>
      <c r="B437" s="374"/>
      <c r="C437" s="374"/>
      <c r="D437" s="374"/>
      <c r="E437" s="374"/>
      <c r="F437" s="374"/>
      <c r="G437" s="374"/>
      <c r="H437" s="374"/>
      <c r="I437" s="374"/>
      <c r="J437" s="374"/>
      <c r="K437" s="374"/>
      <c r="L437" s="374"/>
      <c r="M437" s="374"/>
      <c r="N437" s="374"/>
      <c r="O437" s="374"/>
      <c r="P437" s="374"/>
      <c r="Q437" s="374"/>
      <c r="R437" s="374"/>
      <c r="S437" s="374"/>
      <c r="T437" s="374"/>
      <c r="U437" s="374"/>
      <c r="V437" s="374"/>
      <c r="W437" s="374"/>
      <c r="X437" s="374"/>
    </row>
    <row r="438" spans="1:24" x14ac:dyDescent="0.2">
      <c r="A438" s="374"/>
      <c r="B438" s="374"/>
      <c r="C438" s="374"/>
      <c r="D438" s="374"/>
      <c r="E438" s="374"/>
      <c r="F438" s="374"/>
      <c r="G438" s="374"/>
      <c r="H438" s="374"/>
      <c r="I438" s="374"/>
      <c r="J438" s="374"/>
      <c r="K438" s="374"/>
      <c r="L438" s="374"/>
      <c r="M438" s="374"/>
      <c r="N438" s="374"/>
      <c r="O438" s="374"/>
      <c r="P438" s="374"/>
      <c r="Q438" s="374"/>
      <c r="R438" s="374"/>
      <c r="S438" s="374"/>
      <c r="T438" s="374"/>
      <c r="U438" s="374"/>
      <c r="V438" s="374"/>
      <c r="W438" s="374"/>
      <c r="X438" s="374"/>
    </row>
    <row r="439" spans="1:24" x14ac:dyDescent="0.2">
      <c r="A439" s="374"/>
      <c r="B439" s="374"/>
      <c r="C439" s="374"/>
      <c r="D439" s="374"/>
      <c r="E439" s="374"/>
      <c r="F439" s="374"/>
      <c r="G439" s="374"/>
      <c r="H439" s="374"/>
      <c r="I439" s="374"/>
      <c r="J439" s="374"/>
      <c r="K439" s="374"/>
      <c r="L439" s="374"/>
      <c r="M439" s="374"/>
      <c r="N439" s="374"/>
      <c r="O439" s="374"/>
      <c r="P439" s="374"/>
      <c r="Q439" s="374"/>
      <c r="R439" s="374"/>
      <c r="S439" s="374"/>
      <c r="T439" s="374"/>
      <c r="U439" s="374"/>
      <c r="V439" s="374"/>
      <c r="W439" s="374"/>
      <c r="X439" s="374"/>
    </row>
    <row r="440" spans="1:24" x14ac:dyDescent="0.2">
      <c r="A440" s="374"/>
      <c r="B440" s="374"/>
      <c r="C440" s="374"/>
      <c r="D440" s="374"/>
      <c r="E440" s="374"/>
      <c r="F440" s="374"/>
      <c r="G440" s="374"/>
      <c r="H440" s="374"/>
      <c r="I440" s="374"/>
      <c r="J440" s="374"/>
      <c r="K440" s="374"/>
      <c r="L440" s="374"/>
      <c r="M440" s="374"/>
      <c r="N440" s="374"/>
      <c r="O440" s="374"/>
      <c r="P440" s="374"/>
      <c r="Q440" s="374"/>
      <c r="R440" s="374"/>
      <c r="S440" s="374"/>
      <c r="T440" s="374"/>
      <c r="U440" s="374"/>
      <c r="V440" s="374"/>
      <c r="W440" s="374"/>
      <c r="X440" s="374"/>
    </row>
    <row r="441" spans="1:24" x14ac:dyDescent="0.2">
      <c r="A441" s="374"/>
      <c r="B441" s="374"/>
      <c r="C441" s="374"/>
      <c r="D441" s="374"/>
      <c r="E441" s="374"/>
      <c r="F441" s="374"/>
      <c r="G441" s="374"/>
      <c r="H441" s="374"/>
      <c r="I441" s="374"/>
      <c r="J441" s="374"/>
      <c r="K441" s="374"/>
      <c r="L441" s="374"/>
      <c r="M441" s="374"/>
      <c r="N441" s="374"/>
      <c r="O441" s="374"/>
      <c r="P441" s="374"/>
      <c r="Q441" s="374"/>
      <c r="R441" s="374"/>
      <c r="S441" s="374"/>
      <c r="T441" s="374"/>
      <c r="U441" s="374"/>
      <c r="V441" s="374"/>
      <c r="W441" s="374"/>
      <c r="X441" s="374"/>
    </row>
    <row r="442" spans="1:24" x14ac:dyDescent="0.2">
      <c r="A442" s="374"/>
      <c r="B442" s="374"/>
      <c r="C442" s="374"/>
      <c r="D442" s="374"/>
      <c r="E442" s="374"/>
      <c r="F442" s="374"/>
      <c r="G442" s="374"/>
      <c r="H442" s="374"/>
      <c r="I442" s="374"/>
      <c r="J442" s="374"/>
      <c r="K442" s="374"/>
      <c r="L442" s="374"/>
      <c r="M442" s="374"/>
      <c r="N442" s="374"/>
      <c r="O442" s="374"/>
      <c r="P442" s="374"/>
      <c r="Q442" s="374"/>
      <c r="R442" s="374"/>
      <c r="S442" s="374"/>
      <c r="T442" s="374"/>
      <c r="U442" s="374"/>
      <c r="V442" s="374"/>
      <c r="W442" s="374"/>
      <c r="X442" s="374"/>
    </row>
    <row r="443" spans="1:24" x14ac:dyDescent="0.2">
      <c r="A443" s="374"/>
      <c r="B443" s="374"/>
      <c r="C443" s="374"/>
      <c r="D443" s="374"/>
      <c r="E443" s="374"/>
      <c r="F443" s="374"/>
      <c r="G443" s="374"/>
      <c r="H443" s="374"/>
      <c r="I443" s="374"/>
      <c r="J443" s="374"/>
      <c r="K443" s="374"/>
      <c r="L443" s="374"/>
      <c r="M443" s="374"/>
      <c r="N443" s="374"/>
      <c r="O443" s="374"/>
      <c r="P443" s="374"/>
      <c r="Q443" s="374"/>
      <c r="R443" s="374"/>
      <c r="S443" s="374"/>
      <c r="T443" s="374"/>
      <c r="U443" s="374"/>
      <c r="V443" s="374"/>
      <c r="W443" s="374"/>
      <c r="X443" s="374"/>
    </row>
    <row r="444" spans="1:24" x14ac:dyDescent="0.2">
      <c r="A444" s="374"/>
      <c r="B444" s="374"/>
      <c r="C444" s="374"/>
      <c r="D444" s="374"/>
      <c r="E444" s="374"/>
      <c r="F444" s="374"/>
      <c r="G444" s="374"/>
      <c r="H444" s="374"/>
      <c r="I444" s="374"/>
      <c r="J444" s="374"/>
      <c r="K444" s="374"/>
      <c r="L444" s="374"/>
      <c r="M444" s="374"/>
      <c r="N444" s="374"/>
      <c r="O444" s="374"/>
      <c r="P444" s="374"/>
      <c r="Q444" s="374"/>
      <c r="R444" s="374"/>
      <c r="S444" s="374"/>
      <c r="T444" s="374"/>
      <c r="U444" s="374"/>
      <c r="V444" s="374"/>
      <c r="W444" s="374"/>
      <c r="X444" s="374"/>
    </row>
    <row r="445" spans="1:24" x14ac:dyDescent="0.2">
      <c r="A445" s="374"/>
      <c r="B445" s="374"/>
      <c r="C445" s="374"/>
      <c r="D445" s="374"/>
      <c r="E445" s="374"/>
      <c r="F445" s="374"/>
      <c r="G445" s="374"/>
      <c r="H445" s="374"/>
      <c r="I445" s="374"/>
      <c r="J445" s="374"/>
      <c r="K445" s="374"/>
      <c r="L445" s="374"/>
      <c r="M445" s="374"/>
      <c r="N445" s="374"/>
      <c r="O445" s="374"/>
      <c r="P445" s="374"/>
      <c r="Q445" s="374"/>
      <c r="R445" s="374"/>
      <c r="S445" s="374"/>
      <c r="T445" s="374"/>
      <c r="U445" s="374"/>
      <c r="V445" s="374"/>
      <c r="W445" s="374"/>
      <c r="X445" s="374"/>
    </row>
    <row r="446" spans="1:24" x14ac:dyDescent="0.2">
      <c r="A446" s="381"/>
      <c r="B446" s="374"/>
      <c r="C446" s="374"/>
      <c r="D446" s="374"/>
      <c r="E446" s="374"/>
      <c r="F446" s="374"/>
      <c r="G446" s="374"/>
      <c r="H446" s="374"/>
      <c r="I446" s="374"/>
      <c r="J446" s="374"/>
      <c r="K446" s="374"/>
      <c r="L446" s="374"/>
      <c r="M446" s="374"/>
      <c r="N446" s="374"/>
      <c r="O446" s="374"/>
      <c r="P446" s="374"/>
      <c r="Q446" s="374"/>
      <c r="R446" s="374"/>
      <c r="S446" s="374"/>
      <c r="T446" s="374"/>
      <c r="U446" s="374"/>
      <c r="V446" s="374"/>
      <c r="W446" s="374"/>
      <c r="X446" s="374"/>
    </row>
    <row r="447" spans="1:24" x14ac:dyDescent="0.2">
      <c r="A447" s="374"/>
      <c r="B447" s="374"/>
      <c r="C447" s="374"/>
      <c r="D447" s="374"/>
      <c r="E447" s="374"/>
      <c r="F447" s="374"/>
      <c r="G447" s="374"/>
      <c r="H447" s="374"/>
      <c r="I447" s="374"/>
      <c r="J447" s="374"/>
      <c r="K447" s="374"/>
      <c r="L447" s="374"/>
      <c r="M447" s="374"/>
      <c r="N447" s="374"/>
      <c r="O447" s="374"/>
      <c r="P447" s="374"/>
      <c r="Q447" s="374"/>
      <c r="R447" s="374"/>
      <c r="S447" s="374"/>
      <c r="T447" s="374"/>
      <c r="U447" s="374"/>
      <c r="V447" s="374"/>
      <c r="W447" s="374"/>
      <c r="X447" s="374"/>
    </row>
    <row r="448" spans="1:24" x14ac:dyDescent="0.2">
      <c r="A448" s="374"/>
      <c r="B448" s="374"/>
      <c r="C448" s="374"/>
      <c r="D448" s="374"/>
      <c r="E448" s="374"/>
      <c r="F448" s="374"/>
      <c r="G448" s="374"/>
      <c r="H448" s="374"/>
      <c r="I448" s="374"/>
      <c r="J448" s="374"/>
      <c r="K448" s="374"/>
      <c r="L448" s="374"/>
      <c r="M448" s="374"/>
      <c r="N448" s="374"/>
      <c r="O448" s="374"/>
      <c r="P448" s="374"/>
      <c r="Q448" s="374"/>
      <c r="R448" s="374"/>
      <c r="S448" s="374"/>
      <c r="T448" s="374"/>
      <c r="U448" s="374"/>
      <c r="V448" s="374"/>
      <c r="W448" s="374"/>
      <c r="X448" s="374"/>
    </row>
    <row r="449" spans="1:24" x14ac:dyDescent="0.2">
      <c r="A449" s="374"/>
      <c r="B449" s="374"/>
      <c r="C449" s="374"/>
      <c r="D449" s="374"/>
      <c r="E449" s="374"/>
      <c r="F449" s="374"/>
      <c r="G449" s="374"/>
      <c r="H449" s="374"/>
      <c r="I449" s="374"/>
      <c r="J449" s="374"/>
      <c r="K449" s="374"/>
      <c r="L449" s="374"/>
      <c r="M449" s="374"/>
      <c r="N449" s="374"/>
      <c r="O449" s="374"/>
      <c r="P449" s="374"/>
      <c r="Q449" s="374"/>
      <c r="R449" s="374"/>
      <c r="S449" s="374"/>
      <c r="T449" s="374"/>
      <c r="U449" s="374"/>
      <c r="V449" s="374"/>
      <c r="W449" s="374"/>
      <c r="X449" s="374"/>
    </row>
    <row r="450" spans="1:24" x14ac:dyDescent="0.2">
      <c r="A450" s="374"/>
      <c r="B450" s="374"/>
      <c r="C450" s="374"/>
      <c r="D450" s="374"/>
      <c r="E450" s="374"/>
      <c r="F450" s="374"/>
      <c r="G450" s="374"/>
      <c r="H450" s="374"/>
      <c r="I450" s="374"/>
      <c r="J450" s="374"/>
      <c r="K450" s="374"/>
      <c r="L450" s="374"/>
      <c r="M450" s="374"/>
      <c r="N450" s="374"/>
      <c r="O450" s="374"/>
      <c r="P450" s="374"/>
      <c r="Q450" s="374"/>
      <c r="R450" s="374"/>
      <c r="S450" s="374"/>
      <c r="T450" s="374"/>
      <c r="U450" s="374"/>
      <c r="V450" s="374"/>
      <c r="W450" s="374"/>
      <c r="X450" s="374"/>
    </row>
    <row r="451" spans="1:24" x14ac:dyDescent="0.2">
      <c r="A451" s="374"/>
      <c r="B451" s="374"/>
      <c r="C451" s="374"/>
      <c r="D451" s="374"/>
      <c r="E451" s="374"/>
      <c r="F451" s="374"/>
      <c r="G451" s="374"/>
      <c r="H451" s="374"/>
      <c r="I451" s="374"/>
      <c r="J451" s="374"/>
      <c r="K451" s="374"/>
      <c r="L451" s="374"/>
      <c r="M451" s="374"/>
      <c r="N451" s="374"/>
      <c r="O451" s="374"/>
      <c r="P451" s="374"/>
      <c r="Q451" s="374"/>
      <c r="R451" s="374"/>
      <c r="S451" s="374"/>
      <c r="T451" s="374"/>
      <c r="U451" s="374"/>
      <c r="V451" s="374"/>
      <c r="W451" s="374"/>
      <c r="X451" s="374"/>
    </row>
    <row r="452" spans="1:24" x14ac:dyDescent="0.2">
      <c r="A452" s="374"/>
      <c r="B452" s="374"/>
      <c r="C452" s="374"/>
      <c r="D452" s="374"/>
      <c r="E452" s="374"/>
      <c r="F452" s="374"/>
      <c r="G452" s="374"/>
      <c r="H452" s="374"/>
      <c r="I452" s="374"/>
      <c r="J452" s="374"/>
      <c r="K452" s="374"/>
      <c r="L452" s="374"/>
      <c r="M452" s="374"/>
      <c r="N452" s="374"/>
      <c r="O452" s="374"/>
      <c r="P452" s="374"/>
      <c r="Q452" s="374"/>
      <c r="R452" s="374"/>
      <c r="S452" s="374"/>
      <c r="T452" s="374"/>
      <c r="U452" s="374"/>
      <c r="V452" s="374"/>
      <c r="W452" s="374"/>
      <c r="X452" s="374"/>
    </row>
    <row r="453" spans="1:24" x14ac:dyDescent="0.2">
      <c r="A453" s="374"/>
      <c r="B453" s="374"/>
      <c r="C453" s="374"/>
      <c r="D453" s="374"/>
      <c r="E453" s="374"/>
      <c r="F453" s="374"/>
      <c r="G453" s="374"/>
      <c r="H453" s="374"/>
      <c r="I453" s="374"/>
      <c r="J453" s="374"/>
      <c r="K453" s="374"/>
      <c r="L453" s="374"/>
      <c r="M453" s="374"/>
      <c r="N453" s="374"/>
      <c r="O453" s="374"/>
      <c r="P453" s="374"/>
      <c r="Q453" s="374"/>
      <c r="R453" s="374"/>
      <c r="S453" s="374"/>
      <c r="T453" s="374"/>
      <c r="U453" s="374"/>
      <c r="V453" s="374"/>
      <c r="W453" s="374"/>
      <c r="X453" s="374"/>
    </row>
    <row r="454" spans="1:24" x14ac:dyDescent="0.2">
      <c r="A454" s="374"/>
      <c r="B454" s="374"/>
      <c r="C454" s="374"/>
      <c r="D454" s="374"/>
      <c r="E454" s="374"/>
      <c r="F454" s="374"/>
      <c r="G454" s="374"/>
      <c r="H454" s="374"/>
      <c r="I454" s="374"/>
      <c r="J454" s="374"/>
      <c r="K454" s="374"/>
      <c r="L454" s="374"/>
      <c r="M454" s="374"/>
      <c r="N454" s="374"/>
      <c r="O454" s="374"/>
      <c r="P454" s="374"/>
      <c r="Q454" s="374"/>
      <c r="R454" s="374"/>
      <c r="S454" s="374"/>
      <c r="T454" s="374"/>
      <c r="U454" s="374"/>
      <c r="V454" s="374"/>
      <c r="W454" s="374"/>
      <c r="X454" s="374"/>
    </row>
    <row r="455" spans="1:24" x14ac:dyDescent="0.2">
      <c r="A455" s="374"/>
      <c r="B455" s="374"/>
      <c r="C455" s="374"/>
      <c r="D455" s="374"/>
      <c r="E455" s="374"/>
      <c r="F455" s="374"/>
      <c r="G455" s="374"/>
      <c r="H455" s="374"/>
      <c r="I455" s="374"/>
      <c r="J455" s="374"/>
      <c r="K455" s="374"/>
      <c r="L455" s="374"/>
      <c r="M455" s="374"/>
      <c r="N455" s="374"/>
      <c r="O455" s="374"/>
      <c r="P455" s="374"/>
      <c r="Q455" s="374"/>
      <c r="R455" s="374"/>
      <c r="S455" s="374"/>
      <c r="T455" s="374"/>
      <c r="U455" s="374"/>
      <c r="V455" s="374"/>
      <c r="W455" s="374"/>
      <c r="X455" s="374"/>
    </row>
    <row r="456" spans="1:24" x14ac:dyDescent="0.2">
      <c r="A456" s="374"/>
      <c r="B456" s="374"/>
      <c r="C456" s="374"/>
      <c r="D456" s="374"/>
      <c r="E456" s="374"/>
      <c r="F456" s="374"/>
      <c r="G456" s="374"/>
      <c r="H456" s="374"/>
      <c r="I456" s="374"/>
      <c r="J456" s="374"/>
      <c r="K456" s="374"/>
      <c r="L456" s="374"/>
      <c r="M456" s="374"/>
      <c r="N456" s="374"/>
      <c r="O456" s="374"/>
      <c r="P456" s="374"/>
      <c r="Q456" s="374"/>
      <c r="R456" s="374"/>
      <c r="S456" s="374"/>
      <c r="T456" s="374"/>
      <c r="U456" s="374"/>
      <c r="V456" s="374"/>
      <c r="W456" s="374"/>
      <c r="X456" s="374"/>
    </row>
    <row r="457" spans="1:24" x14ac:dyDescent="0.2">
      <c r="A457" s="374"/>
      <c r="B457" s="374"/>
      <c r="C457" s="374"/>
      <c r="D457" s="374"/>
      <c r="E457" s="374"/>
      <c r="F457" s="374"/>
      <c r="G457" s="374"/>
      <c r="H457" s="374"/>
      <c r="I457" s="374"/>
      <c r="J457" s="374"/>
      <c r="K457" s="374"/>
      <c r="L457" s="374"/>
      <c r="M457" s="374"/>
      <c r="N457" s="374"/>
      <c r="O457" s="374"/>
      <c r="P457" s="374"/>
      <c r="Q457" s="374"/>
      <c r="R457" s="374"/>
      <c r="S457" s="374"/>
      <c r="T457" s="374"/>
      <c r="U457" s="374"/>
      <c r="V457" s="374"/>
      <c r="W457" s="374"/>
      <c r="X457" s="374"/>
    </row>
    <row r="458" spans="1:24" x14ac:dyDescent="0.2">
      <c r="A458" s="374"/>
      <c r="B458" s="374"/>
      <c r="C458" s="374"/>
      <c r="D458" s="374"/>
      <c r="E458" s="374"/>
      <c r="F458" s="374"/>
      <c r="G458" s="374"/>
      <c r="H458" s="374"/>
      <c r="I458" s="374"/>
      <c r="J458" s="374"/>
      <c r="K458" s="374"/>
      <c r="L458" s="374"/>
      <c r="M458" s="374"/>
      <c r="N458" s="374"/>
      <c r="O458" s="374"/>
      <c r="P458" s="374"/>
      <c r="Q458" s="374"/>
      <c r="R458" s="374"/>
      <c r="S458" s="374"/>
      <c r="T458" s="374"/>
      <c r="U458" s="374"/>
      <c r="V458" s="374"/>
      <c r="W458" s="374"/>
      <c r="X458" s="374"/>
    </row>
    <row r="459" spans="1:24" x14ac:dyDescent="0.2">
      <c r="A459" s="374"/>
      <c r="B459" s="374"/>
      <c r="C459" s="374"/>
      <c r="D459" s="374"/>
      <c r="E459" s="374"/>
      <c r="F459" s="374"/>
      <c r="G459" s="374"/>
      <c r="H459" s="374"/>
      <c r="I459" s="374"/>
      <c r="J459" s="374"/>
      <c r="K459" s="374"/>
      <c r="L459" s="374"/>
      <c r="M459" s="374"/>
      <c r="N459" s="374"/>
      <c r="O459" s="374"/>
      <c r="P459" s="374"/>
      <c r="Q459" s="374"/>
      <c r="R459" s="374"/>
      <c r="S459" s="374"/>
      <c r="T459" s="374"/>
      <c r="U459" s="374"/>
      <c r="V459" s="374"/>
      <c r="W459" s="374"/>
      <c r="X459" s="374"/>
    </row>
    <row r="460" spans="1:24" x14ac:dyDescent="0.2">
      <c r="A460" s="381"/>
      <c r="B460" s="374"/>
      <c r="C460" s="374"/>
      <c r="D460" s="374"/>
      <c r="E460" s="374"/>
      <c r="F460" s="374"/>
      <c r="G460" s="374"/>
      <c r="H460" s="374"/>
      <c r="I460" s="374"/>
      <c r="J460" s="374"/>
      <c r="K460" s="374"/>
      <c r="L460" s="374"/>
      <c r="M460" s="374"/>
      <c r="N460" s="374"/>
      <c r="O460" s="374"/>
      <c r="P460" s="374"/>
      <c r="Q460" s="374"/>
      <c r="R460" s="374"/>
      <c r="S460" s="374"/>
      <c r="T460" s="374"/>
      <c r="U460" s="374"/>
      <c r="V460" s="374"/>
      <c r="W460" s="374"/>
      <c r="X460" s="374"/>
    </row>
    <row r="461" spans="1:24" x14ac:dyDescent="0.2">
      <c r="A461" s="374"/>
      <c r="B461" s="374"/>
      <c r="C461" s="374"/>
      <c r="D461" s="374"/>
      <c r="E461" s="374"/>
      <c r="F461" s="374"/>
      <c r="G461" s="374"/>
      <c r="H461" s="374"/>
      <c r="I461" s="374"/>
      <c r="J461" s="374"/>
      <c r="K461" s="374"/>
      <c r="L461" s="374"/>
      <c r="M461" s="374"/>
      <c r="N461" s="374"/>
      <c r="O461" s="374"/>
      <c r="P461" s="374"/>
      <c r="Q461" s="374"/>
      <c r="R461" s="374"/>
      <c r="S461" s="374"/>
      <c r="T461" s="374"/>
      <c r="U461" s="374"/>
      <c r="V461" s="374"/>
      <c r="W461" s="374"/>
      <c r="X461" s="374"/>
    </row>
    <row r="462" spans="1:24" x14ac:dyDescent="0.2">
      <c r="A462" s="374"/>
      <c r="B462" s="374"/>
      <c r="C462" s="374"/>
      <c r="D462" s="374"/>
      <c r="E462" s="374"/>
      <c r="F462" s="374"/>
      <c r="G462" s="374"/>
      <c r="H462" s="374"/>
      <c r="I462" s="374"/>
      <c r="J462" s="374"/>
      <c r="K462" s="374"/>
      <c r="L462" s="374"/>
      <c r="M462" s="374"/>
      <c r="N462" s="374"/>
      <c r="O462" s="374"/>
      <c r="P462" s="374"/>
      <c r="Q462" s="374"/>
      <c r="R462" s="374"/>
      <c r="S462" s="374"/>
      <c r="T462" s="374"/>
      <c r="U462" s="374"/>
      <c r="V462" s="374"/>
      <c r="W462" s="374"/>
      <c r="X462" s="374"/>
    </row>
    <row r="463" spans="1:24" x14ac:dyDescent="0.2">
      <c r="A463" s="374"/>
      <c r="B463" s="374"/>
      <c r="C463" s="374"/>
      <c r="D463" s="374"/>
      <c r="E463" s="374"/>
      <c r="F463" s="374"/>
      <c r="G463" s="374"/>
      <c r="H463" s="374"/>
      <c r="I463" s="374"/>
      <c r="J463" s="374"/>
      <c r="K463" s="374"/>
      <c r="L463" s="374"/>
      <c r="M463" s="374"/>
      <c r="N463" s="374"/>
      <c r="O463" s="374"/>
      <c r="P463" s="374"/>
      <c r="Q463" s="374"/>
      <c r="R463" s="374"/>
      <c r="S463" s="374"/>
      <c r="T463" s="374"/>
      <c r="U463" s="374"/>
      <c r="V463" s="374"/>
      <c r="W463" s="374"/>
      <c r="X463" s="374"/>
    </row>
    <row r="464" spans="1:24" x14ac:dyDescent="0.2">
      <c r="A464" s="374"/>
      <c r="B464" s="374"/>
      <c r="C464" s="374"/>
      <c r="D464" s="374"/>
      <c r="E464" s="374"/>
      <c r="F464" s="374"/>
      <c r="G464" s="374"/>
      <c r="H464" s="374"/>
      <c r="I464" s="374"/>
      <c r="J464" s="374"/>
      <c r="K464" s="374"/>
      <c r="L464" s="374"/>
      <c r="M464" s="374"/>
      <c r="N464" s="374"/>
      <c r="O464" s="374"/>
      <c r="P464" s="374"/>
      <c r="Q464" s="374"/>
      <c r="R464" s="374"/>
      <c r="S464" s="374"/>
      <c r="T464" s="374"/>
      <c r="U464" s="374"/>
      <c r="V464" s="374"/>
      <c r="W464" s="374"/>
      <c r="X464" s="374"/>
    </row>
    <row r="465" spans="1:24" x14ac:dyDescent="0.2">
      <c r="A465" s="374"/>
      <c r="B465" s="374"/>
      <c r="C465" s="374"/>
      <c r="D465" s="374"/>
      <c r="E465" s="374"/>
      <c r="F465" s="374"/>
      <c r="G465" s="374"/>
      <c r="H465" s="374"/>
      <c r="I465" s="374"/>
      <c r="J465" s="374"/>
      <c r="K465" s="374"/>
      <c r="L465" s="374"/>
      <c r="M465" s="374"/>
      <c r="N465" s="374"/>
      <c r="O465" s="374"/>
      <c r="P465" s="374"/>
      <c r="Q465" s="374"/>
      <c r="R465" s="374"/>
      <c r="S465" s="374"/>
      <c r="T465" s="374"/>
      <c r="U465" s="374"/>
      <c r="V465" s="374"/>
      <c r="W465" s="374"/>
      <c r="X465" s="374"/>
    </row>
    <row r="466" spans="1:24" x14ac:dyDescent="0.2">
      <c r="A466" s="374"/>
      <c r="B466" s="374"/>
      <c r="C466" s="374"/>
      <c r="D466" s="374"/>
      <c r="E466" s="374"/>
      <c r="F466" s="374"/>
      <c r="G466" s="374"/>
      <c r="H466" s="374"/>
      <c r="I466" s="374"/>
      <c r="J466" s="374"/>
      <c r="K466" s="374"/>
      <c r="L466" s="374"/>
      <c r="M466" s="374"/>
      <c r="N466" s="374"/>
      <c r="O466" s="374"/>
      <c r="P466" s="374"/>
      <c r="Q466" s="374"/>
      <c r="R466" s="374"/>
      <c r="S466" s="374"/>
      <c r="T466" s="374"/>
      <c r="U466" s="374"/>
      <c r="V466" s="374"/>
      <c r="W466" s="374"/>
      <c r="X466" s="374"/>
    </row>
    <row r="467" spans="1:24" x14ac:dyDescent="0.2">
      <c r="A467" s="374"/>
      <c r="B467" s="374"/>
      <c r="C467" s="374"/>
      <c r="D467" s="374"/>
      <c r="E467" s="374"/>
      <c r="F467" s="374"/>
      <c r="G467" s="374"/>
      <c r="H467" s="374"/>
      <c r="I467" s="374"/>
      <c r="J467" s="374"/>
      <c r="K467" s="374"/>
      <c r="L467" s="374"/>
      <c r="M467" s="374"/>
      <c r="N467" s="374"/>
      <c r="O467" s="374"/>
      <c r="P467" s="374"/>
      <c r="Q467" s="374"/>
      <c r="R467" s="374"/>
      <c r="S467" s="374"/>
      <c r="T467" s="374"/>
      <c r="U467" s="374"/>
      <c r="V467" s="374"/>
      <c r="W467" s="374"/>
      <c r="X467" s="374"/>
    </row>
    <row r="468" spans="1:24" x14ac:dyDescent="0.2">
      <c r="A468" s="374"/>
      <c r="B468" s="374"/>
      <c r="C468" s="374"/>
      <c r="D468" s="374"/>
      <c r="E468" s="374"/>
      <c r="F468" s="374"/>
      <c r="G468" s="374"/>
      <c r="H468" s="374"/>
      <c r="I468" s="374"/>
      <c r="J468" s="374"/>
      <c r="K468" s="374"/>
      <c r="L468" s="374"/>
      <c r="M468" s="374"/>
      <c r="N468" s="374"/>
      <c r="O468" s="374"/>
      <c r="P468" s="374"/>
      <c r="Q468" s="374"/>
      <c r="R468" s="374"/>
      <c r="S468" s="374"/>
      <c r="T468" s="374"/>
      <c r="U468" s="374"/>
      <c r="V468" s="374"/>
      <c r="W468" s="374"/>
      <c r="X468" s="374"/>
    </row>
    <row r="469" spans="1:24" x14ac:dyDescent="0.2">
      <c r="A469" s="374"/>
      <c r="B469" s="374"/>
      <c r="C469" s="374"/>
      <c r="D469" s="374"/>
      <c r="E469" s="374"/>
      <c r="F469" s="374"/>
      <c r="G469" s="374"/>
      <c r="H469" s="374"/>
      <c r="I469" s="374"/>
      <c r="J469" s="374"/>
      <c r="K469" s="374"/>
      <c r="L469" s="374"/>
      <c r="M469" s="374"/>
      <c r="N469" s="374"/>
      <c r="O469" s="374"/>
      <c r="P469" s="374"/>
      <c r="Q469" s="374"/>
      <c r="R469" s="374"/>
      <c r="S469" s="374"/>
      <c r="T469" s="374"/>
      <c r="U469" s="374"/>
      <c r="V469" s="374"/>
      <c r="W469" s="374"/>
      <c r="X469" s="374"/>
    </row>
    <row r="470" spans="1:24" x14ac:dyDescent="0.2">
      <c r="A470" s="374"/>
      <c r="B470" s="374"/>
      <c r="C470" s="374"/>
      <c r="D470" s="374"/>
      <c r="E470" s="374"/>
      <c r="F470" s="374"/>
      <c r="G470" s="374"/>
      <c r="H470" s="374"/>
      <c r="I470" s="374"/>
      <c r="J470" s="374"/>
      <c r="K470" s="374"/>
      <c r="L470" s="374"/>
      <c r="M470" s="374"/>
      <c r="N470" s="374"/>
      <c r="O470" s="374"/>
      <c r="P470" s="374"/>
      <c r="Q470" s="374"/>
      <c r="R470" s="374"/>
      <c r="S470" s="374"/>
      <c r="T470" s="374"/>
      <c r="U470" s="374"/>
      <c r="V470" s="374"/>
      <c r="W470" s="374"/>
      <c r="X470" s="374"/>
    </row>
    <row r="471" spans="1:24" x14ac:dyDescent="0.2">
      <c r="A471" s="374"/>
      <c r="B471" s="374"/>
      <c r="C471" s="374"/>
      <c r="D471" s="374"/>
      <c r="E471" s="374"/>
      <c r="F471" s="374"/>
      <c r="G471" s="374"/>
      <c r="H471" s="374"/>
      <c r="I471" s="374"/>
      <c r="J471" s="374"/>
      <c r="K471" s="374"/>
      <c r="L471" s="374"/>
      <c r="M471" s="374"/>
      <c r="N471" s="374"/>
      <c r="O471" s="374"/>
      <c r="P471" s="374"/>
      <c r="Q471" s="374"/>
      <c r="R471" s="374"/>
      <c r="S471" s="374"/>
      <c r="T471" s="374"/>
      <c r="U471" s="374"/>
      <c r="V471" s="374"/>
      <c r="W471" s="374"/>
      <c r="X471" s="374"/>
    </row>
    <row r="472" spans="1:24" x14ac:dyDescent="0.2">
      <c r="A472" s="374"/>
      <c r="B472" s="374"/>
      <c r="C472" s="374"/>
      <c r="D472" s="374"/>
      <c r="E472" s="374"/>
      <c r="F472" s="374"/>
      <c r="G472" s="374"/>
      <c r="H472" s="374"/>
      <c r="I472" s="374"/>
      <c r="J472" s="374"/>
      <c r="K472" s="374"/>
      <c r="L472" s="374"/>
      <c r="M472" s="374"/>
      <c r="N472" s="374"/>
      <c r="O472" s="374"/>
      <c r="P472" s="374"/>
      <c r="Q472" s="374"/>
      <c r="R472" s="374"/>
      <c r="S472" s="374"/>
      <c r="T472" s="374"/>
      <c r="U472" s="374"/>
      <c r="V472" s="374"/>
      <c r="W472" s="374"/>
      <c r="X472" s="374"/>
    </row>
    <row r="473" spans="1:24" x14ac:dyDescent="0.2">
      <c r="A473" s="374"/>
      <c r="B473" s="374"/>
      <c r="C473" s="374"/>
      <c r="D473" s="374"/>
      <c r="E473" s="374"/>
      <c r="F473" s="374"/>
      <c r="G473" s="374"/>
      <c r="H473" s="374"/>
      <c r="I473" s="374"/>
      <c r="J473" s="374"/>
      <c r="K473" s="374"/>
      <c r="L473" s="374"/>
      <c r="M473" s="374"/>
      <c r="N473" s="374"/>
      <c r="O473" s="374"/>
      <c r="P473" s="374"/>
      <c r="Q473" s="374"/>
      <c r="R473" s="374"/>
      <c r="S473" s="374"/>
      <c r="T473" s="374"/>
      <c r="U473" s="374"/>
      <c r="V473" s="374"/>
      <c r="W473" s="374"/>
      <c r="X473" s="374"/>
    </row>
    <row r="474" spans="1:24" x14ac:dyDescent="0.2">
      <c r="A474" s="381"/>
      <c r="B474" s="374"/>
      <c r="C474" s="374"/>
      <c r="D474" s="374"/>
      <c r="E474" s="374"/>
      <c r="F474" s="374"/>
      <c r="G474" s="374"/>
      <c r="H474" s="374"/>
      <c r="I474" s="374"/>
      <c r="J474" s="374"/>
      <c r="K474" s="374"/>
      <c r="L474" s="374"/>
      <c r="M474" s="374"/>
      <c r="N474" s="374"/>
      <c r="O474" s="374"/>
      <c r="P474" s="374"/>
      <c r="Q474" s="374"/>
      <c r="R474" s="374"/>
      <c r="S474" s="374"/>
      <c r="T474" s="374"/>
      <c r="U474" s="374"/>
      <c r="V474" s="374"/>
      <c r="W474" s="374"/>
      <c r="X474" s="374"/>
    </row>
    <row r="475" spans="1:24" x14ac:dyDescent="0.2">
      <c r="A475" s="374"/>
      <c r="B475" s="374"/>
      <c r="C475" s="374"/>
      <c r="D475" s="374"/>
      <c r="E475" s="374"/>
      <c r="F475" s="374"/>
      <c r="G475" s="374"/>
      <c r="H475" s="374"/>
      <c r="I475" s="374"/>
      <c r="J475" s="374"/>
      <c r="K475" s="374"/>
      <c r="L475" s="374"/>
      <c r="M475" s="374"/>
      <c r="N475" s="374"/>
      <c r="O475" s="374"/>
      <c r="P475" s="374"/>
      <c r="Q475" s="374"/>
      <c r="R475" s="374"/>
      <c r="S475" s="374"/>
      <c r="T475" s="374"/>
      <c r="U475" s="374"/>
      <c r="V475" s="374"/>
      <c r="W475" s="374"/>
      <c r="X475" s="374"/>
    </row>
    <row r="476" spans="1:24" x14ac:dyDescent="0.2">
      <c r="A476" s="374"/>
      <c r="B476" s="374"/>
      <c r="C476" s="374"/>
      <c r="D476" s="374"/>
      <c r="E476" s="374"/>
      <c r="F476" s="374"/>
      <c r="G476" s="374"/>
      <c r="H476" s="374"/>
      <c r="I476" s="374"/>
      <c r="J476" s="374"/>
      <c r="K476" s="374"/>
      <c r="L476" s="374"/>
      <c r="M476" s="374"/>
      <c r="N476" s="374"/>
      <c r="O476" s="374"/>
      <c r="P476" s="374"/>
      <c r="Q476" s="374"/>
      <c r="R476" s="374"/>
      <c r="S476" s="374"/>
      <c r="T476" s="374"/>
      <c r="U476" s="374"/>
      <c r="V476" s="374"/>
      <c r="W476" s="374"/>
      <c r="X476" s="374"/>
    </row>
    <row r="477" spans="1:24" x14ac:dyDescent="0.2">
      <c r="A477" s="374"/>
      <c r="B477" s="374"/>
      <c r="C477" s="374"/>
      <c r="D477" s="374"/>
      <c r="E477" s="374"/>
      <c r="F477" s="374"/>
      <c r="G477" s="374"/>
      <c r="H477" s="374"/>
      <c r="I477" s="374"/>
      <c r="J477" s="374"/>
      <c r="K477" s="374"/>
      <c r="L477" s="374"/>
      <c r="M477" s="374"/>
      <c r="N477" s="374"/>
      <c r="O477" s="374"/>
      <c r="P477" s="374"/>
      <c r="Q477" s="374"/>
      <c r="R477" s="374"/>
      <c r="S477" s="374"/>
      <c r="T477" s="374"/>
      <c r="U477" s="374"/>
      <c r="V477" s="374"/>
      <c r="W477" s="374"/>
      <c r="X477" s="374"/>
    </row>
    <row r="478" spans="1:24" x14ac:dyDescent="0.2">
      <c r="A478" s="374"/>
      <c r="B478" s="374"/>
      <c r="C478" s="374"/>
      <c r="D478" s="374"/>
      <c r="E478" s="374"/>
      <c r="F478" s="374"/>
      <c r="G478" s="374"/>
      <c r="H478" s="374"/>
      <c r="I478" s="374"/>
      <c r="J478" s="374"/>
      <c r="K478" s="374"/>
      <c r="L478" s="374"/>
      <c r="M478" s="374"/>
      <c r="N478" s="374"/>
      <c r="O478" s="374"/>
      <c r="P478" s="374"/>
      <c r="Q478" s="374"/>
      <c r="R478" s="374"/>
      <c r="S478" s="374"/>
      <c r="T478" s="374"/>
      <c r="U478" s="374"/>
      <c r="V478" s="374"/>
      <c r="W478" s="374"/>
      <c r="X478" s="374"/>
    </row>
    <row r="479" spans="1:24" x14ac:dyDescent="0.2">
      <c r="A479" s="374"/>
      <c r="B479" s="374"/>
      <c r="C479" s="374"/>
      <c r="D479" s="374"/>
      <c r="E479" s="374"/>
      <c r="F479" s="374"/>
      <c r="G479" s="374"/>
      <c r="H479" s="374"/>
      <c r="I479" s="374"/>
      <c r="J479" s="374"/>
      <c r="K479" s="374"/>
      <c r="L479" s="374"/>
      <c r="M479" s="374"/>
      <c r="N479" s="374"/>
      <c r="O479" s="374"/>
      <c r="P479" s="374"/>
      <c r="Q479" s="374"/>
      <c r="R479" s="374"/>
      <c r="S479" s="374"/>
      <c r="T479" s="374"/>
      <c r="U479" s="374"/>
      <c r="V479" s="374"/>
      <c r="W479" s="374"/>
      <c r="X479" s="374"/>
    </row>
    <row r="480" spans="1:24" x14ac:dyDescent="0.2">
      <c r="A480" s="374"/>
      <c r="B480" s="374"/>
      <c r="C480" s="374"/>
      <c r="D480" s="374"/>
      <c r="E480" s="374"/>
      <c r="F480" s="374"/>
      <c r="G480" s="374"/>
      <c r="H480" s="374"/>
      <c r="I480" s="374"/>
      <c r="J480" s="374"/>
      <c r="K480" s="374"/>
      <c r="L480" s="374"/>
      <c r="M480" s="374"/>
      <c r="N480" s="374"/>
      <c r="O480" s="374"/>
      <c r="P480" s="374"/>
      <c r="Q480" s="374"/>
      <c r="R480" s="374"/>
      <c r="S480" s="374"/>
      <c r="T480" s="374"/>
      <c r="U480" s="374"/>
      <c r="V480" s="374"/>
      <c r="W480" s="374"/>
      <c r="X480" s="374"/>
    </row>
    <row r="481" spans="1:24" x14ac:dyDescent="0.2">
      <c r="A481" s="374"/>
      <c r="B481" s="374"/>
      <c r="C481" s="374"/>
      <c r="D481" s="374"/>
      <c r="E481" s="374"/>
      <c r="F481" s="374"/>
      <c r="G481" s="374"/>
      <c r="H481" s="374"/>
      <c r="I481" s="374"/>
      <c r="J481" s="374"/>
      <c r="K481" s="374"/>
      <c r="L481" s="374"/>
      <c r="M481" s="374"/>
      <c r="N481" s="374"/>
      <c r="O481" s="374"/>
      <c r="P481" s="374"/>
      <c r="Q481" s="374"/>
      <c r="R481" s="374"/>
      <c r="S481" s="374"/>
      <c r="T481" s="374"/>
      <c r="U481" s="374"/>
      <c r="V481" s="374"/>
      <c r="W481" s="374"/>
      <c r="X481" s="374"/>
    </row>
    <row r="482" spans="1:24" x14ac:dyDescent="0.2">
      <c r="A482" s="374"/>
      <c r="B482" s="374"/>
      <c r="C482" s="374"/>
      <c r="D482" s="374"/>
      <c r="E482" s="374"/>
      <c r="F482" s="374"/>
      <c r="G482" s="374"/>
      <c r="H482" s="374"/>
      <c r="I482" s="374"/>
      <c r="J482" s="374"/>
      <c r="K482" s="374"/>
      <c r="L482" s="374"/>
      <c r="M482" s="374"/>
      <c r="N482" s="374"/>
      <c r="O482" s="374"/>
      <c r="P482" s="374"/>
      <c r="Q482" s="374"/>
      <c r="R482" s="374"/>
      <c r="S482" s="374"/>
      <c r="T482" s="374"/>
      <c r="U482" s="374"/>
      <c r="V482" s="374"/>
      <c r="W482" s="374"/>
      <c r="X482" s="374"/>
    </row>
    <row r="483" spans="1:24" x14ac:dyDescent="0.2">
      <c r="A483" s="374"/>
      <c r="B483" s="374"/>
      <c r="C483" s="374"/>
      <c r="D483" s="374"/>
      <c r="E483" s="374"/>
      <c r="F483" s="374"/>
      <c r="G483" s="374"/>
      <c r="H483" s="374"/>
      <c r="I483" s="374"/>
      <c r="J483" s="374"/>
      <c r="K483" s="374"/>
      <c r="L483" s="374"/>
      <c r="M483" s="374"/>
      <c r="N483" s="374"/>
      <c r="O483" s="374"/>
      <c r="P483" s="374"/>
      <c r="Q483" s="374"/>
      <c r="R483" s="374"/>
      <c r="S483" s="374"/>
      <c r="T483" s="374"/>
      <c r="U483" s="374"/>
      <c r="V483" s="374"/>
      <c r="W483" s="374"/>
      <c r="X483" s="374"/>
    </row>
    <row r="484" spans="1:24" x14ac:dyDescent="0.2">
      <c r="A484" s="374"/>
      <c r="B484" s="374"/>
      <c r="C484" s="374"/>
      <c r="D484" s="374"/>
      <c r="E484" s="374"/>
      <c r="F484" s="374"/>
      <c r="G484" s="374"/>
      <c r="H484" s="374"/>
      <c r="I484" s="374"/>
      <c r="J484" s="374"/>
      <c r="K484" s="374"/>
      <c r="L484" s="374"/>
      <c r="M484" s="374"/>
      <c r="N484" s="374"/>
      <c r="O484" s="374"/>
      <c r="P484" s="374"/>
      <c r="Q484" s="374"/>
      <c r="R484" s="374"/>
      <c r="S484" s="374"/>
      <c r="T484" s="374"/>
      <c r="U484" s="374"/>
      <c r="V484" s="374"/>
      <c r="W484" s="374"/>
      <c r="X484" s="374"/>
    </row>
    <row r="485" spans="1:24" x14ac:dyDescent="0.2">
      <c r="A485" s="374"/>
      <c r="B485" s="374"/>
      <c r="C485" s="374"/>
      <c r="D485" s="374"/>
      <c r="E485" s="374"/>
      <c r="F485" s="374"/>
      <c r="G485" s="374"/>
      <c r="H485" s="374"/>
      <c r="I485" s="374"/>
      <c r="J485" s="374"/>
      <c r="K485" s="374"/>
      <c r="L485" s="374"/>
      <c r="M485" s="374"/>
      <c r="N485" s="374"/>
      <c r="O485" s="374"/>
      <c r="P485" s="374"/>
      <c r="Q485" s="374"/>
      <c r="R485" s="374"/>
      <c r="S485" s="374"/>
      <c r="T485" s="374"/>
      <c r="U485" s="374"/>
      <c r="V485" s="374"/>
      <c r="W485" s="374"/>
      <c r="X485" s="374"/>
    </row>
    <row r="486" spans="1:24" x14ac:dyDescent="0.2">
      <c r="A486" s="374"/>
      <c r="B486" s="374"/>
      <c r="C486" s="374"/>
      <c r="D486" s="374"/>
      <c r="E486" s="374"/>
      <c r="F486" s="374"/>
      <c r="G486" s="374"/>
      <c r="H486" s="374"/>
      <c r="I486" s="374"/>
      <c r="J486" s="374"/>
      <c r="K486" s="374"/>
      <c r="L486" s="374"/>
      <c r="M486" s="374"/>
      <c r="N486" s="374"/>
      <c r="O486" s="374"/>
      <c r="P486" s="374"/>
      <c r="Q486" s="374"/>
      <c r="R486" s="374"/>
      <c r="S486" s="374"/>
      <c r="T486" s="374"/>
      <c r="U486" s="374"/>
      <c r="V486" s="374"/>
      <c r="W486" s="374"/>
      <c r="X486" s="374"/>
    </row>
    <row r="487" spans="1:24" x14ac:dyDescent="0.2">
      <c r="A487" s="374"/>
      <c r="B487" s="374"/>
      <c r="C487" s="374"/>
      <c r="D487" s="374"/>
      <c r="E487" s="374"/>
      <c r="F487" s="374"/>
      <c r="G487" s="374"/>
      <c r="H487" s="374"/>
      <c r="I487" s="374"/>
      <c r="J487" s="374"/>
      <c r="K487" s="374"/>
      <c r="L487" s="374"/>
      <c r="M487" s="374"/>
      <c r="N487" s="374"/>
      <c r="O487" s="374"/>
      <c r="P487" s="374"/>
      <c r="Q487" s="374"/>
      <c r="R487" s="374"/>
      <c r="S487" s="374"/>
      <c r="T487" s="374"/>
      <c r="U487" s="374"/>
      <c r="V487" s="374"/>
      <c r="W487" s="374"/>
      <c r="X487" s="374"/>
    </row>
    <row r="488" spans="1:24" x14ac:dyDescent="0.2">
      <c r="A488" s="381"/>
      <c r="B488" s="374"/>
      <c r="C488" s="374"/>
      <c r="D488" s="374"/>
      <c r="E488" s="374"/>
      <c r="F488" s="374"/>
      <c r="G488" s="374"/>
      <c r="H488" s="374"/>
      <c r="I488" s="374"/>
      <c r="J488" s="374"/>
      <c r="K488" s="374"/>
      <c r="L488" s="374"/>
      <c r="M488" s="374"/>
      <c r="N488" s="374"/>
      <c r="O488" s="374"/>
      <c r="P488" s="374"/>
      <c r="Q488" s="374"/>
      <c r="R488" s="374"/>
      <c r="S488" s="374"/>
      <c r="T488" s="374"/>
      <c r="U488" s="374"/>
      <c r="V488" s="374"/>
      <c r="W488" s="374"/>
      <c r="X488" s="374"/>
    </row>
    <row r="489" spans="1:24" x14ac:dyDescent="0.2">
      <c r="A489" s="374"/>
      <c r="B489" s="374"/>
      <c r="C489" s="374"/>
      <c r="D489" s="374"/>
      <c r="E489" s="374"/>
      <c r="F489" s="374"/>
      <c r="G489" s="374"/>
      <c r="H489" s="374"/>
      <c r="I489" s="374"/>
      <c r="J489" s="374"/>
      <c r="K489" s="374"/>
      <c r="L489" s="374"/>
      <c r="M489" s="374"/>
      <c r="N489" s="374"/>
      <c r="O489" s="374"/>
      <c r="P489" s="374"/>
      <c r="Q489" s="374"/>
      <c r="R489" s="374"/>
      <c r="S489" s="374"/>
      <c r="T489" s="374"/>
      <c r="U489" s="374"/>
      <c r="V489" s="374"/>
      <c r="W489" s="374"/>
      <c r="X489" s="374"/>
    </row>
    <row r="490" spans="1:24" x14ac:dyDescent="0.2">
      <c r="A490" s="374"/>
      <c r="B490" s="374"/>
      <c r="C490" s="374"/>
      <c r="D490" s="374"/>
      <c r="E490" s="374"/>
      <c r="F490" s="374"/>
      <c r="G490" s="374"/>
      <c r="H490" s="374"/>
      <c r="I490" s="374"/>
      <c r="J490" s="374"/>
      <c r="K490" s="374"/>
      <c r="L490" s="374"/>
      <c r="M490" s="374"/>
      <c r="N490" s="374"/>
      <c r="O490" s="374"/>
      <c r="P490" s="374"/>
      <c r="Q490" s="374"/>
      <c r="R490" s="374"/>
      <c r="S490" s="374"/>
      <c r="T490" s="374"/>
      <c r="U490" s="374"/>
      <c r="V490" s="374"/>
      <c r="W490" s="374"/>
      <c r="X490" s="374"/>
    </row>
    <row r="491" spans="1:24" x14ac:dyDescent="0.2">
      <c r="A491" s="374"/>
      <c r="B491" s="374"/>
      <c r="C491" s="374"/>
      <c r="D491" s="374"/>
      <c r="E491" s="374"/>
      <c r="F491" s="374"/>
      <c r="G491" s="374"/>
      <c r="H491" s="374"/>
      <c r="I491" s="374"/>
      <c r="J491" s="374"/>
      <c r="K491" s="374"/>
      <c r="L491" s="374"/>
      <c r="M491" s="374"/>
      <c r="N491" s="374"/>
      <c r="O491" s="374"/>
      <c r="P491" s="374"/>
      <c r="Q491" s="374"/>
      <c r="R491" s="374"/>
      <c r="S491" s="374"/>
      <c r="T491" s="374"/>
      <c r="U491" s="374"/>
      <c r="V491" s="374"/>
      <c r="W491" s="374"/>
      <c r="X491" s="374"/>
    </row>
    <row r="492" spans="1:24" x14ac:dyDescent="0.2">
      <c r="A492" s="374"/>
      <c r="B492" s="374"/>
      <c r="C492" s="374"/>
      <c r="D492" s="374"/>
      <c r="E492" s="374"/>
      <c r="F492" s="374"/>
      <c r="G492" s="374"/>
      <c r="H492" s="374"/>
      <c r="I492" s="374"/>
      <c r="J492" s="374"/>
      <c r="K492" s="374"/>
      <c r="L492" s="374"/>
      <c r="M492" s="374"/>
      <c r="N492" s="374"/>
      <c r="O492" s="374"/>
      <c r="P492" s="374"/>
      <c r="Q492" s="374"/>
      <c r="R492" s="374"/>
      <c r="S492" s="374"/>
      <c r="T492" s="374"/>
      <c r="U492" s="374"/>
      <c r="V492" s="374"/>
      <c r="W492" s="374"/>
      <c r="X492" s="374"/>
    </row>
    <row r="493" spans="1:24" x14ac:dyDescent="0.2">
      <c r="A493" s="374"/>
      <c r="B493" s="374"/>
      <c r="C493" s="374"/>
      <c r="D493" s="374"/>
      <c r="E493" s="374"/>
      <c r="F493" s="374"/>
      <c r="G493" s="374"/>
      <c r="H493" s="374"/>
      <c r="I493" s="374"/>
      <c r="J493" s="374"/>
      <c r="K493" s="374"/>
      <c r="L493" s="374"/>
      <c r="M493" s="374"/>
      <c r="N493" s="374"/>
      <c r="O493" s="374"/>
      <c r="P493" s="374"/>
      <c r="Q493" s="374"/>
      <c r="R493" s="374"/>
      <c r="S493" s="374"/>
      <c r="T493" s="374"/>
      <c r="U493" s="374"/>
      <c r="V493" s="374"/>
      <c r="W493" s="374"/>
      <c r="X493" s="374"/>
    </row>
    <row r="494" spans="1:24" x14ac:dyDescent="0.2">
      <c r="A494" s="374"/>
      <c r="B494" s="374"/>
      <c r="C494" s="374"/>
      <c r="D494" s="374"/>
      <c r="E494" s="374"/>
      <c r="F494" s="374"/>
      <c r="G494" s="374"/>
      <c r="H494" s="374"/>
      <c r="I494" s="374"/>
      <c r="J494" s="374"/>
      <c r="K494" s="374"/>
      <c r="L494" s="374"/>
      <c r="M494" s="374"/>
      <c r="N494" s="374"/>
      <c r="O494" s="374"/>
      <c r="P494" s="374"/>
      <c r="Q494" s="374"/>
      <c r="R494" s="374"/>
      <c r="S494" s="374"/>
      <c r="T494" s="374"/>
      <c r="U494" s="374"/>
      <c r="V494" s="374"/>
      <c r="W494" s="374"/>
      <c r="X494" s="374"/>
    </row>
    <row r="495" spans="1:24" x14ac:dyDescent="0.2">
      <c r="A495" s="374"/>
      <c r="B495" s="374"/>
      <c r="C495" s="374"/>
      <c r="D495" s="374"/>
      <c r="E495" s="374"/>
      <c r="F495" s="374"/>
      <c r="G495" s="374"/>
      <c r="H495" s="374"/>
      <c r="I495" s="374"/>
      <c r="J495" s="374"/>
      <c r="K495" s="374"/>
      <c r="L495" s="374"/>
      <c r="M495" s="374"/>
      <c r="N495" s="374"/>
      <c r="O495" s="374"/>
      <c r="P495" s="374"/>
      <c r="Q495" s="374"/>
      <c r="R495" s="374"/>
      <c r="S495" s="374"/>
      <c r="T495" s="374"/>
      <c r="U495" s="374"/>
      <c r="V495" s="374"/>
      <c r="W495" s="374"/>
      <c r="X495" s="374"/>
    </row>
    <row r="496" spans="1:24" x14ac:dyDescent="0.2">
      <c r="A496" s="374"/>
      <c r="B496" s="374"/>
      <c r="C496" s="374"/>
      <c r="D496" s="374"/>
      <c r="E496" s="374"/>
      <c r="F496" s="374"/>
      <c r="G496" s="374"/>
      <c r="H496" s="374"/>
      <c r="I496" s="374"/>
      <c r="J496" s="374"/>
      <c r="K496" s="374"/>
      <c r="L496" s="374"/>
      <c r="M496" s="374"/>
      <c r="N496" s="374"/>
      <c r="O496" s="374"/>
      <c r="P496" s="374"/>
      <c r="Q496" s="374"/>
      <c r="R496" s="374"/>
      <c r="S496" s="374"/>
      <c r="T496" s="374"/>
      <c r="U496" s="374"/>
      <c r="V496" s="374"/>
      <c r="W496" s="374"/>
      <c r="X496" s="374"/>
    </row>
    <row r="497" spans="1:24" x14ac:dyDescent="0.2">
      <c r="A497" s="374"/>
      <c r="B497" s="374"/>
      <c r="C497" s="374"/>
      <c r="D497" s="374"/>
      <c r="E497" s="374"/>
      <c r="F497" s="374"/>
      <c r="G497" s="374"/>
      <c r="H497" s="374"/>
      <c r="I497" s="374"/>
      <c r="J497" s="374"/>
      <c r="K497" s="374"/>
      <c r="L497" s="374"/>
      <c r="M497" s="374"/>
      <c r="N497" s="374"/>
      <c r="O497" s="374"/>
      <c r="P497" s="374"/>
      <c r="Q497" s="374"/>
      <c r="R497" s="374"/>
      <c r="S497" s="374"/>
      <c r="T497" s="374"/>
      <c r="U497" s="374"/>
      <c r="V497" s="374"/>
      <c r="W497" s="374"/>
      <c r="X497" s="374"/>
    </row>
    <row r="498" spans="1:24" x14ac:dyDescent="0.2">
      <c r="A498" s="374"/>
      <c r="B498" s="374"/>
      <c r="C498" s="374"/>
      <c r="D498" s="374"/>
      <c r="E498" s="374"/>
      <c r="F498" s="374"/>
      <c r="G498" s="374"/>
      <c r="H498" s="374"/>
      <c r="I498" s="374"/>
      <c r="J498" s="374"/>
      <c r="K498" s="374"/>
      <c r="L498" s="374"/>
      <c r="M498" s="374"/>
      <c r="N498" s="374"/>
      <c r="O498" s="374"/>
      <c r="P498" s="374"/>
      <c r="Q498" s="374"/>
      <c r="R498" s="374"/>
      <c r="S498" s="374"/>
      <c r="T498" s="374"/>
      <c r="U498" s="374"/>
      <c r="V498" s="374"/>
      <c r="W498" s="374"/>
      <c r="X498" s="374"/>
    </row>
    <row r="499" spans="1:24" x14ac:dyDescent="0.2">
      <c r="A499" s="374"/>
      <c r="B499" s="374"/>
      <c r="C499" s="374"/>
      <c r="D499" s="374"/>
      <c r="E499" s="374"/>
      <c r="F499" s="374"/>
      <c r="G499" s="374"/>
      <c r="H499" s="374"/>
      <c r="I499" s="374"/>
      <c r="J499" s="374"/>
      <c r="K499" s="374"/>
      <c r="L499" s="374"/>
      <c r="M499" s="374"/>
      <c r="N499" s="374"/>
      <c r="O499" s="374"/>
      <c r="P499" s="374"/>
      <c r="Q499" s="374"/>
      <c r="R499" s="374"/>
      <c r="S499" s="374"/>
      <c r="T499" s="374"/>
      <c r="U499" s="374"/>
      <c r="V499" s="374"/>
      <c r="W499" s="374"/>
      <c r="X499" s="374"/>
    </row>
    <row r="500" spans="1:24" x14ac:dyDescent="0.2">
      <c r="A500" s="374"/>
      <c r="B500" s="374"/>
      <c r="C500" s="374"/>
      <c r="D500" s="374"/>
      <c r="E500" s="374"/>
      <c r="F500" s="374"/>
      <c r="G500" s="374"/>
      <c r="H500" s="374"/>
      <c r="I500" s="374"/>
      <c r="J500" s="374"/>
      <c r="K500" s="374"/>
      <c r="L500" s="374"/>
      <c r="M500" s="374"/>
      <c r="N500" s="374"/>
      <c r="O500" s="374"/>
      <c r="P500" s="374"/>
      <c r="Q500" s="374"/>
      <c r="R500" s="374"/>
      <c r="S500" s="374"/>
      <c r="T500" s="374"/>
      <c r="U500" s="374"/>
      <c r="V500" s="374"/>
      <c r="W500" s="374"/>
      <c r="X500" s="374"/>
    </row>
    <row r="501" spans="1:24" x14ac:dyDescent="0.2">
      <c r="A501" s="374"/>
      <c r="B501" s="374"/>
      <c r="C501" s="374"/>
      <c r="D501" s="374"/>
      <c r="E501" s="374"/>
      <c r="F501" s="374"/>
      <c r="G501" s="374"/>
      <c r="H501" s="374"/>
      <c r="I501" s="374"/>
      <c r="J501" s="374"/>
      <c r="K501" s="374"/>
      <c r="L501" s="374"/>
      <c r="M501" s="374"/>
      <c r="N501" s="374"/>
      <c r="O501" s="374"/>
      <c r="P501" s="374"/>
      <c r="Q501" s="374"/>
      <c r="R501" s="374"/>
      <c r="S501" s="374"/>
      <c r="T501" s="374"/>
      <c r="U501" s="374"/>
      <c r="V501" s="374"/>
      <c r="W501" s="374"/>
      <c r="X501" s="374"/>
    </row>
    <row r="502" spans="1:24" x14ac:dyDescent="0.2">
      <c r="A502" s="374"/>
      <c r="B502" s="374"/>
      <c r="C502" s="374"/>
      <c r="D502" s="374"/>
      <c r="E502" s="374"/>
      <c r="F502" s="374"/>
      <c r="G502" s="374"/>
      <c r="H502" s="374"/>
      <c r="I502" s="374"/>
      <c r="J502" s="374"/>
      <c r="K502" s="374"/>
      <c r="L502" s="374"/>
      <c r="M502" s="374"/>
      <c r="N502" s="374"/>
      <c r="O502" s="374"/>
      <c r="P502" s="374"/>
      <c r="Q502" s="374"/>
      <c r="R502" s="374"/>
      <c r="S502" s="374"/>
      <c r="T502" s="374"/>
      <c r="U502" s="374"/>
      <c r="V502" s="374"/>
      <c r="W502" s="374"/>
      <c r="X502" s="374"/>
    </row>
    <row r="503" spans="1:24" x14ac:dyDescent="0.2">
      <c r="A503" s="374"/>
      <c r="B503" s="374"/>
      <c r="C503" s="374"/>
      <c r="D503" s="374"/>
      <c r="E503" s="374"/>
      <c r="F503" s="374"/>
      <c r="G503" s="374"/>
      <c r="H503" s="374"/>
      <c r="I503" s="374"/>
      <c r="J503" s="374"/>
      <c r="K503" s="374"/>
      <c r="L503" s="374"/>
      <c r="M503" s="374"/>
      <c r="N503" s="374"/>
      <c r="O503" s="374"/>
      <c r="P503" s="374"/>
      <c r="Q503" s="374"/>
      <c r="R503" s="374"/>
      <c r="S503" s="374"/>
      <c r="T503" s="374"/>
      <c r="U503" s="374"/>
      <c r="V503" s="374"/>
      <c r="W503" s="374"/>
      <c r="X503" s="374"/>
    </row>
    <row r="504" spans="1:24" x14ac:dyDescent="0.2">
      <c r="A504" s="374"/>
      <c r="B504" s="374"/>
      <c r="C504" s="374"/>
      <c r="D504" s="374"/>
      <c r="E504" s="374"/>
      <c r="F504" s="374"/>
      <c r="G504" s="374"/>
      <c r="H504" s="374"/>
      <c r="I504" s="374"/>
      <c r="J504" s="374"/>
      <c r="K504" s="374"/>
      <c r="L504" s="374"/>
      <c r="M504" s="374"/>
      <c r="N504" s="374"/>
      <c r="O504" s="374"/>
      <c r="P504" s="374"/>
      <c r="Q504" s="374"/>
      <c r="R504" s="374"/>
      <c r="S504" s="374"/>
      <c r="T504" s="374"/>
      <c r="U504" s="374"/>
      <c r="V504" s="374"/>
      <c r="W504" s="374"/>
      <c r="X504" s="374"/>
    </row>
    <row r="505" spans="1:24" x14ac:dyDescent="0.2">
      <c r="A505" s="374"/>
      <c r="B505" s="374"/>
      <c r="C505" s="374"/>
      <c r="D505" s="374"/>
      <c r="E505" s="374"/>
      <c r="F505" s="374"/>
      <c r="G505" s="374"/>
      <c r="H505" s="374"/>
      <c r="I505" s="374"/>
      <c r="J505" s="374"/>
      <c r="K505" s="374"/>
      <c r="L505" s="374"/>
      <c r="M505" s="374"/>
      <c r="N505" s="374"/>
      <c r="O505" s="374"/>
      <c r="P505" s="374"/>
      <c r="Q505" s="374"/>
      <c r="R505" s="374"/>
      <c r="S505" s="374"/>
      <c r="T505" s="374"/>
      <c r="U505" s="374"/>
      <c r="V505" s="374"/>
      <c r="W505" s="374"/>
      <c r="X505" s="374"/>
    </row>
    <row r="506" spans="1:24" x14ac:dyDescent="0.2">
      <c r="A506" s="374"/>
      <c r="B506" s="374"/>
      <c r="C506" s="374"/>
      <c r="D506" s="374"/>
      <c r="E506" s="374"/>
      <c r="F506" s="374"/>
      <c r="G506" s="374"/>
      <c r="H506" s="374"/>
      <c r="I506" s="374"/>
      <c r="J506" s="374"/>
      <c r="K506" s="374"/>
      <c r="L506" s="374"/>
      <c r="M506" s="374"/>
      <c r="N506" s="374"/>
      <c r="O506" s="374"/>
      <c r="P506" s="374"/>
      <c r="Q506" s="374"/>
      <c r="R506" s="374"/>
      <c r="S506" s="374"/>
      <c r="T506" s="374"/>
      <c r="U506" s="374"/>
      <c r="V506" s="374"/>
      <c r="W506" s="374"/>
      <c r="X506" s="374"/>
    </row>
    <row r="507" spans="1:24" x14ac:dyDescent="0.2">
      <c r="A507" s="374"/>
      <c r="B507" s="374"/>
      <c r="C507" s="374"/>
      <c r="D507" s="374"/>
      <c r="E507" s="374"/>
      <c r="F507" s="374"/>
      <c r="G507" s="374"/>
      <c r="H507" s="374"/>
      <c r="I507" s="374"/>
      <c r="J507" s="374"/>
      <c r="K507" s="374"/>
      <c r="L507" s="374"/>
      <c r="M507" s="374"/>
      <c r="N507" s="374"/>
      <c r="O507" s="374"/>
      <c r="P507" s="374"/>
      <c r="Q507" s="374"/>
      <c r="R507" s="374"/>
      <c r="S507" s="374"/>
      <c r="T507" s="374"/>
      <c r="U507" s="374"/>
      <c r="V507" s="374"/>
      <c r="W507" s="374"/>
      <c r="X507" s="374"/>
    </row>
    <row r="508" spans="1:24" x14ac:dyDescent="0.2">
      <c r="A508" s="374"/>
      <c r="B508" s="374"/>
      <c r="C508" s="374"/>
      <c r="D508" s="374"/>
      <c r="E508" s="374"/>
      <c r="F508" s="374"/>
      <c r="G508" s="374"/>
      <c r="H508" s="374"/>
      <c r="I508" s="374"/>
      <c r="J508" s="374"/>
      <c r="K508" s="374"/>
      <c r="L508" s="374"/>
      <c r="M508" s="374"/>
      <c r="N508" s="374"/>
      <c r="O508" s="374"/>
      <c r="P508" s="374"/>
      <c r="Q508" s="374"/>
      <c r="R508" s="374"/>
      <c r="S508" s="374"/>
      <c r="T508" s="374"/>
      <c r="U508" s="374"/>
      <c r="V508" s="374"/>
      <c r="W508" s="374"/>
      <c r="X508" s="374"/>
    </row>
    <row r="509" spans="1:24" x14ac:dyDescent="0.2">
      <c r="A509" s="374"/>
      <c r="B509" s="374"/>
      <c r="C509" s="374"/>
      <c r="D509" s="374"/>
      <c r="E509" s="374"/>
      <c r="F509" s="374"/>
      <c r="G509" s="374"/>
      <c r="H509" s="374"/>
      <c r="I509" s="374"/>
      <c r="J509" s="374"/>
      <c r="K509" s="374"/>
      <c r="L509" s="374"/>
      <c r="M509" s="374"/>
      <c r="N509" s="374"/>
      <c r="O509" s="374"/>
      <c r="P509" s="374"/>
      <c r="Q509" s="374"/>
      <c r="R509" s="374"/>
      <c r="S509" s="374"/>
      <c r="T509" s="374"/>
      <c r="U509" s="374"/>
      <c r="V509" s="374"/>
      <c r="W509" s="374"/>
      <c r="X509" s="374"/>
    </row>
    <row r="510" spans="1:24" x14ac:dyDescent="0.2">
      <c r="A510" s="374"/>
      <c r="B510" s="374"/>
      <c r="C510" s="374"/>
      <c r="D510" s="374"/>
      <c r="E510" s="374"/>
      <c r="F510" s="374"/>
      <c r="G510" s="374"/>
      <c r="H510" s="374"/>
      <c r="I510" s="374"/>
      <c r="J510" s="374"/>
      <c r="K510" s="374"/>
      <c r="L510" s="374"/>
      <c r="M510" s="374"/>
      <c r="N510" s="374"/>
      <c r="O510" s="374"/>
      <c r="P510" s="374"/>
      <c r="Q510" s="374"/>
      <c r="R510" s="374"/>
      <c r="S510" s="374"/>
      <c r="T510" s="374"/>
      <c r="U510" s="374"/>
      <c r="V510" s="374"/>
      <c r="W510" s="374"/>
      <c r="X510" s="374"/>
    </row>
    <row r="511" spans="1:24" x14ac:dyDescent="0.2">
      <c r="A511" s="374"/>
      <c r="B511" s="374"/>
      <c r="C511" s="374"/>
      <c r="D511" s="374"/>
      <c r="E511" s="374"/>
      <c r="F511" s="374"/>
      <c r="G511" s="374"/>
      <c r="H511" s="374"/>
      <c r="I511" s="374"/>
      <c r="J511" s="374"/>
      <c r="K511" s="374"/>
      <c r="L511" s="374"/>
      <c r="M511" s="374"/>
      <c r="N511" s="374"/>
      <c r="O511" s="374"/>
      <c r="P511" s="374"/>
      <c r="Q511" s="374"/>
      <c r="R511" s="374"/>
      <c r="S511" s="374"/>
      <c r="T511" s="374"/>
      <c r="U511" s="374"/>
      <c r="V511" s="374"/>
      <c r="W511" s="374"/>
      <c r="X511" s="374"/>
    </row>
    <row r="512" spans="1:24" x14ac:dyDescent="0.2">
      <c r="A512" s="374"/>
      <c r="B512" s="374"/>
      <c r="C512" s="374"/>
      <c r="D512" s="374"/>
      <c r="E512" s="374"/>
      <c r="F512" s="374"/>
      <c r="G512" s="374"/>
      <c r="H512" s="374"/>
      <c r="I512" s="374"/>
      <c r="J512" s="374"/>
      <c r="K512" s="374"/>
      <c r="L512" s="374"/>
      <c r="M512" s="374"/>
      <c r="N512" s="374"/>
      <c r="O512" s="374"/>
      <c r="P512" s="374"/>
      <c r="Q512" s="374"/>
      <c r="R512" s="374"/>
      <c r="S512" s="374"/>
      <c r="T512" s="374"/>
      <c r="U512" s="374"/>
      <c r="V512" s="374"/>
      <c r="W512" s="374"/>
      <c r="X512" s="374"/>
    </row>
    <row r="513" spans="1:24" x14ac:dyDescent="0.2">
      <c r="A513" s="374"/>
      <c r="B513" s="374"/>
      <c r="C513" s="374"/>
      <c r="D513" s="374"/>
      <c r="E513" s="374"/>
      <c r="F513" s="374"/>
      <c r="G513" s="374"/>
      <c r="H513" s="374"/>
      <c r="I513" s="374"/>
      <c r="J513" s="374"/>
      <c r="K513" s="374"/>
      <c r="L513" s="374"/>
      <c r="M513" s="374"/>
      <c r="N513" s="374"/>
      <c r="O513" s="374"/>
      <c r="P513" s="374"/>
      <c r="Q513" s="374"/>
      <c r="R513" s="374"/>
      <c r="S513" s="374"/>
      <c r="T513" s="374"/>
      <c r="U513" s="374"/>
      <c r="V513" s="374"/>
      <c r="W513" s="374"/>
      <c r="X513" s="374"/>
    </row>
    <row r="514" spans="1:24" x14ac:dyDescent="0.2">
      <c r="A514" s="374"/>
      <c r="B514" s="374"/>
      <c r="C514" s="374"/>
      <c r="D514" s="374"/>
      <c r="E514" s="374"/>
      <c r="F514" s="374"/>
      <c r="G514" s="374"/>
      <c r="H514" s="374"/>
      <c r="I514" s="374"/>
      <c r="J514" s="374"/>
      <c r="K514" s="374"/>
      <c r="L514" s="374"/>
      <c r="M514" s="374"/>
      <c r="N514" s="374"/>
      <c r="O514" s="374"/>
      <c r="P514" s="374"/>
      <c r="Q514" s="374"/>
      <c r="R514" s="374"/>
      <c r="S514" s="374"/>
      <c r="T514" s="374"/>
      <c r="U514" s="374"/>
      <c r="V514" s="374"/>
      <c r="W514" s="374"/>
      <c r="X514" s="374"/>
    </row>
    <row r="515" spans="1:24" x14ac:dyDescent="0.2">
      <c r="A515" s="374"/>
      <c r="B515" s="374"/>
      <c r="C515" s="374"/>
      <c r="D515" s="374"/>
      <c r="E515" s="374"/>
      <c r="F515" s="374"/>
      <c r="G515" s="374"/>
      <c r="H515" s="374"/>
      <c r="I515" s="374"/>
      <c r="J515" s="374"/>
      <c r="K515" s="374"/>
      <c r="L515" s="374"/>
      <c r="M515" s="374"/>
      <c r="N515" s="374"/>
      <c r="O515" s="374"/>
      <c r="P515" s="374"/>
      <c r="Q515" s="374"/>
      <c r="R515" s="374"/>
      <c r="S515" s="374"/>
      <c r="T515" s="374"/>
      <c r="U515" s="374"/>
      <c r="V515" s="374"/>
      <c r="W515" s="374"/>
      <c r="X515" s="374"/>
    </row>
    <row r="516" spans="1:24" x14ac:dyDescent="0.2">
      <c r="A516" s="374"/>
      <c r="B516" s="374"/>
      <c r="C516" s="374"/>
      <c r="D516" s="374"/>
      <c r="E516" s="374"/>
      <c r="F516" s="374"/>
      <c r="G516" s="374"/>
      <c r="H516" s="374"/>
      <c r="I516" s="374"/>
      <c r="J516" s="374"/>
      <c r="K516" s="374"/>
      <c r="L516" s="374"/>
      <c r="M516" s="374"/>
      <c r="N516" s="374"/>
      <c r="O516" s="374"/>
      <c r="P516" s="374"/>
      <c r="Q516" s="374"/>
      <c r="R516" s="374"/>
      <c r="S516" s="374"/>
      <c r="T516" s="374"/>
      <c r="U516" s="374"/>
      <c r="V516" s="374"/>
      <c r="W516" s="374"/>
      <c r="X516" s="374"/>
    </row>
    <row r="517" spans="1:24" x14ac:dyDescent="0.2">
      <c r="A517" s="374"/>
      <c r="B517" s="374"/>
      <c r="C517" s="374"/>
      <c r="D517" s="374"/>
      <c r="E517" s="374"/>
      <c r="F517" s="374"/>
      <c r="G517" s="374"/>
      <c r="H517" s="374"/>
      <c r="I517" s="374"/>
      <c r="J517" s="374"/>
      <c r="K517" s="374"/>
      <c r="L517" s="374"/>
      <c r="M517" s="374"/>
      <c r="N517" s="374"/>
      <c r="O517" s="374"/>
      <c r="P517" s="374"/>
      <c r="Q517" s="374"/>
      <c r="R517" s="374"/>
      <c r="S517" s="374"/>
      <c r="T517" s="374"/>
      <c r="U517" s="374"/>
      <c r="V517" s="374"/>
      <c r="W517" s="374"/>
      <c r="X517" s="374"/>
    </row>
    <row r="518" spans="1:24" x14ac:dyDescent="0.2">
      <c r="A518" s="374"/>
      <c r="B518" s="374"/>
      <c r="C518" s="374"/>
      <c r="D518" s="374"/>
      <c r="E518" s="374"/>
      <c r="F518" s="374"/>
      <c r="G518" s="374"/>
      <c r="H518" s="374"/>
      <c r="I518" s="374"/>
      <c r="J518" s="374"/>
      <c r="K518" s="374"/>
      <c r="L518" s="374"/>
      <c r="M518" s="374"/>
      <c r="N518" s="374"/>
      <c r="O518" s="374"/>
      <c r="P518" s="374"/>
      <c r="Q518" s="374"/>
      <c r="R518" s="374"/>
      <c r="S518" s="374"/>
      <c r="T518" s="374"/>
      <c r="U518" s="374"/>
      <c r="V518" s="374"/>
      <c r="W518" s="374"/>
      <c r="X518" s="374"/>
    </row>
    <row r="519" spans="1:24" x14ac:dyDescent="0.2">
      <c r="A519" s="374"/>
      <c r="B519" s="374"/>
      <c r="C519" s="374"/>
      <c r="D519" s="374"/>
      <c r="E519" s="374"/>
      <c r="F519" s="374"/>
      <c r="G519" s="374"/>
      <c r="H519" s="374"/>
      <c r="I519" s="374"/>
      <c r="J519" s="374"/>
      <c r="K519" s="374"/>
      <c r="L519" s="374"/>
      <c r="M519" s="374"/>
      <c r="N519" s="374"/>
      <c r="O519" s="374"/>
      <c r="P519" s="374"/>
      <c r="Q519" s="374"/>
      <c r="R519" s="374"/>
      <c r="S519" s="374"/>
      <c r="T519" s="374"/>
      <c r="U519" s="374"/>
      <c r="V519" s="374"/>
      <c r="W519" s="374"/>
      <c r="X519" s="374"/>
    </row>
    <row r="520" spans="1:24" x14ac:dyDescent="0.2">
      <c r="A520" s="374"/>
      <c r="B520" s="374"/>
      <c r="C520" s="374"/>
      <c r="D520" s="374"/>
      <c r="E520" s="374"/>
      <c r="F520" s="374"/>
      <c r="G520" s="374"/>
      <c r="H520" s="374"/>
      <c r="I520" s="374"/>
      <c r="J520" s="374"/>
      <c r="K520" s="374"/>
      <c r="L520" s="374"/>
      <c r="M520" s="374"/>
      <c r="N520" s="374"/>
      <c r="O520" s="374"/>
      <c r="P520" s="374"/>
      <c r="Q520" s="374"/>
      <c r="R520" s="374"/>
      <c r="S520" s="374"/>
      <c r="T520" s="374"/>
      <c r="U520" s="374"/>
      <c r="V520" s="374"/>
      <c r="W520" s="374"/>
      <c r="X520" s="374"/>
    </row>
    <row r="521" spans="1:24" x14ac:dyDescent="0.2">
      <c r="A521" s="374"/>
      <c r="B521" s="374"/>
      <c r="C521" s="374"/>
      <c r="D521" s="374"/>
      <c r="E521" s="374"/>
      <c r="F521" s="374"/>
      <c r="G521" s="374"/>
      <c r="H521" s="374"/>
      <c r="I521" s="374"/>
      <c r="J521" s="374"/>
      <c r="K521" s="374"/>
      <c r="L521" s="374"/>
      <c r="M521" s="374"/>
      <c r="N521" s="374"/>
      <c r="O521" s="374"/>
      <c r="P521" s="374"/>
      <c r="Q521" s="374"/>
      <c r="R521" s="374"/>
      <c r="S521" s="374"/>
      <c r="T521" s="374"/>
      <c r="U521" s="374"/>
      <c r="V521" s="374"/>
      <c r="W521" s="374"/>
      <c r="X521" s="374"/>
    </row>
    <row r="522" spans="1:24" x14ac:dyDescent="0.2">
      <c r="A522" s="374"/>
      <c r="B522" s="374"/>
      <c r="C522" s="374"/>
      <c r="D522" s="374"/>
      <c r="E522" s="374"/>
      <c r="F522" s="374"/>
      <c r="G522" s="374"/>
      <c r="H522" s="374"/>
      <c r="I522" s="374"/>
      <c r="J522" s="374"/>
      <c r="K522" s="374"/>
      <c r="L522" s="374"/>
      <c r="M522" s="374"/>
      <c r="N522" s="374"/>
      <c r="O522" s="374"/>
      <c r="P522" s="374"/>
      <c r="Q522" s="374"/>
      <c r="R522" s="374"/>
      <c r="S522" s="374"/>
      <c r="T522" s="374"/>
      <c r="U522" s="374"/>
      <c r="V522" s="374"/>
      <c r="W522" s="374"/>
      <c r="X522" s="374"/>
    </row>
    <row r="523" spans="1:24" x14ac:dyDescent="0.2">
      <c r="A523" s="374"/>
      <c r="B523" s="374"/>
      <c r="C523" s="374"/>
      <c r="D523" s="374"/>
      <c r="E523" s="374"/>
      <c r="F523" s="374"/>
      <c r="G523" s="374"/>
      <c r="H523" s="374"/>
      <c r="I523" s="374"/>
      <c r="J523" s="374"/>
      <c r="K523" s="374"/>
      <c r="L523" s="374"/>
      <c r="M523" s="374"/>
      <c r="N523" s="374"/>
      <c r="O523" s="374"/>
      <c r="P523" s="374"/>
      <c r="Q523" s="374"/>
      <c r="R523" s="374"/>
      <c r="S523" s="374"/>
      <c r="T523" s="374"/>
      <c r="U523" s="374"/>
      <c r="V523" s="374"/>
      <c r="W523" s="374"/>
      <c r="X523" s="374"/>
    </row>
    <row r="524" spans="1:24" x14ac:dyDescent="0.2">
      <c r="A524" s="374"/>
      <c r="B524" s="374"/>
      <c r="C524" s="374"/>
      <c r="D524" s="374"/>
      <c r="E524" s="374"/>
      <c r="F524" s="374"/>
      <c r="G524" s="374"/>
      <c r="H524" s="374"/>
      <c r="I524" s="374"/>
      <c r="J524" s="374"/>
      <c r="K524" s="374"/>
      <c r="L524" s="374"/>
      <c r="M524" s="374"/>
      <c r="N524" s="374"/>
      <c r="O524" s="374"/>
      <c r="P524" s="374"/>
      <c r="Q524" s="374"/>
      <c r="R524" s="374"/>
      <c r="S524" s="374"/>
      <c r="T524" s="374"/>
      <c r="U524" s="374"/>
      <c r="V524" s="374"/>
      <c r="W524" s="374"/>
      <c r="X524" s="37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indexed="47"/>
  </sheetPr>
  <dimension ref="A1:BF169"/>
  <sheetViews>
    <sheetView showFormulas="1" zoomScale="80" zoomScaleNormal="80" workbookViewId="0">
      <selection activeCell="S35" sqref="S35"/>
    </sheetView>
  </sheetViews>
  <sheetFormatPr defaultColWidth="9.140625" defaultRowHeight="12.75" x14ac:dyDescent="0.2"/>
  <cols>
    <col min="1" max="1" width="12.85546875" style="40" customWidth="1"/>
    <col min="2" max="2" width="15" style="40" bestFit="1" customWidth="1"/>
    <col min="3" max="3" width="15" style="40" customWidth="1"/>
    <col min="4" max="4" width="6" style="40" bestFit="1" customWidth="1"/>
    <col min="5" max="5" width="7.140625" style="40" bestFit="1" customWidth="1"/>
    <col min="6" max="6" width="7.28515625" style="40" bestFit="1" customWidth="1"/>
    <col min="7" max="14" width="7.140625" style="40" bestFit="1" customWidth="1"/>
    <col min="15" max="15" width="8.140625" style="40" customWidth="1"/>
    <col min="16" max="17" width="6" style="40" bestFit="1" customWidth="1"/>
    <col min="18" max="18" width="7.28515625" style="40" bestFit="1" customWidth="1"/>
    <col min="19" max="26" width="7.140625" style="40" bestFit="1" customWidth="1"/>
    <col min="27" max="27" width="6.140625" style="40" customWidth="1"/>
    <col min="28" max="28" width="24.5703125" style="40" customWidth="1"/>
    <col min="29" max="16384" width="9.140625" style="40"/>
  </cols>
  <sheetData>
    <row r="1" spans="1:30" x14ac:dyDescent="0.2">
      <c r="A1" s="47" t="s">
        <v>2707</v>
      </c>
    </row>
    <row r="2" spans="1:30" x14ac:dyDescent="0.2">
      <c r="A2" s="47" t="s">
        <v>2708</v>
      </c>
    </row>
    <row r="3" spans="1:30" x14ac:dyDescent="0.2">
      <c r="A3" s="47" t="s">
        <v>2621</v>
      </c>
    </row>
    <row r="4" spans="1:30" x14ac:dyDescent="0.2">
      <c r="A4" s="47"/>
    </row>
    <row r="5" spans="1:30" x14ac:dyDescent="0.2">
      <c r="A5" s="47" t="s">
        <v>2709</v>
      </c>
      <c r="D5" s="404"/>
      <c r="E5" s="404"/>
      <c r="F5" s="404"/>
      <c r="G5" s="404"/>
      <c r="H5" s="404"/>
      <c r="I5" s="404"/>
      <c r="J5" s="404"/>
      <c r="K5" s="404"/>
      <c r="L5" s="248"/>
      <c r="M5" s="248"/>
      <c r="N5" s="248"/>
      <c r="O5" s="248"/>
      <c r="P5" s="404"/>
      <c r="Q5" s="404"/>
      <c r="R5" s="404"/>
      <c r="S5" s="404"/>
      <c r="T5" s="404"/>
      <c r="U5" s="404"/>
      <c r="V5" s="404"/>
      <c r="W5" s="404"/>
      <c r="X5" s="248"/>
      <c r="Y5" s="248"/>
      <c r="Z5" s="248"/>
      <c r="AA5" s="248"/>
    </row>
    <row r="6" spans="1:30" x14ac:dyDescent="0.2">
      <c r="D6" s="404" t="s">
        <v>2710</v>
      </c>
      <c r="E6" s="404"/>
      <c r="F6" s="404"/>
      <c r="G6" s="404"/>
      <c r="H6" s="404"/>
      <c r="I6" s="404"/>
      <c r="J6" s="404"/>
      <c r="K6" s="404"/>
      <c r="L6" s="248"/>
      <c r="M6" s="248"/>
      <c r="N6" s="248"/>
      <c r="O6" s="248"/>
      <c r="P6" s="404" t="s">
        <v>2711</v>
      </c>
      <c r="Q6" s="404"/>
      <c r="R6" s="404"/>
      <c r="S6" s="404"/>
      <c r="T6" s="404"/>
      <c r="U6" s="404"/>
      <c r="V6" s="404"/>
      <c r="W6" s="404"/>
      <c r="X6" s="248"/>
      <c r="Y6" s="248"/>
      <c r="Z6" s="248"/>
      <c r="AA6" s="248"/>
    </row>
    <row r="7" spans="1:30" x14ac:dyDescent="0.2">
      <c r="D7" s="83">
        <v>2005</v>
      </c>
      <c r="E7" s="83">
        <v>2010</v>
      </c>
      <c r="F7" s="83">
        <v>2015</v>
      </c>
      <c r="G7" s="83">
        <v>2020</v>
      </c>
      <c r="H7" s="83">
        <v>2025</v>
      </c>
      <c r="I7" s="83">
        <v>2030</v>
      </c>
      <c r="J7" s="83">
        <v>2035</v>
      </c>
      <c r="K7" s="83">
        <v>2040</v>
      </c>
      <c r="L7" s="83">
        <v>2045</v>
      </c>
      <c r="M7" s="83">
        <v>2050</v>
      </c>
      <c r="N7" s="83">
        <v>2055</v>
      </c>
      <c r="O7" s="248"/>
      <c r="P7" s="83">
        <v>2005</v>
      </c>
      <c r="Q7" s="83">
        <v>2010</v>
      </c>
      <c r="R7" s="83">
        <v>2015</v>
      </c>
      <c r="S7" s="83">
        <v>2020</v>
      </c>
      <c r="T7" s="83">
        <v>2025</v>
      </c>
      <c r="U7" s="83">
        <v>2030</v>
      </c>
      <c r="V7" s="83">
        <v>2035</v>
      </c>
      <c r="W7" s="83">
        <v>2040</v>
      </c>
      <c r="X7" s="83">
        <v>2045</v>
      </c>
      <c r="Y7" s="83">
        <v>2050</v>
      </c>
      <c r="Z7" s="83">
        <v>2055</v>
      </c>
      <c r="AA7" s="248"/>
    </row>
    <row r="8" spans="1:30" x14ac:dyDescent="0.2">
      <c r="A8" s="40" t="s">
        <v>2626</v>
      </c>
      <c r="B8" s="40" t="s">
        <v>2661</v>
      </c>
      <c r="C8" s="40" t="s">
        <v>2662</v>
      </c>
      <c r="D8" s="52" t="e">
        <f t="shared" ref="D8:I8" si="0">D16*(1+$AD$35)</f>
        <v>#REF!</v>
      </c>
      <c r="E8" s="52" t="e">
        <f t="shared" si="0"/>
        <v>#REF!</v>
      </c>
      <c r="F8" s="52" t="e">
        <f t="shared" si="0"/>
        <v>#REF!</v>
      </c>
      <c r="G8" s="52" t="e">
        <f t="shared" si="0"/>
        <v>#REF!</v>
      </c>
      <c r="H8" s="52" t="e">
        <f t="shared" si="0"/>
        <v>#REF!</v>
      </c>
      <c r="I8" s="52" t="e">
        <f t="shared" si="0"/>
        <v>#REF!</v>
      </c>
      <c r="J8" s="52" t="e">
        <f>J16*(1+$AD$35)</f>
        <v>#REF!</v>
      </c>
      <c r="K8" s="52" t="e">
        <f>K16*(1+$AD$35)</f>
        <v>#REF!</v>
      </c>
      <c r="L8" s="52" t="e">
        <f t="shared" ref="L8:M12" si="1">K8</f>
        <v>#REF!</v>
      </c>
      <c r="M8" s="52" t="e">
        <f t="shared" si="1"/>
        <v>#REF!</v>
      </c>
      <c r="N8" s="52" t="e">
        <f>M8</f>
        <v>#REF!</v>
      </c>
      <c r="O8" s="52"/>
      <c r="P8" s="52" t="e">
        <f>D8*AC$50</f>
        <v>#REF!</v>
      </c>
      <c r="Q8" s="52" t="e">
        <f t="shared" ref="Q8:U10" si="2">E8*AD$50</f>
        <v>#REF!</v>
      </c>
      <c r="R8" s="52" t="e">
        <f t="shared" si="2"/>
        <v>#REF!</v>
      </c>
      <c r="S8" s="52" t="e">
        <f t="shared" si="2"/>
        <v>#REF!</v>
      </c>
      <c r="T8" s="52" t="e">
        <f t="shared" si="2"/>
        <v>#REF!</v>
      </c>
      <c r="U8" s="52" t="e">
        <f t="shared" si="2"/>
        <v>#REF!</v>
      </c>
      <c r="V8" s="52" t="e">
        <f t="shared" ref="V8:V12" si="3">J8*AI$50</f>
        <v>#REF!</v>
      </c>
      <c r="W8" s="52" t="e">
        <f t="shared" ref="W8:W12" si="4">K8*AJ$50</f>
        <v>#REF!</v>
      </c>
      <c r="X8" s="52" t="e">
        <f t="shared" ref="X8:X12" si="5">L8*AK$50</f>
        <v>#REF!</v>
      </c>
      <c r="Y8" s="52" t="e">
        <f t="shared" ref="Y8:Y12" si="6">M8*AL$50</f>
        <v>#REF!</v>
      </c>
      <c r="Z8" s="52" t="e">
        <f t="shared" ref="Z8:Z12" si="7">N8*AM$50</f>
        <v>#REF!</v>
      </c>
      <c r="AA8" s="248"/>
      <c r="AB8" s="107"/>
    </row>
    <row r="9" spans="1:30" x14ac:dyDescent="0.2">
      <c r="A9" s="40" t="s">
        <v>2626</v>
      </c>
      <c r="B9" s="40" t="s">
        <v>334</v>
      </c>
      <c r="C9" s="40" t="s">
        <v>901</v>
      </c>
      <c r="D9" s="52" t="e">
        <f>#REF!</f>
        <v>#REF!</v>
      </c>
      <c r="E9" s="52" t="e">
        <f>#REF!</f>
        <v>#REF!</v>
      </c>
      <c r="F9" s="52" t="e">
        <f>#REF!</f>
        <v>#REF!</v>
      </c>
      <c r="G9" s="52" t="e">
        <f>#REF!</f>
        <v>#REF!</v>
      </c>
      <c r="H9" s="52" t="e">
        <f>#REF!</f>
        <v>#REF!</v>
      </c>
      <c r="I9" s="52" t="e">
        <f>#REF!</f>
        <v>#REF!</v>
      </c>
      <c r="J9" s="52" t="e">
        <f>#REF!</f>
        <v>#REF!</v>
      </c>
      <c r="K9" s="52" t="e">
        <f>#REF!</f>
        <v>#REF!</v>
      </c>
      <c r="L9" s="52" t="e">
        <f t="shared" si="1"/>
        <v>#REF!</v>
      </c>
      <c r="M9" s="52" t="e">
        <f t="shared" si="1"/>
        <v>#REF!</v>
      </c>
      <c r="N9" s="52" t="e">
        <f>M9</f>
        <v>#REF!</v>
      </c>
      <c r="O9" s="52"/>
      <c r="P9" s="52" t="e">
        <f>D9*AC$50</f>
        <v>#REF!</v>
      </c>
      <c r="Q9" s="52" t="e">
        <f t="shared" si="2"/>
        <v>#REF!</v>
      </c>
      <c r="R9" s="52" t="e">
        <f t="shared" si="2"/>
        <v>#REF!</v>
      </c>
      <c r="S9" s="52" t="e">
        <f t="shared" si="2"/>
        <v>#REF!</v>
      </c>
      <c r="T9" s="52" t="e">
        <f t="shared" si="2"/>
        <v>#REF!</v>
      </c>
      <c r="U9" s="52" t="e">
        <f t="shared" si="2"/>
        <v>#REF!</v>
      </c>
      <c r="V9" s="52" t="e">
        <f t="shared" si="3"/>
        <v>#REF!</v>
      </c>
      <c r="W9" s="52" t="e">
        <f t="shared" si="4"/>
        <v>#REF!</v>
      </c>
      <c r="X9" s="52" t="e">
        <f t="shared" si="5"/>
        <v>#REF!</v>
      </c>
      <c r="Y9" s="52" t="e">
        <f t="shared" si="6"/>
        <v>#REF!</v>
      </c>
      <c r="Z9" s="52" t="e">
        <f t="shared" si="7"/>
        <v>#REF!</v>
      </c>
    </row>
    <row r="10" spans="1:30" x14ac:dyDescent="0.2">
      <c r="A10" s="40" t="s">
        <v>2626</v>
      </c>
      <c r="B10" s="40" t="s">
        <v>2663</v>
      </c>
      <c r="C10" s="40" t="s">
        <v>924</v>
      </c>
      <c r="D10" s="52" t="e">
        <f>#REF!</f>
        <v>#REF!</v>
      </c>
      <c r="E10" s="52" t="e">
        <f>#REF!</f>
        <v>#REF!</v>
      </c>
      <c r="F10" s="52" t="e">
        <f>#REF!</f>
        <v>#REF!</v>
      </c>
      <c r="G10" s="52" t="e">
        <f>#REF!</f>
        <v>#REF!</v>
      </c>
      <c r="H10" s="52" t="e">
        <f>#REF!</f>
        <v>#REF!</v>
      </c>
      <c r="I10" s="52" t="e">
        <f>#REF!</f>
        <v>#REF!</v>
      </c>
      <c r="J10" s="52" t="e">
        <f>#REF!</f>
        <v>#REF!</v>
      </c>
      <c r="K10" s="52" t="e">
        <f>#REF!</f>
        <v>#REF!</v>
      </c>
      <c r="L10" s="52" t="e">
        <f t="shared" si="1"/>
        <v>#REF!</v>
      </c>
      <c r="M10" s="52" t="e">
        <f t="shared" si="1"/>
        <v>#REF!</v>
      </c>
      <c r="N10" s="52" t="e">
        <f>M10</f>
        <v>#REF!</v>
      </c>
      <c r="O10" s="52"/>
      <c r="P10" s="52" t="e">
        <f>D10*AC$50</f>
        <v>#REF!</v>
      </c>
      <c r="Q10" s="52" t="e">
        <f t="shared" si="2"/>
        <v>#REF!</v>
      </c>
      <c r="R10" s="52" t="e">
        <f t="shared" si="2"/>
        <v>#REF!</v>
      </c>
      <c r="S10" s="52" t="e">
        <f t="shared" si="2"/>
        <v>#REF!</v>
      </c>
      <c r="T10" s="52" t="e">
        <f t="shared" si="2"/>
        <v>#REF!</v>
      </c>
      <c r="U10" s="52" t="e">
        <f t="shared" si="2"/>
        <v>#REF!</v>
      </c>
      <c r="V10" s="52" t="e">
        <f t="shared" si="3"/>
        <v>#REF!</v>
      </c>
      <c r="W10" s="52" t="e">
        <f t="shared" si="4"/>
        <v>#REF!</v>
      </c>
      <c r="X10" s="52" t="e">
        <f t="shared" si="5"/>
        <v>#REF!</v>
      </c>
      <c r="Y10" s="52" t="e">
        <f t="shared" si="6"/>
        <v>#REF!</v>
      </c>
      <c r="Z10" s="52" t="e">
        <f t="shared" si="7"/>
        <v>#REF!</v>
      </c>
    </row>
    <row r="11" spans="1:30" x14ac:dyDescent="0.2">
      <c r="A11" s="40" t="s">
        <v>2626</v>
      </c>
      <c r="B11" s="40" t="s">
        <v>2664</v>
      </c>
      <c r="C11" s="40" t="s">
        <v>947</v>
      </c>
      <c r="D11" s="52"/>
      <c r="E11" s="52" t="e">
        <f>#REF!</f>
        <v>#REF!</v>
      </c>
      <c r="F11" s="52" t="e">
        <f>#REF!</f>
        <v>#REF!</v>
      </c>
      <c r="G11" s="52" t="e">
        <f>#REF!</f>
        <v>#REF!</v>
      </c>
      <c r="H11" s="52" t="e">
        <f>#REF!</f>
        <v>#REF!</v>
      </c>
      <c r="I11" s="52" t="e">
        <f>#REF!</f>
        <v>#REF!</v>
      </c>
      <c r="J11" s="52" t="e">
        <f>#REF!</f>
        <v>#REF!</v>
      </c>
      <c r="K11" s="52" t="e">
        <f>#REF!</f>
        <v>#REF!</v>
      </c>
      <c r="L11" s="52" t="e">
        <f t="shared" si="1"/>
        <v>#REF!</v>
      </c>
      <c r="M11" s="52" t="e">
        <f t="shared" si="1"/>
        <v>#REF!</v>
      </c>
      <c r="N11" s="52" t="e">
        <f>M11</f>
        <v>#REF!</v>
      </c>
      <c r="O11" s="52"/>
      <c r="P11" s="52"/>
      <c r="Q11" s="52" t="e">
        <f t="shared" ref="Q11:U12" si="8">E11*AD$50</f>
        <v>#REF!</v>
      </c>
      <c r="R11" s="52" t="e">
        <f t="shared" si="8"/>
        <v>#REF!</v>
      </c>
      <c r="S11" s="52" t="e">
        <f t="shared" si="8"/>
        <v>#REF!</v>
      </c>
      <c r="T11" s="52" t="e">
        <f t="shared" si="8"/>
        <v>#REF!</v>
      </c>
      <c r="U11" s="52" t="e">
        <f t="shared" si="8"/>
        <v>#REF!</v>
      </c>
      <c r="V11" s="52" t="e">
        <f t="shared" si="3"/>
        <v>#REF!</v>
      </c>
      <c r="W11" s="52" t="e">
        <f t="shared" si="4"/>
        <v>#REF!</v>
      </c>
      <c r="X11" s="52" t="e">
        <f t="shared" si="5"/>
        <v>#REF!</v>
      </c>
      <c r="Y11" s="52" t="e">
        <f t="shared" si="6"/>
        <v>#REF!</v>
      </c>
      <c r="Z11" s="52" t="e">
        <f t="shared" si="7"/>
        <v>#REF!</v>
      </c>
    </row>
    <row r="12" spans="1:30" x14ac:dyDescent="0.2">
      <c r="A12" s="40" t="s">
        <v>2626</v>
      </c>
      <c r="B12" s="40" t="s">
        <v>477</v>
      </c>
      <c r="C12" s="40" t="s">
        <v>878</v>
      </c>
      <c r="D12" s="52" t="e">
        <f>#REF!</f>
        <v>#REF!</v>
      </c>
      <c r="E12" s="52" t="e">
        <f>1/((1/#REF!*$AD$21+1/#REF!*$AD$22)/SUM($AD$21+$AD$22))</f>
        <v>#REF!</v>
      </c>
      <c r="F12" s="52" t="e">
        <f>1/((1/#REF!*$AE$21+1/#REF!*$AE$22)/SUM($AE$21+$AE$22))</f>
        <v>#REF!</v>
      </c>
      <c r="G12" s="52" t="e">
        <f>1/((1/#REF!*$AF$21+1/#REF!*$AF$22)/SUM($AF$21+$AF$22))</f>
        <v>#REF!</v>
      </c>
      <c r="H12" s="52" t="e">
        <f>1/((1/#REF!*$AG$21+1/#REF!*$AG$22)/SUM($AG$21+$AG$22))</f>
        <v>#REF!</v>
      </c>
      <c r="I12" s="52" t="e">
        <f>1/((1/#REF!*$AH$21+1/#REF!*$AH$22)/SUM($AH$21+$AH$22))</f>
        <v>#REF!</v>
      </c>
      <c r="J12" s="52" t="e">
        <f>1/((1/#REF!*$AI$21+1/#REF!*$AI$22)/SUM($AI$21+$AI$22))</f>
        <v>#REF!</v>
      </c>
      <c r="K12" s="52" t="e">
        <f>1/((1/#REF!*$AJ$21+1/#REF!*$AJ$22)/SUM($AJ$21+$AJ$22))</f>
        <v>#REF!</v>
      </c>
      <c r="L12" s="52" t="e">
        <f t="shared" si="1"/>
        <v>#REF!</v>
      </c>
      <c r="M12" s="52" t="e">
        <f t="shared" si="1"/>
        <v>#REF!</v>
      </c>
      <c r="N12" s="52" t="e">
        <f>M12</f>
        <v>#REF!</v>
      </c>
      <c r="O12" s="52"/>
      <c r="P12" s="52" t="e">
        <f>D12*AC$50</f>
        <v>#REF!</v>
      </c>
      <c r="Q12" s="52" t="e">
        <f t="shared" si="8"/>
        <v>#REF!</v>
      </c>
      <c r="R12" s="52" t="e">
        <f t="shared" si="8"/>
        <v>#REF!</v>
      </c>
      <c r="S12" s="52" t="e">
        <f t="shared" si="8"/>
        <v>#REF!</v>
      </c>
      <c r="T12" s="52" t="e">
        <f t="shared" si="8"/>
        <v>#REF!</v>
      </c>
      <c r="U12" s="52" t="e">
        <f t="shared" si="8"/>
        <v>#REF!</v>
      </c>
      <c r="V12" s="52" t="e">
        <f t="shared" si="3"/>
        <v>#REF!</v>
      </c>
      <c r="W12" s="52" t="e">
        <f t="shared" si="4"/>
        <v>#REF!</v>
      </c>
      <c r="X12" s="52" t="e">
        <f t="shared" si="5"/>
        <v>#REF!</v>
      </c>
      <c r="Y12" s="52" t="e">
        <f t="shared" si="6"/>
        <v>#REF!</v>
      </c>
      <c r="Z12" s="52" t="e">
        <f t="shared" si="7"/>
        <v>#REF!</v>
      </c>
    </row>
    <row r="13" spans="1:30" x14ac:dyDescent="0.2">
      <c r="A13" s="40" t="s">
        <v>2626</v>
      </c>
      <c r="B13" s="40" t="s">
        <v>2665</v>
      </c>
      <c r="C13" s="40" t="s">
        <v>765</v>
      </c>
    </row>
    <row r="14" spans="1:30" x14ac:dyDescent="0.2">
      <c r="A14" s="40" t="s">
        <v>2626</v>
      </c>
      <c r="B14" s="40" t="s">
        <v>2666</v>
      </c>
      <c r="C14" s="40" t="s">
        <v>966</v>
      </c>
      <c r="D14" s="52" t="e">
        <f>(#REF!*$AC$21+#REF!*$AC$22)/SUM($AC$21+$AC$22)</f>
        <v>#REF!</v>
      </c>
      <c r="E14" s="52" t="e">
        <f>#REF!</f>
        <v>#REF!</v>
      </c>
      <c r="F14" s="52" t="e">
        <f>1/((1/#REF!*$AE$21+1/#REF!*$AE$22)/SUM($AE$21+$AE$22))</f>
        <v>#REF!</v>
      </c>
      <c r="G14" s="52" t="e">
        <f>1/((1/#REF!*$AF$21+1/#REF!*$AF$22)/SUM($AF$21+$AF$22))</f>
        <v>#REF!</v>
      </c>
      <c r="H14" s="52" t="e">
        <f>1/((1/#REF!*$AG$21+1/#REF!*$AG$22)/SUM($AG$21+$AG$22))</f>
        <v>#REF!</v>
      </c>
      <c r="I14" s="52" t="e">
        <f>1/((1/#REF!*$AH$21+1/#REF!*$AH$22)/SUM($AH$21+$AH$22))</f>
        <v>#REF!</v>
      </c>
      <c r="J14" s="52" t="e">
        <f>1/((1/#REF!*$AI$21+1/#REF!*$AI$22)/SUM($AI$21+$AI$22))</f>
        <v>#REF!</v>
      </c>
      <c r="K14" s="52" t="e">
        <f>1/((1/#REF!*$AJ$21+1/#REF!*$AJ$22)/SUM($AJ$21+$AJ$22))</f>
        <v>#REF!</v>
      </c>
      <c r="L14" s="52" t="e">
        <f t="shared" ref="L14:N24" si="9">K14</f>
        <v>#REF!</v>
      </c>
      <c r="M14" s="52" t="e">
        <f t="shared" si="9"/>
        <v>#REF!</v>
      </c>
      <c r="N14" s="52" t="e">
        <f t="shared" si="9"/>
        <v>#REF!</v>
      </c>
      <c r="O14" s="52"/>
      <c r="P14" s="52" t="e">
        <f>D14*AC$50</f>
        <v>#REF!</v>
      </c>
      <c r="Q14" s="52" t="e">
        <f t="shared" ref="Q14:U18" si="10">E14*AD$50</f>
        <v>#REF!</v>
      </c>
      <c r="R14" s="52" t="e">
        <f t="shared" si="10"/>
        <v>#REF!</v>
      </c>
      <c r="S14" s="52" t="e">
        <f t="shared" si="10"/>
        <v>#REF!</v>
      </c>
      <c r="T14" s="52" t="e">
        <f t="shared" si="10"/>
        <v>#REF!</v>
      </c>
      <c r="U14" s="52" t="e">
        <f t="shared" si="10"/>
        <v>#REF!</v>
      </c>
      <c r="V14" s="52" t="e">
        <f t="shared" ref="V14:V24" si="11">J14*AI$50</f>
        <v>#REF!</v>
      </c>
      <c r="W14" s="52" t="e">
        <f t="shared" ref="W14:W24" si="12">K14*AJ$50</f>
        <v>#REF!</v>
      </c>
      <c r="X14" s="52" t="e">
        <f t="shared" ref="X14:X24" si="13">L14*AK$50</f>
        <v>#REF!</v>
      </c>
      <c r="Y14" s="52" t="e">
        <f t="shared" ref="Y14:Y24" si="14">M14*AL$50</f>
        <v>#REF!</v>
      </c>
      <c r="Z14" s="52" t="e">
        <f t="shared" ref="Z14:Z24" si="15">N14*AM$50</f>
        <v>#REF!</v>
      </c>
      <c r="AB14" s="107" t="s">
        <v>790</v>
      </c>
    </row>
    <row r="15" spans="1:30" x14ac:dyDescent="0.2">
      <c r="A15" s="40" t="s">
        <v>2626</v>
      </c>
      <c r="B15" s="40" t="s">
        <v>2667</v>
      </c>
      <c r="C15" s="40" t="s">
        <v>987</v>
      </c>
      <c r="D15" s="52" t="e">
        <f>#REF!</f>
        <v>#REF!</v>
      </c>
      <c r="E15" s="52" t="e">
        <f>#REF!</f>
        <v>#REF!</v>
      </c>
      <c r="F15" s="52" t="e">
        <f>#REF!</f>
        <v>#REF!</v>
      </c>
      <c r="G15" s="52" t="e">
        <f>1/((1/#REF!*$AF$21+1/#REF!*$AF$22)/SUM($AF$21+$AF$22))</f>
        <v>#REF!</v>
      </c>
      <c r="H15" s="52" t="e">
        <f>1/((1/#REF!*$AG$21+1/#REF!*$AG$22)/SUM($AG$21+$AG$22))</f>
        <v>#REF!</v>
      </c>
      <c r="I15" s="52" t="e">
        <f>1/((1/#REF!*$AH$21+1/#REF!*$AH$22)/SUM($AH$21+$AH$22))</f>
        <v>#REF!</v>
      </c>
      <c r="J15" s="52" t="e">
        <f>1/((1/#REF!*$AI$21+1/#REF!*$AI$22)/SUM($AI$21+$AI$22))</f>
        <v>#REF!</v>
      </c>
      <c r="K15" s="52" t="e">
        <f>1/((1/#REF!*$AJ$21+1/#REF!*$AJ$22)/SUM($AJ$21+$AJ$22))</f>
        <v>#REF!</v>
      </c>
      <c r="L15" s="52" t="e">
        <f t="shared" si="9"/>
        <v>#REF!</v>
      </c>
      <c r="M15" s="52" t="e">
        <f t="shared" si="9"/>
        <v>#REF!</v>
      </c>
      <c r="N15" s="52" t="e">
        <f t="shared" si="9"/>
        <v>#REF!</v>
      </c>
      <c r="O15" s="52"/>
      <c r="P15" s="52" t="e">
        <f>D15*AC$50</f>
        <v>#REF!</v>
      </c>
      <c r="Q15" s="52" t="e">
        <f t="shared" si="10"/>
        <v>#REF!</v>
      </c>
      <c r="R15" s="52" t="e">
        <f t="shared" si="10"/>
        <v>#REF!</v>
      </c>
      <c r="S15" s="52" t="e">
        <f t="shared" si="10"/>
        <v>#REF!</v>
      </c>
      <c r="T15" s="52" t="e">
        <f t="shared" si="10"/>
        <v>#REF!</v>
      </c>
      <c r="U15" s="52" t="e">
        <f t="shared" si="10"/>
        <v>#REF!</v>
      </c>
      <c r="V15" s="52" t="e">
        <f t="shared" si="11"/>
        <v>#REF!</v>
      </c>
      <c r="W15" s="52" t="e">
        <f t="shared" si="12"/>
        <v>#REF!</v>
      </c>
      <c r="X15" s="52" t="e">
        <f t="shared" si="13"/>
        <v>#REF!</v>
      </c>
      <c r="Y15" s="52" t="e">
        <f t="shared" si="14"/>
        <v>#REF!</v>
      </c>
      <c r="Z15" s="52" t="e">
        <f t="shared" si="15"/>
        <v>#REF!</v>
      </c>
      <c r="AB15" s="40" t="s">
        <v>2668</v>
      </c>
      <c r="AC15" s="93">
        <f>'TED10'!D49/'TED10'!C49*1000</f>
        <v>12509.672836974987</v>
      </c>
      <c r="AD15" s="40" t="s">
        <v>2712</v>
      </c>
    </row>
    <row r="16" spans="1:30" x14ac:dyDescent="0.2">
      <c r="A16" s="40" t="s">
        <v>2626</v>
      </c>
      <c r="B16" s="40" t="s">
        <v>2670</v>
      </c>
      <c r="C16" s="40" t="s">
        <v>855</v>
      </c>
      <c r="D16" s="52" t="e">
        <f>1/((1/#REF!*$AC$21+1/#REF!*$AC$22)/SUM($AC$21+$AC$22))</f>
        <v>#REF!</v>
      </c>
      <c r="E16" s="52" t="e">
        <f>1/((1/#REF!*$AD$21+1/#REF!*$AD$22)/SUM($AD$21+$AD$22))</f>
        <v>#REF!</v>
      </c>
      <c r="F16" s="52" t="e">
        <f>1/((1/#REF!*$AE$21+1/#REF!*$AE$22)/SUM($AE$21+$AE$22))</f>
        <v>#REF!</v>
      </c>
      <c r="G16" s="52" t="e">
        <f>1/((1/#REF!*$AF$21+1/#REF!*$AF$22)/SUM($AF$21+$AF$22))</f>
        <v>#REF!</v>
      </c>
      <c r="H16" s="52" t="e">
        <f>1/((1/#REF!*$AG$21+1/#REF!*$AG$22)/SUM($AG$21+$AG$22))</f>
        <v>#REF!</v>
      </c>
      <c r="I16" s="52" t="e">
        <f>1/((1/#REF!*$AH$21+1/#REF!*$AH$22)/SUM($AH$21+$AH$22))</f>
        <v>#REF!</v>
      </c>
      <c r="J16" s="52" t="e">
        <f>1/((1/#REF!*$AI$21+1/#REF!*$AI$22)/SUM($AI$21+$AI$22))</f>
        <v>#REF!</v>
      </c>
      <c r="K16" s="52" t="e">
        <f>1/((1/#REF!*$AJ$21+1/#REF!*$AJ$22)/SUM($AJ$21+$AJ$22))</f>
        <v>#REF!</v>
      </c>
      <c r="L16" s="52" t="e">
        <f t="shared" si="9"/>
        <v>#REF!</v>
      </c>
      <c r="M16" s="52" t="e">
        <f t="shared" si="9"/>
        <v>#REF!</v>
      </c>
      <c r="N16" s="52" t="e">
        <f t="shared" si="9"/>
        <v>#REF!</v>
      </c>
      <c r="O16" s="52"/>
      <c r="P16" s="52" t="e">
        <f>D16*AC$50</f>
        <v>#REF!</v>
      </c>
      <c r="Q16" s="52" t="e">
        <f t="shared" si="10"/>
        <v>#REF!</v>
      </c>
      <c r="R16" s="52" t="e">
        <f t="shared" si="10"/>
        <v>#REF!</v>
      </c>
      <c r="S16" s="52" t="e">
        <f t="shared" si="10"/>
        <v>#REF!</v>
      </c>
      <c r="T16" s="52" t="e">
        <f t="shared" si="10"/>
        <v>#REF!</v>
      </c>
      <c r="U16" s="52" t="e">
        <f t="shared" si="10"/>
        <v>#REF!</v>
      </c>
      <c r="V16" s="52" t="e">
        <f t="shared" si="11"/>
        <v>#REF!</v>
      </c>
      <c r="W16" s="52" t="e">
        <f t="shared" si="12"/>
        <v>#REF!</v>
      </c>
      <c r="X16" s="52" t="e">
        <f t="shared" si="13"/>
        <v>#REF!</v>
      </c>
      <c r="Y16" s="52" t="e">
        <f t="shared" si="14"/>
        <v>#REF!</v>
      </c>
      <c r="Z16" s="52" t="e">
        <f t="shared" si="15"/>
        <v>#REF!</v>
      </c>
      <c r="AC16" s="93"/>
    </row>
    <row r="17" spans="1:39" x14ac:dyDescent="0.2">
      <c r="A17" s="40" t="s">
        <v>2626</v>
      </c>
      <c r="B17" s="40" t="s">
        <v>2671</v>
      </c>
      <c r="C17" s="40" t="s">
        <v>1008</v>
      </c>
      <c r="D17" s="52" t="e">
        <f>#REF!</f>
        <v>#REF!</v>
      </c>
      <c r="E17" s="108" t="e">
        <f>#REF!</f>
        <v>#REF!</v>
      </c>
      <c r="F17" s="52" t="e">
        <f>1/((1/#REF!*$AE$21+1/#REF!*$AE$22)/SUM($AE$21+$AE$22))</f>
        <v>#REF!</v>
      </c>
      <c r="G17" s="52" t="e">
        <f>1/((1/#REF!*$AF$21+1/#REF!*$AF$22)/SUM($AF$21+$AF$22))</f>
        <v>#REF!</v>
      </c>
      <c r="H17" s="52" t="e">
        <f>1/((1/#REF!*$AG$21+1/#REF!*$AG$22)/SUM($AG$21+$AG$22))</f>
        <v>#REF!</v>
      </c>
      <c r="I17" s="52" t="e">
        <f>1/((1/#REF!*$AH$21+1/#REF!*$AH$22)/SUM($AH$21+$AH$22))</f>
        <v>#REF!</v>
      </c>
      <c r="J17" s="52" t="e">
        <f>1/((1/#REF!*$AI$21+1/#REF!*$AI$22)/SUM($AI$21+$AI$22))</f>
        <v>#REF!</v>
      </c>
      <c r="K17" s="52" t="e">
        <f>1/((1/#REF!*$AJ$21+1/#REF!*$AJ$22)/SUM($AJ$21+$AJ$22))</f>
        <v>#REF!</v>
      </c>
      <c r="L17" s="52" t="e">
        <f t="shared" si="9"/>
        <v>#REF!</v>
      </c>
      <c r="M17" s="52" t="e">
        <f t="shared" si="9"/>
        <v>#REF!</v>
      </c>
      <c r="N17" s="52" t="e">
        <f t="shared" si="9"/>
        <v>#REF!</v>
      </c>
      <c r="O17" s="52"/>
      <c r="P17" s="52" t="e">
        <f>D17*AC$50</f>
        <v>#REF!</v>
      </c>
      <c r="Q17" s="52" t="e">
        <f t="shared" si="10"/>
        <v>#REF!</v>
      </c>
      <c r="R17" s="52" t="e">
        <f t="shared" si="10"/>
        <v>#REF!</v>
      </c>
      <c r="S17" s="52" t="e">
        <f t="shared" si="10"/>
        <v>#REF!</v>
      </c>
      <c r="T17" s="52" t="e">
        <f t="shared" si="10"/>
        <v>#REF!</v>
      </c>
      <c r="U17" s="52" t="e">
        <f t="shared" si="10"/>
        <v>#REF!</v>
      </c>
      <c r="V17" s="52" t="e">
        <f t="shared" si="11"/>
        <v>#REF!</v>
      </c>
      <c r="W17" s="52" t="e">
        <f t="shared" si="12"/>
        <v>#REF!</v>
      </c>
      <c r="X17" s="52" t="e">
        <f t="shared" si="13"/>
        <v>#REF!</v>
      </c>
      <c r="Y17" s="52" t="e">
        <f t="shared" si="14"/>
        <v>#REF!</v>
      </c>
      <c r="Z17" s="52" t="e">
        <f t="shared" si="15"/>
        <v>#REF!</v>
      </c>
      <c r="AA17" s="52"/>
      <c r="AB17" s="40" t="s">
        <v>2672</v>
      </c>
      <c r="AC17" s="93">
        <f>'TED10'!K49/'TED10'!J49*1000</f>
        <v>10919.69539633091</v>
      </c>
      <c r="AD17" s="40" t="s">
        <v>2713</v>
      </c>
    </row>
    <row r="18" spans="1:39" x14ac:dyDescent="0.2">
      <c r="A18" s="40" t="s">
        <v>2626</v>
      </c>
      <c r="B18" s="40" t="s">
        <v>2674</v>
      </c>
      <c r="C18" s="40" t="s">
        <v>1029</v>
      </c>
      <c r="D18" s="52" t="e">
        <f>#REF!</f>
        <v>#REF!</v>
      </c>
      <c r="E18" s="52" t="e">
        <f>#REF!</f>
        <v>#REF!</v>
      </c>
      <c r="F18" s="52" t="e">
        <f>#REF!</f>
        <v>#REF!</v>
      </c>
      <c r="G18" s="52" t="e">
        <f>#REF!</f>
        <v>#REF!</v>
      </c>
      <c r="H18" s="52" t="e">
        <f>#REF!</f>
        <v>#REF!</v>
      </c>
      <c r="I18" s="52" t="e">
        <f>#REF!</f>
        <v>#REF!</v>
      </c>
      <c r="J18" s="52" t="e">
        <f>#REF!</f>
        <v>#REF!</v>
      </c>
      <c r="K18" s="52" t="e">
        <f>#REF!</f>
        <v>#REF!</v>
      </c>
      <c r="L18" s="52" t="e">
        <f t="shared" si="9"/>
        <v>#REF!</v>
      </c>
      <c r="M18" s="52" t="e">
        <f t="shared" si="9"/>
        <v>#REF!</v>
      </c>
      <c r="N18" s="52" t="e">
        <f t="shared" si="9"/>
        <v>#REF!</v>
      </c>
      <c r="O18" s="52"/>
      <c r="P18" s="52" t="e">
        <f>D18*AC$50</f>
        <v>#REF!</v>
      </c>
      <c r="Q18" s="52" t="e">
        <f t="shared" si="10"/>
        <v>#REF!</v>
      </c>
      <c r="R18" s="52" t="e">
        <f t="shared" si="10"/>
        <v>#REF!</v>
      </c>
      <c r="S18" s="52" t="e">
        <f t="shared" si="10"/>
        <v>#REF!</v>
      </c>
      <c r="T18" s="52" t="e">
        <f t="shared" si="10"/>
        <v>#REF!</v>
      </c>
      <c r="U18" s="52" t="e">
        <f t="shared" si="10"/>
        <v>#REF!</v>
      </c>
      <c r="V18" s="52" t="e">
        <f t="shared" si="11"/>
        <v>#REF!</v>
      </c>
      <c r="W18" s="52" t="e">
        <f t="shared" si="12"/>
        <v>#REF!</v>
      </c>
      <c r="X18" s="52" t="e">
        <f t="shared" si="13"/>
        <v>#REF!</v>
      </c>
      <c r="Y18" s="52" t="e">
        <f t="shared" si="14"/>
        <v>#REF!</v>
      </c>
      <c r="Z18" s="52" t="e">
        <f t="shared" si="15"/>
        <v>#REF!</v>
      </c>
      <c r="AA18" s="52"/>
      <c r="AC18" s="93"/>
    </row>
    <row r="19" spans="1:39" x14ac:dyDescent="0.2">
      <c r="A19" s="40" t="s">
        <v>2626</v>
      </c>
      <c r="B19" s="40" t="s">
        <v>2675</v>
      </c>
      <c r="C19" s="40" t="s">
        <v>1052</v>
      </c>
      <c r="D19" s="52"/>
      <c r="E19" s="52" t="e">
        <f t="shared" ref="E19:K19" si="16">E17*$AC$44</f>
        <v>#REF!</v>
      </c>
      <c r="F19" s="52" t="e">
        <f t="shared" si="16"/>
        <v>#REF!</v>
      </c>
      <c r="G19" s="52" t="e">
        <f t="shared" si="16"/>
        <v>#REF!</v>
      </c>
      <c r="H19" s="52" t="e">
        <f t="shared" si="16"/>
        <v>#REF!</v>
      </c>
      <c r="I19" s="52" t="e">
        <f t="shared" si="16"/>
        <v>#REF!</v>
      </c>
      <c r="J19" s="52" t="e">
        <f t="shared" si="16"/>
        <v>#REF!</v>
      </c>
      <c r="K19" s="52" t="e">
        <f t="shared" si="16"/>
        <v>#REF!</v>
      </c>
      <c r="L19" s="52" t="e">
        <f t="shared" si="9"/>
        <v>#REF!</v>
      </c>
      <c r="M19" s="52" t="e">
        <f t="shared" si="9"/>
        <v>#REF!</v>
      </c>
      <c r="N19" s="52" t="e">
        <f t="shared" si="9"/>
        <v>#REF!</v>
      </c>
      <c r="O19" s="52"/>
      <c r="P19" s="52"/>
      <c r="Q19" s="52" t="e">
        <f t="shared" ref="Q19:U22" si="17">E19*AD$50</f>
        <v>#REF!</v>
      </c>
      <c r="R19" s="52" t="e">
        <f t="shared" si="17"/>
        <v>#REF!</v>
      </c>
      <c r="S19" s="52" t="e">
        <f t="shared" si="17"/>
        <v>#REF!</v>
      </c>
      <c r="T19" s="52" t="e">
        <f t="shared" si="17"/>
        <v>#REF!</v>
      </c>
      <c r="U19" s="52" t="e">
        <f t="shared" si="17"/>
        <v>#REF!</v>
      </c>
      <c r="V19" s="52" t="e">
        <f t="shared" si="11"/>
        <v>#REF!</v>
      </c>
      <c r="W19" s="52" t="e">
        <f t="shared" si="12"/>
        <v>#REF!</v>
      </c>
      <c r="X19" s="52" t="e">
        <f t="shared" si="13"/>
        <v>#REF!</v>
      </c>
      <c r="Y19" s="52" t="e">
        <f t="shared" si="14"/>
        <v>#REF!</v>
      </c>
      <c r="Z19" s="52" t="e">
        <f t="shared" si="15"/>
        <v>#REF!</v>
      </c>
      <c r="AA19" s="52"/>
      <c r="AB19" s="107" t="s">
        <v>2676</v>
      </c>
      <c r="AC19" s="83">
        <v>2005</v>
      </c>
      <c r="AD19" s="83">
        <v>2010</v>
      </c>
      <c r="AE19" s="83">
        <v>2015</v>
      </c>
      <c r="AF19" s="83">
        <v>2020</v>
      </c>
      <c r="AG19" s="83">
        <v>2025</v>
      </c>
      <c r="AH19" s="83">
        <v>2030</v>
      </c>
      <c r="AI19" s="83">
        <v>2035</v>
      </c>
      <c r="AJ19" s="83">
        <v>2040</v>
      </c>
      <c r="AK19" s="83">
        <v>2045</v>
      </c>
      <c r="AL19" s="83">
        <v>2050</v>
      </c>
      <c r="AM19" s="83">
        <v>2055</v>
      </c>
    </row>
    <row r="20" spans="1:39" x14ac:dyDescent="0.2">
      <c r="A20" s="40" t="s">
        <v>2637</v>
      </c>
      <c r="B20" s="40" t="s">
        <v>2661</v>
      </c>
      <c r="C20" s="40" t="s">
        <v>2677</v>
      </c>
      <c r="D20" s="52" t="e">
        <f t="shared" ref="D20:I20" si="18">D35*(1+$AD$35)</f>
        <v>#REF!</v>
      </c>
      <c r="E20" s="52" t="e">
        <f t="shared" si="18"/>
        <v>#REF!</v>
      </c>
      <c r="F20" s="52" t="e">
        <f t="shared" si="18"/>
        <v>#REF!</v>
      </c>
      <c r="G20" s="52" t="e">
        <f t="shared" si="18"/>
        <v>#REF!</v>
      </c>
      <c r="H20" s="52" t="e">
        <f t="shared" si="18"/>
        <v>#REF!</v>
      </c>
      <c r="I20" s="52" t="e">
        <f t="shared" si="18"/>
        <v>#REF!</v>
      </c>
      <c r="J20" s="52" t="e">
        <f>J35*(1+$AD$35)</f>
        <v>#REF!</v>
      </c>
      <c r="K20" s="52" t="e">
        <f>K35*(1+$AD$35)</f>
        <v>#REF!</v>
      </c>
      <c r="L20" s="52" t="e">
        <f t="shared" si="9"/>
        <v>#REF!</v>
      </c>
      <c r="M20" s="52" t="e">
        <f t="shared" si="9"/>
        <v>#REF!</v>
      </c>
      <c r="N20" s="52" t="e">
        <f t="shared" si="9"/>
        <v>#REF!</v>
      </c>
      <c r="O20" s="52"/>
      <c r="P20" s="52" t="e">
        <f>D20*AC$50</f>
        <v>#REF!</v>
      </c>
      <c r="Q20" s="52" t="e">
        <f t="shared" si="17"/>
        <v>#REF!</v>
      </c>
      <c r="R20" s="52" t="e">
        <f t="shared" si="17"/>
        <v>#REF!</v>
      </c>
      <c r="S20" s="52" t="e">
        <f t="shared" si="17"/>
        <v>#REF!</v>
      </c>
      <c r="T20" s="52" t="e">
        <f t="shared" si="17"/>
        <v>#REF!</v>
      </c>
      <c r="U20" s="52" t="e">
        <f t="shared" si="17"/>
        <v>#REF!</v>
      </c>
      <c r="V20" s="52" t="e">
        <f t="shared" si="11"/>
        <v>#REF!</v>
      </c>
      <c r="W20" s="52" t="e">
        <f t="shared" si="12"/>
        <v>#REF!</v>
      </c>
      <c r="X20" s="52" t="e">
        <f t="shared" si="13"/>
        <v>#REF!</v>
      </c>
      <c r="Y20" s="52" t="e">
        <f t="shared" si="14"/>
        <v>#REF!</v>
      </c>
      <c r="Z20" s="52" t="e">
        <f t="shared" si="15"/>
        <v>#REF!</v>
      </c>
      <c r="AA20" s="52"/>
      <c r="AB20" s="40" t="s">
        <v>2678</v>
      </c>
      <c r="AC20" s="109">
        <f>Costs!R19</f>
        <v>1.4</v>
      </c>
      <c r="AD20" s="109">
        <f>Costs!S19</f>
        <v>0.95</v>
      </c>
      <c r="AE20" s="109">
        <f>Costs!T19</f>
        <v>0.84</v>
      </c>
      <c r="AF20" s="109">
        <f>Costs!U19</f>
        <v>0.9</v>
      </c>
      <c r="AG20" s="109">
        <f>Costs!V19</f>
        <v>0.89</v>
      </c>
      <c r="AH20" s="109">
        <f>Costs!W19</f>
        <v>0.89</v>
      </c>
      <c r="AI20" s="109">
        <f>Costs!X19</f>
        <v>0.89</v>
      </c>
      <c r="AJ20" s="109">
        <f>Costs!Y19</f>
        <v>0.9</v>
      </c>
      <c r="AK20" s="109">
        <f>AJ20</f>
        <v>0.9</v>
      </c>
      <c r="AL20" s="109">
        <f t="shared" ref="AL20:AM20" si="19">AK20</f>
        <v>0.9</v>
      </c>
      <c r="AM20" s="109">
        <f t="shared" si="19"/>
        <v>0.9</v>
      </c>
    </row>
    <row r="21" spans="1:39" x14ac:dyDescent="0.2">
      <c r="A21" s="40" t="s">
        <v>2637</v>
      </c>
      <c r="B21" s="40" t="s">
        <v>334</v>
      </c>
      <c r="C21" s="40" t="s">
        <v>1094</v>
      </c>
      <c r="D21" s="52" t="e">
        <f>#REF!</f>
        <v>#REF!</v>
      </c>
      <c r="E21" s="52" t="e">
        <f>#REF!</f>
        <v>#REF!</v>
      </c>
      <c r="F21" s="52" t="e">
        <f>#REF!</f>
        <v>#REF!</v>
      </c>
      <c r="G21" s="52" t="e">
        <f>#REF!</f>
        <v>#REF!</v>
      </c>
      <c r="H21" s="52" t="e">
        <f>#REF!</f>
        <v>#REF!</v>
      </c>
      <c r="I21" s="52" t="e">
        <f>#REF!</f>
        <v>#REF!</v>
      </c>
      <c r="J21" s="52" t="e">
        <f>#REF!</f>
        <v>#REF!</v>
      </c>
      <c r="K21" s="52" t="e">
        <f>#REF!</f>
        <v>#REF!</v>
      </c>
      <c r="L21" s="52" t="e">
        <f t="shared" si="9"/>
        <v>#REF!</v>
      </c>
      <c r="M21" s="52" t="e">
        <f t="shared" si="9"/>
        <v>#REF!</v>
      </c>
      <c r="N21" s="52" t="e">
        <f t="shared" si="9"/>
        <v>#REF!</v>
      </c>
      <c r="O21" s="52"/>
      <c r="P21" s="52" t="e">
        <f>D21*AC$50</f>
        <v>#REF!</v>
      </c>
      <c r="Q21" s="52" t="e">
        <f t="shared" si="17"/>
        <v>#REF!</v>
      </c>
      <c r="R21" s="52" t="e">
        <f t="shared" si="17"/>
        <v>#REF!</v>
      </c>
      <c r="S21" s="52" t="e">
        <f t="shared" si="17"/>
        <v>#REF!</v>
      </c>
      <c r="T21" s="52" t="e">
        <f t="shared" si="17"/>
        <v>#REF!</v>
      </c>
      <c r="U21" s="52" t="e">
        <f t="shared" si="17"/>
        <v>#REF!</v>
      </c>
      <c r="V21" s="52" t="e">
        <f t="shared" si="11"/>
        <v>#REF!</v>
      </c>
      <c r="W21" s="52" t="e">
        <f t="shared" si="12"/>
        <v>#REF!</v>
      </c>
      <c r="X21" s="52" t="e">
        <f t="shared" si="13"/>
        <v>#REF!</v>
      </c>
      <c r="Y21" s="52" t="e">
        <f t="shared" si="14"/>
        <v>#REF!</v>
      </c>
      <c r="Z21" s="52" t="e">
        <f t="shared" si="15"/>
        <v>#REF!</v>
      </c>
      <c r="AA21" s="52"/>
      <c r="AB21" s="40" t="s">
        <v>2679</v>
      </c>
      <c r="AC21" s="109">
        <f>Costs!R20</f>
        <v>8.8800000000000008</v>
      </c>
      <c r="AD21" s="109">
        <f>Costs!S20</f>
        <v>16.309999999999999</v>
      </c>
      <c r="AE21" s="109">
        <f>Costs!T20</f>
        <v>11.12</v>
      </c>
      <c r="AF21" s="109">
        <f>Costs!U20</f>
        <v>11.99</v>
      </c>
      <c r="AG21" s="109">
        <f>Costs!V20</f>
        <v>11.89</v>
      </c>
      <c r="AH21" s="109">
        <f>Costs!W20</f>
        <v>11.8</v>
      </c>
      <c r="AI21" s="109">
        <f>Costs!X20</f>
        <v>11.8</v>
      </c>
      <c r="AJ21" s="109">
        <f>Costs!Y20</f>
        <v>11.9</v>
      </c>
      <c r="AK21" s="109">
        <f t="shared" ref="AK21:AM21" si="20">AJ21</f>
        <v>11.9</v>
      </c>
      <c r="AL21" s="109">
        <f t="shared" si="20"/>
        <v>11.9</v>
      </c>
      <c r="AM21" s="109">
        <f t="shared" si="20"/>
        <v>11.9</v>
      </c>
    </row>
    <row r="22" spans="1:39" x14ac:dyDescent="0.2">
      <c r="A22" s="40" t="s">
        <v>2637</v>
      </c>
      <c r="B22" s="40" t="s">
        <v>2663</v>
      </c>
      <c r="C22" s="40" t="s">
        <v>1117</v>
      </c>
      <c r="D22" s="52" t="e">
        <f>#REF!</f>
        <v>#REF!</v>
      </c>
      <c r="E22" s="52" t="e">
        <f>#REF!</f>
        <v>#REF!</v>
      </c>
      <c r="F22" s="52" t="e">
        <f>#REF!</f>
        <v>#REF!</v>
      </c>
      <c r="G22" s="52" t="e">
        <f>#REF!</f>
        <v>#REF!</v>
      </c>
      <c r="H22" s="52" t="e">
        <f>#REF!</f>
        <v>#REF!</v>
      </c>
      <c r="I22" s="52" t="e">
        <f>#REF!</f>
        <v>#REF!</v>
      </c>
      <c r="J22" s="52" t="e">
        <f>#REF!</f>
        <v>#REF!</v>
      </c>
      <c r="K22" s="52" t="e">
        <f>#REF!</f>
        <v>#REF!</v>
      </c>
      <c r="L22" s="52" t="e">
        <f t="shared" si="9"/>
        <v>#REF!</v>
      </c>
      <c r="M22" s="52" t="e">
        <f t="shared" si="9"/>
        <v>#REF!</v>
      </c>
      <c r="N22" s="52" t="e">
        <f t="shared" si="9"/>
        <v>#REF!</v>
      </c>
      <c r="O22" s="52"/>
      <c r="P22" s="52" t="e">
        <f>D22*AC$50</f>
        <v>#REF!</v>
      </c>
      <c r="Q22" s="52" t="e">
        <f t="shared" si="17"/>
        <v>#REF!</v>
      </c>
      <c r="R22" s="52" t="e">
        <f t="shared" si="17"/>
        <v>#REF!</v>
      </c>
      <c r="S22" s="52" t="e">
        <f t="shared" si="17"/>
        <v>#REF!</v>
      </c>
      <c r="T22" s="52" t="e">
        <f t="shared" si="17"/>
        <v>#REF!</v>
      </c>
      <c r="U22" s="52" t="e">
        <f t="shared" si="17"/>
        <v>#REF!</v>
      </c>
      <c r="V22" s="52" t="e">
        <f t="shared" si="11"/>
        <v>#REF!</v>
      </c>
      <c r="W22" s="52" t="e">
        <f t="shared" si="12"/>
        <v>#REF!</v>
      </c>
      <c r="X22" s="52" t="e">
        <f t="shared" si="13"/>
        <v>#REF!</v>
      </c>
      <c r="Y22" s="52" t="e">
        <f t="shared" si="14"/>
        <v>#REF!</v>
      </c>
      <c r="Z22" s="52" t="e">
        <f t="shared" si="15"/>
        <v>#REF!</v>
      </c>
      <c r="AA22" s="52"/>
      <c r="AB22" s="40" t="s">
        <v>323</v>
      </c>
      <c r="AC22" s="109">
        <f>Costs!R21</f>
        <v>32.35</v>
      </c>
      <c r="AD22" s="109">
        <f>Costs!S21</f>
        <v>22.59</v>
      </c>
      <c r="AE22" s="109">
        <f>Costs!T21</f>
        <v>35.64</v>
      </c>
      <c r="AF22" s="109">
        <f>Costs!U21</f>
        <v>36.71</v>
      </c>
      <c r="AG22" s="109">
        <f>Costs!V21</f>
        <v>36.75</v>
      </c>
      <c r="AH22" s="109">
        <f>Costs!W21</f>
        <v>36.85</v>
      </c>
      <c r="AI22" s="109">
        <f>Costs!X21</f>
        <v>36.83</v>
      </c>
      <c r="AJ22" s="109">
        <f>Costs!Y21</f>
        <v>37.01</v>
      </c>
      <c r="AK22" s="109">
        <f t="shared" ref="AK22:AM22" si="21">AJ22</f>
        <v>37.01</v>
      </c>
      <c r="AL22" s="109">
        <f t="shared" si="21"/>
        <v>37.01</v>
      </c>
      <c r="AM22" s="109">
        <f t="shared" si="21"/>
        <v>37.01</v>
      </c>
    </row>
    <row r="23" spans="1:39" x14ac:dyDescent="0.2">
      <c r="A23" s="40" t="s">
        <v>2637</v>
      </c>
      <c r="B23" s="40" t="s">
        <v>2664</v>
      </c>
      <c r="C23" s="40" t="s">
        <v>1140</v>
      </c>
      <c r="D23" s="52"/>
      <c r="E23" s="52"/>
      <c r="F23" s="52" t="e">
        <f>#REF!</f>
        <v>#REF!</v>
      </c>
      <c r="G23" s="52" t="e">
        <f>#REF!</f>
        <v>#REF!</v>
      </c>
      <c r="H23" s="52" t="e">
        <f>1/((1/#REF!*$AG$23+1/#REF!*$AG$24)/SUM($AG$23+$AG$24))</f>
        <v>#REF!</v>
      </c>
      <c r="I23" s="52" t="e">
        <f>1/((1/#REF!*$AH$23+1/#REF!*$AH$24)/SUM($AH$23+$AH$24))</f>
        <v>#REF!</v>
      </c>
      <c r="J23" s="52" t="e">
        <f>1/((1/#REF!*$AI$23+1/#REF!*$AI$24)/SUM($AI$23+$AI$24))</f>
        <v>#REF!</v>
      </c>
      <c r="K23" s="52" t="e">
        <f>1/((1/#REF!*$AJ$23+1/#REF!*$AJ$24)/SUM($AJ$23+$AJ$24))</f>
        <v>#REF!</v>
      </c>
      <c r="L23" s="52" t="e">
        <f t="shared" si="9"/>
        <v>#REF!</v>
      </c>
      <c r="M23" s="52" t="e">
        <f t="shared" si="9"/>
        <v>#REF!</v>
      </c>
      <c r="N23" s="52" t="e">
        <f t="shared" si="9"/>
        <v>#REF!</v>
      </c>
      <c r="O23" s="52"/>
      <c r="P23" s="52"/>
      <c r="Q23" s="52"/>
      <c r="R23" s="52" t="e">
        <f t="shared" ref="R23:U24" si="22">F23*AE$50</f>
        <v>#REF!</v>
      </c>
      <c r="S23" s="52" t="e">
        <f t="shared" si="22"/>
        <v>#REF!</v>
      </c>
      <c r="T23" s="52" t="e">
        <f t="shared" si="22"/>
        <v>#REF!</v>
      </c>
      <c r="U23" s="52" t="e">
        <f t="shared" si="22"/>
        <v>#REF!</v>
      </c>
      <c r="V23" s="52" t="e">
        <f t="shared" si="11"/>
        <v>#REF!</v>
      </c>
      <c r="W23" s="52" t="e">
        <f t="shared" si="12"/>
        <v>#REF!</v>
      </c>
      <c r="X23" s="52" t="e">
        <f t="shared" si="13"/>
        <v>#REF!</v>
      </c>
      <c r="Y23" s="52" t="e">
        <f t="shared" si="14"/>
        <v>#REF!</v>
      </c>
      <c r="Z23" s="52" t="e">
        <f t="shared" si="15"/>
        <v>#REF!</v>
      </c>
      <c r="AA23" s="52"/>
      <c r="AB23" s="40" t="s">
        <v>2681</v>
      </c>
      <c r="AC23" s="109">
        <f>Costs!R23</f>
        <v>39.11</v>
      </c>
      <c r="AD23" s="109">
        <f>Costs!S23</f>
        <v>40.520000000000003</v>
      </c>
      <c r="AE23" s="109">
        <f>Costs!T23</f>
        <v>41.28</v>
      </c>
      <c r="AF23" s="109">
        <f>Costs!U23</f>
        <v>40.130000000000003</v>
      </c>
      <c r="AG23" s="109">
        <f>Costs!V23</f>
        <v>40.1</v>
      </c>
      <c r="AH23" s="109">
        <f>Costs!W23</f>
        <v>39.950000000000003</v>
      </c>
      <c r="AI23" s="109">
        <f>Costs!X23</f>
        <v>39.97</v>
      </c>
      <c r="AJ23" s="109">
        <f>Costs!Y23</f>
        <v>39.770000000000003</v>
      </c>
      <c r="AK23" s="109">
        <f t="shared" ref="AK23:AM23" si="23">AJ23</f>
        <v>39.770000000000003</v>
      </c>
      <c r="AL23" s="109">
        <f t="shared" si="23"/>
        <v>39.770000000000003</v>
      </c>
      <c r="AM23" s="109">
        <f t="shared" si="23"/>
        <v>39.770000000000003</v>
      </c>
    </row>
    <row r="24" spans="1:39" x14ac:dyDescent="0.2">
      <c r="A24" s="40" t="s">
        <v>2637</v>
      </c>
      <c r="B24" s="40" t="s">
        <v>477</v>
      </c>
      <c r="C24" s="40" t="s">
        <v>1157</v>
      </c>
      <c r="D24" s="52" t="e">
        <f>#REF!</f>
        <v>#REF!</v>
      </c>
      <c r="E24" s="52" t="e">
        <f>1/((1/#REF!*$AD$23+1/#REF!*$AD$24)/SUM($AD$23+$AD$24))</f>
        <v>#REF!</v>
      </c>
      <c r="F24" s="52" t="e">
        <f>1/((1/#REF!*$AE$23+1/#REF!*$AE$24)/SUM($AE$23+$AE$24))</f>
        <v>#REF!</v>
      </c>
      <c r="G24" s="52" t="e">
        <f>1/((1/#REF!*$AF$23+1/#REF!*$AF$24)/SUM($AF$23+$AF$24))</f>
        <v>#REF!</v>
      </c>
      <c r="H24" s="52" t="e">
        <f>1/((1/#REF!*$AG$23+1/#REF!*$AG$24)/SUM($AG$23+$AG$24))</f>
        <v>#REF!</v>
      </c>
      <c r="I24" s="52" t="e">
        <f>1/((1/#REF!*$AH$23+1/#REF!*$AH$24)/SUM($AH$23+$AH$24))</f>
        <v>#REF!</v>
      </c>
      <c r="J24" s="52" t="e">
        <f>1/((1/#REF!*$AI$23+1/#REF!*$AI$24)/SUM($AI$23+$AI$24))</f>
        <v>#REF!</v>
      </c>
      <c r="K24" s="52" t="e">
        <f>1/((1/#REF!*$AJ$23+1/#REF!*$AJ$24)/SUM($AJ$23+$AJ$24))</f>
        <v>#REF!</v>
      </c>
      <c r="L24" s="52" t="e">
        <f t="shared" si="9"/>
        <v>#REF!</v>
      </c>
      <c r="M24" s="52" t="e">
        <f t="shared" si="9"/>
        <v>#REF!</v>
      </c>
      <c r="N24" s="52" t="e">
        <f t="shared" si="9"/>
        <v>#REF!</v>
      </c>
      <c r="O24" s="52"/>
      <c r="P24" s="52" t="e">
        <f>D24*AC$50</f>
        <v>#REF!</v>
      </c>
      <c r="Q24" s="52" t="e">
        <f>E24*AD$50</f>
        <v>#REF!</v>
      </c>
      <c r="R24" s="52" t="e">
        <f t="shared" si="22"/>
        <v>#REF!</v>
      </c>
      <c r="S24" s="52" t="e">
        <f t="shared" si="22"/>
        <v>#REF!</v>
      </c>
      <c r="T24" s="52" t="e">
        <f t="shared" si="22"/>
        <v>#REF!</v>
      </c>
      <c r="U24" s="52" t="e">
        <f t="shared" si="22"/>
        <v>#REF!</v>
      </c>
      <c r="V24" s="52" t="e">
        <f t="shared" si="11"/>
        <v>#REF!</v>
      </c>
      <c r="W24" s="52" t="e">
        <f t="shared" si="12"/>
        <v>#REF!</v>
      </c>
      <c r="X24" s="52" t="e">
        <f t="shared" si="13"/>
        <v>#REF!</v>
      </c>
      <c r="Y24" s="52" t="e">
        <f t="shared" si="14"/>
        <v>#REF!</v>
      </c>
      <c r="Z24" s="52" t="e">
        <f t="shared" si="15"/>
        <v>#REF!</v>
      </c>
      <c r="AA24" s="52"/>
      <c r="AB24" s="40" t="s">
        <v>2683</v>
      </c>
      <c r="AC24" s="109">
        <f>Costs!R24</f>
        <v>16.13</v>
      </c>
      <c r="AD24" s="109">
        <f>Costs!S24</f>
        <v>17.149999999999999</v>
      </c>
      <c r="AE24" s="109">
        <f>Costs!T24</f>
        <v>10.54</v>
      </c>
      <c r="AF24" s="109">
        <f>Costs!U24</f>
        <v>9.6999999999999993</v>
      </c>
      <c r="AG24" s="109">
        <f>Costs!V24</f>
        <v>9.7899999999999991</v>
      </c>
      <c r="AH24" s="109">
        <f>Costs!W24</f>
        <v>9.93</v>
      </c>
      <c r="AI24" s="109">
        <f>Costs!X24</f>
        <v>9.94</v>
      </c>
      <c r="AJ24" s="109">
        <f>Costs!Y24</f>
        <v>9.85</v>
      </c>
      <c r="AK24" s="109">
        <f t="shared" ref="AK24:AM24" si="24">AJ24</f>
        <v>9.85</v>
      </c>
      <c r="AL24" s="109">
        <f t="shared" si="24"/>
        <v>9.85</v>
      </c>
      <c r="AM24" s="109">
        <f t="shared" si="24"/>
        <v>9.85</v>
      </c>
    </row>
    <row r="25" spans="1:39" x14ac:dyDescent="0.2">
      <c r="A25" s="40" t="s">
        <v>2637</v>
      </c>
      <c r="B25" s="40" t="s">
        <v>2682</v>
      </c>
      <c r="C25" s="52" t="s">
        <v>798</v>
      </c>
      <c r="E25" s="52"/>
      <c r="F25" s="52"/>
      <c r="G25" s="52"/>
      <c r="H25" s="52"/>
      <c r="I25" s="52"/>
      <c r="J25" s="52"/>
      <c r="K25" s="52"/>
      <c r="L25" s="52"/>
      <c r="M25" s="52"/>
      <c r="N25" s="52"/>
      <c r="O25" s="87"/>
      <c r="P25" s="52"/>
      <c r="Q25" s="52"/>
      <c r="R25" s="52"/>
      <c r="S25" s="52"/>
      <c r="T25" s="52"/>
      <c r="U25" s="52"/>
      <c r="V25" s="52"/>
      <c r="W25" s="52"/>
      <c r="X25" s="52"/>
      <c r="Y25" s="52"/>
      <c r="Z25" s="52"/>
      <c r="AA25" s="52"/>
      <c r="AB25" s="40" t="s">
        <v>2680</v>
      </c>
      <c r="AC25" s="109">
        <f>Costs!R22</f>
        <v>2.13</v>
      </c>
      <c r="AD25" s="109">
        <f>Costs!S24</f>
        <v>17.149999999999999</v>
      </c>
      <c r="AE25" s="109">
        <f>Costs!T24</f>
        <v>10.54</v>
      </c>
      <c r="AF25" s="109">
        <f>Costs!U24</f>
        <v>9.6999999999999993</v>
      </c>
      <c r="AG25" s="109">
        <f>Costs!V24</f>
        <v>9.7899999999999991</v>
      </c>
      <c r="AH25" s="109">
        <f>Costs!W24</f>
        <v>9.93</v>
      </c>
      <c r="AI25" s="109">
        <f>Costs!X24</f>
        <v>9.94</v>
      </c>
      <c r="AJ25" s="109">
        <f>Costs!Y24</f>
        <v>9.85</v>
      </c>
      <c r="AK25" s="109">
        <f t="shared" ref="AK25:AM25" si="25">AJ25</f>
        <v>9.85</v>
      </c>
      <c r="AL25" s="109">
        <f t="shared" si="25"/>
        <v>9.85</v>
      </c>
      <c r="AM25" s="109">
        <f t="shared" si="25"/>
        <v>9.85</v>
      </c>
    </row>
    <row r="26" spans="1:39" x14ac:dyDescent="0.2">
      <c r="A26" s="40" t="s">
        <v>2637</v>
      </c>
      <c r="B26" s="40" t="s">
        <v>2684</v>
      </c>
      <c r="C26" s="40" t="s">
        <v>767</v>
      </c>
      <c r="P26" s="52"/>
      <c r="Q26" s="52"/>
      <c r="R26" s="52"/>
      <c r="S26" s="52"/>
      <c r="T26" s="52"/>
      <c r="U26" s="52"/>
      <c r="V26" s="52"/>
      <c r="W26" s="52"/>
      <c r="X26" s="52"/>
      <c r="Y26" s="52"/>
      <c r="Z26" s="52"/>
      <c r="AA26" s="52"/>
      <c r="AB26" s="40" t="s">
        <v>2685</v>
      </c>
      <c r="AC26" s="109">
        <f>Costs!R25</f>
        <v>6.92</v>
      </c>
      <c r="AD26" s="109">
        <f>Costs!S25</f>
        <v>4.93</v>
      </c>
      <c r="AE26" s="109">
        <f>Costs!T25</f>
        <v>4.46</v>
      </c>
      <c r="AF26" s="109">
        <f>Costs!U25</f>
        <v>4.21</v>
      </c>
      <c r="AG26" s="109">
        <f>Costs!V25</f>
        <v>4.1900000000000004</v>
      </c>
      <c r="AH26" s="109">
        <f>Costs!W25</f>
        <v>4.2699999999999996</v>
      </c>
      <c r="AI26" s="109">
        <f>Costs!X25</f>
        <v>4.2699999999999996</v>
      </c>
      <c r="AJ26" s="109">
        <f>Costs!Y25</f>
        <v>4.24</v>
      </c>
      <c r="AK26" s="109">
        <f t="shared" ref="AK26:AM26" si="26">AJ26</f>
        <v>4.24</v>
      </c>
      <c r="AL26" s="109">
        <f t="shared" si="26"/>
        <v>4.24</v>
      </c>
      <c r="AM26" s="109">
        <f t="shared" si="26"/>
        <v>4.24</v>
      </c>
    </row>
    <row r="27" spans="1:39" x14ac:dyDescent="0.2">
      <c r="A27" s="40" t="s">
        <v>2637</v>
      </c>
      <c r="B27" s="40" t="s">
        <v>2686</v>
      </c>
      <c r="C27" s="52" t="s">
        <v>806</v>
      </c>
      <c r="E27" s="52"/>
      <c r="F27" s="52"/>
      <c r="G27" s="52"/>
      <c r="H27" s="52"/>
      <c r="I27" s="52"/>
      <c r="J27" s="52"/>
      <c r="K27" s="52"/>
      <c r="L27" s="52"/>
      <c r="M27" s="52"/>
      <c r="N27" s="52"/>
      <c r="O27" s="87"/>
      <c r="P27" s="52"/>
      <c r="Q27" s="52"/>
      <c r="R27" s="52"/>
      <c r="S27" s="52"/>
      <c r="T27" s="52"/>
      <c r="U27" s="52"/>
      <c r="V27" s="52"/>
      <c r="W27" s="52"/>
      <c r="X27" s="52"/>
      <c r="Y27" s="52"/>
      <c r="Z27" s="52"/>
      <c r="AA27" s="52"/>
      <c r="AB27" s="40" t="s">
        <v>2687</v>
      </c>
      <c r="AC27" s="109">
        <f>Costs!R26</f>
        <v>20.16</v>
      </c>
      <c r="AD27" s="109">
        <f>Costs!S26</f>
        <v>21.21</v>
      </c>
      <c r="AE27" s="109">
        <f>Costs!T26</f>
        <v>22.88</v>
      </c>
      <c r="AF27" s="109">
        <f>Costs!U26</f>
        <v>23.02</v>
      </c>
      <c r="AG27" s="109">
        <f>Costs!V26</f>
        <v>22.79</v>
      </c>
      <c r="AH27" s="109">
        <f>Costs!W26</f>
        <v>23.06</v>
      </c>
      <c r="AI27" s="109">
        <f>Costs!X26</f>
        <v>23.07</v>
      </c>
      <c r="AJ27" s="109">
        <f>Costs!Y26</f>
        <v>23.09</v>
      </c>
      <c r="AK27" s="109">
        <f t="shared" ref="AK27:AM27" si="27">AJ27</f>
        <v>23.09</v>
      </c>
      <c r="AL27" s="109">
        <f t="shared" si="27"/>
        <v>23.09</v>
      </c>
      <c r="AM27" s="109">
        <f t="shared" si="27"/>
        <v>23.09</v>
      </c>
    </row>
    <row r="28" spans="1:39" x14ac:dyDescent="0.2">
      <c r="A28" s="40" t="s">
        <v>2637</v>
      </c>
      <c r="B28" s="40" t="s">
        <v>2688</v>
      </c>
      <c r="C28" s="52" t="s">
        <v>793</v>
      </c>
      <c r="E28" s="52"/>
      <c r="F28" s="52"/>
      <c r="G28" s="52"/>
      <c r="H28" s="52"/>
      <c r="I28" s="52"/>
      <c r="J28" s="52"/>
      <c r="K28" s="52"/>
      <c r="L28" s="52"/>
      <c r="M28" s="52"/>
      <c r="N28" s="52"/>
      <c r="O28" s="87"/>
      <c r="P28" s="52"/>
      <c r="Q28" s="52"/>
      <c r="R28" s="52"/>
      <c r="S28" s="52"/>
      <c r="T28" s="52"/>
      <c r="U28" s="52"/>
      <c r="V28" s="52"/>
      <c r="W28" s="52"/>
      <c r="X28" s="52"/>
      <c r="Y28" s="52"/>
      <c r="Z28" s="52"/>
      <c r="AA28" s="52"/>
      <c r="AB28" s="40" t="s">
        <v>2689</v>
      </c>
      <c r="AC28" s="109">
        <f>Costs!R27</f>
        <v>7.72</v>
      </c>
      <c r="AD28" s="109">
        <f>Costs!S27</f>
        <v>1.64</v>
      </c>
      <c r="AE28" s="109">
        <f>Costs!T27</f>
        <v>0.93</v>
      </c>
      <c r="AF28" s="109">
        <f>Costs!U27</f>
        <v>0.98</v>
      </c>
      <c r="AG28" s="109">
        <f>Costs!V27</f>
        <v>0.96</v>
      </c>
      <c r="AH28" s="109">
        <f>Costs!W27</f>
        <v>0.99</v>
      </c>
      <c r="AI28" s="109">
        <f>Costs!X27</f>
        <v>0.99</v>
      </c>
      <c r="AJ28" s="109">
        <f>Costs!Y27</f>
        <v>1</v>
      </c>
      <c r="AK28" s="109">
        <f t="shared" ref="AK28:AM28" si="28">AJ28</f>
        <v>1</v>
      </c>
      <c r="AL28" s="109">
        <f t="shared" si="28"/>
        <v>1</v>
      </c>
      <c r="AM28" s="109">
        <f t="shared" si="28"/>
        <v>1</v>
      </c>
    </row>
    <row r="29" spans="1:39" x14ac:dyDescent="0.2">
      <c r="A29" s="40" t="s">
        <v>2637</v>
      </c>
      <c r="B29" s="40" t="s">
        <v>2665</v>
      </c>
      <c r="C29" s="40" t="s">
        <v>769</v>
      </c>
      <c r="P29" s="52"/>
      <c r="Q29" s="52"/>
      <c r="R29" s="52"/>
      <c r="S29" s="52"/>
      <c r="T29" s="52"/>
      <c r="U29" s="52"/>
      <c r="V29" s="52"/>
      <c r="W29" s="52"/>
      <c r="X29" s="52"/>
      <c r="Y29" s="52"/>
      <c r="Z29" s="52"/>
      <c r="AA29" s="52"/>
      <c r="AB29" s="40" t="s">
        <v>2690</v>
      </c>
      <c r="AC29" s="109">
        <f>Costs!R28</f>
        <v>9.34</v>
      </c>
      <c r="AD29" s="109">
        <f>Costs!S28</f>
        <v>9.6</v>
      </c>
      <c r="AE29" s="109">
        <f>Costs!T28</f>
        <v>8.64</v>
      </c>
      <c r="AF29" s="109">
        <f>Costs!U28</f>
        <v>8.67</v>
      </c>
      <c r="AG29" s="109">
        <f>Costs!V28</f>
        <v>8.57</v>
      </c>
      <c r="AH29" s="109">
        <f>Costs!W28</f>
        <v>8.7100000000000009</v>
      </c>
      <c r="AI29" s="109">
        <f>Costs!X28</f>
        <v>8.7100000000000009</v>
      </c>
      <c r="AJ29" s="109">
        <f>Costs!Y28</f>
        <v>8.7200000000000006</v>
      </c>
      <c r="AK29" s="109">
        <f t="shared" ref="AK29:AM29" si="29">AJ29</f>
        <v>8.7200000000000006</v>
      </c>
      <c r="AL29" s="109">
        <f t="shared" si="29"/>
        <v>8.7200000000000006</v>
      </c>
      <c r="AM29" s="109">
        <f t="shared" si="29"/>
        <v>8.7200000000000006</v>
      </c>
    </row>
    <row r="30" spans="1:39" x14ac:dyDescent="0.2">
      <c r="A30" s="40" t="s">
        <v>2637</v>
      </c>
      <c r="B30" s="40" t="s">
        <v>2691</v>
      </c>
      <c r="C30" s="52" t="s">
        <v>803</v>
      </c>
      <c r="E30" s="52"/>
      <c r="F30" s="52"/>
      <c r="G30" s="52"/>
      <c r="H30" s="52"/>
      <c r="I30" s="52"/>
      <c r="J30" s="52"/>
      <c r="K30" s="52"/>
      <c r="L30" s="52"/>
      <c r="M30" s="52"/>
      <c r="N30" s="52"/>
      <c r="O30" s="87"/>
      <c r="P30" s="52"/>
      <c r="Q30" s="52"/>
      <c r="R30" s="52"/>
      <c r="S30" s="52"/>
      <c r="T30" s="52"/>
      <c r="U30" s="52"/>
      <c r="V30" s="52"/>
      <c r="W30" s="52"/>
      <c r="X30" s="52"/>
      <c r="Y30" s="52"/>
      <c r="Z30" s="52"/>
      <c r="AA30" s="52"/>
      <c r="AB30" s="40" t="s">
        <v>2692</v>
      </c>
      <c r="AC30" s="109">
        <f>Costs!R29</f>
        <v>27.21</v>
      </c>
      <c r="AD30" s="109">
        <f>Costs!S29</f>
        <v>34.340000000000003</v>
      </c>
      <c r="AE30" s="109">
        <f>Costs!T29</f>
        <v>39.83</v>
      </c>
      <c r="AF30" s="109">
        <f>Costs!U29</f>
        <v>39.74</v>
      </c>
      <c r="AG30" s="109">
        <f>Costs!V29</f>
        <v>39.97</v>
      </c>
      <c r="AH30" s="109">
        <f>Costs!W29</f>
        <v>39.64</v>
      </c>
      <c r="AI30" s="109">
        <f>Costs!X29</f>
        <v>39.64</v>
      </c>
      <c r="AJ30" s="109">
        <f>Costs!Y29</f>
        <v>39.619999999999997</v>
      </c>
      <c r="AK30" s="109">
        <f t="shared" ref="AK30:AM30" si="30">AJ30</f>
        <v>39.619999999999997</v>
      </c>
      <c r="AL30" s="109">
        <f t="shared" si="30"/>
        <v>39.619999999999997</v>
      </c>
      <c r="AM30" s="109">
        <f t="shared" si="30"/>
        <v>39.619999999999997</v>
      </c>
    </row>
    <row r="31" spans="1:39" x14ac:dyDescent="0.2">
      <c r="A31" s="40" t="s">
        <v>2637</v>
      </c>
      <c r="B31" s="40" t="s">
        <v>2695</v>
      </c>
      <c r="C31" s="40" t="s">
        <v>1180</v>
      </c>
      <c r="D31" s="52"/>
      <c r="E31" s="52"/>
      <c r="F31" s="52"/>
      <c r="G31" s="52"/>
      <c r="H31" s="52"/>
      <c r="I31" s="52"/>
      <c r="J31" s="52"/>
      <c r="K31" s="52"/>
      <c r="L31" s="52"/>
      <c r="M31" s="52"/>
      <c r="N31" s="52"/>
      <c r="O31" s="52"/>
      <c r="P31" s="52">
        <f>D31*AC$51</f>
        <v>0</v>
      </c>
      <c r="Q31" s="52">
        <f>E31*AD$50</f>
        <v>0</v>
      </c>
      <c r="R31" s="52">
        <f>F31*AE$50</f>
        <v>0</v>
      </c>
      <c r="S31" s="52">
        <f>G31*AF$50</f>
        <v>0</v>
      </c>
      <c r="T31" s="52">
        <f>H31*AG$50</f>
        <v>0</v>
      </c>
      <c r="U31" s="52">
        <f>I31*AH$50</f>
        <v>0</v>
      </c>
      <c r="V31" s="52">
        <f t="shared" ref="V31:Z38" si="31">J31*AI$50</f>
        <v>0</v>
      </c>
      <c r="W31" s="52">
        <f t="shared" si="31"/>
        <v>0</v>
      </c>
      <c r="X31" s="52">
        <f t="shared" si="31"/>
        <v>0</v>
      </c>
      <c r="Y31" s="52">
        <f t="shared" si="31"/>
        <v>0</v>
      </c>
      <c r="Z31" s="52">
        <f t="shared" si="31"/>
        <v>0</v>
      </c>
      <c r="AA31" s="52"/>
      <c r="AB31" s="40" t="s">
        <v>2694</v>
      </c>
      <c r="AC31" s="109">
        <f>Costs!R30</f>
        <v>28.66</v>
      </c>
      <c r="AD31" s="109">
        <f>Costs!S30</f>
        <v>28.27</v>
      </c>
      <c r="AE31" s="109">
        <f>Costs!T30</f>
        <v>23.26</v>
      </c>
      <c r="AF31" s="109">
        <f>Costs!U30</f>
        <v>23.38</v>
      </c>
      <c r="AG31" s="109">
        <f>Costs!V30</f>
        <v>23.53</v>
      </c>
      <c r="AH31" s="109">
        <f>Costs!W30</f>
        <v>23.32</v>
      </c>
      <c r="AI31" s="109">
        <f>Costs!X30</f>
        <v>23.32</v>
      </c>
      <c r="AJ31" s="109">
        <f>Costs!Y30</f>
        <v>23.33</v>
      </c>
      <c r="AK31" s="109">
        <f t="shared" ref="AK31:AM31" si="32">AJ31</f>
        <v>23.33</v>
      </c>
      <c r="AL31" s="109">
        <f t="shared" si="32"/>
        <v>23.33</v>
      </c>
      <c r="AM31" s="109">
        <f t="shared" si="32"/>
        <v>23.33</v>
      </c>
    </row>
    <row r="32" spans="1:39" x14ac:dyDescent="0.2">
      <c r="A32" s="40" t="s">
        <v>2637</v>
      </c>
      <c r="B32" s="40" t="s">
        <v>2666</v>
      </c>
      <c r="C32" s="40" t="s">
        <v>1199</v>
      </c>
      <c r="D32" s="52" t="e">
        <f>1/((1/#REF!*$AC$23+1/#REF!*$AC$24)/SUM($AC$23+$AC$24))</f>
        <v>#REF!</v>
      </c>
      <c r="E32" s="52" t="e">
        <f>1/((1/#REF!*$AD$23+1/#REF!*$AD$24)/SUM($AD$23+$AD$24))</f>
        <v>#REF!</v>
      </c>
      <c r="F32" s="52" t="e">
        <f>1/((1/#REF!*$AE$23+1/#REF!*$AE$24)/SUM($AE$23+$AE$24))</f>
        <v>#REF!</v>
      </c>
      <c r="G32" s="52" t="e">
        <f>1/((1/#REF!*$AF$23+1/#REF!*$AF$24)/SUM($AF$23+$AF$24))</f>
        <v>#REF!</v>
      </c>
      <c r="H32" s="52" t="e">
        <f>1/((1/#REF!*$AG$23+1/#REF!*$AG$24)/SUM($AG$23+$AG$24))</f>
        <v>#REF!</v>
      </c>
      <c r="I32" s="52" t="e">
        <f>1/((1/#REF!*$AH$23+1/#REF!*$AH$24)/SUM($AH$23+$AH$24))</f>
        <v>#REF!</v>
      </c>
      <c r="J32" s="52" t="e">
        <f>1/((1/#REF!*$AI$23+1/#REF!*$AI$24)/SUM($AI$23+$AI$24))</f>
        <v>#REF!</v>
      </c>
      <c r="K32" s="52" t="e">
        <f>1/((1/#REF!*$AJ$23+1/#REF!*$AJ$24)/SUM($AJ$23+$AJ$24))</f>
        <v>#REF!</v>
      </c>
      <c r="L32" s="52" t="e">
        <f t="shared" ref="K32:N41" si="33">K32</f>
        <v>#REF!</v>
      </c>
      <c r="M32" s="52" t="e">
        <f t="shared" si="33"/>
        <v>#REF!</v>
      </c>
      <c r="N32" s="52" t="e">
        <f t="shared" si="33"/>
        <v>#REF!</v>
      </c>
      <c r="O32" s="52"/>
      <c r="P32" s="52" t="e">
        <f t="shared" ref="P32:U32" si="34">D32*AC$50</f>
        <v>#REF!</v>
      </c>
      <c r="Q32" s="52" t="e">
        <f t="shared" si="34"/>
        <v>#REF!</v>
      </c>
      <c r="R32" s="52" t="e">
        <f t="shared" si="34"/>
        <v>#REF!</v>
      </c>
      <c r="S32" s="52" t="e">
        <f t="shared" si="34"/>
        <v>#REF!</v>
      </c>
      <c r="T32" s="52" t="e">
        <f t="shared" si="34"/>
        <v>#REF!</v>
      </c>
      <c r="U32" s="52" t="e">
        <f t="shared" si="34"/>
        <v>#REF!</v>
      </c>
      <c r="V32" s="52" t="e">
        <f t="shared" si="31"/>
        <v>#REF!</v>
      </c>
      <c r="W32" s="52" t="e">
        <f t="shared" si="31"/>
        <v>#REF!</v>
      </c>
      <c r="X32" s="52" t="e">
        <f t="shared" si="31"/>
        <v>#REF!</v>
      </c>
      <c r="Y32" s="52" t="e">
        <f t="shared" si="31"/>
        <v>#REF!</v>
      </c>
      <c r="Z32" s="52" t="e">
        <f t="shared" si="31"/>
        <v>#REF!</v>
      </c>
      <c r="AA32" s="52"/>
      <c r="AC32" s="93">
        <f>SUM(AC20:AC31)</f>
        <v>200.01000000000002</v>
      </c>
      <c r="AD32" s="52">
        <f t="shared" ref="AD32:AF32" si="35">(AC32+AE32)/2</f>
        <v>202.3125</v>
      </c>
      <c r="AE32" s="52">
        <f t="shared" ref="AE32" si="36">(AC32+AG32)/2</f>
        <v>204.61500000000001</v>
      </c>
      <c r="AF32" s="52">
        <f t="shared" si="35"/>
        <v>206.91749999999999</v>
      </c>
      <c r="AG32" s="109">
        <f>SUM(AG20:AG31)</f>
        <v>209.21999999999997</v>
      </c>
      <c r="AH32" s="109">
        <f t="shared" ref="AH32:AM32" si="37">AG32</f>
        <v>209.21999999999997</v>
      </c>
      <c r="AI32" s="109">
        <f t="shared" si="37"/>
        <v>209.21999999999997</v>
      </c>
      <c r="AJ32" s="109">
        <f t="shared" si="37"/>
        <v>209.21999999999997</v>
      </c>
      <c r="AK32" s="109">
        <f t="shared" si="37"/>
        <v>209.21999999999997</v>
      </c>
      <c r="AL32" s="109">
        <f t="shared" si="37"/>
        <v>209.21999999999997</v>
      </c>
      <c r="AM32" s="109">
        <f t="shared" si="37"/>
        <v>209.21999999999997</v>
      </c>
    </row>
    <row r="33" spans="1:30" x14ac:dyDescent="0.2">
      <c r="A33" s="40" t="s">
        <v>2637</v>
      </c>
      <c r="B33" s="40" t="s">
        <v>2696</v>
      </c>
      <c r="C33" s="40" t="s">
        <v>1218</v>
      </c>
      <c r="D33" s="52"/>
      <c r="E33" s="52" t="e">
        <f>#REF!</f>
        <v>#REF!</v>
      </c>
      <c r="F33" s="52" t="e">
        <f>#REF!</f>
        <v>#REF!</v>
      </c>
      <c r="G33" s="52" t="e">
        <f>#REF!</f>
        <v>#REF!</v>
      </c>
      <c r="H33" s="52" t="e">
        <f>#REF!</f>
        <v>#REF!</v>
      </c>
      <c r="I33" s="52" t="e">
        <f>#REF!</f>
        <v>#REF!</v>
      </c>
      <c r="J33" s="52" t="e">
        <f>#REF!</f>
        <v>#REF!</v>
      </c>
      <c r="K33" s="52" t="e">
        <f t="shared" si="33"/>
        <v>#REF!</v>
      </c>
      <c r="L33" s="52" t="e">
        <f t="shared" si="33"/>
        <v>#REF!</v>
      </c>
      <c r="M33" s="52" t="e">
        <f t="shared" si="33"/>
        <v>#REF!</v>
      </c>
      <c r="N33" s="52" t="e">
        <f t="shared" si="33"/>
        <v>#REF!</v>
      </c>
      <c r="O33" s="52"/>
      <c r="P33" s="52"/>
      <c r="Q33" s="52" t="e">
        <f>E33*AD$50</f>
        <v>#REF!</v>
      </c>
      <c r="R33" s="52" t="e">
        <f>F33*AE$50</f>
        <v>#REF!</v>
      </c>
      <c r="S33" s="52" t="e">
        <f>G33*AF$50</f>
        <v>#REF!</v>
      </c>
      <c r="T33" s="52" t="e">
        <f>H33*AG$50</f>
        <v>#REF!</v>
      </c>
      <c r="U33" s="52" t="e">
        <f>I33*AH$50</f>
        <v>#REF!</v>
      </c>
      <c r="V33" s="52" t="e">
        <f t="shared" si="31"/>
        <v>#REF!</v>
      </c>
      <c r="W33" s="52" t="e">
        <f t="shared" si="31"/>
        <v>#REF!</v>
      </c>
      <c r="X33" s="52" t="e">
        <f t="shared" si="31"/>
        <v>#REF!</v>
      </c>
      <c r="Y33" s="52" t="e">
        <f t="shared" si="31"/>
        <v>#REF!</v>
      </c>
      <c r="Z33" s="52" t="e">
        <f t="shared" si="31"/>
        <v>#REF!</v>
      </c>
      <c r="AA33" s="52"/>
      <c r="AC33" s="93"/>
    </row>
    <row r="34" spans="1:30" x14ac:dyDescent="0.2">
      <c r="A34" s="40" t="s">
        <v>2637</v>
      </c>
      <c r="B34" s="40" t="s">
        <v>2667</v>
      </c>
      <c r="C34" s="40" t="s">
        <v>1237</v>
      </c>
      <c r="D34" s="52"/>
      <c r="E34" s="52"/>
      <c r="F34" s="52" t="e">
        <f>#REF!</f>
        <v>#REF!</v>
      </c>
      <c r="G34" s="52" t="e">
        <f>1/((1/#REF!*$AF$23+1/#REF!*$AF$24)/SUM($AF$23+$AF$24))</f>
        <v>#REF!</v>
      </c>
      <c r="H34" s="52" t="e">
        <f>1/((1/#REF!*$AG$23+1/#REF!*$AG$24)/SUM($AG$23+$AG$24))</f>
        <v>#REF!</v>
      </c>
      <c r="I34" s="52" t="e">
        <f>1/((1/#REF!*$AH$23+1/#REF!*$AH$24)/SUM($AH$23+$AH$24))</f>
        <v>#REF!</v>
      </c>
      <c r="J34" s="52" t="e">
        <f>1/((1/#REF!*$AI$23+1/#REF!*$AI$24)/SUM($AI$23+$AI$24))</f>
        <v>#REF!</v>
      </c>
      <c r="K34" s="52" t="e">
        <f>1/((1/#REF!*$AJ$23+1/#REF!*$AJ$24)/SUM($AJ$23+$AJ$24))</f>
        <v>#REF!</v>
      </c>
      <c r="L34" s="52" t="e">
        <f t="shared" si="33"/>
        <v>#REF!</v>
      </c>
      <c r="M34" s="52" t="e">
        <f t="shared" si="33"/>
        <v>#REF!</v>
      </c>
      <c r="N34" s="52" t="e">
        <f t="shared" si="33"/>
        <v>#REF!</v>
      </c>
      <c r="O34" s="52"/>
      <c r="P34" s="52"/>
      <c r="Q34" s="52"/>
      <c r="R34" s="52" t="e">
        <f>F34*AE$50</f>
        <v>#REF!</v>
      </c>
      <c r="S34" s="52" t="e">
        <f>G34*AF$50</f>
        <v>#REF!</v>
      </c>
      <c r="T34" s="52" t="e">
        <f>H34*AG$50</f>
        <v>#REF!</v>
      </c>
      <c r="U34" s="52" t="e">
        <f>I34*AH$50</f>
        <v>#REF!</v>
      </c>
      <c r="V34" s="52" t="e">
        <f t="shared" si="31"/>
        <v>#REF!</v>
      </c>
      <c r="W34" s="52" t="e">
        <f t="shared" si="31"/>
        <v>#REF!</v>
      </c>
      <c r="X34" s="52" t="e">
        <f t="shared" si="31"/>
        <v>#REF!</v>
      </c>
      <c r="Y34" s="52" t="e">
        <f t="shared" si="31"/>
        <v>#REF!</v>
      </c>
      <c r="Z34" s="52" t="e">
        <f t="shared" si="31"/>
        <v>#REF!</v>
      </c>
      <c r="AA34" s="52"/>
      <c r="AB34" s="107" t="s">
        <v>2697</v>
      </c>
      <c r="AC34" s="93" t="s">
        <v>2714</v>
      </c>
    </row>
    <row r="35" spans="1:30" x14ac:dyDescent="0.2">
      <c r="A35" s="40" t="s">
        <v>2637</v>
      </c>
      <c r="B35" s="40" t="s">
        <v>2670</v>
      </c>
      <c r="C35" s="40" t="s">
        <v>1071</v>
      </c>
      <c r="D35" s="52" t="e">
        <f>1/((1/#REF!*$AC$23+1/#REF!*$AC$24)/SUM($AC$23+$AC$24))</f>
        <v>#REF!</v>
      </c>
      <c r="E35" s="52" t="e">
        <f>1/((1/#REF!*$AD$23+1/#REF!*$AD$24)/SUM($AD$23+$AD$24))</f>
        <v>#REF!</v>
      </c>
      <c r="F35" s="52" t="e">
        <f>1/((1/#REF!*$AE$23+1/#REF!*$AE$24)/SUM($AE$23+$AE$24))</f>
        <v>#REF!</v>
      </c>
      <c r="G35" s="52" t="e">
        <f>1/((1/#REF!*$AF$23+1/#REF!*$AF$24)/SUM($AF$23+$AF$24))</f>
        <v>#REF!</v>
      </c>
      <c r="H35" s="52" t="e">
        <f>1/((1/#REF!*$AG$23+1/#REF!*$AG$24)/SUM($AG$23+$AG$24))</f>
        <v>#REF!</v>
      </c>
      <c r="I35" s="52" t="e">
        <f>1/((1/#REF!*$AH$23+1/#REF!*$AH$24)/SUM($AH$23+$AH$24))</f>
        <v>#REF!</v>
      </c>
      <c r="J35" s="52" t="e">
        <f>1/((1/#REF!*$AI$23+1/#REF!*$AI$24)/SUM($AI$23+$AI$24))</f>
        <v>#REF!</v>
      </c>
      <c r="K35" s="52" t="e">
        <f>1/((1/#REF!*$AJ$23+1/#REF!*$AJ$24)/SUM($AJ$23+$AJ$24))</f>
        <v>#REF!</v>
      </c>
      <c r="L35" s="52" t="e">
        <f t="shared" si="33"/>
        <v>#REF!</v>
      </c>
      <c r="M35" s="52" t="e">
        <f t="shared" si="33"/>
        <v>#REF!</v>
      </c>
      <c r="N35" s="52" t="e">
        <f t="shared" si="33"/>
        <v>#REF!</v>
      </c>
      <c r="O35" s="52"/>
      <c r="P35" s="52" t="e">
        <f>D35*AC$50</f>
        <v>#REF!</v>
      </c>
      <c r="Q35" s="52" t="e">
        <f t="shared" ref="Q35:U37" si="38">E35*AD$50</f>
        <v>#REF!</v>
      </c>
      <c r="R35" s="52" t="e">
        <f t="shared" si="38"/>
        <v>#REF!</v>
      </c>
      <c r="S35" s="52" t="e">
        <f t="shared" si="38"/>
        <v>#REF!</v>
      </c>
      <c r="T35" s="52" t="e">
        <f t="shared" si="38"/>
        <v>#REF!</v>
      </c>
      <c r="U35" s="52" t="e">
        <f t="shared" si="38"/>
        <v>#REF!</v>
      </c>
      <c r="V35" s="52" t="e">
        <f t="shared" si="31"/>
        <v>#REF!</v>
      </c>
      <c r="W35" s="52" t="e">
        <f t="shared" si="31"/>
        <v>#REF!</v>
      </c>
      <c r="X35" s="52" t="e">
        <f t="shared" si="31"/>
        <v>#REF!</v>
      </c>
      <c r="Y35" s="52" t="e">
        <f t="shared" si="31"/>
        <v>#REF!</v>
      </c>
      <c r="Z35" s="52" t="e">
        <f t="shared" si="31"/>
        <v>#REF!</v>
      </c>
      <c r="AA35" s="52"/>
      <c r="AB35" s="40" t="s">
        <v>355</v>
      </c>
      <c r="AC35" s="110">
        <v>30</v>
      </c>
      <c r="AD35" s="40">
        <v>0.3</v>
      </c>
    </row>
    <row r="36" spans="1:30" x14ac:dyDescent="0.2">
      <c r="A36" s="40" t="s">
        <v>2637</v>
      </c>
      <c r="B36" s="40" t="s">
        <v>2671</v>
      </c>
      <c r="C36" s="40" t="s">
        <v>1254</v>
      </c>
      <c r="D36" s="52" t="e">
        <f>#REF!</f>
        <v>#REF!</v>
      </c>
      <c r="E36" s="52" t="e">
        <f>1/((1/#REF!*$AD$23+1/#REF!*$AD$24)/SUM($AD$23+$AD$24))</f>
        <v>#REF!</v>
      </c>
      <c r="F36" s="52" t="e">
        <f>1/((1/#REF!*$AE$23+1/#REF!*$AE$24)/SUM($AE$23+$AE$24))</f>
        <v>#REF!</v>
      </c>
      <c r="G36" s="52" t="e">
        <f>1/((1/#REF!*$AF$23+1/#REF!*$AF$24)/SUM($AF$23+$AF$24))</f>
        <v>#REF!</v>
      </c>
      <c r="H36" s="52" t="e">
        <f>1/((1/#REF!*$AG$23+1/#REF!*$AG$24)/SUM($AG$23+$AG$24))</f>
        <v>#REF!</v>
      </c>
      <c r="I36" s="52" t="e">
        <f>1/((1/#REF!*$AH$23+1/#REF!*$AH$24)/SUM($AH$23+$AH$24))</f>
        <v>#REF!</v>
      </c>
      <c r="J36" s="52" t="e">
        <f>1/((1/#REF!*$AI$23+1/#REF!*$AI$24)/SUM($AI$23+$AI$24))</f>
        <v>#REF!</v>
      </c>
      <c r="K36" s="52" t="e">
        <f>1/((1/#REF!*$AJ$23+1/#REF!*$AJ$24)/SUM($AJ$23+$AJ$24))</f>
        <v>#REF!</v>
      </c>
      <c r="L36" s="52" t="e">
        <f t="shared" si="33"/>
        <v>#REF!</v>
      </c>
      <c r="M36" s="52" t="e">
        <f t="shared" si="33"/>
        <v>#REF!</v>
      </c>
      <c r="N36" s="52" t="e">
        <f t="shared" si="33"/>
        <v>#REF!</v>
      </c>
      <c r="O36" s="52"/>
      <c r="P36" s="52" t="e">
        <f>D36*AC$50</f>
        <v>#REF!</v>
      </c>
      <c r="Q36" s="52" t="e">
        <f t="shared" si="38"/>
        <v>#REF!</v>
      </c>
      <c r="R36" s="52" t="e">
        <f t="shared" si="38"/>
        <v>#REF!</v>
      </c>
      <c r="S36" s="52" t="e">
        <f t="shared" si="38"/>
        <v>#REF!</v>
      </c>
      <c r="T36" s="52" t="e">
        <f t="shared" si="38"/>
        <v>#REF!</v>
      </c>
      <c r="U36" s="52" t="e">
        <f t="shared" si="38"/>
        <v>#REF!</v>
      </c>
      <c r="V36" s="52" t="e">
        <f t="shared" si="31"/>
        <v>#REF!</v>
      </c>
      <c r="W36" s="52" t="e">
        <f t="shared" si="31"/>
        <v>#REF!</v>
      </c>
      <c r="X36" s="52" t="e">
        <f t="shared" si="31"/>
        <v>#REF!</v>
      </c>
      <c r="Y36" s="52" t="e">
        <f t="shared" si="31"/>
        <v>#REF!</v>
      </c>
      <c r="Z36" s="52" t="e">
        <f t="shared" si="31"/>
        <v>#REF!</v>
      </c>
      <c r="AA36" s="52"/>
      <c r="AB36" s="40" t="s">
        <v>356</v>
      </c>
      <c r="AC36" s="110">
        <v>37</v>
      </c>
      <c r="AD36" s="40">
        <v>0.37</v>
      </c>
    </row>
    <row r="37" spans="1:30" x14ac:dyDescent="0.2">
      <c r="A37" s="40" t="s">
        <v>2637</v>
      </c>
      <c r="B37" s="40" t="s">
        <v>2674</v>
      </c>
      <c r="C37" s="40" t="s">
        <v>1275</v>
      </c>
      <c r="D37" s="52" t="e">
        <f>1/((1/#REF!*$AC$23+1/#REF!*$AC$24)/SUM($AC$23+$AC$24))</f>
        <v>#REF!</v>
      </c>
      <c r="E37" s="52" t="e">
        <f>1/((1/#REF!*$AD$23+1/#REF!*$AD$24)/SUM($AD$23+$AD$24))</f>
        <v>#REF!</v>
      </c>
      <c r="F37" s="52" t="e">
        <f>1/((1/#REF!*$AE$23+1/#REF!*$AE$24)/SUM($AE$23+$AE$24))</f>
        <v>#REF!</v>
      </c>
      <c r="G37" s="52" t="e">
        <f>1/((1/#REF!*$AF$23+1/#REF!*$AF$24)/SUM($AF$23+$AF$24))</f>
        <v>#REF!</v>
      </c>
      <c r="H37" s="52" t="e">
        <f>1/((1/#REF!*$AG$23+1/#REF!*$AG$24)/SUM($AG$23+$AG$24))</f>
        <v>#REF!</v>
      </c>
      <c r="I37" s="52" t="e">
        <f>1/((1/#REF!*$AH$23+1/#REF!*$AH$24)/SUM($AH$23+$AH$24))</f>
        <v>#REF!</v>
      </c>
      <c r="J37" s="52" t="e">
        <f>1/((1/#REF!*$AI$23+1/#REF!*$AI$24)/SUM($AI$23+$AI$24))</f>
        <v>#REF!</v>
      </c>
      <c r="K37" s="52" t="e">
        <f>1/((1/#REF!*$AJ$23+1/#REF!*$AJ$24)/SUM($AJ$23+$AJ$24))</f>
        <v>#REF!</v>
      </c>
      <c r="L37" s="52" t="e">
        <f t="shared" si="33"/>
        <v>#REF!</v>
      </c>
      <c r="M37" s="52" t="e">
        <f t="shared" si="33"/>
        <v>#REF!</v>
      </c>
      <c r="N37" s="52" t="e">
        <f t="shared" si="33"/>
        <v>#REF!</v>
      </c>
      <c r="O37" s="52"/>
      <c r="P37" s="52" t="e">
        <f>D37*AC$50</f>
        <v>#REF!</v>
      </c>
      <c r="Q37" s="52" t="e">
        <f t="shared" si="38"/>
        <v>#REF!</v>
      </c>
      <c r="R37" s="52" t="e">
        <f t="shared" si="38"/>
        <v>#REF!</v>
      </c>
      <c r="S37" s="52" t="e">
        <f t="shared" si="38"/>
        <v>#REF!</v>
      </c>
      <c r="T37" s="52" t="e">
        <f t="shared" si="38"/>
        <v>#REF!</v>
      </c>
      <c r="U37" s="52" t="e">
        <f t="shared" si="38"/>
        <v>#REF!</v>
      </c>
      <c r="V37" s="52" t="e">
        <f t="shared" si="31"/>
        <v>#REF!</v>
      </c>
      <c r="W37" s="52" t="e">
        <f t="shared" si="31"/>
        <v>#REF!</v>
      </c>
      <c r="X37" s="52" t="e">
        <f t="shared" si="31"/>
        <v>#REF!</v>
      </c>
      <c r="Y37" s="52" t="e">
        <f t="shared" si="31"/>
        <v>#REF!</v>
      </c>
      <c r="Z37" s="52" t="e">
        <f t="shared" si="31"/>
        <v>#REF!</v>
      </c>
      <c r="AA37" s="52"/>
    </row>
    <row r="38" spans="1:30" x14ac:dyDescent="0.2">
      <c r="A38" s="40" t="s">
        <v>2637</v>
      </c>
      <c r="B38" s="40" t="s">
        <v>2675</v>
      </c>
      <c r="C38" s="40" t="s">
        <v>1298</v>
      </c>
      <c r="D38" s="52"/>
      <c r="E38" s="52" t="e">
        <f t="shared" ref="E38:K38" si="39">E36*$AC$44</f>
        <v>#REF!</v>
      </c>
      <c r="F38" s="52" t="e">
        <f t="shared" si="39"/>
        <v>#REF!</v>
      </c>
      <c r="G38" s="52" t="e">
        <f t="shared" si="39"/>
        <v>#REF!</v>
      </c>
      <c r="H38" s="52" t="e">
        <f t="shared" si="39"/>
        <v>#REF!</v>
      </c>
      <c r="I38" s="52" t="e">
        <f t="shared" si="39"/>
        <v>#REF!</v>
      </c>
      <c r="J38" s="52" t="e">
        <f t="shared" si="39"/>
        <v>#REF!</v>
      </c>
      <c r="K38" s="52" t="e">
        <f t="shared" si="39"/>
        <v>#REF!</v>
      </c>
      <c r="L38" s="52" t="e">
        <f t="shared" si="33"/>
        <v>#REF!</v>
      </c>
      <c r="M38" s="52" t="e">
        <f t="shared" si="33"/>
        <v>#REF!</v>
      </c>
      <c r="N38" s="52" t="e">
        <f t="shared" si="33"/>
        <v>#REF!</v>
      </c>
      <c r="O38" s="52"/>
      <c r="P38" s="52"/>
      <c r="Q38" s="52" t="e">
        <f>E38*AD$50</f>
        <v>#REF!</v>
      </c>
      <c r="R38" s="52" t="e">
        <f>F38*AE$50</f>
        <v>#REF!</v>
      </c>
      <c r="S38" s="52" t="e">
        <f>G38*AF$50</f>
        <v>#REF!</v>
      </c>
      <c r="T38" s="52" t="e">
        <f>H38*AG$50</f>
        <v>#REF!</v>
      </c>
      <c r="U38" s="52" t="e">
        <f>I38*AH$50</f>
        <v>#REF!</v>
      </c>
      <c r="V38" s="52" t="e">
        <f t="shared" si="31"/>
        <v>#REF!</v>
      </c>
      <c r="W38" s="52" t="e">
        <f t="shared" si="31"/>
        <v>#REF!</v>
      </c>
      <c r="X38" s="52" t="e">
        <f t="shared" si="31"/>
        <v>#REF!</v>
      </c>
      <c r="Y38" s="52" t="e">
        <f t="shared" si="31"/>
        <v>#REF!</v>
      </c>
      <c r="Z38" s="52" t="e">
        <f t="shared" si="31"/>
        <v>#REF!</v>
      </c>
      <c r="AA38" s="52"/>
    </row>
    <row r="39" spans="1:30" x14ac:dyDescent="0.2">
      <c r="A39" s="40" t="s">
        <v>2587</v>
      </c>
      <c r="B39" s="40" t="s">
        <v>2661</v>
      </c>
      <c r="C39" s="40" t="s">
        <v>2699</v>
      </c>
      <c r="D39" s="52" t="e">
        <f t="shared" ref="D39:I39" si="40">D45*(1+$AD$36)</f>
        <v>#REF!</v>
      </c>
      <c r="E39" s="52" t="e">
        <f t="shared" si="40"/>
        <v>#REF!</v>
      </c>
      <c r="F39" s="52" t="e">
        <f t="shared" si="40"/>
        <v>#REF!</v>
      </c>
      <c r="G39" s="52" t="e">
        <f t="shared" si="40"/>
        <v>#REF!</v>
      </c>
      <c r="H39" s="52" t="e">
        <f t="shared" si="40"/>
        <v>#REF!</v>
      </c>
      <c r="I39" s="52" t="e">
        <f t="shared" si="40"/>
        <v>#REF!</v>
      </c>
      <c r="J39" s="52" t="e">
        <f>J45*(1+$AD$36)</f>
        <v>#REF!</v>
      </c>
      <c r="K39" s="52" t="e">
        <f>K45*(1+$AD$36)</f>
        <v>#REF!</v>
      </c>
      <c r="L39" s="52" t="e">
        <f t="shared" si="33"/>
        <v>#REF!</v>
      </c>
      <c r="M39" s="52" t="e">
        <f t="shared" si="33"/>
        <v>#REF!</v>
      </c>
      <c r="N39" s="52" t="e">
        <f t="shared" si="33"/>
        <v>#REF!</v>
      </c>
      <c r="O39" s="52"/>
      <c r="P39" s="52" t="e">
        <f t="shared" ref="P39:U39" si="41">D39*AC$51</f>
        <v>#REF!</v>
      </c>
      <c r="Q39" s="52" t="e">
        <f t="shared" si="41"/>
        <v>#REF!</v>
      </c>
      <c r="R39" s="52" t="e">
        <f t="shared" si="41"/>
        <v>#REF!</v>
      </c>
      <c r="S39" s="52" t="e">
        <f t="shared" si="41"/>
        <v>#REF!</v>
      </c>
      <c r="T39" s="52" t="e">
        <f t="shared" si="41"/>
        <v>#REF!</v>
      </c>
      <c r="U39" s="52" t="e">
        <f t="shared" si="41"/>
        <v>#REF!</v>
      </c>
      <c r="V39" s="52" t="e">
        <f t="shared" ref="V39:V41" si="42">J39*AI$51</f>
        <v>#REF!</v>
      </c>
      <c r="W39" s="52" t="e">
        <f t="shared" ref="W39:W41" si="43">K39*AJ$51</f>
        <v>#REF!</v>
      </c>
      <c r="X39" s="52" t="e">
        <f t="shared" ref="X39:X41" si="44">L39*AK$51</f>
        <v>#REF!</v>
      </c>
      <c r="Y39" s="52" t="e">
        <f t="shared" ref="Y39:Y41" si="45">M39*AL$51</f>
        <v>#REF!</v>
      </c>
      <c r="Z39" s="52" t="e">
        <f t="shared" ref="Z39:Z41" si="46">N39*AM$51</f>
        <v>#REF!</v>
      </c>
      <c r="AA39" s="52"/>
    </row>
    <row r="40" spans="1:30" x14ac:dyDescent="0.2">
      <c r="A40" s="40" t="s">
        <v>2587</v>
      </c>
      <c r="B40" s="40" t="s">
        <v>2664</v>
      </c>
      <c r="C40" s="40" t="s">
        <v>1983</v>
      </c>
      <c r="D40" s="52" t="s">
        <v>2715</v>
      </c>
      <c r="E40" s="52" t="s">
        <v>2715</v>
      </c>
      <c r="F40" s="52" t="s">
        <v>2715</v>
      </c>
      <c r="G40" s="52" t="e">
        <f>#REF!</f>
        <v>#REF!</v>
      </c>
      <c r="H40" s="52" t="e">
        <f>#REF!</f>
        <v>#REF!</v>
      </c>
      <c r="I40" s="52" t="e">
        <f>#REF!</f>
        <v>#REF!</v>
      </c>
      <c r="J40" s="52" t="e">
        <f>#REF!</f>
        <v>#REF!</v>
      </c>
      <c r="K40" s="52" t="e">
        <f>#REF!</f>
        <v>#REF!</v>
      </c>
      <c r="L40" s="52" t="e">
        <f t="shared" si="33"/>
        <v>#REF!</v>
      </c>
      <c r="M40" s="52" t="e">
        <f t="shared" si="33"/>
        <v>#REF!</v>
      </c>
      <c r="N40" s="52" t="e">
        <f t="shared" si="33"/>
        <v>#REF!</v>
      </c>
      <c r="O40" s="52"/>
      <c r="P40" s="52"/>
      <c r="Q40" s="52"/>
      <c r="R40" s="52"/>
      <c r="S40" s="52" t="e">
        <f t="shared" ref="S40:U41" si="47">G40*AF$51</f>
        <v>#REF!</v>
      </c>
      <c r="T40" s="52" t="e">
        <f t="shared" si="47"/>
        <v>#REF!</v>
      </c>
      <c r="U40" s="52" t="e">
        <f t="shared" si="47"/>
        <v>#REF!</v>
      </c>
      <c r="V40" s="52" t="e">
        <f t="shared" si="42"/>
        <v>#REF!</v>
      </c>
      <c r="W40" s="52" t="e">
        <f t="shared" si="43"/>
        <v>#REF!</v>
      </c>
      <c r="X40" s="52" t="e">
        <f t="shared" si="44"/>
        <v>#REF!</v>
      </c>
      <c r="Y40" s="52" t="e">
        <f t="shared" si="45"/>
        <v>#REF!</v>
      </c>
      <c r="Z40" s="52" t="e">
        <f t="shared" si="46"/>
        <v>#REF!</v>
      </c>
      <c r="AA40" s="52"/>
    </row>
    <row r="41" spans="1:30" x14ac:dyDescent="0.2">
      <c r="A41" s="40" t="s">
        <v>2587</v>
      </c>
      <c r="B41" s="40" t="s">
        <v>477</v>
      </c>
      <c r="C41" s="40" t="s">
        <v>1998</v>
      </c>
      <c r="D41" s="52" t="e">
        <f>#REF!</f>
        <v>#REF!</v>
      </c>
      <c r="E41" s="52" t="e">
        <f>#REF!</f>
        <v>#REF!</v>
      </c>
      <c r="F41" s="52" t="e">
        <f>#REF!</f>
        <v>#REF!</v>
      </c>
      <c r="G41" s="52" t="e">
        <f>#REF!</f>
        <v>#REF!</v>
      </c>
      <c r="H41" s="52" t="e">
        <f>#REF!</f>
        <v>#REF!</v>
      </c>
      <c r="I41" s="52" t="e">
        <f>#REF!</f>
        <v>#REF!</v>
      </c>
      <c r="J41" s="52" t="e">
        <f>#REF!</f>
        <v>#REF!</v>
      </c>
      <c r="K41" s="52" t="e">
        <f>#REF!</f>
        <v>#REF!</v>
      </c>
      <c r="L41" s="52" t="e">
        <f t="shared" si="33"/>
        <v>#REF!</v>
      </c>
      <c r="M41" s="52" t="e">
        <f t="shared" si="33"/>
        <v>#REF!</v>
      </c>
      <c r="N41" s="52" t="e">
        <f t="shared" si="33"/>
        <v>#REF!</v>
      </c>
      <c r="O41" s="52"/>
      <c r="P41" s="52" t="e">
        <f>D41*AC$51</f>
        <v>#REF!</v>
      </c>
      <c r="Q41" s="52" t="e">
        <f>E41*AD$51</f>
        <v>#REF!</v>
      </c>
      <c r="R41" s="52" t="e">
        <f>F41*AE$51</f>
        <v>#REF!</v>
      </c>
      <c r="S41" s="52" t="e">
        <f t="shared" si="47"/>
        <v>#REF!</v>
      </c>
      <c r="T41" s="52" t="e">
        <f t="shared" si="47"/>
        <v>#REF!</v>
      </c>
      <c r="U41" s="52" t="e">
        <f t="shared" si="47"/>
        <v>#REF!</v>
      </c>
      <c r="V41" s="52" t="e">
        <f t="shared" si="42"/>
        <v>#REF!</v>
      </c>
      <c r="W41" s="52" t="e">
        <f t="shared" si="43"/>
        <v>#REF!</v>
      </c>
      <c r="X41" s="52" t="e">
        <f t="shared" si="44"/>
        <v>#REF!</v>
      </c>
      <c r="Y41" s="52" t="e">
        <f t="shared" si="45"/>
        <v>#REF!</v>
      </c>
      <c r="Z41" s="52" t="e">
        <f t="shared" si="46"/>
        <v>#REF!</v>
      </c>
      <c r="AA41" s="52"/>
      <c r="AB41" s="107" t="s">
        <v>2700</v>
      </c>
      <c r="AC41" s="93" t="s">
        <v>2714</v>
      </c>
    </row>
    <row r="42" spans="1:30" x14ac:dyDescent="0.2">
      <c r="A42" s="40" t="s">
        <v>2587</v>
      </c>
      <c r="B42" s="40" t="s">
        <v>2665</v>
      </c>
      <c r="C42" s="40" t="s">
        <v>777</v>
      </c>
      <c r="K42" s="52"/>
      <c r="L42" s="52"/>
      <c r="M42" s="52"/>
      <c r="N42" s="52"/>
      <c r="V42" s="52" t="e">
        <f t="shared" ref="V42:V53" si="48">J41*AI$51</f>
        <v>#REF!</v>
      </c>
      <c r="W42" s="52" t="e">
        <f t="shared" ref="W42" si="49">K41*AJ$51</f>
        <v>#REF!</v>
      </c>
      <c r="X42" s="52" t="e">
        <f t="shared" ref="X42" si="50">L41*AK$51</f>
        <v>#REF!</v>
      </c>
      <c r="Y42" s="52" t="e">
        <f t="shared" ref="Y42" si="51">M41*AL$51</f>
        <v>#REF!</v>
      </c>
      <c r="Z42" s="52" t="e">
        <f t="shared" ref="Z42" si="52">N41*AM$51</f>
        <v>#REF!</v>
      </c>
      <c r="AA42" s="52"/>
      <c r="AB42" s="40" t="s">
        <v>355</v>
      </c>
      <c r="AC42" s="93">
        <v>186</v>
      </c>
      <c r="AD42" s="40">
        <v>1.86</v>
      </c>
    </row>
    <row r="43" spans="1:30" x14ac:dyDescent="0.2">
      <c r="A43" s="40" t="s">
        <v>2587</v>
      </c>
      <c r="B43" s="40" t="s">
        <v>2666</v>
      </c>
      <c r="C43" s="40" t="s">
        <v>2021</v>
      </c>
      <c r="D43" s="52" t="e">
        <f>#REF!</f>
        <v>#REF!</v>
      </c>
      <c r="E43" s="52" t="e">
        <f>#REF!</f>
        <v>#REF!</v>
      </c>
      <c r="F43" s="52" t="e">
        <f>#REF!</f>
        <v>#REF!</v>
      </c>
      <c r="G43" s="52" t="e">
        <f>#REF!</f>
        <v>#REF!</v>
      </c>
      <c r="H43" s="52" t="e">
        <f>#REF!</f>
        <v>#REF!</v>
      </c>
      <c r="I43" s="52" t="e">
        <f>#REF!</f>
        <v>#REF!</v>
      </c>
      <c r="J43" s="52" t="e">
        <f>#REF!</f>
        <v>#REF!</v>
      </c>
      <c r="K43" s="52" t="e">
        <f>#REF!</f>
        <v>#REF!</v>
      </c>
      <c r="L43" s="52" t="e">
        <f t="shared" ref="L43:N52" si="53">K43</f>
        <v>#REF!</v>
      </c>
      <c r="M43" s="52" t="e">
        <f t="shared" si="53"/>
        <v>#REF!</v>
      </c>
      <c r="N43" s="52" t="e">
        <f t="shared" si="53"/>
        <v>#REF!</v>
      </c>
      <c r="O43" s="52"/>
      <c r="P43" s="52" t="e">
        <f t="shared" ref="P43:U43" si="54">D43*AC$51</f>
        <v>#REF!</v>
      </c>
      <c r="Q43" s="52" t="e">
        <f t="shared" si="54"/>
        <v>#REF!</v>
      </c>
      <c r="R43" s="52" t="e">
        <f t="shared" si="54"/>
        <v>#REF!</v>
      </c>
      <c r="S43" s="52" t="e">
        <f t="shared" si="54"/>
        <v>#REF!</v>
      </c>
      <c r="T43" s="52" t="e">
        <f t="shared" si="54"/>
        <v>#REF!</v>
      </c>
      <c r="U43" s="52" t="e">
        <f t="shared" si="54"/>
        <v>#REF!</v>
      </c>
      <c r="V43" s="52" t="e">
        <f t="shared" ref="V43:V52" si="55">J43*AI$51</f>
        <v>#REF!</v>
      </c>
      <c r="W43" s="52" t="e">
        <f t="shared" ref="W43:W52" si="56">K43*AJ$51</f>
        <v>#REF!</v>
      </c>
      <c r="X43" s="52" t="e">
        <f t="shared" ref="X43:X52" si="57">L43*AK$51</f>
        <v>#REF!</v>
      </c>
      <c r="Y43" s="52" t="e">
        <f t="shared" ref="Y43:Y52" si="58">M43*AL$51</f>
        <v>#REF!</v>
      </c>
      <c r="Z43" s="52" t="e">
        <f t="shared" ref="Z43:Z52" si="59">N43*AM$51</f>
        <v>#REF!</v>
      </c>
      <c r="AA43" s="52"/>
      <c r="AB43" s="40" t="s">
        <v>356</v>
      </c>
      <c r="AC43" s="93">
        <v>187</v>
      </c>
      <c r="AD43" s="40">
        <v>1.87</v>
      </c>
    </row>
    <row r="44" spans="1:30" x14ac:dyDescent="0.2">
      <c r="A44" s="40" t="s">
        <v>2587</v>
      </c>
      <c r="B44" s="40" t="s">
        <v>2667</v>
      </c>
      <c r="C44" s="40" t="s">
        <v>2044</v>
      </c>
      <c r="D44" s="52"/>
      <c r="E44" s="52"/>
      <c r="F44" s="52"/>
      <c r="G44" s="52"/>
      <c r="H44" s="52" t="e">
        <f>#REF!</f>
        <v>#REF!</v>
      </c>
      <c r="I44" s="52" t="e">
        <f>#REF!</f>
        <v>#REF!</v>
      </c>
      <c r="J44" s="52" t="e">
        <f>#REF!</f>
        <v>#REF!</v>
      </c>
      <c r="K44" s="52" t="e">
        <f>#REF!</f>
        <v>#REF!</v>
      </c>
      <c r="L44" s="52" t="e">
        <f t="shared" si="53"/>
        <v>#REF!</v>
      </c>
      <c r="M44" s="52" t="e">
        <f t="shared" si="53"/>
        <v>#REF!</v>
      </c>
      <c r="N44" s="52" t="e">
        <f t="shared" si="53"/>
        <v>#REF!</v>
      </c>
      <c r="O44" s="52"/>
      <c r="P44" s="52"/>
      <c r="Q44" s="52"/>
      <c r="R44" s="52"/>
      <c r="S44" s="52"/>
      <c r="T44" s="52" t="e">
        <f t="shared" ref="T44:T52" si="60">H44*AG$51</f>
        <v>#REF!</v>
      </c>
      <c r="U44" s="52" t="e">
        <f t="shared" ref="U44:U52" si="61">I44*AH$51</f>
        <v>#REF!</v>
      </c>
      <c r="V44" s="52" t="e">
        <f t="shared" si="55"/>
        <v>#REF!</v>
      </c>
      <c r="W44" s="52" t="e">
        <f t="shared" si="56"/>
        <v>#REF!</v>
      </c>
      <c r="X44" s="52" t="e">
        <f t="shared" si="57"/>
        <v>#REF!</v>
      </c>
      <c r="Y44" s="52" t="e">
        <f t="shared" si="58"/>
        <v>#REF!</v>
      </c>
      <c r="Z44" s="52" t="e">
        <f t="shared" si="59"/>
        <v>#REF!</v>
      </c>
      <c r="AA44" s="52"/>
      <c r="AB44" s="40" t="s">
        <v>2716</v>
      </c>
      <c r="AC44" s="52">
        <f>'OTAQ Car'!AF22</f>
        <v>1.4695689070475875</v>
      </c>
      <c r="AD44" s="40" t="s">
        <v>2717</v>
      </c>
    </row>
    <row r="45" spans="1:30" x14ac:dyDescent="0.2">
      <c r="A45" s="40" t="s">
        <v>2587</v>
      </c>
      <c r="B45" s="40" t="s">
        <v>2670</v>
      </c>
      <c r="C45" s="40" t="s">
        <v>1960</v>
      </c>
      <c r="D45" s="52" t="e">
        <f>#REF!</f>
        <v>#REF!</v>
      </c>
      <c r="E45" s="52" t="e">
        <f>#REF!</f>
        <v>#REF!</v>
      </c>
      <c r="F45" s="52" t="e">
        <f>#REF!</f>
        <v>#REF!</v>
      </c>
      <c r="G45" s="52" t="e">
        <f>#REF!</f>
        <v>#REF!</v>
      </c>
      <c r="H45" s="52" t="e">
        <f>#REF!</f>
        <v>#REF!</v>
      </c>
      <c r="I45" s="52" t="e">
        <f>#REF!</f>
        <v>#REF!</v>
      </c>
      <c r="J45" s="52" t="e">
        <f>#REF!</f>
        <v>#REF!</v>
      </c>
      <c r="K45" s="52" t="e">
        <f>#REF!</f>
        <v>#REF!</v>
      </c>
      <c r="L45" s="52" t="e">
        <f t="shared" si="53"/>
        <v>#REF!</v>
      </c>
      <c r="M45" s="52" t="e">
        <f t="shared" si="53"/>
        <v>#REF!</v>
      </c>
      <c r="N45" s="52" t="e">
        <f t="shared" si="53"/>
        <v>#REF!</v>
      </c>
      <c r="O45" s="52"/>
      <c r="P45" s="52" t="e">
        <f>D45*AC$51</f>
        <v>#REF!</v>
      </c>
      <c r="Q45" s="52" t="e">
        <f t="shared" ref="Q45:S46" si="62">E45*AD$51</f>
        <v>#REF!</v>
      </c>
      <c r="R45" s="52" t="e">
        <f t="shared" si="62"/>
        <v>#REF!</v>
      </c>
      <c r="S45" s="52" t="e">
        <f t="shared" si="62"/>
        <v>#REF!</v>
      </c>
      <c r="T45" s="52" t="e">
        <f t="shared" si="60"/>
        <v>#REF!</v>
      </c>
      <c r="U45" s="52" t="e">
        <f t="shared" si="61"/>
        <v>#REF!</v>
      </c>
      <c r="V45" s="52" t="e">
        <f t="shared" si="55"/>
        <v>#REF!</v>
      </c>
      <c r="W45" s="52" t="e">
        <f t="shared" si="56"/>
        <v>#REF!</v>
      </c>
      <c r="X45" s="52" t="e">
        <f t="shared" si="57"/>
        <v>#REF!</v>
      </c>
      <c r="Y45" s="52" t="e">
        <f t="shared" si="58"/>
        <v>#REF!</v>
      </c>
      <c r="Z45" s="52" t="e">
        <f t="shared" si="59"/>
        <v>#REF!</v>
      </c>
      <c r="AA45" s="52"/>
      <c r="AB45" s="40" t="s">
        <v>2718</v>
      </c>
      <c r="AC45" s="52" t="e">
        <f>#REF!</f>
        <v>#REF!</v>
      </c>
      <c r="AD45" s="40" t="s">
        <v>2719</v>
      </c>
    </row>
    <row r="46" spans="1:30" x14ac:dyDescent="0.2">
      <c r="A46" s="40" t="s">
        <v>2587</v>
      </c>
      <c r="B46" s="40" t="s">
        <v>2671</v>
      </c>
      <c r="C46" s="40" t="s">
        <v>2057</v>
      </c>
      <c r="D46" s="52" t="e">
        <f>#REF!</f>
        <v>#REF!</v>
      </c>
      <c r="E46" s="52" t="e">
        <f>#REF!</f>
        <v>#REF!</v>
      </c>
      <c r="F46" s="52" t="e">
        <f>#REF!</f>
        <v>#REF!</v>
      </c>
      <c r="G46" s="52" t="e">
        <f>#REF!</f>
        <v>#REF!</v>
      </c>
      <c r="H46" s="52" t="e">
        <f>#REF!</f>
        <v>#REF!</v>
      </c>
      <c r="I46" s="52" t="e">
        <f>#REF!</f>
        <v>#REF!</v>
      </c>
      <c r="J46" s="52" t="e">
        <f>#REF!</f>
        <v>#REF!</v>
      </c>
      <c r="K46" s="52" t="e">
        <f>#REF!</f>
        <v>#REF!</v>
      </c>
      <c r="L46" s="52" t="e">
        <f t="shared" si="53"/>
        <v>#REF!</v>
      </c>
      <c r="M46" s="52" t="e">
        <f t="shared" si="53"/>
        <v>#REF!</v>
      </c>
      <c r="N46" s="52" t="e">
        <f t="shared" si="53"/>
        <v>#REF!</v>
      </c>
      <c r="O46" s="52"/>
      <c r="P46" s="52" t="e">
        <f>D46*AC$51</f>
        <v>#REF!</v>
      </c>
      <c r="Q46" s="52" t="e">
        <f t="shared" si="62"/>
        <v>#REF!</v>
      </c>
      <c r="R46" s="52" t="e">
        <f t="shared" si="62"/>
        <v>#REF!</v>
      </c>
      <c r="S46" s="52" t="e">
        <f t="shared" si="62"/>
        <v>#REF!</v>
      </c>
      <c r="T46" s="52" t="e">
        <f t="shared" si="60"/>
        <v>#REF!</v>
      </c>
      <c r="U46" s="52" t="e">
        <f t="shared" si="61"/>
        <v>#REF!</v>
      </c>
      <c r="V46" s="52" t="e">
        <f t="shared" si="55"/>
        <v>#REF!</v>
      </c>
      <c r="W46" s="52" t="e">
        <f t="shared" si="56"/>
        <v>#REF!</v>
      </c>
      <c r="X46" s="52" t="e">
        <f t="shared" si="57"/>
        <v>#REF!</v>
      </c>
      <c r="Y46" s="52" t="e">
        <f t="shared" si="58"/>
        <v>#REF!</v>
      </c>
      <c r="Z46" s="52" t="e">
        <f t="shared" si="59"/>
        <v>#REF!</v>
      </c>
      <c r="AA46" s="52"/>
    </row>
    <row r="47" spans="1:30" x14ac:dyDescent="0.2">
      <c r="A47" s="40" t="s">
        <v>2587</v>
      </c>
      <c r="B47" s="40" t="s">
        <v>2675</v>
      </c>
      <c r="C47" s="40" t="s">
        <v>2080</v>
      </c>
      <c r="D47" s="52"/>
      <c r="E47" s="52" t="e">
        <f t="shared" ref="E47:K47" si="63">E46*$AC$45</f>
        <v>#REF!</v>
      </c>
      <c r="F47" s="52" t="e">
        <f t="shared" si="63"/>
        <v>#REF!</v>
      </c>
      <c r="G47" s="52" t="e">
        <f t="shared" si="63"/>
        <v>#REF!</v>
      </c>
      <c r="H47" s="52" t="e">
        <f t="shared" si="63"/>
        <v>#REF!</v>
      </c>
      <c r="I47" s="52" t="e">
        <f t="shared" si="63"/>
        <v>#REF!</v>
      </c>
      <c r="J47" s="52" t="e">
        <f t="shared" si="63"/>
        <v>#REF!</v>
      </c>
      <c r="K47" s="52" t="e">
        <f t="shared" si="63"/>
        <v>#REF!</v>
      </c>
      <c r="L47" s="52" t="e">
        <f t="shared" si="53"/>
        <v>#REF!</v>
      </c>
      <c r="M47" s="52" t="e">
        <f t="shared" si="53"/>
        <v>#REF!</v>
      </c>
      <c r="N47" s="52" t="e">
        <f t="shared" si="53"/>
        <v>#REF!</v>
      </c>
      <c r="O47" s="52"/>
      <c r="P47" s="52"/>
      <c r="Q47" s="52" t="e">
        <f t="shared" ref="Q47:S50" si="64">E47*AD$51</f>
        <v>#REF!</v>
      </c>
      <c r="R47" s="52" t="e">
        <f t="shared" si="64"/>
        <v>#REF!</v>
      </c>
      <c r="S47" s="52" t="e">
        <f t="shared" si="64"/>
        <v>#REF!</v>
      </c>
      <c r="T47" s="52" t="e">
        <f t="shared" si="60"/>
        <v>#REF!</v>
      </c>
      <c r="U47" s="52" t="e">
        <f t="shared" si="61"/>
        <v>#REF!</v>
      </c>
      <c r="V47" s="52" t="e">
        <f t="shared" si="55"/>
        <v>#REF!</v>
      </c>
      <c r="W47" s="52" t="e">
        <f t="shared" si="56"/>
        <v>#REF!</v>
      </c>
      <c r="X47" s="52" t="e">
        <f t="shared" si="57"/>
        <v>#REF!</v>
      </c>
      <c r="Y47" s="52" t="e">
        <f t="shared" si="58"/>
        <v>#REF!</v>
      </c>
      <c r="Z47" s="52" t="e">
        <f t="shared" si="59"/>
        <v>#REF!</v>
      </c>
      <c r="AA47" s="52"/>
      <c r="AB47" s="40" t="s">
        <v>2720</v>
      </c>
    </row>
    <row r="48" spans="1:30" x14ac:dyDescent="0.2">
      <c r="A48" s="40" t="s">
        <v>478</v>
      </c>
      <c r="B48" s="40" t="s">
        <v>2661</v>
      </c>
      <c r="C48" s="40" t="s">
        <v>2701</v>
      </c>
      <c r="D48" s="52" t="e">
        <f t="shared" ref="D48:I48" si="65">D57*(1+$AD$36)</f>
        <v>#REF!</v>
      </c>
      <c r="E48" s="52" t="e">
        <f t="shared" si="65"/>
        <v>#REF!</v>
      </c>
      <c r="F48" s="52" t="e">
        <f t="shared" si="65"/>
        <v>#REF!</v>
      </c>
      <c r="G48" s="52" t="e">
        <f t="shared" si="65"/>
        <v>#REF!</v>
      </c>
      <c r="H48" s="52" t="e">
        <f t="shared" si="65"/>
        <v>#REF!</v>
      </c>
      <c r="I48" s="52" t="e">
        <f t="shared" si="65"/>
        <v>#REF!</v>
      </c>
      <c r="J48" s="52" t="e">
        <f>J57*(1+$AD$36)</f>
        <v>#REF!</v>
      </c>
      <c r="K48" s="52" t="e">
        <f>K57*(1+$AD$36)</f>
        <v>#REF!</v>
      </c>
      <c r="L48" s="52" t="e">
        <f t="shared" si="53"/>
        <v>#REF!</v>
      </c>
      <c r="M48" s="52" t="e">
        <f t="shared" si="53"/>
        <v>#REF!</v>
      </c>
      <c r="N48" s="52" t="e">
        <f t="shared" si="53"/>
        <v>#REF!</v>
      </c>
      <c r="O48" s="52"/>
      <c r="P48" s="52" t="e">
        <f>D48*AC$51</f>
        <v>#REF!</v>
      </c>
      <c r="Q48" s="52" t="e">
        <f t="shared" si="64"/>
        <v>#REF!</v>
      </c>
      <c r="R48" s="52" t="e">
        <f t="shared" si="64"/>
        <v>#REF!</v>
      </c>
      <c r="S48" s="52" t="e">
        <f t="shared" si="64"/>
        <v>#REF!</v>
      </c>
      <c r="T48" s="52" t="e">
        <f t="shared" si="60"/>
        <v>#REF!</v>
      </c>
      <c r="U48" s="52" t="e">
        <f t="shared" si="61"/>
        <v>#REF!</v>
      </c>
      <c r="V48" s="52" t="e">
        <f t="shared" si="55"/>
        <v>#REF!</v>
      </c>
      <c r="W48" s="52" t="e">
        <f t="shared" si="56"/>
        <v>#REF!</v>
      </c>
      <c r="X48" s="52" t="e">
        <f t="shared" si="57"/>
        <v>#REF!</v>
      </c>
      <c r="Y48" s="52" t="e">
        <f t="shared" si="58"/>
        <v>#REF!</v>
      </c>
      <c r="Z48" s="52" t="e">
        <f t="shared" si="59"/>
        <v>#REF!</v>
      </c>
      <c r="AA48" s="52"/>
      <c r="AB48" s="40" t="s">
        <v>2721</v>
      </c>
    </row>
    <row r="49" spans="1:58" x14ac:dyDescent="0.2">
      <c r="A49" s="40" t="s">
        <v>478</v>
      </c>
      <c r="B49" s="40" t="s">
        <v>334</v>
      </c>
      <c r="C49" s="40" t="s">
        <v>1340</v>
      </c>
      <c r="D49" s="52" t="e">
        <f>#REF!</f>
        <v>#REF!</v>
      </c>
      <c r="E49" s="52" t="e">
        <f>#REF!</f>
        <v>#REF!</v>
      </c>
      <c r="F49" s="52" t="e">
        <f>#REF!</f>
        <v>#REF!</v>
      </c>
      <c r="G49" s="52" t="e">
        <f>#REF!</f>
        <v>#REF!</v>
      </c>
      <c r="H49" s="52" t="e">
        <f>#REF!</f>
        <v>#REF!</v>
      </c>
      <c r="I49" s="52" t="e">
        <f>#REF!</f>
        <v>#REF!</v>
      </c>
      <c r="J49" s="52" t="e">
        <f>#REF!</f>
        <v>#REF!</v>
      </c>
      <c r="K49" s="52" t="e">
        <f>#REF!</f>
        <v>#REF!</v>
      </c>
      <c r="L49" s="52" t="e">
        <f t="shared" si="53"/>
        <v>#REF!</v>
      </c>
      <c r="M49" s="52" t="e">
        <f t="shared" si="53"/>
        <v>#REF!</v>
      </c>
      <c r="N49" s="52" t="e">
        <f t="shared" si="53"/>
        <v>#REF!</v>
      </c>
      <c r="O49" s="52"/>
      <c r="P49" s="52" t="e">
        <f>D49*AC$51</f>
        <v>#REF!</v>
      </c>
      <c r="Q49" s="52" t="e">
        <f t="shared" si="64"/>
        <v>#REF!</v>
      </c>
      <c r="R49" s="52" t="e">
        <f t="shared" si="64"/>
        <v>#REF!</v>
      </c>
      <c r="S49" s="52" t="e">
        <f t="shared" si="64"/>
        <v>#REF!</v>
      </c>
      <c r="T49" s="52" t="e">
        <f t="shared" si="60"/>
        <v>#REF!</v>
      </c>
      <c r="U49" s="52" t="e">
        <f t="shared" si="61"/>
        <v>#REF!</v>
      </c>
      <c r="V49" s="52" t="e">
        <f t="shared" si="55"/>
        <v>#REF!</v>
      </c>
      <c r="W49" s="52" t="e">
        <f t="shared" si="56"/>
        <v>#REF!</v>
      </c>
      <c r="X49" s="52" t="e">
        <f t="shared" si="57"/>
        <v>#REF!</v>
      </c>
      <c r="Y49" s="52" t="e">
        <f t="shared" si="58"/>
        <v>#REF!</v>
      </c>
      <c r="Z49" s="52" t="e">
        <f t="shared" si="59"/>
        <v>#REF!</v>
      </c>
      <c r="AA49" s="52"/>
      <c r="AC49" s="83">
        <v>2005</v>
      </c>
      <c r="AD49" s="83">
        <v>2010</v>
      </c>
      <c r="AE49" s="83">
        <v>2015</v>
      </c>
      <c r="AF49" s="83">
        <v>2020</v>
      </c>
      <c r="AG49" s="83">
        <v>2025</v>
      </c>
      <c r="AH49" s="83">
        <v>2030</v>
      </c>
      <c r="AI49" s="83">
        <v>2035</v>
      </c>
      <c r="AJ49" s="83">
        <v>2040</v>
      </c>
      <c r="AK49" s="83">
        <v>2045</v>
      </c>
      <c r="AL49" s="83">
        <v>2050</v>
      </c>
      <c r="AM49" s="83">
        <v>2055</v>
      </c>
    </row>
    <row r="50" spans="1:58" x14ac:dyDescent="0.2">
      <c r="A50" s="40" t="s">
        <v>478</v>
      </c>
      <c r="B50" s="40" t="s">
        <v>2663</v>
      </c>
      <c r="C50" s="40" t="s">
        <v>1363</v>
      </c>
      <c r="D50" s="52" t="e">
        <f>#REF!</f>
        <v>#REF!</v>
      </c>
      <c r="E50" s="52" t="e">
        <f>#REF!</f>
        <v>#REF!</v>
      </c>
      <c r="F50" s="52" t="e">
        <f>#REF!</f>
        <v>#REF!</v>
      </c>
      <c r="G50" s="52" t="e">
        <f>#REF!</f>
        <v>#REF!</v>
      </c>
      <c r="H50" s="52" t="e">
        <f>#REF!</f>
        <v>#REF!</v>
      </c>
      <c r="I50" s="52" t="e">
        <f>#REF!</f>
        <v>#REF!</v>
      </c>
      <c r="J50" s="52" t="e">
        <f>#REF!</f>
        <v>#REF!</v>
      </c>
      <c r="K50" s="52" t="e">
        <f>#REF!</f>
        <v>#REF!</v>
      </c>
      <c r="L50" s="52" t="e">
        <f t="shared" si="53"/>
        <v>#REF!</v>
      </c>
      <c r="M50" s="52" t="e">
        <f t="shared" si="53"/>
        <v>#REF!</v>
      </c>
      <c r="N50" s="52" t="e">
        <f t="shared" si="53"/>
        <v>#REF!</v>
      </c>
      <c r="O50" s="52"/>
      <c r="P50" s="52" t="e">
        <f>D50*AC$51</f>
        <v>#REF!</v>
      </c>
      <c r="Q50" s="52" t="e">
        <f t="shared" si="64"/>
        <v>#REF!</v>
      </c>
      <c r="R50" s="52" t="e">
        <f t="shared" si="64"/>
        <v>#REF!</v>
      </c>
      <c r="S50" s="52" t="e">
        <f t="shared" si="64"/>
        <v>#REF!</v>
      </c>
      <c r="T50" s="52" t="e">
        <f t="shared" si="60"/>
        <v>#REF!</v>
      </c>
      <c r="U50" s="52" t="e">
        <f t="shared" si="61"/>
        <v>#REF!</v>
      </c>
      <c r="V50" s="52" t="e">
        <f t="shared" si="55"/>
        <v>#REF!</v>
      </c>
      <c r="W50" s="52" t="e">
        <f t="shared" si="56"/>
        <v>#REF!</v>
      </c>
      <c r="X50" s="52" t="e">
        <f t="shared" si="57"/>
        <v>#REF!</v>
      </c>
      <c r="Y50" s="52" t="e">
        <f t="shared" si="58"/>
        <v>#REF!</v>
      </c>
      <c r="Z50" s="52" t="e">
        <f t="shared" si="59"/>
        <v>#REF!</v>
      </c>
      <c r="AA50" s="52"/>
      <c r="AB50" s="40" t="s">
        <v>2722</v>
      </c>
      <c r="AC50" s="111">
        <v>0.81251209974288896</v>
      </c>
      <c r="AD50" s="77">
        <v>0.81751200000000002</v>
      </c>
      <c r="AE50" s="77">
        <v>0.82251200000000002</v>
      </c>
      <c r="AF50" s="77">
        <v>0.82751200000000003</v>
      </c>
      <c r="AG50" s="77">
        <v>0.83251200000000003</v>
      </c>
      <c r="AH50" s="77">
        <v>0.83751200000000003</v>
      </c>
      <c r="AI50" s="77">
        <v>0.83751200000000003</v>
      </c>
      <c r="AJ50" s="111">
        <f t="shared" ref="AJ50:AL51" si="66">AI50</f>
        <v>0.83751200000000003</v>
      </c>
      <c r="AK50" s="111">
        <f t="shared" si="66"/>
        <v>0.83751200000000003</v>
      </c>
      <c r="AL50" s="111">
        <f t="shared" si="66"/>
        <v>0.83751200000000003</v>
      </c>
      <c r="AM50" s="111">
        <f>AL50</f>
        <v>0.83751200000000003</v>
      </c>
    </row>
    <row r="51" spans="1:58" x14ac:dyDescent="0.2">
      <c r="A51" s="40" t="s">
        <v>478</v>
      </c>
      <c r="B51" s="40" t="s">
        <v>2664</v>
      </c>
      <c r="C51" s="40" t="s">
        <v>1386</v>
      </c>
      <c r="D51" s="52" t="s">
        <v>2715</v>
      </c>
      <c r="E51" s="52" t="s">
        <v>2715</v>
      </c>
      <c r="F51" s="52" t="e">
        <f>#REF!</f>
        <v>#REF!</v>
      </c>
      <c r="G51" s="52" t="e">
        <f>#REF!</f>
        <v>#REF!</v>
      </c>
      <c r="H51" s="52" t="e">
        <f>#REF!</f>
        <v>#REF!</v>
      </c>
      <c r="I51" s="52" t="e">
        <f>#REF!</f>
        <v>#REF!</v>
      </c>
      <c r="J51" s="52" t="e">
        <f>#REF!</f>
        <v>#REF!</v>
      </c>
      <c r="K51" s="52" t="e">
        <f>#REF!</f>
        <v>#REF!</v>
      </c>
      <c r="L51" s="52" t="e">
        <f t="shared" si="53"/>
        <v>#REF!</v>
      </c>
      <c r="M51" s="52" t="e">
        <f t="shared" si="53"/>
        <v>#REF!</v>
      </c>
      <c r="N51" s="52" t="e">
        <f t="shared" si="53"/>
        <v>#REF!</v>
      </c>
      <c r="O51" s="52"/>
      <c r="P51" s="52"/>
      <c r="Q51" s="52"/>
      <c r="R51" s="52" t="e">
        <f>F51*AE$51</f>
        <v>#REF!</v>
      </c>
      <c r="S51" s="52" t="e">
        <f>G51*AF$51</f>
        <v>#REF!</v>
      </c>
      <c r="T51" s="52" t="e">
        <f t="shared" si="60"/>
        <v>#REF!</v>
      </c>
      <c r="U51" s="52" t="e">
        <f t="shared" si="61"/>
        <v>#REF!</v>
      </c>
      <c r="V51" s="52" t="e">
        <f t="shared" si="55"/>
        <v>#REF!</v>
      </c>
      <c r="W51" s="52" t="e">
        <f t="shared" si="56"/>
        <v>#REF!</v>
      </c>
      <c r="X51" s="52" t="e">
        <f t="shared" si="57"/>
        <v>#REF!</v>
      </c>
      <c r="Y51" s="52" t="e">
        <f t="shared" si="58"/>
        <v>#REF!</v>
      </c>
      <c r="Z51" s="52" t="e">
        <f t="shared" si="59"/>
        <v>#REF!</v>
      </c>
      <c r="AA51" s="52"/>
      <c r="AB51" s="40" t="s">
        <v>2723</v>
      </c>
      <c r="AC51" s="111">
        <v>0.80299997329711903</v>
      </c>
      <c r="AD51" s="77">
        <v>0.839812</v>
      </c>
      <c r="AE51" s="77">
        <v>0.839812</v>
      </c>
      <c r="AF51" s="77">
        <v>0.839812</v>
      </c>
      <c r="AG51" s="77">
        <v>0.839812</v>
      </c>
      <c r="AH51" s="77">
        <v>0.839812</v>
      </c>
      <c r="AI51" s="77">
        <v>0.839812</v>
      </c>
      <c r="AJ51" s="111">
        <f t="shared" si="66"/>
        <v>0.839812</v>
      </c>
      <c r="AK51" s="111">
        <f t="shared" si="66"/>
        <v>0.839812</v>
      </c>
      <c r="AL51" s="111">
        <f t="shared" si="66"/>
        <v>0.839812</v>
      </c>
      <c r="AM51" s="111">
        <f>AL51</f>
        <v>0.839812</v>
      </c>
    </row>
    <row r="52" spans="1:58" x14ac:dyDescent="0.2">
      <c r="A52" s="40" t="s">
        <v>478</v>
      </c>
      <c r="B52" s="40" t="s">
        <v>477</v>
      </c>
      <c r="C52" s="40" t="s">
        <v>1403</v>
      </c>
      <c r="D52" s="52" t="e">
        <f>#REF!</f>
        <v>#REF!</v>
      </c>
      <c r="E52" s="52" t="e">
        <f>1/((1/#REF!*$AD$28+1/#REF!*$AD$29)/($AD$28+$AD$29))</f>
        <v>#REF!</v>
      </c>
      <c r="F52" s="52" t="e">
        <f>1/((1/#REF!*$AE$28+1/#REF!*$AE$29)/($AE$28+$AE$29))</f>
        <v>#REF!</v>
      </c>
      <c r="G52" s="52" t="e">
        <f>1/((1/#REF!*$AF$28+1/#REF!*$AF$29)/($AF$28+$AF$29))</f>
        <v>#REF!</v>
      </c>
      <c r="H52" s="52" t="e">
        <f>1/((1/#REF!*$AG$28+1/#REF!*$AG$29)/($AG$28+$AG$29))</f>
        <v>#REF!</v>
      </c>
      <c r="I52" s="52" t="e">
        <f>1/((1/#REF!*$AH$28+1/#REF!*$AH$29)/($AH$28+$AH$29))</f>
        <v>#REF!</v>
      </c>
      <c r="J52" s="52" t="e">
        <f>1/((1/#REF!*$AI$28+1/#REF!*$AI$29)/($AI$28+$AI$29))</f>
        <v>#REF!</v>
      </c>
      <c r="K52" s="52" t="e">
        <f>1/((1/#REF!*$AJ$28+1/#REF!*$AJ$29)/($AJ$28+$AJ$29))</f>
        <v>#REF!</v>
      </c>
      <c r="L52" s="52" t="e">
        <f t="shared" si="53"/>
        <v>#REF!</v>
      </c>
      <c r="M52" s="52" t="e">
        <f t="shared" si="53"/>
        <v>#REF!</v>
      </c>
      <c r="N52" s="52" t="e">
        <f t="shared" si="53"/>
        <v>#REF!</v>
      </c>
      <c r="O52" s="52"/>
      <c r="P52" s="52" t="e">
        <f>D52*AC$51</f>
        <v>#REF!</v>
      </c>
      <c r="Q52" s="52" t="e">
        <f>E52*AD$51</f>
        <v>#REF!</v>
      </c>
      <c r="R52" s="52" t="e">
        <f>F52*AE$51</f>
        <v>#REF!</v>
      </c>
      <c r="S52" s="52" t="e">
        <f>G52*AF$51</f>
        <v>#REF!</v>
      </c>
      <c r="T52" s="52" t="e">
        <f t="shared" si="60"/>
        <v>#REF!</v>
      </c>
      <c r="U52" s="52" t="e">
        <f t="shared" si="61"/>
        <v>#REF!</v>
      </c>
      <c r="V52" s="52" t="e">
        <f t="shared" si="55"/>
        <v>#REF!</v>
      </c>
      <c r="W52" s="52" t="e">
        <f t="shared" si="56"/>
        <v>#REF!</v>
      </c>
      <c r="X52" s="52" t="e">
        <f t="shared" si="57"/>
        <v>#REF!</v>
      </c>
      <c r="Y52" s="52" t="e">
        <f t="shared" si="58"/>
        <v>#REF!</v>
      </c>
      <c r="Z52" s="52" t="e">
        <f t="shared" si="59"/>
        <v>#REF!</v>
      </c>
      <c r="AA52" s="52"/>
    </row>
    <row r="53" spans="1:58" x14ac:dyDescent="0.2">
      <c r="A53" s="40" t="s">
        <v>478</v>
      </c>
      <c r="B53" s="40" t="s">
        <v>2665</v>
      </c>
      <c r="C53" s="40" t="s">
        <v>780</v>
      </c>
      <c r="V53" s="52" t="e">
        <f t="shared" si="48"/>
        <v>#REF!</v>
      </c>
      <c r="W53" s="52" t="e">
        <f t="shared" ref="W53" si="67">K52*AJ$51</f>
        <v>#REF!</v>
      </c>
      <c r="X53" s="52" t="e">
        <f t="shared" ref="X53" si="68">L52*AK$51</f>
        <v>#REF!</v>
      </c>
      <c r="Y53" s="52" t="e">
        <f t="shared" ref="Y53" si="69">M52*AL$51</f>
        <v>#REF!</v>
      </c>
      <c r="Z53" s="52" t="e">
        <f t="shared" ref="Z53" si="70">N52*AM$51</f>
        <v>#REF!</v>
      </c>
      <c r="AA53" s="52"/>
    </row>
    <row r="54" spans="1:58" x14ac:dyDescent="0.2">
      <c r="A54" s="40" t="s">
        <v>478</v>
      </c>
      <c r="B54" s="40" t="s">
        <v>2666</v>
      </c>
      <c r="C54" s="40" t="s">
        <v>1426</v>
      </c>
      <c r="D54" s="52" t="e">
        <f>1/((1/#REF!*$AC$28+1/#REF!*$AC$29)/($AC$28+$AC$29))</f>
        <v>#REF!</v>
      </c>
      <c r="E54" s="52" t="e">
        <f>1/((1/#REF!*$AD$28+1/#REF!*$AD$29)/($AD$28+$AD$29))</f>
        <v>#REF!</v>
      </c>
      <c r="F54" s="52" t="e">
        <f>1/((1/#REF!*$AE$28+1/#REF!*$AE$29)/($AE$28+$AE$29))</f>
        <v>#REF!</v>
      </c>
      <c r="G54" s="52" t="e">
        <f>1/((1/#REF!*$AF$28+1/#REF!*$AF$29)/($AF$28+$AF$29))</f>
        <v>#REF!</v>
      </c>
      <c r="H54" s="52" t="e">
        <f>1/((1/#REF!*$AG$28+1/#REF!*$AG$29)/($AG$28+$AG$29))</f>
        <v>#REF!</v>
      </c>
      <c r="I54" s="52" t="e">
        <f>1/((1/#REF!*$AH$28+1/#REF!*$AH$29)/($AH$28+$AH$29))</f>
        <v>#REF!</v>
      </c>
      <c r="J54" s="52" t="e">
        <f>1/((1/#REF!*$AI$28+1/#REF!*$AI$29)/($AI$28+$AI$29))</f>
        <v>#REF!</v>
      </c>
      <c r="K54" s="52" t="e">
        <f>1/((1/#REF!*$AJ$28+1/#REF!*$AJ$29)/($AJ$28+$AJ$29))</f>
        <v>#REF!</v>
      </c>
      <c r="L54" s="52" t="e">
        <f t="shared" ref="K54:N62" si="71">K54</f>
        <v>#REF!</v>
      </c>
      <c r="M54" s="52" t="e">
        <f t="shared" si="71"/>
        <v>#REF!</v>
      </c>
      <c r="N54" s="52" t="e">
        <f t="shared" si="71"/>
        <v>#REF!</v>
      </c>
      <c r="O54" s="52"/>
      <c r="P54" s="52" t="e">
        <f t="shared" ref="P54:U54" si="72">D54*AC$51</f>
        <v>#REF!</v>
      </c>
      <c r="Q54" s="52" t="e">
        <f t="shared" si="72"/>
        <v>#REF!</v>
      </c>
      <c r="R54" s="52" t="e">
        <f t="shared" si="72"/>
        <v>#REF!</v>
      </c>
      <c r="S54" s="52" t="e">
        <f t="shared" si="72"/>
        <v>#REF!</v>
      </c>
      <c r="T54" s="52" t="e">
        <f t="shared" si="72"/>
        <v>#REF!</v>
      </c>
      <c r="U54" s="52" t="e">
        <f t="shared" si="72"/>
        <v>#REF!</v>
      </c>
      <c r="V54" s="52" t="e">
        <f t="shared" ref="V54:V61" si="73">J54*AI$51</f>
        <v>#REF!</v>
      </c>
      <c r="W54" s="52" t="e">
        <f t="shared" ref="W54:W61" si="74">K54*AJ$51</f>
        <v>#REF!</v>
      </c>
      <c r="X54" s="52" t="e">
        <f t="shared" ref="X54:X61" si="75">L54*AK$51</f>
        <v>#REF!</v>
      </c>
      <c r="Y54" s="52" t="e">
        <f t="shared" ref="Y54:Y61" si="76">M54*AL$51</f>
        <v>#REF!</v>
      </c>
      <c r="Z54" s="52" t="e">
        <f t="shared" ref="Z54:Z61" si="77">N54*AM$51</f>
        <v>#REF!</v>
      </c>
      <c r="AA54" s="52"/>
    </row>
    <row r="55" spans="1:58" x14ac:dyDescent="0.2">
      <c r="A55" s="40" t="s">
        <v>478</v>
      </c>
      <c r="B55" s="40" t="s">
        <v>2696</v>
      </c>
      <c r="C55" s="40" t="s">
        <v>1447</v>
      </c>
      <c r="D55" s="52"/>
      <c r="E55" s="52"/>
      <c r="F55" s="52" t="e">
        <f>#REF!</f>
        <v>#REF!</v>
      </c>
      <c r="G55" s="52" t="e">
        <f>#REF!</f>
        <v>#REF!</v>
      </c>
      <c r="H55" s="52" t="e">
        <f>#REF!</f>
        <v>#REF!</v>
      </c>
      <c r="I55" s="52" t="e">
        <f>#REF!</f>
        <v>#REF!</v>
      </c>
      <c r="J55" s="52" t="e">
        <f>#REF!</f>
        <v>#REF!</v>
      </c>
      <c r="K55" s="52" t="e">
        <f t="shared" si="71"/>
        <v>#REF!</v>
      </c>
      <c r="L55" s="52" t="e">
        <f t="shared" si="71"/>
        <v>#REF!</v>
      </c>
      <c r="M55" s="52" t="e">
        <f t="shared" si="71"/>
        <v>#REF!</v>
      </c>
      <c r="N55" s="52" t="e">
        <f t="shared" si="71"/>
        <v>#REF!</v>
      </c>
      <c r="O55" s="52"/>
      <c r="P55" s="52"/>
      <c r="Q55" s="52"/>
      <c r="R55" s="52" t="e">
        <f t="shared" ref="R55:U61" si="78">F55*AE$51</f>
        <v>#REF!</v>
      </c>
      <c r="S55" s="52" t="e">
        <f t="shared" si="78"/>
        <v>#REF!</v>
      </c>
      <c r="T55" s="52" t="e">
        <f t="shared" si="78"/>
        <v>#REF!</v>
      </c>
      <c r="U55" s="52" t="e">
        <f t="shared" si="78"/>
        <v>#REF!</v>
      </c>
      <c r="V55" s="52" t="e">
        <f t="shared" si="73"/>
        <v>#REF!</v>
      </c>
      <c r="W55" s="52" t="e">
        <f t="shared" si="74"/>
        <v>#REF!</v>
      </c>
      <c r="X55" s="52" t="e">
        <f t="shared" si="75"/>
        <v>#REF!</v>
      </c>
      <c r="Y55" s="52" t="e">
        <f t="shared" si="76"/>
        <v>#REF!</v>
      </c>
      <c r="Z55" s="52" t="e">
        <f t="shared" si="77"/>
        <v>#REF!</v>
      </c>
      <c r="AA55" s="52"/>
    </row>
    <row r="56" spans="1:58" x14ac:dyDescent="0.2">
      <c r="A56" s="40" t="s">
        <v>478</v>
      </c>
      <c r="B56" s="40" t="s">
        <v>2667</v>
      </c>
      <c r="C56" s="40" t="s">
        <v>1464</v>
      </c>
      <c r="D56" s="52"/>
      <c r="E56" s="52"/>
      <c r="F56" s="52" t="e">
        <f>#REF!</f>
        <v>#REF!</v>
      </c>
      <c r="G56" s="52" t="e">
        <f>#REF!</f>
        <v>#REF!</v>
      </c>
      <c r="H56" s="52" t="e">
        <f>#REF!</f>
        <v>#REF!</v>
      </c>
      <c r="I56" s="52" t="e">
        <f>#REF!</f>
        <v>#REF!</v>
      </c>
      <c r="J56" s="52" t="e">
        <f>#REF!</f>
        <v>#REF!</v>
      </c>
      <c r="K56" s="52" t="e">
        <f>#REF!</f>
        <v>#REF!</v>
      </c>
      <c r="L56" s="52" t="e">
        <f t="shared" si="71"/>
        <v>#REF!</v>
      </c>
      <c r="M56" s="52" t="e">
        <f t="shared" si="71"/>
        <v>#REF!</v>
      </c>
      <c r="N56" s="52" t="e">
        <f t="shared" si="71"/>
        <v>#REF!</v>
      </c>
      <c r="O56" s="52"/>
      <c r="P56" s="52"/>
      <c r="Q56" s="52"/>
      <c r="R56" s="52" t="e">
        <f t="shared" si="78"/>
        <v>#REF!</v>
      </c>
      <c r="S56" s="52" t="e">
        <f t="shared" si="78"/>
        <v>#REF!</v>
      </c>
      <c r="T56" s="52" t="e">
        <f t="shared" si="78"/>
        <v>#REF!</v>
      </c>
      <c r="U56" s="52" t="e">
        <f t="shared" si="78"/>
        <v>#REF!</v>
      </c>
      <c r="V56" s="52" t="e">
        <f t="shared" si="73"/>
        <v>#REF!</v>
      </c>
      <c r="W56" s="52" t="e">
        <f t="shared" si="74"/>
        <v>#REF!</v>
      </c>
      <c r="X56" s="52" t="e">
        <f t="shared" si="75"/>
        <v>#REF!</v>
      </c>
      <c r="Y56" s="52" t="e">
        <f t="shared" si="76"/>
        <v>#REF!</v>
      </c>
      <c r="Z56" s="52" t="e">
        <f t="shared" si="77"/>
        <v>#REF!</v>
      </c>
      <c r="AA56" s="52"/>
    </row>
    <row r="57" spans="1:58" x14ac:dyDescent="0.2">
      <c r="A57" s="40" t="s">
        <v>478</v>
      </c>
      <c r="B57" s="40" t="s">
        <v>2670</v>
      </c>
      <c r="C57" s="40" t="s">
        <v>1317</v>
      </c>
      <c r="D57" s="52" t="e">
        <f>1/((1/#REF!*$AC$28+1/#REF!*$AC$29)/($AC$28+$AC$29))</f>
        <v>#REF!</v>
      </c>
      <c r="E57" s="52" t="e">
        <f>1/((1/#REF!*$AD$28+1/#REF!*$AD$29)/($AD$28+$AD$29))</f>
        <v>#REF!</v>
      </c>
      <c r="F57" s="52" t="e">
        <f>1/((1/#REF!*$AE$28+1/#REF!*$AE$29)/($AE$28+$AE$29))</f>
        <v>#REF!</v>
      </c>
      <c r="G57" s="52" t="e">
        <f>1/((1/#REF!*$AF$28+1/#REF!*$AF$29)/($AF$28+$AF$29))</f>
        <v>#REF!</v>
      </c>
      <c r="H57" s="52" t="e">
        <f>1/((1/#REF!*$AG$28+1/#REF!*$AG$29)/($AG$28+$AG$29))</f>
        <v>#REF!</v>
      </c>
      <c r="I57" s="52" t="e">
        <f>1/((1/#REF!*$AH$28+1/#REF!*$AH$29)/($AH$28+$AH$29))</f>
        <v>#REF!</v>
      </c>
      <c r="J57" s="52" t="e">
        <f>1/((1/#REF!*$AI$28+1/#REF!*$AI$29)/($AI$28+$AI$29))</f>
        <v>#REF!</v>
      </c>
      <c r="K57" s="52" t="e">
        <f>1/((1/#REF!*$AJ$28+1/#REF!*$AJ$29)/($AJ$28+$AJ$29))</f>
        <v>#REF!</v>
      </c>
      <c r="L57" s="52" t="e">
        <f t="shared" si="71"/>
        <v>#REF!</v>
      </c>
      <c r="M57" s="52" t="e">
        <f t="shared" si="71"/>
        <v>#REF!</v>
      </c>
      <c r="N57" s="52" t="e">
        <f t="shared" si="71"/>
        <v>#REF!</v>
      </c>
      <c r="O57" s="52"/>
      <c r="P57" s="52" t="e">
        <f>D57*AC$51</f>
        <v>#REF!</v>
      </c>
      <c r="Q57" s="52" t="e">
        <f>E57*AD$51</f>
        <v>#REF!</v>
      </c>
      <c r="R57" s="52" t="e">
        <f t="shared" si="78"/>
        <v>#REF!</v>
      </c>
      <c r="S57" s="52" t="e">
        <f t="shared" si="78"/>
        <v>#REF!</v>
      </c>
      <c r="T57" s="52" t="e">
        <f t="shared" si="78"/>
        <v>#REF!</v>
      </c>
      <c r="U57" s="52" t="e">
        <f t="shared" si="78"/>
        <v>#REF!</v>
      </c>
      <c r="V57" s="52" t="e">
        <f t="shared" si="73"/>
        <v>#REF!</v>
      </c>
      <c r="W57" s="52" t="e">
        <f t="shared" si="74"/>
        <v>#REF!</v>
      </c>
      <c r="X57" s="52" t="e">
        <f t="shared" si="75"/>
        <v>#REF!</v>
      </c>
      <c r="Y57" s="52" t="e">
        <f t="shared" si="76"/>
        <v>#REF!</v>
      </c>
      <c r="Z57" s="52" t="e">
        <f t="shared" si="77"/>
        <v>#REF!</v>
      </c>
      <c r="AA57" s="52"/>
    </row>
    <row r="58" spans="1:58" x14ac:dyDescent="0.2">
      <c r="A58" s="40" t="s">
        <v>478</v>
      </c>
      <c r="B58" s="40" t="s">
        <v>2671</v>
      </c>
      <c r="C58" s="40" t="s">
        <v>1500</v>
      </c>
      <c r="D58" s="52"/>
      <c r="E58" s="52" t="e">
        <f>#REF!</f>
        <v>#REF!</v>
      </c>
      <c r="F58" s="52" t="e">
        <f>1/((1/#REF!*$AE$28+1/#REF!*$AE$29)/($AE$28+$AE$29))</f>
        <v>#REF!</v>
      </c>
      <c r="G58" s="52" t="e">
        <f>1/((1/#REF!*$AF$28+1/#REF!*$AF$29)/($AF$28+$AF$29))</f>
        <v>#REF!</v>
      </c>
      <c r="H58" s="52" t="e">
        <f>1/((1/#REF!*$AG$28+1/#REF!*$AG$29)/($AG$28+$AG$29))</f>
        <v>#REF!</v>
      </c>
      <c r="I58" s="52" t="e">
        <f>1/((1/#REF!*$AH$28+1/#REF!*$AH$29)/($AH$28+$AH$29))</f>
        <v>#REF!</v>
      </c>
      <c r="J58" s="52" t="e">
        <f>1/((1/#REF!*$AI$28+1/#REF!*$AI$29)/($AI$28+$AI$29))</f>
        <v>#REF!</v>
      </c>
      <c r="K58" s="52" t="e">
        <f>1/((1/#REF!*$AJ$28+1/#REF!*$AJ$29)/($AJ$28+$AJ$29))</f>
        <v>#REF!</v>
      </c>
      <c r="L58" s="52" t="e">
        <f t="shared" si="71"/>
        <v>#REF!</v>
      </c>
      <c r="M58" s="52" t="e">
        <f t="shared" si="71"/>
        <v>#REF!</v>
      </c>
      <c r="N58" s="52" t="e">
        <f t="shared" si="71"/>
        <v>#REF!</v>
      </c>
      <c r="O58" s="52"/>
      <c r="P58" s="52"/>
      <c r="Q58" s="52" t="e">
        <f>E58*AD$51</f>
        <v>#REF!</v>
      </c>
      <c r="R58" s="52" t="e">
        <f t="shared" si="78"/>
        <v>#REF!</v>
      </c>
      <c r="S58" s="52" t="e">
        <f t="shared" si="78"/>
        <v>#REF!</v>
      </c>
      <c r="T58" s="52" t="e">
        <f t="shared" si="78"/>
        <v>#REF!</v>
      </c>
      <c r="U58" s="52" t="e">
        <f t="shared" si="78"/>
        <v>#REF!</v>
      </c>
      <c r="V58" s="52" t="e">
        <f t="shared" si="73"/>
        <v>#REF!</v>
      </c>
      <c r="W58" s="52" t="e">
        <f t="shared" si="74"/>
        <v>#REF!</v>
      </c>
      <c r="X58" s="52" t="e">
        <f t="shared" si="75"/>
        <v>#REF!</v>
      </c>
      <c r="Y58" s="52" t="e">
        <f t="shared" si="76"/>
        <v>#REF!</v>
      </c>
      <c r="Z58" s="52" t="e">
        <f t="shared" si="77"/>
        <v>#REF!</v>
      </c>
      <c r="AA58" s="52"/>
    </row>
    <row r="59" spans="1:58" x14ac:dyDescent="0.2">
      <c r="A59" s="40" t="s">
        <v>478</v>
      </c>
      <c r="B59" s="40" t="s">
        <v>2702</v>
      </c>
      <c r="C59" s="40" t="s">
        <v>1519</v>
      </c>
      <c r="D59" s="52" t="e">
        <f>#REF!</f>
        <v>#REF!</v>
      </c>
      <c r="E59" s="52" t="e">
        <f>#REF!</f>
        <v>#REF!</v>
      </c>
      <c r="F59" s="52" t="e">
        <f>#REF!</f>
        <v>#REF!</v>
      </c>
      <c r="G59" s="52" t="e">
        <f>#REF!</f>
        <v>#REF!</v>
      </c>
      <c r="H59" s="52" t="e">
        <f>#REF!</f>
        <v>#REF!</v>
      </c>
      <c r="I59" s="52" t="e">
        <f>#REF!</f>
        <v>#REF!</v>
      </c>
      <c r="J59" s="52" t="e">
        <f>#REF!</f>
        <v>#REF!</v>
      </c>
      <c r="K59" s="52" t="e">
        <f>#REF!</f>
        <v>#REF!</v>
      </c>
      <c r="L59" s="52" t="e">
        <f t="shared" si="71"/>
        <v>#REF!</v>
      </c>
      <c r="M59" s="52" t="e">
        <f t="shared" si="71"/>
        <v>#REF!</v>
      </c>
      <c r="N59" s="52" t="e">
        <f t="shared" si="71"/>
        <v>#REF!</v>
      </c>
      <c r="O59" s="52"/>
      <c r="P59" s="52" t="e">
        <f>D59*AC$51</f>
        <v>#REF!</v>
      </c>
      <c r="Q59" s="52" t="e">
        <f>E59*AD$51</f>
        <v>#REF!</v>
      </c>
      <c r="R59" s="52" t="e">
        <f t="shared" si="78"/>
        <v>#REF!</v>
      </c>
      <c r="S59" s="52" t="e">
        <f t="shared" si="78"/>
        <v>#REF!</v>
      </c>
      <c r="T59" s="52" t="e">
        <f t="shared" si="78"/>
        <v>#REF!</v>
      </c>
      <c r="U59" s="52" t="e">
        <f t="shared" si="78"/>
        <v>#REF!</v>
      </c>
      <c r="V59" s="52" t="e">
        <f t="shared" si="73"/>
        <v>#REF!</v>
      </c>
      <c r="W59" s="52" t="e">
        <f t="shared" si="74"/>
        <v>#REF!</v>
      </c>
      <c r="X59" s="52" t="e">
        <f t="shared" si="75"/>
        <v>#REF!</v>
      </c>
      <c r="Y59" s="52" t="e">
        <f t="shared" si="76"/>
        <v>#REF!</v>
      </c>
      <c r="Z59" s="52" t="e">
        <f t="shared" si="77"/>
        <v>#REF!</v>
      </c>
      <c r="AA59" s="52"/>
    </row>
    <row r="60" spans="1:58" x14ac:dyDescent="0.2">
      <c r="A60" s="40" t="s">
        <v>478</v>
      </c>
      <c r="B60" s="40" t="s">
        <v>2674</v>
      </c>
      <c r="C60" s="40" t="s">
        <v>1542</v>
      </c>
      <c r="D60" s="52" t="e">
        <f>#REF!</f>
        <v>#REF!</v>
      </c>
      <c r="E60" s="52" t="e">
        <f>#REF!</f>
        <v>#REF!</v>
      </c>
      <c r="F60" s="52" t="e">
        <f>#REF!</f>
        <v>#REF!</v>
      </c>
      <c r="G60" s="52" t="e">
        <f>#REF!</f>
        <v>#REF!</v>
      </c>
      <c r="H60" s="52" t="e">
        <f>#REF!</f>
        <v>#REF!</v>
      </c>
      <c r="I60" s="52" t="e">
        <f>#REF!</f>
        <v>#REF!</v>
      </c>
      <c r="J60" s="52" t="e">
        <f>#REF!</f>
        <v>#REF!</v>
      </c>
      <c r="K60" s="52" t="e">
        <f>#REF!</f>
        <v>#REF!</v>
      </c>
      <c r="L60" s="52" t="e">
        <f t="shared" si="71"/>
        <v>#REF!</v>
      </c>
      <c r="M60" s="52" t="e">
        <f t="shared" si="71"/>
        <v>#REF!</v>
      </c>
      <c r="N60" s="52" t="e">
        <f t="shared" si="71"/>
        <v>#REF!</v>
      </c>
      <c r="O60" s="52"/>
      <c r="P60" s="52" t="e">
        <f>D60*AC$51</f>
        <v>#REF!</v>
      </c>
      <c r="Q60" s="52" t="e">
        <f>E60*AD$51</f>
        <v>#REF!</v>
      </c>
      <c r="R60" s="52" t="e">
        <f t="shared" si="78"/>
        <v>#REF!</v>
      </c>
      <c r="S60" s="52" t="e">
        <f t="shared" si="78"/>
        <v>#REF!</v>
      </c>
      <c r="T60" s="52" t="e">
        <f t="shared" si="78"/>
        <v>#REF!</v>
      </c>
      <c r="U60" s="52" t="e">
        <f t="shared" si="78"/>
        <v>#REF!</v>
      </c>
      <c r="V60" s="52" t="e">
        <f t="shared" si="73"/>
        <v>#REF!</v>
      </c>
      <c r="W60" s="52" t="e">
        <f t="shared" si="74"/>
        <v>#REF!</v>
      </c>
      <c r="X60" s="52" t="e">
        <f t="shared" si="75"/>
        <v>#REF!</v>
      </c>
      <c r="Y60" s="52" t="e">
        <f t="shared" si="76"/>
        <v>#REF!</v>
      </c>
      <c r="Z60" s="52" t="e">
        <f t="shared" si="77"/>
        <v>#REF!</v>
      </c>
      <c r="AA60" s="52"/>
    </row>
    <row r="61" spans="1:58" x14ac:dyDescent="0.2">
      <c r="A61" s="40" t="s">
        <v>478</v>
      </c>
      <c r="B61" s="40" t="s">
        <v>2675</v>
      </c>
      <c r="C61" s="40" t="s">
        <v>1565</v>
      </c>
      <c r="D61" s="52"/>
      <c r="E61" s="52" t="e">
        <f t="shared" ref="E61:K61" si="79">E58*$AC$45</f>
        <v>#REF!</v>
      </c>
      <c r="F61" s="52" t="e">
        <f t="shared" si="79"/>
        <v>#REF!</v>
      </c>
      <c r="G61" s="52" t="e">
        <f t="shared" si="79"/>
        <v>#REF!</v>
      </c>
      <c r="H61" s="52" t="e">
        <f t="shared" si="79"/>
        <v>#REF!</v>
      </c>
      <c r="I61" s="52" t="e">
        <f t="shared" si="79"/>
        <v>#REF!</v>
      </c>
      <c r="J61" s="52" t="e">
        <f t="shared" si="79"/>
        <v>#REF!</v>
      </c>
      <c r="K61" s="52" t="e">
        <f t="shared" si="79"/>
        <v>#REF!</v>
      </c>
      <c r="L61" s="52" t="e">
        <f t="shared" si="71"/>
        <v>#REF!</v>
      </c>
      <c r="M61" s="52" t="e">
        <f t="shared" si="71"/>
        <v>#REF!</v>
      </c>
      <c r="N61" s="52" t="e">
        <f t="shared" si="71"/>
        <v>#REF!</v>
      </c>
      <c r="O61" s="52"/>
      <c r="P61" s="52"/>
      <c r="Q61" s="52" t="e">
        <f>E61*AD$51</f>
        <v>#REF!</v>
      </c>
      <c r="R61" s="52" t="e">
        <f t="shared" si="78"/>
        <v>#REF!</v>
      </c>
      <c r="S61" s="52" t="e">
        <f t="shared" si="78"/>
        <v>#REF!</v>
      </c>
      <c r="T61" s="52" t="e">
        <f t="shared" si="78"/>
        <v>#REF!</v>
      </c>
      <c r="U61" s="52" t="e">
        <f t="shared" si="78"/>
        <v>#REF!</v>
      </c>
      <c r="V61" s="52" t="e">
        <f t="shared" si="73"/>
        <v>#REF!</v>
      </c>
      <c r="W61" s="52" t="e">
        <f t="shared" si="74"/>
        <v>#REF!</v>
      </c>
      <c r="X61" s="52" t="e">
        <f t="shared" si="75"/>
        <v>#REF!</v>
      </c>
      <c r="Y61" s="52" t="e">
        <f t="shared" si="76"/>
        <v>#REF!</v>
      </c>
      <c r="Z61" s="52" t="e">
        <f t="shared" si="77"/>
        <v>#REF!</v>
      </c>
      <c r="AA61" s="52"/>
    </row>
    <row r="62" spans="1:58" x14ac:dyDescent="0.2">
      <c r="A62" s="40" t="s">
        <v>2647</v>
      </c>
      <c r="B62" s="40" t="s">
        <v>2661</v>
      </c>
      <c r="C62" s="40" t="s">
        <v>2703</v>
      </c>
      <c r="D62" s="52" t="e">
        <f t="shared" ref="D62:I62" si="80">D65*(1+$AD$35)</f>
        <v>#REF!</v>
      </c>
      <c r="E62" s="52" t="e">
        <f t="shared" si="80"/>
        <v>#REF!</v>
      </c>
      <c r="F62" s="52" t="e">
        <f t="shared" si="80"/>
        <v>#REF!</v>
      </c>
      <c r="G62" s="52" t="e">
        <f t="shared" si="80"/>
        <v>#REF!</v>
      </c>
      <c r="H62" s="52" t="e">
        <f t="shared" si="80"/>
        <v>#REF!</v>
      </c>
      <c r="I62" s="52" t="e">
        <f t="shared" si="80"/>
        <v>#REF!</v>
      </c>
      <c r="J62" s="52" t="e">
        <f>J65*(1+$AD$35)</f>
        <v>#REF!</v>
      </c>
      <c r="K62" s="52" t="e">
        <f>K65*(1+$AD$35)</f>
        <v>#REF!</v>
      </c>
      <c r="L62" s="52" t="e">
        <f t="shared" si="71"/>
        <v>#REF!</v>
      </c>
      <c r="M62" s="52" t="e">
        <f t="shared" si="71"/>
        <v>#REF!</v>
      </c>
      <c r="N62" s="52" t="e">
        <f t="shared" si="71"/>
        <v>#REF!</v>
      </c>
      <c r="O62" s="52"/>
      <c r="P62" s="52" t="e">
        <f t="shared" ref="P62:U62" si="81">D62*AC$50</f>
        <v>#REF!</v>
      </c>
      <c r="Q62" s="52" t="e">
        <f t="shared" si="81"/>
        <v>#REF!</v>
      </c>
      <c r="R62" s="52" t="e">
        <f t="shared" si="81"/>
        <v>#REF!</v>
      </c>
      <c r="S62" s="52" t="e">
        <f t="shared" si="81"/>
        <v>#REF!</v>
      </c>
      <c r="T62" s="52" t="e">
        <f t="shared" si="81"/>
        <v>#REF!</v>
      </c>
      <c r="U62" s="52" t="e">
        <f t="shared" si="81"/>
        <v>#REF!</v>
      </c>
      <c r="V62" s="52" t="e">
        <f t="shared" ref="V62" si="82">J62*AI$50</f>
        <v>#REF!</v>
      </c>
      <c r="W62" s="52" t="e">
        <f t="shared" ref="W62" si="83">K62*AJ$50</f>
        <v>#REF!</v>
      </c>
      <c r="X62" s="52" t="e">
        <f t="shared" ref="X62" si="84">L62*AK$50</f>
        <v>#REF!</v>
      </c>
      <c r="Y62" s="52" t="e">
        <f t="shared" ref="Y62" si="85">M62*AL$50</f>
        <v>#REF!</v>
      </c>
      <c r="Z62" s="52" t="e">
        <f t="shared" ref="Z62" si="86">N62*AM$50</f>
        <v>#REF!</v>
      </c>
      <c r="AA62" s="52"/>
      <c r="AB62" s="40" t="s">
        <v>705</v>
      </c>
    </row>
    <row r="63" spans="1:58" x14ac:dyDescent="0.2">
      <c r="A63" s="40" t="s">
        <v>2704</v>
      </c>
      <c r="B63" s="40" t="s">
        <v>2665</v>
      </c>
      <c r="C63" s="40" t="s">
        <v>762</v>
      </c>
      <c r="D63" s="248"/>
      <c r="E63" s="248"/>
      <c r="F63" s="248"/>
      <c r="G63" s="248"/>
      <c r="H63" s="248"/>
      <c r="I63" s="248"/>
      <c r="J63" s="248"/>
      <c r="K63" s="248"/>
      <c r="L63" s="248"/>
      <c r="M63" s="248"/>
      <c r="N63" s="248"/>
      <c r="P63" s="248"/>
      <c r="Q63" s="248"/>
      <c r="R63" s="248"/>
      <c r="S63" s="248"/>
      <c r="T63" s="248"/>
      <c r="U63" s="248"/>
      <c r="V63" s="52" t="e">
        <f t="shared" ref="V63:V82" si="87">J62*AI$51</f>
        <v>#REF!</v>
      </c>
      <c r="W63" s="52" t="e">
        <f t="shared" ref="W63" si="88">K62*AJ$51</f>
        <v>#REF!</v>
      </c>
      <c r="X63" s="52" t="e">
        <f t="shared" ref="X63" si="89">L62*AK$51</f>
        <v>#REF!</v>
      </c>
      <c r="Y63" s="52" t="e">
        <f t="shared" ref="Y63" si="90">M62*AL$51</f>
        <v>#REF!</v>
      </c>
      <c r="Z63" s="52" t="e">
        <f t="shared" ref="Z63" si="91">N62*AM$51</f>
        <v>#REF!</v>
      </c>
      <c r="AA63" s="52"/>
      <c r="AB63" s="40" t="s">
        <v>705</v>
      </c>
      <c r="AC63" s="40" t="s">
        <v>705</v>
      </c>
      <c r="AD63" s="40" t="s">
        <v>705</v>
      </c>
      <c r="AE63" s="40" t="s">
        <v>705</v>
      </c>
      <c r="AF63" s="40" t="s">
        <v>705</v>
      </c>
      <c r="AG63" s="40" t="s">
        <v>705</v>
      </c>
      <c r="AH63" s="40" t="s">
        <v>705</v>
      </c>
      <c r="AI63" s="40" t="s">
        <v>705</v>
      </c>
      <c r="AJ63" s="40" t="s">
        <v>705</v>
      </c>
      <c r="AK63" s="40" t="s">
        <v>705</v>
      </c>
      <c r="AL63" s="40" t="s">
        <v>705</v>
      </c>
      <c r="AM63" s="40" t="s">
        <v>705</v>
      </c>
      <c r="AN63" s="40" t="s">
        <v>705</v>
      </c>
      <c r="AO63" s="40" t="s">
        <v>705</v>
      </c>
      <c r="AP63" s="40" t="s">
        <v>705</v>
      </c>
      <c r="AQ63" s="40" t="s">
        <v>705</v>
      </c>
      <c r="AR63" s="40" t="s">
        <v>705</v>
      </c>
      <c r="AS63" s="40" t="s">
        <v>705</v>
      </c>
      <c r="AT63" s="40" t="s">
        <v>705</v>
      </c>
      <c r="AU63" s="40" t="s">
        <v>705</v>
      </c>
      <c r="AV63" s="40" t="s">
        <v>705</v>
      </c>
      <c r="AW63" s="40" t="s">
        <v>705</v>
      </c>
      <c r="AX63" s="40" t="s">
        <v>705</v>
      </c>
      <c r="AY63" s="40" t="s">
        <v>705</v>
      </c>
      <c r="AZ63" s="40" t="s">
        <v>705</v>
      </c>
      <c r="BA63" s="40" t="s">
        <v>705</v>
      </c>
      <c r="BB63" s="40" t="s">
        <v>705</v>
      </c>
      <c r="BC63" s="40" t="s">
        <v>705</v>
      </c>
      <c r="BD63" s="40" t="s">
        <v>705</v>
      </c>
      <c r="BE63" s="40" t="s">
        <v>705</v>
      </c>
      <c r="BF63" s="40" t="s">
        <v>706</v>
      </c>
    </row>
    <row r="64" spans="1:58" x14ac:dyDescent="0.2">
      <c r="A64" s="40" t="s">
        <v>2647</v>
      </c>
      <c r="B64" s="40" t="s">
        <v>743</v>
      </c>
      <c r="C64" s="40" t="s">
        <v>1481</v>
      </c>
      <c r="D64" s="52" t="e">
        <f>#REF!</f>
        <v>#REF!</v>
      </c>
      <c r="E64" s="52" t="e">
        <f>#REF!</f>
        <v>#REF!</v>
      </c>
      <c r="F64" s="52" t="e">
        <f>#REF!</f>
        <v>#REF!</v>
      </c>
      <c r="G64" s="52" t="e">
        <f>#REF!</f>
        <v>#REF!</v>
      </c>
      <c r="H64" s="52" t="e">
        <f>#REF!</f>
        <v>#REF!</v>
      </c>
      <c r="I64" s="52" t="e">
        <f>#REF!</f>
        <v>#REF!</v>
      </c>
      <c r="J64" s="52" t="e">
        <f>#REF!</f>
        <v>#REF!</v>
      </c>
      <c r="K64" s="52" t="e">
        <f>#REF!</f>
        <v>#REF!</v>
      </c>
      <c r="L64" s="52" t="e">
        <f t="shared" ref="L64:N70" si="92">K64</f>
        <v>#REF!</v>
      </c>
      <c r="M64" s="52" t="e">
        <f t="shared" si="92"/>
        <v>#REF!</v>
      </c>
      <c r="N64" s="52" t="e">
        <f t="shared" si="92"/>
        <v>#REF!</v>
      </c>
      <c r="O64" s="52"/>
      <c r="P64" s="52" t="e">
        <f>D64*AC$50</f>
        <v>#REF!</v>
      </c>
      <c r="Q64" s="52" t="e">
        <f t="shared" ref="Q64:U66" si="93">E64*AD$50</f>
        <v>#REF!</v>
      </c>
      <c r="R64" s="52" t="e">
        <f t="shared" si="93"/>
        <v>#REF!</v>
      </c>
      <c r="S64" s="52" t="e">
        <f t="shared" si="93"/>
        <v>#REF!</v>
      </c>
      <c r="T64" s="52" t="e">
        <f t="shared" si="93"/>
        <v>#REF!</v>
      </c>
      <c r="U64" s="52" t="e">
        <f t="shared" si="93"/>
        <v>#REF!</v>
      </c>
      <c r="V64" s="52" t="e">
        <f t="shared" ref="V64:V66" si="94">J64*AI$50</f>
        <v>#REF!</v>
      </c>
      <c r="W64" s="52" t="e">
        <f t="shared" ref="W64:W66" si="95">K64*AJ$50</f>
        <v>#REF!</v>
      </c>
      <c r="X64" s="52" t="e">
        <f t="shared" ref="X64:X66" si="96">L64*AK$50</f>
        <v>#REF!</v>
      </c>
      <c r="Y64" s="52" t="e">
        <f t="shared" ref="Y64:Y66" si="97">M64*AL$50</f>
        <v>#REF!</v>
      </c>
      <c r="Z64" s="52" t="e">
        <f t="shared" ref="Z64:Z66" si="98">N64*AM$50</f>
        <v>#REF!</v>
      </c>
      <c r="AA64" s="52"/>
      <c r="AB64" s="112"/>
    </row>
    <row r="65" spans="1:35" x14ac:dyDescent="0.2">
      <c r="A65" s="40" t="s">
        <v>2647</v>
      </c>
      <c r="B65" s="40" t="s">
        <v>2670</v>
      </c>
      <c r="C65" s="40" t="s">
        <v>809</v>
      </c>
      <c r="D65" s="52" t="e">
        <f>1/((1/#REF!*$AC$20+1/#REF!*$AC$25)/($AC$20+$AC$25))</f>
        <v>#REF!</v>
      </c>
      <c r="E65" s="52" t="e">
        <f>1/((1/#REF!*$AD$20+1/#REF!*$AD$25)/($AD$20+$AD$25))</f>
        <v>#REF!</v>
      </c>
      <c r="F65" s="52" t="e">
        <f>1/((1/#REF!*$AE$20+1/#REF!*$AE$25)/($AE$20+$AE$25))</f>
        <v>#REF!</v>
      </c>
      <c r="G65" s="52" t="e">
        <f>1/((1/#REF!*$AF$20+1/#REF!*$AF$25)/($AF$20+$AF$25))</f>
        <v>#REF!</v>
      </c>
      <c r="H65" s="52" t="e">
        <f>1/((1/#REF!*$AG$20+1/#REF!*$AG$25)/($AG$20+$AG$25))</f>
        <v>#REF!</v>
      </c>
      <c r="I65" s="52" t="e">
        <f>1/((1/#REF!*$AH$20+1/#REF!*$AH$25)/($AH$20+$AH$25))</f>
        <v>#REF!</v>
      </c>
      <c r="J65" s="52" t="e">
        <f>1/((1/#REF!*$AI$20+1/#REF!*$AI$25)/($AI$20+$AI$25))</f>
        <v>#REF!</v>
      </c>
      <c r="K65" s="52" t="e">
        <f>1/((1/#REF!*$AJ$20+1/#REF!*$AJ$25)/($AJ$20+$AJ$25))</f>
        <v>#REF!</v>
      </c>
      <c r="L65" s="52" t="e">
        <f t="shared" si="92"/>
        <v>#REF!</v>
      </c>
      <c r="M65" s="52" t="e">
        <f t="shared" si="92"/>
        <v>#REF!</v>
      </c>
      <c r="N65" s="52" t="e">
        <f t="shared" si="92"/>
        <v>#REF!</v>
      </c>
      <c r="O65" s="52"/>
      <c r="P65" s="52" t="e">
        <f>D65*AC$50</f>
        <v>#REF!</v>
      </c>
      <c r="Q65" s="52" t="e">
        <f t="shared" si="93"/>
        <v>#REF!</v>
      </c>
      <c r="R65" s="52" t="e">
        <f t="shared" si="93"/>
        <v>#REF!</v>
      </c>
      <c r="S65" s="52" t="e">
        <f t="shared" si="93"/>
        <v>#REF!</v>
      </c>
      <c r="T65" s="52" t="e">
        <f t="shared" si="93"/>
        <v>#REF!</v>
      </c>
      <c r="U65" s="52" t="e">
        <f t="shared" si="93"/>
        <v>#REF!</v>
      </c>
      <c r="V65" s="52" t="e">
        <f t="shared" si="94"/>
        <v>#REF!</v>
      </c>
      <c r="W65" s="52" t="e">
        <f t="shared" si="95"/>
        <v>#REF!</v>
      </c>
      <c r="X65" s="52" t="e">
        <f t="shared" si="96"/>
        <v>#REF!</v>
      </c>
      <c r="Y65" s="52" t="e">
        <f t="shared" si="97"/>
        <v>#REF!</v>
      </c>
      <c r="Z65" s="52" t="e">
        <f t="shared" si="98"/>
        <v>#REF!</v>
      </c>
      <c r="AA65" s="52"/>
    </row>
    <row r="66" spans="1:35" x14ac:dyDescent="0.2">
      <c r="A66" s="40" t="s">
        <v>2647</v>
      </c>
      <c r="B66" s="40" t="s">
        <v>2671</v>
      </c>
      <c r="C66" s="40" t="s">
        <v>836</v>
      </c>
      <c r="D66" s="52" t="e">
        <f>#REF!</f>
        <v>#REF!</v>
      </c>
      <c r="E66" s="52" t="e">
        <f>D66</f>
        <v>#REF!</v>
      </c>
      <c r="F66" s="52" t="e">
        <f t="shared" ref="F66:K66" si="99">E66</f>
        <v>#REF!</v>
      </c>
      <c r="G66" s="52" t="e">
        <f t="shared" si="99"/>
        <v>#REF!</v>
      </c>
      <c r="H66" s="52" t="e">
        <f t="shared" si="99"/>
        <v>#REF!</v>
      </c>
      <c r="I66" s="52" t="e">
        <f t="shared" si="99"/>
        <v>#REF!</v>
      </c>
      <c r="J66" s="52" t="e">
        <f t="shared" si="99"/>
        <v>#REF!</v>
      </c>
      <c r="K66" s="52" t="e">
        <f t="shared" si="99"/>
        <v>#REF!</v>
      </c>
      <c r="L66" s="52" t="e">
        <f t="shared" si="92"/>
        <v>#REF!</v>
      </c>
      <c r="M66" s="52" t="e">
        <f t="shared" si="92"/>
        <v>#REF!</v>
      </c>
      <c r="N66" s="52" t="e">
        <f t="shared" si="92"/>
        <v>#REF!</v>
      </c>
      <c r="O66" s="52"/>
      <c r="P66" s="52" t="e">
        <f>D66*AC$50</f>
        <v>#REF!</v>
      </c>
      <c r="Q66" s="52" t="e">
        <f t="shared" si="93"/>
        <v>#REF!</v>
      </c>
      <c r="R66" s="52" t="e">
        <f t="shared" si="93"/>
        <v>#REF!</v>
      </c>
      <c r="S66" s="52" t="e">
        <f t="shared" si="93"/>
        <v>#REF!</v>
      </c>
      <c r="T66" s="52" t="e">
        <f t="shared" si="93"/>
        <v>#REF!</v>
      </c>
      <c r="U66" s="52" t="e">
        <f t="shared" si="93"/>
        <v>#REF!</v>
      </c>
      <c r="V66" s="52" t="e">
        <f t="shared" si="94"/>
        <v>#REF!</v>
      </c>
      <c r="W66" s="52" t="e">
        <f t="shared" si="95"/>
        <v>#REF!</v>
      </c>
      <c r="X66" s="52" t="e">
        <f t="shared" si="96"/>
        <v>#REF!</v>
      </c>
      <c r="Y66" s="52" t="e">
        <f t="shared" si="97"/>
        <v>#REF!</v>
      </c>
      <c r="Z66" s="52" t="e">
        <f t="shared" si="98"/>
        <v>#REF!</v>
      </c>
      <c r="AA66" s="52"/>
      <c r="AC66" s="77"/>
      <c r="AD66" s="77"/>
      <c r="AE66" s="77"/>
      <c r="AF66" s="77"/>
      <c r="AG66" s="77"/>
      <c r="AH66" s="77"/>
      <c r="AI66" s="53"/>
    </row>
    <row r="67" spans="1:35" x14ac:dyDescent="0.2">
      <c r="A67" s="40" t="s">
        <v>329</v>
      </c>
      <c r="B67" s="40" t="s">
        <v>2661</v>
      </c>
      <c r="C67" s="40" t="s">
        <v>2705</v>
      </c>
      <c r="D67" s="52" t="e">
        <f t="shared" ref="D67:I67" si="100">D74*(1+$AD$36)</f>
        <v>#REF!</v>
      </c>
      <c r="E67" s="52" t="e">
        <f t="shared" si="100"/>
        <v>#REF!</v>
      </c>
      <c r="F67" s="52" t="e">
        <f t="shared" si="100"/>
        <v>#REF!</v>
      </c>
      <c r="G67" s="52" t="e">
        <f t="shared" si="100"/>
        <v>#REF!</v>
      </c>
      <c r="H67" s="52" t="e">
        <f t="shared" si="100"/>
        <v>#REF!</v>
      </c>
      <c r="I67" s="52" t="e">
        <f t="shared" si="100"/>
        <v>#REF!</v>
      </c>
      <c r="J67" s="52" t="e">
        <f>J74*(1+$AD$36)</f>
        <v>#REF!</v>
      </c>
      <c r="K67" s="52" t="e">
        <f>K74*(1+$AD$36)</f>
        <v>#REF!</v>
      </c>
      <c r="L67" s="52" t="e">
        <f t="shared" si="92"/>
        <v>#REF!</v>
      </c>
      <c r="M67" s="52" t="e">
        <f t="shared" si="92"/>
        <v>#REF!</v>
      </c>
      <c r="N67" s="52" t="e">
        <f t="shared" si="92"/>
        <v>#REF!</v>
      </c>
      <c r="O67" s="52"/>
      <c r="P67" s="52" t="e">
        <f>D67*AC$51</f>
        <v>#REF!</v>
      </c>
      <c r="Q67" s="52" t="e">
        <f t="shared" ref="Q67:U70" si="101">E67*AD$51</f>
        <v>#REF!</v>
      </c>
      <c r="R67" s="52" t="e">
        <f t="shared" si="101"/>
        <v>#REF!</v>
      </c>
      <c r="S67" s="52" t="e">
        <f t="shared" si="101"/>
        <v>#REF!</v>
      </c>
      <c r="T67" s="52" t="e">
        <f t="shared" si="101"/>
        <v>#REF!</v>
      </c>
      <c r="U67" s="52" t="e">
        <f t="shared" si="101"/>
        <v>#REF!</v>
      </c>
      <c r="V67" s="52" t="e">
        <f t="shared" ref="V67:V70" si="102">J67*AI$51</f>
        <v>#REF!</v>
      </c>
      <c r="W67" s="52" t="e">
        <f t="shared" ref="W67:W70" si="103">K67*AJ$51</f>
        <v>#REF!</v>
      </c>
      <c r="X67" s="52" t="e">
        <f t="shared" ref="X67:X70" si="104">L67*AK$51</f>
        <v>#REF!</v>
      </c>
      <c r="Y67" s="52" t="e">
        <f t="shared" ref="Y67:Y70" si="105">M67*AL$51</f>
        <v>#REF!</v>
      </c>
      <c r="Z67" s="52" t="e">
        <f t="shared" ref="Z67:Z70" si="106">N67*AM$51</f>
        <v>#REF!</v>
      </c>
      <c r="AA67" s="52"/>
      <c r="AC67" s="77"/>
      <c r="AD67" s="77"/>
      <c r="AE67" s="77"/>
      <c r="AF67" s="77"/>
      <c r="AG67" s="77"/>
      <c r="AH67" s="77"/>
      <c r="AI67" s="53"/>
    </row>
    <row r="68" spans="1:35" x14ac:dyDescent="0.2">
      <c r="A68" s="40" t="s">
        <v>329</v>
      </c>
      <c r="B68" s="40" t="s">
        <v>334</v>
      </c>
      <c r="C68" s="40" t="s">
        <v>1607</v>
      </c>
      <c r="D68" s="52" t="e">
        <f>#REF!</f>
        <v>#REF!</v>
      </c>
      <c r="E68" s="52" t="e">
        <f>#REF!</f>
        <v>#REF!</v>
      </c>
      <c r="F68" s="52" t="e">
        <f>#REF!</f>
        <v>#REF!</v>
      </c>
      <c r="G68" s="52" t="e">
        <f>#REF!</f>
        <v>#REF!</v>
      </c>
      <c r="H68" s="52" t="e">
        <f>#REF!</f>
        <v>#REF!</v>
      </c>
      <c r="I68" s="52" t="e">
        <f>#REF!</f>
        <v>#REF!</v>
      </c>
      <c r="J68" s="52" t="e">
        <f>#REF!</f>
        <v>#REF!</v>
      </c>
      <c r="K68" s="52" t="e">
        <f>#REF!</f>
        <v>#REF!</v>
      </c>
      <c r="L68" s="52" t="e">
        <f t="shared" si="92"/>
        <v>#REF!</v>
      </c>
      <c r="M68" s="52" t="e">
        <f t="shared" si="92"/>
        <v>#REF!</v>
      </c>
      <c r="N68" s="52" t="e">
        <f t="shared" si="92"/>
        <v>#REF!</v>
      </c>
      <c r="O68" s="52"/>
      <c r="P68" s="52" t="e">
        <f>D68*AC$51</f>
        <v>#REF!</v>
      </c>
      <c r="Q68" s="52" t="e">
        <f t="shared" si="101"/>
        <v>#REF!</v>
      </c>
      <c r="R68" s="52" t="e">
        <f t="shared" si="101"/>
        <v>#REF!</v>
      </c>
      <c r="S68" s="52" t="e">
        <f t="shared" si="101"/>
        <v>#REF!</v>
      </c>
      <c r="T68" s="52" t="e">
        <f t="shared" si="101"/>
        <v>#REF!</v>
      </c>
      <c r="U68" s="52" t="e">
        <f t="shared" si="101"/>
        <v>#REF!</v>
      </c>
      <c r="V68" s="52" t="e">
        <f t="shared" si="102"/>
        <v>#REF!</v>
      </c>
      <c r="W68" s="52" t="e">
        <f t="shared" si="103"/>
        <v>#REF!</v>
      </c>
      <c r="X68" s="52" t="e">
        <f t="shared" si="104"/>
        <v>#REF!</v>
      </c>
      <c r="Y68" s="52" t="e">
        <f t="shared" si="105"/>
        <v>#REF!</v>
      </c>
      <c r="Z68" s="52" t="e">
        <f t="shared" si="106"/>
        <v>#REF!</v>
      </c>
      <c r="AA68" s="52"/>
    </row>
    <row r="69" spans="1:35" x14ac:dyDescent="0.2">
      <c r="A69" s="40" t="s">
        <v>329</v>
      </c>
      <c r="B69" s="40" t="s">
        <v>2663</v>
      </c>
      <c r="C69" s="40" t="s">
        <v>1630</v>
      </c>
      <c r="D69" s="52" t="e">
        <f>#REF!</f>
        <v>#REF!</v>
      </c>
      <c r="E69" s="52" t="e">
        <f>#REF!</f>
        <v>#REF!</v>
      </c>
      <c r="F69" s="52" t="e">
        <f>#REF!</f>
        <v>#REF!</v>
      </c>
      <c r="G69" s="52" t="e">
        <f>#REF!</f>
        <v>#REF!</v>
      </c>
      <c r="H69" s="52" t="e">
        <f>#REF!</f>
        <v>#REF!</v>
      </c>
      <c r="I69" s="52" t="e">
        <f>#REF!</f>
        <v>#REF!</v>
      </c>
      <c r="J69" s="52" t="e">
        <f>#REF!</f>
        <v>#REF!</v>
      </c>
      <c r="K69" s="52" t="e">
        <f>#REF!</f>
        <v>#REF!</v>
      </c>
      <c r="L69" s="52" t="e">
        <f t="shared" si="92"/>
        <v>#REF!</v>
      </c>
      <c r="M69" s="52" t="e">
        <f t="shared" si="92"/>
        <v>#REF!</v>
      </c>
      <c r="N69" s="52" t="e">
        <f t="shared" si="92"/>
        <v>#REF!</v>
      </c>
      <c r="O69" s="52"/>
      <c r="P69" s="52" t="e">
        <f>D69*AC$51</f>
        <v>#REF!</v>
      </c>
      <c r="Q69" s="52" t="e">
        <f t="shared" si="101"/>
        <v>#REF!</v>
      </c>
      <c r="R69" s="52" t="e">
        <f t="shared" si="101"/>
        <v>#REF!</v>
      </c>
      <c r="S69" s="52" t="e">
        <f t="shared" si="101"/>
        <v>#REF!</v>
      </c>
      <c r="T69" s="52" t="e">
        <f t="shared" si="101"/>
        <v>#REF!</v>
      </c>
      <c r="U69" s="52" t="e">
        <f t="shared" si="101"/>
        <v>#REF!</v>
      </c>
      <c r="V69" s="52" t="e">
        <f t="shared" si="102"/>
        <v>#REF!</v>
      </c>
      <c r="W69" s="52" t="e">
        <f t="shared" si="103"/>
        <v>#REF!</v>
      </c>
      <c r="X69" s="52" t="e">
        <f t="shared" si="104"/>
        <v>#REF!</v>
      </c>
      <c r="Y69" s="52" t="e">
        <f t="shared" si="105"/>
        <v>#REF!</v>
      </c>
      <c r="Z69" s="52" t="e">
        <f t="shared" si="106"/>
        <v>#REF!</v>
      </c>
      <c r="AA69" s="52"/>
    </row>
    <row r="70" spans="1:35" x14ac:dyDescent="0.2">
      <c r="A70" s="40" t="s">
        <v>329</v>
      </c>
      <c r="B70" s="40" t="s">
        <v>477</v>
      </c>
      <c r="C70" s="40" t="s">
        <v>1653</v>
      </c>
      <c r="D70" s="52" t="e">
        <f>#REF!</f>
        <v>#REF!</v>
      </c>
      <c r="E70" s="52" t="e">
        <f>1/((1/#REF!*$AD$26+1/#REF!*$AD$27)/($AD$26+$AD$27))</f>
        <v>#REF!</v>
      </c>
      <c r="F70" s="52" t="e">
        <f>1/((1/#REF!*$AE$26+1/#REF!*$AE$27)/($AE$26+$AE$27))</f>
        <v>#REF!</v>
      </c>
      <c r="G70" s="52" t="e">
        <f>1/((1/#REF!*$AF$26+1/#REF!*$AF$27)/($AF$26+$AF$27))</f>
        <v>#REF!</v>
      </c>
      <c r="H70" s="52" t="e">
        <f>1/((1/#REF!*$AG$26+1/#REF!*$AG$27)/($AG$26+$AG$27))</f>
        <v>#REF!</v>
      </c>
      <c r="I70" s="52" t="e">
        <f>1/((1/#REF!*$AH$26+1/#REF!*$AH$27)/($AH$26+$AH$27))</f>
        <v>#REF!</v>
      </c>
      <c r="J70" s="52" t="e">
        <f>1/((1/#REF!*$AI$26+1/#REF!*$AI$27)/($AI$26+$AI$27))</f>
        <v>#REF!</v>
      </c>
      <c r="K70" s="52" t="e">
        <f>1/((1/#REF!*$AJ$26+1/#REF!*$AJ$27)/($AJ$26+$AJ$27))</f>
        <v>#REF!</v>
      </c>
      <c r="L70" s="52" t="e">
        <f t="shared" si="92"/>
        <v>#REF!</v>
      </c>
      <c r="M70" s="52" t="e">
        <f t="shared" si="92"/>
        <v>#REF!</v>
      </c>
      <c r="N70" s="52" t="e">
        <f t="shared" si="92"/>
        <v>#REF!</v>
      </c>
      <c r="O70" s="52"/>
      <c r="P70" s="52" t="e">
        <f>D70*AC$51</f>
        <v>#REF!</v>
      </c>
      <c r="Q70" s="52" t="e">
        <f t="shared" si="101"/>
        <v>#REF!</v>
      </c>
      <c r="R70" s="52" t="e">
        <f t="shared" si="101"/>
        <v>#REF!</v>
      </c>
      <c r="S70" s="52" t="e">
        <f t="shared" si="101"/>
        <v>#REF!</v>
      </c>
      <c r="T70" s="52" t="e">
        <f t="shared" si="101"/>
        <v>#REF!</v>
      </c>
      <c r="U70" s="52" t="e">
        <f t="shared" si="101"/>
        <v>#REF!</v>
      </c>
      <c r="V70" s="52" t="e">
        <f t="shared" si="102"/>
        <v>#REF!</v>
      </c>
      <c r="W70" s="52" t="e">
        <f t="shared" si="103"/>
        <v>#REF!</v>
      </c>
      <c r="X70" s="52" t="e">
        <f t="shared" si="104"/>
        <v>#REF!</v>
      </c>
      <c r="Y70" s="52" t="e">
        <f t="shared" si="105"/>
        <v>#REF!</v>
      </c>
      <c r="Z70" s="52" t="e">
        <f t="shared" si="106"/>
        <v>#REF!</v>
      </c>
      <c r="AA70" s="52"/>
    </row>
    <row r="71" spans="1:35" x14ac:dyDescent="0.2">
      <c r="A71" s="40" t="s">
        <v>329</v>
      </c>
      <c r="B71" s="40" t="s">
        <v>2684</v>
      </c>
      <c r="C71" s="40" t="s">
        <v>786</v>
      </c>
      <c r="O71" s="52"/>
      <c r="V71" s="52" t="e">
        <f t="shared" si="87"/>
        <v>#REF!</v>
      </c>
      <c r="W71" s="52" t="e">
        <f t="shared" ref="W71:W82" si="107">K70*AJ$51</f>
        <v>#REF!</v>
      </c>
      <c r="X71" s="52" t="e">
        <f t="shared" ref="X71:X82" si="108">L70*AK$51</f>
        <v>#REF!</v>
      </c>
      <c r="Y71" s="52" t="e">
        <f t="shared" ref="Y71:Y82" si="109">M70*AL$51</f>
        <v>#REF!</v>
      </c>
      <c r="Z71" s="52" t="e">
        <f t="shared" ref="Z71:Z82" si="110">N70*AM$51</f>
        <v>#REF!</v>
      </c>
      <c r="AA71" s="52"/>
    </row>
    <row r="72" spans="1:35" x14ac:dyDescent="0.2">
      <c r="A72" s="40" t="s">
        <v>329</v>
      </c>
      <c r="B72" s="40" t="s">
        <v>2665</v>
      </c>
      <c r="C72" s="40" t="s">
        <v>782</v>
      </c>
      <c r="O72" s="52"/>
      <c r="V72" s="52">
        <f t="shared" si="87"/>
        <v>0</v>
      </c>
      <c r="W72" s="52">
        <f t="shared" si="107"/>
        <v>0</v>
      </c>
      <c r="X72" s="52">
        <f t="shared" si="108"/>
        <v>0</v>
      </c>
      <c r="Y72" s="52">
        <f t="shared" si="109"/>
        <v>0</v>
      </c>
      <c r="Z72" s="52">
        <f t="shared" si="110"/>
        <v>0</v>
      </c>
      <c r="AA72" s="52"/>
    </row>
    <row r="73" spans="1:35" x14ac:dyDescent="0.2">
      <c r="A73" s="40" t="s">
        <v>329</v>
      </c>
      <c r="B73" s="40" t="s">
        <v>2666</v>
      </c>
      <c r="C73" s="40" t="s">
        <v>1676</v>
      </c>
      <c r="D73" s="52" t="e">
        <f>1/((1/#REF!*$AC$26+1/#REF!*$AC$27)/($AC26+$AC$27))</f>
        <v>#REF!</v>
      </c>
      <c r="E73" s="52" t="e">
        <f>1/((1/#REF!*$AD$26+1/#REF!*$AD$27)/($AD26+$AD$27))</f>
        <v>#REF!</v>
      </c>
      <c r="F73" s="52" t="e">
        <f>1/((1/#REF!*$AE$26+1/#REF!*$AE$27)/($AE26+$AE$27))</f>
        <v>#REF!</v>
      </c>
      <c r="G73" s="52" t="e">
        <f>1/((1/#REF!*$AF$26+1/#REF!*$AF$27)/($AF26+$AF$27))</f>
        <v>#REF!</v>
      </c>
      <c r="H73" s="52" t="e">
        <f>1/((1/#REF!*$AG$26+1/#REF!*$AG$27)/($AG26+$AG$27))</f>
        <v>#REF!</v>
      </c>
      <c r="I73" s="52" t="e">
        <f>1/((1/#REF!*$AH$26+1/#REF!*$AH$27)/($AH26+$AH$27))</f>
        <v>#REF!</v>
      </c>
      <c r="J73" s="52" t="e">
        <f>1/((1/#REF!*$AI$26+1/#REF!*$AI$27)/($AI26+$AI$27))</f>
        <v>#REF!</v>
      </c>
      <c r="K73" s="52" t="e">
        <f>1/((1/#REF!*$AJ$26+1/#REF!*$AJ$27)/($AJ26+$AJ$27))</f>
        <v>#REF!</v>
      </c>
      <c r="L73" s="52" t="e">
        <f t="shared" ref="L73:N81" si="111">K73</f>
        <v>#REF!</v>
      </c>
      <c r="M73" s="52" t="e">
        <f t="shared" si="111"/>
        <v>#REF!</v>
      </c>
      <c r="N73" s="52" t="e">
        <f t="shared" si="111"/>
        <v>#REF!</v>
      </c>
      <c r="O73" s="52"/>
      <c r="P73" s="52" t="e">
        <f>D73*AC$51</f>
        <v>#REF!</v>
      </c>
      <c r="Q73" s="52" t="e">
        <f t="shared" ref="Q73:U74" si="112">E73*AD$51</f>
        <v>#REF!</v>
      </c>
      <c r="R73" s="52" t="e">
        <f t="shared" si="112"/>
        <v>#REF!</v>
      </c>
      <c r="S73" s="52" t="e">
        <f t="shared" si="112"/>
        <v>#REF!</v>
      </c>
      <c r="T73" s="52" t="e">
        <f t="shared" si="112"/>
        <v>#REF!</v>
      </c>
      <c r="U73" s="52" t="e">
        <f t="shared" si="112"/>
        <v>#REF!</v>
      </c>
      <c r="V73" s="52" t="e">
        <f t="shared" ref="V73:V81" si="113">J73*AI$51</f>
        <v>#REF!</v>
      </c>
      <c r="W73" s="52" t="e">
        <f t="shared" ref="W73:W81" si="114">K73*AJ$51</f>
        <v>#REF!</v>
      </c>
      <c r="X73" s="52" t="e">
        <f t="shared" ref="X73:X81" si="115">L73*AK$51</f>
        <v>#REF!</v>
      </c>
      <c r="Y73" s="52" t="e">
        <f t="shared" ref="Y73:Y81" si="116">M73*AL$51</f>
        <v>#REF!</v>
      </c>
      <c r="Z73" s="52" t="e">
        <f t="shared" ref="Z73:Z81" si="117">N73*AM$51</f>
        <v>#REF!</v>
      </c>
      <c r="AA73" s="52"/>
    </row>
    <row r="74" spans="1:35" x14ac:dyDescent="0.2">
      <c r="A74" s="40" t="s">
        <v>329</v>
      </c>
      <c r="B74" s="40" t="s">
        <v>2670</v>
      </c>
      <c r="C74" s="40" t="s">
        <v>1584</v>
      </c>
      <c r="D74" s="52" t="e">
        <f>1/((1/#REF!*$AC$26+1/#REF!*$AC$27)/($AC26+$AC$27))</f>
        <v>#REF!</v>
      </c>
      <c r="E74" s="52" t="e">
        <f>1/((1/#REF!*$AD$26+1/#REF!*$AD$27)/($AD26+$AD$27))</f>
        <v>#REF!</v>
      </c>
      <c r="F74" s="52" t="e">
        <f>1/((1/#REF!*$AE$26+1/#REF!*$AE$27)/($AE26+$AE$27))</f>
        <v>#REF!</v>
      </c>
      <c r="G74" s="52" t="e">
        <f>1/((1/#REF!*$AF$26+1/#REF!*$AF$27)/($AF26+$AF$27))</f>
        <v>#REF!</v>
      </c>
      <c r="H74" s="52" t="e">
        <f>1/((1/#REF!*$AG$26+1/#REF!*$AG$27)/($AG26+$AG$27))</f>
        <v>#REF!</v>
      </c>
      <c r="I74" s="52" t="e">
        <f>1/((1/#REF!*$AH$26+1/#REF!*$AH$27)/($AH26+$AH$27))</f>
        <v>#REF!</v>
      </c>
      <c r="J74" s="52" t="e">
        <f>1/((1/#REF!*$AI$26+1/#REF!*$AI$27)/($AI26+$AI$27))</f>
        <v>#REF!</v>
      </c>
      <c r="K74" s="52" t="e">
        <f>1/((1/#REF!*$AJ$26+1/#REF!*$AJ$27)/($AJ26+$AJ$27))</f>
        <v>#REF!</v>
      </c>
      <c r="L74" s="52" t="e">
        <f t="shared" si="111"/>
        <v>#REF!</v>
      </c>
      <c r="M74" s="52" t="e">
        <f t="shared" si="111"/>
        <v>#REF!</v>
      </c>
      <c r="N74" s="52" t="e">
        <f t="shared" si="111"/>
        <v>#REF!</v>
      </c>
      <c r="O74" s="52"/>
      <c r="P74" s="52" t="e">
        <f>D74*AC$51</f>
        <v>#REF!</v>
      </c>
      <c r="Q74" s="52" t="e">
        <f t="shared" si="112"/>
        <v>#REF!</v>
      </c>
      <c r="R74" s="52" t="e">
        <f t="shared" si="112"/>
        <v>#REF!</v>
      </c>
      <c r="S74" s="52" t="e">
        <f t="shared" si="112"/>
        <v>#REF!</v>
      </c>
      <c r="T74" s="52" t="e">
        <f t="shared" si="112"/>
        <v>#REF!</v>
      </c>
      <c r="U74" s="52" t="e">
        <f t="shared" si="112"/>
        <v>#REF!</v>
      </c>
      <c r="V74" s="52" t="e">
        <f t="shared" si="113"/>
        <v>#REF!</v>
      </c>
      <c r="W74" s="52" t="e">
        <f t="shared" si="114"/>
        <v>#REF!</v>
      </c>
      <c r="X74" s="52" t="e">
        <f t="shared" si="115"/>
        <v>#REF!</v>
      </c>
      <c r="Y74" s="52" t="e">
        <f t="shared" si="116"/>
        <v>#REF!</v>
      </c>
      <c r="Z74" s="52" t="e">
        <f t="shared" si="117"/>
        <v>#REF!</v>
      </c>
      <c r="AA74" s="52"/>
    </row>
    <row r="75" spans="1:35" x14ac:dyDescent="0.2">
      <c r="A75" s="40" t="s">
        <v>329</v>
      </c>
      <c r="B75" s="40" t="s">
        <v>2671</v>
      </c>
      <c r="C75" s="40" t="s">
        <v>1697</v>
      </c>
      <c r="D75" s="52" t="s">
        <v>2715</v>
      </c>
      <c r="E75" s="52"/>
      <c r="F75" s="52" t="e">
        <f>#REF!</f>
        <v>#REF!</v>
      </c>
      <c r="G75" s="52" t="e">
        <f>1/((1/#REF!*$AF$26+1/#REF!*$AF$27)/($AF26+$AF$27))</f>
        <v>#REF!</v>
      </c>
      <c r="H75" s="52" t="e">
        <f>1/((1/#REF!*$AG$26+1/#REF!*$AG$27)/($AG26+$AG$27))</f>
        <v>#REF!</v>
      </c>
      <c r="I75" s="52" t="e">
        <f>1/((1/#REF!*$AH$26+1/#REF!*$AH$27)/($AH26+$AH$27))</f>
        <v>#REF!</v>
      </c>
      <c r="J75" s="52" t="e">
        <f>1/((1/#REF!*$AI$26+1/#REF!*$AI$27)/($AI26+$AI$27))</f>
        <v>#REF!</v>
      </c>
      <c r="K75" s="52" t="e">
        <f>1/((1/#REF!*$AJ$26+1/#REF!*$AJ$27)/($AJ26+$AJ$27))</f>
        <v>#REF!</v>
      </c>
      <c r="L75" s="52" t="e">
        <f t="shared" si="111"/>
        <v>#REF!</v>
      </c>
      <c r="M75" s="52" t="e">
        <f t="shared" si="111"/>
        <v>#REF!</v>
      </c>
      <c r="N75" s="52" t="e">
        <f t="shared" si="111"/>
        <v>#REF!</v>
      </c>
      <c r="O75" s="52"/>
      <c r="P75" s="52"/>
      <c r="Q75" s="52">
        <f t="shared" ref="Q75:U79" si="118">E75*AD$51</f>
        <v>0</v>
      </c>
      <c r="R75" s="52" t="e">
        <f t="shared" si="118"/>
        <v>#REF!</v>
      </c>
      <c r="S75" s="52" t="e">
        <f t="shared" si="118"/>
        <v>#REF!</v>
      </c>
      <c r="T75" s="52" t="e">
        <f t="shared" si="118"/>
        <v>#REF!</v>
      </c>
      <c r="U75" s="52" t="e">
        <f t="shared" si="118"/>
        <v>#REF!</v>
      </c>
      <c r="V75" s="52" t="e">
        <f t="shared" si="113"/>
        <v>#REF!</v>
      </c>
      <c r="W75" s="52" t="e">
        <f t="shared" si="114"/>
        <v>#REF!</v>
      </c>
      <c r="X75" s="52" t="e">
        <f t="shared" si="115"/>
        <v>#REF!</v>
      </c>
      <c r="Y75" s="52" t="e">
        <f t="shared" si="116"/>
        <v>#REF!</v>
      </c>
      <c r="Z75" s="52" t="e">
        <f t="shared" si="117"/>
        <v>#REF!</v>
      </c>
      <c r="AA75" s="52"/>
    </row>
    <row r="76" spans="1:35" x14ac:dyDescent="0.2">
      <c r="A76" s="40" t="s">
        <v>329</v>
      </c>
      <c r="B76" s="40" t="s">
        <v>338</v>
      </c>
      <c r="C76" s="40" t="s">
        <v>1716</v>
      </c>
      <c r="D76" s="52" t="e">
        <f>#REF!</f>
        <v>#REF!</v>
      </c>
      <c r="E76" s="52" t="e">
        <f>#REF!</f>
        <v>#REF!</v>
      </c>
      <c r="F76" s="52" t="e">
        <f>#REF!</f>
        <v>#REF!</v>
      </c>
      <c r="G76" s="52" t="e">
        <f>#REF!</f>
        <v>#REF!</v>
      </c>
      <c r="H76" s="52" t="e">
        <f>#REF!</f>
        <v>#REF!</v>
      </c>
      <c r="I76" s="52" t="e">
        <f>#REF!</f>
        <v>#REF!</v>
      </c>
      <c r="J76" s="52" t="e">
        <f>#REF!</f>
        <v>#REF!</v>
      </c>
      <c r="K76" s="52" t="e">
        <f>#REF!</f>
        <v>#REF!</v>
      </c>
      <c r="L76" s="52" t="e">
        <f t="shared" si="111"/>
        <v>#REF!</v>
      </c>
      <c r="M76" s="52" t="e">
        <f t="shared" si="111"/>
        <v>#REF!</v>
      </c>
      <c r="N76" s="52" t="e">
        <f t="shared" si="111"/>
        <v>#REF!</v>
      </c>
      <c r="O76" s="52"/>
      <c r="P76" s="52" t="e">
        <f>D76*AC$51</f>
        <v>#REF!</v>
      </c>
      <c r="Q76" s="52" t="e">
        <f t="shared" si="118"/>
        <v>#REF!</v>
      </c>
      <c r="R76" s="52" t="e">
        <f t="shared" si="118"/>
        <v>#REF!</v>
      </c>
      <c r="S76" s="52" t="e">
        <f t="shared" si="118"/>
        <v>#REF!</v>
      </c>
      <c r="T76" s="52" t="e">
        <f t="shared" si="118"/>
        <v>#REF!</v>
      </c>
      <c r="U76" s="52" t="e">
        <f t="shared" si="118"/>
        <v>#REF!</v>
      </c>
      <c r="V76" s="52" t="e">
        <f t="shared" si="113"/>
        <v>#REF!</v>
      </c>
      <c r="W76" s="52" t="e">
        <f t="shared" si="114"/>
        <v>#REF!</v>
      </c>
      <c r="X76" s="52" t="e">
        <f t="shared" si="115"/>
        <v>#REF!</v>
      </c>
      <c r="Y76" s="52" t="e">
        <f t="shared" si="116"/>
        <v>#REF!</v>
      </c>
      <c r="Z76" s="52" t="e">
        <f t="shared" si="117"/>
        <v>#REF!</v>
      </c>
      <c r="AA76" s="52"/>
    </row>
    <row r="77" spans="1:35" x14ac:dyDescent="0.2">
      <c r="A77" s="40" t="s">
        <v>329</v>
      </c>
      <c r="B77" s="40" t="s">
        <v>2674</v>
      </c>
      <c r="C77" s="40" t="s">
        <v>1739</v>
      </c>
      <c r="D77" s="52" t="e">
        <f>#REF!</f>
        <v>#REF!</v>
      </c>
      <c r="E77" s="52" t="e">
        <f>#REF!</f>
        <v>#REF!</v>
      </c>
      <c r="F77" s="52" t="e">
        <f>#REF!</f>
        <v>#REF!</v>
      </c>
      <c r="G77" s="52" t="e">
        <f>#REF!</f>
        <v>#REF!</v>
      </c>
      <c r="H77" s="52" t="e">
        <f>#REF!</f>
        <v>#REF!</v>
      </c>
      <c r="I77" s="52" t="e">
        <f>#REF!</f>
        <v>#REF!</v>
      </c>
      <c r="J77" s="52" t="e">
        <f>#REF!</f>
        <v>#REF!</v>
      </c>
      <c r="K77" s="52" t="e">
        <f>#REF!</f>
        <v>#REF!</v>
      </c>
      <c r="L77" s="52" t="e">
        <f t="shared" si="111"/>
        <v>#REF!</v>
      </c>
      <c r="M77" s="52" t="e">
        <f t="shared" si="111"/>
        <v>#REF!</v>
      </c>
      <c r="N77" s="52" t="e">
        <f t="shared" si="111"/>
        <v>#REF!</v>
      </c>
      <c r="O77" s="52"/>
      <c r="P77" s="52" t="e">
        <f>D77*AC$51</f>
        <v>#REF!</v>
      </c>
      <c r="Q77" s="52" t="e">
        <f t="shared" si="118"/>
        <v>#REF!</v>
      </c>
      <c r="R77" s="52" t="e">
        <f t="shared" si="118"/>
        <v>#REF!</v>
      </c>
      <c r="S77" s="52" t="e">
        <f t="shared" si="118"/>
        <v>#REF!</v>
      </c>
      <c r="T77" s="52" t="e">
        <f t="shared" si="118"/>
        <v>#REF!</v>
      </c>
      <c r="U77" s="52" t="e">
        <f t="shared" si="118"/>
        <v>#REF!</v>
      </c>
      <c r="V77" s="52" t="e">
        <f t="shared" si="113"/>
        <v>#REF!</v>
      </c>
      <c r="W77" s="52" t="e">
        <f t="shared" si="114"/>
        <v>#REF!</v>
      </c>
      <c r="X77" s="52" t="e">
        <f t="shared" si="115"/>
        <v>#REF!</v>
      </c>
      <c r="Y77" s="52" t="e">
        <f t="shared" si="116"/>
        <v>#REF!</v>
      </c>
      <c r="Z77" s="52" t="e">
        <f t="shared" si="117"/>
        <v>#REF!</v>
      </c>
      <c r="AA77" s="52"/>
    </row>
    <row r="78" spans="1:35" x14ac:dyDescent="0.2">
      <c r="A78" s="40" t="s">
        <v>329</v>
      </c>
      <c r="B78" s="40" t="s">
        <v>2675</v>
      </c>
      <c r="C78" s="40" t="s">
        <v>1762</v>
      </c>
      <c r="D78" s="52"/>
      <c r="E78" s="52"/>
      <c r="F78" s="52" t="e">
        <f t="shared" ref="F78:K78" si="119">F75*$AC$45</f>
        <v>#REF!</v>
      </c>
      <c r="G78" s="52" t="e">
        <f t="shared" si="119"/>
        <v>#REF!</v>
      </c>
      <c r="H78" s="52" t="e">
        <f t="shared" si="119"/>
        <v>#REF!</v>
      </c>
      <c r="I78" s="52" t="e">
        <f t="shared" si="119"/>
        <v>#REF!</v>
      </c>
      <c r="J78" s="52" t="e">
        <f t="shared" si="119"/>
        <v>#REF!</v>
      </c>
      <c r="K78" s="52" t="e">
        <f t="shared" si="119"/>
        <v>#REF!</v>
      </c>
      <c r="L78" s="52" t="e">
        <f t="shared" si="111"/>
        <v>#REF!</v>
      </c>
      <c r="M78" s="52" t="e">
        <f t="shared" si="111"/>
        <v>#REF!</v>
      </c>
      <c r="N78" s="52" t="e">
        <f t="shared" si="111"/>
        <v>#REF!</v>
      </c>
      <c r="O78" s="52"/>
      <c r="P78" s="52"/>
      <c r="Q78" s="52">
        <f t="shared" si="118"/>
        <v>0</v>
      </c>
      <c r="R78" s="52" t="e">
        <f t="shared" si="118"/>
        <v>#REF!</v>
      </c>
      <c r="S78" s="52" t="e">
        <f t="shared" si="118"/>
        <v>#REF!</v>
      </c>
      <c r="T78" s="52" t="e">
        <f t="shared" si="118"/>
        <v>#REF!</v>
      </c>
      <c r="U78" s="52" t="e">
        <f t="shared" si="118"/>
        <v>#REF!</v>
      </c>
      <c r="V78" s="52" t="e">
        <f t="shared" si="113"/>
        <v>#REF!</v>
      </c>
      <c r="W78" s="52" t="e">
        <f t="shared" si="114"/>
        <v>#REF!</v>
      </c>
      <c r="X78" s="52" t="e">
        <f t="shared" si="115"/>
        <v>#REF!</v>
      </c>
      <c r="Y78" s="52" t="e">
        <f t="shared" si="116"/>
        <v>#REF!</v>
      </c>
      <c r="Z78" s="52" t="e">
        <f t="shared" si="117"/>
        <v>#REF!</v>
      </c>
      <c r="AA78" s="52"/>
    </row>
    <row r="79" spans="1:35" x14ac:dyDescent="0.2">
      <c r="A79" s="40" t="s">
        <v>2654</v>
      </c>
      <c r="B79" s="40" t="s">
        <v>2661</v>
      </c>
      <c r="C79" s="40" t="s">
        <v>2706</v>
      </c>
      <c r="D79" s="52" t="e">
        <f t="shared" ref="D79:I79" si="120">D87*(1+$AD$36)</f>
        <v>#REF!</v>
      </c>
      <c r="E79" s="52" t="e">
        <f t="shared" si="120"/>
        <v>#REF!</v>
      </c>
      <c r="F79" s="52" t="e">
        <f t="shared" si="120"/>
        <v>#REF!</v>
      </c>
      <c r="G79" s="52" t="e">
        <f t="shared" si="120"/>
        <v>#REF!</v>
      </c>
      <c r="H79" s="52" t="e">
        <f t="shared" si="120"/>
        <v>#REF!</v>
      </c>
      <c r="I79" s="52" t="e">
        <f t="shared" si="120"/>
        <v>#REF!</v>
      </c>
      <c r="J79" s="52" t="e">
        <f>J87*(1+$AD$36)</f>
        <v>#REF!</v>
      </c>
      <c r="K79" s="52" t="e">
        <f>K87*(1+$AD$36)</f>
        <v>#REF!</v>
      </c>
      <c r="L79" s="52" t="e">
        <f t="shared" si="111"/>
        <v>#REF!</v>
      </c>
      <c r="M79" s="52" t="e">
        <f t="shared" si="111"/>
        <v>#REF!</v>
      </c>
      <c r="N79" s="52" t="e">
        <f t="shared" si="111"/>
        <v>#REF!</v>
      </c>
      <c r="O79" s="52"/>
      <c r="P79" s="52" t="e">
        <f>D79*AC$51</f>
        <v>#REF!</v>
      </c>
      <c r="Q79" s="52" t="e">
        <f t="shared" si="118"/>
        <v>#REF!</v>
      </c>
      <c r="R79" s="52" t="e">
        <f t="shared" si="118"/>
        <v>#REF!</v>
      </c>
      <c r="S79" s="52" t="e">
        <f t="shared" si="118"/>
        <v>#REF!</v>
      </c>
      <c r="T79" s="52" t="e">
        <f t="shared" si="118"/>
        <v>#REF!</v>
      </c>
      <c r="U79" s="52" t="e">
        <f t="shared" si="118"/>
        <v>#REF!</v>
      </c>
      <c r="V79" s="52" t="e">
        <f t="shared" si="113"/>
        <v>#REF!</v>
      </c>
      <c r="W79" s="52" t="e">
        <f t="shared" si="114"/>
        <v>#REF!</v>
      </c>
      <c r="X79" s="52" t="e">
        <f t="shared" si="115"/>
        <v>#REF!</v>
      </c>
      <c r="Y79" s="52" t="e">
        <f t="shared" si="116"/>
        <v>#REF!</v>
      </c>
      <c r="Z79" s="52" t="e">
        <f t="shared" si="117"/>
        <v>#REF!</v>
      </c>
      <c r="AA79" s="52"/>
    </row>
    <row r="80" spans="1:35" x14ac:dyDescent="0.2">
      <c r="A80" s="40" t="s">
        <v>2654</v>
      </c>
      <c r="B80" s="40" t="s">
        <v>2664</v>
      </c>
      <c r="C80" s="40" t="s">
        <v>1804</v>
      </c>
      <c r="D80" s="52"/>
      <c r="E80" s="52"/>
      <c r="F80" s="52"/>
      <c r="G80" s="52" t="e">
        <f>#REF!</f>
        <v>#REF!</v>
      </c>
      <c r="H80" s="52" t="e">
        <f>#REF!</f>
        <v>#REF!</v>
      </c>
      <c r="I80" s="52" t="e">
        <f>#REF!</f>
        <v>#REF!</v>
      </c>
      <c r="J80" s="52" t="e">
        <f>#REF!</f>
        <v>#REF!</v>
      </c>
      <c r="K80" s="52" t="e">
        <f>#REF!</f>
        <v>#REF!</v>
      </c>
      <c r="L80" s="52" t="e">
        <f t="shared" si="111"/>
        <v>#REF!</v>
      </c>
      <c r="M80" s="52" t="e">
        <f t="shared" si="111"/>
        <v>#REF!</v>
      </c>
      <c r="N80" s="52" t="e">
        <f t="shared" si="111"/>
        <v>#REF!</v>
      </c>
      <c r="O80" s="52"/>
      <c r="P80" s="52"/>
      <c r="Q80" s="52"/>
      <c r="R80" s="52"/>
      <c r="S80" s="52" t="e">
        <f t="shared" ref="S80:U81" si="121">G80*AF$51</f>
        <v>#REF!</v>
      </c>
      <c r="T80" s="52" t="e">
        <f t="shared" si="121"/>
        <v>#REF!</v>
      </c>
      <c r="U80" s="52" t="e">
        <f t="shared" si="121"/>
        <v>#REF!</v>
      </c>
      <c r="V80" s="52" t="e">
        <f t="shared" si="113"/>
        <v>#REF!</v>
      </c>
      <c r="W80" s="52" t="e">
        <f t="shared" si="114"/>
        <v>#REF!</v>
      </c>
      <c r="X80" s="52" t="e">
        <f t="shared" si="115"/>
        <v>#REF!</v>
      </c>
      <c r="Y80" s="52" t="e">
        <f t="shared" si="116"/>
        <v>#REF!</v>
      </c>
      <c r="Z80" s="52" t="e">
        <f t="shared" si="117"/>
        <v>#REF!</v>
      </c>
      <c r="AA80" s="52"/>
    </row>
    <row r="81" spans="1:27" x14ac:dyDescent="0.2">
      <c r="A81" s="40" t="s">
        <v>2654</v>
      </c>
      <c r="B81" s="40" t="s">
        <v>477</v>
      </c>
      <c r="C81" s="40" t="s">
        <v>1819</v>
      </c>
      <c r="D81" s="52" t="e">
        <f>#REF!</f>
        <v>#REF!</v>
      </c>
      <c r="E81" s="52" t="e">
        <f>#REF!</f>
        <v>#REF!</v>
      </c>
      <c r="F81" s="52" t="e">
        <f>#REF!</f>
        <v>#REF!</v>
      </c>
      <c r="G81" s="52" t="e">
        <f>#REF!</f>
        <v>#REF!</v>
      </c>
      <c r="H81" s="52" t="e">
        <f>#REF!</f>
        <v>#REF!</v>
      </c>
      <c r="I81" s="52" t="e">
        <f>#REF!</f>
        <v>#REF!</v>
      </c>
      <c r="J81" s="52" t="e">
        <f>#REF!</f>
        <v>#REF!</v>
      </c>
      <c r="K81" s="52" t="e">
        <f>#REF!</f>
        <v>#REF!</v>
      </c>
      <c r="L81" s="52" t="e">
        <f t="shared" si="111"/>
        <v>#REF!</v>
      </c>
      <c r="M81" s="52" t="e">
        <f t="shared" si="111"/>
        <v>#REF!</v>
      </c>
      <c r="N81" s="52" t="e">
        <f t="shared" si="111"/>
        <v>#REF!</v>
      </c>
      <c r="O81" s="52"/>
      <c r="P81" s="52" t="e">
        <f>D81*AC$51</f>
        <v>#REF!</v>
      </c>
      <c r="Q81" s="52" t="e">
        <f>E81*AD$51</f>
        <v>#REF!</v>
      </c>
      <c r="R81" s="52" t="e">
        <f>F81*AE$51</f>
        <v>#REF!</v>
      </c>
      <c r="S81" s="52" t="e">
        <f t="shared" si="121"/>
        <v>#REF!</v>
      </c>
      <c r="T81" s="52" t="e">
        <f t="shared" si="121"/>
        <v>#REF!</v>
      </c>
      <c r="U81" s="52" t="e">
        <f t="shared" si="121"/>
        <v>#REF!</v>
      </c>
      <c r="V81" s="52" t="e">
        <f t="shared" si="113"/>
        <v>#REF!</v>
      </c>
      <c r="W81" s="52" t="e">
        <f t="shared" si="114"/>
        <v>#REF!</v>
      </c>
      <c r="X81" s="52" t="e">
        <f t="shared" si="115"/>
        <v>#REF!</v>
      </c>
      <c r="Y81" s="52" t="e">
        <f t="shared" si="116"/>
        <v>#REF!</v>
      </c>
      <c r="Z81" s="52" t="e">
        <f t="shared" si="117"/>
        <v>#REF!</v>
      </c>
      <c r="AA81" s="52"/>
    </row>
    <row r="82" spans="1:27" x14ac:dyDescent="0.2">
      <c r="A82" s="40" t="s">
        <v>2654</v>
      </c>
      <c r="B82" s="40" t="s">
        <v>2665</v>
      </c>
      <c r="C82" s="40" t="s">
        <v>773</v>
      </c>
      <c r="V82" s="52" t="e">
        <f t="shared" si="87"/>
        <v>#REF!</v>
      </c>
      <c r="W82" s="52" t="e">
        <f t="shared" si="107"/>
        <v>#REF!</v>
      </c>
      <c r="X82" s="52" t="e">
        <f t="shared" si="108"/>
        <v>#REF!</v>
      </c>
      <c r="Y82" s="52" t="e">
        <f t="shared" si="109"/>
        <v>#REF!</v>
      </c>
      <c r="Z82" s="52" t="e">
        <f t="shared" si="110"/>
        <v>#REF!</v>
      </c>
      <c r="AA82" s="52"/>
    </row>
    <row r="83" spans="1:27" x14ac:dyDescent="0.2">
      <c r="A83" s="40" t="s">
        <v>2654</v>
      </c>
      <c r="B83" s="40" t="s">
        <v>743</v>
      </c>
      <c r="C83" s="40" t="s">
        <v>1842</v>
      </c>
      <c r="D83" s="52" t="e">
        <f>#REF!</f>
        <v>#REF!</v>
      </c>
      <c r="E83" s="52" t="e">
        <f>#REF!</f>
        <v>#REF!</v>
      </c>
      <c r="F83" s="52" t="e">
        <f>#REF!</f>
        <v>#REF!</v>
      </c>
      <c r="G83" s="52" t="e">
        <f>#REF!</f>
        <v>#REF!</v>
      </c>
      <c r="H83" s="52" t="e">
        <f>#REF!</f>
        <v>#REF!</v>
      </c>
      <c r="I83" s="52" t="e">
        <f>#REF!</f>
        <v>#REF!</v>
      </c>
      <c r="J83" s="52" t="e">
        <f>#REF!</f>
        <v>#REF!</v>
      </c>
      <c r="K83" s="52" t="e">
        <f>#REF!</f>
        <v>#REF!</v>
      </c>
      <c r="L83" s="52" t="e">
        <f t="shared" ref="K83:N89" si="122">K83</f>
        <v>#REF!</v>
      </c>
      <c r="M83" s="52" t="e">
        <f t="shared" si="122"/>
        <v>#REF!</v>
      </c>
      <c r="N83" s="52" t="e">
        <f t="shared" si="122"/>
        <v>#REF!</v>
      </c>
      <c r="O83" s="52"/>
      <c r="P83" s="52" t="e">
        <f t="shared" ref="P83:U83" si="123">D83*AC$51</f>
        <v>#REF!</v>
      </c>
      <c r="Q83" s="52" t="e">
        <f t="shared" si="123"/>
        <v>#REF!</v>
      </c>
      <c r="R83" s="52" t="e">
        <f t="shared" si="123"/>
        <v>#REF!</v>
      </c>
      <c r="S83" s="52" t="e">
        <f t="shared" si="123"/>
        <v>#REF!</v>
      </c>
      <c r="T83" s="52" t="e">
        <f t="shared" si="123"/>
        <v>#REF!</v>
      </c>
      <c r="U83" s="52" t="e">
        <f t="shared" si="123"/>
        <v>#REF!</v>
      </c>
      <c r="V83" s="52" t="e">
        <f t="shared" ref="V83:V89" si="124">J83*AI$51</f>
        <v>#REF!</v>
      </c>
      <c r="W83" s="52" t="e">
        <f t="shared" ref="W83:W89" si="125">K83*AJ$51</f>
        <v>#REF!</v>
      </c>
      <c r="X83" s="52" t="e">
        <f t="shared" ref="X83:X89" si="126">L83*AK$51</f>
        <v>#REF!</v>
      </c>
      <c r="Y83" s="52" t="e">
        <f t="shared" ref="Y83:Y89" si="127">M83*AL$51</f>
        <v>#REF!</v>
      </c>
      <c r="Z83" s="52" t="e">
        <f t="shared" ref="Z83:Z89" si="128">N83*AM$51</f>
        <v>#REF!</v>
      </c>
      <c r="AA83" s="52"/>
    </row>
    <row r="84" spans="1:27" x14ac:dyDescent="0.2">
      <c r="A84" s="40" t="s">
        <v>2654</v>
      </c>
      <c r="B84" s="40" t="s">
        <v>2666</v>
      </c>
      <c r="C84" s="40" t="s">
        <v>1865</v>
      </c>
      <c r="D84" s="52"/>
      <c r="E84" s="52" t="e">
        <f>#REF!</f>
        <v>#REF!</v>
      </c>
      <c r="F84" s="52" t="e">
        <f>#REF!</f>
        <v>#REF!</v>
      </c>
      <c r="G84" s="52" t="e">
        <f>#REF!</f>
        <v>#REF!</v>
      </c>
      <c r="H84" s="52" t="e">
        <f>#REF!</f>
        <v>#REF!</v>
      </c>
      <c r="I84" s="52" t="e">
        <f>#REF!</f>
        <v>#REF!</v>
      </c>
      <c r="J84" s="52" t="e">
        <f>#REF!</f>
        <v>#REF!</v>
      </c>
      <c r="K84" s="52" t="e">
        <f>#REF!</f>
        <v>#REF!</v>
      </c>
      <c r="L84" s="52" t="e">
        <f t="shared" si="122"/>
        <v>#REF!</v>
      </c>
      <c r="M84" s="52" t="e">
        <f t="shared" si="122"/>
        <v>#REF!</v>
      </c>
      <c r="N84" s="52" t="e">
        <f t="shared" si="122"/>
        <v>#REF!</v>
      </c>
      <c r="O84" s="52"/>
      <c r="P84" s="52"/>
      <c r="Q84" s="52" t="e">
        <f>E84*AD$51</f>
        <v>#REF!</v>
      </c>
      <c r="R84" s="52" t="e">
        <f>F84*AE$51</f>
        <v>#REF!</v>
      </c>
      <c r="S84" s="52" t="e">
        <f>G84*AF$51</f>
        <v>#REF!</v>
      </c>
      <c r="T84" s="52" t="e">
        <f>H84*AG$51</f>
        <v>#REF!</v>
      </c>
      <c r="U84" s="52" t="e">
        <f>I84*AH$51</f>
        <v>#REF!</v>
      </c>
      <c r="V84" s="52" t="e">
        <f t="shared" si="124"/>
        <v>#REF!</v>
      </c>
      <c r="W84" s="52" t="e">
        <f t="shared" si="125"/>
        <v>#REF!</v>
      </c>
      <c r="X84" s="52" t="e">
        <f t="shared" si="126"/>
        <v>#REF!</v>
      </c>
      <c r="Y84" s="52" t="e">
        <f t="shared" si="127"/>
        <v>#REF!</v>
      </c>
      <c r="Z84" s="52" t="e">
        <f t="shared" si="128"/>
        <v>#REF!</v>
      </c>
      <c r="AA84" s="52"/>
    </row>
    <row r="85" spans="1:27" x14ac:dyDescent="0.2">
      <c r="A85" s="40" t="s">
        <v>2654</v>
      </c>
      <c r="B85" s="40" t="s">
        <v>2696</v>
      </c>
      <c r="C85" s="40" t="s">
        <v>1884</v>
      </c>
      <c r="D85" s="52"/>
      <c r="E85" s="52"/>
      <c r="F85" s="52" t="e">
        <f>#REF!</f>
        <v>#REF!</v>
      </c>
      <c r="G85" s="52" t="e">
        <f>#REF!</f>
        <v>#REF!</v>
      </c>
      <c r="H85" s="52" t="e">
        <f>#REF!</f>
        <v>#REF!</v>
      </c>
      <c r="I85" s="52" t="e">
        <f>#REF!</f>
        <v>#REF!</v>
      </c>
      <c r="J85" s="52" t="e">
        <f>#REF!</f>
        <v>#REF!</v>
      </c>
      <c r="K85" s="52" t="e">
        <f t="shared" si="122"/>
        <v>#REF!</v>
      </c>
      <c r="L85" s="52" t="e">
        <f t="shared" si="122"/>
        <v>#REF!</v>
      </c>
      <c r="M85" s="52" t="e">
        <f t="shared" si="122"/>
        <v>#REF!</v>
      </c>
      <c r="N85" s="52" t="e">
        <f t="shared" si="122"/>
        <v>#REF!</v>
      </c>
      <c r="O85" s="52"/>
      <c r="P85" s="52"/>
      <c r="Q85" s="52"/>
      <c r="R85" s="52" t="e">
        <f t="shared" ref="R85:U89" si="129">F85*AE$51</f>
        <v>#REF!</v>
      </c>
      <c r="S85" s="52" t="e">
        <f t="shared" si="129"/>
        <v>#REF!</v>
      </c>
      <c r="T85" s="52" t="e">
        <f t="shared" si="129"/>
        <v>#REF!</v>
      </c>
      <c r="U85" s="52" t="e">
        <f t="shared" si="129"/>
        <v>#REF!</v>
      </c>
      <c r="V85" s="52" t="e">
        <f t="shared" si="124"/>
        <v>#REF!</v>
      </c>
      <c r="W85" s="52" t="e">
        <f t="shared" si="125"/>
        <v>#REF!</v>
      </c>
      <c r="X85" s="52" t="e">
        <f t="shared" si="126"/>
        <v>#REF!</v>
      </c>
      <c r="Y85" s="52" t="e">
        <f t="shared" si="127"/>
        <v>#REF!</v>
      </c>
      <c r="Z85" s="52" t="e">
        <f t="shared" si="128"/>
        <v>#REF!</v>
      </c>
      <c r="AA85" s="52"/>
    </row>
    <row r="86" spans="1:27" x14ac:dyDescent="0.2">
      <c r="A86" s="40" t="s">
        <v>2654</v>
      </c>
      <c r="B86" s="40" t="s">
        <v>2667</v>
      </c>
      <c r="C86" s="40" t="s">
        <v>1901</v>
      </c>
      <c r="D86" s="52" t="e">
        <f>#REF!</f>
        <v>#REF!</v>
      </c>
      <c r="E86" s="52" t="e">
        <f>#REF!</f>
        <v>#REF!</v>
      </c>
      <c r="F86" s="52" t="e">
        <f>#REF!</f>
        <v>#REF!</v>
      </c>
      <c r="G86" s="52" t="e">
        <f>#REF!</f>
        <v>#REF!</v>
      </c>
      <c r="H86" s="52" t="e">
        <f>#REF!</f>
        <v>#REF!</v>
      </c>
      <c r="I86" s="52" t="e">
        <f>#REF!</f>
        <v>#REF!</v>
      </c>
      <c r="J86" s="52" t="e">
        <f>#REF!</f>
        <v>#REF!</v>
      </c>
      <c r="K86" s="52" t="e">
        <f>#REF!</f>
        <v>#REF!</v>
      </c>
      <c r="L86" s="52" t="e">
        <f t="shared" si="122"/>
        <v>#REF!</v>
      </c>
      <c r="M86" s="52" t="e">
        <f t="shared" si="122"/>
        <v>#REF!</v>
      </c>
      <c r="N86" s="52" t="e">
        <f t="shared" si="122"/>
        <v>#REF!</v>
      </c>
      <c r="O86" s="52"/>
      <c r="P86" s="52" t="e">
        <f>D86*AC$51</f>
        <v>#REF!</v>
      </c>
      <c r="Q86" s="52" t="e">
        <f>E86*AD$51</f>
        <v>#REF!</v>
      </c>
      <c r="R86" s="52" t="e">
        <f t="shared" si="129"/>
        <v>#REF!</v>
      </c>
      <c r="S86" s="52" t="e">
        <f t="shared" si="129"/>
        <v>#REF!</v>
      </c>
      <c r="T86" s="52" t="e">
        <f t="shared" si="129"/>
        <v>#REF!</v>
      </c>
      <c r="U86" s="52" t="e">
        <f t="shared" si="129"/>
        <v>#REF!</v>
      </c>
      <c r="V86" s="52" t="e">
        <f t="shared" si="124"/>
        <v>#REF!</v>
      </c>
      <c r="W86" s="52" t="e">
        <f t="shared" si="125"/>
        <v>#REF!</v>
      </c>
      <c r="X86" s="52" t="e">
        <f t="shared" si="126"/>
        <v>#REF!</v>
      </c>
      <c r="Y86" s="52" t="e">
        <f t="shared" si="127"/>
        <v>#REF!</v>
      </c>
      <c r="Z86" s="52" t="e">
        <f t="shared" si="128"/>
        <v>#REF!</v>
      </c>
      <c r="AA86" s="52"/>
    </row>
    <row r="87" spans="1:27" x14ac:dyDescent="0.2">
      <c r="A87" s="40" t="s">
        <v>2654</v>
      </c>
      <c r="B87" s="40" t="s">
        <v>2670</v>
      </c>
      <c r="C87" s="40" t="s">
        <v>1781</v>
      </c>
      <c r="D87" s="52" t="e">
        <f>#REF!</f>
        <v>#REF!</v>
      </c>
      <c r="E87" s="52" t="e">
        <f>#REF!</f>
        <v>#REF!</v>
      </c>
      <c r="F87" s="52" t="e">
        <f>#REF!</f>
        <v>#REF!</v>
      </c>
      <c r="G87" s="52" t="e">
        <f>#REF!</f>
        <v>#REF!</v>
      </c>
      <c r="H87" s="52" t="e">
        <f>#REF!</f>
        <v>#REF!</v>
      </c>
      <c r="I87" s="52" t="e">
        <f>#REF!</f>
        <v>#REF!</v>
      </c>
      <c r="J87" s="52" t="e">
        <f>#REF!</f>
        <v>#REF!</v>
      </c>
      <c r="K87" s="52" t="e">
        <f>#REF!</f>
        <v>#REF!</v>
      </c>
      <c r="L87" s="52" t="e">
        <f t="shared" si="122"/>
        <v>#REF!</v>
      </c>
      <c r="M87" s="52" t="e">
        <f t="shared" si="122"/>
        <v>#REF!</v>
      </c>
      <c r="N87" s="52" t="e">
        <f t="shared" si="122"/>
        <v>#REF!</v>
      </c>
      <c r="O87" s="52"/>
      <c r="P87" s="52" t="e">
        <f>D87*AC$51</f>
        <v>#REF!</v>
      </c>
      <c r="Q87" s="52" t="e">
        <f>E87*AD$51</f>
        <v>#REF!</v>
      </c>
      <c r="R87" s="52" t="e">
        <f t="shared" si="129"/>
        <v>#REF!</v>
      </c>
      <c r="S87" s="52" t="e">
        <f t="shared" si="129"/>
        <v>#REF!</v>
      </c>
      <c r="T87" s="52" t="e">
        <f t="shared" si="129"/>
        <v>#REF!</v>
      </c>
      <c r="U87" s="52" t="e">
        <f t="shared" si="129"/>
        <v>#REF!</v>
      </c>
      <c r="V87" s="52" t="e">
        <f t="shared" si="124"/>
        <v>#REF!</v>
      </c>
      <c r="W87" s="52" t="e">
        <f t="shared" si="125"/>
        <v>#REF!</v>
      </c>
      <c r="X87" s="52" t="e">
        <f t="shared" si="126"/>
        <v>#REF!</v>
      </c>
      <c r="Y87" s="52" t="e">
        <f t="shared" si="127"/>
        <v>#REF!</v>
      </c>
      <c r="Z87" s="52" t="e">
        <f t="shared" si="128"/>
        <v>#REF!</v>
      </c>
    </row>
    <row r="88" spans="1:27" x14ac:dyDescent="0.2">
      <c r="A88" s="40" t="s">
        <v>2654</v>
      </c>
      <c r="B88" s="40" t="s">
        <v>2671</v>
      </c>
      <c r="C88" s="40" t="s">
        <v>1922</v>
      </c>
      <c r="D88" s="52"/>
      <c r="E88" s="52" t="e">
        <f>#REF!</f>
        <v>#REF!</v>
      </c>
      <c r="F88" s="52" t="e">
        <f>#REF!</f>
        <v>#REF!</v>
      </c>
      <c r="G88" s="52" t="e">
        <f>#REF!</f>
        <v>#REF!</v>
      </c>
      <c r="H88" s="52" t="e">
        <f>#REF!</f>
        <v>#REF!</v>
      </c>
      <c r="I88" s="52" t="e">
        <f>#REF!</f>
        <v>#REF!</v>
      </c>
      <c r="J88" s="52" t="e">
        <f>#REF!</f>
        <v>#REF!</v>
      </c>
      <c r="K88" s="52" t="e">
        <f>#REF!</f>
        <v>#REF!</v>
      </c>
      <c r="L88" s="52" t="e">
        <f t="shared" si="122"/>
        <v>#REF!</v>
      </c>
      <c r="M88" s="52" t="e">
        <f t="shared" si="122"/>
        <v>#REF!</v>
      </c>
      <c r="N88" s="52" t="e">
        <f t="shared" si="122"/>
        <v>#REF!</v>
      </c>
      <c r="O88" s="52"/>
      <c r="P88" s="52"/>
      <c r="Q88" s="52" t="e">
        <f>E88*AD$51</f>
        <v>#REF!</v>
      </c>
      <c r="R88" s="52" t="e">
        <f t="shared" si="129"/>
        <v>#REF!</v>
      </c>
      <c r="S88" s="52" t="e">
        <f t="shared" si="129"/>
        <v>#REF!</v>
      </c>
      <c r="T88" s="52" t="e">
        <f t="shared" si="129"/>
        <v>#REF!</v>
      </c>
      <c r="U88" s="52" t="e">
        <f t="shared" si="129"/>
        <v>#REF!</v>
      </c>
      <c r="V88" s="52" t="e">
        <f t="shared" si="124"/>
        <v>#REF!</v>
      </c>
      <c r="W88" s="52" t="e">
        <f t="shared" si="125"/>
        <v>#REF!</v>
      </c>
      <c r="X88" s="52" t="e">
        <f t="shared" si="126"/>
        <v>#REF!</v>
      </c>
      <c r="Y88" s="52" t="e">
        <f t="shared" si="127"/>
        <v>#REF!</v>
      </c>
      <c r="Z88" s="52" t="e">
        <f t="shared" si="128"/>
        <v>#REF!</v>
      </c>
    </row>
    <row r="89" spans="1:27" x14ac:dyDescent="0.2">
      <c r="A89" s="40" t="s">
        <v>2654</v>
      </c>
      <c r="B89" s="40" t="s">
        <v>2675</v>
      </c>
      <c r="C89" s="40" t="s">
        <v>1941</v>
      </c>
      <c r="D89" s="52" t="s">
        <v>2715</v>
      </c>
      <c r="E89" s="52" t="e">
        <f t="shared" ref="E89:K89" si="130">E88*$AC$45</f>
        <v>#REF!</v>
      </c>
      <c r="F89" s="52" t="e">
        <f t="shared" si="130"/>
        <v>#REF!</v>
      </c>
      <c r="G89" s="52" t="e">
        <f t="shared" si="130"/>
        <v>#REF!</v>
      </c>
      <c r="H89" s="52" t="e">
        <f t="shared" si="130"/>
        <v>#REF!</v>
      </c>
      <c r="I89" s="52" t="e">
        <f t="shared" si="130"/>
        <v>#REF!</v>
      </c>
      <c r="J89" s="52" t="e">
        <f t="shared" si="130"/>
        <v>#REF!</v>
      </c>
      <c r="K89" s="52" t="e">
        <f t="shared" si="130"/>
        <v>#REF!</v>
      </c>
      <c r="L89" s="52" t="e">
        <f t="shared" si="122"/>
        <v>#REF!</v>
      </c>
      <c r="M89" s="52" t="e">
        <f t="shared" si="122"/>
        <v>#REF!</v>
      </c>
      <c r="N89" s="52" t="e">
        <f t="shared" si="122"/>
        <v>#REF!</v>
      </c>
      <c r="O89" s="52"/>
      <c r="P89" s="52"/>
      <c r="Q89" s="52" t="e">
        <f>E89*AD$51</f>
        <v>#REF!</v>
      </c>
      <c r="R89" s="52" t="e">
        <f t="shared" si="129"/>
        <v>#REF!</v>
      </c>
      <c r="S89" s="52" t="e">
        <f t="shared" si="129"/>
        <v>#REF!</v>
      </c>
      <c r="T89" s="52" t="e">
        <f t="shared" si="129"/>
        <v>#REF!</v>
      </c>
      <c r="U89" s="52" t="e">
        <f t="shared" si="129"/>
        <v>#REF!</v>
      </c>
      <c r="V89" s="52" t="e">
        <f t="shared" si="124"/>
        <v>#REF!</v>
      </c>
      <c r="W89" s="52" t="e">
        <f t="shared" si="125"/>
        <v>#REF!</v>
      </c>
      <c r="X89" s="52" t="e">
        <f t="shared" si="126"/>
        <v>#REF!</v>
      </c>
      <c r="Y89" s="52" t="e">
        <f t="shared" si="127"/>
        <v>#REF!</v>
      </c>
      <c r="Z89" s="52" t="e">
        <f t="shared" si="128"/>
        <v>#REF!</v>
      </c>
    </row>
    <row r="90" spans="1:27" x14ac:dyDescent="0.2">
      <c r="D90" s="248"/>
      <c r="E90" s="248"/>
      <c r="F90" s="248"/>
      <c r="G90" s="248"/>
      <c r="H90" s="248"/>
      <c r="I90" s="113"/>
      <c r="O90" s="52"/>
      <c r="P90" s="248"/>
      <c r="Q90" s="248"/>
      <c r="R90" s="248"/>
      <c r="S90" s="248"/>
      <c r="T90" s="248"/>
      <c r="U90" s="113"/>
    </row>
    <row r="91" spans="1:27" x14ac:dyDescent="0.2">
      <c r="O91" s="52"/>
    </row>
    <row r="92" spans="1:27" x14ac:dyDescent="0.2">
      <c r="O92" s="52"/>
    </row>
    <row r="93" spans="1:27" x14ac:dyDescent="0.2">
      <c r="O93" s="52"/>
    </row>
    <row r="94" spans="1:27" x14ac:dyDescent="0.2">
      <c r="O94" s="52"/>
    </row>
    <row r="95" spans="1:27" x14ac:dyDescent="0.2">
      <c r="O95" s="52"/>
    </row>
    <row r="96" spans="1:27" x14ac:dyDescent="0.2">
      <c r="O96" s="52"/>
    </row>
    <row r="97" spans="15:15" x14ac:dyDescent="0.2">
      <c r="O97" s="52"/>
    </row>
    <row r="98" spans="15:15" x14ac:dyDescent="0.2">
      <c r="O98" s="52"/>
    </row>
    <row r="99" spans="15:15" x14ac:dyDescent="0.2">
      <c r="O99" s="52"/>
    </row>
    <row r="100" spans="15:15" x14ac:dyDescent="0.2">
      <c r="O100" s="52"/>
    </row>
    <row r="101" spans="15:15" x14ac:dyDescent="0.2">
      <c r="O101" s="52"/>
    </row>
    <row r="102" spans="15:15" x14ac:dyDescent="0.2">
      <c r="O102" s="52"/>
    </row>
    <row r="103" spans="15:15" x14ac:dyDescent="0.2">
      <c r="O103" s="52"/>
    </row>
    <row r="104" spans="15:15" x14ac:dyDescent="0.2">
      <c r="O104" s="52"/>
    </row>
    <row r="105" spans="15:15" x14ac:dyDescent="0.2">
      <c r="O105" s="52"/>
    </row>
    <row r="106" spans="15:15" x14ac:dyDescent="0.2">
      <c r="O106" s="52"/>
    </row>
    <row r="107" spans="15:15" x14ac:dyDescent="0.2">
      <c r="O107" s="52"/>
    </row>
    <row r="108" spans="15:15" x14ac:dyDescent="0.2">
      <c r="O108" s="52"/>
    </row>
    <row r="109" spans="15:15" x14ac:dyDescent="0.2">
      <c r="O109" s="52"/>
    </row>
    <row r="110" spans="15:15" x14ac:dyDescent="0.2">
      <c r="O110" s="52"/>
    </row>
    <row r="111" spans="15:15" x14ac:dyDescent="0.2">
      <c r="O111" s="52"/>
    </row>
    <row r="112" spans="15:15" x14ac:dyDescent="0.2">
      <c r="O112" s="52"/>
    </row>
    <row r="113" spans="15:15" x14ac:dyDescent="0.2">
      <c r="O113" s="52"/>
    </row>
    <row r="114" spans="15:15" x14ac:dyDescent="0.2">
      <c r="O114" s="52"/>
    </row>
    <row r="115" spans="15:15" x14ac:dyDescent="0.2">
      <c r="O115" s="52"/>
    </row>
    <row r="116" spans="15:15" x14ac:dyDescent="0.2">
      <c r="O116" s="52"/>
    </row>
    <row r="117" spans="15:15" x14ac:dyDescent="0.2">
      <c r="O117" s="52"/>
    </row>
    <row r="118" spans="15:15" x14ac:dyDescent="0.2">
      <c r="O118" s="52"/>
    </row>
    <row r="119" spans="15:15" x14ac:dyDescent="0.2">
      <c r="O119" s="52"/>
    </row>
    <row r="120" spans="15:15" x14ac:dyDescent="0.2">
      <c r="O120" s="52"/>
    </row>
    <row r="121" spans="15:15" x14ac:dyDescent="0.2">
      <c r="O121" s="52"/>
    </row>
    <row r="122" spans="15:15" x14ac:dyDescent="0.2">
      <c r="O122" s="52"/>
    </row>
    <row r="123" spans="15:15" x14ac:dyDescent="0.2">
      <c r="O123" s="52"/>
    </row>
    <row r="124" spans="15:15" x14ac:dyDescent="0.2">
      <c r="O124" s="52"/>
    </row>
    <row r="125" spans="15:15" x14ac:dyDescent="0.2">
      <c r="O125" s="52"/>
    </row>
    <row r="126" spans="15:15" x14ac:dyDescent="0.2">
      <c r="O126" s="52"/>
    </row>
    <row r="127" spans="15:15" x14ac:dyDescent="0.2">
      <c r="O127" s="52"/>
    </row>
    <row r="128" spans="15:15" x14ac:dyDescent="0.2">
      <c r="O128" s="52"/>
    </row>
    <row r="129" spans="15:15" x14ac:dyDescent="0.2">
      <c r="O129" s="52"/>
    </row>
    <row r="130" spans="15:15" x14ac:dyDescent="0.2">
      <c r="O130" s="52"/>
    </row>
    <row r="131" spans="15:15" x14ac:dyDescent="0.2">
      <c r="O131" s="52"/>
    </row>
    <row r="132" spans="15:15" x14ac:dyDescent="0.2">
      <c r="O132" s="52"/>
    </row>
    <row r="133" spans="15:15" x14ac:dyDescent="0.2">
      <c r="O133" s="52"/>
    </row>
    <row r="134" spans="15:15" x14ac:dyDescent="0.2">
      <c r="O134" s="52"/>
    </row>
    <row r="135" spans="15:15" x14ac:dyDescent="0.2">
      <c r="O135" s="52"/>
    </row>
    <row r="136" spans="15:15" x14ac:dyDescent="0.2">
      <c r="O136" s="52"/>
    </row>
    <row r="137" spans="15:15" x14ac:dyDescent="0.2">
      <c r="O137" s="52"/>
    </row>
    <row r="138" spans="15:15" x14ac:dyDescent="0.2">
      <c r="O138" s="52"/>
    </row>
    <row r="139" spans="15:15" x14ac:dyDescent="0.2">
      <c r="O139" s="52"/>
    </row>
    <row r="140" spans="15:15" x14ac:dyDescent="0.2">
      <c r="O140" s="52"/>
    </row>
    <row r="141" spans="15:15" x14ac:dyDescent="0.2">
      <c r="O141" s="52"/>
    </row>
    <row r="142" spans="15:15" x14ac:dyDescent="0.2">
      <c r="O142" s="52"/>
    </row>
    <row r="143" spans="15:15" x14ac:dyDescent="0.2">
      <c r="O143" s="52"/>
    </row>
    <row r="144" spans="15:15" x14ac:dyDescent="0.2">
      <c r="O144" s="52"/>
    </row>
    <row r="145" spans="15:15" x14ac:dyDescent="0.2">
      <c r="O145" s="52"/>
    </row>
    <row r="146" spans="15:15" x14ac:dyDescent="0.2">
      <c r="O146" s="52"/>
    </row>
    <row r="147" spans="15:15" x14ac:dyDescent="0.2">
      <c r="O147" s="52"/>
    </row>
    <row r="148" spans="15:15" x14ac:dyDescent="0.2">
      <c r="O148" s="52"/>
    </row>
    <row r="149" spans="15:15" x14ac:dyDescent="0.2">
      <c r="O149" s="52"/>
    </row>
    <row r="150" spans="15:15" x14ac:dyDescent="0.2">
      <c r="O150" s="52"/>
    </row>
    <row r="151" spans="15:15" x14ac:dyDescent="0.2">
      <c r="O151" s="52"/>
    </row>
    <row r="152" spans="15:15" x14ac:dyDescent="0.2">
      <c r="O152" s="52"/>
    </row>
    <row r="153" spans="15:15" x14ac:dyDescent="0.2">
      <c r="O153" s="52"/>
    </row>
    <row r="154" spans="15:15" x14ac:dyDescent="0.2">
      <c r="O154" s="52"/>
    </row>
    <row r="155" spans="15:15" x14ac:dyDescent="0.2">
      <c r="O155" s="52"/>
    </row>
    <row r="156" spans="15:15" x14ac:dyDescent="0.2">
      <c r="O156" s="52"/>
    </row>
    <row r="157" spans="15:15" x14ac:dyDescent="0.2">
      <c r="O157" s="52"/>
    </row>
    <row r="158" spans="15:15" x14ac:dyDescent="0.2">
      <c r="O158" s="52"/>
    </row>
    <row r="159" spans="15:15" x14ac:dyDescent="0.2">
      <c r="O159" s="52"/>
    </row>
    <row r="160" spans="15:15" x14ac:dyDescent="0.2">
      <c r="O160" s="52"/>
    </row>
    <row r="161" spans="15:15" x14ac:dyDescent="0.2">
      <c r="O161" s="52"/>
    </row>
    <row r="162" spans="15:15" x14ac:dyDescent="0.2">
      <c r="O162" s="52"/>
    </row>
    <row r="163" spans="15:15" x14ac:dyDescent="0.2">
      <c r="O163" s="52"/>
    </row>
    <row r="164" spans="15:15" x14ac:dyDescent="0.2">
      <c r="O164" s="52"/>
    </row>
    <row r="165" spans="15:15" x14ac:dyDescent="0.2">
      <c r="O165" s="52"/>
    </row>
    <row r="166" spans="15:15" x14ac:dyDescent="0.2">
      <c r="O166" s="52"/>
    </row>
    <row r="167" spans="15:15" x14ac:dyDescent="0.2">
      <c r="O167" s="52"/>
    </row>
    <row r="168" spans="15:15" x14ac:dyDescent="0.2">
      <c r="O168" s="52"/>
    </row>
    <row r="169" spans="15:15" x14ac:dyDescent="0.2">
      <c r="O169" s="52"/>
    </row>
  </sheetData>
  <mergeCells count="4">
    <mergeCell ref="P5:W5"/>
    <mergeCell ref="P6:W6"/>
    <mergeCell ref="D5:K5"/>
    <mergeCell ref="D6:K6"/>
  </mergeCells>
  <phoneticPr fontId="12" type="noConversion"/>
  <pageMargins left="0.75" right="0.75" top="1" bottom="1" header="0.5" footer="0.5"/>
  <pageSetup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D45"/>
  <sheetViews>
    <sheetView zoomScale="80" zoomScaleNormal="80" workbookViewId="0">
      <selection activeCell="G31" sqref="G31"/>
    </sheetView>
  </sheetViews>
  <sheetFormatPr defaultColWidth="9.140625" defaultRowHeight="12.75" x14ac:dyDescent="0.2"/>
  <cols>
    <col min="1" max="1" width="9.140625" style="17"/>
    <col min="2" max="2" width="24.28515625" style="17" customWidth="1"/>
    <col min="3" max="16384" width="9.140625" style="17"/>
  </cols>
  <sheetData>
    <row r="1" spans="1:472" x14ac:dyDescent="0.2">
      <c r="A1" s="17" t="s">
        <v>2724</v>
      </c>
    </row>
    <row r="3" spans="1:472" x14ac:dyDescent="0.2">
      <c r="IV3" s="17" t="s">
        <v>2725</v>
      </c>
      <c r="KA3" s="17" t="s">
        <v>2726</v>
      </c>
      <c r="KB3" s="17">
        <v>5.0990000000000002</v>
      </c>
      <c r="KC3" s="17">
        <v>4.6619999999999999</v>
      </c>
      <c r="KD3" s="17">
        <v>5.3570000000000002</v>
      </c>
      <c r="KE3" s="17">
        <v>5.7439999999999998</v>
      </c>
      <c r="KF3" s="17">
        <v>5.0149999999999997</v>
      </c>
      <c r="KG3" s="17">
        <v>4.8760000000000003</v>
      </c>
      <c r="KH3" s="17">
        <v>4.7830000000000004</v>
      </c>
      <c r="KI3" s="17">
        <v>4.9349999999999996</v>
      </c>
      <c r="KJ3" s="17">
        <v>4.9770000000000003</v>
      </c>
      <c r="KK3" s="17">
        <v>4.9470000000000001</v>
      </c>
      <c r="KL3" s="17">
        <v>4.907</v>
      </c>
      <c r="KM3" s="17">
        <v>4.95</v>
      </c>
      <c r="KN3" s="17">
        <v>5.0510000000000002</v>
      </c>
      <c r="KO3" s="17">
        <v>5.0469999999999997</v>
      </c>
      <c r="KP3" s="17">
        <v>5.0609999999999999</v>
      </c>
      <c r="KQ3" s="17">
        <v>5.04</v>
      </c>
      <c r="KR3" s="17">
        <v>5.0469999999999997</v>
      </c>
      <c r="KS3" s="17">
        <v>5.0620000000000003</v>
      </c>
      <c r="KT3" s="17">
        <v>5.0369999999999999</v>
      </c>
      <c r="KU3" s="17">
        <v>5.0410000000000004</v>
      </c>
      <c r="KV3" s="17">
        <v>5.0430000000000001</v>
      </c>
      <c r="KW3" s="17">
        <v>5.0259999999999998</v>
      </c>
      <c r="KX3" s="17">
        <v>5.0279999999999996</v>
      </c>
      <c r="KY3" s="17">
        <v>5.0620000000000003</v>
      </c>
      <c r="KZ3" s="17">
        <v>5.032</v>
      </c>
      <c r="LA3" s="17">
        <v>5.0270000000000001</v>
      </c>
      <c r="LB3" s="17">
        <v>5.0469999999999997</v>
      </c>
      <c r="LC3" s="17">
        <v>5.0380000000000003</v>
      </c>
      <c r="LD3" s="17">
        <v>5.0279999999999996</v>
      </c>
      <c r="LE3" s="104">
        <v>3.0000000000000001E-3</v>
      </c>
      <c r="LF3" s="17" t="s">
        <v>2727</v>
      </c>
      <c r="LG3" s="17">
        <v>21.818000000000001</v>
      </c>
      <c r="LH3" s="17">
        <v>21.891999999999999</v>
      </c>
      <c r="LI3" s="17">
        <v>21.584</v>
      </c>
      <c r="LJ3" s="17">
        <v>21.591000000000001</v>
      </c>
      <c r="LK3" s="17">
        <v>21.75</v>
      </c>
      <c r="LL3" s="17">
        <v>21.687000000000001</v>
      </c>
      <c r="LM3" s="17">
        <v>21.852</v>
      </c>
      <c r="LN3" s="17">
        <v>21.655000000000001</v>
      </c>
      <c r="LO3" s="17">
        <v>21.593</v>
      </c>
      <c r="LP3" s="17">
        <v>21.625</v>
      </c>
      <c r="LQ3" s="17">
        <v>21.57</v>
      </c>
      <c r="LR3" s="17">
        <v>21.608000000000001</v>
      </c>
      <c r="LS3" s="17">
        <v>21.661000000000001</v>
      </c>
      <c r="LT3" s="17">
        <v>21.65</v>
      </c>
      <c r="LU3" s="17">
        <v>21.65</v>
      </c>
      <c r="LV3" s="17">
        <v>21.675000000000001</v>
      </c>
      <c r="LW3" s="17">
        <v>21.678999999999998</v>
      </c>
      <c r="LX3" s="17">
        <v>21.678000000000001</v>
      </c>
      <c r="LY3" s="17">
        <v>21.686</v>
      </c>
      <c r="LZ3" s="17">
        <v>21.692</v>
      </c>
      <c r="MA3" s="17">
        <v>21.693999999999999</v>
      </c>
      <c r="MB3" s="17">
        <v>21.706</v>
      </c>
      <c r="MC3" s="17">
        <v>21.712</v>
      </c>
      <c r="MD3" s="17">
        <v>21.704000000000001</v>
      </c>
      <c r="ME3" s="17">
        <v>21.731999999999999</v>
      </c>
      <c r="MF3" s="17">
        <v>21.727</v>
      </c>
      <c r="MG3" s="17">
        <v>21.725000000000001</v>
      </c>
      <c r="MH3" s="17">
        <v>21.731999999999999</v>
      </c>
      <c r="MI3" s="17">
        <v>21.728000000000002</v>
      </c>
      <c r="MJ3" s="104">
        <v>0</v>
      </c>
      <c r="MK3" s="17" t="s">
        <v>2728</v>
      </c>
      <c r="ML3" s="17">
        <v>3.2240000000000002</v>
      </c>
      <c r="MM3" s="17">
        <v>3.528</v>
      </c>
      <c r="MN3" s="17">
        <v>3.0089999999999999</v>
      </c>
      <c r="MO3" s="17">
        <v>2.7909999999999999</v>
      </c>
      <c r="MP3" s="17">
        <v>3.2570000000000001</v>
      </c>
      <c r="MQ3" s="17">
        <v>3.3479999999999999</v>
      </c>
      <c r="MR3" s="17">
        <v>3.4359999999999999</v>
      </c>
      <c r="MS3" s="17">
        <v>3.302</v>
      </c>
      <c r="MT3" s="17">
        <v>3.2519999999999998</v>
      </c>
      <c r="MU3" s="17">
        <v>3.2589999999999999</v>
      </c>
      <c r="MV3" s="17">
        <v>3.2080000000000002</v>
      </c>
      <c r="MW3" s="17">
        <v>3.2530000000000001</v>
      </c>
      <c r="MX3" s="17">
        <v>3.274</v>
      </c>
      <c r="MY3" s="17">
        <v>3.278</v>
      </c>
      <c r="MZ3" s="17">
        <v>3.2629999999999999</v>
      </c>
      <c r="NA3" s="17">
        <v>3.2709999999999999</v>
      </c>
      <c r="NB3" s="17">
        <v>3.2559999999999998</v>
      </c>
      <c r="NC3" s="17">
        <v>3.2440000000000002</v>
      </c>
      <c r="ND3" s="17">
        <v>3.262</v>
      </c>
      <c r="NE3" s="17">
        <v>3.26</v>
      </c>
      <c r="NF3" s="17">
        <v>3.2519999999999998</v>
      </c>
      <c r="NG3" s="17">
        <v>3.2629999999999999</v>
      </c>
      <c r="NH3" s="17">
        <v>3.258</v>
      </c>
      <c r="NI3" s="17">
        <v>3.234</v>
      </c>
      <c r="NJ3" s="17">
        <v>3.254</v>
      </c>
      <c r="NK3" s="17">
        <v>3.262</v>
      </c>
      <c r="NL3" s="17">
        <v>3.2469999999999999</v>
      </c>
      <c r="NM3" s="17">
        <v>3.2549999999999999</v>
      </c>
      <c r="NN3" s="17">
        <v>3.2589999999999999</v>
      </c>
      <c r="NO3" s="104">
        <v>-3.0000000000000001E-3</v>
      </c>
      <c r="NP3" s="17" t="s">
        <v>2729</v>
      </c>
      <c r="NQ3" s="17">
        <v>7.6740000000000004</v>
      </c>
      <c r="NR3" s="17">
        <v>7.649</v>
      </c>
      <c r="NS3" s="17">
        <v>7.5839999999999996</v>
      </c>
      <c r="NT3" s="17">
        <v>7.6870000000000003</v>
      </c>
      <c r="NU3" s="17">
        <v>7.6260000000000003</v>
      </c>
      <c r="NV3" s="17">
        <v>7.5620000000000003</v>
      </c>
      <c r="NW3" s="17">
        <v>7.6280000000000001</v>
      </c>
      <c r="NX3" s="17">
        <v>7.5549999999999997</v>
      </c>
      <c r="NY3" s="17">
        <v>7.532</v>
      </c>
      <c r="NZ3" s="17">
        <v>7.4930000000000003</v>
      </c>
      <c r="OA3" s="17">
        <v>7.4349999999999996</v>
      </c>
      <c r="OB3" s="17">
        <v>7.5049999999999999</v>
      </c>
      <c r="OC3" s="17">
        <v>7.61</v>
      </c>
      <c r="OD3" s="17">
        <v>7.601</v>
      </c>
      <c r="OE3" s="17">
        <v>7.6059999999999999</v>
      </c>
      <c r="OF3" s="17">
        <v>7.6070000000000002</v>
      </c>
      <c r="OG3" s="17">
        <v>7.6079999999999997</v>
      </c>
      <c r="OH3" s="17">
        <v>7.6070000000000002</v>
      </c>
      <c r="OI3" s="17">
        <v>7.6109999999999998</v>
      </c>
      <c r="OJ3" s="17">
        <v>7.6159999999999997</v>
      </c>
      <c r="OK3" s="17">
        <v>7.6150000000000002</v>
      </c>
      <c r="OL3" s="17">
        <v>7.617</v>
      </c>
      <c r="OM3" s="17">
        <v>7.6189999999999998</v>
      </c>
      <c r="ON3" s="17">
        <v>7.6159999999999997</v>
      </c>
      <c r="OO3" s="17">
        <v>7.6219999999999999</v>
      </c>
      <c r="OP3" s="17">
        <v>7.62</v>
      </c>
      <c r="OQ3" s="17">
        <v>7.625</v>
      </c>
      <c r="OR3" s="17">
        <v>7.6230000000000002</v>
      </c>
      <c r="OS3" s="17">
        <v>7.6159999999999997</v>
      </c>
      <c r="OT3" s="104">
        <v>0</v>
      </c>
      <c r="OU3" s="17" t="s">
        <v>2730</v>
      </c>
      <c r="OV3" s="17">
        <v>33.798999999999999</v>
      </c>
      <c r="OW3" s="17">
        <v>33.603000000000002</v>
      </c>
      <c r="OX3" s="17">
        <v>34.106000000000002</v>
      </c>
      <c r="OY3" s="17">
        <v>34.119999999999997</v>
      </c>
      <c r="OZ3" s="17">
        <v>33.845999999999997</v>
      </c>
      <c r="PA3" s="17">
        <v>33.883000000000003</v>
      </c>
      <c r="PB3" s="17">
        <v>33.704000000000001</v>
      </c>
      <c r="PC3" s="17">
        <v>33.920999999999999</v>
      </c>
      <c r="PD3" s="17">
        <v>34.006</v>
      </c>
      <c r="PE3" s="17">
        <v>34.020000000000003</v>
      </c>
      <c r="PF3" s="17">
        <v>34.124000000000002</v>
      </c>
      <c r="PG3" s="17">
        <v>34.072000000000003</v>
      </c>
      <c r="PH3" s="17">
        <v>33.896999999999998</v>
      </c>
      <c r="PI3" s="17">
        <v>33.893999999999998</v>
      </c>
      <c r="PJ3" s="17">
        <v>33.904000000000003</v>
      </c>
      <c r="PK3" s="17">
        <v>33.889000000000003</v>
      </c>
      <c r="PL3" s="17">
        <v>33.896000000000001</v>
      </c>
      <c r="PM3" s="17">
        <v>33.905000000000001</v>
      </c>
      <c r="PN3" s="17">
        <v>33.887999999999998</v>
      </c>
      <c r="PO3" s="17">
        <v>33.881999999999998</v>
      </c>
      <c r="PP3" s="17">
        <v>33.887</v>
      </c>
      <c r="PQ3" s="17">
        <v>33.875</v>
      </c>
      <c r="PR3" s="17">
        <v>33.874000000000002</v>
      </c>
      <c r="PS3" s="17">
        <v>33.893000000000001</v>
      </c>
      <c r="PT3" s="17">
        <v>33.863</v>
      </c>
      <c r="PU3" s="17">
        <v>33.860999999999997</v>
      </c>
      <c r="PV3" s="17">
        <v>33.871000000000002</v>
      </c>
      <c r="PW3" s="17">
        <v>33.862000000000002</v>
      </c>
      <c r="PX3" s="17">
        <v>33.877000000000002</v>
      </c>
      <c r="PY3" s="104">
        <v>0</v>
      </c>
      <c r="PZ3" s="17" t="s">
        <v>2731</v>
      </c>
      <c r="QA3" s="17">
        <v>28.387</v>
      </c>
      <c r="QB3" s="17">
        <v>28.666</v>
      </c>
      <c r="QC3" s="17">
        <v>28.36</v>
      </c>
      <c r="QD3" s="17">
        <v>28.067</v>
      </c>
      <c r="QE3" s="17">
        <v>28.506</v>
      </c>
      <c r="QF3" s="17">
        <v>28.643999999999998</v>
      </c>
      <c r="QG3" s="17">
        <v>28.597000000000001</v>
      </c>
      <c r="QH3" s="17">
        <v>28.631</v>
      </c>
      <c r="QI3" s="17">
        <v>28.640999999999998</v>
      </c>
      <c r="QJ3" s="17">
        <v>28.655000000000001</v>
      </c>
      <c r="QK3" s="17">
        <v>28.754999999999999</v>
      </c>
      <c r="QL3" s="17">
        <v>28.611999999999998</v>
      </c>
      <c r="QM3" s="17">
        <v>28.507000000000001</v>
      </c>
      <c r="QN3" s="17">
        <v>28.529</v>
      </c>
      <c r="QO3" s="17">
        <v>28.515000000000001</v>
      </c>
      <c r="QP3" s="17">
        <v>28.516999999999999</v>
      </c>
      <c r="QQ3" s="17">
        <v>28.515000000000001</v>
      </c>
      <c r="QR3" s="17">
        <v>28.504999999999999</v>
      </c>
      <c r="QS3" s="17">
        <v>28.515999999999998</v>
      </c>
      <c r="QT3" s="17">
        <v>28.51</v>
      </c>
      <c r="QU3" s="17">
        <v>28.507999999999999</v>
      </c>
      <c r="QV3" s="17">
        <v>28.513000000000002</v>
      </c>
      <c r="QW3" s="17">
        <v>28.51</v>
      </c>
      <c r="QX3" s="17">
        <v>28.491</v>
      </c>
      <c r="QY3" s="17">
        <v>28.498000000000001</v>
      </c>
      <c r="QZ3" s="17">
        <v>28.501999999999999</v>
      </c>
      <c r="RA3" s="17">
        <v>28.486000000000001</v>
      </c>
      <c r="RB3" s="17">
        <v>28.49</v>
      </c>
      <c r="RC3" s="17">
        <v>28.491</v>
      </c>
      <c r="RD3" s="104">
        <v>0</v>
      </c>
    </row>
    <row r="4" spans="1:472" x14ac:dyDescent="0.2">
      <c r="B4" s="58" t="s">
        <v>2732</v>
      </c>
    </row>
    <row r="5" spans="1:472" x14ac:dyDescent="0.2">
      <c r="B5" s="105" t="s">
        <v>2733</v>
      </c>
      <c r="C5" s="114">
        <v>2005</v>
      </c>
      <c r="D5" s="114">
        <v>2010</v>
      </c>
      <c r="E5" s="114">
        <v>2015</v>
      </c>
      <c r="F5" s="114">
        <v>2020</v>
      </c>
      <c r="G5" s="114">
        <v>2025</v>
      </c>
      <c r="H5" s="114">
        <v>2030</v>
      </c>
      <c r="I5" s="114">
        <v>2035</v>
      </c>
      <c r="J5" s="114">
        <v>2040</v>
      </c>
    </row>
    <row r="6" spans="1:472" x14ac:dyDescent="0.2">
      <c r="A6" s="17" t="s">
        <v>2734</v>
      </c>
      <c r="B6" s="17" t="s">
        <v>2735</v>
      </c>
      <c r="C6" s="106">
        <f>'AEO14 Sales data'!D64</f>
        <v>1.4020198583602901</v>
      </c>
      <c r="D6" s="106">
        <f>'AEO14 Sales data'!I64</f>
        <v>0.94699999999999995</v>
      </c>
      <c r="E6" s="106">
        <f>'AEO14 Sales data'!N64</f>
        <v>0.840306</v>
      </c>
      <c r="F6" s="106">
        <f>'AEO14 Sales data'!S64</f>
        <v>0.897123</v>
      </c>
      <c r="G6" s="106">
        <f>'AEO14 Sales data'!X64</f>
        <v>0.89226300000000003</v>
      </c>
      <c r="H6" s="106">
        <f>'AEO14 Sales data'!AC64</f>
        <v>0.89111700000000005</v>
      </c>
      <c r="I6" s="106">
        <f>'AEO14 Sales data'!AH64</f>
        <v>0.89071599999999995</v>
      </c>
      <c r="J6" s="106">
        <f>'AEO14 Sales data'!AM64</f>
        <v>0.89879299999999995</v>
      </c>
    </row>
    <row r="7" spans="1:472" x14ac:dyDescent="0.2">
      <c r="A7" s="17" t="s">
        <v>2736</v>
      </c>
      <c r="B7" s="17" t="s">
        <v>2737</v>
      </c>
      <c r="C7" s="106">
        <f>'AEO14 Sales data'!D65</f>
        <v>8.8846549987793004</v>
      </c>
      <c r="D7" s="106">
        <f>'AEO14 Sales data'!I65</f>
        <v>16.309999999999999</v>
      </c>
      <c r="E7" s="106">
        <f>'AEO14 Sales data'!N65</f>
        <v>11.122757</v>
      </c>
      <c r="F7" s="106">
        <f>'AEO14 Sales data'!S65</f>
        <v>11.986008999999999</v>
      </c>
      <c r="G7" s="106">
        <f>'AEO14 Sales data'!X65</f>
        <v>11.893404</v>
      </c>
      <c r="H7" s="106">
        <f>'AEO14 Sales data'!AC65</f>
        <v>11.801681</v>
      </c>
      <c r="I7" s="106">
        <f>'AEO14 Sales data'!AH65</f>
        <v>11.796713</v>
      </c>
      <c r="J7" s="106">
        <f>'AEO14 Sales data'!AM65</f>
        <v>11.900123000000001</v>
      </c>
    </row>
    <row r="8" spans="1:472" x14ac:dyDescent="0.2">
      <c r="A8" s="17" t="s">
        <v>2738</v>
      </c>
      <c r="B8" s="17" t="s">
        <v>2739</v>
      </c>
      <c r="C8" s="106">
        <f>'AEO14 Sales data'!D66</f>
        <v>32.3477783203125</v>
      </c>
      <c r="D8" s="106">
        <f>'AEO14 Sales data'!I66</f>
        <v>22.585000000000001</v>
      </c>
      <c r="E8" s="106">
        <f>'AEO14 Sales data'!N66</f>
        <v>35.638793999999997</v>
      </c>
      <c r="F8" s="106">
        <f>'AEO14 Sales data'!S66</f>
        <v>36.708846999999999</v>
      </c>
      <c r="G8" s="106">
        <f>'AEO14 Sales data'!X66</f>
        <v>36.746208000000003</v>
      </c>
      <c r="H8" s="106">
        <f>'AEO14 Sales data'!AC66</f>
        <v>36.850760999999999</v>
      </c>
      <c r="I8" s="106">
        <f>'AEO14 Sales data'!AH66</f>
        <v>36.828555999999999</v>
      </c>
      <c r="J8" s="106">
        <f>'AEO14 Sales data'!AM66</f>
        <v>37.008484000000003</v>
      </c>
    </row>
    <row r="9" spans="1:472" x14ac:dyDescent="0.2">
      <c r="A9" s="17" t="s">
        <v>2740</v>
      </c>
      <c r="B9" s="17" t="s">
        <v>2741</v>
      </c>
      <c r="C9" s="106">
        <f>'AEO14 Sales data'!D67</f>
        <v>39.108551025390597</v>
      </c>
      <c r="D9" s="106">
        <f>'AEO14 Sales data'!I67</f>
        <v>40.521000000000001</v>
      </c>
      <c r="E9" s="106">
        <f>'AEO14 Sales data'!N67</f>
        <v>41.278956999999998</v>
      </c>
      <c r="F9" s="106">
        <f>'AEO14 Sales data'!S67</f>
        <v>40.129764999999999</v>
      </c>
      <c r="G9" s="106">
        <f>'AEO14 Sales data'!X67</f>
        <v>40.098289000000001</v>
      </c>
      <c r="H9" s="106">
        <f>'AEO14 Sales data'!AC67</f>
        <v>39.947780999999999</v>
      </c>
      <c r="I9" s="106">
        <f>'AEO14 Sales data'!AH67</f>
        <v>39.970100000000002</v>
      </c>
      <c r="J9" s="106">
        <f>'AEO14 Sales data'!AM67</f>
        <v>39.772258999999998</v>
      </c>
    </row>
    <row r="10" spans="1:472" x14ac:dyDescent="0.2">
      <c r="A10" s="17" t="s">
        <v>2742</v>
      </c>
      <c r="B10" s="17" t="s">
        <v>2743</v>
      </c>
      <c r="C10" s="106">
        <f>'AEO14 Sales data'!D68</f>
        <v>16.125307083129901</v>
      </c>
      <c r="D10" s="106">
        <f>'AEO14 Sales data'!I68</f>
        <v>17.148</v>
      </c>
      <c r="E10" s="106">
        <f>'AEO14 Sales data'!N68</f>
        <v>10.538175000000001</v>
      </c>
      <c r="F10" s="106">
        <f>'AEO14 Sales data'!S68</f>
        <v>9.6987450000000006</v>
      </c>
      <c r="G10" s="106">
        <f>'AEO14 Sales data'!X68</f>
        <v>9.7935130000000008</v>
      </c>
      <c r="H10" s="106">
        <f>'AEO14 Sales data'!AC68</f>
        <v>9.9336950000000002</v>
      </c>
      <c r="I10" s="106">
        <f>'AEO14 Sales data'!AH68</f>
        <v>9.9388620000000003</v>
      </c>
      <c r="J10" s="106">
        <f>'AEO14 Sales data'!AM68</f>
        <v>9.8460400000000003</v>
      </c>
    </row>
    <row r="11" spans="1:472" x14ac:dyDescent="0.2">
      <c r="A11" s="17" t="s">
        <v>2744</v>
      </c>
      <c r="B11" s="17" t="s">
        <v>2745</v>
      </c>
      <c r="C11" s="106">
        <f>'AEO14 Sales data'!D69</f>
        <v>2.1316993236541699</v>
      </c>
      <c r="D11" s="106">
        <f>'AEO14 Sales data'!I69</f>
        <v>2.4889999999999999</v>
      </c>
      <c r="E11" s="106">
        <f>'AEO14 Sales data'!N69</f>
        <v>0.58101400000000003</v>
      </c>
      <c r="F11" s="106">
        <f>'AEO14 Sales data'!S69</f>
        <v>0.57952199999999998</v>
      </c>
      <c r="G11" s="106">
        <f>'AEO14 Sales data'!X69</f>
        <v>0.57633500000000004</v>
      </c>
      <c r="H11" s="106">
        <f>'AEO14 Sales data'!AC69</f>
        <v>0.57496199999999997</v>
      </c>
      <c r="I11" s="106">
        <f>'AEO14 Sales data'!AH69</f>
        <v>0.57505700000000004</v>
      </c>
      <c r="J11" s="106">
        <f>'AEO14 Sales data'!AM69</f>
        <v>0.57429699999999995</v>
      </c>
    </row>
    <row r="12" spans="1:472" x14ac:dyDescent="0.2">
      <c r="C12" s="106">
        <f t="shared" ref="C12:J12" si="0">SUM(C6:C11)</f>
        <v>100.00001060962676</v>
      </c>
      <c r="D12" s="106">
        <f t="shared" si="0"/>
        <v>100</v>
      </c>
      <c r="E12" s="106">
        <f t="shared" si="0"/>
        <v>100.00000299999998</v>
      </c>
      <c r="F12" s="106">
        <f t="shared" si="0"/>
        <v>100.000011</v>
      </c>
      <c r="G12" s="106">
        <f t="shared" si="0"/>
        <v>100.00001200000001</v>
      </c>
      <c r="H12" s="106">
        <f t="shared" si="0"/>
        <v>99.999997000000008</v>
      </c>
      <c r="I12" s="106">
        <f t="shared" si="0"/>
        <v>100.000004</v>
      </c>
      <c r="J12" s="106">
        <f t="shared" si="0"/>
        <v>99.999995999999996</v>
      </c>
    </row>
    <row r="14" spans="1:472" x14ac:dyDescent="0.2">
      <c r="B14" s="58" t="s">
        <v>2725</v>
      </c>
      <c r="C14" s="114">
        <v>2005</v>
      </c>
      <c r="D14" s="114">
        <v>2010</v>
      </c>
      <c r="E14" s="114">
        <v>2015</v>
      </c>
      <c r="F14" s="114">
        <v>2020</v>
      </c>
      <c r="G14" s="114">
        <v>2025</v>
      </c>
      <c r="H14" s="114">
        <v>2030</v>
      </c>
      <c r="I14" s="114">
        <v>2035</v>
      </c>
      <c r="J14" s="114">
        <v>2040</v>
      </c>
    </row>
    <row r="15" spans="1:472" x14ac:dyDescent="0.2">
      <c r="A15" s="17" t="s">
        <v>2746</v>
      </c>
      <c r="B15" s="17" t="s">
        <v>2726</v>
      </c>
      <c r="C15" s="106">
        <f>'AEO14 Sales data'!D72</f>
        <v>6.9158563613891602</v>
      </c>
      <c r="D15" s="106">
        <f>'AEO14 Sales data'!I72</f>
        <v>4.9320000000000004</v>
      </c>
      <c r="E15" s="106">
        <f>'AEO14 Sales data'!N72</f>
        <v>4.460788</v>
      </c>
      <c r="F15" s="106">
        <f>'AEO14 Sales data'!S72</f>
        <v>4.2110669999999999</v>
      </c>
      <c r="G15" s="106">
        <f>'AEO14 Sales data'!X72</f>
        <v>4.1915930000000001</v>
      </c>
      <c r="H15" s="106">
        <f>'AEO14 Sales data'!AC72</f>
        <v>4.2697520000000004</v>
      </c>
      <c r="I15" s="106">
        <f>'AEO14 Sales data'!AH72</f>
        <v>4.2734629999999996</v>
      </c>
      <c r="J15" s="106">
        <f>'AEO14 Sales data'!AM72</f>
        <v>4.2406759999999997</v>
      </c>
    </row>
    <row r="16" spans="1:472" x14ac:dyDescent="0.2">
      <c r="A16" s="17" t="s">
        <v>2747</v>
      </c>
      <c r="B16" s="17" t="s">
        <v>2727</v>
      </c>
      <c r="C16" s="106">
        <f>'AEO14 Sales data'!D73</f>
        <v>20.160903930664102</v>
      </c>
      <c r="D16" s="106">
        <f>'AEO14 Sales data'!I73</f>
        <v>21.21</v>
      </c>
      <c r="E16" s="106">
        <f>'AEO14 Sales data'!N73</f>
        <v>22.883139</v>
      </c>
      <c r="F16" s="106">
        <f>'AEO14 Sales data'!S73</f>
        <v>23.021592999999999</v>
      </c>
      <c r="G16" s="106">
        <f>'AEO14 Sales data'!X73</f>
        <v>22.790253</v>
      </c>
      <c r="H16" s="106">
        <f>'AEO14 Sales data'!AC73</f>
        <v>23.060787000000001</v>
      </c>
      <c r="I16" s="106">
        <f>'AEO14 Sales data'!AH73</f>
        <v>23.066255999999999</v>
      </c>
      <c r="J16" s="106">
        <f>'AEO14 Sales data'!AM73</f>
        <v>23.089167</v>
      </c>
    </row>
    <row r="17" spans="1:46" x14ac:dyDescent="0.2">
      <c r="A17" s="17" t="s">
        <v>2748</v>
      </c>
      <c r="B17" s="17" t="s">
        <v>2728</v>
      </c>
      <c r="C17" s="106">
        <f>'AEO14 Sales data'!D74</f>
        <v>7.7201819419860804</v>
      </c>
      <c r="D17" s="106">
        <f>'AEO14 Sales data'!I74</f>
        <v>1.6439999999999999</v>
      </c>
      <c r="E17" s="106">
        <f>'AEO14 Sales data'!N74</f>
        <v>0.92930000000000001</v>
      </c>
      <c r="F17" s="106">
        <f>'AEO14 Sales data'!S74</f>
        <v>0.98273699999999997</v>
      </c>
      <c r="G17" s="106">
        <f>'AEO14 Sales data'!X74</f>
        <v>0.95511199999999996</v>
      </c>
      <c r="H17" s="106">
        <f>'AEO14 Sales data'!AC74</f>
        <v>0.99412599999999995</v>
      </c>
      <c r="I17" s="106">
        <f>'AEO14 Sales data'!AH74</f>
        <v>0.99325300000000005</v>
      </c>
      <c r="J17" s="106">
        <f>'AEO14 Sales data'!AM74</f>
        <v>1.002839</v>
      </c>
    </row>
    <row r="18" spans="1:46" x14ac:dyDescent="0.2">
      <c r="A18" s="17" t="s">
        <v>2749</v>
      </c>
      <c r="B18" s="17" t="s">
        <v>2729</v>
      </c>
      <c r="C18" s="106">
        <f>'AEO14 Sales data'!D75</f>
        <v>9.3351926803588903</v>
      </c>
      <c r="D18" s="106">
        <f>'AEO14 Sales data'!I75</f>
        <v>9.6029999999999998</v>
      </c>
      <c r="E18" s="106">
        <f>'AEO14 Sales data'!N75</f>
        <v>8.6357879999999998</v>
      </c>
      <c r="F18" s="106">
        <f>'AEO14 Sales data'!S75</f>
        <v>8.6675620000000002</v>
      </c>
      <c r="G18" s="106">
        <f>'AEO14 Sales data'!X75</f>
        <v>8.5669880000000003</v>
      </c>
      <c r="H18" s="106">
        <f>'AEO14 Sales data'!AC75</f>
        <v>8.7110500000000002</v>
      </c>
      <c r="I18" s="106">
        <f>'AEO14 Sales data'!AH75</f>
        <v>8.7131050000000005</v>
      </c>
      <c r="J18" s="106">
        <f>'AEO14 Sales data'!AM75</f>
        <v>8.720459</v>
      </c>
    </row>
    <row r="19" spans="1:46" x14ac:dyDescent="0.2">
      <c r="A19" s="17" t="s">
        <v>2750</v>
      </c>
      <c r="B19" s="17" t="s">
        <v>2730</v>
      </c>
      <c r="C19" s="106">
        <f>'AEO14 Sales data'!D76</f>
        <v>27.205768585205099</v>
      </c>
      <c r="D19" s="106">
        <f>'AEO14 Sales data'!I76</f>
        <v>34.340000000000003</v>
      </c>
      <c r="E19" s="106">
        <f>'AEO14 Sales data'!N76</f>
        <v>39.833416</v>
      </c>
      <c r="F19" s="106">
        <f>'AEO14 Sales data'!S76</f>
        <v>39.740169999999999</v>
      </c>
      <c r="G19" s="106">
        <f>'AEO14 Sales data'!X76</f>
        <v>39.966141</v>
      </c>
      <c r="H19" s="106">
        <f>'AEO14 Sales data'!AC76</f>
        <v>39.640647999999999</v>
      </c>
      <c r="I19" s="106">
        <f>'AEO14 Sales data'!AH76</f>
        <v>39.637816999999998</v>
      </c>
      <c r="J19" s="106">
        <f>'AEO14 Sales data'!AM76</f>
        <v>39.617668000000002</v>
      </c>
    </row>
    <row r="20" spans="1:46" x14ac:dyDescent="0.2">
      <c r="A20" s="17" t="s">
        <v>2751</v>
      </c>
      <c r="B20" s="17" t="s">
        <v>2731</v>
      </c>
      <c r="C20" s="106">
        <f>'AEO14 Sales data'!D77</f>
        <v>28.662105560302699</v>
      </c>
      <c r="D20" s="106">
        <f>'AEO14 Sales data'!I77</f>
        <v>28.271999999999998</v>
      </c>
      <c r="E20" s="106">
        <f>'AEO14 Sales data'!N77</f>
        <v>23.257566000000001</v>
      </c>
      <c r="F20" s="106">
        <f>'AEO14 Sales data'!S77</f>
        <v>23.376888000000001</v>
      </c>
      <c r="G20" s="106">
        <f>'AEO14 Sales data'!X77</f>
        <v>23.529921999999999</v>
      </c>
      <c r="H20" s="106">
        <f>'AEO14 Sales data'!AC77</f>
        <v>23.323626999999998</v>
      </c>
      <c r="I20" s="106">
        <f>'AEO14 Sales data'!AH77</f>
        <v>23.316099000000001</v>
      </c>
      <c r="J20" s="106">
        <f>'AEO14 Sales data'!AM77</f>
        <v>23.329201000000001</v>
      </c>
    </row>
    <row r="21" spans="1:46" x14ac:dyDescent="0.2">
      <c r="C21" s="106">
        <f t="shared" ref="C21:J21" si="1">SUM(C15:C20)</f>
        <v>100.00000905990603</v>
      </c>
      <c r="D21" s="106">
        <f t="shared" si="1"/>
        <v>100.001</v>
      </c>
      <c r="E21" s="106">
        <f t="shared" si="1"/>
        <v>99.999997000000008</v>
      </c>
      <c r="F21" s="106">
        <f t="shared" si="1"/>
        <v>100.00001700000001</v>
      </c>
      <c r="G21" s="106">
        <f t="shared" si="1"/>
        <v>100.00000900000001</v>
      </c>
      <c r="H21" s="106">
        <f t="shared" si="1"/>
        <v>99.999990000000011</v>
      </c>
      <c r="I21" s="106">
        <f t="shared" si="1"/>
        <v>99.999992999999989</v>
      </c>
      <c r="J21" s="106">
        <f t="shared" si="1"/>
        <v>100.00001</v>
      </c>
    </row>
    <row r="24" spans="1:46" x14ac:dyDescent="0.2">
      <c r="AL24" s="17" t="s">
        <v>2752</v>
      </c>
    </row>
    <row r="25" spans="1:46" s="58" customFormat="1" x14ac:dyDescent="0.2">
      <c r="B25" s="58">
        <v>2010</v>
      </c>
      <c r="K25" s="58">
        <v>2020</v>
      </c>
      <c r="T25" s="58">
        <v>2030</v>
      </c>
      <c r="AC25" s="58">
        <v>2040</v>
      </c>
      <c r="AL25" s="58">
        <v>2050</v>
      </c>
    </row>
    <row r="26" spans="1:46" s="114" customFormat="1" x14ac:dyDescent="0.2">
      <c r="B26" s="114" t="s">
        <v>391</v>
      </c>
      <c r="C26" s="114" t="s">
        <v>275</v>
      </c>
      <c r="D26" s="114" t="s">
        <v>276</v>
      </c>
      <c r="E26" s="114" t="s">
        <v>277</v>
      </c>
      <c r="F26" s="114" t="s">
        <v>278</v>
      </c>
      <c r="G26" s="114" t="s">
        <v>279</v>
      </c>
      <c r="H26" s="114" t="s">
        <v>434</v>
      </c>
      <c r="I26" s="114" t="s">
        <v>435</v>
      </c>
      <c r="J26" s="114" t="s">
        <v>436</v>
      </c>
      <c r="K26" s="114" t="s">
        <v>391</v>
      </c>
      <c r="L26" s="114" t="s">
        <v>275</v>
      </c>
      <c r="M26" s="114" t="s">
        <v>276</v>
      </c>
      <c r="N26" s="114" t="s">
        <v>277</v>
      </c>
      <c r="O26" s="114" t="s">
        <v>278</v>
      </c>
      <c r="P26" s="114" t="s">
        <v>279</v>
      </c>
      <c r="Q26" s="114" t="s">
        <v>434</v>
      </c>
      <c r="R26" s="114" t="s">
        <v>435</v>
      </c>
      <c r="S26" s="114" t="s">
        <v>436</v>
      </c>
      <c r="T26" s="114" t="s">
        <v>391</v>
      </c>
      <c r="U26" s="114" t="s">
        <v>275</v>
      </c>
      <c r="V26" s="114" t="s">
        <v>276</v>
      </c>
      <c r="W26" s="114" t="s">
        <v>277</v>
      </c>
      <c r="X26" s="114" t="s">
        <v>278</v>
      </c>
      <c r="Y26" s="114" t="s">
        <v>279</v>
      </c>
      <c r="Z26" s="114" t="s">
        <v>434</v>
      </c>
      <c r="AA26" s="114" t="s">
        <v>435</v>
      </c>
      <c r="AB26" s="114" t="s">
        <v>436</v>
      </c>
      <c r="AC26" s="114" t="s">
        <v>391</v>
      </c>
      <c r="AD26" s="114" t="s">
        <v>275</v>
      </c>
      <c r="AE26" s="114" t="s">
        <v>276</v>
      </c>
      <c r="AF26" s="114" t="s">
        <v>277</v>
      </c>
      <c r="AG26" s="114" t="s">
        <v>278</v>
      </c>
      <c r="AH26" s="114" t="s">
        <v>279</v>
      </c>
      <c r="AI26" s="114" t="s">
        <v>434</v>
      </c>
      <c r="AJ26" s="114" t="s">
        <v>435</v>
      </c>
      <c r="AK26" s="114" t="s">
        <v>436</v>
      </c>
      <c r="AL26" s="114" t="s">
        <v>391</v>
      </c>
      <c r="AM26" s="114" t="s">
        <v>275</v>
      </c>
      <c r="AN26" s="114" t="s">
        <v>276</v>
      </c>
      <c r="AO26" s="114" t="s">
        <v>277</v>
      </c>
      <c r="AP26" s="114" t="s">
        <v>278</v>
      </c>
      <c r="AQ26" s="114" t="s">
        <v>279</v>
      </c>
      <c r="AR26" s="114" t="s">
        <v>434</v>
      </c>
      <c r="AS26" s="114" t="s">
        <v>435</v>
      </c>
      <c r="AT26" s="114" t="s">
        <v>436</v>
      </c>
    </row>
    <row r="27" spans="1:46" ht="15" hidden="1" customHeight="1" x14ac:dyDescent="0.2"/>
    <row r="28" spans="1:46" hidden="1" x14ac:dyDescent="0.2"/>
    <row r="29" spans="1:46" x14ac:dyDescent="0.2">
      <c r="A29" s="17" t="s">
        <v>2735</v>
      </c>
      <c r="B29" s="17">
        <f>1/100*D6*'AEO14 Sales data'!C$7/'AEO14 Sales data'!C$9</f>
        <v>4.6740506266220554E-3</v>
      </c>
      <c r="C29" s="17">
        <f>1/100*D6*'AEO14 Sales data'!C$12/'AEO14 Sales data'!C$14</f>
        <v>4.6740508622822984E-3</v>
      </c>
      <c r="D29" s="17">
        <f>1/100*D6*'AEO14 Sales data'!C$17/'AEO14 Sales data'!C$19</f>
        <v>4.6740510715642834E-3</v>
      </c>
      <c r="E29" s="17">
        <f>1/100*D6*'AEO14 Sales data'!C$22/'AEO14 Sales data'!C$24</f>
        <v>4.674050851011447E-3</v>
      </c>
      <c r="F29" s="17">
        <f>1/100*D6*'AEO14 Sales data'!C$27/'AEO14 Sales data'!C$29</f>
        <v>4.6740510016741212E-3</v>
      </c>
      <c r="G29" s="17">
        <f>1/100*D6*'AEO14 Sales data'!C$32/'AEO14 Sales data'!C$34</f>
        <v>4.6740505299604981E-3</v>
      </c>
      <c r="H29" s="17">
        <f>1/100*D6*'AEO14 Sales data'!C$37/'AEO14 Sales data'!C$39</f>
        <v>4.6740509671020702E-3</v>
      </c>
      <c r="I29" s="17">
        <f>1/100*D6*'AEO14 Sales data'!C$42/'AEO14 Sales data'!C$44</f>
        <v>4.6740510053028339E-3</v>
      </c>
      <c r="J29" s="17">
        <f>1/100*D6*'AEO14 Sales data'!C$47/'AEO14 Sales data'!C$49</f>
        <v>4.6740507288308116E-3</v>
      </c>
      <c r="K29" s="17">
        <f>1/100*F6*'AEO14 Sales data'!E$7/'AEO14 Sales data'!E$9</f>
        <v>4.8987351331632716E-3</v>
      </c>
      <c r="L29" s="17">
        <f>1/100*F6*'AEO14 Sales data'!E$12/'AEO14 Sales data'!E$14</f>
        <v>4.9420758441076776E-3</v>
      </c>
      <c r="M29" s="17">
        <f>1/100*F6*'AEO14 Sales data'!E$17/'AEO14 Sales data'!E$19</f>
        <v>4.7407497836393893E-3</v>
      </c>
      <c r="N29" s="17">
        <f>1/100*F6*'AEO14 Sales data'!E$22/'AEO14 Sales data'!E$24</f>
        <v>4.9236613372226337E-3</v>
      </c>
      <c r="O29" s="17">
        <f>1/100*F6*'AEO14 Sales data'!E$27/'AEO14 Sales data'!E$29</f>
        <v>4.8580864810687449E-3</v>
      </c>
      <c r="P29" s="17">
        <f>1/100*F6*'AEO14 Sales data'!E$32/'AEO14 Sales data'!E$34</f>
        <v>4.8758739491652145E-3</v>
      </c>
      <c r="Q29" s="17">
        <f>1/100*F6*'AEO14 Sales data'!E$37/'AEO14 Sales data'!E$39</f>
        <v>4.573099423593417E-3</v>
      </c>
      <c r="R29" s="17">
        <f>1/100*F6*'AEO14 Sales data'!E$42/'AEO14 Sales data'!E$44</f>
        <v>4.4886722695170076E-3</v>
      </c>
      <c r="S29" s="17">
        <f>1/100*F6*'AEO14 Sales data'!E$47/'AEO14 Sales data'!E$49</f>
        <v>4.841396174077103E-3</v>
      </c>
      <c r="T29" s="17">
        <f>1/100*H6*'AEO14 Sales data'!G$7/'AEO14 Sales data'!G$9</f>
        <v>5.0819598286755427E-3</v>
      </c>
      <c r="U29" s="17">
        <f>1/100*H6*'AEO14 Sales data'!G$12/'AEO14 Sales data'!G$14</f>
        <v>5.1246125427872645E-3</v>
      </c>
      <c r="V29" s="17">
        <f>1/100*H6*'AEO14 Sales data'!G$17/'AEO14 Sales data'!G$19</f>
        <v>4.926600452933607E-3</v>
      </c>
      <c r="W29" s="17">
        <f>1/100*H6*'AEO14 Sales data'!G$22/'AEO14 Sales data'!G$24</f>
        <v>5.1062891124249374E-3</v>
      </c>
      <c r="X29" s="17">
        <f>1/100*H6*'AEO14 Sales data'!G$27/'AEO14 Sales data'!G$29</f>
        <v>5.042037632309938E-3</v>
      </c>
      <c r="Y29" s="17">
        <f>1/100*H6*'AEO14 Sales data'!G$32/'AEO14 Sales data'!G$34</f>
        <v>5.0592591663761377E-3</v>
      </c>
      <c r="Z29" s="17">
        <f>1/100*H6*'AEO14 Sales data'!G$37/'AEO14 Sales data'!G$39</f>
        <v>4.7608468627619678E-3</v>
      </c>
      <c r="AA29" s="17">
        <f>1/100*H6*'AEO14 Sales data'!G$42/'AEO14 Sales data'!G$44</f>
        <v>4.6775107086659638E-3</v>
      </c>
      <c r="AB29" s="17">
        <f>1/100*H6*'AEO14 Sales data'!G$47/'AEO14 Sales data'!G$49</f>
        <v>5.0256157284448329E-3</v>
      </c>
      <c r="AC29" s="17">
        <f>1/100*J6*'AEO14 Sales data'!I$7/'AEO14 Sales data'!I$9</f>
        <v>5.2729616373253909E-3</v>
      </c>
      <c r="AD29" s="17">
        <f>1/100*J6*'AEO14 Sales data'!I$12/'AEO14 Sales data'!I$14</f>
        <v>5.3155441361340833E-3</v>
      </c>
      <c r="AE29" s="17">
        <f>1/100*J6*'AEO14 Sales data'!I$17/'AEO14 Sales data'!I$19</f>
        <v>5.1177445643592638E-3</v>
      </c>
      <c r="AF29" s="17">
        <f>1/100*J6*'AEO14 Sales data'!I$22/'AEO14 Sales data'!I$24</f>
        <v>5.2971819486080539E-3</v>
      </c>
      <c r="AG29" s="17">
        <f>1/100*J6*'AEO14 Sales data'!I$27/'AEO14 Sales data'!I$29</f>
        <v>5.2331103577098253E-3</v>
      </c>
      <c r="AH29" s="17">
        <f>1/100*J6*'AEO14 Sales data'!I$32/'AEO14 Sales data'!I$34</f>
        <v>5.2502404871612998E-3</v>
      </c>
      <c r="AI29" s="17">
        <f>1/100*J6*'AEO14 Sales data'!I$37/'AEO14 Sales data'!I$39</f>
        <v>4.951553097645155E-3</v>
      </c>
      <c r="AJ29" s="17">
        <f>1/100*J6*'AEO14 Sales data'!I$42/'AEO14 Sales data'!I$44</f>
        <v>4.868133055962745E-3</v>
      </c>
      <c r="AK29" s="17">
        <f>1/100*J6*'AEO14 Sales data'!I$47/'AEO14 Sales data'!I$49</f>
        <v>5.2166657613033178E-3</v>
      </c>
      <c r="AL29" s="17">
        <f t="shared" ref="AL29:AT34" si="2">AC29/T29*AC29</f>
        <v>5.4711421117139289E-3</v>
      </c>
      <c r="AM29" s="17">
        <f t="shared" si="2"/>
        <v>5.513589413302572E-3</v>
      </c>
      <c r="AN29" s="17">
        <f t="shared" si="2"/>
        <v>5.3163047574586331E-3</v>
      </c>
      <c r="AO29" s="17">
        <f t="shared" si="2"/>
        <v>5.4952110973077043E-3</v>
      </c>
      <c r="AP29" s="17">
        <f t="shared" si="2"/>
        <v>5.4314239625029535E-3</v>
      </c>
      <c r="AQ29" s="17">
        <f t="shared" si="2"/>
        <v>5.4484311371564087E-3</v>
      </c>
      <c r="AR29" s="17">
        <f t="shared" si="2"/>
        <v>5.1498984919198763E-3</v>
      </c>
      <c r="AS29" s="17">
        <f t="shared" si="2"/>
        <v>5.0665238257286849E-3</v>
      </c>
      <c r="AT29" s="17">
        <f t="shared" si="2"/>
        <v>5.4149786087157757E-3</v>
      </c>
    </row>
    <row r="30" spans="1:46" x14ac:dyDescent="0.2">
      <c r="A30" s="17" t="s">
        <v>2737</v>
      </c>
      <c r="B30" s="17">
        <f>1/100*D7*'AEO14 Sales data'!C$7/'AEO14 Sales data'!C$9</f>
        <v>8.0500280591558324E-2</v>
      </c>
      <c r="C30" s="17">
        <f>1/100*D7*'AEO14 Sales data'!C$12/'AEO14 Sales data'!C$14</f>
        <v>8.0500284650289633E-2</v>
      </c>
      <c r="D30" s="17">
        <f>1/100*D7*'AEO14 Sales data'!C$17/'AEO14 Sales data'!C$19</f>
        <v>8.0500288254713254E-2</v>
      </c>
      <c r="E30" s="17">
        <f>1/100*D7*'AEO14 Sales data'!C$22/'AEO14 Sales data'!C$24</f>
        <v>8.0500284456173923E-2</v>
      </c>
      <c r="F30" s="17">
        <f>1/100*D7*'AEO14 Sales data'!C$27/'AEO14 Sales data'!C$29</f>
        <v>8.0500287051008368E-2</v>
      </c>
      <c r="G30" s="17">
        <f>1/100*D7*'AEO14 Sales data'!C$32/'AEO14 Sales data'!C$34</f>
        <v>8.0500278926774804E-2</v>
      </c>
      <c r="H30" s="17">
        <f>1/100*D7*'AEO14 Sales data'!C$37/'AEO14 Sales data'!C$39</f>
        <v>8.0500286455580536E-2</v>
      </c>
      <c r="I30" s="17">
        <f>1/100*D7*'AEO14 Sales data'!C$42/'AEO14 Sales data'!C$44</f>
        <v>8.0500287113505001E-2</v>
      </c>
      <c r="J30" s="17">
        <f>1/100*D7*'AEO14 Sales data'!C$47/'AEO14 Sales data'!C$49</f>
        <v>8.0500282351880184E-2</v>
      </c>
      <c r="K30" s="17">
        <f>1/100*F7*'AEO14 Sales data'!E$7/'AEO14 Sales data'!E$9</f>
        <v>6.5449535230632988E-2</v>
      </c>
      <c r="L30" s="17">
        <f>1/100*F7*'AEO14 Sales data'!E$12/'AEO14 Sales data'!E$14</f>
        <v>6.6028588661930662E-2</v>
      </c>
      <c r="M30" s="17">
        <f>1/100*F7*'AEO14 Sales data'!E$17/'AEO14 Sales data'!E$19</f>
        <v>6.3338772468713611E-2</v>
      </c>
      <c r="N30" s="17">
        <f>1/100*F7*'AEO14 Sales data'!E$22/'AEO14 Sales data'!E$24</f>
        <v>6.5782561701018163E-2</v>
      </c>
      <c r="O30" s="17">
        <f>1/100*F7*'AEO14 Sales data'!E$27/'AEO14 Sales data'!E$29</f>
        <v>6.4906449043072481E-2</v>
      </c>
      <c r="P30" s="17">
        <f>1/100*F7*'AEO14 Sales data'!E$32/'AEO14 Sales data'!E$34</f>
        <v>6.5144098454236257E-2</v>
      </c>
      <c r="Q30" s="17">
        <f>1/100*F7*'AEO14 Sales data'!E$37/'AEO14 Sales data'!E$39</f>
        <v>6.1098880364326306E-2</v>
      </c>
      <c r="R30" s="17">
        <f>1/100*F7*'AEO14 Sales data'!E$42/'AEO14 Sales data'!E$44</f>
        <v>5.9970891639698529E-2</v>
      </c>
      <c r="S30" s="17">
        <f>1/100*F7*'AEO14 Sales data'!E$47/'AEO14 Sales data'!E$49</f>
        <v>6.4683458249374631E-2</v>
      </c>
      <c r="T30" s="17">
        <f>1/100*H7*'AEO14 Sales data'!G$7/'AEO14 Sales data'!G$9</f>
        <v>6.7303921654332036E-2</v>
      </c>
      <c r="U30" s="17">
        <f>1/100*H7*'AEO14 Sales data'!G$12/'AEO14 Sales data'!G$14</f>
        <v>6.7868801154701494E-2</v>
      </c>
      <c r="V30" s="17">
        <f>1/100*H7*'AEO14 Sales data'!G$17/'AEO14 Sales data'!G$19</f>
        <v>6.5246389598647467E-2</v>
      </c>
      <c r="W30" s="17">
        <f>1/100*H7*'AEO14 Sales data'!G$22/'AEO14 Sales data'!G$24</f>
        <v>6.7626131247201252E-2</v>
      </c>
      <c r="X30" s="17">
        <f>1/100*H7*'AEO14 Sales data'!G$27/'AEO14 Sales data'!G$29</f>
        <v>6.6775204295863685E-2</v>
      </c>
      <c r="Y30" s="17">
        <f>1/100*H7*'AEO14 Sales data'!G$32/'AEO14 Sales data'!G$34</f>
        <v>6.7003281025832848E-2</v>
      </c>
      <c r="Z30" s="17">
        <f>1/100*H7*'AEO14 Sales data'!G$37/'AEO14 Sales data'!G$39</f>
        <v>6.3051199746124831E-2</v>
      </c>
      <c r="AA30" s="17">
        <f>1/100*H7*'AEO14 Sales data'!G$42/'AEO14 Sales data'!G$44</f>
        <v>6.1947521209627508E-2</v>
      </c>
      <c r="AB30" s="17">
        <f>1/100*H7*'AEO14 Sales data'!G$47/'AEO14 Sales data'!G$49</f>
        <v>6.6557717623711071E-2</v>
      </c>
      <c r="AC30" s="17">
        <f>1/100*J7*'AEO14 Sales data'!I$7/'AEO14 Sales data'!I$9</f>
        <v>6.98146203391143E-2</v>
      </c>
      <c r="AD30" s="17">
        <f>1/100*J7*'AEO14 Sales data'!I$12/'AEO14 Sales data'!I$14</f>
        <v>7.0378417535432905E-2</v>
      </c>
      <c r="AE30" s="17">
        <f>1/100*J7*'AEO14 Sales data'!I$17/'AEO14 Sales data'!I$19</f>
        <v>6.7759528388023335E-2</v>
      </c>
      <c r="AF30" s="17">
        <f>1/100*J7*'AEO14 Sales data'!I$22/'AEO14 Sales data'!I$24</f>
        <v>7.0135300054423561E-2</v>
      </c>
      <c r="AG30" s="17">
        <f>1/100*J7*'AEO14 Sales data'!I$27/'AEO14 Sales data'!I$29</f>
        <v>6.9286984799971654E-2</v>
      </c>
      <c r="AH30" s="17">
        <f>1/100*J7*'AEO14 Sales data'!I$32/'AEO14 Sales data'!I$34</f>
        <v>6.9513789689950187E-2</v>
      </c>
      <c r="AI30" s="17">
        <f>1/100*J7*'AEO14 Sales data'!I$37/'AEO14 Sales data'!I$39</f>
        <v>6.5559134197761174E-2</v>
      </c>
      <c r="AJ30" s="17">
        <f>1/100*J7*'AEO14 Sales data'!I$42/'AEO14 Sales data'!I$44</f>
        <v>6.4454643222991909E-2</v>
      </c>
      <c r="AK30" s="17">
        <f>1/100*J7*'AEO14 Sales data'!I$47/'AEO14 Sales data'!I$49</f>
        <v>6.9069256446587957E-2</v>
      </c>
      <c r="AL30" s="17">
        <f t="shared" si="2"/>
        <v>7.2418977873645943E-2</v>
      </c>
      <c r="AM30" s="17">
        <f t="shared" si="2"/>
        <v>7.2980833174015936E-2</v>
      </c>
      <c r="AN30" s="17">
        <f t="shared" si="2"/>
        <v>7.036946742356634E-2</v>
      </c>
      <c r="AO30" s="17">
        <f t="shared" si="2"/>
        <v>7.2737567904678849E-2</v>
      </c>
      <c r="AP30" s="17">
        <f t="shared" si="2"/>
        <v>7.189324710113805E-2</v>
      </c>
      <c r="AQ30" s="17">
        <f t="shared" si="2"/>
        <v>7.2118363206655531E-2</v>
      </c>
      <c r="AR30" s="17">
        <f t="shared" si="2"/>
        <v>6.8166824645144314E-2</v>
      </c>
      <c r="AS30" s="17">
        <f t="shared" si="2"/>
        <v>6.7063232747358495E-2</v>
      </c>
      <c r="AT30" s="17">
        <f t="shared" si="2"/>
        <v>7.1675567558600106E-2</v>
      </c>
    </row>
    <row r="31" spans="1:46" x14ac:dyDescent="0.2">
      <c r="A31" s="17" t="s">
        <v>2739</v>
      </c>
      <c r="B31" s="17">
        <f>1/100*D8*'AEO14 Sales data'!C$7/'AEO14 Sales data'!C$9</f>
        <v>0.11147141858739086</v>
      </c>
      <c r="C31" s="17">
        <f>1/100*D8*'AEO14 Sales data'!C$12/'AEO14 Sales data'!C$14</f>
        <v>0.11147142420765124</v>
      </c>
      <c r="D31" s="17">
        <f>1/100*D8*'AEO14 Sales data'!C$17/'AEO14 Sales data'!C$19</f>
        <v>0.11147142919881664</v>
      </c>
      <c r="E31" s="17">
        <f>1/100*D8*'AEO14 Sales data'!C$22/'AEO14 Sales data'!C$24</f>
        <v>0.11147142393885275</v>
      </c>
      <c r="F31" s="17">
        <f>1/100*D8*'AEO14 Sales data'!C$27/'AEO14 Sales data'!C$29</f>
        <v>0.11147142753200638</v>
      </c>
      <c r="G31" s="17">
        <f>1/100*D8*'AEO14 Sales data'!C$32/'AEO14 Sales data'!C$34</f>
        <v>0.11147141628210969</v>
      </c>
      <c r="H31" s="17">
        <f>1/100*D8*'AEO14 Sales data'!C$37/'AEO14 Sales data'!C$39</f>
        <v>0.11147142670749764</v>
      </c>
      <c r="I31" s="17">
        <f>1/100*D8*'AEO14 Sales data'!C$42/'AEO14 Sales data'!C$44</f>
        <v>0.11147142761854756</v>
      </c>
      <c r="J31" s="17">
        <f>1/100*D8*'AEO14 Sales data'!C$47/'AEO14 Sales data'!C$49</f>
        <v>0.11147142102496714</v>
      </c>
      <c r="K31" s="17">
        <f>1/100*F8*'AEO14 Sales data'!E$7/'AEO14 Sales data'!E$9</f>
        <v>0.20044845411032283</v>
      </c>
      <c r="L31" s="17">
        <f>1/100*F8*'AEO14 Sales data'!E$12/'AEO14 Sales data'!E$14</f>
        <v>0.20222188710326747</v>
      </c>
      <c r="M31" s="17">
        <f>1/100*F8*'AEO14 Sales data'!E$17/'AEO14 Sales data'!E$19</f>
        <v>0.19398394475774383</v>
      </c>
      <c r="N31" s="17">
        <f>1/100*F8*'AEO14 Sales data'!E$22/'AEO14 Sales data'!E$24</f>
        <v>0.20146839475514625</v>
      </c>
      <c r="O31" s="17">
        <f>1/100*F8*'AEO14 Sales data'!E$27/'AEO14 Sales data'!E$29</f>
        <v>0.19878517588593866</v>
      </c>
      <c r="P31" s="17">
        <f>1/100*F8*'AEO14 Sales data'!E$32/'AEO14 Sales data'!E$34</f>
        <v>0.19951301080363745</v>
      </c>
      <c r="Q31" s="17">
        <f>1/100*F8*'AEO14 Sales data'!E$37/'AEO14 Sales data'!E$39</f>
        <v>0.18712395853910663</v>
      </c>
      <c r="R31" s="17">
        <f>1/100*F8*'AEO14 Sales data'!E$42/'AEO14 Sales data'!E$44</f>
        <v>0.18366933360848242</v>
      </c>
      <c r="S31" s="17">
        <f>1/100*F8*'AEO14 Sales data'!E$47/'AEO14 Sales data'!E$49</f>
        <v>0.19810223505648805</v>
      </c>
      <c r="T31" s="17">
        <f>1/100*H8*'AEO14 Sales data'!G$7/'AEO14 Sales data'!G$9</f>
        <v>0.21015656424254431</v>
      </c>
      <c r="U31" s="17">
        <f>1/100*H8*'AEO14 Sales data'!G$12/'AEO14 Sales data'!G$14</f>
        <v>0.21192040106052934</v>
      </c>
      <c r="V31" s="17">
        <f>1/100*H8*'AEO14 Sales data'!G$17/'AEO14 Sales data'!G$19</f>
        <v>0.20373191829305026</v>
      </c>
      <c r="W31" s="17">
        <f>1/100*H8*'AEO14 Sales data'!G$22/'AEO14 Sales data'!G$24</f>
        <v>0.21116266402601844</v>
      </c>
      <c r="X31" s="17">
        <f>1/100*H8*'AEO14 Sales data'!G$27/'AEO14 Sales data'!G$29</f>
        <v>0.2085056437496528</v>
      </c>
      <c r="Y31" s="17">
        <f>1/100*H8*'AEO14 Sales data'!G$32/'AEO14 Sales data'!G$34</f>
        <v>0.20921781357238867</v>
      </c>
      <c r="Z31" s="17">
        <f>1/100*H8*'AEO14 Sales data'!G$37/'AEO14 Sales data'!G$39</f>
        <v>0.19687743573205432</v>
      </c>
      <c r="AA31" s="17">
        <f>1/100*H8*'AEO14 Sales data'!G$42/'AEO14 Sales data'!G$44</f>
        <v>0.19343119837236863</v>
      </c>
      <c r="AB31" s="17">
        <f>1/100*H8*'AEO14 Sales data'!G$47/'AEO14 Sales data'!G$49</f>
        <v>0.20782654139328663</v>
      </c>
      <c r="AC31" s="17">
        <f>1/100*J8*'AEO14 Sales data'!I$7/'AEO14 Sales data'!I$9</f>
        <v>0.21711819783595396</v>
      </c>
      <c r="AD31" s="17">
        <f>1/100*J8*'AEO14 Sales data'!I$12/'AEO14 Sales data'!I$14</f>
        <v>0.21887156454646631</v>
      </c>
      <c r="AE31" s="17">
        <f>1/100*J8*'AEO14 Sales data'!I$17/'AEO14 Sales data'!I$19</f>
        <v>0.21072701703971525</v>
      </c>
      <c r="AF31" s="17">
        <f>1/100*J8*'AEO14 Sales data'!I$22/'AEO14 Sales data'!I$24</f>
        <v>0.21811548753734172</v>
      </c>
      <c r="AG31" s="17">
        <f>1/100*J8*'AEO14 Sales data'!I$27/'AEO14 Sales data'!I$29</f>
        <v>0.2154772911488389</v>
      </c>
      <c r="AH31" s="17">
        <f>1/100*J8*'AEO14 Sales data'!I$32/'AEO14 Sales data'!I$34</f>
        <v>0.21618263723155517</v>
      </c>
      <c r="AI31" s="17">
        <f>1/100*J8*'AEO14 Sales data'!I$37/'AEO14 Sales data'!I$39</f>
        <v>0.20388395725083658</v>
      </c>
      <c r="AJ31" s="17">
        <f>1/100*J8*'AEO14 Sales data'!I$42/'AEO14 Sales data'!I$44</f>
        <v>0.20044907371493589</v>
      </c>
      <c r="AK31" s="17">
        <f>1/100*J8*'AEO14 Sales data'!I$47/'AEO14 Sales data'!I$49</f>
        <v>0.21480017240960003</v>
      </c>
      <c r="AL31" s="17">
        <f t="shared" si="2"/>
        <v>0.22431044208130096</v>
      </c>
      <c r="AM31" s="17">
        <f t="shared" si="2"/>
        <v>0.22605073191294717</v>
      </c>
      <c r="AN31" s="17">
        <f t="shared" si="2"/>
        <v>0.21796229124286032</v>
      </c>
      <c r="AO31" s="17">
        <f t="shared" si="2"/>
        <v>0.22529724240356427</v>
      </c>
      <c r="AP31" s="17">
        <f t="shared" si="2"/>
        <v>0.22268204431237995</v>
      </c>
      <c r="AQ31" s="17">
        <f t="shared" si="2"/>
        <v>0.22337931862680541</v>
      </c>
      <c r="AR31" s="17">
        <f t="shared" si="2"/>
        <v>0.21113982854203242</v>
      </c>
      <c r="AS31" s="17">
        <f t="shared" si="2"/>
        <v>0.20772156452149362</v>
      </c>
      <c r="AT31" s="17">
        <f t="shared" si="2"/>
        <v>0.22200780399785994</v>
      </c>
    </row>
    <row r="32" spans="1:46" x14ac:dyDescent="0.2">
      <c r="A32" s="17" t="s">
        <v>2741</v>
      </c>
      <c r="B32" s="17">
        <f>1/100*D9*'AEO14 Sales data'!C$7/'AEO14 Sales data'!C$9</f>
        <v>0.19999704904049878</v>
      </c>
      <c r="C32" s="17">
        <f>1/100*D9*'AEO14 Sales data'!C$12/'AEO14 Sales data'!C$14</f>
        <v>0.19999705912411933</v>
      </c>
      <c r="D32" s="17">
        <f>1/100*D9*'AEO14 Sales data'!C$17/'AEO14 Sales data'!C$19</f>
        <v>0.19999706807904577</v>
      </c>
      <c r="E32" s="17">
        <f>1/100*D9*'AEO14 Sales data'!C$22/'AEO14 Sales data'!C$24</f>
        <v>0.19999705864185308</v>
      </c>
      <c r="F32" s="17">
        <f>1/100*D9*'AEO14 Sales data'!C$27/'AEO14 Sales data'!C$29</f>
        <v>0.19999706508852913</v>
      </c>
      <c r="G32" s="17">
        <f>1/100*D9*'AEO14 Sales data'!C$32/'AEO14 Sales data'!C$34</f>
        <v>0.19999704490446607</v>
      </c>
      <c r="H32" s="17">
        <f>1/100*D9*'AEO14 Sales data'!C$37/'AEO14 Sales data'!C$39</f>
        <v>0.19999706360923231</v>
      </c>
      <c r="I32" s="17">
        <f>1/100*D9*'AEO14 Sales data'!C$42/'AEO14 Sales data'!C$44</f>
        <v>0.19999706524379746</v>
      </c>
      <c r="J32" s="17">
        <f>1/100*D9*'AEO14 Sales data'!C$47/'AEO14 Sales data'!C$49</f>
        <v>0.19999705341388946</v>
      </c>
      <c r="K32" s="17">
        <f>1/100*F9*'AEO14 Sales data'!E$7/'AEO14 Sales data'!E$9</f>
        <v>0.21912835775148531</v>
      </c>
      <c r="L32" s="17">
        <f>1/100*F9*'AEO14 Sales data'!E$12/'AEO14 Sales data'!E$14</f>
        <v>0.22106705795773574</v>
      </c>
      <c r="M32" s="17">
        <f>1/100*F9*'AEO14 Sales data'!E$17/'AEO14 Sales data'!E$19</f>
        <v>0.21206141715377883</v>
      </c>
      <c r="N32" s="17">
        <f>1/100*F9*'AEO14 Sales data'!E$22/'AEO14 Sales data'!E$24</f>
        <v>0.22024334723591979</v>
      </c>
      <c r="O32" s="17">
        <f>1/100*F9*'AEO14 Sales data'!E$27/'AEO14 Sales data'!E$29</f>
        <v>0.21731007769833757</v>
      </c>
      <c r="P32" s="17">
        <f>1/100*F9*'AEO14 Sales data'!E$32/'AEO14 Sales data'!E$34</f>
        <v>0.21810573995942811</v>
      </c>
      <c r="Q32" s="17">
        <f>1/100*F9*'AEO14 Sales data'!E$37/'AEO14 Sales data'!E$39</f>
        <v>0.20456214497949476</v>
      </c>
      <c r="R32" s="17">
        <f>1/100*F9*'AEO14 Sales data'!E$42/'AEO14 Sales data'!E$44</f>
        <v>0.20078558161783186</v>
      </c>
      <c r="S32" s="17">
        <f>1/100*F9*'AEO14 Sales data'!E$47/'AEO14 Sales data'!E$49</f>
        <v>0.21656349323070886</v>
      </c>
      <c r="T32" s="17">
        <f>1/100*H9*'AEO14 Sales data'!G$7/'AEO14 Sales data'!G$9</f>
        <v>0.22781858979991185</v>
      </c>
      <c r="U32" s="17">
        <f>1/100*H9*'AEO14 Sales data'!G$12/'AEO14 Sales data'!G$14</f>
        <v>0.22973066339113576</v>
      </c>
      <c r="V32" s="17">
        <f>1/100*H9*'AEO14 Sales data'!G$17/'AEO14 Sales data'!G$19</f>
        <v>0.22085400230081181</v>
      </c>
      <c r="W32" s="17">
        <f>1/100*H9*'AEO14 Sales data'!G$22/'AEO14 Sales data'!G$24</f>
        <v>0.22890924444919775</v>
      </c>
      <c r="X32" s="17">
        <f>1/100*H9*'AEO14 Sales data'!G$27/'AEO14 Sales data'!G$29</f>
        <v>0.22602892227314242</v>
      </c>
      <c r="Y32" s="17">
        <f>1/100*H9*'AEO14 Sales data'!G$32/'AEO14 Sales data'!G$34</f>
        <v>0.22680094443337573</v>
      </c>
      <c r="Z32" s="17">
        <f>1/100*H9*'AEO14 Sales data'!G$37/'AEO14 Sales data'!G$39</f>
        <v>0.21342345376437899</v>
      </c>
      <c r="AA32" s="17">
        <f>1/100*H9*'AEO14 Sales data'!G$42/'AEO14 Sales data'!G$44</f>
        <v>0.20968758694418654</v>
      </c>
      <c r="AB32" s="17">
        <f>1/100*H9*'AEO14 Sales data'!G$47/'AEO14 Sales data'!G$49</f>
        <v>0.22529274664277488</v>
      </c>
      <c r="AC32" s="17">
        <f>1/100*J9*'AEO14 Sales data'!I$7/'AEO14 Sales data'!I$9</f>
        <v>0.23333247581675598</v>
      </c>
      <c r="AD32" s="17">
        <f>1/100*J9*'AEO14 Sales data'!I$12/'AEO14 Sales data'!I$14</f>
        <v>0.2352167830726942</v>
      </c>
      <c r="AE32" s="17">
        <f>1/100*J9*'AEO14 Sales data'!I$17/'AEO14 Sales data'!I$19</f>
        <v>0.2264640048482118</v>
      </c>
      <c r="AF32" s="17">
        <f>1/100*J9*'AEO14 Sales data'!I$22/'AEO14 Sales data'!I$24</f>
        <v>0.23440424261221901</v>
      </c>
      <c r="AG32" s="17">
        <f>1/100*J9*'AEO14 Sales data'!I$27/'AEO14 Sales data'!I$29</f>
        <v>0.23156902704228649</v>
      </c>
      <c r="AH32" s="17">
        <f>1/100*J9*'AEO14 Sales data'!I$32/'AEO14 Sales data'!I$34</f>
        <v>0.23232704801624554</v>
      </c>
      <c r="AI32" s="17">
        <f>1/100*J9*'AEO14 Sales data'!I$37/'AEO14 Sales data'!I$39</f>
        <v>0.21910990879078429</v>
      </c>
      <c r="AJ32" s="17">
        <f>1/100*J9*'AEO14 Sales data'!I$42/'AEO14 Sales data'!I$44</f>
        <v>0.21541850987737088</v>
      </c>
      <c r="AK32" s="17">
        <f>1/100*J9*'AEO14 Sales data'!I$47/'AEO14 Sales data'!I$49</f>
        <v>0.23084134141564042</v>
      </c>
      <c r="AL32" s="17">
        <f t="shared" si="2"/>
        <v>0.23897981423989167</v>
      </c>
      <c r="AM32" s="17">
        <f t="shared" si="2"/>
        <v>0.24083391490872996</v>
      </c>
      <c r="AN32" s="17">
        <f t="shared" si="2"/>
        <v>0.23221650935733293</v>
      </c>
      <c r="AO32" s="17">
        <f t="shared" si="2"/>
        <v>0.24003114896830721</v>
      </c>
      <c r="AP32" s="17">
        <f t="shared" si="2"/>
        <v>0.23724492310992645</v>
      </c>
      <c r="AQ32" s="17">
        <f t="shared" si="2"/>
        <v>0.23798779751465551</v>
      </c>
      <c r="AR32" s="17">
        <f t="shared" si="2"/>
        <v>0.22494787373888275</v>
      </c>
      <c r="AS32" s="17">
        <f t="shared" si="2"/>
        <v>0.22130606333954711</v>
      </c>
      <c r="AT32" s="17">
        <f t="shared" si="2"/>
        <v>0.23652658907419463</v>
      </c>
    </row>
    <row r="33" spans="1:46" x14ac:dyDescent="0.2">
      <c r="A33" s="17" t="s">
        <v>2743</v>
      </c>
      <c r="B33" s="17">
        <f>1/100*D10*'AEO14 Sales data'!C$7/'AEO14 Sales data'!C$9</f>
        <v>8.4636346510364321E-2</v>
      </c>
      <c r="C33" s="17">
        <f>1/100*D10*'AEO14 Sales data'!C$12/'AEO14 Sales data'!C$14</f>
        <v>8.4636350777631306E-2</v>
      </c>
      <c r="D33" s="17">
        <f>1/100*D10*'AEO14 Sales data'!C$17/'AEO14 Sales data'!C$19</f>
        <v>8.4636354567248509E-2</v>
      </c>
      <c r="E33" s="17">
        <f>1/100*D10*'AEO14 Sales data'!C$22/'AEO14 Sales data'!C$24</f>
        <v>8.4636350573542032E-2</v>
      </c>
      <c r="F33" s="17">
        <f>1/100*D10*'AEO14 Sales data'!C$27/'AEO14 Sales data'!C$29</f>
        <v>8.4636353301697817E-2</v>
      </c>
      <c r="G33" s="17">
        <f>1/100*D10*'AEO14 Sales data'!C$32/'AEO14 Sales data'!C$34</f>
        <v>8.4636344760045015E-2</v>
      </c>
      <c r="H33" s="17">
        <f>1/100*D10*'AEO14 Sales data'!C$37/'AEO14 Sales data'!C$39</f>
        <v>8.4636352675677193E-2</v>
      </c>
      <c r="I33" s="17">
        <f>1/100*D10*'AEO14 Sales data'!C$42/'AEO14 Sales data'!C$44</f>
        <v>8.4636353367405492E-2</v>
      </c>
      <c r="J33" s="17">
        <f>1/100*D10*'AEO14 Sales data'!C$47/'AEO14 Sales data'!C$49</f>
        <v>8.4636348361130667E-2</v>
      </c>
      <c r="K33" s="17">
        <f>1/100*F10*'AEO14 Sales data'!E$7/'AEO14 Sales data'!E$9</f>
        <v>5.2959942927660542E-2</v>
      </c>
      <c r="L33" s="17">
        <f>1/100*F10*'AEO14 Sales data'!E$12/'AEO14 Sales data'!E$14</f>
        <v>5.342849685345278E-2</v>
      </c>
      <c r="M33" s="17">
        <f>1/100*F10*'AEO14 Sales data'!E$17/'AEO14 Sales data'!E$19</f>
        <v>5.1251972427775905E-2</v>
      </c>
      <c r="N33" s="17">
        <f>1/100*F10*'AEO14 Sales data'!E$22/'AEO14 Sales data'!E$24</f>
        <v>5.3229418681809894E-2</v>
      </c>
      <c r="O33" s="17">
        <f>1/100*F10*'AEO14 Sales data'!E$27/'AEO14 Sales data'!E$29</f>
        <v>5.2520492694795577E-2</v>
      </c>
      <c r="P33" s="17">
        <f>1/100*F10*'AEO14 Sales data'!E$32/'AEO14 Sales data'!E$34</f>
        <v>5.2712791986267639E-2</v>
      </c>
      <c r="Q33" s="17">
        <f>1/100*F10*'AEO14 Sales data'!E$37/'AEO14 Sales data'!E$39</f>
        <v>4.9439514056689594E-2</v>
      </c>
      <c r="R33" s="17">
        <f>1/100*F10*'AEO14 Sales data'!E$42/'AEO14 Sales data'!E$44</f>
        <v>4.8526776964381388E-2</v>
      </c>
      <c r="S33" s="17">
        <f>1/100*F10*'AEO14 Sales data'!E$47/'AEO14 Sales data'!E$49</f>
        <v>5.234005474873505E-2</v>
      </c>
      <c r="T33" s="17">
        <f>1/100*H10*'AEO14 Sales data'!G$7/'AEO14 Sales data'!G$9</f>
        <v>5.6650966080004188E-2</v>
      </c>
      <c r="U33" s="17">
        <f>1/100*H10*'AEO14 Sales data'!G$12/'AEO14 Sales data'!G$14</f>
        <v>5.7126435690513289E-2</v>
      </c>
      <c r="V33" s="17">
        <f>1/100*H10*'AEO14 Sales data'!G$17/'AEO14 Sales data'!G$19</f>
        <v>5.4919102975596129E-2</v>
      </c>
      <c r="W33" s="17">
        <f>1/100*H10*'AEO14 Sales data'!G$22/'AEO14 Sales data'!G$24</f>
        <v>5.6922175903557033E-2</v>
      </c>
      <c r="X33" s="17">
        <f>1/100*H10*'AEO14 Sales data'!G$27/'AEO14 Sales data'!G$29</f>
        <v>5.6205934818760114E-2</v>
      </c>
      <c r="Y33" s="17">
        <f>1/100*H10*'AEO14 Sales data'!G$32/'AEO14 Sales data'!G$34</f>
        <v>5.6397911256024516E-2</v>
      </c>
      <c r="Z33" s="17">
        <f>1/100*H10*'AEO14 Sales data'!G$37/'AEO14 Sales data'!G$39</f>
        <v>5.3071370736260497E-2</v>
      </c>
      <c r="AA33" s="17">
        <f>1/100*H10*'AEO14 Sales data'!G$42/'AEO14 Sales data'!G$44</f>
        <v>5.2142383928397214E-2</v>
      </c>
      <c r="AB33" s="17">
        <f>1/100*H10*'AEO14 Sales data'!G$47/'AEO14 Sales data'!G$49</f>
        <v>5.6022872230665328E-2</v>
      </c>
      <c r="AC33" s="17">
        <f>1/100*J10*'AEO14 Sales data'!I$7/'AEO14 Sales data'!I$9</f>
        <v>5.7763902477624217E-2</v>
      </c>
      <c r="AD33" s="17">
        <f>1/100*J10*'AEO14 Sales data'!I$12/'AEO14 Sales data'!I$14</f>
        <v>5.8230382508699594E-2</v>
      </c>
      <c r="AE33" s="17">
        <f>1/100*J10*'AEO14 Sales data'!I$17/'AEO14 Sales data'!I$19</f>
        <v>5.6063540426398391E-2</v>
      </c>
      <c r="AF33" s="17">
        <f>1/100*J10*'AEO14 Sales data'!I$22/'AEO14 Sales data'!I$24</f>
        <v>5.8029229592656863E-2</v>
      </c>
      <c r="AG33" s="17">
        <f>1/100*J10*'AEO14 Sales data'!I$27/'AEO14 Sales data'!I$29</f>
        <v>5.7327342231665412E-2</v>
      </c>
      <c r="AH33" s="17">
        <f>1/100*J10*'AEO14 Sales data'!I$32/'AEO14 Sales data'!I$34</f>
        <v>5.7514998276810836E-2</v>
      </c>
      <c r="AI33" s="17">
        <f>1/100*J10*'AEO14 Sales data'!I$37/'AEO14 Sales data'!I$39</f>
        <v>5.4242956789314227E-2</v>
      </c>
      <c r="AJ33" s="17">
        <f>1/100*J10*'AEO14 Sales data'!I$42/'AEO14 Sales data'!I$44</f>
        <v>5.3329112258697423E-2</v>
      </c>
      <c r="AK33" s="17">
        <f>1/100*J10*'AEO14 Sales data'!I$47/'AEO14 Sales data'!I$49</f>
        <v>5.7147196020021204E-2</v>
      </c>
      <c r="AL33" s="17">
        <f t="shared" si="2"/>
        <v>5.889870306416907E-2</v>
      </c>
      <c r="AM33" s="17">
        <f t="shared" si="2"/>
        <v>5.935566268267211E-2</v>
      </c>
      <c r="AN33" s="17">
        <f t="shared" si="2"/>
        <v>5.7231826356287804E-2</v>
      </c>
      <c r="AO33" s="17">
        <f t="shared" si="2"/>
        <v>5.9157813868932867E-2</v>
      </c>
      <c r="AP33" s="17">
        <f t="shared" si="2"/>
        <v>5.8471123697947353E-2</v>
      </c>
      <c r="AQ33" s="17">
        <f t="shared" si="2"/>
        <v>5.8654211709448546E-2</v>
      </c>
      <c r="AR33" s="17">
        <f t="shared" si="2"/>
        <v>5.5440406389147844E-2</v>
      </c>
      <c r="AS33" s="17">
        <f t="shared" si="2"/>
        <v>5.4542849790032079E-2</v>
      </c>
      <c r="AT33" s="17">
        <f t="shared" si="2"/>
        <v>5.8294083878889742E-2</v>
      </c>
    </row>
    <row r="34" spans="1:46" x14ac:dyDescent="0.2">
      <c r="A34" s="17" t="s">
        <v>2745</v>
      </c>
      <c r="B34" s="17">
        <f>1/100*D11*'AEO14 Sales data'!C$7/'AEO14 Sales data'!C$9</f>
        <v>1.2284806768386797E-2</v>
      </c>
      <c r="C34" s="17">
        <f>1/100*D11*'AEO14 Sales data'!C$12/'AEO14 Sales data'!C$14</f>
        <v>1.2284807387772587E-2</v>
      </c>
      <c r="D34" s="17">
        <f>1/100*D11*'AEO14 Sales data'!C$17/'AEO14 Sales data'!C$19</f>
        <v>1.2284807937828407E-2</v>
      </c>
      <c r="E34" s="17">
        <f>1/100*D11*'AEO14 Sales data'!C$22/'AEO14 Sales data'!C$24</f>
        <v>1.2284807358149409E-2</v>
      </c>
      <c r="F34" s="17">
        <f>1/100*D11*'AEO14 Sales data'!C$27/'AEO14 Sales data'!C$29</f>
        <v>1.2284807754136101E-2</v>
      </c>
      <c r="G34" s="17">
        <f>1/100*D11*'AEO14 Sales data'!C$32/'AEO14 Sales data'!C$34</f>
        <v>1.2284806514331236E-2</v>
      </c>
      <c r="H34" s="17">
        <f>1/100*D11*'AEO14 Sales data'!C$37/'AEO14 Sales data'!C$39</f>
        <v>1.2284807663270383E-2</v>
      </c>
      <c r="I34" s="17">
        <f>1/100*D11*'AEO14 Sales data'!C$42/'AEO14 Sales data'!C$44</f>
        <v>1.2284807763673449E-2</v>
      </c>
      <c r="J34" s="17">
        <f>1/100*D11*'AEO14 Sales data'!C$47/'AEO14 Sales data'!C$49</f>
        <v>1.2284807037022057E-2</v>
      </c>
      <c r="K34" s="17">
        <f>1/100*F11*'AEO14 Sales data'!E$7/'AEO14 Sales data'!E$9</f>
        <v>3.1644766457231003E-3</v>
      </c>
      <c r="L34" s="17">
        <f>1/100*F11*'AEO14 Sales data'!E$12/'AEO14 Sales data'!E$14</f>
        <v>3.1924738049620509E-3</v>
      </c>
      <c r="M34" s="17">
        <f>1/100*F11*'AEO14 Sales data'!E$17/'AEO14 Sales data'!E$19</f>
        <v>3.062421536527618E-3</v>
      </c>
      <c r="N34" s="17">
        <f>1/100*F11*'AEO14 Sales data'!E$22/'AEO14 Sales data'!E$24</f>
        <v>3.1805784329126947E-3</v>
      </c>
      <c r="O34" s="17">
        <f>1/100*F11*'AEO14 Sales data'!E$27/'AEO14 Sales data'!E$29</f>
        <v>3.1382184981122111E-3</v>
      </c>
      <c r="P34" s="17">
        <f>1/100*F11*'AEO14 Sales data'!E$32/'AEO14 Sales data'!E$34</f>
        <v>3.1497088167042014E-3</v>
      </c>
      <c r="Q34" s="17">
        <f>1/100*F11*'AEO14 Sales data'!E$37/'AEO14 Sales data'!E$39</f>
        <v>2.9541230401625021E-3</v>
      </c>
      <c r="R34" s="17">
        <f>1/100*F11*'AEO14 Sales data'!E$42/'AEO14 Sales data'!E$44</f>
        <v>2.8995849297978483E-3</v>
      </c>
      <c r="S34" s="17">
        <f>1/100*F11*'AEO14 Sales data'!E$47/'AEO14 Sales data'!E$49</f>
        <v>3.1274369217972465E-3</v>
      </c>
      <c r="T34" s="17">
        <f>1/100*H11*'AEO14 Sales data'!G$7/'AEO14 Sales data'!G$9</f>
        <v>3.2789563963149023E-3</v>
      </c>
      <c r="U34" s="17">
        <f>1/100*H11*'AEO14 Sales data'!G$12/'AEO14 Sales data'!G$14</f>
        <v>3.3064765646105398E-3</v>
      </c>
      <c r="V34" s="17">
        <f>1/100*H11*'AEO14 Sales data'!G$17/'AEO14 Sales data'!G$19</f>
        <v>3.1787162063114179E-3</v>
      </c>
      <c r="W34" s="17">
        <f>1/100*H11*'AEO14 Sales data'!G$22/'AEO14 Sales data'!G$24</f>
        <v>3.2946540136234255E-3</v>
      </c>
      <c r="X34" s="17">
        <f>1/100*H11*'AEO14 Sales data'!G$27/'AEO14 Sales data'!G$29</f>
        <v>3.2531979988578217E-3</v>
      </c>
      <c r="Y34" s="17">
        <f>1/100*H11*'AEO14 Sales data'!G$32/'AEO14 Sales data'!G$34</f>
        <v>3.2643095898944319E-3</v>
      </c>
      <c r="Z34" s="17">
        <f>1/100*H11*'AEO14 Sales data'!G$37/'AEO14 Sales data'!G$39</f>
        <v>3.0717695138880148E-3</v>
      </c>
      <c r="AA34" s="17">
        <f>1/100*H11*'AEO14 Sales data'!G$42/'AEO14 Sales data'!G$44</f>
        <v>3.0179997823809885E-3</v>
      </c>
      <c r="AB34" s="17">
        <f>1/100*H11*'AEO14 Sales data'!G$47/'AEO14 Sales data'!G$49</f>
        <v>3.24260234117192E-3</v>
      </c>
      <c r="AC34" s="17">
        <f>1/100*J11*'AEO14 Sales data'!I$7/'AEO14 Sales data'!I$9</f>
        <v>3.3692363530101591E-3</v>
      </c>
      <c r="AD34" s="17">
        <f>1/100*J11*'AEO14 Sales data'!I$12/'AEO14 Sales data'!I$14</f>
        <v>3.3964450666053199E-3</v>
      </c>
      <c r="AE34" s="17">
        <f>1/100*J11*'AEO14 Sales data'!I$17/'AEO14 Sales data'!I$19</f>
        <v>3.2700581224796273E-3</v>
      </c>
      <c r="AF34" s="17">
        <f>1/100*J11*'AEO14 Sales data'!I$22/'AEO14 Sales data'!I$24</f>
        <v>3.3847122769533797E-3</v>
      </c>
      <c r="AG34" s="17">
        <f>1/100*J11*'AEO14 Sales data'!I$27/'AEO14 Sales data'!I$29</f>
        <v>3.3437727920685618E-3</v>
      </c>
      <c r="AH34" s="17">
        <f>1/100*J11*'AEO14 Sales data'!I$32/'AEO14 Sales data'!I$34</f>
        <v>3.3547183401019731E-3</v>
      </c>
      <c r="AI34" s="17">
        <f>1/100*J11*'AEO14 Sales data'!I$37/'AEO14 Sales data'!I$39</f>
        <v>3.1638676417354373E-3</v>
      </c>
      <c r="AJ34" s="17">
        <f>1/100*J11*'AEO14 Sales data'!I$42/'AEO14 Sales data'!I$44</f>
        <v>3.1105651797913828E-3</v>
      </c>
      <c r="AK34" s="17">
        <f>1/100*J11*'AEO14 Sales data'!I$47/'AEO14 Sales data'!I$49</f>
        <v>3.3332652754518681E-3</v>
      </c>
      <c r="AL34" s="17">
        <f t="shared" si="2"/>
        <v>3.4620020001495024E-3</v>
      </c>
      <c r="AM34" s="17">
        <f t="shared" si="2"/>
        <v>3.4888615918033548E-3</v>
      </c>
      <c r="AN34" s="17">
        <f t="shared" si="2"/>
        <v>3.3640247918839748E-3</v>
      </c>
      <c r="AO34" s="17">
        <f t="shared" si="2"/>
        <v>3.4772322527303681E-3</v>
      </c>
      <c r="AP34" s="17">
        <f t="shared" si="2"/>
        <v>3.4368693479165744E-3</v>
      </c>
      <c r="AQ34" s="17">
        <f t="shared" si="2"/>
        <v>3.4476310630146135E-3</v>
      </c>
      <c r="AR34" s="17">
        <f t="shared" si="2"/>
        <v>3.2587270656744614E-3</v>
      </c>
      <c r="AS34" s="17">
        <f t="shared" si="2"/>
        <v>3.2059696605071394E-3</v>
      </c>
      <c r="AT34" s="17">
        <f t="shared" si="2"/>
        <v>3.426463139022369E-3</v>
      </c>
    </row>
    <row r="38" spans="1:46" x14ac:dyDescent="0.2">
      <c r="A38" s="17" t="s">
        <v>2726</v>
      </c>
      <c r="B38" s="17">
        <f>1/100*D15*'AEO14 Sales data'!C$8/'AEO14 Sales data'!C$9</f>
        <v>2.497742588120383E-2</v>
      </c>
      <c r="C38" s="17">
        <f>1/100*D15*'AEO14 Sales data'!C$13/'AEO14 Sales data'!C$14</f>
        <v>2.4977424653879306E-2</v>
      </c>
      <c r="D38" s="17">
        <f>1/100*D15*'AEO14 Sales data'!C$18/'AEO14 Sales data'!C$19</f>
        <v>2.4977423563933426E-2</v>
      </c>
      <c r="E38" s="17">
        <f>1/100*D15*'AEO14 Sales data'!C$23/'AEO14 Sales data'!C$24</f>
        <v>2.4977424712578186E-2</v>
      </c>
      <c r="F38" s="17">
        <f>1/100*D15*'AEO14 Sales data'!C$28/'AEO14 Sales data'!C$29</f>
        <v>2.4977423927923161E-2</v>
      </c>
      <c r="G38" s="17">
        <f>1/100*D15*'AEO14 Sales data'!C$33/'AEO14 Sales data'!C$34</f>
        <v>2.497742638461966E-2</v>
      </c>
      <c r="H38" s="17">
        <f>1/100*D15*'AEO14 Sales data'!C$38/'AEO14 Sales data'!C$39</f>
        <v>2.497742410797528E-2</v>
      </c>
      <c r="I38" s="17">
        <f>1/100*D15*'AEO14 Sales data'!C$43/'AEO14 Sales data'!C$44</f>
        <v>2.4977423909024726E-2</v>
      </c>
      <c r="J38" s="17">
        <f>1/100*D15*'AEO14 Sales data'!C$48/'AEO14 Sales data'!C$49</f>
        <v>2.4977425348898033E-2</v>
      </c>
      <c r="K38" s="17">
        <f>1/100*F15*'AEO14 Sales data'!E$8/'AEO14 Sales data'!E$9</f>
        <v>1.9116162155474271E-2</v>
      </c>
      <c r="L38" s="17">
        <f>1/100*F15*'AEO14 Sales data'!E$13/'AEO14 Sales data'!E$14</f>
        <v>1.8912722228491538E-2</v>
      </c>
      <c r="M38" s="17">
        <f>1/100*F15*'AEO14 Sales data'!E$18/'AEO14 Sales data'!E$19</f>
        <v>1.9857740391528291E-2</v>
      </c>
      <c r="N38" s="17">
        <f>1/100*F15*'AEO14 Sales data'!E$23/'AEO14 Sales data'!E$24</f>
        <v>1.8999159341646459E-2</v>
      </c>
      <c r="O38" s="17">
        <f>1/100*F15*'AEO14 Sales data'!E$28/'AEO14 Sales data'!E$29</f>
        <v>1.9306965643323473E-2</v>
      </c>
      <c r="P38" s="17">
        <f>1/100*F15*'AEO14 Sales data'!E$33/'AEO14 Sales data'!E$34</f>
        <v>1.922347183041867E-2</v>
      </c>
      <c r="Q38" s="17">
        <f>1/100*F15*'AEO14 Sales data'!E$38/'AEO14 Sales data'!E$39</f>
        <v>2.0644685881419541E-2</v>
      </c>
      <c r="R38" s="17">
        <f>1/100*F15*'AEO14 Sales data'!E$43/'AEO14 Sales data'!E$44</f>
        <v>2.1040984273540893E-2</v>
      </c>
      <c r="S38" s="17">
        <f>1/100*F15*'AEO14 Sales data'!E$48/'AEO14 Sales data'!E$49</f>
        <v>1.9385309416688305E-2</v>
      </c>
      <c r="T38" s="17">
        <f>1/100*H15*'AEO14 Sales data'!G$8/'AEO14 Sales data'!G$9</f>
        <v>1.8347509684399407E-2</v>
      </c>
      <c r="U38" s="17">
        <f>1/100*H15*'AEO14 Sales data'!G$13/'AEO14 Sales data'!G$14</f>
        <v>1.8143140885034176E-2</v>
      </c>
      <c r="V38" s="17">
        <f>1/100*H15*'AEO14 Sales data'!G$18/'AEO14 Sales data'!G$19</f>
        <v>1.9091908012893739E-2</v>
      </c>
      <c r="W38" s="17">
        <f>1/100*H15*'AEO14 Sales data'!G$23/'AEO14 Sales data'!G$24</f>
        <v>1.8230936879764837E-2</v>
      </c>
      <c r="X38" s="17">
        <f>1/100*H15*'AEO14 Sales data'!G$28/'AEO14 Sales data'!G$29</f>
        <v>1.8538795315552716E-2</v>
      </c>
      <c r="Y38" s="17">
        <f>1/100*H15*'AEO14 Sales data'!G$33/'AEO14 Sales data'!G$34</f>
        <v>1.8456279013515795E-2</v>
      </c>
      <c r="Z38" s="17">
        <f>1/100*H15*'AEO14 Sales data'!G$38/'AEO14 Sales data'!G$39</f>
        <v>1.9886109810348548E-2</v>
      </c>
      <c r="AA38" s="17">
        <f>1/100*H15*'AEO14 Sales data'!G$43/'AEO14 Sales data'!G$44</f>
        <v>2.0285411709676827E-2</v>
      </c>
      <c r="AB38" s="17">
        <f>1/100*H15*'AEO14 Sales data'!G$48/'AEO14 Sales data'!G$49</f>
        <v>1.8617480220982453E-2</v>
      </c>
      <c r="AC38" s="17">
        <f>1/100*J15*'AEO14 Sales data'!I$8/'AEO14 Sales data'!I$9</f>
        <v>1.7527925981125243E-2</v>
      </c>
      <c r="AD38" s="17">
        <f>1/100*J15*'AEO14 Sales data'!I$13/'AEO14 Sales data'!I$14</f>
        <v>1.7327013667925158E-2</v>
      </c>
      <c r="AE38" s="17">
        <f>1/100*J15*'AEO14 Sales data'!I$18/'AEO14 Sales data'!I$19</f>
        <v>1.8260269597639513E-2</v>
      </c>
      <c r="AF38" s="17">
        <f>1/100*J15*'AEO14 Sales data'!I$23/'AEO14 Sales data'!I$24</f>
        <v>1.7413649954533015E-2</v>
      </c>
      <c r="AG38" s="17">
        <f>1/100*J15*'AEO14 Sales data'!I$28/'AEO14 Sales data'!I$29</f>
        <v>1.771595188368014E-2</v>
      </c>
      <c r="AH38" s="17">
        <f>1/100*J15*'AEO14 Sales data'!I$33/'AEO14 Sales data'!I$34</f>
        <v>1.7635128680960763E-2</v>
      </c>
      <c r="AI38" s="17">
        <f>1/100*J15*'AEO14 Sales data'!I$38/'AEO14 Sales data'!I$39</f>
        <v>1.9044392487225125E-2</v>
      </c>
      <c r="AJ38" s="17">
        <f>1/100*J15*'AEO14 Sales data'!I$43/'AEO14 Sales data'!I$44</f>
        <v>1.9437984080263343E-2</v>
      </c>
      <c r="AK38" s="17">
        <f>1/100*J15*'AEO14 Sales data'!I$48/'AEO14 Sales data'!I$49</f>
        <v>1.7793540611352437E-2</v>
      </c>
      <c r="AL38" s="17">
        <f t="shared" ref="AL38:AT43" si="3">AC38/T38*AC38</f>
        <v>1.6744953101784518E-2</v>
      </c>
      <c r="AM38" s="17">
        <f t="shared" si="3"/>
        <v>1.6547598045502345E-2</v>
      </c>
      <c r="AN38" s="17">
        <f t="shared" si="3"/>
        <v>1.7464857129695501E-2</v>
      </c>
      <c r="AO38" s="17">
        <f t="shared" si="3"/>
        <v>1.6633001734298099E-2</v>
      </c>
      <c r="AP38" s="17">
        <f t="shared" si="3"/>
        <v>1.6929630313225807E-2</v>
      </c>
      <c r="AQ38" s="17">
        <f t="shared" si="3"/>
        <v>1.6850512682772992E-2</v>
      </c>
      <c r="AR38" s="17">
        <f t="shared" si="3"/>
        <v>1.8238302446602041E-2</v>
      </c>
      <c r="AS38" s="17">
        <f t="shared" si="3"/>
        <v>1.8625957930364853E-2</v>
      </c>
      <c r="AT38" s="17">
        <f t="shared" si="3"/>
        <v>1.7006065468033613E-2</v>
      </c>
    </row>
    <row r="39" spans="1:46" x14ac:dyDescent="0.2">
      <c r="A39" s="17" t="s">
        <v>2727</v>
      </c>
      <c r="B39" s="17">
        <f>1/100*D16*'AEO14 Sales data'!C$8/'AEO14 Sales data'!C$9</f>
        <v>0.10741508575432546</v>
      </c>
      <c r="C39" s="17">
        <f>1/100*D16*'AEO14 Sales data'!C$13/'AEO14 Sales data'!C$14</f>
        <v>0.1074150804762328</v>
      </c>
      <c r="D39" s="17">
        <f>1/100*D16*'AEO14 Sales data'!C$18/'AEO14 Sales data'!C$19</f>
        <v>0.10741507578893511</v>
      </c>
      <c r="E39" s="17">
        <f>1/100*D16*'AEO14 Sales data'!C$23/'AEO14 Sales data'!C$24</f>
        <v>0.10741508072866654</v>
      </c>
      <c r="F39" s="17">
        <f>1/100*D16*'AEO14 Sales data'!C$28/'AEO14 Sales data'!C$29</f>
        <v>0.10741507735426808</v>
      </c>
      <c r="G39" s="17">
        <f>1/100*D16*'AEO14 Sales data'!C$33/'AEO14 Sales data'!C$34</f>
        <v>0.10741508791925851</v>
      </c>
      <c r="H39" s="17">
        <f>1/100*D16*'AEO14 Sales data'!C$38/'AEO14 Sales data'!C$39</f>
        <v>0.10741507812857982</v>
      </c>
      <c r="I39" s="17">
        <f>1/100*D16*'AEO14 Sales data'!C$43/'AEO14 Sales data'!C$44</f>
        <v>0.10741507727299564</v>
      </c>
      <c r="J39" s="17">
        <f>1/100*D16*'AEO14 Sales data'!C$48/'AEO14 Sales data'!C$49</f>
        <v>0.10741508346515151</v>
      </c>
      <c r="K39" s="17">
        <f>1/100*F16*'AEO14 Sales data'!E$8/'AEO14 Sales data'!E$9</f>
        <v>0.10450664994533009</v>
      </c>
      <c r="L39" s="17">
        <f>1/100*F16*'AEO14 Sales data'!E$13/'AEO14 Sales data'!E$14</f>
        <v>0.10339445885481877</v>
      </c>
      <c r="M39" s="17">
        <f>1/100*F16*'AEO14 Sales data'!E$18/'AEO14 Sales data'!E$19</f>
        <v>0.10856080351925648</v>
      </c>
      <c r="N39" s="17">
        <f>1/100*F16*'AEO14 Sales data'!E$23/'AEO14 Sales data'!E$24</f>
        <v>0.1038670041833893</v>
      </c>
      <c r="O39" s="17">
        <f>1/100*F16*'AEO14 Sales data'!E$28/'AEO14 Sales data'!E$29</f>
        <v>0.10554975855420398</v>
      </c>
      <c r="P39" s="17">
        <f>1/100*F16*'AEO14 Sales data'!E$33/'AEO14 Sales data'!E$34</f>
        <v>0.10509330403122619</v>
      </c>
      <c r="Q39" s="17">
        <f>1/100*F16*'AEO14 Sales data'!E$38/'AEO14 Sales data'!E$39</f>
        <v>0.11286297652706234</v>
      </c>
      <c r="R39" s="17">
        <f>1/100*F16*'AEO14 Sales data'!E$43/'AEO14 Sales data'!E$44</f>
        <v>0.1150295106358695</v>
      </c>
      <c r="S39" s="17">
        <f>1/100*F16*'AEO14 Sales data'!E$48/'AEO14 Sales data'!E$49</f>
        <v>0.10597805819049316</v>
      </c>
      <c r="T39" s="17">
        <f>1/100*H16*'AEO14 Sales data'!G$8/'AEO14 Sales data'!G$9</f>
        <v>9.9094282949541784E-2</v>
      </c>
      <c r="U39" s="17">
        <f>1/100*H16*'AEO14 Sales data'!G$13/'AEO14 Sales data'!G$14</f>
        <v>9.7990493935189826E-2</v>
      </c>
      <c r="V39" s="17">
        <f>1/100*H16*'AEO14 Sales data'!G$18/'AEO14 Sales data'!G$19</f>
        <v>0.10311475329455569</v>
      </c>
      <c r="W39" s="17">
        <f>1/100*H16*'AEO14 Sales data'!G$23/'AEO14 Sales data'!G$24</f>
        <v>9.8464677150968363E-2</v>
      </c>
      <c r="X39" s="17">
        <f>1/100*H16*'AEO14 Sales data'!G$28/'AEO14 Sales data'!G$29</f>
        <v>0.10012741021224626</v>
      </c>
      <c r="Y39" s="17">
        <f>1/100*H16*'AEO14 Sales data'!G$33/'AEO14 Sales data'!G$34</f>
        <v>9.9681742439199736E-2</v>
      </c>
      <c r="Z39" s="17">
        <f>1/100*H16*'AEO14 Sales data'!G$38/'AEO14 Sales data'!G$39</f>
        <v>0.10740421050099826</v>
      </c>
      <c r="AA39" s="17">
        <f>1/100*H16*'AEO14 Sales data'!G$43/'AEO14 Sales data'!G$44</f>
        <v>0.10956082663446572</v>
      </c>
      <c r="AB39" s="17">
        <f>1/100*H16*'AEO14 Sales data'!G$48/'AEO14 Sales data'!G$49</f>
        <v>0.10055238474103163</v>
      </c>
      <c r="AC39" s="17">
        <f>1/100*J16*'AEO14 Sales data'!I$8/'AEO14 Sales data'!I$9</f>
        <v>9.5434126573649955E-2</v>
      </c>
      <c r="AD39" s="17">
        <f>1/100*J16*'AEO14 Sales data'!I$13/'AEO14 Sales data'!I$14</f>
        <v>9.4340221273685257E-2</v>
      </c>
      <c r="AE39" s="17">
        <f>1/100*J16*'AEO14 Sales data'!I$18/'AEO14 Sales data'!I$19</f>
        <v>9.9421510675402114E-2</v>
      </c>
      <c r="AF39" s="17">
        <f>1/100*J16*'AEO14 Sales data'!I$23/'AEO14 Sales data'!I$24</f>
        <v>9.4811929013146765E-2</v>
      </c>
      <c r="AG39" s="17">
        <f>1/100*J16*'AEO14 Sales data'!I$28/'AEO14 Sales data'!I$29</f>
        <v>9.6457869360039625E-2</v>
      </c>
      <c r="AH39" s="17">
        <f>1/100*J16*'AEO14 Sales data'!I$33/'AEO14 Sales data'!I$34</f>
        <v>9.6017812061377189E-2</v>
      </c>
      <c r="AI39" s="17">
        <f>1/100*J16*'AEO14 Sales data'!I$38/'AEO14 Sales data'!I$39</f>
        <v>0.10369081687709374</v>
      </c>
      <c r="AJ39" s="17">
        <f>1/100*J16*'AEO14 Sales data'!I$43/'AEO14 Sales data'!I$44</f>
        <v>0.10583380116107473</v>
      </c>
      <c r="AK39" s="17">
        <f>1/100*J16*'AEO14 Sales data'!I$48/'AEO14 Sales data'!I$49</f>
        <v>9.6880315944155734E-2</v>
      </c>
      <c r="AL39" s="17">
        <f t="shared" si="3"/>
        <v>9.190916210083494E-2</v>
      </c>
      <c r="AM39" s="17">
        <f t="shared" si="3"/>
        <v>9.082592599088582E-2</v>
      </c>
      <c r="AN39" s="17">
        <f t="shared" si="3"/>
        <v>9.5860548264541989E-2</v>
      </c>
      <c r="AO39" s="17">
        <f t="shared" si="3"/>
        <v>9.1294687021736445E-2</v>
      </c>
      <c r="AP39" s="17">
        <f t="shared" si="3"/>
        <v>9.2922812462201423E-2</v>
      </c>
      <c r="AQ39" s="17">
        <f t="shared" si="3"/>
        <v>9.2488554146987145E-2</v>
      </c>
      <c r="AR39" s="17">
        <f t="shared" si="3"/>
        <v>0.10010581013990189</v>
      </c>
      <c r="AS39" s="17">
        <f t="shared" si="3"/>
        <v>0.1022335611392544</v>
      </c>
      <c r="AT39" s="17">
        <f t="shared" si="3"/>
        <v>9.3342347291037908E-2</v>
      </c>
    </row>
    <row r="40" spans="1:46" x14ac:dyDescent="0.2">
      <c r="A40" s="17" t="s">
        <v>2728</v>
      </c>
      <c r="B40" s="17">
        <f>1/100*D17*'AEO14 Sales data'!C$8/'AEO14 Sales data'!C$9</f>
        <v>8.3258086270679415E-3</v>
      </c>
      <c r="C40" s="17">
        <f>1/100*D17*'AEO14 Sales data'!C$13/'AEO14 Sales data'!C$14</f>
        <v>8.3258082179597688E-3</v>
      </c>
      <c r="D40" s="17">
        <f>1/100*D17*'AEO14 Sales data'!C$18/'AEO14 Sales data'!C$19</f>
        <v>8.3258078546444743E-3</v>
      </c>
      <c r="E40" s="17">
        <f>1/100*D17*'AEO14 Sales data'!C$23/'AEO14 Sales data'!C$24</f>
        <v>8.3258082375260618E-3</v>
      </c>
      <c r="F40" s="17">
        <f>1/100*D17*'AEO14 Sales data'!C$28/'AEO14 Sales data'!C$29</f>
        <v>8.3258079759743874E-3</v>
      </c>
      <c r="G40" s="17">
        <f>1/100*D17*'AEO14 Sales data'!C$33/'AEO14 Sales data'!C$34</f>
        <v>8.3258087948732198E-3</v>
      </c>
      <c r="H40" s="17">
        <f>1/100*D17*'AEO14 Sales data'!C$38/'AEO14 Sales data'!C$39</f>
        <v>8.3258080359917587E-3</v>
      </c>
      <c r="I40" s="17">
        <f>1/100*D17*'AEO14 Sales data'!C$43/'AEO14 Sales data'!C$44</f>
        <v>8.3258079696749091E-3</v>
      </c>
      <c r="J40" s="17">
        <f>1/100*D17*'AEO14 Sales data'!C$48/'AEO14 Sales data'!C$49</f>
        <v>8.3258084496326771E-3</v>
      </c>
      <c r="K40" s="17">
        <f>1/100*F17*'AEO14 Sales data'!E$8/'AEO14 Sales data'!E$9</f>
        <v>4.4611400977909678E-3</v>
      </c>
      <c r="L40" s="17">
        <f>1/100*F17*'AEO14 Sales data'!E$13/'AEO14 Sales data'!E$14</f>
        <v>4.4136633078174928E-3</v>
      </c>
      <c r="M40" s="17">
        <f>1/100*F17*'AEO14 Sales data'!E$18/'AEO14 Sales data'!E$19</f>
        <v>4.6342022625499276E-3</v>
      </c>
      <c r="N40" s="17">
        <f>1/100*F17*'AEO14 Sales data'!E$23/'AEO14 Sales data'!E$24</f>
        <v>4.4338351429534639E-3</v>
      </c>
      <c r="O40" s="17">
        <f>1/100*F17*'AEO14 Sales data'!E$28/'AEO14 Sales data'!E$29</f>
        <v>4.5056679210809941E-3</v>
      </c>
      <c r="P40" s="17">
        <f>1/100*F17*'AEO14 Sales data'!E$33/'AEO14 Sales data'!E$34</f>
        <v>4.4861829641300293E-3</v>
      </c>
      <c r="Q40" s="17">
        <f>1/100*F17*'AEO14 Sales data'!E$38/'AEO14 Sales data'!E$39</f>
        <v>4.8178517865065055E-3</v>
      </c>
      <c r="R40" s="17">
        <f>1/100*F17*'AEO14 Sales data'!E$43/'AEO14 Sales data'!E$44</f>
        <v>4.9103359699636121E-3</v>
      </c>
      <c r="S40" s="17">
        <f>1/100*F17*'AEO14 Sales data'!E$48/'AEO14 Sales data'!E$49</f>
        <v>4.5239510129447026E-3</v>
      </c>
      <c r="T40" s="17">
        <f>1/100*H17*'AEO14 Sales data'!G$8/'AEO14 Sales data'!G$9</f>
        <v>4.2718491407728702E-3</v>
      </c>
      <c r="U40" s="17">
        <f>1/100*H17*'AEO14 Sales data'!G$13/'AEO14 Sales data'!G$14</f>
        <v>4.2242659703597496E-3</v>
      </c>
      <c r="V40" s="17">
        <f>1/100*H17*'AEO14 Sales data'!G$18/'AEO14 Sales data'!G$19</f>
        <v>4.4451673411537718E-3</v>
      </c>
      <c r="W40" s="17">
        <f>1/100*H17*'AEO14 Sales data'!G$23/'AEO14 Sales data'!G$24</f>
        <v>4.2447075044482899E-3</v>
      </c>
      <c r="X40" s="17">
        <f>1/100*H17*'AEO14 Sales data'!G$28/'AEO14 Sales data'!G$29</f>
        <v>4.3163861582286647E-3</v>
      </c>
      <c r="Y40" s="17">
        <f>1/100*H17*'AEO14 Sales data'!G$33/'AEO14 Sales data'!G$34</f>
        <v>4.2971738945471322E-3</v>
      </c>
      <c r="Z40" s="17">
        <f>1/100*H17*'AEO14 Sales data'!G$38/'AEO14 Sales data'!G$39</f>
        <v>4.6300812790350731E-3</v>
      </c>
      <c r="AA40" s="17">
        <f>1/100*H17*'AEO14 Sales data'!G$43/'AEO14 Sales data'!G$44</f>
        <v>4.723050706760999E-3</v>
      </c>
      <c r="AB40" s="17">
        <f>1/100*H17*'AEO14 Sales data'!G$48/'AEO14 Sales data'!G$49</f>
        <v>4.3347063581595383E-3</v>
      </c>
      <c r="AC40" s="17">
        <f>1/100*J17*'AEO14 Sales data'!I$8/'AEO14 Sales data'!I$9</f>
        <v>4.1450202191786545E-3</v>
      </c>
      <c r="AD40" s="17">
        <f>1/100*J17*'AEO14 Sales data'!I$13/'AEO14 Sales data'!I$14</f>
        <v>4.0975082887087805E-3</v>
      </c>
      <c r="AE40" s="17">
        <f>1/100*J17*'AEO14 Sales data'!I$18/'AEO14 Sales data'!I$19</f>
        <v>4.3182055179474248E-3</v>
      </c>
      <c r="AF40" s="17">
        <f>1/100*J17*'AEO14 Sales data'!I$23/'AEO14 Sales data'!I$24</f>
        <v>4.1179961182495279E-3</v>
      </c>
      <c r="AG40" s="17">
        <f>1/100*J17*'AEO14 Sales data'!I$28/'AEO14 Sales data'!I$29</f>
        <v>4.1894847592878854E-3</v>
      </c>
      <c r="AH40" s="17">
        <f>1/100*J17*'AEO14 Sales data'!I$33/'AEO14 Sales data'!I$34</f>
        <v>4.1703716132253472E-3</v>
      </c>
      <c r="AI40" s="17">
        <f>1/100*J17*'AEO14 Sales data'!I$38/'AEO14 Sales data'!I$39</f>
        <v>4.5036356273142212E-3</v>
      </c>
      <c r="AJ40" s="17">
        <f>1/100*J17*'AEO14 Sales data'!I$43/'AEO14 Sales data'!I$44</f>
        <v>4.5967125328761765E-3</v>
      </c>
      <c r="AK40" s="17">
        <f>1/100*J17*'AEO14 Sales data'!I$48/'AEO14 Sales data'!I$49</f>
        <v>4.207833013686514E-3</v>
      </c>
      <c r="AL40" s="17">
        <f t="shared" si="3"/>
        <v>4.0219567805925395E-3</v>
      </c>
      <c r="AM40" s="17">
        <f t="shared" si="3"/>
        <v>3.9745542287923964E-3</v>
      </c>
      <c r="AN40" s="17">
        <f t="shared" si="3"/>
        <v>4.1948699484487045E-3</v>
      </c>
      <c r="AO40" s="17">
        <f t="shared" si="3"/>
        <v>3.9950672719255599E-3</v>
      </c>
      <c r="AP40" s="17">
        <f t="shared" si="3"/>
        <v>4.0663142510651267E-3</v>
      </c>
      <c r="AQ40" s="17">
        <f t="shared" si="3"/>
        <v>4.0473110512155991E-3</v>
      </c>
      <c r="AR40" s="17">
        <f t="shared" si="3"/>
        <v>4.3806431553272771E-3</v>
      </c>
      <c r="AS40" s="17">
        <f t="shared" si="3"/>
        <v>4.4737538133253294E-3</v>
      </c>
      <c r="AT40" s="17">
        <f t="shared" si="3"/>
        <v>4.0846731492529091E-3</v>
      </c>
    </row>
    <row r="41" spans="1:46" x14ac:dyDescent="0.2">
      <c r="A41" s="17" t="s">
        <v>2729</v>
      </c>
      <c r="B41" s="17">
        <f>1/100*D18*'AEO14 Sales data'!C$8/'AEO14 Sales data'!C$9</f>
        <v>4.8633053677453436E-2</v>
      </c>
      <c r="C41" s="17">
        <f>1/100*D18*'AEO14 Sales data'!C$13/'AEO14 Sales data'!C$14</f>
        <v>4.8633051287754053E-2</v>
      </c>
      <c r="D41" s="17">
        <f>1/100*D18*'AEO14 Sales data'!C$18/'AEO14 Sales data'!C$19</f>
        <v>4.8633049165541904E-2</v>
      </c>
      <c r="E41" s="17">
        <f>1/100*D18*'AEO14 Sales data'!C$23/'AEO14 Sales data'!C$24</f>
        <v>4.8633051402045484E-2</v>
      </c>
      <c r="F41" s="17">
        <f>1/100*D18*'AEO14 Sales data'!C$28/'AEO14 Sales data'!C$29</f>
        <v>4.8633049874259149E-2</v>
      </c>
      <c r="G41" s="17">
        <f>1/100*D18*'AEO14 Sales data'!C$33/'AEO14 Sales data'!C$34</f>
        <v>4.8633054657644482E-2</v>
      </c>
      <c r="H41" s="17">
        <f>1/100*D18*'AEO14 Sales data'!C$38/'AEO14 Sales data'!C$39</f>
        <v>4.8633050224835078E-2</v>
      </c>
      <c r="I41" s="17">
        <f>1/100*D18*'AEO14 Sales data'!C$43/'AEO14 Sales data'!C$44</f>
        <v>4.8633049837462375E-2</v>
      </c>
      <c r="J41" s="17">
        <f>1/100*D18*'AEO14 Sales data'!C$48/'AEO14 Sales data'!C$49</f>
        <v>4.8633052641011316E-2</v>
      </c>
      <c r="K41" s="17">
        <f>1/100*F18*'AEO14 Sales data'!E$8/'AEO14 Sales data'!E$9</f>
        <v>3.9346446087090731E-2</v>
      </c>
      <c r="L41" s="17">
        <f>1/100*F18*'AEO14 Sales data'!E$13/'AEO14 Sales data'!E$14</f>
        <v>3.8927709415268998E-2</v>
      </c>
      <c r="M41" s="17">
        <f>1/100*F18*'AEO14 Sales data'!E$18/'AEO14 Sales data'!E$19</f>
        <v>4.0872822974195311E-2</v>
      </c>
      <c r="N41" s="17">
        <f>1/100*F18*'AEO14 Sales data'!E$23/'AEO14 Sales data'!E$24</f>
        <v>3.9105621340529577E-2</v>
      </c>
      <c r="O41" s="17">
        <f>1/100*F18*'AEO14 Sales data'!E$28/'AEO14 Sales data'!E$29</f>
        <v>3.9739173407921574E-2</v>
      </c>
      <c r="P41" s="17">
        <f>1/100*F18*'AEO14 Sales data'!E$33/'AEO14 Sales data'!E$34</f>
        <v>3.9567319623603069E-2</v>
      </c>
      <c r="Q41" s="17">
        <f>1/100*F18*'AEO14 Sales data'!E$38/'AEO14 Sales data'!E$39</f>
        <v>4.2492578448105556E-2</v>
      </c>
      <c r="R41" s="17">
        <f>1/100*F18*'AEO14 Sales data'!E$43/'AEO14 Sales data'!E$44</f>
        <v>4.3308272162836794E-2</v>
      </c>
      <c r="S41" s="17">
        <f>1/100*F18*'AEO14 Sales data'!E$48/'AEO14 Sales data'!E$49</f>
        <v>3.9900426960276264E-2</v>
      </c>
      <c r="T41" s="17">
        <f>1/100*H18*'AEO14 Sales data'!G$8/'AEO14 Sales data'!G$9</f>
        <v>3.7432168012635735E-2</v>
      </c>
      <c r="U41" s="17">
        <f>1/100*H18*'AEO14 Sales data'!G$13/'AEO14 Sales data'!G$14</f>
        <v>3.7015219480329764E-2</v>
      </c>
      <c r="V41" s="17">
        <f>1/100*H18*'AEO14 Sales data'!G$18/'AEO14 Sales data'!G$19</f>
        <v>3.895087239158574E-2</v>
      </c>
      <c r="W41" s="17">
        <f>1/100*H18*'AEO14 Sales data'!G$23/'AEO14 Sales data'!G$24</f>
        <v>3.7194338853047078E-2</v>
      </c>
      <c r="X41" s="17">
        <f>1/100*H18*'AEO14 Sales data'!G$28/'AEO14 Sales data'!G$29</f>
        <v>3.7822424565535764E-2</v>
      </c>
      <c r="Y41" s="17">
        <f>1/100*H18*'AEO14 Sales data'!G$33/'AEO14 Sales data'!G$34</f>
        <v>3.7654076700634323E-2</v>
      </c>
      <c r="Z41" s="17">
        <f>1/100*H18*'AEO14 Sales data'!G$38/'AEO14 Sales data'!G$39</f>
        <v>4.0571184664457499E-2</v>
      </c>
      <c r="AA41" s="17">
        <f>1/100*H18*'AEO14 Sales data'!G$43/'AEO14 Sales data'!G$44</f>
        <v>4.1385831231785908E-2</v>
      </c>
      <c r="AB41" s="17">
        <f>1/100*H18*'AEO14 Sales data'!G$48/'AEO14 Sales data'!G$49</f>
        <v>3.7982955703045329E-2</v>
      </c>
      <c r="AC41" s="17">
        <f>1/100*J18*'AEO14 Sales data'!I$8/'AEO14 Sales data'!I$9</f>
        <v>3.6044149534988641E-2</v>
      </c>
      <c r="AD41" s="17">
        <f>1/100*J18*'AEO14 Sales data'!I$13/'AEO14 Sales data'!I$14</f>
        <v>3.5630996634400024E-2</v>
      </c>
      <c r="AE41" s="17">
        <f>1/100*J18*'AEO14 Sales data'!I$18/'AEO14 Sales data'!I$19</f>
        <v>3.755012935559375E-2</v>
      </c>
      <c r="AF41" s="17">
        <f>1/100*J18*'AEO14 Sales data'!I$23/'AEO14 Sales data'!I$24</f>
        <v>3.580915412279953E-2</v>
      </c>
      <c r="AG41" s="17">
        <f>1/100*J18*'AEO14 Sales data'!I$28/'AEO14 Sales data'!I$29</f>
        <v>3.6430803024707727E-2</v>
      </c>
      <c r="AH41" s="17">
        <f>1/100*J18*'AEO14 Sales data'!I$33/'AEO14 Sales data'!I$34</f>
        <v>3.6264599470000165E-2</v>
      </c>
      <c r="AI41" s="17">
        <f>1/100*J18*'AEO14 Sales data'!I$38/'AEO14 Sales data'!I$39</f>
        <v>3.9162587253719634E-2</v>
      </c>
      <c r="AJ41" s="17">
        <f>1/100*J18*'AEO14 Sales data'!I$43/'AEO14 Sales data'!I$44</f>
        <v>3.9971962775413448E-2</v>
      </c>
      <c r="AK41" s="17">
        <f>1/100*J18*'AEO14 Sales data'!I$48/'AEO14 Sales data'!I$49</f>
        <v>3.6590355256127534E-2</v>
      </c>
      <c r="AL41" s="17">
        <f t="shared" si="3"/>
        <v>3.4707600031664371E-2</v>
      </c>
      <c r="AM41" s="17">
        <f t="shared" si="3"/>
        <v>3.4298538249524259E-2</v>
      </c>
      <c r="AN41" s="17">
        <f t="shared" si="3"/>
        <v>3.61997595444465E-2</v>
      </c>
      <c r="AO41" s="17">
        <f t="shared" si="3"/>
        <v>3.4475556187641733E-2</v>
      </c>
      <c r="AP41" s="17">
        <f t="shared" si="3"/>
        <v>3.5090384190611008E-2</v>
      </c>
      <c r="AQ41" s="17">
        <f t="shared" si="3"/>
        <v>3.492639549165686E-2</v>
      </c>
      <c r="AR41" s="17">
        <f t="shared" si="3"/>
        <v>3.7802895160436688E-2</v>
      </c>
      <c r="AS41" s="17">
        <f t="shared" si="3"/>
        <v>3.8606396454154077E-2</v>
      </c>
      <c r="AT41" s="17">
        <f t="shared" si="3"/>
        <v>3.524881286851185E-2</v>
      </c>
    </row>
    <row r="42" spans="1:46" x14ac:dyDescent="0.2">
      <c r="A42" s="17" t="s">
        <v>2730</v>
      </c>
      <c r="B42" s="17">
        <f>1/100*D19*'AEO14 Sales data'!C$8/'AEO14 Sales data'!C$9</f>
        <v>0.17391013884033646</v>
      </c>
      <c r="C42" s="17">
        <f>1/100*D19*'AEO14 Sales data'!C$13/'AEO14 Sales data'!C$14</f>
        <v>0.17391013029485311</v>
      </c>
      <c r="D42" s="17">
        <f>1/100*D19*'AEO14 Sales data'!C$18/'AEO14 Sales data'!C$19</f>
        <v>0.17391012270589495</v>
      </c>
      <c r="E42" s="17">
        <f>1/100*D19*'AEO14 Sales data'!C$23/'AEO14 Sales data'!C$24</f>
        <v>0.17391013070355535</v>
      </c>
      <c r="F42" s="17">
        <f>1/100*D19*'AEO14 Sales data'!C$28/'AEO14 Sales data'!C$29</f>
        <v>0.17391012524024357</v>
      </c>
      <c r="G42" s="17">
        <f>1/100*D19*'AEO14 Sales data'!C$33/'AEO14 Sales data'!C$34</f>
        <v>0.17391014234546617</v>
      </c>
      <c r="H42" s="17">
        <f>1/100*D19*'AEO14 Sales data'!C$38/'AEO14 Sales data'!C$39</f>
        <v>0.17391012649389115</v>
      </c>
      <c r="I42" s="17">
        <f>1/100*D19*'AEO14 Sales data'!C$43/'AEO14 Sales data'!C$44</f>
        <v>0.17391012510865961</v>
      </c>
      <c r="J42" s="17">
        <f>1/100*D19*'AEO14 Sales data'!C$48/'AEO14 Sales data'!C$49</f>
        <v>0.17391013513405484</v>
      </c>
      <c r="K42" s="17">
        <f>1/100*F19*'AEO14 Sales data'!E$8/'AEO14 Sales data'!E$9</f>
        <v>0.18040072357103654</v>
      </c>
      <c r="L42" s="17">
        <f>1/100*F19*'AEO14 Sales data'!E$13/'AEO14 Sales data'!E$14</f>
        <v>0.17848084500271133</v>
      </c>
      <c r="M42" s="17">
        <f>1/100*F19*'AEO14 Sales data'!E$18/'AEO14 Sales data'!E$19</f>
        <v>0.18739905562537967</v>
      </c>
      <c r="N42" s="17">
        <f>1/100*F19*'AEO14 Sales data'!E$23/'AEO14 Sales data'!E$24</f>
        <v>0.17929655882799259</v>
      </c>
      <c r="O42" s="17">
        <f>1/100*F19*'AEO14 Sales data'!E$28/'AEO14 Sales data'!E$29</f>
        <v>0.18220135107084123</v>
      </c>
      <c r="P42" s="17">
        <f>1/100*F19*'AEO14 Sales data'!E$33/'AEO14 Sales data'!E$34</f>
        <v>0.18141341340117575</v>
      </c>
      <c r="Q42" s="17">
        <f>1/100*F19*'AEO14 Sales data'!E$38/'AEO14 Sales data'!E$39</f>
        <v>0.19482552201715439</v>
      </c>
      <c r="R42" s="17">
        <f>1/100*F19*'AEO14 Sales data'!E$43/'AEO14 Sales data'!E$44</f>
        <v>0.19856542106735456</v>
      </c>
      <c r="S42" s="17">
        <f>1/100*F19*'AEO14 Sales data'!E$48/'AEO14 Sales data'!E$49</f>
        <v>0.18294068741290365</v>
      </c>
      <c r="T42" s="17">
        <f>1/100*H19*'AEO14 Sales data'!G$8/'AEO14 Sales data'!G$9</f>
        <v>0.1703394419806743</v>
      </c>
      <c r="U42" s="17">
        <f>1/100*H19*'AEO14 Sales data'!G$13/'AEO14 Sales data'!G$14</f>
        <v>0.16844206910332218</v>
      </c>
      <c r="V42" s="17">
        <f>1/100*H19*'AEO14 Sales data'!G$18/'AEO14 Sales data'!G$19</f>
        <v>0.17725048321014902</v>
      </c>
      <c r="W42" s="17">
        <f>1/100*H19*'AEO14 Sales data'!G$23/'AEO14 Sales data'!G$24</f>
        <v>0.1692571726791102</v>
      </c>
      <c r="X42" s="17">
        <f>1/100*H19*'AEO14 Sales data'!G$28/'AEO14 Sales data'!G$29</f>
        <v>0.17211534989570215</v>
      </c>
      <c r="Y42" s="17">
        <f>1/100*H19*'AEO14 Sales data'!G$33/'AEO14 Sales data'!G$34</f>
        <v>0.17134926332128117</v>
      </c>
      <c r="Z42" s="17">
        <f>1/100*H19*'AEO14 Sales data'!G$38/'AEO14 Sales data'!G$39</f>
        <v>0.18462390299984013</v>
      </c>
      <c r="AA42" s="17">
        <f>1/100*H19*'AEO14 Sales data'!G$43/'AEO14 Sales data'!G$44</f>
        <v>0.18833104712366838</v>
      </c>
      <c r="AB42" s="17">
        <f>1/100*H19*'AEO14 Sales data'!G$48/'AEO14 Sales data'!G$49</f>
        <v>0.17284586554135406</v>
      </c>
      <c r="AC42" s="17">
        <f>1/100*J19*'AEO14 Sales data'!I$8/'AEO14 Sales data'!I$9</f>
        <v>0.16375114539493096</v>
      </c>
      <c r="AD42" s="17">
        <f>1/100*J19*'AEO14 Sales data'!I$13/'AEO14 Sales data'!I$14</f>
        <v>0.16187416226264897</v>
      </c>
      <c r="AE42" s="17">
        <f>1/100*J19*'AEO14 Sales data'!I$18/'AEO14 Sales data'!I$19</f>
        <v>0.17059291926800724</v>
      </c>
      <c r="AF42" s="17">
        <f>1/100*J19*'AEO14 Sales data'!I$23/'AEO14 Sales data'!I$24</f>
        <v>0.16268354445538968</v>
      </c>
      <c r="AG42" s="17">
        <f>1/100*J19*'AEO14 Sales data'!I$28/'AEO14 Sales data'!I$29</f>
        <v>0.16550773981120334</v>
      </c>
      <c r="AH42" s="17">
        <f>1/100*J19*'AEO14 Sales data'!I$33/'AEO14 Sales data'!I$34</f>
        <v>0.16475266519290355</v>
      </c>
      <c r="AI42" s="17">
        <f>1/100*J19*'AEO14 Sales data'!I$38/'AEO14 Sales data'!I$39</f>
        <v>0.17791843065128754</v>
      </c>
      <c r="AJ42" s="17">
        <f>1/100*J19*'AEO14 Sales data'!I$43/'AEO14 Sales data'!I$44</f>
        <v>0.18159548144709911</v>
      </c>
      <c r="AK42" s="17">
        <f>1/100*J19*'AEO14 Sales data'!I$48/'AEO14 Sales data'!I$49</f>
        <v>0.16623259699280915</v>
      </c>
      <c r="AL42" s="17">
        <f t="shared" si="3"/>
        <v>0.15741766737262194</v>
      </c>
      <c r="AM42" s="17">
        <f t="shared" si="3"/>
        <v>0.1555623517790046</v>
      </c>
      <c r="AN42" s="17">
        <f t="shared" si="3"/>
        <v>0.16418541477191592</v>
      </c>
      <c r="AO42" s="17">
        <f t="shared" si="3"/>
        <v>0.15636522350958063</v>
      </c>
      <c r="AP42" s="17">
        <f t="shared" si="3"/>
        <v>0.15915379978608754</v>
      </c>
      <c r="AQ42" s="17">
        <f t="shared" si="3"/>
        <v>0.15841002267556187</v>
      </c>
      <c r="AR42" s="17">
        <f t="shared" si="3"/>
        <v>0.17145649859565815</v>
      </c>
      <c r="AS42" s="17">
        <f t="shared" si="3"/>
        <v>0.17510080990708496</v>
      </c>
      <c r="AT42" s="17">
        <f t="shared" si="3"/>
        <v>0.15987235920527315</v>
      </c>
    </row>
    <row r="43" spans="1:46" x14ac:dyDescent="0.2">
      <c r="A43" s="17" t="s">
        <v>2731</v>
      </c>
      <c r="B43" s="17">
        <f>1/100*D20*'AEO14 Sales data'!C$8/'AEO14 Sales data'!C$9</f>
        <v>0.14317959945527056</v>
      </c>
      <c r="C43" s="17">
        <f>1/100*D20*'AEO14 Sales data'!C$13/'AEO14 Sales data'!C$14</f>
        <v>0.14317959241980449</v>
      </c>
      <c r="D43" s="17">
        <f>1/100*D20*'AEO14 Sales data'!C$18/'AEO14 Sales data'!C$19</f>
        <v>0.14317958617184218</v>
      </c>
      <c r="E43" s="17">
        <f>1/100*D20*'AEO14 Sales data'!C$23/'AEO14 Sales data'!C$24</f>
        <v>0.14317959275628758</v>
      </c>
      <c r="F43" s="17">
        <f>1/100*D20*'AEO14 Sales data'!C$28/'AEO14 Sales data'!C$29</f>
        <v>0.14317958825836241</v>
      </c>
      <c r="G43" s="17">
        <f>1/100*D20*'AEO14 Sales data'!C$33/'AEO14 Sales data'!C$34</f>
        <v>0.14317960234103139</v>
      </c>
      <c r="H43" s="17">
        <f>1/100*D20*'AEO14 Sales data'!C$38/'AEO14 Sales data'!C$39</f>
        <v>0.14317958929048599</v>
      </c>
      <c r="I43" s="17">
        <f>1/100*D20*'AEO14 Sales data'!C$43/'AEO14 Sales data'!C$44</f>
        <v>0.14317958815002979</v>
      </c>
      <c r="J43" s="17">
        <f>1/100*D20*'AEO14 Sales data'!C$48/'AEO14 Sales data'!C$49</f>
        <v>0.14317959640390207</v>
      </c>
      <c r="K43" s="17">
        <f>1/100*F20*'AEO14 Sales data'!E$8/'AEO14 Sales data'!E$9</f>
        <v>0.10611951358132288</v>
      </c>
      <c r="L43" s="17">
        <f>1/100*F20*'AEO14 Sales data'!E$13/'AEO14 Sales data'!E$14</f>
        <v>0.10499015791260435</v>
      </c>
      <c r="M43" s="17">
        <f>1/100*F20*'AEO14 Sales data'!E$18/'AEO14 Sales data'!E$19</f>
        <v>0.11023623539255799</v>
      </c>
      <c r="N43" s="17">
        <f>1/100*F20*'AEO14 Sales data'!E$23/'AEO14 Sales data'!E$24</f>
        <v>0.10546999608978506</v>
      </c>
      <c r="O43" s="17">
        <f>1/100*F20*'AEO14 Sales data'!E$28/'AEO14 Sales data'!E$29</f>
        <v>0.10717872061019708</v>
      </c>
      <c r="P43" s="17">
        <f>1/100*F20*'AEO14 Sales data'!E$33/'AEO14 Sales data'!E$34</f>
        <v>0.10671522156993755</v>
      </c>
      <c r="Q43" s="17">
        <f>1/100*F20*'AEO14 Sales data'!E$38/'AEO14 Sales data'!E$39</f>
        <v>0.11460480435127862</v>
      </c>
      <c r="R43" s="17">
        <f>1/100*F20*'AEO14 Sales data'!E$43/'AEO14 Sales data'!E$44</f>
        <v>0.11680477484027844</v>
      </c>
      <c r="S43" s="17">
        <f>1/100*F20*'AEO14 Sales data'!E$48/'AEO14 Sales data'!E$49</f>
        <v>0.10761363024603213</v>
      </c>
      <c r="T43" s="17">
        <f>1/100*H20*'AEO14 Sales data'!G$8/'AEO14 Sales data'!G$9</f>
        <v>0.10022373015056131</v>
      </c>
      <c r="U43" s="17">
        <f>1/100*H20*'AEO14 Sales data'!G$13/'AEO14 Sales data'!G$14</f>
        <v>9.9107360476905201E-2</v>
      </c>
      <c r="V43" s="17">
        <f>1/100*H20*'AEO14 Sales data'!G$18/'AEO14 Sales data'!G$19</f>
        <v>0.10429002462228362</v>
      </c>
      <c r="W43" s="17">
        <f>1/100*H20*'AEO14 Sales data'!G$23/'AEO14 Sales data'!G$24</f>
        <v>9.9586948292120669E-2</v>
      </c>
      <c r="X43" s="17">
        <f>1/100*H20*'AEO14 Sales data'!G$28/'AEO14 Sales data'!G$29</f>
        <v>0.10126863269091478</v>
      </c>
      <c r="Y43" s="17">
        <f>1/100*H20*'AEO14 Sales data'!G$33/'AEO14 Sales data'!G$34</f>
        <v>0.10081788532897704</v>
      </c>
      <c r="Z43" s="17">
        <f>1/100*H20*'AEO14 Sales data'!G$38/'AEO14 Sales data'!G$39</f>
        <v>0.10862837178777837</v>
      </c>
      <c r="AA43" s="17">
        <f>1/100*H20*'AEO14 Sales data'!G$43/'AEO14 Sales data'!G$44</f>
        <v>0.11080956839131045</v>
      </c>
      <c r="AB43" s="17">
        <f>1/100*H20*'AEO14 Sales data'!G$48/'AEO14 Sales data'!G$49</f>
        <v>0.10169845095314022</v>
      </c>
      <c r="AC43" s="17">
        <f>1/100*J20*'AEO14 Sales data'!I$8/'AEO14 Sales data'!I$9</f>
        <v>9.6426255702343949E-2</v>
      </c>
      <c r="AD43" s="17">
        <f>1/100*J20*'AEO14 Sales data'!I$13/'AEO14 Sales data'!I$14</f>
        <v>9.5320978209316926E-2</v>
      </c>
      <c r="AE43" s="17">
        <f>1/100*J20*'AEO14 Sales data'!I$18/'AEO14 Sales data'!I$19</f>
        <v>0.100455092479954</v>
      </c>
      <c r="AF43" s="17">
        <f>1/100*J20*'AEO14 Sales data'!I$23/'AEO14 Sales data'!I$24</f>
        <v>9.5797589802413971E-2</v>
      </c>
      <c r="AG43" s="17">
        <f>1/100*J20*'AEO14 Sales data'!I$28/'AEO14 Sales data'!I$29</f>
        <v>9.7460641275283172E-2</v>
      </c>
      <c r="AH43" s="17">
        <f>1/100*J20*'AEO14 Sales data'!I$33/'AEO14 Sales data'!I$34</f>
        <v>9.7016009159624217E-2</v>
      </c>
      <c r="AI43" s="17">
        <f>1/100*J20*'AEO14 Sales data'!I$38/'AEO14 Sales data'!I$39</f>
        <v>0.10476878220768694</v>
      </c>
      <c r="AJ43" s="17">
        <f>1/100*J20*'AEO14 Sales data'!I$43/'AEO14 Sales data'!I$44</f>
        <v>0.1069340448653148</v>
      </c>
      <c r="AK43" s="17">
        <f>1/100*J20*'AEO14 Sales data'!I$48/'AEO14 Sales data'!I$49</f>
        <v>9.7887479596154958E-2</v>
      </c>
      <c r="AL43" s="17">
        <f t="shared" si="3"/>
        <v>9.2772667459152094E-2</v>
      </c>
      <c r="AM43" s="17">
        <f t="shared" si="3"/>
        <v>9.1679254124605467E-2</v>
      </c>
      <c r="AN43" s="17">
        <f t="shared" si="3"/>
        <v>9.6761177703278842E-2</v>
      </c>
      <c r="AO43" s="17">
        <f t="shared" si="3"/>
        <v>9.2152419261125884E-2</v>
      </c>
      <c r="AP43" s="17">
        <f t="shared" si="3"/>
        <v>9.3795841272789157E-2</v>
      </c>
      <c r="AQ43" s="17">
        <f t="shared" si="3"/>
        <v>9.3357503011968712E-2</v>
      </c>
      <c r="AR43" s="17">
        <f t="shared" si="3"/>
        <v>0.10104632468141891</v>
      </c>
      <c r="AS43" s="17">
        <f t="shared" si="3"/>
        <v>0.10319406633618715</v>
      </c>
      <c r="AT43" s="17">
        <f t="shared" si="3"/>
        <v>9.4219317717068776E-2</v>
      </c>
    </row>
    <row r="45" spans="1:46" x14ac:dyDescent="0.2">
      <c r="B45" s="17">
        <f t="shared" ref="B45:AT45" si="4">SUM(B29:B43)</f>
        <v>1.0000050643604788</v>
      </c>
      <c r="C45" s="17">
        <f t="shared" si="4"/>
        <v>1.0000050643602301</v>
      </c>
      <c r="D45" s="17">
        <f t="shared" si="4"/>
        <v>1.0000050643600087</v>
      </c>
      <c r="E45" s="17">
        <f t="shared" si="4"/>
        <v>1.0000050643602418</v>
      </c>
      <c r="F45" s="17">
        <f t="shared" si="4"/>
        <v>1.0000050643600826</v>
      </c>
      <c r="G45" s="17">
        <f t="shared" si="4"/>
        <v>1.0000050643605807</v>
      </c>
      <c r="H45" s="17">
        <f t="shared" si="4"/>
        <v>1.0000050643601193</v>
      </c>
      <c r="I45" s="17">
        <f t="shared" si="4"/>
        <v>1.0000050643600786</v>
      </c>
      <c r="J45" s="17">
        <f t="shared" si="4"/>
        <v>1.0000050643603708</v>
      </c>
      <c r="K45" s="17">
        <f t="shared" si="4"/>
        <v>1.0000001372370333</v>
      </c>
      <c r="L45" s="17">
        <f t="shared" si="4"/>
        <v>1.0000001369471687</v>
      </c>
      <c r="M45" s="17">
        <f t="shared" si="4"/>
        <v>1.0000001382936468</v>
      </c>
      <c r="N45" s="17">
        <f t="shared" si="4"/>
        <v>1.0000001370703258</v>
      </c>
      <c r="O45" s="17">
        <f t="shared" si="4"/>
        <v>1.0000001375088936</v>
      </c>
      <c r="P45" s="17">
        <f t="shared" si="4"/>
        <v>1.0000001373899301</v>
      </c>
      <c r="Q45" s="17">
        <f t="shared" si="4"/>
        <v>1.0000001394149003</v>
      </c>
      <c r="R45" s="17">
        <f t="shared" si="4"/>
        <v>1.0000001399795528</v>
      </c>
      <c r="S45" s="17">
        <f t="shared" si="4"/>
        <v>1.0000001376205192</v>
      </c>
      <c r="T45" s="17">
        <f t="shared" si="4"/>
        <v>0.99999993992036817</v>
      </c>
      <c r="U45" s="17">
        <f t="shared" si="4"/>
        <v>0.99999994025541861</v>
      </c>
      <c r="V45" s="17">
        <f t="shared" si="4"/>
        <v>0.99999993869997228</v>
      </c>
      <c r="W45" s="17">
        <f t="shared" si="4"/>
        <v>0.9999999401114823</v>
      </c>
      <c r="X45" s="17">
        <f t="shared" si="4"/>
        <v>0.99999993960676703</v>
      </c>
      <c r="Y45" s="17">
        <f t="shared" si="4"/>
        <v>0.99999993974204759</v>
      </c>
      <c r="Z45" s="17">
        <f t="shared" si="4"/>
        <v>0.99999993739792647</v>
      </c>
      <c r="AA45" s="17">
        <f t="shared" si="4"/>
        <v>0.99999993674329524</v>
      </c>
      <c r="AB45" s="17">
        <f t="shared" si="4"/>
        <v>0.999999939477768</v>
      </c>
      <c r="AC45" s="17">
        <f t="shared" si="4"/>
        <v>1.0000000178660013</v>
      </c>
      <c r="AD45" s="17">
        <f t="shared" si="4"/>
        <v>1.0000000172027175</v>
      </c>
      <c r="AE45" s="17">
        <f t="shared" si="4"/>
        <v>1.0000000202837316</v>
      </c>
      <c r="AF45" s="17">
        <f t="shared" si="4"/>
        <v>1.0000000174887349</v>
      </c>
      <c r="AG45" s="17">
        <f t="shared" si="4"/>
        <v>1.0000000184867428</v>
      </c>
      <c r="AH45" s="17">
        <f t="shared" si="4"/>
        <v>1.000000018219916</v>
      </c>
      <c r="AI45" s="17">
        <f t="shared" si="4"/>
        <v>1.0000000228724042</v>
      </c>
      <c r="AJ45" s="17">
        <f t="shared" si="4"/>
        <v>1.0000000241717919</v>
      </c>
      <c r="AK45" s="17">
        <f t="shared" si="4"/>
        <v>1.000000018742891</v>
      </c>
      <c r="AL45" s="17">
        <f t="shared" si="4"/>
        <v>1.0011150882175215</v>
      </c>
      <c r="AM45" s="17">
        <f t="shared" si="4"/>
        <v>1.001111816101786</v>
      </c>
      <c r="AN45" s="17">
        <f t="shared" si="4"/>
        <v>1.0011270512917174</v>
      </c>
      <c r="AO45" s="17">
        <f t="shared" si="4"/>
        <v>1.0011121714818296</v>
      </c>
      <c r="AP45" s="17">
        <f t="shared" si="4"/>
        <v>1.0011184138077913</v>
      </c>
      <c r="AQ45" s="17">
        <f t="shared" si="4"/>
        <v>1.0011160523178992</v>
      </c>
      <c r="AR45" s="17">
        <f t="shared" si="4"/>
        <v>1.0011340330521465</v>
      </c>
      <c r="AS45" s="17">
        <f t="shared" si="4"/>
        <v>1.0011407494650379</v>
      </c>
      <c r="AT45" s="17">
        <f t="shared" si="4"/>
        <v>1.0011190619564607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0"/>
    <pageSetUpPr fitToPage="1"/>
  </sheetPr>
  <dimension ref="A1:AG94"/>
  <sheetViews>
    <sheetView showFormulas="1" zoomScale="80" zoomScaleNormal="80" workbookViewId="0">
      <selection activeCell="AA39" sqref="AA39"/>
    </sheetView>
  </sheetViews>
  <sheetFormatPr defaultColWidth="9.140625" defaultRowHeight="12.75" x14ac:dyDescent="0.2"/>
  <cols>
    <col min="1" max="1" width="9.140625" style="40"/>
    <col min="2" max="2" width="5.140625" style="40" customWidth="1"/>
    <col min="3" max="3" width="9.140625" style="40"/>
    <col min="4" max="4" width="6.28515625" style="40" bestFit="1" customWidth="1"/>
    <col min="5" max="5" width="8.42578125" style="40" bestFit="1" customWidth="1"/>
    <col min="6" max="6" width="5.140625" style="40" customWidth="1"/>
    <col min="7" max="7" width="9.140625" style="40"/>
    <col min="8" max="8" width="6.28515625" style="40" bestFit="1" customWidth="1"/>
    <col min="9" max="9" width="8.42578125" style="40" bestFit="1" customWidth="1"/>
    <col min="10" max="10" width="5.140625" style="40" customWidth="1"/>
    <col min="11" max="11" width="9.140625" style="40"/>
    <col min="12" max="12" width="6.28515625" style="40" bestFit="1" customWidth="1"/>
    <col min="13" max="13" width="8.42578125" style="40" bestFit="1" customWidth="1"/>
    <col min="14" max="14" width="5.140625" style="40" customWidth="1"/>
    <col min="15" max="15" width="9.140625" style="40"/>
    <col min="16" max="16" width="6.28515625" style="40" bestFit="1" customWidth="1"/>
    <col min="17" max="17" width="8.42578125" style="40" bestFit="1" customWidth="1"/>
    <col min="18" max="21" width="8.42578125" style="40" customWidth="1"/>
    <col min="22" max="22" width="4" style="40" customWidth="1"/>
    <col min="23" max="23" width="10.28515625" style="40" bestFit="1" customWidth="1"/>
    <col min="24" max="27" width="9.140625" style="40"/>
    <col min="28" max="28" width="11.42578125" style="40" customWidth="1"/>
    <col min="29" max="29" width="9.140625" style="40"/>
    <col min="30" max="30" width="12.5703125" style="40" customWidth="1"/>
    <col min="31" max="31" width="10.7109375" style="40" customWidth="1"/>
    <col min="32" max="32" width="14.42578125" style="40" customWidth="1"/>
    <col min="33" max="16384" width="9.140625" style="40"/>
  </cols>
  <sheetData>
    <row r="1" spans="1:32" x14ac:dyDescent="0.2">
      <c r="A1" s="45" t="s">
        <v>2771</v>
      </c>
    </row>
    <row r="2" spans="1:32" x14ac:dyDescent="0.2">
      <c r="A2" s="45" t="s">
        <v>2772</v>
      </c>
    </row>
    <row r="4" spans="1:32" x14ac:dyDescent="0.2">
      <c r="A4" s="45" t="s">
        <v>2773</v>
      </c>
      <c r="B4" s="45"/>
    </row>
    <row r="5" spans="1:32" x14ac:dyDescent="0.2">
      <c r="A5" s="45" t="s">
        <v>2774</v>
      </c>
      <c r="B5" s="45"/>
    </row>
    <row r="6" spans="1:32" x14ac:dyDescent="0.2">
      <c r="A6" s="40" t="s">
        <v>2775</v>
      </c>
    </row>
    <row r="7" spans="1:32" x14ac:dyDescent="0.2">
      <c r="C7" s="40" t="s">
        <v>2776</v>
      </c>
    </row>
    <row r="8" spans="1:32" ht="25.5" x14ac:dyDescent="0.2">
      <c r="A8" s="40" t="s">
        <v>2777</v>
      </c>
      <c r="B8" s="45" t="s">
        <v>2778</v>
      </c>
      <c r="C8" s="45" t="s">
        <v>2779</v>
      </c>
      <c r="D8" s="40" t="s">
        <v>2780</v>
      </c>
      <c r="E8" s="50" t="s">
        <v>2781</v>
      </c>
      <c r="F8" s="45" t="s">
        <v>2778</v>
      </c>
      <c r="G8" s="45" t="s">
        <v>2782</v>
      </c>
      <c r="H8" s="40" t="s">
        <v>2780</v>
      </c>
      <c r="I8" s="50" t="s">
        <v>2781</v>
      </c>
      <c r="J8" s="45" t="s">
        <v>2778</v>
      </c>
      <c r="K8" s="45" t="s">
        <v>2783</v>
      </c>
      <c r="L8" s="40" t="s">
        <v>2780</v>
      </c>
      <c r="M8" s="50" t="s">
        <v>2781</v>
      </c>
      <c r="N8" s="45" t="s">
        <v>2778</v>
      </c>
      <c r="O8" s="45" t="s">
        <v>2784</v>
      </c>
      <c r="P8" s="40" t="s">
        <v>2780</v>
      </c>
      <c r="Q8" s="50" t="s">
        <v>2781</v>
      </c>
      <c r="R8" s="45" t="s">
        <v>2778</v>
      </c>
      <c r="S8" s="121" t="s">
        <v>2785</v>
      </c>
      <c r="T8" s="40" t="s">
        <v>2780</v>
      </c>
      <c r="U8" s="50" t="s">
        <v>2781</v>
      </c>
      <c r="V8" s="45" t="s">
        <v>2778</v>
      </c>
      <c r="W8" s="121" t="s">
        <v>2675</v>
      </c>
      <c r="X8" s="40" t="s">
        <v>2780</v>
      </c>
      <c r="Y8" s="50" t="s">
        <v>2781</v>
      </c>
      <c r="Z8" s="122" t="s">
        <v>2786</v>
      </c>
    </row>
    <row r="9" spans="1:32" x14ac:dyDescent="0.2">
      <c r="A9" s="40">
        <v>1975</v>
      </c>
      <c r="C9" s="40">
        <v>13.5</v>
      </c>
      <c r="G9" s="118"/>
      <c r="K9" s="118"/>
      <c r="O9" s="118"/>
      <c r="S9" s="118"/>
      <c r="W9" s="118"/>
      <c r="AB9" s="47" t="s">
        <v>2787</v>
      </c>
    </row>
    <row r="10" spans="1:32" x14ac:dyDescent="0.2">
      <c r="A10" s="40">
        <v>1980</v>
      </c>
      <c r="B10" s="40">
        <f t="shared" ref="B10:B15" si="0">C10-C9</f>
        <v>6.5</v>
      </c>
      <c r="C10" s="40">
        <v>20</v>
      </c>
      <c r="D10" s="117">
        <f t="shared" ref="D10:D24" si="1">(C10-C9)/C9</f>
        <v>0.48148148148148145</v>
      </c>
      <c r="E10" s="117">
        <f t="shared" ref="E10:E24" si="2">D10/5</f>
        <v>9.6296296296296297E-2</v>
      </c>
      <c r="G10" s="118"/>
      <c r="H10" s="117"/>
      <c r="I10" s="117"/>
      <c r="K10" s="118"/>
      <c r="L10" s="117"/>
      <c r="M10" s="117"/>
      <c r="O10" s="118"/>
      <c r="P10" s="117"/>
      <c r="Q10" s="117"/>
      <c r="S10" s="118"/>
      <c r="T10" s="117"/>
      <c r="U10" s="117"/>
      <c r="W10" s="118"/>
      <c r="X10" s="117"/>
      <c r="Y10" s="117"/>
      <c r="AB10" s="47"/>
    </row>
    <row r="11" spans="1:32" x14ac:dyDescent="0.2">
      <c r="A11" s="40">
        <v>1985</v>
      </c>
      <c r="B11" s="40">
        <f t="shared" si="0"/>
        <v>3</v>
      </c>
      <c r="C11" s="40">
        <v>23</v>
      </c>
      <c r="D11" s="117">
        <f t="shared" si="1"/>
        <v>0.15</v>
      </c>
      <c r="E11" s="117">
        <f t="shared" si="2"/>
        <v>0.03</v>
      </c>
      <c r="G11" s="118"/>
      <c r="H11" s="117"/>
      <c r="I11" s="117"/>
      <c r="K11" s="118"/>
      <c r="L11" s="117"/>
      <c r="M11" s="117"/>
      <c r="O11" s="118"/>
      <c r="P11" s="117"/>
      <c r="Q11" s="117"/>
      <c r="S11" s="118"/>
      <c r="T11" s="117"/>
      <c r="U11" s="117"/>
      <c r="W11" s="118"/>
      <c r="X11" s="117"/>
      <c r="Y11" s="117"/>
      <c r="AB11" s="47" t="s">
        <v>2597</v>
      </c>
      <c r="AD11" s="40">
        <v>12000</v>
      </c>
    </row>
    <row r="12" spans="1:32" x14ac:dyDescent="0.2">
      <c r="A12" s="40">
        <v>1990</v>
      </c>
      <c r="B12" s="40">
        <f t="shared" si="0"/>
        <v>0.69999999999999929</v>
      </c>
      <c r="C12" s="40">
        <v>23.7</v>
      </c>
      <c r="D12" s="117">
        <f t="shared" si="1"/>
        <v>3.0434782608695622E-2</v>
      </c>
      <c r="E12" s="117">
        <f t="shared" si="2"/>
        <v>6.0869565217391243E-3</v>
      </c>
      <c r="G12" s="118"/>
      <c r="H12" s="117"/>
      <c r="I12" s="117"/>
      <c r="K12" s="118"/>
      <c r="L12" s="117"/>
      <c r="M12" s="117"/>
      <c r="O12" s="118"/>
      <c r="P12" s="117"/>
      <c r="Q12" s="117"/>
      <c r="S12" s="118"/>
      <c r="T12" s="117"/>
      <c r="U12" s="117"/>
      <c r="W12" s="118"/>
      <c r="X12" s="117"/>
      <c r="Y12" s="117"/>
      <c r="AB12" s="47" t="s">
        <v>2600</v>
      </c>
      <c r="AD12" s="79">
        <f>K22</f>
        <v>37.548750000000005</v>
      </c>
    </row>
    <row r="13" spans="1:32" x14ac:dyDescent="0.2">
      <c r="A13" s="40">
        <v>1995</v>
      </c>
      <c r="B13" s="40">
        <f t="shared" si="0"/>
        <v>0.5</v>
      </c>
      <c r="C13" s="40">
        <v>24.2</v>
      </c>
      <c r="D13" s="117">
        <f t="shared" si="1"/>
        <v>2.1097046413502109E-2</v>
      </c>
      <c r="E13" s="117">
        <f t="shared" si="2"/>
        <v>4.2194092827004216E-3</v>
      </c>
      <c r="G13" s="118"/>
      <c r="H13" s="117"/>
      <c r="I13" s="117"/>
      <c r="K13" s="118"/>
      <c r="L13" s="117"/>
      <c r="M13" s="117"/>
      <c r="O13" s="118"/>
      <c r="P13" s="117"/>
      <c r="Q13" s="117"/>
      <c r="S13" s="118"/>
      <c r="T13" s="117"/>
      <c r="U13" s="117"/>
      <c r="W13" s="118"/>
      <c r="X13" s="117"/>
      <c r="Y13" s="117"/>
      <c r="AB13" s="47" t="s">
        <v>2788</v>
      </c>
      <c r="AD13" s="40">
        <v>0.5</v>
      </c>
    </row>
    <row r="14" spans="1:32" x14ac:dyDescent="0.2">
      <c r="A14" s="40">
        <v>2000</v>
      </c>
      <c r="B14" s="40">
        <f t="shared" si="0"/>
        <v>-9.9999999999997868E-2</v>
      </c>
      <c r="C14" s="40">
        <v>24.1</v>
      </c>
      <c r="D14" s="117">
        <f t="shared" si="1"/>
        <v>-4.1322314049585893E-3</v>
      </c>
      <c r="E14" s="117">
        <f t="shared" si="2"/>
        <v>-8.2644628099171784E-4</v>
      </c>
      <c r="G14" s="118"/>
      <c r="H14" s="117"/>
      <c r="I14" s="117"/>
      <c r="K14" s="118"/>
      <c r="L14" s="117"/>
      <c r="M14" s="117"/>
      <c r="O14" s="118"/>
      <c r="P14" s="117"/>
      <c r="Q14" s="117"/>
      <c r="S14" s="118"/>
      <c r="T14" s="117"/>
      <c r="U14" s="117"/>
      <c r="W14" s="118"/>
      <c r="X14" s="117"/>
      <c r="Y14" s="117"/>
      <c r="AB14" s="47" t="s">
        <v>2789</v>
      </c>
      <c r="AD14" s="80">
        <f>Z22/2</f>
        <v>2.8423130238936642</v>
      </c>
    </row>
    <row r="15" spans="1:32" x14ac:dyDescent="0.2">
      <c r="A15" s="40">
        <v>2005</v>
      </c>
      <c r="B15" s="40">
        <f t="shared" si="0"/>
        <v>0.5</v>
      </c>
      <c r="C15" s="45">
        <v>24.6</v>
      </c>
      <c r="D15" s="117">
        <f t="shared" si="1"/>
        <v>2.0746887966804978E-2</v>
      </c>
      <c r="E15" s="117">
        <f t="shared" si="2"/>
        <v>4.1493775933609959E-3</v>
      </c>
      <c r="G15" s="118"/>
      <c r="H15" s="117"/>
      <c r="I15" s="117"/>
      <c r="K15" s="118"/>
      <c r="L15" s="117"/>
      <c r="M15" s="117"/>
      <c r="O15" s="118"/>
      <c r="P15" s="117"/>
      <c r="Q15" s="117"/>
      <c r="S15" s="118"/>
      <c r="T15" s="117"/>
      <c r="U15" s="117"/>
      <c r="W15" s="118"/>
      <c r="X15" s="117"/>
      <c r="Y15" s="117"/>
      <c r="AB15" s="79"/>
    </row>
    <row r="16" spans="1:32" x14ac:dyDescent="0.2">
      <c r="A16" s="40">
        <v>2010</v>
      </c>
      <c r="B16" s="40">
        <v>0.25</v>
      </c>
      <c r="C16" s="45">
        <f t="shared" ref="C16:C24" si="3">C15+B16</f>
        <v>24.85</v>
      </c>
      <c r="D16" s="117">
        <f t="shared" si="1"/>
        <v>1.016260162601626E-2</v>
      </c>
      <c r="E16" s="117">
        <f t="shared" si="2"/>
        <v>2.0325203252032518E-3</v>
      </c>
      <c r="G16" s="118">
        <f t="shared" ref="G16:G24" si="4">C16*(1+T$32)</f>
        <v>32.305</v>
      </c>
      <c r="H16" s="117"/>
      <c r="I16" s="117"/>
      <c r="K16" s="118">
        <f t="shared" ref="K16:K24" si="5">C16*(1+T$45)</f>
        <v>35.411250000000003</v>
      </c>
      <c r="L16" s="117"/>
      <c r="M16" s="117"/>
      <c r="O16" s="118">
        <f t="shared" ref="O16:O24" si="6">C16*(1+T$58)</f>
        <v>33.920250000000003</v>
      </c>
      <c r="P16" s="117"/>
      <c r="Q16" s="117"/>
      <c r="S16" s="118">
        <f t="shared" ref="S16:S24" si="7">C16*(1+T$71)</f>
        <v>42.369250000000001</v>
      </c>
      <c r="T16" s="117"/>
      <c r="U16" s="117"/>
      <c r="W16" s="118">
        <f t="shared" ref="W16:W24" si="8">C16*(1+T$84)</f>
        <v>71.071000000000012</v>
      </c>
      <c r="X16" s="117"/>
      <c r="Y16" s="117"/>
      <c r="Z16" s="80">
        <f>1/X84</f>
        <v>5.3610230469645215</v>
      </c>
      <c r="AD16" s="40" t="s">
        <v>2608</v>
      </c>
      <c r="AE16" s="40" t="s">
        <v>71</v>
      </c>
      <c r="AF16" s="40" t="s">
        <v>2604</v>
      </c>
    </row>
    <row r="17" spans="1:33" x14ac:dyDescent="0.2">
      <c r="A17" s="40">
        <v>2015</v>
      </c>
      <c r="B17" s="40">
        <v>0.25</v>
      </c>
      <c r="C17" s="45">
        <f t="shared" si="3"/>
        <v>25.1</v>
      </c>
      <c r="D17" s="117">
        <f t="shared" si="1"/>
        <v>1.0060362173038229E-2</v>
      </c>
      <c r="E17" s="117">
        <f t="shared" si="2"/>
        <v>2.012072434607646E-3</v>
      </c>
      <c r="G17" s="118">
        <f t="shared" si="4"/>
        <v>32.630000000000003</v>
      </c>
      <c r="H17" s="117">
        <f t="shared" ref="H17:H24" si="9">(G17-G16)/G16</f>
        <v>1.0060362173038318E-2</v>
      </c>
      <c r="I17" s="117">
        <f t="shared" ref="I17:I24" si="10">H17/5</f>
        <v>2.0120724346076634E-3</v>
      </c>
      <c r="K17" s="118">
        <f t="shared" si="5"/>
        <v>35.767500000000005</v>
      </c>
      <c r="L17" s="117">
        <f t="shared" ref="L17:L24" si="11">(K17-K16)/K16</f>
        <v>1.0060362173038309E-2</v>
      </c>
      <c r="M17" s="117">
        <f t="shared" ref="M17:M24" si="12">L17/5</f>
        <v>2.0120724346076617E-3</v>
      </c>
      <c r="O17" s="118">
        <f t="shared" si="6"/>
        <v>34.261500000000005</v>
      </c>
      <c r="P17" s="117">
        <f t="shared" ref="P17:P24" si="13">(O17-O16)/O16</f>
        <v>1.0060362173038295E-2</v>
      </c>
      <c r="Q17" s="117">
        <f t="shared" ref="Q17:Q24" si="14">P17/5</f>
        <v>2.0120724346076591E-3</v>
      </c>
      <c r="S17" s="118">
        <f t="shared" si="7"/>
        <v>42.795500000000004</v>
      </c>
      <c r="T17" s="117">
        <f t="shared" ref="T17:T24" si="15">(S17-S16)/S16</f>
        <v>1.0060362173038302E-2</v>
      </c>
      <c r="U17" s="117">
        <f t="shared" ref="U17:U24" si="16">T17/5</f>
        <v>2.0120724346076604E-3</v>
      </c>
      <c r="W17" s="118">
        <f t="shared" si="8"/>
        <v>71.786000000000016</v>
      </c>
      <c r="X17" s="117">
        <f t="shared" ref="X17:X24" si="17">(W17-W16)/W16</f>
        <v>1.0060362173038276E-2</v>
      </c>
      <c r="Y17" s="117">
        <f t="shared" ref="Y17:Y24" si="18">X17/5</f>
        <v>2.0120724346076552E-3</v>
      </c>
      <c r="Z17" s="80">
        <f t="shared" ref="Z17:Z24" si="19">Z16*(X17+1)</f>
        <v>5.414956880434989</v>
      </c>
      <c r="AB17" s="40" t="s">
        <v>2606</v>
      </c>
      <c r="AC17" s="79" t="s">
        <v>2607</v>
      </c>
      <c r="AD17" s="40" t="s">
        <v>2790</v>
      </c>
      <c r="AE17" s="40" t="s">
        <v>2610</v>
      </c>
      <c r="AF17" s="40" t="s">
        <v>2610</v>
      </c>
      <c r="AG17" s="40" t="s">
        <v>413</v>
      </c>
    </row>
    <row r="18" spans="1:33" x14ac:dyDescent="0.2">
      <c r="A18" s="40">
        <v>2020</v>
      </c>
      <c r="B18" s="40">
        <v>0.25</v>
      </c>
      <c r="C18" s="45">
        <f t="shared" si="3"/>
        <v>25.35</v>
      </c>
      <c r="D18" s="117">
        <f t="shared" si="1"/>
        <v>9.9601593625498006E-3</v>
      </c>
      <c r="E18" s="117">
        <f t="shared" si="2"/>
        <v>1.9920318725099601E-3</v>
      </c>
      <c r="F18" s="40">
        <v>0.5</v>
      </c>
      <c r="G18" s="118">
        <f t="shared" si="4"/>
        <v>32.955000000000005</v>
      </c>
      <c r="H18" s="117">
        <f t="shared" si="9"/>
        <v>9.9601593625498874E-3</v>
      </c>
      <c r="I18" s="117">
        <f t="shared" si="10"/>
        <v>1.9920318725099775E-3</v>
      </c>
      <c r="J18" s="40">
        <v>0.5</v>
      </c>
      <c r="K18" s="118">
        <f t="shared" si="5"/>
        <v>36.123750000000001</v>
      </c>
      <c r="L18" s="117">
        <f t="shared" si="11"/>
        <v>9.9601593625496809E-3</v>
      </c>
      <c r="M18" s="117">
        <f t="shared" si="12"/>
        <v>1.9920318725099363E-3</v>
      </c>
      <c r="N18" s="40">
        <v>0.5</v>
      </c>
      <c r="O18" s="118">
        <f t="shared" si="6"/>
        <v>34.60275</v>
      </c>
      <c r="P18" s="117">
        <f t="shared" si="13"/>
        <v>9.9601593625496584E-3</v>
      </c>
      <c r="Q18" s="117">
        <f t="shared" si="14"/>
        <v>1.9920318725099315E-3</v>
      </c>
      <c r="R18" s="40">
        <v>0.5</v>
      </c>
      <c r="S18" s="118">
        <f t="shared" si="7"/>
        <v>43.221750000000007</v>
      </c>
      <c r="T18" s="117">
        <f t="shared" si="15"/>
        <v>9.9601593625498735E-3</v>
      </c>
      <c r="U18" s="117">
        <f t="shared" si="16"/>
        <v>1.9920318725099749E-3</v>
      </c>
      <c r="V18" s="40">
        <v>0.5</v>
      </c>
      <c r="W18" s="118">
        <f t="shared" si="8"/>
        <v>72.501000000000019</v>
      </c>
      <c r="X18" s="117">
        <f t="shared" si="17"/>
        <v>9.9601593625498457E-3</v>
      </c>
      <c r="Y18" s="117">
        <f t="shared" si="18"/>
        <v>1.9920318725099692E-3</v>
      </c>
      <c r="Z18" s="80">
        <f t="shared" si="19"/>
        <v>5.4688907139054566</v>
      </c>
      <c r="AB18" s="40" t="s">
        <v>2791</v>
      </c>
      <c r="AC18" s="79">
        <f>AD11-AC19</f>
        <v>6000</v>
      </c>
      <c r="AD18" s="40">
        <f>AC18/AD12</f>
        <v>159.79227004893636</v>
      </c>
      <c r="AE18" s="40">
        <f>AD18*131.76/(10^9)</f>
        <v>2.1054229501647852E-5</v>
      </c>
      <c r="AF18" s="40">
        <f>AD18</f>
        <v>159.79227004893636</v>
      </c>
      <c r="AG18" s="40">
        <f>AF18/AF20</f>
        <v>0.73478445352379373</v>
      </c>
    </row>
    <row r="19" spans="1:33" x14ac:dyDescent="0.2">
      <c r="A19" s="40">
        <v>2025</v>
      </c>
      <c r="B19" s="40">
        <v>0.25</v>
      </c>
      <c r="C19" s="45">
        <f t="shared" si="3"/>
        <v>25.6</v>
      </c>
      <c r="D19" s="117">
        <f t="shared" si="1"/>
        <v>9.8619329388560158E-3</v>
      </c>
      <c r="E19" s="117">
        <f t="shared" si="2"/>
        <v>1.9723865877712033E-3</v>
      </c>
      <c r="F19" s="40">
        <v>0.4</v>
      </c>
      <c r="G19" s="118">
        <f t="shared" si="4"/>
        <v>33.28</v>
      </c>
      <c r="H19" s="117">
        <f t="shared" si="9"/>
        <v>9.861932938855884E-3</v>
      </c>
      <c r="I19" s="117">
        <f t="shared" si="10"/>
        <v>1.9723865877711768E-3</v>
      </c>
      <c r="J19" s="40">
        <v>0.4</v>
      </c>
      <c r="K19" s="118">
        <f t="shared" si="5"/>
        <v>36.480000000000004</v>
      </c>
      <c r="L19" s="117">
        <f t="shared" si="11"/>
        <v>9.8619329388560939E-3</v>
      </c>
      <c r="M19" s="117">
        <f t="shared" si="12"/>
        <v>1.9723865877712189E-3</v>
      </c>
      <c r="N19" s="40">
        <v>0.4</v>
      </c>
      <c r="O19" s="118">
        <f t="shared" si="6"/>
        <v>34.944000000000003</v>
      </c>
      <c r="P19" s="117">
        <f t="shared" si="13"/>
        <v>9.8619329388560818E-3</v>
      </c>
      <c r="Q19" s="117">
        <f t="shared" si="14"/>
        <v>1.9723865877712163E-3</v>
      </c>
      <c r="R19" s="40">
        <v>0.4</v>
      </c>
      <c r="S19" s="118">
        <f t="shared" si="7"/>
        <v>43.648000000000003</v>
      </c>
      <c r="T19" s="117">
        <f t="shared" si="15"/>
        <v>9.8619329388559222E-3</v>
      </c>
      <c r="U19" s="117">
        <f t="shared" si="16"/>
        <v>1.9723865877711846E-3</v>
      </c>
      <c r="V19" s="40">
        <v>0.4</v>
      </c>
      <c r="W19" s="118">
        <f t="shared" si="8"/>
        <v>73.216000000000008</v>
      </c>
      <c r="X19" s="117">
        <f t="shared" si="17"/>
        <v>9.8619329388558649E-3</v>
      </c>
      <c r="Y19" s="117">
        <f t="shared" si="18"/>
        <v>1.9723865877711729E-3</v>
      </c>
      <c r="Z19" s="80">
        <f t="shared" si="19"/>
        <v>5.5228245473759232</v>
      </c>
      <c r="AB19" s="40" t="s">
        <v>2792</v>
      </c>
      <c r="AC19" s="79">
        <f>AD13*AD11</f>
        <v>6000</v>
      </c>
      <c r="AD19" s="40">
        <f>AC19/AD14</f>
        <v>2110.9567980590127</v>
      </c>
      <c r="AE19" s="40">
        <f>AD19/(2.7778*10^8)</f>
        <v>7.5993836779430225E-6</v>
      </c>
      <c r="AF19" s="40">
        <f>AE19*(10^9)/131.76</f>
        <v>57.675953839883292</v>
      </c>
      <c r="AG19" s="40">
        <f>AF19/AF20</f>
        <v>0.26521554647620632</v>
      </c>
    </row>
    <row r="20" spans="1:33" x14ac:dyDescent="0.2">
      <c r="A20" s="40">
        <v>2030</v>
      </c>
      <c r="B20" s="40">
        <v>0.25</v>
      </c>
      <c r="C20" s="45">
        <f t="shared" si="3"/>
        <v>25.85</v>
      </c>
      <c r="D20" s="117">
        <f t="shared" si="1"/>
        <v>9.765625E-3</v>
      </c>
      <c r="E20" s="117">
        <f t="shared" si="2"/>
        <v>1.953125E-3</v>
      </c>
      <c r="F20" s="40">
        <v>0.3</v>
      </c>
      <c r="G20" s="118">
        <f t="shared" si="4"/>
        <v>33.605000000000004</v>
      </c>
      <c r="H20" s="117">
        <f t="shared" si="9"/>
        <v>9.765625000000085E-3</v>
      </c>
      <c r="I20" s="117">
        <f t="shared" si="10"/>
        <v>1.9531250000000169E-3</v>
      </c>
      <c r="J20" s="40">
        <v>0.3</v>
      </c>
      <c r="K20" s="118">
        <f t="shared" si="5"/>
        <v>36.83625</v>
      </c>
      <c r="L20" s="117">
        <f t="shared" si="11"/>
        <v>9.765624999999882E-3</v>
      </c>
      <c r="M20" s="117">
        <f t="shared" si="12"/>
        <v>1.9531249999999764E-3</v>
      </c>
      <c r="N20" s="40">
        <v>0.3</v>
      </c>
      <c r="O20" s="118">
        <f t="shared" si="6"/>
        <v>35.285250000000005</v>
      </c>
      <c r="P20" s="117">
        <f t="shared" si="13"/>
        <v>9.7656250000000642E-3</v>
      </c>
      <c r="Q20" s="117">
        <f t="shared" si="14"/>
        <v>1.953125000000013E-3</v>
      </c>
      <c r="R20" s="40">
        <v>0.3</v>
      </c>
      <c r="S20" s="118">
        <f t="shared" si="7"/>
        <v>44.074250000000006</v>
      </c>
      <c r="T20" s="117">
        <f t="shared" si="15"/>
        <v>9.7656250000000711E-3</v>
      </c>
      <c r="U20" s="117">
        <f t="shared" si="16"/>
        <v>1.9531250000000143E-3</v>
      </c>
      <c r="V20" s="40">
        <v>0.3</v>
      </c>
      <c r="W20" s="118">
        <f t="shared" si="8"/>
        <v>73.931000000000012</v>
      </c>
      <c r="X20" s="117">
        <f t="shared" si="17"/>
        <v>9.7656250000000451E-3</v>
      </c>
      <c r="Y20" s="117">
        <f t="shared" si="18"/>
        <v>1.9531250000000091E-3</v>
      </c>
      <c r="Z20" s="80">
        <f t="shared" si="19"/>
        <v>5.5767583808463916</v>
      </c>
      <c r="AE20" s="40" t="s">
        <v>405</v>
      </c>
      <c r="AF20" s="40">
        <f>SUM(AF18:AF19)</f>
        <v>217.46822388881964</v>
      </c>
    </row>
    <row r="21" spans="1:33" x14ac:dyDescent="0.2">
      <c r="A21" s="40">
        <v>2035</v>
      </c>
      <c r="B21" s="40">
        <v>0.25</v>
      </c>
      <c r="C21" s="45">
        <f t="shared" si="3"/>
        <v>26.1</v>
      </c>
      <c r="D21" s="117">
        <f t="shared" si="1"/>
        <v>9.6711798839458404E-3</v>
      </c>
      <c r="E21" s="117">
        <f t="shared" si="2"/>
        <v>1.9342359767891681E-3</v>
      </c>
      <c r="F21" s="40">
        <v>0.3</v>
      </c>
      <c r="G21" s="118">
        <f t="shared" si="4"/>
        <v>33.93</v>
      </c>
      <c r="H21" s="117">
        <f t="shared" si="9"/>
        <v>9.6711798839457137E-3</v>
      </c>
      <c r="I21" s="117">
        <f t="shared" si="10"/>
        <v>1.9342359767891427E-3</v>
      </c>
      <c r="J21" s="40">
        <v>0.3</v>
      </c>
      <c r="K21" s="118">
        <f t="shared" si="5"/>
        <v>37.192500000000003</v>
      </c>
      <c r="L21" s="117">
        <f t="shared" si="11"/>
        <v>9.6711798839459184E-3</v>
      </c>
      <c r="M21" s="117">
        <f t="shared" si="12"/>
        <v>1.9342359767891837E-3</v>
      </c>
      <c r="N21" s="40">
        <v>0.3</v>
      </c>
      <c r="O21" s="118">
        <f t="shared" si="6"/>
        <v>35.6265</v>
      </c>
      <c r="P21" s="117">
        <f t="shared" si="13"/>
        <v>9.6711798839457033E-3</v>
      </c>
      <c r="Q21" s="117">
        <f t="shared" si="14"/>
        <v>1.9342359767891408E-3</v>
      </c>
      <c r="R21" s="40">
        <v>0.3</v>
      </c>
      <c r="S21" s="118">
        <f t="shared" si="7"/>
        <v>44.500500000000002</v>
      </c>
      <c r="T21" s="117">
        <f t="shared" si="15"/>
        <v>9.6711798839457502E-3</v>
      </c>
      <c r="U21" s="117">
        <f t="shared" si="16"/>
        <v>1.9342359767891501E-3</v>
      </c>
      <c r="V21" s="40">
        <v>0.3</v>
      </c>
      <c r="W21" s="118">
        <f t="shared" si="8"/>
        <v>74.646000000000015</v>
      </c>
      <c r="X21" s="117">
        <f t="shared" si="17"/>
        <v>9.6711798839458855E-3</v>
      </c>
      <c r="Y21" s="117">
        <f t="shared" si="18"/>
        <v>1.9342359767891772E-3</v>
      </c>
      <c r="Z21" s="80">
        <f t="shared" si="19"/>
        <v>5.6306922143168601</v>
      </c>
      <c r="AE21" s="40" t="s">
        <v>2616</v>
      </c>
      <c r="AF21" s="40">
        <f>AD11/AF20</f>
        <v>55.180475498503107</v>
      </c>
    </row>
    <row r="22" spans="1:33" x14ac:dyDescent="0.2">
      <c r="A22" s="40">
        <v>2040</v>
      </c>
      <c r="B22" s="40">
        <v>0.25</v>
      </c>
      <c r="C22" s="45">
        <f t="shared" si="3"/>
        <v>26.35</v>
      </c>
      <c r="D22" s="117">
        <f t="shared" si="1"/>
        <v>9.5785440613026813E-3</v>
      </c>
      <c r="E22" s="117">
        <f t="shared" si="2"/>
        <v>1.9157088122605363E-3</v>
      </c>
      <c r="F22" s="40">
        <v>0.2</v>
      </c>
      <c r="G22" s="118">
        <f t="shared" si="4"/>
        <v>34.255000000000003</v>
      </c>
      <c r="H22" s="117">
        <f t="shared" si="9"/>
        <v>9.5785440613027663E-3</v>
      </c>
      <c r="I22" s="117">
        <f t="shared" si="10"/>
        <v>1.9157088122605532E-3</v>
      </c>
      <c r="J22" s="40">
        <v>0.2</v>
      </c>
      <c r="K22" s="118">
        <f t="shared" si="5"/>
        <v>37.548750000000005</v>
      </c>
      <c r="L22" s="117">
        <f t="shared" si="11"/>
        <v>9.5785440613027576E-3</v>
      </c>
      <c r="M22" s="117">
        <f t="shared" si="12"/>
        <v>1.9157088122605515E-3</v>
      </c>
      <c r="N22" s="40">
        <v>0.2</v>
      </c>
      <c r="O22" s="118">
        <f t="shared" si="6"/>
        <v>35.967750000000002</v>
      </c>
      <c r="P22" s="117">
        <f t="shared" si="13"/>
        <v>9.5785440613027455E-3</v>
      </c>
      <c r="Q22" s="117">
        <f t="shared" si="14"/>
        <v>1.9157088122605491E-3</v>
      </c>
      <c r="R22" s="40">
        <v>0.2</v>
      </c>
      <c r="S22" s="118">
        <f t="shared" si="7"/>
        <v>44.926750000000006</v>
      </c>
      <c r="T22" s="117">
        <f t="shared" si="15"/>
        <v>9.5785440613027524E-3</v>
      </c>
      <c r="U22" s="117">
        <f t="shared" si="16"/>
        <v>1.9157088122605504E-3</v>
      </c>
      <c r="V22" s="40">
        <v>0.2</v>
      </c>
      <c r="W22" s="118">
        <f t="shared" si="8"/>
        <v>75.361000000000018</v>
      </c>
      <c r="X22" s="117">
        <f t="shared" si="17"/>
        <v>9.5785440613027264E-3</v>
      </c>
      <c r="Y22" s="117">
        <f t="shared" si="18"/>
        <v>1.9157088122605452E-3</v>
      </c>
      <c r="Z22" s="80">
        <f t="shared" si="19"/>
        <v>5.6846260477873285</v>
      </c>
      <c r="AC22" s="79"/>
      <c r="AE22" s="40" t="s">
        <v>2618</v>
      </c>
      <c r="AF22" s="40">
        <f>AF21/AD12</f>
        <v>1.4695689070475875</v>
      </c>
    </row>
    <row r="23" spans="1:33" x14ac:dyDescent="0.2">
      <c r="A23" s="40">
        <v>2045</v>
      </c>
      <c r="B23" s="40">
        <v>0.25</v>
      </c>
      <c r="C23" s="45">
        <f t="shared" si="3"/>
        <v>26.6</v>
      </c>
      <c r="D23" s="117">
        <f t="shared" si="1"/>
        <v>9.4876660341555973E-3</v>
      </c>
      <c r="E23" s="117">
        <f t="shared" si="2"/>
        <v>1.8975332068311194E-3</v>
      </c>
      <c r="F23" s="40">
        <v>0.2</v>
      </c>
      <c r="G23" s="118">
        <f t="shared" si="4"/>
        <v>34.580000000000005</v>
      </c>
      <c r="H23" s="117">
        <f t="shared" si="9"/>
        <v>9.4876660341556805E-3</v>
      </c>
      <c r="I23" s="117">
        <f t="shared" si="10"/>
        <v>1.8975332068311361E-3</v>
      </c>
      <c r="J23" s="40">
        <v>0.2</v>
      </c>
      <c r="K23" s="118">
        <f t="shared" si="5"/>
        <v>37.905000000000001</v>
      </c>
      <c r="L23" s="117">
        <f t="shared" si="11"/>
        <v>9.4876660341554828E-3</v>
      </c>
      <c r="M23" s="117">
        <f t="shared" si="12"/>
        <v>1.8975332068310966E-3</v>
      </c>
      <c r="N23" s="40">
        <v>0.2</v>
      </c>
      <c r="O23" s="118">
        <f t="shared" si="6"/>
        <v>36.309000000000005</v>
      </c>
      <c r="P23" s="117">
        <f t="shared" si="13"/>
        <v>9.4876660341556597E-3</v>
      </c>
      <c r="Q23" s="117">
        <f t="shared" si="14"/>
        <v>1.8975332068311319E-3</v>
      </c>
      <c r="R23" s="40">
        <v>0.2</v>
      </c>
      <c r="S23" s="118">
        <f t="shared" si="7"/>
        <v>45.353000000000002</v>
      </c>
      <c r="T23" s="117">
        <f t="shared" si="15"/>
        <v>9.4876660341555088E-3</v>
      </c>
      <c r="U23" s="117">
        <f t="shared" si="16"/>
        <v>1.8975332068311018E-3</v>
      </c>
      <c r="V23" s="40">
        <v>0.2</v>
      </c>
      <c r="W23" s="118">
        <f t="shared" si="8"/>
        <v>76.076000000000008</v>
      </c>
      <c r="X23" s="117">
        <f t="shared" si="17"/>
        <v>9.4876660341554515E-3</v>
      </c>
      <c r="Y23" s="117">
        <f t="shared" si="18"/>
        <v>1.8975332068310903E-3</v>
      </c>
      <c r="Z23" s="80">
        <f t="shared" si="19"/>
        <v>5.7385598812577951</v>
      </c>
      <c r="AD23" s="79"/>
    </row>
    <row r="24" spans="1:33" x14ac:dyDescent="0.2">
      <c r="A24" s="40">
        <v>2050</v>
      </c>
      <c r="B24" s="40">
        <v>0.25</v>
      </c>
      <c r="C24" s="45">
        <f t="shared" si="3"/>
        <v>26.85</v>
      </c>
      <c r="D24" s="117">
        <f t="shared" si="1"/>
        <v>9.3984962406015032E-3</v>
      </c>
      <c r="E24" s="117">
        <f t="shared" si="2"/>
        <v>1.8796992481203006E-3</v>
      </c>
      <c r="F24" s="40">
        <v>0.2</v>
      </c>
      <c r="G24" s="118">
        <f t="shared" si="4"/>
        <v>34.905000000000001</v>
      </c>
      <c r="H24" s="117">
        <f t="shared" si="9"/>
        <v>9.3984962406013783E-3</v>
      </c>
      <c r="I24" s="117">
        <f t="shared" si="10"/>
        <v>1.8796992481202757E-3</v>
      </c>
      <c r="J24" s="40">
        <v>0.2</v>
      </c>
      <c r="K24" s="118">
        <f t="shared" si="5"/>
        <v>38.261250000000004</v>
      </c>
      <c r="L24" s="117">
        <f t="shared" si="11"/>
        <v>9.3984962406015778E-3</v>
      </c>
      <c r="M24" s="117">
        <f t="shared" si="12"/>
        <v>1.8796992481203156E-3</v>
      </c>
      <c r="N24" s="40">
        <v>0.2</v>
      </c>
      <c r="O24" s="118">
        <f t="shared" si="6"/>
        <v>36.65025</v>
      </c>
      <c r="P24" s="117">
        <f t="shared" si="13"/>
        <v>9.3984962406013697E-3</v>
      </c>
      <c r="Q24" s="117">
        <f t="shared" si="14"/>
        <v>1.879699248120274E-3</v>
      </c>
      <c r="R24" s="40">
        <v>0.2</v>
      </c>
      <c r="S24" s="118">
        <f t="shared" si="7"/>
        <v>45.779250000000005</v>
      </c>
      <c r="T24" s="117">
        <f t="shared" si="15"/>
        <v>9.3984962406015726E-3</v>
      </c>
      <c r="U24" s="117">
        <f t="shared" si="16"/>
        <v>1.8796992481203145E-3</v>
      </c>
      <c r="V24" s="40">
        <v>0.2</v>
      </c>
      <c r="W24" s="118">
        <f t="shared" si="8"/>
        <v>76.791000000000011</v>
      </c>
      <c r="X24" s="117">
        <f t="shared" si="17"/>
        <v>9.3984962406015483E-3</v>
      </c>
      <c r="Y24" s="117">
        <f t="shared" si="18"/>
        <v>1.8796992481203098E-3</v>
      </c>
      <c r="Z24" s="80">
        <f t="shared" si="19"/>
        <v>5.7924937147282636</v>
      </c>
      <c r="AB24" s="77"/>
      <c r="AD24" s="79"/>
    </row>
    <row r="25" spans="1:33" x14ac:dyDescent="0.2">
      <c r="AB25" s="80"/>
    </row>
    <row r="27" spans="1:33" x14ac:dyDescent="0.2">
      <c r="S27" s="46" t="s">
        <v>2793</v>
      </c>
      <c r="AC27" s="80"/>
      <c r="AE27" s="80"/>
    </row>
    <row r="28" spans="1:33" x14ac:dyDescent="0.2">
      <c r="S28" s="40" t="s">
        <v>2794</v>
      </c>
      <c r="AC28" s="77"/>
      <c r="AE28" s="79"/>
    </row>
    <row r="29" spans="1:33" x14ac:dyDescent="0.2">
      <c r="T29" s="40" t="s">
        <v>2795</v>
      </c>
      <c r="U29" s="40" t="s">
        <v>2796</v>
      </c>
      <c r="W29" s="40" t="s">
        <v>2797</v>
      </c>
    </row>
    <row r="30" spans="1:33" x14ac:dyDescent="0.2">
      <c r="S30" s="40" t="s">
        <v>2798</v>
      </c>
      <c r="T30" s="119">
        <v>0.2</v>
      </c>
      <c r="U30" s="119">
        <v>0.17</v>
      </c>
      <c r="W30" s="123">
        <v>712</v>
      </c>
    </row>
    <row r="31" spans="1:33" x14ac:dyDescent="0.2">
      <c r="S31" s="40" t="s">
        <v>2799</v>
      </c>
      <c r="T31" s="119">
        <v>0.4</v>
      </c>
      <c r="U31" s="119">
        <v>0.28999999999999998</v>
      </c>
      <c r="W31" s="123">
        <v>1094</v>
      </c>
    </row>
    <row r="32" spans="1:33" x14ac:dyDescent="0.2">
      <c r="S32" s="40" t="s">
        <v>2800</v>
      </c>
      <c r="T32" s="119">
        <f>AVERAGE(T30:T31)</f>
        <v>0.30000000000000004</v>
      </c>
      <c r="U32" s="119">
        <f>AVERAGE(U30:U31)</f>
        <v>0.22999999999999998</v>
      </c>
      <c r="V32" s="119"/>
      <c r="W32" s="123">
        <f>AVERAGE(W30:W31)</f>
        <v>903</v>
      </c>
    </row>
    <row r="34" spans="19:23" x14ac:dyDescent="0.2">
      <c r="S34" s="40" t="s">
        <v>356</v>
      </c>
    </row>
    <row r="35" spans="19:23" x14ac:dyDescent="0.2">
      <c r="T35" s="40" t="s">
        <v>2795</v>
      </c>
      <c r="U35" s="40" t="s">
        <v>2796</v>
      </c>
      <c r="W35" s="40" t="s">
        <v>2797</v>
      </c>
    </row>
    <row r="36" spans="19:23" x14ac:dyDescent="0.2">
      <c r="S36" s="40" t="s">
        <v>2798</v>
      </c>
      <c r="T36" s="119">
        <v>0.42</v>
      </c>
      <c r="U36" s="119">
        <v>0.3</v>
      </c>
      <c r="W36" s="123">
        <v>1467</v>
      </c>
    </row>
    <row r="37" spans="19:23" x14ac:dyDescent="0.2">
      <c r="S37" s="40" t="s">
        <v>2799</v>
      </c>
      <c r="T37" s="119">
        <v>0.31</v>
      </c>
      <c r="U37" s="119">
        <v>0.24</v>
      </c>
      <c r="W37" s="123">
        <v>1348</v>
      </c>
    </row>
    <row r="38" spans="19:23" x14ac:dyDescent="0.2">
      <c r="S38" s="40" t="s">
        <v>2800</v>
      </c>
      <c r="T38" s="119">
        <f>AVERAGE(T36:T37)</f>
        <v>0.36499999999999999</v>
      </c>
      <c r="U38" s="119">
        <f>AVERAGE(U36:U37)</f>
        <v>0.27</v>
      </c>
      <c r="V38" s="119"/>
      <c r="W38" s="123">
        <f>AVERAGE(W36:W37)</f>
        <v>1407.5</v>
      </c>
    </row>
    <row r="40" spans="19:23" x14ac:dyDescent="0.2">
      <c r="S40" s="46" t="s">
        <v>2671</v>
      </c>
    </row>
    <row r="41" spans="19:23" x14ac:dyDescent="0.2">
      <c r="S41" s="40" t="s">
        <v>2794</v>
      </c>
    </row>
    <row r="42" spans="19:23" x14ac:dyDescent="0.2">
      <c r="T42" s="40" t="s">
        <v>2795</v>
      </c>
      <c r="U42" s="40" t="s">
        <v>2796</v>
      </c>
      <c r="W42" s="40" t="s">
        <v>2797</v>
      </c>
    </row>
    <row r="43" spans="19:23" x14ac:dyDescent="0.2">
      <c r="S43" s="40" t="s">
        <v>2801</v>
      </c>
      <c r="T43" s="119">
        <v>0.45</v>
      </c>
      <c r="U43" s="119">
        <v>0.31</v>
      </c>
      <c r="W43" s="123">
        <v>2500</v>
      </c>
    </row>
    <row r="44" spans="19:23" x14ac:dyDescent="0.2">
      <c r="S44" s="40" t="s">
        <v>2802</v>
      </c>
      <c r="T44" s="119">
        <v>0.4</v>
      </c>
      <c r="U44" s="119">
        <v>0.28999999999999998</v>
      </c>
      <c r="W44" s="123">
        <v>2683</v>
      </c>
    </row>
    <row r="45" spans="19:23" x14ac:dyDescent="0.2">
      <c r="S45" s="40" t="s">
        <v>2800</v>
      </c>
      <c r="T45" s="119">
        <f>AVERAGE(T43:T44)</f>
        <v>0.42500000000000004</v>
      </c>
      <c r="U45" s="119">
        <f>AVERAGE(U43:U44)</f>
        <v>0.3</v>
      </c>
      <c r="V45" s="119"/>
      <c r="W45" s="123">
        <f>AVERAGE(W43:W44)</f>
        <v>2591.5</v>
      </c>
    </row>
    <row r="47" spans="19:23" x14ac:dyDescent="0.2">
      <c r="S47" s="40" t="s">
        <v>356</v>
      </c>
    </row>
    <row r="48" spans="19:23" x14ac:dyDescent="0.2">
      <c r="T48" s="40" t="s">
        <v>2795</v>
      </c>
      <c r="U48" s="40" t="s">
        <v>2796</v>
      </c>
      <c r="W48" s="40" t="s">
        <v>2797</v>
      </c>
    </row>
    <row r="49" spans="19:23" x14ac:dyDescent="0.2">
      <c r="S49" s="40" t="s">
        <v>2801</v>
      </c>
      <c r="T49" s="119">
        <v>0.52</v>
      </c>
      <c r="U49" s="119">
        <v>0.34</v>
      </c>
      <c r="W49" s="123">
        <v>4464</v>
      </c>
    </row>
    <row r="50" spans="19:23" x14ac:dyDescent="0.2">
      <c r="S50" s="40" t="s">
        <v>2802</v>
      </c>
      <c r="T50" s="119">
        <v>0.35</v>
      </c>
      <c r="U50" s="119">
        <v>0.26</v>
      </c>
      <c r="W50" s="123">
        <v>3039</v>
      </c>
    </row>
    <row r="51" spans="19:23" x14ac:dyDescent="0.2">
      <c r="S51" s="40" t="s">
        <v>2800</v>
      </c>
      <c r="T51" s="119">
        <f>AVERAGE(T49:T50)</f>
        <v>0.435</v>
      </c>
      <c r="U51" s="119">
        <f>AVERAGE(U49:U50)</f>
        <v>0.30000000000000004</v>
      </c>
      <c r="V51" s="119"/>
      <c r="W51" s="123">
        <f>AVERAGE(W49:W50)</f>
        <v>3751.5</v>
      </c>
    </row>
    <row r="53" spans="19:23" x14ac:dyDescent="0.2">
      <c r="S53" s="46" t="s">
        <v>357</v>
      </c>
    </row>
    <row r="54" spans="19:23" x14ac:dyDescent="0.2">
      <c r="S54" s="40" t="s">
        <v>2794</v>
      </c>
    </row>
    <row r="55" spans="19:23" x14ac:dyDescent="0.2">
      <c r="T55" s="40" t="s">
        <v>2795</v>
      </c>
      <c r="U55" s="40" t="s">
        <v>2796</v>
      </c>
      <c r="W55" s="40" t="s">
        <v>2797</v>
      </c>
    </row>
    <row r="56" spans="19:23" x14ac:dyDescent="0.2">
      <c r="S56" s="40" t="s">
        <v>2803</v>
      </c>
      <c r="T56" s="119">
        <v>0.4</v>
      </c>
      <c r="U56" s="119">
        <v>0.18</v>
      </c>
      <c r="W56" s="123">
        <v>1609</v>
      </c>
    </row>
    <row r="57" spans="19:23" x14ac:dyDescent="0.2">
      <c r="S57" s="40" t="s">
        <v>2802</v>
      </c>
      <c r="T57" s="119">
        <v>0.33</v>
      </c>
      <c r="U57" s="119">
        <v>0.14000000000000001</v>
      </c>
      <c r="W57" s="123">
        <v>634</v>
      </c>
    </row>
    <row r="58" spans="19:23" x14ac:dyDescent="0.2">
      <c r="S58" s="40" t="s">
        <v>2800</v>
      </c>
      <c r="T58" s="119">
        <f>AVERAGE(T56:T57)</f>
        <v>0.36499999999999999</v>
      </c>
      <c r="U58" s="119">
        <f>AVERAGE(U56:U57)</f>
        <v>0.16</v>
      </c>
      <c r="V58" s="119"/>
      <c r="W58" s="123">
        <f>AVERAGE(W56:W57)</f>
        <v>1121.5</v>
      </c>
    </row>
    <row r="60" spans="19:23" x14ac:dyDescent="0.2">
      <c r="S60" s="40" t="s">
        <v>356</v>
      </c>
    </row>
    <row r="61" spans="19:23" x14ac:dyDescent="0.2">
      <c r="T61" s="40" t="s">
        <v>2795</v>
      </c>
      <c r="U61" s="40" t="s">
        <v>2796</v>
      </c>
      <c r="W61" s="40" t="s">
        <v>2797</v>
      </c>
    </row>
    <row r="62" spans="19:23" x14ac:dyDescent="0.2">
      <c r="S62" s="40" t="s">
        <v>2803</v>
      </c>
      <c r="T62" s="119">
        <v>0.41</v>
      </c>
      <c r="U62" s="119">
        <v>0.18</v>
      </c>
      <c r="W62" s="123">
        <v>4376</v>
      </c>
    </row>
    <row r="63" spans="19:23" x14ac:dyDescent="0.2">
      <c r="S63" s="40" t="s">
        <v>2802</v>
      </c>
      <c r="T63" s="119">
        <v>0.33</v>
      </c>
      <c r="U63" s="119">
        <v>0.14000000000000001</v>
      </c>
      <c r="W63" s="123">
        <v>2597</v>
      </c>
    </row>
    <row r="64" spans="19:23" x14ac:dyDescent="0.2">
      <c r="S64" s="40" t="s">
        <v>2800</v>
      </c>
      <c r="T64" s="119">
        <f>AVERAGE(T62:T63)</f>
        <v>0.37</v>
      </c>
      <c r="U64" s="119">
        <f>AVERAGE(U62:U63)</f>
        <v>0.16</v>
      </c>
      <c r="V64" s="119"/>
      <c r="W64" s="123">
        <f>AVERAGE(W62:W63)</f>
        <v>3486.5</v>
      </c>
    </row>
    <row r="66" spans="19:23" x14ac:dyDescent="0.2">
      <c r="S66" s="46" t="s">
        <v>2804</v>
      </c>
    </row>
    <row r="67" spans="19:23" x14ac:dyDescent="0.2">
      <c r="S67" s="40" t="s">
        <v>2794</v>
      </c>
    </row>
    <row r="68" spans="19:23" x14ac:dyDescent="0.2">
      <c r="T68" s="40" t="s">
        <v>2795</v>
      </c>
      <c r="U68" s="40" t="s">
        <v>2796</v>
      </c>
      <c r="W68" s="40" t="s">
        <v>2797</v>
      </c>
    </row>
    <row r="69" spans="19:23" x14ac:dyDescent="0.2">
      <c r="S69" s="40" t="s">
        <v>2805</v>
      </c>
      <c r="T69" s="119">
        <v>0.75</v>
      </c>
      <c r="U69" s="119">
        <v>0.34</v>
      </c>
      <c r="W69" s="123"/>
    </row>
    <row r="70" spans="19:23" x14ac:dyDescent="0.2">
      <c r="S70" s="40" t="s">
        <v>2802</v>
      </c>
      <c r="T70" s="119">
        <v>0.66</v>
      </c>
      <c r="U70" s="119">
        <v>0.31</v>
      </c>
      <c r="W70" s="123"/>
    </row>
    <row r="71" spans="19:23" x14ac:dyDescent="0.2">
      <c r="S71" s="40" t="s">
        <v>2800</v>
      </c>
      <c r="T71" s="119">
        <f>AVERAGE(T69:T70)</f>
        <v>0.70500000000000007</v>
      </c>
      <c r="U71" s="119">
        <f>AVERAGE(U69:U70)</f>
        <v>0.32500000000000001</v>
      </c>
      <c r="V71" s="119"/>
      <c r="W71" s="123">
        <v>4123</v>
      </c>
    </row>
    <row r="73" spans="19:23" x14ac:dyDescent="0.2">
      <c r="S73" s="40" t="s">
        <v>356</v>
      </c>
    </row>
    <row r="74" spans="19:23" x14ac:dyDescent="0.2">
      <c r="T74" s="40" t="s">
        <v>2795</v>
      </c>
      <c r="U74" s="40" t="s">
        <v>2796</v>
      </c>
      <c r="W74" s="40" t="s">
        <v>2797</v>
      </c>
    </row>
    <row r="75" spans="19:23" x14ac:dyDescent="0.2">
      <c r="S75" s="40" t="s">
        <v>2805</v>
      </c>
      <c r="T75" s="119">
        <v>0.77</v>
      </c>
      <c r="U75" s="119">
        <v>0.35</v>
      </c>
      <c r="W75" s="123"/>
    </row>
    <row r="76" spans="19:23" x14ac:dyDescent="0.2">
      <c r="S76" s="40" t="s">
        <v>2802</v>
      </c>
      <c r="T76" s="119">
        <v>0.66</v>
      </c>
      <c r="U76" s="119">
        <v>0.31</v>
      </c>
      <c r="W76" s="123"/>
    </row>
    <row r="77" spans="19:23" x14ac:dyDescent="0.2">
      <c r="S77" s="40" t="s">
        <v>2800</v>
      </c>
      <c r="T77" s="119">
        <f>AVERAGE(T75:T76)</f>
        <v>0.71500000000000008</v>
      </c>
      <c r="U77" s="119">
        <f>AVERAGE(U75:U76)</f>
        <v>0.32999999999999996</v>
      </c>
      <c r="V77" s="119"/>
      <c r="W77" s="123">
        <v>5912</v>
      </c>
    </row>
    <row r="79" spans="19:23" x14ac:dyDescent="0.2">
      <c r="S79" s="46" t="s">
        <v>2675</v>
      </c>
    </row>
    <row r="80" spans="19:23" x14ac:dyDescent="0.2">
      <c r="S80" s="40" t="s">
        <v>2794</v>
      </c>
      <c r="U80" s="40" t="s">
        <v>2806</v>
      </c>
    </row>
    <row r="81" spans="19:25" x14ac:dyDescent="0.2">
      <c r="T81" s="40" t="s">
        <v>2795</v>
      </c>
      <c r="U81" s="40" t="s">
        <v>2796</v>
      </c>
      <c r="W81" s="40" t="s">
        <v>2797</v>
      </c>
      <c r="X81" s="40" t="s">
        <v>2807</v>
      </c>
    </row>
    <row r="82" spans="19:25" x14ac:dyDescent="0.2">
      <c r="T82" s="119"/>
      <c r="U82" s="119"/>
      <c r="W82" s="123"/>
      <c r="X82" s="123" t="s">
        <v>2808</v>
      </c>
    </row>
    <row r="83" spans="19:25" x14ac:dyDescent="0.2">
      <c r="T83" s="119"/>
      <c r="U83" s="119"/>
      <c r="W83" s="123"/>
      <c r="X83" s="123"/>
    </row>
    <row r="84" spans="19:25" x14ac:dyDescent="0.2">
      <c r="S84" s="40" t="s">
        <v>2800</v>
      </c>
      <c r="T84" s="120">
        <v>1.86</v>
      </c>
      <c r="U84" s="119">
        <v>0.65</v>
      </c>
      <c r="V84" s="119"/>
      <c r="W84" s="123">
        <v>5390</v>
      </c>
      <c r="X84" s="124">
        <v>0.1865315614649731</v>
      </c>
      <c r="Y84" s="40">
        <f>1/X84</f>
        <v>5.3610230469645215</v>
      </c>
    </row>
    <row r="85" spans="19:25" x14ac:dyDescent="0.2">
      <c r="X85" s="124"/>
    </row>
    <row r="86" spans="19:25" x14ac:dyDescent="0.2">
      <c r="S86" s="40" t="s">
        <v>356</v>
      </c>
      <c r="X86" s="124"/>
    </row>
    <row r="87" spans="19:25" x14ac:dyDescent="0.2">
      <c r="T87" s="40" t="s">
        <v>2795</v>
      </c>
      <c r="U87" s="40" t="s">
        <v>2796</v>
      </c>
      <c r="W87" s="40" t="s">
        <v>2797</v>
      </c>
      <c r="X87" s="124"/>
    </row>
    <row r="88" spans="19:25" x14ac:dyDescent="0.2">
      <c r="T88" s="119"/>
      <c r="U88" s="119"/>
      <c r="W88" s="123"/>
      <c r="X88" s="124"/>
    </row>
    <row r="89" spans="19:25" x14ac:dyDescent="0.2">
      <c r="T89" s="119"/>
      <c r="U89" s="119"/>
      <c r="W89" s="123"/>
      <c r="X89" s="124"/>
    </row>
    <row r="90" spans="19:25" x14ac:dyDescent="0.2">
      <c r="S90" s="40" t="s">
        <v>2800</v>
      </c>
      <c r="T90" s="119">
        <v>1.87</v>
      </c>
      <c r="U90" s="119">
        <v>0.65</v>
      </c>
      <c r="V90" s="119"/>
      <c r="W90" s="123">
        <v>7340</v>
      </c>
      <c r="X90" s="124">
        <v>0.23583585682831856</v>
      </c>
      <c r="Y90" s="125">
        <f>1/X90</f>
        <v>4.2402373135649603</v>
      </c>
    </row>
    <row r="92" spans="19:25" x14ac:dyDescent="0.2">
      <c r="S92" s="40" t="s">
        <v>2809</v>
      </c>
    </row>
    <row r="93" spans="19:25" x14ac:dyDescent="0.2">
      <c r="S93" s="40" t="s">
        <v>2810</v>
      </c>
    </row>
    <row r="94" spans="19:25" x14ac:dyDescent="0.2">
      <c r="S94" s="40" t="s">
        <v>2811</v>
      </c>
    </row>
  </sheetData>
  <phoneticPr fontId="12" type="noConversion"/>
  <pageMargins left="0.25" right="0.25" top="0.5" bottom="0.5" header="0.5" footer="0.5"/>
  <pageSetup scale="55"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sheetPr>
  <dimension ref="A1:AN336"/>
  <sheetViews>
    <sheetView zoomScale="80" zoomScaleNormal="80" workbookViewId="0">
      <selection activeCell="N164" sqref="M163:N164"/>
    </sheetView>
  </sheetViews>
  <sheetFormatPr defaultColWidth="9.140625" defaultRowHeight="12.75" x14ac:dyDescent="0.2"/>
  <cols>
    <col min="1" max="1" width="33" style="40" customWidth="1"/>
    <col min="2" max="2" width="5.5703125" style="40" customWidth="1"/>
    <col min="3" max="3" width="10.140625" style="40" customWidth="1"/>
    <col min="4" max="9" width="11.42578125" style="40" bestFit="1" customWidth="1"/>
    <col min="10" max="39" width="11.5703125" style="40" bestFit="1" customWidth="1"/>
    <col min="40" max="40" width="9.28515625" style="40" bestFit="1" customWidth="1"/>
    <col min="41" max="16384" width="9.140625" style="40"/>
  </cols>
  <sheetData>
    <row r="1" spans="1:12" s="112" customFormat="1" x14ac:dyDescent="0.2">
      <c r="A1" s="47" t="s">
        <v>2812</v>
      </c>
    </row>
    <row r="2" spans="1:12" s="112" customFormat="1" x14ac:dyDescent="0.2">
      <c r="A2" s="47" t="s">
        <v>2813</v>
      </c>
    </row>
    <row r="3" spans="1:12" s="112" customFormat="1" x14ac:dyDescent="0.2">
      <c r="A3" s="131"/>
    </row>
    <row r="4" spans="1:12" x14ac:dyDescent="0.2">
      <c r="A4" s="47" t="s">
        <v>2814</v>
      </c>
    </row>
    <row r="5" spans="1:12" x14ac:dyDescent="0.2">
      <c r="A5" s="40" t="s">
        <v>391</v>
      </c>
    </row>
    <row r="6" spans="1:12" x14ac:dyDescent="0.2">
      <c r="A6" s="112" t="s">
        <v>2733</v>
      </c>
      <c r="B6" s="112"/>
      <c r="C6" s="57">
        <v>2010</v>
      </c>
      <c r="D6" s="57">
        <v>2015</v>
      </c>
      <c r="E6" s="57">
        <v>2020</v>
      </c>
      <c r="F6" s="57">
        <v>2025</v>
      </c>
      <c r="G6" s="57">
        <v>2030</v>
      </c>
      <c r="H6" s="57">
        <v>2035</v>
      </c>
      <c r="I6" s="57">
        <v>2040</v>
      </c>
      <c r="K6" s="80"/>
      <c r="L6" s="80"/>
    </row>
    <row r="7" spans="1:12" x14ac:dyDescent="0.2">
      <c r="A7" s="40" t="s">
        <v>2815</v>
      </c>
      <c r="C7" s="79">
        <v>249.94207800000001</v>
      </c>
      <c r="D7" s="132">
        <v>424.65344199999998</v>
      </c>
      <c r="E7" s="132">
        <v>417.14419600000002</v>
      </c>
      <c r="F7" s="132">
        <v>422.91705300000001</v>
      </c>
      <c r="G7" s="132">
        <v>434.02590900000001</v>
      </c>
      <c r="H7" s="132">
        <v>431.81918300000001</v>
      </c>
      <c r="I7" s="132">
        <v>450.04574600000001</v>
      </c>
      <c r="K7" s="80"/>
      <c r="L7" s="80"/>
    </row>
    <row r="8" spans="1:12" x14ac:dyDescent="0.2">
      <c r="A8" s="40" t="s">
        <v>2816</v>
      </c>
      <c r="C8" s="79">
        <v>256.46054099999998</v>
      </c>
      <c r="D8" s="132">
        <v>357.21893299999999</v>
      </c>
      <c r="E8" s="132">
        <v>346.78698700000001</v>
      </c>
      <c r="F8" s="132">
        <v>331.83673099999999</v>
      </c>
      <c r="G8" s="132">
        <v>327.03454599999998</v>
      </c>
      <c r="H8" s="132">
        <v>315.47876000000002</v>
      </c>
      <c r="I8" s="132">
        <v>317.07147200000003</v>
      </c>
      <c r="K8" s="80"/>
      <c r="L8" s="80"/>
    </row>
    <row r="9" spans="1:12" x14ac:dyDescent="0.2">
      <c r="A9" s="40" t="s">
        <v>405</v>
      </c>
      <c r="C9" s="79">
        <f t="shared" ref="C9:I9" si="0">SUM(C7:C8)</f>
        <v>506.40261899999996</v>
      </c>
      <c r="D9" s="79">
        <f t="shared" si="0"/>
        <v>781.87237499999992</v>
      </c>
      <c r="E9" s="79">
        <f t="shared" si="0"/>
        <v>763.93118300000003</v>
      </c>
      <c r="F9" s="79">
        <f t="shared" si="0"/>
        <v>754.753784</v>
      </c>
      <c r="G9" s="79">
        <f t="shared" si="0"/>
        <v>761.06045500000005</v>
      </c>
      <c r="H9" s="79">
        <f t="shared" si="0"/>
        <v>747.29794300000003</v>
      </c>
      <c r="I9" s="79">
        <f t="shared" si="0"/>
        <v>767.11721800000009</v>
      </c>
      <c r="K9" s="80"/>
      <c r="L9" s="80"/>
    </row>
    <row r="10" spans="1:12" x14ac:dyDescent="0.2">
      <c r="K10" s="80"/>
      <c r="L10" s="80"/>
    </row>
    <row r="11" spans="1:12" x14ac:dyDescent="0.2">
      <c r="A11" s="40" t="s">
        <v>275</v>
      </c>
      <c r="K11" s="80"/>
      <c r="L11" s="80"/>
    </row>
    <row r="12" spans="1:12" x14ac:dyDescent="0.2">
      <c r="A12" s="40" t="s">
        <v>2815</v>
      </c>
      <c r="C12" s="79">
        <v>713.01238999999998</v>
      </c>
      <c r="D12" s="132">
        <v>1123.1798100000001</v>
      </c>
      <c r="E12" s="132">
        <v>1092.3648679999999</v>
      </c>
      <c r="F12" s="132">
        <v>1103.1539310000001</v>
      </c>
      <c r="G12" s="132">
        <v>1128.7673339999999</v>
      </c>
      <c r="H12" s="132">
        <v>1118.1051030000001</v>
      </c>
      <c r="I12" s="132">
        <v>1166.7304690000001</v>
      </c>
      <c r="K12" s="80"/>
      <c r="L12" s="80"/>
    </row>
    <row r="13" spans="1:12" x14ac:dyDescent="0.2">
      <c r="A13" s="40" t="s">
        <v>2816</v>
      </c>
      <c r="C13" s="79">
        <v>731.60760500000004</v>
      </c>
      <c r="D13" s="132">
        <v>926.71533199999999</v>
      </c>
      <c r="E13" s="132">
        <v>890.57849099999999</v>
      </c>
      <c r="F13" s="132">
        <v>848.82611099999997</v>
      </c>
      <c r="G13" s="132">
        <v>834.04205300000001</v>
      </c>
      <c r="H13" s="132">
        <v>801.03112799999997</v>
      </c>
      <c r="I13" s="132">
        <v>806.066956</v>
      </c>
      <c r="K13" s="80"/>
      <c r="L13" s="80"/>
    </row>
    <row r="14" spans="1:12" x14ac:dyDescent="0.2">
      <c r="A14" s="40" t="s">
        <v>405</v>
      </c>
      <c r="C14" s="79">
        <f t="shared" ref="C14:I14" si="1">SUM(C12:C13)</f>
        <v>1444.619995</v>
      </c>
      <c r="D14" s="79">
        <f t="shared" si="1"/>
        <v>2049.8951420000003</v>
      </c>
      <c r="E14" s="79">
        <f t="shared" si="1"/>
        <v>1982.9433589999999</v>
      </c>
      <c r="F14" s="79">
        <f t="shared" si="1"/>
        <v>1951.9800420000001</v>
      </c>
      <c r="G14" s="79">
        <f t="shared" si="1"/>
        <v>1962.8093869999998</v>
      </c>
      <c r="H14" s="79">
        <f t="shared" si="1"/>
        <v>1919.136231</v>
      </c>
      <c r="I14" s="79">
        <f t="shared" si="1"/>
        <v>1972.7974250000002</v>
      </c>
      <c r="K14" s="80"/>
      <c r="L14" s="80"/>
    </row>
    <row r="15" spans="1:12" x14ac:dyDescent="0.2">
      <c r="K15" s="80"/>
      <c r="L15" s="80"/>
    </row>
    <row r="16" spans="1:12" x14ac:dyDescent="0.2">
      <c r="A16" s="40" t="s">
        <v>276</v>
      </c>
      <c r="K16" s="80"/>
      <c r="L16" s="80"/>
    </row>
    <row r="17" spans="1:12" x14ac:dyDescent="0.2">
      <c r="A17" s="40" t="s">
        <v>2815</v>
      </c>
      <c r="C17" s="79">
        <v>788.680115</v>
      </c>
      <c r="D17" s="132">
        <v>1361.7536620000001</v>
      </c>
      <c r="E17" s="132">
        <v>1335.4826660000001</v>
      </c>
      <c r="F17" s="132">
        <v>1354.08374</v>
      </c>
      <c r="G17" s="132">
        <v>1387.2973629999999</v>
      </c>
      <c r="H17" s="132">
        <v>1376.7642820000001</v>
      </c>
      <c r="I17" s="132">
        <v>1438.520264</v>
      </c>
      <c r="K17" s="80"/>
      <c r="L17" s="80"/>
    </row>
    <row r="18" spans="1:12" x14ac:dyDescent="0.2">
      <c r="A18" s="40" t="s">
        <v>2816</v>
      </c>
      <c r="C18" s="79">
        <v>809.24865699999998</v>
      </c>
      <c r="D18" s="132">
        <v>1229.7368160000001</v>
      </c>
      <c r="E18" s="132">
        <v>1191.7382809999999</v>
      </c>
      <c r="F18" s="132">
        <v>1140.4456789999999</v>
      </c>
      <c r="G18" s="132">
        <v>1122.027832</v>
      </c>
      <c r="H18" s="132">
        <v>1079.6464840000001</v>
      </c>
      <c r="I18" s="132">
        <v>1087.850342</v>
      </c>
      <c r="K18" s="80"/>
      <c r="L18" s="80"/>
    </row>
    <row r="19" spans="1:12" x14ac:dyDescent="0.2">
      <c r="A19" s="40" t="s">
        <v>405</v>
      </c>
      <c r="C19" s="79">
        <f t="shared" ref="C19:I19" si="2">SUM(C17:C18)</f>
        <v>1597.928772</v>
      </c>
      <c r="D19" s="79">
        <f t="shared" si="2"/>
        <v>2591.4904780000002</v>
      </c>
      <c r="E19" s="79">
        <f t="shared" si="2"/>
        <v>2527.2209469999998</v>
      </c>
      <c r="F19" s="79">
        <f t="shared" si="2"/>
        <v>2494.529419</v>
      </c>
      <c r="G19" s="79">
        <f t="shared" si="2"/>
        <v>2509.3251949999999</v>
      </c>
      <c r="H19" s="79">
        <f t="shared" si="2"/>
        <v>2456.410766</v>
      </c>
      <c r="I19" s="79">
        <f t="shared" si="2"/>
        <v>2526.370606</v>
      </c>
    </row>
    <row r="21" spans="1:12" x14ac:dyDescent="0.2">
      <c r="A21" s="40" t="s">
        <v>277</v>
      </c>
    </row>
    <row r="22" spans="1:12" x14ac:dyDescent="0.2">
      <c r="A22" s="40" t="s">
        <v>2815</v>
      </c>
      <c r="C22" s="79">
        <v>332.48034699999999</v>
      </c>
      <c r="D22" s="132">
        <v>484.58728000000002</v>
      </c>
      <c r="E22" s="132">
        <v>478.05529799999999</v>
      </c>
      <c r="F22" s="132">
        <v>488.42663599999997</v>
      </c>
      <c r="G22" s="132">
        <v>504.60122699999999</v>
      </c>
      <c r="H22" s="132">
        <v>504.57977299999999</v>
      </c>
      <c r="I22" s="132">
        <v>527.05120799999997</v>
      </c>
    </row>
    <row r="23" spans="1:12" x14ac:dyDescent="0.2">
      <c r="A23" s="40" t="s">
        <v>2816</v>
      </c>
      <c r="C23" s="79">
        <v>341.15136699999999</v>
      </c>
      <c r="D23" s="132">
        <v>403.01391599999999</v>
      </c>
      <c r="E23" s="132">
        <v>392.99243200000001</v>
      </c>
      <c r="F23" s="132">
        <v>378.97970600000002</v>
      </c>
      <c r="G23" s="132">
        <v>375.99664300000001</v>
      </c>
      <c r="H23" s="132">
        <v>364.55718999999999</v>
      </c>
      <c r="I23" s="132">
        <v>367.21661399999999</v>
      </c>
    </row>
    <row r="24" spans="1:12" x14ac:dyDescent="0.2">
      <c r="A24" s="40" t="s">
        <v>405</v>
      </c>
      <c r="C24" s="79">
        <f t="shared" ref="C24:I24" si="3">SUM(C22:C23)</f>
        <v>673.63171399999999</v>
      </c>
      <c r="D24" s="79">
        <f t="shared" si="3"/>
        <v>887.60119600000007</v>
      </c>
      <c r="E24" s="79">
        <f t="shared" si="3"/>
        <v>871.04773</v>
      </c>
      <c r="F24" s="79">
        <f t="shared" si="3"/>
        <v>867.406342</v>
      </c>
      <c r="G24" s="79">
        <f t="shared" si="3"/>
        <v>880.59787000000006</v>
      </c>
      <c r="H24" s="79">
        <f t="shared" si="3"/>
        <v>869.13696299999992</v>
      </c>
      <c r="I24" s="79">
        <f t="shared" si="3"/>
        <v>894.26782200000002</v>
      </c>
    </row>
    <row r="26" spans="1:12" x14ac:dyDescent="0.2">
      <c r="A26" s="40" t="s">
        <v>278</v>
      </c>
    </row>
    <row r="27" spans="1:12" x14ac:dyDescent="0.2">
      <c r="A27" s="40" t="s">
        <v>2815</v>
      </c>
      <c r="C27" s="79">
        <v>1016.835571</v>
      </c>
      <c r="D27" s="132">
        <v>1749.363159</v>
      </c>
      <c r="E27" s="132">
        <v>1806.931885</v>
      </c>
      <c r="F27" s="132">
        <v>1937.576904</v>
      </c>
      <c r="G27" s="132">
        <v>2101.5576169999999</v>
      </c>
      <c r="H27" s="132">
        <v>2203.3271479999999</v>
      </c>
      <c r="I27" s="132">
        <v>2299.8767090000001</v>
      </c>
    </row>
    <row r="28" spans="1:12" x14ac:dyDescent="0.2">
      <c r="A28" s="40" t="s">
        <v>2816</v>
      </c>
      <c r="C28" s="79">
        <v>1043.35437</v>
      </c>
      <c r="D28" s="132">
        <v>1498.7883300000001</v>
      </c>
      <c r="E28" s="132">
        <v>1529.8554690000001</v>
      </c>
      <c r="F28" s="132">
        <v>1548.3107910000001</v>
      </c>
      <c r="G28" s="132">
        <v>1612.682251</v>
      </c>
      <c r="H28" s="132">
        <v>1639.361206</v>
      </c>
      <c r="I28" s="132">
        <v>1650.1892089999999</v>
      </c>
    </row>
    <row r="29" spans="1:12" x14ac:dyDescent="0.2">
      <c r="A29" s="40" t="s">
        <v>405</v>
      </c>
      <c r="C29" s="79">
        <f t="shared" ref="C29:I29" si="4">SUM(C27:C28)</f>
        <v>2060.1899410000001</v>
      </c>
      <c r="D29" s="79">
        <f t="shared" si="4"/>
        <v>3248.1514889999999</v>
      </c>
      <c r="E29" s="79">
        <f t="shared" si="4"/>
        <v>3336.7873540000001</v>
      </c>
      <c r="F29" s="79">
        <f t="shared" si="4"/>
        <v>3485.8876950000003</v>
      </c>
      <c r="G29" s="79">
        <f t="shared" si="4"/>
        <v>3714.2398679999997</v>
      </c>
      <c r="H29" s="79">
        <f t="shared" si="4"/>
        <v>3842.6883539999999</v>
      </c>
      <c r="I29" s="79">
        <f t="shared" si="4"/>
        <v>3950.0659180000002</v>
      </c>
    </row>
    <row r="31" spans="1:12" x14ac:dyDescent="0.2">
      <c r="A31" s="40" t="s">
        <v>279</v>
      </c>
    </row>
    <row r="32" spans="1:12" x14ac:dyDescent="0.2">
      <c r="A32" s="40" t="s">
        <v>2815</v>
      </c>
      <c r="C32" s="79">
        <v>277.81478900000002</v>
      </c>
      <c r="D32" s="132">
        <v>410.96365400000002</v>
      </c>
      <c r="E32" s="132">
        <v>407.82791099999997</v>
      </c>
      <c r="F32" s="132">
        <v>419.04861499999998</v>
      </c>
      <c r="G32" s="132">
        <v>435.21118200000001</v>
      </c>
      <c r="H32" s="132">
        <v>436.841003</v>
      </c>
      <c r="I32" s="132">
        <v>454.76593000000003</v>
      </c>
    </row>
    <row r="33" spans="1:9" x14ac:dyDescent="0.2">
      <c r="A33" s="40" t="s">
        <v>2816</v>
      </c>
      <c r="C33" s="79">
        <v>285.060181</v>
      </c>
      <c r="D33" s="132">
        <v>349.16159099999999</v>
      </c>
      <c r="E33" s="132">
        <v>342.54382299999997</v>
      </c>
      <c r="F33" s="132">
        <v>332.22122200000001</v>
      </c>
      <c r="G33" s="132">
        <v>331.35180700000001</v>
      </c>
      <c r="H33" s="132">
        <v>322.49075299999998</v>
      </c>
      <c r="I33" s="132">
        <v>323.75161700000001</v>
      </c>
    </row>
    <row r="34" spans="1:9" x14ac:dyDescent="0.2">
      <c r="A34" s="40" t="s">
        <v>405</v>
      </c>
      <c r="C34" s="79">
        <f t="shared" ref="C34:I34" si="5">SUM(C32:C33)</f>
        <v>562.87497000000008</v>
      </c>
      <c r="D34" s="79">
        <f t="shared" si="5"/>
        <v>760.12524499999995</v>
      </c>
      <c r="E34" s="79">
        <f t="shared" si="5"/>
        <v>750.37173399999995</v>
      </c>
      <c r="F34" s="79">
        <f t="shared" si="5"/>
        <v>751.26983700000005</v>
      </c>
      <c r="G34" s="79">
        <f t="shared" si="5"/>
        <v>766.56298900000002</v>
      </c>
      <c r="H34" s="79">
        <f t="shared" si="5"/>
        <v>759.33175600000004</v>
      </c>
      <c r="I34" s="79">
        <f t="shared" si="5"/>
        <v>778.51754700000004</v>
      </c>
    </row>
    <row r="36" spans="1:9" x14ac:dyDescent="0.2">
      <c r="A36" s="40" t="s">
        <v>434</v>
      </c>
    </row>
    <row r="37" spans="1:9" x14ac:dyDescent="0.2">
      <c r="A37" s="40" t="s">
        <v>2815</v>
      </c>
      <c r="C37" s="79">
        <v>571.15466300000003</v>
      </c>
      <c r="D37" s="132">
        <v>811.35607900000002</v>
      </c>
      <c r="E37" s="132">
        <v>833.04827899999998</v>
      </c>
      <c r="F37" s="132">
        <v>887.75885000000005</v>
      </c>
      <c r="G37" s="132">
        <v>958.20959500000004</v>
      </c>
      <c r="H37" s="132">
        <v>1000.4368899999999</v>
      </c>
      <c r="I37" s="132">
        <v>1041.538452</v>
      </c>
    </row>
    <row r="38" spans="1:9" x14ac:dyDescent="0.2">
      <c r="A38" s="40" t="s">
        <v>2816</v>
      </c>
      <c r="C38" s="79">
        <v>586.05023200000005</v>
      </c>
      <c r="D38" s="132">
        <v>789.48364300000003</v>
      </c>
      <c r="E38" s="132">
        <v>801.175476</v>
      </c>
      <c r="F38" s="132">
        <v>805.87457300000005</v>
      </c>
      <c r="G38" s="132">
        <v>835.33026099999995</v>
      </c>
      <c r="H38" s="132">
        <v>845.65942399999994</v>
      </c>
      <c r="I38" s="132">
        <v>849.03497300000004</v>
      </c>
    </row>
    <row r="39" spans="1:9" x14ac:dyDescent="0.2">
      <c r="A39" s="40" t="s">
        <v>405</v>
      </c>
      <c r="C39" s="79">
        <f t="shared" ref="C39:I39" si="6">SUM(C37:C38)</f>
        <v>1157.2048950000001</v>
      </c>
      <c r="D39" s="79">
        <f t="shared" si="6"/>
        <v>1600.8397220000002</v>
      </c>
      <c r="E39" s="79">
        <f t="shared" si="6"/>
        <v>1634.223755</v>
      </c>
      <c r="F39" s="79">
        <f t="shared" si="6"/>
        <v>1693.6334230000002</v>
      </c>
      <c r="G39" s="79">
        <f t="shared" si="6"/>
        <v>1793.5398559999999</v>
      </c>
      <c r="H39" s="79">
        <f t="shared" si="6"/>
        <v>1846.0963139999999</v>
      </c>
      <c r="I39" s="79">
        <f t="shared" si="6"/>
        <v>1890.573425</v>
      </c>
    </row>
    <row r="41" spans="1:9" x14ac:dyDescent="0.2">
      <c r="A41" s="40" t="s">
        <v>435</v>
      </c>
    </row>
    <row r="42" spans="1:9" x14ac:dyDescent="0.2">
      <c r="A42" s="40" t="s">
        <v>2815</v>
      </c>
      <c r="C42" s="79">
        <v>338.37884500000001</v>
      </c>
      <c r="D42" s="132">
        <v>545.10327099999995</v>
      </c>
      <c r="E42" s="132">
        <v>568.98852499999998</v>
      </c>
      <c r="F42" s="132">
        <v>618.56951900000001</v>
      </c>
      <c r="G42" s="132">
        <v>679.68762200000003</v>
      </c>
      <c r="H42" s="132">
        <v>722.46673599999997</v>
      </c>
      <c r="I42" s="132">
        <v>754.87329099999999</v>
      </c>
    </row>
    <row r="43" spans="1:9" x14ac:dyDescent="0.2">
      <c r="A43" s="40" t="s">
        <v>2816</v>
      </c>
      <c r="C43" s="79">
        <v>347.20367399999998</v>
      </c>
      <c r="D43" s="132">
        <v>550.77545199999997</v>
      </c>
      <c r="E43" s="132">
        <v>568.21343999999999</v>
      </c>
      <c r="F43" s="132">
        <v>583.02331500000003</v>
      </c>
      <c r="G43" s="132">
        <v>615.19171100000005</v>
      </c>
      <c r="H43" s="132">
        <v>634.02856399999996</v>
      </c>
      <c r="I43" s="132">
        <v>638.83312999999998</v>
      </c>
    </row>
    <row r="44" spans="1:9" x14ac:dyDescent="0.2">
      <c r="A44" s="40" t="s">
        <v>405</v>
      </c>
      <c r="C44" s="79">
        <f t="shared" ref="C44:I44" si="7">SUM(C42:C43)</f>
        <v>685.58251900000005</v>
      </c>
      <c r="D44" s="79">
        <f t="shared" si="7"/>
        <v>1095.8787229999998</v>
      </c>
      <c r="E44" s="79">
        <f t="shared" si="7"/>
        <v>1137.201965</v>
      </c>
      <c r="F44" s="79">
        <f t="shared" si="7"/>
        <v>1201.592834</v>
      </c>
      <c r="G44" s="79">
        <f t="shared" si="7"/>
        <v>1294.8793330000001</v>
      </c>
      <c r="H44" s="79">
        <f t="shared" si="7"/>
        <v>1356.4953</v>
      </c>
      <c r="I44" s="79">
        <f t="shared" si="7"/>
        <v>1393.7064209999999</v>
      </c>
    </row>
    <row r="46" spans="1:9" x14ac:dyDescent="0.2">
      <c r="A46" s="40" t="s">
        <v>436</v>
      </c>
    </row>
    <row r="47" spans="1:9" x14ac:dyDescent="0.2">
      <c r="A47" s="40" t="s">
        <v>2815</v>
      </c>
      <c r="C47" s="79">
        <v>848.00506600000006</v>
      </c>
      <c r="D47" s="132">
        <v>1347.0419919999999</v>
      </c>
      <c r="E47" s="132">
        <v>1374.620361</v>
      </c>
      <c r="F47" s="132">
        <v>1457.644043</v>
      </c>
      <c r="G47" s="132">
        <v>1572.382202</v>
      </c>
      <c r="H47" s="132">
        <v>1644.505981</v>
      </c>
      <c r="I47" s="132">
        <v>1718.4854740000001</v>
      </c>
    </row>
    <row r="48" spans="1:9" x14ac:dyDescent="0.2">
      <c r="A48" s="40" t="s">
        <v>2816</v>
      </c>
      <c r="C48" s="79">
        <v>870.12091099999998</v>
      </c>
      <c r="D48" s="132">
        <v>1162.6876219999999</v>
      </c>
      <c r="E48" s="132">
        <v>1172.5860600000001</v>
      </c>
      <c r="F48" s="132">
        <v>1173.563232</v>
      </c>
      <c r="G48" s="132">
        <v>1215.687134</v>
      </c>
      <c r="H48" s="132">
        <v>1232.801025</v>
      </c>
      <c r="I48" s="132">
        <v>1242.338135</v>
      </c>
    </row>
    <row r="49" spans="1:40" x14ac:dyDescent="0.2">
      <c r="A49" s="40" t="s">
        <v>405</v>
      </c>
      <c r="C49" s="79">
        <f t="shared" ref="C49:I49" si="8">SUM(C47:C48)</f>
        <v>1718.1259770000001</v>
      </c>
      <c r="D49" s="79">
        <f t="shared" si="8"/>
        <v>2509.7296139999999</v>
      </c>
      <c r="E49" s="79">
        <f t="shared" si="8"/>
        <v>2547.2064209999999</v>
      </c>
      <c r="F49" s="79">
        <f t="shared" si="8"/>
        <v>2631.2072749999998</v>
      </c>
      <c r="G49" s="79">
        <f t="shared" si="8"/>
        <v>2788.069336</v>
      </c>
      <c r="H49" s="79">
        <f t="shared" si="8"/>
        <v>2877.307006</v>
      </c>
      <c r="I49" s="79">
        <f t="shared" si="8"/>
        <v>2960.823609</v>
      </c>
    </row>
    <row r="52" spans="1:40" x14ac:dyDescent="0.2">
      <c r="A52" s="40" t="s">
        <v>2817</v>
      </c>
    </row>
    <row r="53" spans="1:40" ht="24.75" customHeight="1" x14ac:dyDescent="0.2">
      <c r="A53" s="40" t="s">
        <v>2818</v>
      </c>
    </row>
    <row r="54" spans="1:40" ht="11.1" customHeight="1" x14ac:dyDescent="0.2"/>
    <row r="55" spans="1:40" ht="11.1" customHeight="1" x14ac:dyDescent="0.2"/>
    <row r="56" spans="1:40" ht="11.1" customHeight="1" x14ac:dyDescent="0.2">
      <c r="B56" s="40" t="s">
        <v>2819</v>
      </c>
      <c r="AN56" s="40" t="s">
        <v>2820</v>
      </c>
    </row>
    <row r="57" spans="1:40" ht="11.1" customHeight="1" x14ac:dyDescent="0.2">
      <c r="B57" s="40" t="s">
        <v>2821</v>
      </c>
      <c r="C57" s="40" t="s">
        <v>2822</v>
      </c>
      <c r="D57" s="40" t="s">
        <v>2823</v>
      </c>
      <c r="E57" s="40" t="s">
        <v>2824</v>
      </c>
      <c r="F57" s="40" t="s">
        <v>2825</v>
      </c>
      <c r="G57" s="40" t="s">
        <v>2826</v>
      </c>
      <c r="H57" s="40">
        <v>2009</v>
      </c>
      <c r="I57" s="40">
        <v>2010</v>
      </c>
      <c r="J57" s="40">
        <v>2011</v>
      </c>
      <c r="K57" s="40">
        <v>2012</v>
      </c>
      <c r="L57" s="40">
        <v>2013</v>
      </c>
      <c r="M57" s="40">
        <v>2014</v>
      </c>
      <c r="N57" s="40">
        <v>2015</v>
      </c>
      <c r="O57" s="40">
        <v>2016</v>
      </c>
      <c r="P57" s="40">
        <v>2017</v>
      </c>
      <c r="Q57" s="40">
        <v>2018</v>
      </c>
      <c r="R57" s="40">
        <v>2019</v>
      </c>
      <c r="S57" s="40">
        <v>2020</v>
      </c>
      <c r="T57" s="40">
        <v>2021</v>
      </c>
      <c r="U57" s="40">
        <v>2022</v>
      </c>
      <c r="V57" s="40">
        <v>2023</v>
      </c>
      <c r="W57" s="40">
        <v>2024</v>
      </c>
      <c r="X57" s="40">
        <v>2025</v>
      </c>
      <c r="Y57" s="40">
        <v>2026</v>
      </c>
      <c r="Z57" s="40">
        <v>2027</v>
      </c>
      <c r="AA57" s="40">
        <v>2028</v>
      </c>
      <c r="AB57" s="40">
        <v>2029</v>
      </c>
      <c r="AC57" s="40">
        <v>2030</v>
      </c>
      <c r="AD57" s="40">
        <v>2031</v>
      </c>
      <c r="AE57" s="40">
        <v>2032</v>
      </c>
      <c r="AF57" s="40">
        <v>2033</v>
      </c>
      <c r="AG57" s="40">
        <v>2034</v>
      </c>
      <c r="AH57" s="40">
        <v>2035</v>
      </c>
      <c r="AI57" s="40">
        <v>2036</v>
      </c>
      <c r="AJ57" s="40">
        <v>2037</v>
      </c>
      <c r="AK57" s="40">
        <v>2038</v>
      </c>
      <c r="AL57" s="40">
        <v>2039</v>
      </c>
      <c r="AM57" s="40">
        <v>2040</v>
      </c>
      <c r="AN57" s="40">
        <v>2035</v>
      </c>
    </row>
    <row r="58" spans="1:40" ht="11.1" customHeight="1" x14ac:dyDescent="0.2">
      <c r="A58" s="40" t="s">
        <v>2721</v>
      </c>
    </row>
    <row r="59" spans="1:40" ht="11.1" customHeight="1" x14ac:dyDescent="0.2">
      <c r="A59" s="40" t="s">
        <v>2722</v>
      </c>
      <c r="B59" s="77">
        <v>0.76104652881622303</v>
      </c>
      <c r="C59" s="77">
        <v>0.76486825942993197</v>
      </c>
      <c r="D59" s="111">
        <v>0.81251209974288896</v>
      </c>
      <c r="E59" s="111">
        <v>0.81351208686828602</v>
      </c>
      <c r="F59" s="77">
        <v>0.81451200000000001</v>
      </c>
      <c r="G59" s="77">
        <v>0.81551200000000001</v>
      </c>
      <c r="H59" s="77">
        <v>0.82599999999999996</v>
      </c>
      <c r="I59" s="77">
        <v>0.81799999999999995</v>
      </c>
      <c r="J59" s="77">
        <v>0.82199999999999995</v>
      </c>
      <c r="K59" s="77">
        <v>0.82299999999999995</v>
      </c>
      <c r="L59" s="77">
        <v>0.82299999999999995</v>
      </c>
      <c r="M59" s="77">
        <v>0.82199999999999995</v>
      </c>
      <c r="N59" s="77">
        <v>0.82199999999999995</v>
      </c>
      <c r="O59" s="77">
        <v>0.82199999999999995</v>
      </c>
      <c r="P59" s="77">
        <v>0.82299999999999995</v>
      </c>
      <c r="Q59" s="77">
        <v>0.82199999999999995</v>
      </c>
      <c r="R59" s="77">
        <v>0.82199999999999995</v>
      </c>
      <c r="S59" s="77">
        <v>0.82199999999999995</v>
      </c>
      <c r="T59" s="77">
        <v>0.82199999999999995</v>
      </c>
      <c r="U59" s="77">
        <v>0.82199999999999995</v>
      </c>
      <c r="V59" s="77">
        <v>0.82199999999999995</v>
      </c>
      <c r="W59" s="77">
        <v>0.82199999999999995</v>
      </c>
      <c r="X59" s="77">
        <v>0.82199999999999995</v>
      </c>
      <c r="Y59" s="77">
        <v>0.82199999999999995</v>
      </c>
      <c r="Z59" s="77">
        <v>0.82199999999999995</v>
      </c>
      <c r="AA59" s="77">
        <v>0.82199999999999995</v>
      </c>
      <c r="AB59" s="77">
        <v>0.82199999999999995</v>
      </c>
      <c r="AC59" s="77">
        <v>0.82199999999999995</v>
      </c>
      <c r="AD59" s="77">
        <v>0.82199999999999995</v>
      </c>
      <c r="AE59" s="77">
        <v>0.82199999999999995</v>
      </c>
      <c r="AF59" s="77">
        <v>0.82199999999999995</v>
      </c>
      <c r="AG59" s="77">
        <v>0.82199999999999995</v>
      </c>
      <c r="AH59" s="77">
        <v>0.82199999999999995</v>
      </c>
      <c r="AN59" s="53">
        <v>0</v>
      </c>
    </row>
    <row r="60" spans="1:40" x14ac:dyDescent="0.2">
      <c r="A60" s="40" t="s">
        <v>2723</v>
      </c>
      <c r="B60" s="77">
        <v>0.82617247104644798</v>
      </c>
      <c r="C60" s="77">
        <v>0.82614004611969005</v>
      </c>
      <c r="D60" s="111">
        <v>0.80299997329711903</v>
      </c>
      <c r="E60" s="111">
        <v>0.80400002002716098</v>
      </c>
      <c r="F60" s="77">
        <v>0.839812</v>
      </c>
      <c r="G60" s="77">
        <v>0.839812</v>
      </c>
      <c r="H60" s="77">
        <v>0.80500000000000005</v>
      </c>
      <c r="I60" s="77">
        <v>0.80600000000000005</v>
      </c>
      <c r="J60" s="77">
        <v>0.80600000000000005</v>
      </c>
      <c r="K60" s="77">
        <v>0.80600000000000005</v>
      </c>
      <c r="L60" s="77">
        <v>0.80600000000000005</v>
      </c>
      <c r="M60" s="77">
        <v>0.80600000000000005</v>
      </c>
      <c r="N60" s="77">
        <v>0.80600000000000005</v>
      </c>
      <c r="O60" s="77">
        <v>0.80600000000000005</v>
      </c>
      <c r="P60" s="77">
        <v>0.80600000000000005</v>
      </c>
      <c r="Q60" s="77">
        <v>0.80600000000000005</v>
      </c>
      <c r="R60" s="77">
        <v>0.80600000000000005</v>
      </c>
      <c r="S60" s="77">
        <v>0.80600000000000005</v>
      </c>
      <c r="T60" s="77">
        <v>0.80600000000000005</v>
      </c>
      <c r="U60" s="77">
        <v>0.80600000000000005</v>
      </c>
      <c r="V60" s="77">
        <v>0.80600000000000005</v>
      </c>
      <c r="W60" s="77">
        <v>0.80600000000000005</v>
      </c>
      <c r="X60" s="77">
        <v>0.80600000000000005</v>
      </c>
      <c r="Y60" s="77">
        <v>0.80600000000000005</v>
      </c>
      <c r="Z60" s="77">
        <v>0.80600000000000005</v>
      </c>
      <c r="AA60" s="77">
        <v>0.80600000000000005</v>
      </c>
      <c r="AB60" s="77">
        <v>0.80600000000000005</v>
      </c>
      <c r="AC60" s="77">
        <v>0.80600000000000005</v>
      </c>
      <c r="AD60" s="77">
        <v>0.80600000000000005</v>
      </c>
      <c r="AE60" s="77">
        <v>0.80600000000000005</v>
      </c>
      <c r="AF60" s="77">
        <v>0.80600000000000005</v>
      </c>
      <c r="AG60" s="77">
        <v>0.80600000000000005</v>
      </c>
      <c r="AH60" s="77">
        <v>0.80600000000000005</v>
      </c>
      <c r="AN60" s="53">
        <v>0</v>
      </c>
    </row>
    <row r="61" spans="1:40" x14ac:dyDescent="0.2">
      <c r="B61" s="77"/>
      <c r="C61" s="77"/>
    </row>
    <row r="62" spans="1:40" x14ac:dyDescent="0.2">
      <c r="A62" s="40" t="s">
        <v>2827</v>
      </c>
      <c r="B62" s="77"/>
      <c r="C62" s="77"/>
    </row>
    <row r="63" spans="1:40" x14ac:dyDescent="0.2">
      <c r="A63" s="40" t="s">
        <v>2828</v>
      </c>
      <c r="B63" s="77"/>
      <c r="C63" s="77"/>
    </row>
    <row r="64" spans="1:40" x14ac:dyDescent="0.2">
      <c r="A64" s="40" t="s">
        <v>2735</v>
      </c>
      <c r="B64" s="77">
        <v>1.53795158863068</v>
      </c>
      <c r="C64" s="77">
        <v>1.5384826660156301</v>
      </c>
      <c r="D64" s="111">
        <v>1.4020198583602901</v>
      </c>
      <c r="E64" s="111">
        <v>1.6670391559600799</v>
      </c>
      <c r="F64" s="77">
        <v>1.144606</v>
      </c>
      <c r="G64" s="77">
        <v>1.25586</v>
      </c>
      <c r="H64" s="77">
        <v>0.97699999999999998</v>
      </c>
      <c r="I64" s="77">
        <v>0.94699999999999995</v>
      </c>
      <c r="J64" s="50">
        <v>1.0878829999999999</v>
      </c>
      <c r="K64" s="50">
        <v>0.89540299999999995</v>
      </c>
      <c r="L64" s="50">
        <v>0.86549699999999996</v>
      </c>
      <c r="M64" s="50">
        <v>0.84560299999999999</v>
      </c>
      <c r="N64" s="50">
        <v>0.840306</v>
      </c>
      <c r="O64" s="50">
        <v>0.859622</v>
      </c>
      <c r="P64" s="50">
        <v>0.88069600000000003</v>
      </c>
      <c r="Q64" s="50">
        <v>0.88712599999999997</v>
      </c>
      <c r="R64" s="50">
        <v>0.88336000000000003</v>
      </c>
      <c r="S64" s="50">
        <v>0.897123</v>
      </c>
      <c r="T64" s="50">
        <v>0.89274399999999998</v>
      </c>
      <c r="U64" s="50">
        <v>0.899393</v>
      </c>
      <c r="V64" s="50">
        <v>0.89231499999999997</v>
      </c>
      <c r="W64" s="50">
        <v>0.89019700000000002</v>
      </c>
      <c r="X64" s="50">
        <v>0.89226300000000003</v>
      </c>
      <c r="Y64" s="50">
        <v>0.89038499999999998</v>
      </c>
      <c r="Z64" s="50">
        <v>0.893988</v>
      </c>
      <c r="AA64" s="50">
        <v>0.88732200000000006</v>
      </c>
      <c r="AB64" s="50">
        <v>0.89173599999999997</v>
      </c>
      <c r="AC64" s="50">
        <v>0.89111700000000005</v>
      </c>
      <c r="AD64" s="50">
        <v>0.89279500000000001</v>
      </c>
      <c r="AE64" s="50">
        <v>0.893536</v>
      </c>
      <c r="AF64" s="50">
        <v>0.89293500000000003</v>
      </c>
      <c r="AG64" s="50">
        <v>0.90084600000000004</v>
      </c>
      <c r="AH64" s="50">
        <v>0.89071599999999995</v>
      </c>
      <c r="AI64" s="50">
        <v>0.89437</v>
      </c>
      <c r="AJ64" s="50">
        <v>0.89439500000000005</v>
      </c>
      <c r="AK64" s="50">
        <v>0.89300500000000005</v>
      </c>
      <c r="AL64" s="50">
        <v>0.897899</v>
      </c>
      <c r="AM64" s="50">
        <v>0.89879299999999995</v>
      </c>
    </row>
    <row r="65" spans="1:39" x14ac:dyDescent="0.2">
      <c r="A65" s="40" t="s">
        <v>2737</v>
      </c>
      <c r="B65" s="77">
        <v>8.9449119567871094</v>
      </c>
      <c r="C65" s="77">
        <v>8.9369726181030291</v>
      </c>
      <c r="D65" s="111">
        <v>8.8846549987793004</v>
      </c>
      <c r="E65" s="111">
        <v>10.9211692810059</v>
      </c>
      <c r="F65" s="77">
        <v>12.614136999999999</v>
      </c>
      <c r="G65" s="77">
        <v>13.970063</v>
      </c>
      <c r="H65" s="77">
        <v>16.754000000000001</v>
      </c>
      <c r="I65" s="77">
        <v>16.309999999999999</v>
      </c>
      <c r="J65" s="50">
        <v>14.109799000000001</v>
      </c>
      <c r="K65" s="50">
        <v>11.845791999999999</v>
      </c>
      <c r="L65" s="50">
        <v>11.464204000000001</v>
      </c>
      <c r="M65" s="50">
        <v>11.185102000000001</v>
      </c>
      <c r="N65" s="50">
        <v>11.122757</v>
      </c>
      <c r="O65" s="50">
        <v>11.386828</v>
      </c>
      <c r="P65" s="50">
        <v>11.586537</v>
      </c>
      <c r="Q65" s="50">
        <v>11.651964</v>
      </c>
      <c r="R65" s="50">
        <v>11.687465</v>
      </c>
      <c r="S65" s="50">
        <v>11.986008999999999</v>
      </c>
      <c r="T65" s="50">
        <v>12.000964</v>
      </c>
      <c r="U65" s="50">
        <v>12.050084</v>
      </c>
      <c r="V65" s="50">
        <v>11.9063</v>
      </c>
      <c r="W65" s="50">
        <v>11.834809999999999</v>
      </c>
      <c r="X65" s="50">
        <v>11.893404</v>
      </c>
      <c r="Y65" s="50">
        <v>11.769761000000001</v>
      </c>
      <c r="Z65" s="50">
        <v>11.83755</v>
      </c>
      <c r="AA65" s="50">
        <v>11.75981</v>
      </c>
      <c r="AB65" s="50">
        <v>11.809575000000001</v>
      </c>
      <c r="AC65" s="50">
        <v>11.801681</v>
      </c>
      <c r="AD65" s="50">
        <v>11.823321999999999</v>
      </c>
      <c r="AE65" s="50">
        <v>11.832597</v>
      </c>
      <c r="AF65" s="50">
        <v>11.825073</v>
      </c>
      <c r="AG65" s="50">
        <v>11.925896</v>
      </c>
      <c r="AH65" s="50">
        <v>11.796713</v>
      </c>
      <c r="AI65" s="50">
        <v>11.843353</v>
      </c>
      <c r="AJ65" s="50">
        <v>11.843659000000001</v>
      </c>
      <c r="AK65" s="50">
        <v>11.826069</v>
      </c>
      <c r="AL65" s="50">
        <v>11.888738</v>
      </c>
      <c r="AM65" s="50">
        <v>11.900123000000001</v>
      </c>
    </row>
    <row r="66" spans="1:39" x14ac:dyDescent="0.2">
      <c r="A66" s="40" t="s">
        <v>2739</v>
      </c>
      <c r="B66" s="77">
        <v>42.578945159912102</v>
      </c>
      <c r="C66" s="77">
        <v>42.637153625488303</v>
      </c>
      <c r="D66" s="111">
        <v>32.3477783203125</v>
      </c>
      <c r="E66" s="111">
        <v>25.492444992065401</v>
      </c>
      <c r="F66" s="77">
        <v>29.239419999999999</v>
      </c>
      <c r="G66" s="77">
        <v>31.410181000000001</v>
      </c>
      <c r="H66" s="77">
        <v>22.882000000000001</v>
      </c>
      <c r="I66" s="77">
        <v>22.585000000000001</v>
      </c>
      <c r="J66" s="50">
        <v>40.274849000000003</v>
      </c>
      <c r="K66" s="50">
        <v>36.891441</v>
      </c>
      <c r="L66" s="50">
        <v>36.132328000000001</v>
      </c>
      <c r="M66" s="50">
        <v>35.795901999999998</v>
      </c>
      <c r="N66" s="50">
        <v>35.638793999999997</v>
      </c>
      <c r="O66" s="50">
        <v>36.153561000000003</v>
      </c>
      <c r="P66" s="50">
        <v>36.517845000000001</v>
      </c>
      <c r="Q66" s="50">
        <v>36.679881999999999</v>
      </c>
      <c r="R66" s="50">
        <v>36.773090000000003</v>
      </c>
      <c r="S66" s="50">
        <v>36.708846999999999</v>
      </c>
      <c r="T66" s="50">
        <v>36.932808000000001</v>
      </c>
      <c r="U66" s="50">
        <v>36.968139999999998</v>
      </c>
      <c r="V66" s="50">
        <v>36.896675000000002</v>
      </c>
      <c r="W66" s="50">
        <v>36.930481</v>
      </c>
      <c r="X66" s="50">
        <v>36.746208000000003</v>
      </c>
      <c r="Y66" s="50">
        <v>36.848106000000001</v>
      </c>
      <c r="Z66" s="50">
        <v>36.914101000000002</v>
      </c>
      <c r="AA66" s="50">
        <v>36.732784000000002</v>
      </c>
      <c r="AB66" s="50">
        <v>36.859031999999999</v>
      </c>
      <c r="AC66" s="50">
        <v>36.850760999999999</v>
      </c>
      <c r="AD66" s="50">
        <v>36.877693000000001</v>
      </c>
      <c r="AE66" s="50">
        <v>36.892059000000003</v>
      </c>
      <c r="AF66" s="50">
        <v>36.876140999999997</v>
      </c>
      <c r="AG66" s="50">
        <v>37.061508000000003</v>
      </c>
      <c r="AH66" s="50">
        <v>36.828555999999999</v>
      </c>
      <c r="AI66" s="50">
        <v>36.91375</v>
      </c>
      <c r="AJ66" s="50">
        <v>36.914375</v>
      </c>
      <c r="AK66" s="50">
        <v>36.879874999999998</v>
      </c>
      <c r="AL66" s="50">
        <v>36.988563999999997</v>
      </c>
      <c r="AM66" s="50">
        <v>37.008484000000003</v>
      </c>
    </row>
    <row r="67" spans="1:39" x14ac:dyDescent="0.2">
      <c r="A67" s="40" t="s">
        <v>2741</v>
      </c>
      <c r="B67" s="77">
        <v>32.437778472900398</v>
      </c>
      <c r="C67" s="77">
        <v>32.3736763000488</v>
      </c>
      <c r="D67" s="111">
        <v>39.108551025390597</v>
      </c>
      <c r="E67" s="111">
        <v>38.015666961669901</v>
      </c>
      <c r="F67" s="77">
        <v>38.380279999999999</v>
      </c>
      <c r="G67" s="77">
        <v>36.502327000000001</v>
      </c>
      <c r="H67" s="77">
        <v>40.287999999999997</v>
      </c>
      <c r="I67" s="77">
        <v>40.521000000000001</v>
      </c>
      <c r="J67" s="50">
        <v>35.904223999999999</v>
      </c>
      <c r="K67" s="50">
        <v>39.911223999999997</v>
      </c>
      <c r="L67" s="50">
        <v>40.717136000000004</v>
      </c>
      <c r="M67" s="50">
        <v>41.117587999999998</v>
      </c>
      <c r="N67" s="50">
        <v>41.278956999999998</v>
      </c>
      <c r="O67" s="50">
        <v>40.725043999999997</v>
      </c>
      <c r="P67" s="50">
        <v>40.411518000000001</v>
      </c>
      <c r="Q67" s="50">
        <v>40.226177</v>
      </c>
      <c r="R67" s="50">
        <v>40.340606999999999</v>
      </c>
      <c r="S67" s="50">
        <v>40.129764999999999</v>
      </c>
      <c r="T67" s="50">
        <v>39.827086999999999</v>
      </c>
      <c r="U67" s="50">
        <v>39.743580000000001</v>
      </c>
      <c r="V67" s="50">
        <v>39.962153999999998</v>
      </c>
      <c r="W67" s="50">
        <v>39.944794000000002</v>
      </c>
      <c r="X67" s="50">
        <v>40.098289000000001</v>
      </c>
      <c r="Y67" s="50">
        <v>39.9953</v>
      </c>
      <c r="Z67" s="50">
        <v>39.879432999999999</v>
      </c>
      <c r="AA67" s="50">
        <v>40.065936999999998</v>
      </c>
      <c r="AB67" s="50">
        <v>39.937828000000003</v>
      </c>
      <c r="AC67" s="50">
        <v>39.947780999999999</v>
      </c>
      <c r="AD67" s="50">
        <v>39.916533999999999</v>
      </c>
      <c r="AE67" s="50">
        <v>39.900333000000003</v>
      </c>
      <c r="AF67" s="50">
        <v>39.917358</v>
      </c>
      <c r="AG67" s="50">
        <v>39.715015000000001</v>
      </c>
      <c r="AH67" s="50">
        <v>39.970100000000002</v>
      </c>
      <c r="AI67" s="50">
        <v>39.877121000000002</v>
      </c>
      <c r="AJ67" s="50">
        <v>39.876427</v>
      </c>
      <c r="AK67" s="50">
        <v>39.913708</v>
      </c>
      <c r="AL67" s="50">
        <v>39.794120999999997</v>
      </c>
      <c r="AM67" s="50">
        <v>39.772258999999998</v>
      </c>
    </row>
    <row r="68" spans="1:39" x14ac:dyDescent="0.2">
      <c r="A68" s="40" t="s">
        <v>2743</v>
      </c>
      <c r="B68" s="77">
        <v>12.9644556045532</v>
      </c>
      <c r="C68" s="77">
        <v>12.9780883789063</v>
      </c>
      <c r="D68" s="111">
        <v>16.125307083129901</v>
      </c>
      <c r="E68" s="111">
        <v>21.590105056762699</v>
      </c>
      <c r="F68" s="77">
        <v>16.683857</v>
      </c>
      <c r="G68" s="77">
        <v>14.954297</v>
      </c>
      <c r="H68" s="77">
        <v>16.616</v>
      </c>
      <c r="I68" s="77">
        <v>17.148</v>
      </c>
      <c r="J68" s="50">
        <v>8.0654129999999995</v>
      </c>
      <c r="K68" s="50">
        <v>9.8806740000000008</v>
      </c>
      <c r="L68" s="50">
        <v>10.242654</v>
      </c>
      <c r="M68" s="50">
        <v>10.475239999999999</v>
      </c>
      <c r="N68" s="50">
        <v>10.538175000000001</v>
      </c>
      <c r="O68" s="50">
        <v>10.296824000000001</v>
      </c>
      <c r="P68" s="50">
        <v>10.019431000000001</v>
      </c>
      <c r="Q68" s="50">
        <v>9.9775770000000001</v>
      </c>
      <c r="R68" s="50">
        <v>9.7377719999999997</v>
      </c>
      <c r="S68" s="50">
        <v>9.6987450000000006</v>
      </c>
      <c r="T68" s="50">
        <v>9.7702120000000008</v>
      </c>
      <c r="U68" s="50">
        <v>9.7618939999999998</v>
      </c>
      <c r="V68" s="50">
        <v>9.767728</v>
      </c>
      <c r="W68" s="50">
        <v>9.8240829999999999</v>
      </c>
      <c r="X68" s="50">
        <v>9.7935130000000008</v>
      </c>
      <c r="Y68" s="50">
        <v>9.920973</v>
      </c>
      <c r="Z68" s="50">
        <v>9.9000710000000005</v>
      </c>
      <c r="AA68" s="50">
        <v>9.9785889999999995</v>
      </c>
      <c r="AB68" s="50">
        <v>9.9268839999999994</v>
      </c>
      <c r="AC68" s="50">
        <v>9.9336950000000002</v>
      </c>
      <c r="AD68" s="50">
        <v>9.9147949999999998</v>
      </c>
      <c r="AE68" s="50">
        <v>9.9066810000000007</v>
      </c>
      <c r="AF68" s="50">
        <v>9.9136360000000003</v>
      </c>
      <c r="AG68" s="50">
        <v>9.8226669999999991</v>
      </c>
      <c r="AH68" s="50">
        <v>9.9388620000000003</v>
      </c>
      <c r="AI68" s="50">
        <v>9.896706</v>
      </c>
      <c r="AJ68" s="50">
        <v>9.8964409999999994</v>
      </c>
      <c r="AK68" s="50">
        <v>9.9125040000000002</v>
      </c>
      <c r="AL68" s="50">
        <v>9.8562960000000004</v>
      </c>
      <c r="AM68" s="50">
        <v>9.8460400000000003</v>
      </c>
    </row>
    <row r="69" spans="1:39" x14ac:dyDescent="0.2">
      <c r="A69" s="40" t="s">
        <v>2745</v>
      </c>
      <c r="B69" s="77">
        <v>1.53596651554108</v>
      </c>
      <c r="C69" s="77">
        <v>1.53562891483307</v>
      </c>
      <c r="D69" s="111">
        <v>2.1316993236541699</v>
      </c>
      <c r="E69" s="111">
        <v>2.3135840892791699</v>
      </c>
      <c r="F69" s="77">
        <v>1.9376979999999999</v>
      </c>
      <c r="G69" s="77">
        <v>1.9072709999999999</v>
      </c>
      <c r="H69" s="77">
        <v>2.4830000000000001</v>
      </c>
      <c r="I69" s="77">
        <v>2.4889999999999999</v>
      </c>
      <c r="J69" s="50">
        <v>0.55783099999999997</v>
      </c>
      <c r="K69" s="50">
        <v>0.57547499999999996</v>
      </c>
      <c r="L69" s="50">
        <v>0.57819399999999999</v>
      </c>
      <c r="M69" s="50">
        <v>0.58055900000000005</v>
      </c>
      <c r="N69" s="50">
        <v>0.58101400000000003</v>
      </c>
      <c r="O69" s="50">
        <v>0.57810899999999998</v>
      </c>
      <c r="P69" s="50">
        <v>0.58396800000000004</v>
      </c>
      <c r="Q69" s="50">
        <v>0.577264</v>
      </c>
      <c r="R69" s="50">
        <v>0.57769899999999996</v>
      </c>
      <c r="S69" s="50">
        <v>0.57952199999999998</v>
      </c>
      <c r="T69" s="50">
        <v>0.57618000000000003</v>
      </c>
      <c r="U69" s="50">
        <v>0.57692399999999999</v>
      </c>
      <c r="V69" s="50">
        <v>0.57483099999999998</v>
      </c>
      <c r="W69" s="50">
        <v>0.57563699999999995</v>
      </c>
      <c r="X69" s="50">
        <v>0.57633500000000004</v>
      </c>
      <c r="Y69" s="50">
        <v>0.57547400000000004</v>
      </c>
      <c r="Z69" s="50">
        <v>0.57484400000000002</v>
      </c>
      <c r="AA69" s="50">
        <v>0.57556600000000002</v>
      </c>
      <c r="AB69" s="50">
        <v>0.57494400000000001</v>
      </c>
      <c r="AC69" s="50">
        <v>0.57496199999999997</v>
      </c>
      <c r="AD69" s="50">
        <v>0.57485600000000003</v>
      </c>
      <c r="AE69" s="50">
        <v>0.574793</v>
      </c>
      <c r="AF69" s="50">
        <v>0.57486099999999996</v>
      </c>
      <c r="AG69" s="50">
        <v>0.57406699999999999</v>
      </c>
      <c r="AH69" s="50">
        <v>0.57505700000000004</v>
      </c>
      <c r="AI69" s="50">
        <v>0.57469599999999998</v>
      </c>
      <c r="AJ69" s="50">
        <v>0.57469099999999995</v>
      </c>
      <c r="AK69" s="50">
        <v>0.57484000000000002</v>
      </c>
      <c r="AL69" s="50">
        <v>0.57438299999999998</v>
      </c>
      <c r="AM69" s="50">
        <v>0.57429699999999995</v>
      </c>
    </row>
    <row r="70" spans="1:39" x14ac:dyDescent="0.2">
      <c r="B70" s="77"/>
      <c r="C70" s="77"/>
    </row>
    <row r="71" spans="1:39" x14ac:dyDescent="0.2">
      <c r="A71" s="40" t="s">
        <v>2725</v>
      </c>
      <c r="B71" s="77"/>
      <c r="C71" s="77"/>
    </row>
    <row r="72" spans="1:39" x14ac:dyDescent="0.2">
      <c r="A72" s="40" t="s">
        <v>2726</v>
      </c>
      <c r="B72" s="77">
        <v>5.3918333053588903</v>
      </c>
      <c r="C72" s="77">
        <v>5.3580203056335396</v>
      </c>
      <c r="D72" s="111">
        <v>6.9158563613891602</v>
      </c>
      <c r="E72" s="111">
        <v>7.9047350883483896</v>
      </c>
      <c r="F72" s="77">
        <v>5.0993389999999996</v>
      </c>
      <c r="G72" s="77">
        <v>4.6621069999999998</v>
      </c>
      <c r="H72" s="77">
        <v>4.8390000000000004</v>
      </c>
      <c r="I72" s="77">
        <v>4.9320000000000004</v>
      </c>
      <c r="J72" s="50">
        <v>3.6048460000000002</v>
      </c>
      <c r="K72" s="50">
        <v>4.2485670000000004</v>
      </c>
      <c r="L72" s="50">
        <v>4.3892709999999999</v>
      </c>
      <c r="M72" s="50">
        <v>4.4328760000000003</v>
      </c>
      <c r="N72" s="50">
        <v>4.460788</v>
      </c>
      <c r="O72" s="50">
        <v>4.3721490000000003</v>
      </c>
      <c r="P72" s="50">
        <v>4.3029539999999997</v>
      </c>
      <c r="Q72" s="50">
        <v>4.2538809999999998</v>
      </c>
      <c r="R72" s="50">
        <v>4.0862350000000003</v>
      </c>
      <c r="S72" s="50">
        <v>4.2110669999999999</v>
      </c>
      <c r="T72" s="50">
        <v>4.1814980000000004</v>
      </c>
      <c r="U72" s="50">
        <v>4.1923450000000004</v>
      </c>
      <c r="V72" s="50">
        <v>4.1917559999999998</v>
      </c>
      <c r="W72" s="50">
        <v>4.162261</v>
      </c>
      <c r="X72" s="50">
        <v>4.1915930000000001</v>
      </c>
      <c r="Y72" s="50">
        <v>4.2745649999999999</v>
      </c>
      <c r="Z72" s="50">
        <v>4.256589</v>
      </c>
      <c r="AA72" s="50">
        <v>4.2860709999999997</v>
      </c>
      <c r="AB72" s="50">
        <v>4.2671429999999999</v>
      </c>
      <c r="AC72" s="50">
        <v>4.2697520000000004</v>
      </c>
      <c r="AD72" s="50">
        <v>4.2646790000000001</v>
      </c>
      <c r="AE72" s="50">
        <v>4.2621640000000003</v>
      </c>
      <c r="AF72" s="50">
        <v>4.2653239999999997</v>
      </c>
      <c r="AG72" s="50">
        <v>4.2325840000000001</v>
      </c>
      <c r="AH72" s="50">
        <v>4.2734629999999996</v>
      </c>
      <c r="AI72" s="50">
        <v>4.25814</v>
      </c>
      <c r="AJ72" s="50">
        <v>4.2579549999999999</v>
      </c>
      <c r="AK72" s="50">
        <v>4.2638639999999999</v>
      </c>
      <c r="AL72" s="50">
        <v>4.2442539999999997</v>
      </c>
      <c r="AM72" s="50">
        <v>4.2406759999999997</v>
      </c>
    </row>
    <row r="73" spans="1:39" x14ac:dyDescent="0.2">
      <c r="A73" s="40" t="s">
        <v>2727</v>
      </c>
      <c r="B73" s="77">
        <v>25.1252746582031</v>
      </c>
      <c r="C73" s="77">
        <v>25.016769409179702</v>
      </c>
      <c r="D73" s="111">
        <v>20.160903930664102</v>
      </c>
      <c r="E73" s="111">
        <v>19.600692749023398</v>
      </c>
      <c r="F73" s="77">
        <v>21.81842</v>
      </c>
      <c r="G73" s="77">
        <v>21.892315</v>
      </c>
      <c r="H73" s="77">
        <v>21.51</v>
      </c>
      <c r="I73" s="77">
        <v>21.21</v>
      </c>
      <c r="J73" s="50">
        <v>23.444595</v>
      </c>
      <c r="K73" s="50">
        <v>23.09104</v>
      </c>
      <c r="L73" s="50">
        <v>23.057987000000001</v>
      </c>
      <c r="M73" s="50">
        <v>22.884733000000001</v>
      </c>
      <c r="N73" s="50">
        <v>22.883139</v>
      </c>
      <c r="O73" s="50">
        <v>22.936920000000001</v>
      </c>
      <c r="P73" s="50">
        <v>22.932977999999999</v>
      </c>
      <c r="Q73" s="50">
        <v>22.986467000000001</v>
      </c>
      <c r="R73" s="50">
        <v>22.853688999999999</v>
      </c>
      <c r="S73" s="50">
        <v>23.021592999999999</v>
      </c>
      <c r="T73" s="50">
        <v>23.024227</v>
      </c>
      <c r="U73" s="50">
        <v>23.015781</v>
      </c>
      <c r="V73" s="50">
        <v>22.989763</v>
      </c>
      <c r="W73" s="50">
        <v>22.865061000000001</v>
      </c>
      <c r="X73" s="50">
        <v>22.790253</v>
      </c>
      <c r="Y73" s="50">
        <v>23.060188</v>
      </c>
      <c r="Z73" s="50">
        <v>23.068247</v>
      </c>
      <c r="AA73" s="50">
        <v>23.055188999999999</v>
      </c>
      <c r="AB73" s="50">
        <v>23.065849</v>
      </c>
      <c r="AC73" s="50">
        <v>23.060787000000001</v>
      </c>
      <c r="AD73" s="50">
        <v>23.071327</v>
      </c>
      <c r="AE73" s="50">
        <v>23.073626999999998</v>
      </c>
      <c r="AF73" s="50">
        <v>23.072776999999999</v>
      </c>
      <c r="AG73" s="50">
        <v>23.088659</v>
      </c>
      <c r="AH73" s="50">
        <v>23.066255999999999</v>
      </c>
      <c r="AI73" s="50">
        <v>23.074064</v>
      </c>
      <c r="AJ73" s="50">
        <v>23.07395</v>
      </c>
      <c r="AK73" s="50">
        <v>23.072702</v>
      </c>
      <c r="AL73" s="50">
        <v>23.086766999999998</v>
      </c>
      <c r="AM73" s="50">
        <v>23.089167</v>
      </c>
    </row>
    <row r="74" spans="1:39" x14ac:dyDescent="0.2">
      <c r="A74" s="40" t="s">
        <v>2728</v>
      </c>
      <c r="B74" s="77">
        <v>5.1845173835754403</v>
      </c>
      <c r="C74" s="77">
        <v>5.20296382904053</v>
      </c>
      <c r="D74" s="111">
        <v>7.7201819419860804</v>
      </c>
      <c r="E74" s="111">
        <v>6.2634005546569798</v>
      </c>
      <c r="F74" s="77">
        <v>3.2235130000000001</v>
      </c>
      <c r="G74" s="77">
        <v>3.5275310000000002</v>
      </c>
      <c r="H74" s="77">
        <v>1.663</v>
      </c>
      <c r="I74" s="77">
        <v>1.6439999999999999</v>
      </c>
      <c r="J74" s="50">
        <v>1.217973</v>
      </c>
      <c r="K74" s="50">
        <v>0.99443700000000002</v>
      </c>
      <c r="L74" s="50">
        <v>0.95621999999999996</v>
      </c>
      <c r="M74" s="50">
        <v>0.93628500000000003</v>
      </c>
      <c r="N74" s="50">
        <v>0.92930000000000001</v>
      </c>
      <c r="O74" s="50">
        <v>0.95050400000000002</v>
      </c>
      <c r="P74" s="50">
        <v>0.97232099999999999</v>
      </c>
      <c r="Q74" s="50">
        <v>0.97519599999999995</v>
      </c>
      <c r="R74" s="50">
        <v>0.94765600000000005</v>
      </c>
      <c r="S74" s="50">
        <v>0.98273699999999997</v>
      </c>
      <c r="T74" s="50">
        <v>0.97696400000000005</v>
      </c>
      <c r="U74" s="50">
        <v>0.97642399999999996</v>
      </c>
      <c r="V74" s="50">
        <v>0.97634399999999999</v>
      </c>
      <c r="W74" s="50">
        <v>0.92556400000000005</v>
      </c>
      <c r="X74" s="50">
        <v>0.95511199999999996</v>
      </c>
      <c r="Y74" s="50">
        <v>0.99331599999999998</v>
      </c>
      <c r="Z74" s="50">
        <v>0.996807</v>
      </c>
      <c r="AA74" s="50">
        <v>0.98958100000000004</v>
      </c>
      <c r="AB74" s="50">
        <v>0.99438000000000004</v>
      </c>
      <c r="AC74" s="50">
        <v>0.99412599999999995</v>
      </c>
      <c r="AD74" s="50">
        <v>0.99568999999999996</v>
      </c>
      <c r="AE74" s="50">
        <v>0.99647600000000003</v>
      </c>
      <c r="AF74" s="50">
        <v>0.99571100000000001</v>
      </c>
      <c r="AG74" s="50">
        <v>1.0059720000000001</v>
      </c>
      <c r="AH74" s="50">
        <v>0.99325300000000005</v>
      </c>
      <c r="AI74" s="50">
        <v>0.99783999999999995</v>
      </c>
      <c r="AJ74" s="50">
        <v>0.99785699999999999</v>
      </c>
      <c r="AK74" s="50">
        <v>0.99597400000000003</v>
      </c>
      <c r="AL74" s="50">
        <v>1.0017780000000001</v>
      </c>
      <c r="AM74" s="50">
        <v>1.002839</v>
      </c>
    </row>
    <row r="75" spans="1:39" x14ac:dyDescent="0.2">
      <c r="A75" s="40" t="s">
        <v>2729</v>
      </c>
      <c r="B75" s="77">
        <v>11.4150228500366</v>
      </c>
      <c r="C75" s="77">
        <v>11.3330020904541</v>
      </c>
      <c r="D75" s="111">
        <v>9.3351926803588903</v>
      </c>
      <c r="E75" s="111">
        <v>8.8362913131713903</v>
      </c>
      <c r="F75" s="77">
        <v>7.673578</v>
      </c>
      <c r="G75" s="77">
        <v>7.6489339999999997</v>
      </c>
      <c r="H75" s="77">
        <v>9.6690000000000005</v>
      </c>
      <c r="I75" s="77">
        <v>9.6029999999999998</v>
      </c>
      <c r="J75" s="50">
        <v>8.8247280000000003</v>
      </c>
      <c r="K75" s="50">
        <v>8.7163310000000003</v>
      </c>
      <c r="L75" s="50">
        <v>8.7119479999999996</v>
      </c>
      <c r="M75" s="50">
        <v>8.6331340000000001</v>
      </c>
      <c r="N75" s="50">
        <v>8.6357879999999998</v>
      </c>
      <c r="O75" s="50">
        <v>8.6382469999999998</v>
      </c>
      <c r="P75" s="50">
        <v>8.6604390000000002</v>
      </c>
      <c r="Q75" s="50">
        <v>8.6543240000000008</v>
      </c>
      <c r="R75" s="50">
        <v>8.5081530000000001</v>
      </c>
      <c r="S75" s="50">
        <v>8.6675620000000002</v>
      </c>
      <c r="T75" s="50">
        <v>8.655837</v>
      </c>
      <c r="U75" s="50">
        <v>8.6587139999999998</v>
      </c>
      <c r="V75" s="50">
        <v>8.6573930000000008</v>
      </c>
      <c r="W75" s="50">
        <v>8.5466479999999994</v>
      </c>
      <c r="X75" s="50">
        <v>8.5669880000000003</v>
      </c>
      <c r="Y75" s="50">
        <v>8.6900010000000005</v>
      </c>
      <c r="Z75" s="50">
        <v>8.7104850000000003</v>
      </c>
      <c r="AA75" s="50">
        <v>8.7103269999999995</v>
      </c>
      <c r="AB75" s="50">
        <v>8.712828</v>
      </c>
      <c r="AC75" s="50">
        <v>8.7110500000000002</v>
      </c>
      <c r="AD75" s="50">
        <v>8.7147299999999994</v>
      </c>
      <c r="AE75" s="50">
        <v>8.7157499999999999</v>
      </c>
      <c r="AF75" s="50">
        <v>8.7158049999999996</v>
      </c>
      <c r="AG75" s="50">
        <v>8.7204300000000003</v>
      </c>
      <c r="AH75" s="50">
        <v>8.7131050000000005</v>
      </c>
      <c r="AI75" s="50">
        <v>8.7161349999999995</v>
      </c>
      <c r="AJ75" s="50">
        <v>8.7163690000000003</v>
      </c>
      <c r="AK75" s="50">
        <v>8.7152399999999997</v>
      </c>
      <c r="AL75" s="50">
        <v>8.7196259999999999</v>
      </c>
      <c r="AM75" s="50">
        <v>8.720459</v>
      </c>
    </row>
    <row r="76" spans="1:39" x14ac:dyDescent="0.2">
      <c r="A76" s="40" t="s">
        <v>2730</v>
      </c>
      <c r="B76" s="77">
        <v>28.633796691894499</v>
      </c>
      <c r="C76" s="77">
        <v>28.727943420410199</v>
      </c>
      <c r="D76" s="111">
        <v>27.205768585205099</v>
      </c>
      <c r="E76" s="111">
        <v>28.400814056396499</v>
      </c>
      <c r="F76" s="77">
        <v>33.798541999999998</v>
      </c>
      <c r="G76" s="77">
        <v>33.603259999999999</v>
      </c>
      <c r="H76" s="77">
        <v>34.164000000000001</v>
      </c>
      <c r="I76" s="77">
        <v>34.340000000000003</v>
      </c>
      <c r="J76" s="50">
        <v>39.261218999999997</v>
      </c>
      <c r="K76" s="50">
        <v>39.639282000000001</v>
      </c>
      <c r="L76" s="50">
        <v>39.662253999999997</v>
      </c>
      <c r="M76" s="50">
        <v>39.840564999999998</v>
      </c>
      <c r="N76" s="50">
        <v>39.833416</v>
      </c>
      <c r="O76" s="50">
        <v>39.798457999999997</v>
      </c>
      <c r="P76" s="50">
        <v>39.784064999999998</v>
      </c>
      <c r="Q76" s="50">
        <v>39.780406999999997</v>
      </c>
      <c r="R76" s="50">
        <v>40.130692000000003</v>
      </c>
      <c r="S76" s="50">
        <v>39.740169999999999</v>
      </c>
      <c r="T76" s="50">
        <v>39.771866000000003</v>
      </c>
      <c r="U76" s="50">
        <v>39.773186000000003</v>
      </c>
      <c r="V76" s="50">
        <v>39.787300000000002</v>
      </c>
      <c r="W76" s="50">
        <v>40.019581000000002</v>
      </c>
      <c r="X76" s="50">
        <v>39.966141</v>
      </c>
      <c r="Y76" s="50">
        <v>39.668308000000003</v>
      </c>
      <c r="Z76" s="50">
        <v>39.636004999999997</v>
      </c>
      <c r="AA76" s="50">
        <v>39.642803000000001</v>
      </c>
      <c r="AB76" s="50">
        <v>39.637238000000004</v>
      </c>
      <c r="AC76" s="50">
        <v>39.640647999999999</v>
      </c>
      <c r="AD76" s="50">
        <v>39.632736000000001</v>
      </c>
      <c r="AE76" s="50">
        <v>39.630966000000001</v>
      </c>
      <c r="AF76" s="50">
        <v>39.631701999999997</v>
      </c>
      <c r="AG76" s="50">
        <v>39.615836999999999</v>
      </c>
      <c r="AH76" s="50">
        <v>39.637816999999998</v>
      </c>
      <c r="AI76" s="50">
        <v>39.630161000000001</v>
      </c>
      <c r="AJ76" s="50">
        <v>39.630276000000002</v>
      </c>
      <c r="AK76" s="50">
        <v>39.632522999999999</v>
      </c>
      <c r="AL76" s="50">
        <v>39.619929999999997</v>
      </c>
      <c r="AM76" s="50">
        <v>39.617668000000002</v>
      </c>
    </row>
    <row r="77" spans="1:39" x14ac:dyDescent="0.2">
      <c r="A77" s="40" t="s">
        <v>2731</v>
      </c>
      <c r="B77" s="77">
        <v>24.249555587768601</v>
      </c>
      <c r="C77" s="77">
        <v>24.361301422119102</v>
      </c>
      <c r="D77" s="111">
        <v>28.662105560302699</v>
      </c>
      <c r="E77" s="111">
        <v>28.994066238403299</v>
      </c>
      <c r="F77" s="77">
        <v>28.386603999999998</v>
      </c>
      <c r="G77" s="77">
        <v>28.665855000000001</v>
      </c>
      <c r="H77" s="77">
        <v>28.155999999999999</v>
      </c>
      <c r="I77" s="77">
        <v>28.271999999999998</v>
      </c>
      <c r="J77" s="50">
        <v>23.646639</v>
      </c>
      <c r="K77" s="50">
        <v>23.310345000000002</v>
      </c>
      <c r="L77" s="50">
        <v>23.222325999999999</v>
      </c>
      <c r="M77" s="50">
        <v>23.272406</v>
      </c>
      <c r="N77" s="50">
        <v>23.257566000000001</v>
      </c>
      <c r="O77" s="50">
        <v>23.303709000000001</v>
      </c>
      <c r="P77" s="50">
        <v>23.347238999999998</v>
      </c>
      <c r="Q77" s="50">
        <v>23.349713999999999</v>
      </c>
      <c r="R77" s="50">
        <v>23.473579000000001</v>
      </c>
      <c r="S77" s="50">
        <v>23.376888000000001</v>
      </c>
      <c r="T77" s="50">
        <v>23.389614000000002</v>
      </c>
      <c r="U77" s="50">
        <v>23.383545000000002</v>
      </c>
      <c r="V77" s="50">
        <v>23.397435999999999</v>
      </c>
      <c r="W77" s="50">
        <v>23.480882999999999</v>
      </c>
      <c r="X77" s="50">
        <v>23.529921999999999</v>
      </c>
      <c r="Y77" s="50">
        <v>23.313614000000001</v>
      </c>
      <c r="Z77" s="50">
        <v>23.331883999999999</v>
      </c>
      <c r="AA77" s="50">
        <v>23.316016999999999</v>
      </c>
      <c r="AB77" s="50">
        <v>23.322557</v>
      </c>
      <c r="AC77" s="50">
        <v>23.323626999999998</v>
      </c>
      <c r="AD77" s="50">
        <v>23.320847000000001</v>
      </c>
      <c r="AE77" s="50">
        <v>23.321024000000001</v>
      </c>
      <c r="AF77" s="50">
        <v>23.318676</v>
      </c>
      <c r="AG77" s="50">
        <v>23.336514999999999</v>
      </c>
      <c r="AH77" s="50">
        <v>23.316099000000001</v>
      </c>
      <c r="AI77" s="50">
        <v>23.323658000000002</v>
      </c>
      <c r="AJ77" s="50">
        <v>23.323596999999999</v>
      </c>
      <c r="AK77" s="50">
        <v>23.319704000000002</v>
      </c>
      <c r="AL77" s="50">
        <v>23.327648</v>
      </c>
      <c r="AM77" s="50">
        <v>23.329201000000001</v>
      </c>
    </row>
    <row r="79" spans="1:39" x14ac:dyDescent="0.2">
      <c r="A79" s="40" t="s">
        <v>2829</v>
      </c>
    </row>
    <row r="80" spans="1:39" x14ac:dyDescent="0.2">
      <c r="A80" s="40" t="s">
        <v>2830</v>
      </c>
    </row>
    <row r="81" spans="1:34" x14ac:dyDescent="0.2">
      <c r="A81" s="40" t="s">
        <v>2831</v>
      </c>
    </row>
    <row r="82" spans="1:34" x14ac:dyDescent="0.2">
      <c r="A82" s="40" t="s">
        <v>2832</v>
      </c>
    </row>
    <row r="83" spans="1:34" x14ac:dyDescent="0.2">
      <c r="A83" s="40" t="s">
        <v>2833</v>
      </c>
    </row>
    <row r="84" spans="1:34" x14ac:dyDescent="0.2">
      <c r="A84" s="40" t="s">
        <v>2834</v>
      </c>
    </row>
    <row r="85" spans="1:34" x14ac:dyDescent="0.2">
      <c r="A85" s="40" t="s">
        <v>2835</v>
      </c>
    </row>
    <row r="87" spans="1:34" x14ac:dyDescent="0.2">
      <c r="A87" s="40" t="s">
        <v>2836</v>
      </c>
    </row>
    <row r="88" spans="1:34" x14ac:dyDescent="0.2">
      <c r="A88" s="40" t="s">
        <v>2837</v>
      </c>
    </row>
    <row r="89" spans="1:34" x14ac:dyDescent="0.2">
      <c r="A89" s="40" t="s">
        <v>2838</v>
      </c>
    </row>
    <row r="90" spans="1:34" x14ac:dyDescent="0.2">
      <c r="A90" s="40" t="s">
        <v>2839</v>
      </c>
      <c r="AD90" s="40" t="s">
        <v>2840</v>
      </c>
    </row>
    <row r="91" spans="1:34" x14ac:dyDescent="0.2">
      <c r="AD91" s="40" t="s">
        <v>2841</v>
      </c>
    </row>
    <row r="92" spans="1:34" x14ac:dyDescent="0.2">
      <c r="AD92" s="40" t="s">
        <v>2842</v>
      </c>
    </row>
    <row r="93" spans="1:34" x14ac:dyDescent="0.2">
      <c r="B93" s="40" t="s">
        <v>2819</v>
      </c>
      <c r="AD93" s="40" t="s">
        <v>2843</v>
      </c>
    </row>
    <row r="94" spans="1:34" x14ac:dyDescent="0.2">
      <c r="B94" s="40" t="s">
        <v>2821</v>
      </c>
      <c r="C94" s="40" t="s">
        <v>2822</v>
      </c>
      <c r="D94" s="40" t="s">
        <v>2823</v>
      </c>
      <c r="E94" s="40" t="s">
        <v>2824</v>
      </c>
      <c r="F94" s="40" t="s">
        <v>2825</v>
      </c>
      <c r="G94" s="40" t="s">
        <v>2826</v>
      </c>
      <c r="H94" s="40">
        <v>2009</v>
      </c>
      <c r="I94" s="40">
        <v>2010</v>
      </c>
      <c r="J94" s="40">
        <v>2011</v>
      </c>
      <c r="K94" s="40">
        <v>2012</v>
      </c>
      <c r="L94" s="40">
        <v>2013</v>
      </c>
      <c r="M94" s="40">
        <v>2014</v>
      </c>
      <c r="N94" s="40">
        <v>2015</v>
      </c>
      <c r="O94" s="40">
        <v>2016</v>
      </c>
      <c r="P94" s="40">
        <v>2017</v>
      </c>
      <c r="Q94" s="40">
        <v>2018</v>
      </c>
      <c r="R94" s="40">
        <v>2019</v>
      </c>
      <c r="S94" s="40">
        <v>2020</v>
      </c>
      <c r="T94" s="40">
        <v>2021</v>
      </c>
      <c r="U94" s="40">
        <v>2022</v>
      </c>
      <c r="V94" s="40">
        <v>2023</v>
      </c>
      <c r="W94" s="40">
        <v>2024</v>
      </c>
      <c r="X94" s="40">
        <v>2025</v>
      </c>
      <c r="Y94" s="40">
        <v>2026</v>
      </c>
      <c r="Z94" s="40">
        <v>2027</v>
      </c>
      <c r="AA94" s="40">
        <v>2028</v>
      </c>
      <c r="AB94" s="40">
        <v>2029</v>
      </c>
      <c r="AC94" s="40">
        <v>2030</v>
      </c>
      <c r="AD94" s="40">
        <v>2031</v>
      </c>
      <c r="AE94" s="40">
        <v>2032</v>
      </c>
      <c r="AF94" s="40">
        <v>2033</v>
      </c>
      <c r="AG94" s="40">
        <v>2034</v>
      </c>
      <c r="AH94" s="40">
        <v>2035</v>
      </c>
    </row>
    <row r="97" spans="1:39" x14ac:dyDescent="0.2">
      <c r="A97" s="40" t="s">
        <v>2844</v>
      </c>
    </row>
    <row r="98" spans="1:39" x14ac:dyDescent="0.2">
      <c r="A98" s="40" t="s">
        <v>2828</v>
      </c>
    </row>
    <row r="99" spans="1:39" x14ac:dyDescent="0.2">
      <c r="A99" s="40" t="s">
        <v>2845</v>
      </c>
      <c r="B99" s="79">
        <v>7536.677734375</v>
      </c>
      <c r="C99" s="79">
        <v>7609.06298828125</v>
      </c>
      <c r="D99" s="115">
        <v>7343.48681640625</v>
      </c>
      <c r="E99" s="115">
        <v>7391.416015625</v>
      </c>
      <c r="F99" s="79">
        <v>7142.5419920000004</v>
      </c>
      <c r="G99" s="79">
        <v>5945.5756840000004</v>
      </c>
      <c r="H99" s="79">
        <v>4388.5</v>
      </c>
      <c r="I99" s="79">
        <v>5035.6000000000004</v>
      </c>
      <c r="J99" s="50">
        <v>5867.1181640000004</v>
      </c>
      <c r="K99" s="50">
        <v>6578.578125</v>
      </c>
      <c r="L99" s="50">
        <v>6800.2036129999997</v>
      </c>
      <c r="M99" s="50">
        <v>7005.6948240000002</v>
      </c>
      <c r="N99" s="50">
        <v>7112.5727539999998</v>
      </c>
      <c r="O99" s="50">
        <v>7304.1376950000003</v>
      </c>
      <c r="P99" s="50">
        <v>7288.1020509999998</v>
      </c>
      <c r="Q99" s="50">
        <v>7089.1391599999997</v>
      </c>
      <c r="R99" s="50">
        <v>7068.5771480000003</v>
      </c>
      <c r="S99" s="50">
        <v>7073.4291990000002</v>
      </c>
      <c r="T99" s="50">
        <v>7050.5434569999998</v>
      </c>
      <c r="U99" s="50">
        <v>7019.533203</v>
      </c>
      <c r="V99" s="50">
        <v>6996.2465819999998</v>
      </c>
      <c r="W99" s="50">
        <v>6970.7387699999999</v>
      </c>
      <c r="X99" s="50">
        <v>7037.4252930000002</v>
      </c>
      <c r="Y99" s="50">
        <v>7087.6596680000002</v>
      </c>
      <c r="Z99" s="50">
        <v>7198.8183589999999</v>
      </c>
      <c r="AA99" s="50">
        <v>7248.9804690000001</v>
      </c>
      <c r="AB99" s="50">
        <v>7261.3530270000001</v>
      </c>
      <c r="AC99" s="50">
        <v>7278.9306640000004</v>
      </c>
      <c r="AD99" s="50">
        <v>7290.6572269999997</v>
      </c>
      <c r="AE99" s="50">
        <v>7307.2763670000004</v>
      </c>
      <c r="AF99" s="50">
        <v>7315.064453</v>
      </c>
      <c r="AG99" s="50">
        <v>7362.2016599999997</v>
      </c>
      <c r="AH99" s="50">
        <v>7408.4750979999999</v>
      </c>
      <c r="AI99" s="50">
        <v>7453.0527339999999</v>
      </c>
      <c r="AJ99" s="50">
        <v>7518.6552730000003</v>
      </c>
      <c r="AK99" s="50">
        <v>7581.1069340000004</v>
      </c>
      <c r="AL99" s="50">
        <v>7638.7275390000004</v>
      </c>
      <c r="AM99" s="50">
        <v>7685.6669920000004</v>
      </c>
    </row>
    <row r="100" spans="1:39" x14ac:dyDescent="0.2">
      <c r="A100" s="40" t="s">
        <v>2846</v>
      </c>
      <c r="B100" s="79">
        <v>43.219108581542997</v>
      </c>
      <c r="C100" s="79">
        <v>26.017063140869102</v>
      </c>
      <c r="D100" s="115">
        <v>49.065238952636697</v>
      </c>
      <c r="E100" s="115">
        <v>57.843498229980497</v>
      </c>
      <c r="F100" s="79">
        <v>8.1053040000000003</v>
      </c>
      <c r="G100" s="79">
        <v>7.4861009999999997</v>
      </c>
      <c r="H100" s="79">
        <v>188</v>
      </c>
      <c r="I100" s="79">
        <v>147.69999999999999</v>
      </c>
      <c r="J100" s="50">
        <v>85.066246000000007</v>
      </c>
      <c r="K100" s="50">
        <v>184.32218900000001</v>
      </c>
      <c r="L100" s="50">
        <v>203.99873400000001</v>
      </c>
      <c r="M100" s="50">
        <v>227.41920500000001</v>
      </c>
      <c r="N100" s="50">
        <v>235.32917800000001</v>
      </c>
      <c r="O100" s="50">
        <v>254.328934</v>
      </c>
      <c r="P100" s="50">
        <v>277.60177599999997</v>
      </c>
      <c r="Q100" s="50">
        <v>301.41116299999999</v>
      </c>
      <c r="R100" s="50">
        <v>309.76638800000001</v>
      </c>
      <c r="S100" s="50">
        <v>330.79608200000001</v>
      </c>
      <c r="T100" s="50">
        <v>356.126373</v>
      </c>
      <c r="U100" s="50">
        <v>398.739014</v>
      </c>
      <c r="V100" s="50">
        <v>454.146637</v>
      </c>
      <c r="W100" s="50">
        <v>498.56219499999997</v>
      </c>
      <c r="X100" s="50">
        <v>555.40393100000006</v>
      </c>
      <c r="Y100" s="50">
        <v>570.737122</v>
      </c>
      <c r="Z100" s="50">
        <v>580.08398399999999</v>
      </c>
      <c r="AA100" s="50">
        <v>582.17236300000002</v>
      </c>
      <c r="AB100" s="50">
        <v>579.91772500000002</v>
      </c>
      <c r="AC100" s="50">
        <v>579.01300000000003</v>
      </c>
      <c r="AD100" s="50">
        <v>577.45513900000003</v>
      </c>
      <c r="AE100" s="50">
        <v>576.90142800000001</v>
      </c>
      <c r="AF100" s="50">
        <v>573.53912400000002</v>
      </c>
      <c r="AG100" s="50">
        <v>581.74774200000002</v>
      </c>
      <c r="AH100" s="50">
        <v>585.24395800000002</v>
      </c>
      <c r="AI100" s="50">
        <v>596.13201900000001</v>
      </c>
      <c r="AJ100" s="50">
        <v>602.96569799999997</v>
      </c>
      <c r="AK100" s="50">
        <v>609.68621800000005</v>
      </c>
      <c r="AL100" s="50">
        <v>618.33245799999997</v>
      </c>
      <c r="AM100" s="50">
        <v>628.98791500000004</v>
      </c>
    </row>
    <row r="101" spans="1:39" x14ac:dyDescent="0.2">
      <c r="A101" s="40" t="s">
        <v>2847</v>
      </c>
      <c r="B101" s="79">
        <v>7579.89697265625</v>
      </c>
      <c r="C101" s="79">
        <v>7635.080078125</v>
      </c>
      <c r="D101" s="115">
        <v>7392.55224609375</v>
      </c>
      <c r="E101" s="115">
        <v>7449.25927734375</v>
      </c>
      <c r="F101" s="79">
        <v>7150.6474609999996</v>
      </c>
      <c r="G101" s="79">
        <v>5953.0620120000003</v>
      </c>
      <c r="H101" s="79">
        <v>4576.5</v>
      </c>
      <c r="I101" s="79">
        <v>5183.3999999999996</v>
      </c>
      <c r="J101" s="50">
        <v>5952.1845700000003</v>
      </c>
      <c r="K101" s="50">
        <v>6762.9003910000001</v>
      </c>
      <c r="L101" s="50">
        <v>7004.2021480000003</v>
      </c>
      <c r="M101" s="50">
        <v>7233.1142579999996</v>
      </c>
      <c r="N101" s="50">
        <v>7347.9018550000001</v>
      </c>
      <c r="O101" s="50">
        <v>7558.466797</v>
      </c>
      <c r="P101" s="50">
        <v>7565.7036129999997</v>
      </c>
      <c r="Q101" s="50">
        <v>7390.5502930000002</v>
      </c>
      <c r="R101" s="50">
        <v>7378.34375</v>
      </c>
      <c r="S101" s="50">
        <v>7404.2250979999999</v>
      </c>
      <c r="T101" s="50">
        <v>7406.669922</v>
      </c>
      <c r="U101" s="50">
        <v>7418.2724609999996</v>
      </c>
      <c r="V101" s="50">
        <v>7450.3930659999996</v>
      </c>
      <c r="W101" s="50">
        <v>7469.3007809999999</v>
      </c>
      <c r="X101" s="50">
        <v>7592.8291019999997</v>
      </c>
      <c r="Y101" s="50">
        <v>7658.3969729999999</v>
      </c>
      <c r="Z101" s="50">
        <v>7778.9023440000001</v>
      </c>
      <c r="AA101" s="50">
        <v>7831.1528319999998</v>
      </c>
      <c r="AB101" s="50">
        <v>7841.2705079999996</v>
      </c>
      <c r="AC101" s="50">
        <v>7857.9438479999999</v>
      </c>
      <c r="AD101" s="50">
        <v>7868.1123049999997</v>
      </c>
      <c r="AE101" s="50">
        <v>7884.1777339999999</v>
      </c>
      <c r="AF101" s="50">
        <v>7888.6035160000001</v>
      </c>
      <c r="AG101" s="50">
        <v>7943.9492190000001</v>
      </c>
      <c r="AH101" s="50">
        <v>7993.7192379999997</v>
      </c>
      <c r="AI101" s="50">
        <v>8049.1845700000003</v>
      </c>
      <c r="AJ101" s="50">
        <v>8121.6210940000001</v>
      </c>
      <c r="AK101" s="50">
        <v>8190.7929690000001</v>
      </c>
      <c r="AL101" s="50">
        <v>8257.0595699999994</v>
      </c>
      <c r="AM101" s="50">
        <v>8314.6552730000003</v>
      </c>
    </row>
    <row r="102" spans="1:39" x14ac:dyDescent="0.2">
      <c r="B102" s="79"/>
      <c r="C102" s="79"/>
    </row>
    <row r="103" spans="1:39" ht="12" customHeight="1" x14ac:dyDescent="0.2">
      <c r="A103" s="40" t="s">
        <v>2848</v>
      </c>
      <c r="B103" s="79"/>
      <c r="C103" s="79"/>
    </row>
    <row r="104" spans="1:39" x14ac:dyDescent="0.2">
      <c r="A104" s="40" t="s">
        <v>2757</v>
      </c>
      <c r="B104" s="79">
        <v>396.26025390625</v>
      </c>
      <c r="C104" s="79">
        <v>401.48629760742199</v>
      </c>
      <c r="D104" s="115">
        <v>132.66053771972699</v>
      </c>
      <c r="E104" s="115">
        <v>145.74755859375</v>
      </c>
      <c r="F104" s="79">
        <v>260.77001999999999</v>
      </c>
      <c r="G104" s="79">
        <v>406.22335800000002</v>
      </c>
      <c r="H104" s="79">
        <v>276.39999999999998</v>
      </c>
      <c r="I104" s="79">
        <v>179.2</v>
      </c>
      <c r="J104" s="50">
        <v>397.56793199999998</v>
      </c>
      <c r="K104" s="50">
        <v>355.11035199999998</v>
      </c>
      <c r="L104" s="50">
        <v>369.83264200000002</v>
      </c>
      <c r="M104" s="50">
        <v>379.55230699999998</v>
      </c>
      <c r="N104" s="50">
        <v>386.74444599999998</v>
      </c>
      <c r="O104" s="50">
        <v>397.60968000000003</v>
      </c>
      <c r="P104" s="50">
        <v>397.70996100000002</v>
      </c>
      <c r="Q104" s="50">
        <v>392.46771200000001</v>
      </c>
      <c r="R104" s="50">
        <v>400.57427999999999</v>
      </c>
      <c r="S104" s="50">
        <v>391.578125</v>
      </c>
      <c r="T104" s="50">
        <v>394.04617300000001</v>
      </c>
      <c r="U104" s="50">
        <v>403.362976</v>
      </c>
      <c r="V104" s="50">
        <v>390.828979</v>
      </c>
      <c r="W104" s="50">
        <v>385.13552900000002</v>
      </c>
      <c r="X104" s="50">
        <v>389.08648699999998</v>
      </c>
      <c r="Y104" s="50">
        <v>392.63653599999998</v>
      </c>
      <c r="Z104" s="50">
        <v>400.75207499999999</v>
      </c>
      <c r="AA104" s="50">
        <v>406.422394</v>
      </c>
      <c r="AB104" s="50">
        <v>410.95074499999998</v>
      </c>
      <c r="AC104" s="50">
        <v>415.808289</v>
      </c>
      <c r="AD104" s="50">
        <v>417.48828099999997</v>
      </c>
      <c r="AE104" s="50">
        <v>415.88681000000003</v>
      </c>
      <c r="AF104" s="50">
        <v>412.43103000000002</v>
      </c>
      <c r="AG104" s="50">
        <v>411.84127799999999</v>
      </c>
      <c r="AH104" s="50">
        <v>409.41159099999999</v>
      </c>
      <c r="AI104" s="50">
        <v>409.45950299999998</v>
      </c>
      <c r="AJ104" s="50">
        <v>410.514771</v>
      </c>
      <c r="AK104" s="50">
        <v>411.983429</v>
      </c>
      <c r="AL104" s="50">
        <v>414.93386800000002</v>
      </c>
      <c r="AM104" s="50">
        <v>417.33111600000001</v>
      </c>
    </row>
    <row r="105" spans="1:39" x14ac:dyDescent="0.2">
      <c r="A105" s="127" t="s">
        <v>2849</v>
      </c>
      <c r="B105" s="79">
        <v>0.59542834758758501</v>
      </c>
      <c r="C105" s="79">
        <v>0.57916676998138406</v>
      </c>
      <c r="D105" s="115">
        <v>0</v>
      </c>
      <c r="E105" s="115">
        <v>0</v>
      </c>
      <c r="F105" s="79">
        <v>0</v>
      </c>
      <c r="G105" s="79">
        <v>0</v>
      </c>
      <c r="H105" s="79">
        <v>0.1</v>
      </c>
      <c r="I105" s="79">
        <v>0.8</v>
      </c>
      <c r="J105" s="50">
        <v>10.225066</v>
      </c>
      <c r="K105" s="50">
        <v>17.304290999999999</v>
      </c>
      <c r="L105" s="50">
        <v>20.862431999999998</v>
      </c>
      <c r="M105" s="50">
        <v>23.955546999999999</v>
      </c>
      <c r="N105" s="50">
        <v>29.193353999999999</v>
      </c>
      <c r="O105" s="50">
        <v>18.339549999999999</v>
      </c>
      <c r="P105" s="50">
        <v>16.596149</v>
      </c>
      <c r="Q105" s="50">
        <v>20.25</v>
      </c>
      <c r="R105" s="50">
        <v>14.296893000000001</v>
      </c>
      <c r="S105" s="50">
        <v>14.026649000000001</v>
      </c>
      <c r="T105" s="50">
        <v>15.330298000000001</v>
      </c>
      <c r="U105" s="50">
        <v>18.641233</v>
      </c>
      <c r="V105" s="50">
        <v>21.647061999999998</v>
      </c>
      <c r="W105" s="50">
        <v>25.246635000000001</v>
      </c>
      <c r="X105" s="50">
        <v>29.511033999999999</v>
      </c>
      <c r="Y105" s="50">
        <v>35.827381000000003</v>
      </c>
      <c r="Z105" s="50">
        <v>43.731231999999999</v>
      </c>
      <c r="AA105" s="50">
        <v>51.448044000000003</v>
      </c>
      <c r="AB105" s="50">
        <v>58.728962000000003</v>
      </c>
      <c r="AC105" s="50">
        <v>65.185851999999997</v>
      </c>
      <c r="AD105" s="50">
        <v>70.632462000000004</v>
      </c>
      <c r="AE105" s="50">
        <v>75.390732</v>
      </c>
      <c r="AF105" s="50">
        <v>79.235550000000003</v>
      </c>
      <c r="AG105" s="50">
        <v>83.873108000000002</v>
      </c>
      <c r="AH105" s="50">
        <v>86.707542000000004</v>
      </c>
      <c r="AI105" s="50">
        <v>89.576271000000006</v>
      </c>
      <c r="AJ105" s="50">
        <v>92.648826999999997</v>
      </c>
      <c r="AK105" s="50">
        <v>95.568641999999997</v>
      </c>
      <c r="AL105" s="50">
        <v>99.103645</v>
      </c>
      <c r="AM105" s="50">
        <v>102.813362</v>
      </c>
    </row>
    <row r="106" spans="1:39" x14ac:dyDescent="0.2">
      <c r="A106" s="127" t="s">
        <v>2850</v>
      </c>
      <c r="B106" s="79">
        <v>2.40991163253784</v>
      </c>
      <c r="C106" s="79">
        <v>2.44095706939697</v>
      </c>
      <c r="D106" s="115">
        <v>8.2732543349266094E-2</v>
      </c>
      <c r="E106" s="115">
        <v>7.8166410326957703E-2</v>
      </c>
      <c r="F106" s="79">
        <v>7.5128E-2</v>
      </c>
      <c r="G106" s="79">
        <v>6.4422999999999994E-2</v>
      </c>
      <c r="H106" s="79">
        <v>0</v>
      </c>
      <c r="I106" s="79">
        <v>0</v>
      </c>
      <c r="J106" s="50">
        <v>0</v>
      </c>
      <c r="K106" s="50">
        <v>1.65E-4</v>
      </c>
      <c r="L106" s="50">
        <v>1.7975999999999999E-2</v>
      </c>
      <c r="M106" s="50">
        <v>2.2578999999999998E-2</v>
      </c>
      <c r="N106" s="50">
        <v>2.8629999999999999E-2</v>
      </c>
      <c r="O106" s="50">
        <v>2.0555E-2</v>
      </c>
      <c r="P106" s="50">
        <v>2.1201999999999999E-2</v>
      </c>
      <c r="Q106" s="50">
        <v>3.5804000000000002E-2</v>
      </c>
      <c r="R106" s="50">
        <v>3.1766999999999997E-2</v>
      </c>
      <c r="S106" s="50">
        <v>3.8558000000000002E-2</v>
      </c>
      <c r="T106" s="50">
        <v>4.999E-2</v>
      </c>
      <c r="U106" s="50">
        <v>7.0671999999999999E-2</v>
      </c>
      <c r="V106" s="50">
        <v>9.9601999999999996E-2</v>
      </c>
      <c r="W106" s="50">
        <v>0.134126</v>
      </c>
      <c r="X106" s="50">
        <v>0.18676000000000001</v>
      </c>
      <c r="Y106" s="50">
        <v>0.25793899999999997</v>
      </c>
      <c r="Z106" s="50">
        <v>0.34619100000000003</v>
      </c>
      <c r="AA106" s="50">
        <v>0.44402700000000001</v>
      </c>
      <c r="AB106" s="50">
        <v>0.53813699999999998</v>
      </c>
      <c r="AC106" s="50">
        <v>0.62659699999999996</v>
      </c>
      <c r="AD106" s="50">
        <v>0.70021</v>
      </c>
      <c r="AE106" s="50">
        <v>0.76178500000000005</v>
      </c>
      <c r="AF106" s="50">
        <v>0.81008500000000006</v>
      </c>
      <c r="AG106" s="50">
        <v>0.85341100000000003</v>
      </c>
      <c r="AH106" s="50">
        <v>0.89241400000000004</v>
      </c>
      <c r="AI106" s="50">
        <v>0.91893599999999998</v>
      </c>
      <c r="AJ106" s="50">
        <v>0.94887299999999997</v>
      </c>
      <c r="AK106" s="50">
        <v>0.97755099999999995</v>
      </c>
      <c r="AL106" s="50">
        <v>1.0043759999999999</v>
      </c>
      <c r="AM106" s="50">
        <v>1.03538</v>
      </c>
    </row>
    <row r="107" spans="1:39" x14ac:dyDescent="0.2">
      <c r="A107" s="40" t="s">
        <v>2851</v>
      </c>
      <c r="B107" s="79"/>
      <c r="C107" s="79"/>
      <c r="D107" s="115"/>
      <c r="E107" s="115"/>
      <c r="F107" s="79">
        <v>0</v>
      </c>
      <c r="G107" s="79">
        <v>0</v>
      </c>
      <c r="H107" s="79">
        <v>0</v>
      </c>
      <c r="I107" s="79">
        <v>0</v>
      </c>
      <c r="J107" s="50">
        <v>0</v>
      </c>
      <c r="K107" s="50">
        <v>17.480346999999998</v>
      </c>
      <c r="L107" s="50">
        <v>19.485658999999998</v>
      </c>
      <c r="M107" s="50">
        <v>30.109667000000002</v>
      </c>
      <c r="N107" s="50">
        <v>29.818439000000001</v>
      </c>
      <c r="O107" s="50">
        <v>32.872264999999999</v>
      </c>
      <c r="P107" s="50">
        <v>27.883108</v>
      </c>
      <c r="Q107" s="50">
        <v>29.927588</v>
      </c>
      <c r="R107" s="50">
        <v>24.075548000000001</v>
      </c>
      <c r="S107" s="50">
        <v>23.359459000000001</v>
      </c>
      <c r="T107" s="50">
        <v>23.870871999999999</v>
      </c>
      <c r="U107" s="50">
        <v>25.604616</v>
      </c>
      <c r="V107" s="50">
        <v>27.606047</v>
      </c>
      <c r="W107" s="50">
        <v>30.89967</v>
      </c>
      <c r="X107" s="50">
        <v>46.131042000000001</v>
      </c>
      <c r="Y107" s="50">
        <v>48.593811000000002</v>
      </c>
      <c r="Z107" s="50">
        <v>50.797305999999999</v>
      </c>
      <c r="AA107" s="50">
        <v>51.551369000000001</v>
      </c>
      <c r="AB107" s="50">
        <v>51.307330999999998</v>
      </c>
      <c r="AC107" s="50">
        <v>50.316085999999999</v>
      </c>
      <c r="AD107" s="50">
        <v>52.872166</v>
      </c>
      <c r="AE107" s="50">
        <v>55.261974000000002</v>
      </c>
      <c r="AF107" s="50">
        <v>57.378138999999997</v>
      </c>
      <c r="AG107" s="50">
        <v>59.983893999999999</v>
      </c>
      <c r="AH107" s="50">
        <v>62.191357000000004</v>
      </c>
      <c r="AI107" s="50">
        <v>64.258232000000007</v>
      </c>
      <c r="AJ107" s="50">
        <v>66.407691999999997</v>
      </c>
      <c r="AK107" s="50">
        <v>68.450569000000002</v>
      </c>
      <c r="AL107" s="50">
        <v>70.698691999999994</v>
      </c>
      <c r="AM107" s="50">
        <v>73.010848999999993</v>
      </c>
    </row>
    <row r="108" spans="1:39" x14ac:dyDescent="0.2">
      <c r="A108" s="40" t="s">
        <v>2852</v>
      </c>
      <c r="B108" s="79" t="s">
        <v>2853</v>
      </c>
      <c r="C108" s="79" t="s">
        <v>2853</v>
      </c>
      <c r="D108" s="115">
        <v>0</v>
      </c>
      <c r="E108" s="115">
        <v>0</v>
      </c>
      <c r="F108" s="79">
        <v>0</v>
      </c>
      <c r="G108" s="79">
        <v>0</v>
      </c>
      <c r="H108" s="79">
        <v>0</v>
      </c>
      <c r="I108" s="79">
        <v>0</v>
      </c>
      <c r="J108" s="50">
        <v>8.2577470000000002</v>
      </c>
      <c r="K108" s="50">
        <v>27.059221000000001</v>
      </c>
      <c r="L108" s="50">
        <v>31.520899</v>
      </c>
      <c r="M108" s="50">
        <v>40.027351000000003</v>
      </c>
      <c r="N108" s="50">
        <v>47.680447000000001</v>
      </c>
      <c r="O108" s="50">
        <v>47.573605000000001</v>
      </c>
      <c r="P108" s="50">
        <v>50.419212000000002</v>
      </c>
      <c r="Q108" s="50">
        <v>48.841610000000003</v>
      </c>
      <c r="R108" s="50">
        <v>51.035099000000002</v>
      </c>
      <c r="S108" s="50">
        <v>49.557991000000001</v>
      </c>
      <c r="T108" s="50">
        <v>47.25423</v>
      </c>
      <c r="U108" s="50">
        <v>50.894157</v>
      </c>
      <c r="V108" s="50">
        <v>52.369140999999999</v>
      </c>
      <c r="W108" s="50">
        <v>55.443793999999997</v>
      </c>
      <c r="X108" s="50">
        <v>64.937286</v>
      </c>
      <c r="Y108" s="50">
        <v>73.655281000000002</v>
      </c>
      <c r="Z108" s="50">
        <v>86.030631999999997</v>
      </c>
      <c r="AA108" s="50">
        <v>96.580749999999995</v>
      </c>
      <c r="AB108" s="50">
        <v>103.12088799999999</v>
      </c>
      <c r="AC108" s="50">
        <v>105.467461</v>
      </c>
      <c r="AD108" s="50">
        <v>111.743347</v>
      </c>
      <c r="AE108" s="50">
        <v>116.615135</v>
      </c>
      <c r="AF108" s="50">
        <v>119.010582</v>
      </c>
      <c r="AG108" s="50">
        <v>120.5513</v>
      </c>
      <c r="AH108" s="50">
        <v>119.990425</v>
      </c>
      <c r="AI108" s="50">
        <v>120.793373</v>
      </c>
      <c r="AJ108" s="50">
        <v>121.770653</v>
      </c>
      <c r="AK108" s="50">
        <v>122.44058200000001</v>
      </c>
      <c r="AL108" s="50">
        <v>123.18349499999999</v>
      </c>
      <c r="AM108" s="50">
        <v>124.04780599999999</v>
      </c>
    </row>
    <row r="109" spans="1:39" x14ac:dyDescent="0.2">
      <c r="A109" s="40" t="s">
        <v>2763</v>
      </c>
      <c r="B109" s="79">
        <v>0</v>
      </c>
      <c r="C109" s="79">
        <v>0</v>
      </c>
      <c r="D109" s="115">
        <v>0</v>
      </c>
      <c r="E109" s="115">
        <v>0</v>
      </c>
      <c r="F109" s="79">
        <v>0</v>
      </c>
      <c r="G109" s="79">
        <v>0</v>
      </c>
      <c r="H109" s="79">
        <v>0</v>
      </c>
      <c r="I109" s="79">
        <v>0</v>
      </c>
      <c r="J109" s="50">
        <v>0</v>
      </c>
      <c r="K109" s="50">
        <v>0</v>
      </c>
      <c r="L109" s="50">
        <v>0</v>
      </c>
      <c r="M109" s="50">
        <v>0</v>
      </c>
      <c r="N109" s="50">
        <v>0</v>
      </c>
      <c r="O109" s="50">
        <v>0</v>
      </c>
      <c r="P109" s="50">
        <v>0.133741</v>
      </c>
      <c r="Q109" s="50">
        <v>0.39606999999999998</v>
      </c>
      <c r="R109" s="50">
        <v>0.56860100000000002</v>
      </c>
      <c r="S109" s="50">
        <v>0.74371699999999996</v>
      </c>
      <c r="T109" s="50">
        <v>1.606833</v>
      </c>
      <c r="U109" s="50">
        <v>4.5569059999999997</v>
      </c>
      <c r="V109" s="50">
        <v>8.0153149999999993</v>
      </c>
      <c r="W109" s="50">
        <v>10.975194</v>
      </c>
      <c r="X109" s="50">
        <v>15.345342</v>
      </c>
      <c r="Y109" s="50">
        <v>18.815968000000002</v>
      </c>
      <c r="Z109" s="50">
        <v>21.867360999999999</v>
      </c>
      <c r="AA109" s="50">
        <v>24.146923000000001</v>
      </c>
      <c r="AB109" s="50">
        <v>25.679369000000001</v>
      </c>
      <c r="AC109" s="50">
        <v>26.915991000000002</v>
      </c>
      <c r="AD109" s="50">
        <v>27.951809000000001</v>
      </c>
      <c r="AE109" s="50">
        <v>28.823543999999998</v>
      </c>
      <c r="AF109" s="50">
        <v>29.359188</v>
      </c>
      <c r="AG109" s="50">
        <v>30.245256000000001</v>
      </c>
      <c r="AH109" s="50">
        <v>31.056681000000001</v>
      </c>
      <c r="AI109" s="50">
        <v>31.964333</v>
      </c>
      <c r="AJ109" s="50">
        <v>32.855747000000001</v>
      </c>
      <c r="AK109" s="50">
        <v>33.676043999999997</v>
      </c>
      <c r="AL109" s="50">
        <v>34.533057999999997</v>
      </c>
      <c r="AM109" s="50">
        <v>35.605446000000001</v>
      </c>
    </row>
    <row r="110" spans="1:39" x14ac:dyDescent="0.2">
      <c r="A110" s="40" t="s">
        <v>2764</v>
      </c>
      <c r="B110" s="79">
        <v>49.132350921630902</v>
      </c>
      <c r="C110" s="79">
        <v>92.085464477539105</v>
      </c>
      <c r="D110" s="115">
        <v>169.64807128906301</v>
      </c>
      <c r="E110" s="115">
        <v>197.03164672851599</v>
      </c>
      <c r="F110" s="79">
        <v>283.94400000000002</v>
      </c>
      <c r="G110" s="79">
        <v>250.843109</v>
      </c>
      <c r="H110" s="79">
        <v>250.4</v>
      </c>
      <c r="I110" s="79">
        <v>238.5</v>
      </c>
      <c r="J110" s="50">
        <v>224.12840299999999</v>
      </c>
      <c r="K110" s="50">
        <v>379.82293700000002</v>
      </c>
      <c r="L110" s="50">
        <v>392.368652</v>
      </c>
      <c r="M110" s="50">
        <v>398.72650099999998</v>
      </c>
      <c r="N110" s="50">
        <v>399.56732199999999</v>
      </c>
      <c r="O110" s="50">
        <v>408.57247899999999</v>
      </c>
      <c r="P110" s="50">
        <v>405.12698399999999</v>
      </c>
      <c r="Q110" s="50">
        <v>397.01324499999998</v>
      </c>
      <c r="R110" s="50">
        <v>407.16924999999998</v>
      </c>
      <c r="S110" s="50">
        <v>411.07644699999997</v>
      </c>
      <c r="T110" s="50">
        <v>421.37780800000002</v>
      </c>
      <c r="U110" s="50">
        <v>437.426422</v>
      </c>
      <c r="V110" s="50">
        <v>461.97500600000001</v>
      </c>
      <c r="W110" s="50">
        <v>481.99340799999999</v>
      </c>
      <c r="X110" s="50">
        <v>530.46502699999996</v>
      </c>
      <c r="Y110" s="50">
        <v>559.68444799999997</v>
      </c>
      <c r="Z110" s="50">
        <v>594.34808299999997</v>
      </c>
      <c r="AA110" s="50">
        <v>621.15270999999996</v>
      </c>
      <c r="AB110" s="50">
        <v>641.174622</v>
      </c>
      <c r="AC110" s="50">
        <v>657.39349400000003</v>
      </c>
      <c r="AD110" s="50">
        <v>671.61334199999999</v>
      </c>
      <c r="AE110" s="50">
        <v>683.32391399999995</v>
      </c>
      <c r="AF110" s="50">
        <v>691.44189500000005</v>
      </c>
      <c r="AG110" s="50">
        <v>703.36810300000002</v>
      </c>
      <c r="AH110" s="50">
        <v>711.80761700000005</v>
      </c>
      <c r="AI110" s="50">
        <v>720.18164100000001</v>
      </c>
      <c r="AJ110" s="50">
        <v>730.21118200000001</v>
      </c>
      <c r="AK110" s="50">
        <v>739.36602800000003</v>
      </c>
      <c r="AL110" s="50">
        <v>749.16046100000005</v>
      </c>
      <c r="AM110" s="50">
        <v>758.57000700000003</v>
      </c>
    </row>
    <row r="111" spans="1:39" x14ac:dyDescent="0.2">
      <c r="A111" s="40" t="s">
        <v>2758</v>
      </c>
      <c r="B111" s="79">
        <v>0.20962053537368799</v>
      </c>
      <c r="C111" s="79">
        <v>0.23222877085208901</v>
      </c>
      <c r="D111" s="115">
        <v>1.3434574604034399</v>
      </c>
      <c r="E111" s="115">
        <v>1.36430859565735</v>
      </c>
      <c r="F111" s="79">
        <v>1.8452869999999999</v>
      </c>
      <c r="G111" s="79">
        <v>1.215347</v>
      </c>
      <c r="H111" s="79">
        <v>1.9</v>
      </c>
      <c r="I111" s="79">
        <v>2.6</v>
      </c>
      <c r="J111" s="50">
        <v>2.8948489999999998</v>
      </c>
      <c r="K111" s="50">
        <v>3.465252</v>
      </c>
      <c r="L111" s="50">
        <v>3.5545849999999999</v>
      </c>
      <c r="M111" s="50">
        <v>3.4917820000000002</v>
      </c>
      <c r="N111" s="50">
        <v>3.6638630000000001</v>
      </c>
      <c r="O111" s="50">
        <v>3.785291</v>
      </c>
      <c r="P111" s="50">
        <v>3.8219349999999999</v>
      </c>
      <c r="Q111" s="50">
        <v>3.7595559999999999</v>
      </c>
      <c r="R111" s="50">
        <v>3.7703660000000001</v>
      </c>
      <c r="S111" s="50">
        <v>3.823626</v>
      </c>
      <c r="T111" s="50">
        <v>3.8558490000000001</v>
      </c>
      <c r="U111" s="50">
        <v>3.8943729999999999</v>
      </c>
      <c r="V111" s="50">
        <v>3.9230550000000002</v>
      </c>
      <c r="W111" s="50">
        <v>3.9540359999999999</v>
      </c>
      <c r="X111" s="50">
        <v>4.0467919999999999</v>
      </c>
      <c r="Y111" s="50">
        <v>4.1106860000000003</v>
      </c>
      <c r="Z111" s="50">
        <v>4.2051109999999996</v>
      </c>
      <c r="AA111" s="50">
        <v>4.2553070000000002</v>
      </c>
      <c r="AB111" s="50">
        <v>4.2798230000000004</v>
      </c>
      <c r="AC111" s="50">
        <v>4.3040019999999997</v>
      </c>
      <c r="AD111" s="50">
        <v>4.3309139999999999</v>
      </c>
      <c r="AE111" s="50">
        <v>4.365164</v>
      </c>
      <c r="AF111" s="50">
        <v>4.3904930000000002</v>
      </c>
      <c r="AG111" s="50">
        <v>4.4461779999999997</v>
      </c>
      <c r="AH111" s="50">
        <v>4.4921810000000004</v>
      </c>
      <c r="AI111" s="50">
        <v>4.5432889999999997</v>
      </c>
      <c r="AJ111" s="50">
        <v>4.6068259999999999</v>
      </c>
      <c r="AK111" s="50">
        <v>4.6631939999999998</v>
      </c>
      <c r="AL111" s="50">
        <v>4.7129339999999997</v>
      </c>
      <c r="AM111" s="50">
        <v>4.7569309999999998</v>
      </c>
    </row>
    <row r="112" spans="1:39" x14ac:dyDescent="0.2">
      <c r="A112" s="40" t="s">
        <v>2759</v>
      </c>
      <c r="B112" s="79">
        <v>11.9099006652832</v>
      </c>
      <c r="C112" s="79">
        <v>12.0888118743896</v>
      </c>
      <c r="D112" s="115">
        <v>2.3659512996673602</v>
      </c>
      <c r="E112" s="115">
        <v>2.4053943157196001</v>
      </c>
      <c r="F112" s="79">
        <v>7.1170489999999997</v>
      </c>
      <c r="G112" s="79">
        <v>2.5051950000000001</v>
      </c>
      <c r="H112" s="79">
        <v>3.4</v>
      </c>
      <c r="I112" s="79">
        <v>3.9</v>
      </c>
      <c r="J112" s="50">
        <v>4.5223040000000001</v>
      </c>
      <c r="K112" s="50">
        <v>5.3258590000000003</v>
      </c>
      <c r="L112" s="50">
        <v>5.771674</v>
      </c>
      <c r="M112" s="50">
        <v>5.5448180000000002</v>
      </c>
      <c r="N112" s="50">
        <v>5.5325559999999996</v>
      </c>
      <c r="O112" s="50">
        <v>5.651815</v>
      </c>
      <c r="P112" s="50">
        <v>5.6206940000000003</v>
      </c>
      <c r="Q112" s="50">
        <v>5.4997939999999996</v>
      </c>
      <c r="R112" s="50">
        <v>5.4371219999999996</v>
      </c>
      <c r="S112" s="50">
        <v>5.4596790000000004</v>
      </c>
      <c r="T112" s="50">
        <v>5.4765839999999999</v>
      </c>
      <c r="U112" s="50">
        <v>5.5107010000000001</v>
      </c>
      <c r="V112" s="50">
        <v>5.5410909999999998</v>
      </c>
      <c r="W112" s="50">
        <v>5.5648520000000001</v>
      </c>
      <c r="X112" s="50">
        <v>5.6898569999999999</v>
      </c>
      <c r="Y112" s="50">
        <v>5.7740859999999996</v>
      </c>
      <c r="Z112" s="50">
        <v>5.9033730000000002</v>
      </c>
      <c r="AA112" s="50">
        <v>5.9722850000000003</v>
      </c>
      <c r="AB112" s="50">
        <v>6.0055969999999999</v>
      </c>
      <c r="AC112" s="50">
        <v>6.0392010000000003</v>
      </c>
      <c r="AD112" s="50">
        <v>6.0748300000000004</v>
      </c>
      <c r="AE112" s="50">
        <v>6.1130760000000004</v>
      </c>
      <c r="AF112" s="50">
        <v>6.1331410000000002</v>
      </c>
      <c r="AG112" s="50">
        <v>6.1941579999999998</v>
      </c>
      <c r="AH112" s="50">
        <v>6.2420530000000003</v>
      </c>
      <c r="AI112" s="50">
        <v>6.2944230000000001</v>
      </c>
      <c r="AJ112" s="50">
        <v>6.3697480000000004</v>
      </c>
      <c r="AK112" s="50">
        <v>6.4427399999999997</v>
      </c>
      <c r="AL112" s="50">
        <v>6.5146629999999996</v>
      </c>
      <c r="AM112" s="50">
        <v>6.582643</v>
      </c>
    </row>
    <row r="113" spans="1:39" x14ac:dyDescent="0.2">
      <c r="A113" s="40" t="s">
        <v>2760</v>
      </c>
      <c r="B113" s="79">
        <v>0</v>
      </c>
      <c r="C113" s="79">
        <v>0</v>
      </c>
      <c r="D113" s="115">
        <v>9.5371160568902303E-6</v>
      </c>
      <c r="E113" s="115">
        <v>9.0107496362179501E-6</v>
      </c>
      <c r="F113" s="79">
        <v>9.0000000000000002E-6</v>
      </c>
      <c r="G113" s="79">
        <v>7.9999999999999996E-6</v>
      </c>
      <c r="H113" s="79">
        <v>1</v>
      </c>
      <c r="I113" s="79">
        <v>1.1000000000000001</v>
      </c>
      <c r="J113" s="50">
        <v>1.3133630000000001</v>
      </c>
      <c r="K113" s="50">
        <v>1.7652490000000001</v>
      </c>
      <c r="L113" s="50">
        <v>4.0182919999999998</v>
      </c>
      <c r="M113" s="50">
        <v>4.7767189999999999</v>
      </c>
      <c r="N113" s="50">
        <v>4.8276770000000004</v>
      </c>
      <c r="O113" s="50">
        <v>4.8197520000000003</v>
      </c>
      <c r="P113" s="50">
        <v>4.6371739999999999</v>
      </c>
      <c r="Q113" s="50">
        <v>4.4996299999999998</v>
      </c>
      <c r="R113" s="50">
        <v>4.4271839999999996</v>
      </c>
      <c r="S113" s="50">
        <v>4.4598050000000002</v>
      </c>
      <c r="T113" s="50">
        <v>4.5301970000000003</v>
      </c>
      <c r="U113" s="50">
        <v>4.5968239999999998</v>
      </c>
      <c r="V113" s="50">
        <v>4.6676460000000004</v>
      </c>
      <c r="W113" s="50">
        <v>4.7377580000000004</v>
      </c>
      <c r="X113" s="50">
        <v>4.8294509999999997</v>
      </c>
      <c r="Y113" s="50">
        <v>4.9518170000000001</v>
      </c>
      <c r="Z113" s="50">
        <v>5.0740360000000004</v>
      </c>
      <c r="AA113" s="50">
        <v>5.1677929999999996</v>
      </c>
      <c r="AB113" s="50">
        <v>5.2021839999999999</v>
      </c>
      <c r="AC113" s="50">
        <v>5.261908</v>
      </c>
      <c r="AD113" s="50">
        <v>5.3126220000000002</v>
      </c>
      <c r="AE113" s="50">
        <v>5.3685619999999998</v>
      </c>
      <c r="AF113" s="50">
        <v>5.4200759999999999</v>
      </c>
      <c r="AG113" s="50">
        <v>5.5113139999999996</v>
      </c>
      <c r="AH113" s="50">
        <v>5.6400829999999997</v>
      </c>
      <c r="AI113" s="50">
        <v>5.7113120000000004</v>
      </c>
      <c r="AJ113" s="50">
        <v>5.8201219999999996</v>
      </c>
      <c r="AK113" s="50">
        <v>5.9313560000000001</v>
      </c>
      <c r="AL113" s="50">
        <v>6.0356019999999999</v>
      </c>
      <c r="AM113" s="50">
        <v>6.1627070000000002</v>
      </c>
    </row>
    <row r="114" spans="1:39" x14ac:dyDescent="0.2">
      <c r="A114" s="40" t="s">
        <v>2761</v>
      </c>
      <c r="B114" s="79">
        <v>45.456459045410199</v>
      </c>
      <c r="C114" s="79">
        <v>46.042041778564503</v>
      </c>
      <c r="D114" s="115">
        <v>0.23167522251605999</v>
      </c>
      <c r="E114" s="115">
        <v>0.230910658836365</v>
      </c>
      <c r="F114" s="79">
        <v>0.230688</v>
      </c>
      <c r="G114" s="79">
        <v>0.183367</v>
      </c>
      <c r="H114" s="79">
        <v>1.9</v>
      </c>
      <c r="I114" s="79">
        <v>1.6</v>
      </c>
      <c r="J114" s="50">
        <v>1.892474</v>
      </c>
      <c r="K114" s="50">
        <v>2.2084999999999999</v>
      </c>
      <c r="L114" s="50">
        <v>2.3649879999999999</v>
      </c>
      <c r="M114" s="50">
        <v>2.4769860000000001</v>
      </c>
      <c r="N114" s="50">
        <v>2.4190489999999998</v>
      </c>
      <c r="O114" s="50">
        <v>2.4980639999999998</v>
      </c>
      <c r="P114" s="50">
        <v>2.5089190000000001</v>
      </c>
      <c r="Q114" s="50">
        <v>2.4635859999999998</v>
      </c>
      <c r="R114" s="50">
        <v>2.4583179999999998</v>
      </c>
      <c r="S114" s="50">
        <v>2.4519959999999998</v>
      </c>
      <c r="T114" s="50">
        <v>2.461398</v>
      </c>
      <c r="U114" s="50">
        <v>2.4779749999999998</v>
      </c>
      <c r="V114" s="50">
        <v>2.494561</v>
      </c>
      <c r="W114" s="50">
        <v>2.5066480000000002</v>
      </c>
      <c r="X114" s="50">
        <v>2.566646</v>
      </c>
      <c r="Y114" s="50">
        <v>2.602878</v>
      </c>
      <c r="Z114" s="50">
        <v>2.6590060000000002</v>
      </c>
      <c r="AA114" s="50">
        <v>2.6902490000000001</v>
      </c>
      <c r="AB114" s="50">
        <v>2.7046049999999999</v>
      </c>
      <c r="AC114" s="50">
        <v>2.7187209999999999</v>
      </c>
      <c r="AD114" s="50">
        <v>2.7314539999999998</v>
      </c>
      <c r="AE114" s="50">
        <v>2.7434690000000002</v>
      </c>
      <c r="AF114" s="50">
        <v>2.749279</v>
      </c>
      <c r="AG114" s="50">
        <v>2.7726739999999999</v>
      </c>
      <c r="AH114" s="50">
        <v>2.791833</v>
      </c>
      <c r="AI114" s="50">
        <v>2.8134070000000002</v>
      </c>
      <c r="AJ114" s="50">
        <v>2.8412999999999999</v>
      </c>
      <c r="AK114" s="50">
        <v>2.867915</v>
      </c>
      <c r="AL114" s="50">
        <v>2.8947940000000001</v>
      </c>
      <c r="AM114" s="50">
        <v>2.9193280000000001</v>
      </c>
    </row>
    <row r="115" spans="1:39" x14ac:dyDescent="0.2">
      <c r="A115" s="40" t="s">
        <v>2765</v>
      </c>
      <c r="B115" s="79">
        <v>0</v>
      </c>
      <c r="C115" s="79">
        <v>0</v>
      </c>
      <c r="D115" s="115">
        <v>0</v>
      </c>
      <c r="E115" s="115">
        <v>0</v>
      </c>
      <c r="F115" s="79">
        <v>0</v>
      </c>
      <c r="G115" s="79">
        <v>0</v>
      </c>
      <c r="H115" s="79">
        <v>0</v>
      </c>
      <c r="I115" s="79">
        <v>0</v>
      </c>
      <c r="J115" s="50">
        <v>0</v>
      </c>
      <c r="K115" s="50">
        <v>0</v>
      </c>
      <c r="L115" s="50">
        <v>0</v>
      </c>
      <c r="M115" s="50">
        <v>0</v>
      </c>
      <c r="N115" s="50">
        <v>0</v>
      </c>
      <c r="O115" s="50">
        <v>0</v>
      </c>
      <c r="P115" s="50">
        <v>0</v>
      </c>
      <c r="Q115" s="50">
        <v>0</v>
      </c>
      <c r="R115" s="50">
        <v>0</v>
      </c>
      <c r="S115" s="50">
        <v>0</v>
      </c>
      <c r="T115" s="50">
        <v>0</v>
      </c>
      <c r="U115" s="50">
        <v>0</v>
      </c>
      <c r="V115" s="50">
        <v>0</v>
      </c>
      <c r="W115" s="50">
        <v>0</v>
      </c>
      <c r="X115" s="50">
        <v>0</v>
      </c>
      <c r="Y115" s="50">
        <v>0</v>
      </c>
      <c r="Z115" s="50">
        <v>0</v>
      </c>
      <c r="AA115" s="50">
        <v>0</v>
      </c>
      <c r="AB115" s="50">
        <v>0</v>
      </c>
      <c r="AC115" s="50">
        <v>0</v>
      </c>
      <c r="AD115" s="50">
        <v>0</v>
      </c>
      <c r="AE115" s="50">
        <v>0</v>
      </c>
      <c r="AF115" s="50">
        <v>0</v>
      </c>
      <c r="AG115" s="50">
        <v>0</v>
      </c>
      <c r="AH115" s="50">
        <v>0</v>
      </c>
      <c r="AI115" s="50">
        <v>0</v>
      </c>
      <c r="AJ115" s="50">
        <v>0</v>
      </c>
      <c r="AK115" s="50">
        <v>0</v>
      </c>
      <c r="AL115" s="50">
        <v>0</v>
      </c>
      <c r="AM115" s="50">
        <v>0</v>
      </c>
    </row>
    <row r="116" spans="1:39" x14ac:dyDescent="0.2">
      <c r="A116" s="40" t="s">
        <v>2766</v>
      </c>
      <c r="B116" s="79">
        <v>0</v>
      </c>
      <c r="C116" s="79">
        <v>0</v>
      </c>
      <c r="D116" s="115">
        <v>0</v>
      </c>
      <c r="E116" s="115">
        <v>0</v>
      </c>
      <c r="F116" s="79">
        <v>0</v>
      </c>
      <c r="G116" s="79">
        <v>0</v>
      </c>
      <c r="H116" s="79">
        <v>0</v>
      </c>
      <c r="I116" s="79">
        <v>0</v>
      </c>
      <c r="J116" s="50">
        <v>0</v>
      </c>
      <c r="K116" s="50">
        <v>0</v>
      </c>
      <c r="L116" s="50">
        <v>0</v>
      </c>
      <c r="M116" s="50">
        <v>0</v>
      </c>
      <c r="N116" s="50">
        <v>0</v>
      </c>
      <c r="O116" s="50">
        <v>0</v>
      </c>
      <c r="P116" s="50">
        <v>0</v>
      </c>
      <c r="Q116" s="50">
        <v>0</v>
      </c>
      <c r="R116" s="50">
        <v>0</v>
      </c>
      <c r="S116" s="50">
        <v>0</v>
      </c>
      <c r="T116" s="50">
        <v>0</v>
      </c>
      <c r="U116" s="50">
        <v>0</v>
      </c>
      <c r="V116" s="50">
        <v>0</v>
      </c>
      <c r="W116" s="50">
        <v>0</v>
      </c>
      <c r="X116" s="50">
        <v>0</v>
      </c>
      <c r="Y116" s="50">
        <v>0</v>
      </c>
      <c r="Z116" s="50">
        <v>0</v>
      </c>
      <c r="AA116" s="50">
        <v>0</v>
      </c>
      <c r="AB116" s="50">
        <v>0</v>
      </c>
      <c r="AC116" s="50">
        <v>0</v>
      </c>
      <c r="AD116" s="50">
        <v>0</v>
      </c>
      <c r="AE116" s="50">
        <v>0</v>
      </c>
      <c r="AF116" s="50">
        <v>0</v>
      </c>
      <c r="AG116" s="50">
        <v>0</v>
      </c>
      <c r="AH116" s="50">
        <v>0</v>
      </c>
      <c r="AI116" s="50">
        <v>0</v>
      </c>
      <c r="AJ116" s="50">
        <v>0</v>
      </c>
      <c r="AK116" s="50">
        <v>0</v>
      </c>
      <c r="AL116" s="50">
        <v>0</v>
      </c>
      <c r="AM116" s="50">
        <v>0</v>
      </c>
    </row>
    <row r="117" spans="1:39" x14ac:dyDescent="0.2">
      <c r="A117" s="40" t="s">
        <v>2767</v>
      </c>
      <c r="B117" s="79">
        <v>0</v>
      </c>
      <c r="C117" s="79">
        <v>0</v>
      </c>
      <c r="D117" s="115">
        <v>1.1244297866141999E-6</v>
      </c>
      <c r="E117" s="115">
        <v>2.2588053525396398E-6</v>
      </c>
      <c r="F117" s="79">
        <v>0</v>
      </c>
      <c r="G117" s="79">
        <v>0</v>
      </c>
      <c r="H117" s="79">
        <v>0</v>
      </c>
      <c r="I117" s="79">
        <v>0</v>
      </c>
      <c r="J117" s="50">
        <v>0</v>
      </c>
      <c r="K117" s="50">
        <v>0</v>
      </c>
      <c r="L117" s="50">
        <v>0</v>
      </c>
      <c r="M117" s="50">
        <v>0</v>
      </c>
      <c r="N117" s="50">
        <v>0.62495199999999995</v>
      </c>
      <c r="O117" s="50">
        <v>0.59957099999999997</v>
      </c>
      <c r="P117" s="50">
        <v>2.1517010000000001</v>
      </c>
      <c r="Q117" s="50">
        <v>4.3864609999999997</v>
      </c>
      <c r="R117" s="50">
        <v>3.8047780000000002</v>
      </c>
      <c r="S117" s="50">
        <v>3.6628270000000001</v>
      </c>
      <c r="T117" s="50">
        <v>3.7405170000000001</v>
      </c>
      <c r="U117" s="50">
        <v>3.6204860000000001</v>
      </c>
      <c r="V117" s="50">
        <v>3.469284</v>
      </c>
      <c r="W117" s="50">
        <v>3.7282299999999999</v>
      </c>
      <c r="X117" s="50">
        <v>3.553687</v>
      </c>
      <c r="Y117" s="50">
        <v>3.5753870000000001</v>
      </c>
      <c r="Z117" s="50">
        <v>3.7665310000000001</v>
      </c>
      <c r="AA117" s="50">
        <v>3.7938900000000002</v>
      </c>
      <c r="AB117" s="50">
        <v>3.7443379999999999</v>
      </c>
      <c r="AC117" s="50">
        <v>3.7595399999999999</v>
      </c>
      <c r="AD117" s="50">
        <v>3.768259</v>
      </c>
      <c r="AE117" s="50">
        <v>3.784036</v>
      </c>
      <c r="AF117" s="50">
        <v>3.80152</v>
      </c>
      <c r="AG117" s="50">
        <v>3.8365339999999999</v>
      </c>
      <c r="AH117" s="50">
        <v>3.903689</v>
      </c>
      <c r="AI117" s="50">
        <v>3.96353</v>
      </c>
      <c r="AJ117" s="50">
        <v>4.0481400000000001</v>
      </c>
      <c r="AK117" s="50">
        <v>4.149756</v>
      </c>
      <c r="AL117" s="50">
        <v>4.2620969999999998</v>
      </c>
      <c r="AM117" s="50">
        <v>4.3972519999999999</v>
      </c>
    </row>
    <row r="118" spans="1:39" x14ac:dyDescent="0.2">
      <c r="A118" s="40" t="s">
        <v>2854</v>
      </c>
      <c r="B118" s="79">
        <v>505.974365234375</v>
      </c>
      <c r="C118" s="79">
        <v>554.95538330078102</v>
      </c>
      <c r="D118" s="115">
        <v>306.33242797851602</v>
      </c>
      <c r="E118" s="115">
        <v>346.85797119140602</v>
      </c>
      <c r="F118" s="79">
        <v>553.98223900000005</v>
      </c>
      <c r="G118" s="79">
        <v>661.03472899999997</v>
      </c>
      <c r="H118" s="79">
        <v>535.1</v>
      </c>
      <c r="I118" s="79">
        <v>427.7</v>
      </c>
      <c r="J118" s="50">
        <v>650.80206299999998</v>
      </c>
      <c r="K118" s="50">
        <v>809.542236</v>
      </c>
      <c r="L118" s="50">
        <v>849.79779099999996</v>
      </c>
      <c r="M118" s="50">
        <v>888.68420400000002</v>
      </c>
      <c r="N118" s="50">
        <v>910.10076900000001</v>
      </c>
      <c r="O118" s="50">
        <v>922.34258999999997</v>
      </c>
      <c r="P118" s="50">
        <v>916.63073699999995</v>
      </c>
      <c r="Q118" s="50">
        <v>909.54107699999997</v>
      </c>
      <c r="R118" s="50">
        <v>917.64923099999999</v>
      </c>
      <c r="S118" s="50">
        <v>910.23877000000005</v>
      </c>
      <c r="T118" s="50">
        <v>923.60082999999997</v>
      </c>
      <c r="U118" s="50">
        <v>960.65728799999999</v>
      </c>
      <c r="V118" s="50">
        <v>982.63678000000004</v>
      </c>
      <c r="W118" s="50">
        <v>1010.319885</v>
      </c>
      <c r="X118" s="50">
        <v>1096.349487</v>
      </c>
      <c r="Y118" s="50">
        <v>1150.486328</v>
      </c>
      <c r="Z118" s="50">
        <v>1219.4808350000001</v>
      </c>
      <c r="AA118" s="50">
        <v>1273.6258539999999</v>
      </c>
      <c r="AB118" s="50">
        <v>1313.4365230000001</v>
      </c>
      <c r="AC118" s="50">
        <v>1343.797241</v>
      </c>
      <c r="AD118" s="50">
        <v>1375.2197269999999</v>
      </c>
      <c r="AE118" s="50">
        <v>1398.4381100000001</v>
      </c>
      <c r="AF118" s="50">
        <v>1412.160889</v>
      </c>
      <c r="AG118" s="50">
        <v>1433.4772949999999</v>
      </c>
      <c r="AH118" s="50">
        <v>1445.127563</v>
      </c>
      <c r="AI118" s="50">
        <v>1460.4782709999999</v>
      </c>
      <c r="AJ118" s="50">
        <v>1479.0437010000001</v>
      </c>
      <c r="AK118" s="50">
        <v>1496.5179439999999</v>
      </c>
      <c r="AL118" s="50">
        <v>1517.03772</v>
      </c>
      <c r="AM118" s="50">
        <v>1537.2329099999999</v>
      </c>
    </row>
    <row r="119" spans="1:39" x14ac:dyDescent="0.2">
      <c r="B119" s="79"/>
      <c r="C119" s="79"/>
    </row>
    <row r="120" spans="1:39" x14ac:dyDescent="0.2">
      <c r="A120" s="40" t="s">
        <v>2855</v>
      </c>
      <c r="B120" s="79">
        <v>6.2575120925903303</v>
      </c>
      <c r="C120" s="79">
        <v>6.7759823799133301</v>
      </c>
      <c r="D120" s="128">
        <v>3.9789195060729998</v>
      </c>
      <c r="E120" s="128">
        <v>4.4491119384765598</v>
      </c>
      <c r="F120" s="52">
        <v>7.1902509999999999</v>
      </c>
      <c r="G120" s="52">
        <v>9.9943310000000007</v>
      </c>
      <c r="H120" s="52">
        <v>10.47</v>
      </c>
      <c r="I120" s="52">
        <v>7.62</v>
      </c>
      <c r="J120" s="50">
        <v>9.8561770000000006</v>
      </c>
      <c r="K120" s="50">
        <v>10.690636</v>
      </c>
      <c r="L120" s="50">
        <v>10.819936999999999</v>
      </c>
      <c r="M120" s="50">
        <v>10.941962999999999</v>
      </c>
      <c r="N120" s="50">
        <v>11.020834000000001</v>
      </c>
      <c r="O120" s="50">
        <v>10.875643</v>
      </c>
      <c r="P120" s="50">
        <v>10.806350999999999</v>
      </c>
      <c r="Q120" s="50">
        <v>10.958205</v>
      </c>
      <c r="R120" s="50">
        <v>11.061355000000001</v>
      </c>
      <c r="S120" s="50">
        <v>10.947654999999999</v>
      </c>
      <c r="T120" s="50">
        <v>11.087285</v>
      </c>
      <c r="U120" s="50">
        <v>11.465156</v>
      </c>
      <c r="V120" s="50">
        <v>11.652238000000001</v>
      </c>
      <c r="W120" s="50">
        <v>11.914681</v>
      </c>
      <c r="X120" s="50">
        <v>12.617413000000001</v>
      </c>
      <c r="Y120" s="50">
        <v>13.060525</v>
      </c>
      <c r="Z120" s="50">
        <v>13.552220999999999</v>
      </c>
      <c r="AA120" s="50">
        <v>13.988543</v>
      </c>
      <c r="AB120" s="50">
        <v>14.347116</v>
      </c>
      <c r="AC120" s="50">
        <v>14.603728</v>
      </c>
      <c r="AD120" s="50">
        <v>14.877965</v>
      </c>
      <c r="AE120" s="50">
        <v>15.065129000000001</v>
      </c>
      <c r="AF120" s="50">
        <v>15.183277</v>
      </c>
      <c r="AG120" s="50">
        <v>15.286467999999999</v>
      </c>
      <c r="AH120" s="50">
        <v>15.310425</v>
      </c>
      <c r="AI120" s="50">
        <v>15.357834</v>
      </c>
      <c r="AJ120" s="50">
        <v>15.405639000000001</v>
      </c>
      <c r="AK120" s="50">
        <v>15.448229</v>
      </c>
      <c r="AL120" s="50">
        <v>15.521000000000001</v>
      </c>
      <c r="AM120" s="50">
        <v>15.603434</v>
      </c>
    </row>
    <row r="121" spans="1:39" x14ac:dyDescent="0.2">
      <c r="A121" s="40" t="s">
        <v>2815</v>
      </c>
      <c r="B121" s="79">
        <v>8085.87109375</v>
      </c>
      <c r="C121" s="79">
        <v>8190.03564453125</v>
      </c>
      <c r="D121" s="115">
        <v>7698.884765625</v>
      </c>
      <c r="E121" s="115">
        <v>7796.1171875</v>
      </c>
      <c r="F121" s="79">
        <v>7704.6298829999996</v>
      </c>
      <c r="G121" s="79">
        <v>6614.0966799999997</v>
      </c>
      <c r="H121" s="79">
        <v>5111.6000000000004</v>
      </c>
      <c r="I121" s="79">
        <v>5611.1</v>
      </c>
      <c r="J121" s="132">
        <v>6602.9868159999996</v>
      </c>
      <c r="K121" s="132">
        <v>7572.4423829999996</v>
      </c>
      <c r="L121" s="132">
        <v>7854</v>
      </c>
      <c r="M121" s="132">
        <v>8121.7983400000003</v>
      </c>
      <c r="N121" s="132">
        <v>8258.0029300000006</v>
      </c>
      <c r="O121" s="132">
        <v>8480.8095699999994</v>
      </c>
      <c r="P121" s="132">
        <v>8482.3339840000008</v>
      </c>
      <c r="Q121" s="132">
        <v>8300.0917969999991</v>
      </c>
      <c r="R121" s="132">
        <v>8295.9931639999995</v>
      </c>
      <c r="S121" s="132">
        <v>8314.4638670000004</v>
      </c>
      <c r="T121" s="132">
        <v>8330.2705079999996</v>
      </c>
      <c r="U121" s="132">
        <v>8378.9296880000002</v>
      </c>
      <c r="V121" s="132">
        <v>8433.0302730000003</v>
      </c>
      <c r="W121" s="132">
        <v>8479.6210940000001</v>
      </c>
      <c r="X121" s="132">
        <v>8689.1787110000005</v>
      </c>
      <c r="Y121" s="132">
        <v>8808.8828119999998</v>
      </c>
      <c r="Z121" s="132">
        <v>8998.3828119999998</v>
      </c>
      <c r="AA121" s="132">
        <v>9104.7783199999994</v>
      </c>
      <c r="AB121" s="132">
        <v>9154.7070309999999</v>
      </c>
      <c r="AC121" s="132">
        <v>9201.7412110000005</v>
      </c>
      <c r="AD121" s="132">
        <v>9243.3320309999999</v>
      </c>
      <c r="AE121" s="132">
        <v>9282.6162110000005</v>
      </c>
      <c r="AF121" s="132">
        <v>9300.7646480000003</v>
      </c>
      <c r="AG121" s="132">
        <v>9377.4267579999996</v>
      </c>
      <c r="AH121" s="132">
        <v>9438.8466800000006</v>
      </c>
      <c r="AI121" s="132">
        <v>9509.6630860000005</v>
      </c>
      <c r="AJ121" s="132">
        <v>9600.6650389999995</v>
      </c>
      <c r="AK121" s="132">
        <v>9687.3105469999991</v>
      </c>
      <c r="AL121" s="132">
        <v>9774.0976559999999</v>
      </c>
      <c r="AM121" s="132">
        <v>9851.8886719999991</v>
      </c>
    </row>
    <row r="122" spans="1:39" x14ac:dyDescent="0.2">
      <c r="B122" s="79"/>
      <c r="C122" s="79"/>
    </row>
    <row r="123" spans="1:39" x14ac:dyDescent="0.2">
      <c r="A123" s="40" t="s">
        <v>2856</v>
      </c>
      <c r="B123" s="79"/>
      <c r="C123" s="79"/>
    </row>
    <row r="124" spans="1:39" x14ac:dyDescent="0.2">
      <c r="A124" s="40" t="s">
        <v>2725</v>
      </c>
      <c r="B124" s="79"/>
      <c r="C124" s="79"/>
    </row>
    <row r="125" spans="1:39" x14ac:dyDescent="0.2">
      <c r="A125" s="40" t="s">
        <v>2845</v>
      </c>
      <c r="B125" s="79">
        <v>6928.59130859375</v>
      </c>
      <c r="C125" s="79">
        <v>7037.623046875</v>
      </c>
      <c r="D125" s="115">
        <v>7700.09521484375</v>
      </c>
      <c r="E125" s="115">
        <v>7150.2080078125</v>
      </c>
      <c r="F125" s="79">
        <v>6451.7441410000001</v>
      </c>
      <c r="G125" s="79">
        <v>4936.5668949999999</v>
      </c>
      <c r="H125" s="79">
        <v>4036.2</v>
      </c>
      <c r="I125" s="79">
        <v>4246.2</v>
      </c>
      <c r="J125" s="50">
        <v>4299.6445309999999</v>
      </c>
      <c r="K125" s="50">
        <v>4795.9306640000004</v>
      </c>
      <c r="L125" s="50">
        <v>5088.6650390000004</v>
      </c>
      <c r="M125" s="50">
        <v>5359.9672849999997</v>
      </c>
      <c r="N125" s="50">
        <v>5709.2333980000003</v>
      </c>
      <c r="O125" s="50">
        <v>5962.0546880000002</v>
      </c>
      <c r="P125" s="50">
        <v>5926.8183589999999</v>
      </c>
      <c r="Q125" s="50">
        <v>5816.6308589999999</v>
      </c>
      <c r="R125" s="50">
        <v>5674.8198240000002</v>
      </c>
      <c r="S125" s="50">
        <v>5617.0297849999997</v>
      </c>
      <c r="T125" s="50">
        <v>5573.8393550000001</v>
      </c>
      <c r="U125" s="50">
        <v>5489.4160160000001</v>
      </c>
      <c r="V125" s="50">
        <v>5485.7197269999997</v>
      </c>
      <c r="W125" s="50">
        <v>5479.3764650000003</v>
      </c>
      <c r="X125" s="50">
        <v>5532.0688479999999</v>
      </c>
      <c r="Y125" s="50">
        <v>5630.7973629999997</v>
      </c>
      <c r="Z125" s="50">
        <v>5620.2202150000003</v>
      </c>
      <c r="AA125" s="50">
        <v>5620.2041019999997</v>
      </c>
      <c r="AB125" s="50">
        <v>5592.59375</v>
      </c>
      <c r="AC125" s="50">
        <v>5574.7578119999998</v>
      </c>
      <c r="AD125" s="50">
        <v>5566.8808589999999</v>
      </c>
      <c r="AE125" s="50">
        <v>5568.8754879999997</v>
      </c>
      <c r="AF125" s="50">
        <v>5567.6298829999996</v>
      </c>
      <c r="AG125" s="50">
        <v>5559.1752930000002</v>
      </c>
      <c r="AH125" s="50">
        <v>5589.8901370000003</v>
      </c>
      <c r="AI125" s="50">
        <v>5604.3242190000001</v>
      </c>
      <c r="AJ125" s="50">
        <v>5629.1782229999999</v>
      </c>
      <c r="AK125" s="50">
        <v>5656.8603519999997</v>
      </c>
      <c r="AL125" s="50">
        <v>5655.2495120000003</v>
      </c>
      <c r="AM125" s="50">
        <v>5638.2788090000004</v>
      </c>
    </row>
    <row r="126" spans="1:39" x14ac:dyDescent="0.2">
      <c r="A126" s="40" t="s">
        <v>2846</v>
      </c>
      <c r="B126" s="79">
        <v>381.62548828125</v>
      </c>
      <c r="C126" s="79">
        <v>363.32141113281301</v>
      </c>
      <c r="D126" s="115">
        <v>296.68142700195301</v>
      </c>
      <c r="E126" s="115">
        <v>313.57360839843801</v>
      </c>
      <c r="F126" s="79">
        <v>1.5163990000000001</v>
      </c>
      <c r="G126" s="79">
        <v>0.97761399999999998</v>
      </c>
      <c r="H126" s="79">
        <v>11.3</v>
      </c>
      <c r="I126" s="79">
        <v>22.7</v>
      </c>
      <c r="J126" s="50">
        <v>33.774296</v>
      </c>
      <c r="K126" s="50">
        <v>24.769172999999999</v>
      </c>
      <c r="L126" s="50">
        <v>32.945464999999999</v>
      </c>
      <c r="M126" s="50">
        <v>44.576087999999999</v>
      </c>
      <c r="N126" s="50">
        <v>56.084923000000003</v>
      </c>
      <c r="O126" s="50">
        <v>73.054175999999998</v>
      </c>
      <c r="P126" s="50">
        <v>91.786263000000005</v>
      </c>
      <c r="Q126" s="50">
        <v>115.892303</v>
      </c>
      <c r="R126" s="50">
        <v>113.16906</v>
      </c>
      <c r="S126" s="50">
        <v>121.100662</v>
      </c>
      <c r="T126" s="50">
        <v>120.58633399999999</v>
      </c>
      <c r="U126" s="50">
        <v>117.875885</v>
      </c>
      <c r="V126" s="50">
        <v>120.617615</v>
      </c>
      <c r="W126" s="50">
        <v>127.780151</v>
      </c>
      <c r="X126" s="50">
        <v>120.484711</v>
      </c>
      <c r="Y126" s="50">
        <v>121.592949</v>
      </c>
      <c r="Z126" s="50">
        <v>120.66327699999999</v>
      </c>
      <c r="AA126" s="50">
        <v>119.22187</v>
      </c>
      <c r="AB126" s="50">
        <v>117.73326900000001</v>
      </c>
      <c r="AC126" s="50">
        <v>116.62674699999999</v>
      </c>
      <c r="AD126" s="50">
        <v>115.91024</v>
      </c>
      <c r="AE126" s="50">
        <v>115.687859</v>
      </c>
      <c r="AF126" s="50">
        <v>114.601265</v>
      </c>
      <c r="AG126" s="50">
        <v>116.22637899999999</v>
      </c>
      <c r="AH126" s="50">
        <v>116.606163</v>
      </c>
      <c r="AI126" s="50">
        <v>119.58635700000001</v>
      </c>
      <c r="AJ126" s="50">
        <v>120.924278</v>
      </c>
      <c r="AK126" s="50">
        <v>122.308075</v>
      </c>
      <c r="AL126" s="50">
        <v>123.803253</v>
      </c>
      <c r="AM126" s="50">
        <v>125.40501399999999</v>
      </c>
    </row>
    <row r="127" spans="1:39" x14ac:dyDescent="0.2">
      <c r="A127" s="40" t="s">
        <v>2857</v>
      </c>
      <c r="B127" s="79">
        <v>7310.216796875</v>
      </c>
      <c r="C127" s="79">
        <v>7400.9443359375</v>
      </c>
      <c r="D127" s="115">
        <v>7996.77685546875</v>
      </c>
      <c r="E127" s="115">
        <v>7463.78173828125</v>
      </c>
      <c r="F127" s="79">
        <v>6453.2607420000004</v>
      </c>
      <c r="G127" s="79">
        <v>4937.5444340000004</v>
      </c>
      <c r="H127" s="79">
        <v>4047.5</v>
      </c>
      <c r="I127" s="79">
        <v>4268.8999999999996</v>
      </c>
      <c r="J127" s="50">
        <v>4333.4189450000003</v>
      </c>
      <c r="K127" s="50">
        <v>4820.6997069999998</v>
      </c>
      <c r="L127" s="50">
        <v>5121.6103519999997</v>
      </c>
      <c r="M127" s="50">
        <v>5404.5434569999998</v>
      </c>
      <c r="N127" s="50">
        <v>5765.3183589999999</v>
      </c>
      <c r="O127" s="50">
        <v>6035.1088870000003</v>
      </c>
      <c r="P127" s="50">
        <v>6018.6044920000004</v>
      </c>
      <c r="Q127" s="50">
        <v>5932.5229490000002</v>
      </c>
      <c r="R127" s="50">
        <v>5787.9887699999999</v>
      </c>
      <c r="S127" s="50">
        <v>5738.1303710000002</v>
      </c>
      <c r="T127" s="50">
        <v>5694.4257809999999</v>
      </c>
      <c r="U127" s="50">
        <v>5607.2919920000004</v>
      </c>
      <c r="V127" s="50">
        <v>5606.3374020000001</v>
      </c>
      <c r="W127" s="50">
        <v>5607.1567379999997</v>
      </c>
      <c r="X127" s="50">
        <v>5652.5537109999996</v>
      </c>
      <c r="Y127" s="50">
        <v>5752.3901370000003</v>
      </c>
      <c r="Z127" s="50">
        <v>5740.8833009999998</v>
      </c>
      <c r="AA127" s="50">
        <v>5739.4257809999999</v>
      </c>
      <c r="AB127" s="50">
        <v>5710.3271480000003</v>
      </c>
      <c r="AC127" s="50">
        <v>5691.3847660000001</v>
      </c>
      <c r="AD127" s="50">
        <v>5682.7910160000001</v>
      </c>
      <c r="AE127" s="50">
        <v>5684.5634769999997</v>
      </c>
      <c r="AF127" s="50">
        <v>5682.2309569999998</v>
      </c>
      <c r="AG127" s="50">
        <v>5675.4018550000001</v>
      </c>
      <c r="AH127" s="50">
        <v>5706.4960940000001</v>
      </c>
      <c r="AI127" s="50">
        <v>5723.9106449999999</v>
      </c>
      <c r="AJ127" s="50">
        <v>5750.1025390000004</v>
      </c>
      <c r="AK127" s="50">
        <v>5779.1684569999998</v>
      </c>
      <c r="AL127" s="50">
        <v>5779.0527339999999</v>
      </c>
      <c r="AM127" s="50">
        <v>5763.6835940000001</v>
      </c>
    </row>
    <row r="128" spans="1:39" x14ac:dyDescent="0.2">
      <c r="B128" s="79"/>
      <c r="C128" s="79"/>
    </row>
    <row r="129" spans="1:39" x14ac:dyDescent="0.2">
      <c r="A129" s="40" t="s">
        <v>2858</v>
      </c>
      <c r="B129" s="79"/>
      <c r="C129" s="79"/>
    </row>
    <row r="130" spans="1:39" x14ac:dyDescent="0.2">
      <c r="A130" s="40" t="s">
        <v>2757</v>
      </c>
      <c r="B130" s="79">
        <v>386.82025146484398</v>
      </c>
      <c r="C130" s="79">
        <v>395.103759765625</v>
      </c>
      <c r="D130" s="115">
        <v>316.57733154296898</v>
      </c>
      <c r="E130" s="115">
        <v>308.87881469726602</v>
      </c>
      <c r="F130" s="79">
        <v>939.64862100000005</v>
      </c>
      <c r="G130" s="79">
        <v>823.70294200000001</v>
      </c>
      <c r="H130" s="79">
        <v>575.5</v>
      </c>
      <c r="I130" s="79">
        <v>820.1</v>
      </c>
      <c r="J130" s="50">
        <v>1246.0379640000001</v>
      </c>
      <c r="K130" s="50">
        <v>1367.4259030000001</v>
      </c>
      <c r="L130" s="50">
        <v>1388.0428469999999</v>
      </c>
      <c r="M130" s="50">
        <v>1417.1369629999999</v>
      </c>
      <c r="N130" s="50">
        <v>1412.965942</v>
      </c>
      <c r="O130" s="50">
        <v>1450.9179690000001</v>
      </c>
      <c r="P130" s="50">
        <v>1445.5001219999999</v>
      </c>
      <c r="Q130" s="50">
        <v>1447.7738039999999</v>
      </c>
      <c r="R130" s="50">
        <v>1454.1430660000001</v>
      </c>
      <c r="S130" s="50">
        <v>1398.4282229999999</v>
      </c>
      <c r="T130" s="50">
        <v>1404.627808</v>
      </c>
      <c r="U130" s="50">
        <v>1434.9608149999999</v>
      </c>
      <c r="V130" s="50">
        <v>1384.809937</v>
      </c>
      <c r="W130" s="50">
        <v>1364.5823969999999</v>
      </c>
      <c r="X130" s="50">
        <v>1381.4514160000001</v>
      </c>
      <c r="Y130" s="50">
        <v>1410.900635</v>
      </c>
      <c r="Z130" s="50">
        <v>1418.811279</v>
      </c>
      <c r="AA130" s="50">
        <v>1432.6164550000001</v>
      </c>
      <c r="AB130" s="50">
        <v>1443.567505</v>
      </c>
      <c r="AC130" s="50">
        <v>1456.509888</v>
      </c>
      <c r="AD130" s="50">
        <v>1459.550293</v>
      </c>
      <c r="AE130" s="50">
        <v>1449.6683350000001</v>
      </c>
      <c r="AF130" s="50">
        <v>1432.6729740000001</v>
      </c>
      <c r="AG130" s="50">
        <v>1416.310913</v>
      </c>
      <c r="AH130" s="50">
        <v>1402.608643</v>
      </c>
      <c r="AI130" s="50">
        <v>1396.966919</v>
      </c>
      <c r="AJ130" s="50">
        <v>1393.1641850000001</v>
      </c>
      <c r="AK130" s="50">
        <v>1392.3270259999999</v>
      </c>
      <c r="AL130" s="50">
        <v>1391.853638</v>
      </c>
      <c r="AM130" s="50">
        <v>1387.6365969999999</v>
      </c>
    </row>
    <row r="131" spans="1:39" x14ac:dyDescent="0.2">
      <c r="A131" s="127" t="s">
        <v>2849</v>
      </c>
      <c r="B131" s="79">
        <v>0</v>
      </c>
      <c r="C131" s="79">
        <v>0</v>
      </c>
      <c r="D131" s="115">
        <v>0</v>
      </c>
      <c r="E131" s="115">
        <v>0</v>
      </c>
      <c r="F131" s="79">
        <v>0</v>
      </c>
      <c r="G131" s="79">
        <v>0</v>
      </c>
      <c r="H131" s="79">
        <v>0.4</v>
      </c>
      <c r="I131" s="79">
        <v>1</v>
      </c>
      <c r="J131" s="50">
        <v>0.84213899999999997</v>
      </c>
      <c r="K131" s="50">
        <v>1.1191279999999999</v>
      </c>
      <c r="L131" s="50">
        <v>1.248459</v>
      </c>
      <c r="M131" s="50">
        <v>1.324746</v>
      </c>
      <c r="N131" s="50">
        <v>1.5622879999999999</v>
      </c>
      <c r="O131" s="50">
        <v>1.3963680000000001</v>
      </c>
      <c r="P131" s="50">
        <v>1.351521</v>
      </c>
      <c r="Q131" s="50">
        <v>1.4427220000000001</v>
      </c>
      <c r="R131" s="50">
        <v>1.362428</v>
      </c>
      <c r="S131" s="50">
        <v>1.344784</v>
      </c>
      <c r="T131" s="50">
        <v>1.3711990000000001</v>
      </c>
      <c r="U131" s="50">
        <v>1.4226909999999999</v>
      </c>
      <c r="V131" s="50">
        <v>1.477252</v>
      </c>
      <c r="W131" s="50">
        <v>1.5978540000000001</v>
      </c>
      <c r="X131" s="50">
        <v>1.7828409999999999</v>
      </c>
      <c r="Y131" s="50">
        <v>1.9413739999999999</v>
      </c>
      <c r="Z131" s="50">
        <v>2.0784029999999998</v>
      </c>
      <c r="AA131" s="50">
        <v>2.2088040000000002</v>
      </c>
      <c r="AB131" s="50">
        <v>2.3210459999999999</v>
      </c>
      <c r="AC131" s="50">
        <v>2.414698</v>
      </c>
      <c r="AD131" s="50">
        <v>2.4914420000000002</v>
      </c>
      <c r="AE131" s="50">
        <v>2.557985</v>
      </c>
      <c r="AF131" s="50">
        <v>2.6088110000000002</v>
      </c>
      <c r="AG131" s="50">
        <v>2.6666110000000001</v>
      </c>
      <c r="AH131" s="50">
        <v>2.7058420000000001</v>
      </c>
      <c r="AI131" s="50">
        <v>2.746543</v>
      </c>
      <c r="AJ131" s="50">
        <v>2.7911619999999999</v>
      </c>
      <c r="AK131" s="50">
        <v>2.8351259999999998</v>
      </c>
      <c r="AL131" s="50">
        <v>2.8785050000000001</v>
      </c>
      <c r="AM131" s="50">
        <v>2.916398</v>
      </c>
    </row>
    <row r="132" spans="1:39" x14ac:dyDescent="0.2">
      <c r="A132" s="127" t="s">
        <v>2850</v>
      </c>
      <c r="B132" s="79">
        <v>3.2787640094757098</v>
      </c>
      <c r="C132" s="79">
        <v>3.32100129127502</v>
      </c>
      <c r="D132" s="115">
        <v>8.3775080740451799E-2</v>
      </c>
      <c r="E132" s="115">
        <v>9.5017187297344194E-2</v>
      </c>
      <c r="F132" s="79">
        <v>7.8798000000000007E-2</v>
      </c>
      <c r="G132" s="79">
        <v>5.5959000000000002E-2</v>
      </c>
      <c r="H132" s="79">
        <v>0</v>
      </c>
      <c r="I132" s="79">
        <v>0</v>
      </c>
      <c r="J132" s="50">
        <v>0</v>
      </c>
      <c r="K132" s="50">
        <v>0</v>
      </c>
      <c r="L132" s="50">
        <v>0</v>
      </c>
      <c r="M132" s="50">
        <v>0</v>
      </c>
      <c r="N132" s="50">
        <v>0</v>
      </c>
      <c r="O132" s="50">
        <v>0</v>
      </c>
      <c r="P132" s="50">
        <v>0</v>
      </c>
      <c r="Q132" s="50">
        <v>1.47E-4</v>
      </c>
      <c r="R132" s="50">
        <v>1.8699999999999999E-4</v>
      </c>
      <c r="S132" s="50">
        <v>2.2599999999999999E-4</v>
      </c>
      <c r="T132" s="50">
        <v>3.2600000000000001E-4</v>
      </c>
      <c r="U132" s="50">
        <v>4.9799999999999996E-4</v>
      </c>
      <c r="V132" s="50">
        <v>7.5900000000000002E-4</v>
      </c>
      <c r="W132" s="50">
        <v>1.325E-3</v>
      </c>
      <c r="X132" s="50">
        <v>2.2650000000000001E-3</v>
      </c>
      <c r="Y132" s="50">
        <v>3.307E-3</v>
      </c>
      <c r="Z132" s="50">
        <v>4.6249999999999998E-3</v>
      </c>
      <c r="AA132" s="50">
        <v>6.1380000000000002E-3</v>
      </c>
      <c r="AB132" s="50">
        <v>8.3000000000000001E-3</v>
      </c>
      <c r="AC132" s="50">
        <v>1.0815E-2</v>
      </c>
      <c r="AD132" s="50">
        <v>1.3328E-2</v>
      </c>
      <c r="AE132" s="50">
        <v>1.5640000000000001E-2</v>
      </c>
      <c r="AF132" s="50">
        <v>1.7592E-2</v>
      </c>
      <c r="AG132" s="50">
        <v>1.9377999999999999E-2</v>
      </c>
      <c r="AH132" s="50">
        <v>2.0774999999999998E-2</v>
      </c>
      <c r="AI132" s="50">
        <v>2.1925E-2</v>
      </c>
      <c r="AJ132" s="50">
        <v>2.2984999999999998E-2</v>
      </c>
      <c r="AK132" s="50">
        <v>2.3952999999999999E-2</v>
      </c>
      <c r="AL132" s="50">
        <v>2.4903000000000002E-2</v>
      </c>
      <c r="AM132" s="50">
        <v>2.5871000000000002E-2</v>
      </c>
    </row>
    <row r="133" spans="1:39" x14ac:dyDescent="0.2">
      <c r="A133" s="40" t="s">
        <v>2851</v>
      </c>
      <c r="B133" s="79"/>
      <c r="C133" s="79"/>
      <c r="D133" s="115"/>
      <c r="E133" s="115"/>
      <c r="F133" s="79">
        <v>0</v>
      </c>
      <c r="G133" s="79">
        <v>0</v>
      </c>
      <c r="H133" s="79">
        <v>0</v>
      </c>
      <c r="I133" s="79">
        <v>0</v>
      </c>
      <c r="J133" s="50">
        <v>0</v>
      </c>
      <c r="K133" s="50">
        <v>0</v>
      </c>
      <c r="L133" s="50">
        <v>0</v>
      </c>
      <c r="M133" s="50">
        <v>0</v>
      </c>
      <c r="N133" s="50">
        <v>0</v>
      </c>
      <c r="O133" s="50">
        <v>0.31345400000000001</v>
      </c>
      <c r="P133" s="50">
        <v>0.29074800000000001</v>
      </c>
      <c r="Q133" s="50">
        <v>0.342366</v>
      </c>
      <c r="R133" s="50">
        <v>0.33915200000000001</v>
      </c>
      <c r="S133" s="50">
        <v>0.33977800000000002</v>
      </c>
      <c r="T133" s="50">
        <v>0.36556100000000002</v>
      </c>
      <c r="U133" s="50">
        <v>0.405144</v>
      </c>
      <c r="V133" s="50">
        <v>0.44448100000000001</v>
      </c>
      <c r="W133" s="50">
        <v>0.46106200000000003</v>
      </c>
      <c r="X133" s="50">
        <v>0.52402700000000002</v>
      </c>
      <c r="Y133" s="50">
        <v>0.593283</v>
      </c>
      <c r="Z133" s="50">
        <v>0.65911299999999995</v>
      </c>
      <c r="AA133" s="50">
        <v>0.72266399999999997</v>
      </c>
      <c r="AB133" s="50">
        <v>0.77715500000000004</v>
      </c>
      <c r="AC133" s="50">
        <v>0.82298199999999999</v>
      </c>
      <c r="AD133" s="50">
        <v>0.86020300000000005</v>
      </c>
      <c r="AE133" s="50">
        <v>0.890598</v>
      </c>
      <c r="AF133" s="50">
        <v>0.91351300000000002</v>
      </c>
      <c r="AG133" s="50">
        <v>0.93729799999999996</v>
      </c>
      <c r="AH133" s="50">
        <v>0.95552599999999999</v>
      </c>
      <c r="AI133" s="50">
        <v>0.97280299999999997</v>
      </c>
      <c r="AJ133" s="50">
        <v>0.99108799999999997</v>
      </c>
      <c r="AK133" s="50">
        <v>1.008764</v>
      </c>
      <c r="AL133" s="50">
        <v>1.025774</v>
      </c>
      <c r="AM133" s="50">
        <v>1.0411699999999999</v>
      </c>
    </row>
    <row r="134" spans="1:39" x14ac:dyDescent="0.2">
      <c r="A134" s="40" t="s">
        <v>2852</v>
      </c>
      <c r="B134" s="79"/>
      <c r="C134" s="79"/>
      <c r="D134" s="115">
        <v>0</v>
      </c>
      <c r="E134" s="115">
        <v>0</v>
      </c>
      <c r="F134" s="79">
        <v>0</v>
      </c>
      <c r="G134" s="79">
        <v>0</v>
      </c>
      <c r="H134" s="79">
        <v>0</v>
      </c>
      <c r="I134" s="79">
        <v>0</v>
      </c>
      <c r="J134" s="50">
        <v>0</v>
      </c>
      <c r="K134" s="50">
        <v>0</v>
      </c>
      <c r="L134" s="50">
        <v>0</v>
      </c>
      <c r="M134" s="50">
        <v>0</v>
      </c>
      <c r="N134" s="50">
        <v>0</v>
      </c>
      <c r="O134" s="50">
        <v>0</v>
      </c>
      <c r="P134" s="50">
        <v>0</v>
      </c>
      <c r="Q134" s="50">
        <v>1.65E-4</v>
      </c>
      <c r="R134" s="50">
        <v>1.27E-4</v>
      </c>
      <c r="S134" s="50">
        <v>1.2400000000000001E-4</v>
      </c>
      <c r="T134" s="50">
        <v>1.46E-4</v>
      </c>
      <c r="U134" s="50">
        <v>1.92E-4</v>
      </c>
      <c r="V134" s="50">
        <v>2.41E-4</v>
      </c>
      <c r="W134" s="50">
        <v>3.0600000000000001E-4</v>
      </c>
      <c r="X134" s="50">
        <v>4.28E-4</v>
      </c>
      <c r="Y134" s="50">
        <v>5.7899999999999998E-4</v>
      </c>
      <c r="Z134" s="50">
        <v>7.5600000000000005E-4</v>
      </c>
      <c r="AA134" s="50">
        <v>9.4700000000000003E-4</v>
      </c>
      <c r="AB134" s="50">
        <v>1.137E-3</v>
      </c>
      <c r="AC134" s="50">
        <v>1.3079999999999999E-3</v>
      </c>
      <c r="AD134" s="50">
        <v>1.4499999999999999E-3</v>
      </c>
      <c r="AE134" s="50">
        <v>1.5690000000000001E-3</v>
      </c>
      <c r="AF134" s="50">
        <v>1.66E-3</v>
      </c>
      <c r="AG134" s="50">
        <v>1.748E-3</v>
      </c>
      <c r="AH134" s="50">
        <v>1.805E-3</v>
      </c>
      <c r="AI134" s="50">
        <v>1.856E-3</v>
      </c>
      <c r="AJ134" s="50">
        <v>1.908E-3</v>
      </c>
      <c r="AK134" s="50">
        <v>1.957E-3</v>
      </c>
      <c r="AL134" s="50">
        <v>2.0079999999999998E-3</v>
      </c>
      <c r="AM134" s="50">
        <v>2.0569999999999998E-3</v>
      </c>
    </row>
    <row r="135" spans="1:39" x14ac:dyDescent="0.2">
      <c r="A135" s="40" t="s">
        <v>2763</v>
      </c>
      <c r="B135" s="79">
        <v>0</v>
      </c>
      <c r="C135" s="79">
        <v>0</v>
      </c>
      <c r="D135" s="115">
        <v>0</v>
      </c>
      <c r="E135" s="115">
        <v>0</v>
      </c>
      <c r="F135" s="79">
        <v>0</v>
      </c>
      <c r="G135" s="79">
        <v>0</v>
      </c>
      <c r="H135" s="79">
        <v>0</v>
      </c>
      <c r="I135" s="79">
        <v>0</v>
      </c>
      <c r="J135" s="50">
        <v>0</v>
      </c>
      <c r="K135" s="50">
        <v>0</v>
      </c>
      <c r="L135" s="50">
        <v>0</v>
      </c>
      <c r="M135" s="50">
        <v>0</v>
      </c>
      <c r="N135" s="50">
        <v>0</v>
      </c>
      <c r="O135" s="50">
        <v>0</v>
      </c>
      <c r="P135" s="50">
        <v>7.8949999999999992E-3</v>
      </c>
      <c r="Q135" s="50">
        <v>1.2913000000000001E-2</v>
      </c>
      <c r="R135" s="50">
        <v>1.5547999999999999E-2</v>
      </c>
      <c r="S135" s="50">
        <v>3.7280000000000001E-2</v>
      </c>
      <c r="T135" s="50">
        <v>5.0293999999999998E-2</v>
      </c>
      <c r="U135" s="50">
        <v>5.7445000000000003E-2</v>
      </c>
      <c r="V135" s="50">
        <v>6.3143000000000005E-2</v>
      </c>
      <c r="W135" s="50">
        <v>7.1875999999999995E-2</v>
      </c>
      <c r="X135" s="50">
        <v>8.0119999999999997E-2</v>
      </c>
      <c r="Y135" s="50">
        <v>8.7166999999999994E-2</v>
      </c>
      <c r="Z135" s="50">
        <v>9.2254000000000003E-2</v>
      </c>
      <c r="AA135" s="50">
        <v>9.6376000000000003E-2</v>
      </c>
      <c r="AB135" s="50">
        <v>9.9654999999999994E-2</v>
      </c>
      <c r="AC135" s="50">
        <v>0.102399</v>
      </c>
      <c r="AD135" s="50">
        <v>0.104617</v>
      </c>
      <c r="AE135" s="50">
        <v>0.106462</v>
      </c>
      <c r="AF135" s="50">
        <v>0.107414</v>
      </c>
      <c r="AG135" s="50">
        <v>0.109602</v>
      </c>
      <c r="AH135" s="50">
        <v>0.111142</v>
      </c>
      <c r="AI135" s="50">
        <v>0.11368499999999999</v>
      </c>
      <c r="AJ135" s="50">
        <v>0.115713</v>
      </c>
      <c r="AK135" s="50">
        <v>0.11745899999999999</v>
      </c>
      <c r="AL135" s="50">
        <v>0.11926200000000001</v>
      </c>
      <c r="AM135" s="50">
        <v>0.12126099999999999</v>
      </c>
    </row>
    <row r="136" spans="1:39" x14ac:dyDescent="0.2">
      <c r="A136" s="40" t="s">
        <v>2764</v>
      </c>
      <c r="B136" s="79">
        <v>0</v>
      </c>
      <c r="C136" s="79">
        <v>0</v>
      </c>
      <c r="D136" s="115">
        <v>83.338066101074205</v>
      </c>
      <c r="E136" s="115">
        <v>102.37680816650401</v>
      </c>
      <c r="F136" s="79">
        <v>70.648880000000005</v>
      </c>
      <c r="G136" s="79">
        <v>63.857329999999997</v>
      </c>
      <c r="H136" s="79">
        <v>54.1</v>
      </c>
      <c r="I136" s="79">
        <v>44.9</v>
      </c>
      <c r="J136" s="50">
        <v>31.347094999999999</v>
      </c>
      <c r="K136" s="50">
        <v>23.658794</v>
      </c>
      <c r="L136" s="50">
        <v>24.751954999999999</v>
      </c>
      <c r="M136" s="50">
        <v>25.658255</v>
      </c>
      <c r="N136" s="50">
        <v>26.526399999999999</v>
      </c>
      <c r="O136" s="50">
        <v>28.295013000000001</v>
      </c>
      <c r="P136" s="50">
        <v>29.286057</v>
      </c>
      <c r="Q136" s="50">
        <v>35.141013999999998</v>
      </c>
      <c r="R136" s="50">
        <v>35.604225</v>
      </c>
      <c r="S136" s="50">
        <v>36.073977999999997</v>
      </c>
      <c r="T136" s="50">
        <v>37.030757999999999</v>
      </c>
      <c r="U136" s="50">
        <v>37.948501999999998</v>
      </c>
      <c r="V136" s="50">
        <v>39.395729000000003</v>
      </c>
      <c r="W136" s="50">
        <v>40.774918</v>
      </c>
      <c r="X136" s="50">
        <v>43.650173000000002</v>
      </c>
      <c r="Y136" s="50">
        <v>46.561400999999996</v>
      </c>
      <c r="Z136" s="50">
        <v>48.671447999999998</v>
      </c>
      <c r="AA136" s="50">
        <v>50.543705000000003</v>
      </c>
      <c r="AB136" s="50">
        <v>51.908141999999998</v>
      </c>
      <c r="AC136" s="50">
        <v>53.033062000000001</v>
      </c>
      <c r="AD136" s="50">
        <v>53.965538000000002</v>
      </c>
      <c r="AE136" s="50">
        <v>54.724522</v>
      </c>
      <c r="AF136" s="50">
        <v>55.235160999999998</v>
      </c>
      <c r="AG136" s="50">
        <v>55.757046000000003</v>
      </c>
      <c r="AH136" s="50">
        <v>56.331909000000003</v>
      </c>
      <c r="AI136" s="50">
        <v>56.843902999999997</v>
      </c>
      <c r="AJ136" s="50">
        <v>57.427052000000003</v>
      </c>
      <c r="AK136" s="50">
        <v>57.980525999999998</v>
      </c>
      <c r="AL136" s="50">
        <v>58.363892</v>
      </c>
      <c r="AM136" s="50">
        <v>58.609146000000003</v>
      </c>
    </row>
    <row r="137" spans="1:39" x14ac:dyDescent="0.2">
      <c r="A137" s="40" t="s">
        <v>2758</v>
      </c>
      <c r="B137" s="79">
        <v>9.2110984027385698E-2</v>
      </c>
      <c r="C137" s="79">
        <v>9.2126160860061604E-2</v>
      </c>
      <c r="D137" s="115">
        <v>2.0863633155822798</v>
      </c>
      <c r="E137" s="115">
        <v>2.3622798919677699</v>
      </c>
      <c r="F137" s="79">
        <v>2.5400140000000002</v>
      </c>
      <c r="G137" s="79">
        <v>1.5711850000000001</v>
      </c>
      <c r="H137" s="79">
        <v>7.2</v>
      </c>
      <c r="I137" s="79">
        <v>4.3</v>
      </c>
      <c r="J137" s="50">
        <v>5.0847470000000001</v>
      </c>
      <c r="K137" s="50">
        <v>5.5753539999999999</v>
      </c>
      <c r="L137" s="50">
        <v>6.3148390000000001</v>
      </c>
      <c r="M137" s="50">
        <v>7.0462210000000001</v>
      </c>
      <c r="N137" s="50">
        <v>6.659211</v>
      </c>
      <c r="O137" s="50">
        <v>7.1297189999999997</v>
      </c>
      <c r="P137" s="50">
        <v>7.216202</v>
      </c>
      <c r="Q137" s="50">
        <v>7.268777</v>
      </c>
      <c r="R137" s="50">
        <v>7.1474690000000001</v>
      </c>
      <c r="S137" s="50">
        <v>6.982615</v>
      </c>
      <c r="T137" s="50">
        <v>7.0086310000000003</v>
      </c>
      <c r="U137" s="50">
        <v>6.989992</v>
      </c>
      <c r="V137" s="50">
        <v>6.9613969999999998</v>
      </c>
      <c r="W137" s="50">
        <v>6.9338309999999996</v>
      </c>
      <c r="X137" s="50">
        <v>6.9875170000000004</v>
      </c>
      <c r="Y137" s="50">
        <v>7.1358269999999999</v>
      </c>
      <c r="Z137" s="50">
        <v>7.1435430000000002</v>
      </c>
      <c r="AA137" s="50">
        <v>7.1576760000000004</v>
      </c>
      <c r="AB137" s="50">
        <v>7.139615</v>
      </c>
      <c r="AC137" s="50">
        <v>7.134538</v>
      </c>
      <c r="AD137" s="50">
        <v>7.1386940000000001</v>
      </c>
      <c r="AE137" s="50">
        <v>7.1477969999999997</v>
      </c>
      <c r="AF137" s="50">
        <v>7.1439000000000004</v>
      </c>
      <c r="AG137" s="50">
        <v>7.1392119999999997</v>
      </c>
      <c r="AH137" s="50">
        <v>7.1690120000000004</v>
      </c>
      <c r="AI137" s="50">
        <v>7.1970939999999999</v>
      </c>
      <c r="AJ137" s="50">
        <v>7.2360790000000001</v>
      </c>
      <c r="AK137" s="50">
        <v>7.2759999999999998</v>
      </c>
      <c r="AL137" s="50">
        <v>7.2815260000000004</v>
      </c>
      <c r="AM137" s="50">
        <v>7.2655110000000001</v>
      </c>
    </row>
    <row r="138" spans="1:39" x14ac:dyDescent="0.2">
      <c r="A138" s="40" t="s">
        <v>2759</v>
      </c>
      <c r="B138" s="79">
        <v>30.4783744812012</v>
      </c>
      <c r="C138" s="79">
        <v>30.910882949829102</v>
      </c>
      <c r="D138" s="115">
        <v>4.3262367248535201</v>
      </c>
      <c r="E138" s="115">
        <v>4.9238605499267596</v>
      </c>
      <c r="F138" s="79">
        <v>7.4342569999999997</v>
      </c>
      <c r="G138" s="79">
        <v>3.165975</v>
      </c>
      <c r="H138" s="79">
        <v>9.1999999999999993</v>
      </c>
      <c r="I138" s="79">
        <v>7.9</v>
      </c>
      <c r="J138" s="50">
        <v>9.0536729999999999</v>
      </c>
      <c r="K138" s="50">
        <v>10.108141</v>
      </c>
      <c r="L138" s="50">
        <v>10.776797999999999</v>
      </c>
      <c r="M138" s="50">
        <v>11.524856</v>
      </c>
      <c r="N138" s="50">
        <v>11.640841</v>
      </c>
      <c r="O138" s="50">
        <v>12.246107</v>
      </c>
      <c r="P138" s="50">
        <v>12.239061</v>
      </c>
      <c r="Q138" s="50">
        <v>12.140065</v>
      </c>
      <c r="R138" s="50">
        <v>11.911863</v>
      </c>
      <c r="S138" s="50">
        <v>11.688029999999999</v>
      </c>
      <c r="T138" s="50">
        <v>11.654292999999999</v>
      </c>
      <c r="U138" s="50">
        <v>11.571776</v>
      </c>
      <c r="V138" s="50">
        <v>11.494558</v>
      </c>
      <c r="W138" s="50">
        <v>11.460559</v>
      </c>
      <c r="X138" s="50">
        <v>11.560756</v>
      </c>
      <c r="Y138" s="50">
        <v>11.78416</v>
      </c>
      <c r="Z138" s="50">
        <v>11.785375999999999</v>
      </c>
      <c r="AA138" s="50">
        <v>11.808598999999999</v>
      </c>
      <c r="AB138" s="50">
        <v>11.781321</v>
      </c>
      <c r="AC138" s="50">
        <v>11.773923999999999</v>
      </c>
      <c r="AD138" s="50">
        <v>11.769890999999999</v>
      </c>
      <c r="AE138" s="50">
        <v>11.761863999999999</v>
      </c>
      <c r="AF138" s="50">
        <v>11.73357</v>
      </c>
      <c r="AG138" s="50">
        <v>11.700623999999999</v>
      </c>
      <c r="AH138" s="50">
        <v>11.731934000000001</v>
      </c>
      <c r="AI138" s="50">
        <v>11.754746000000001</v>
      </c>
      <c r="AJ138" s="50">
        <v>11.797466</v>
      </c>
      <c r="AK138" s="50">
        <v>11.849793999999999</v>
      </c>
      <c r="AL138" s="50">
        <v>11.854986999999999</v>
      </c>
      <c r="AM138" s="50">
        <v>11.829300999999999</v>
      </c>
    </row>
    <row r="139" spans="1:39" x14ac:dyDescent="0.2">
      <c r="A139" s="40" t="s">
        <v>2760</v>
      </c>
      <c r="B139" s="79">
        <v>0.55658036470413197</v>
      </c>
      <c r="C139" s="79">
        <v>0.66794067621231101</v>
      </c>
      <c r="D139" s="115">
        <v>0.521431744098663</v>
      </c>
      <c r="E139" s="115">
        <v>0.47874560952186601</v>
      </c>
      <c r="F139" s="79">
        <v>0.41686200000000001</v>
      </c>
      <c r="G139" s="79">
        <v>0.33083400000000002</v>
      </c>
      <c r="H139" s="79">
        <v>5.4</v>
      </c>
      <c r="I139" s="79">
        <v>3.9</v>
      </c>
      <c r="J139" s="50">
        <v>4.9240789999999999</v>
      </c>
      <c r="K139" s="50">
        <v>5.9092450000000003</v>
      </c>
      <c r="L139" s="50">
        <v>9.4034399999999998</v>
      </c>
      <c r="M139" s="50">
        <v>10.938909000000001</v>
      </c>
      <c r="N139" s="50">
        <v>11.058157</v>
      </c>
      <c r="O139" s="50">
        <v>11.542379</v>
      </c>
      <c r="P139" s="50">
        <v>11.424941</v>
      </c>
      <c r="Q139" s="50">
        <v>11.208624</v>
      </c>
      <c r="R139" s="50">
        <v>10.960073</v>
      </c>
      <c r="S139" s="50">
        <v>11.003513</v>
      </c>
      <c r="T139" s="50">
        <v>11.074066</v>
      </c>
      <c r="U139" s="50">
        <v>11.102529000000001</v>
      </c>
      <c r="V139" s="50">
        <v>11.199236000000001</v>
      </c>
      <c r="W139" s="50">
        <v>11.214103</v>
      </c>
      <c r="X139" s="50">
        <v>11.370551000000001</v>
      </c>
      <c r="Y139" s="50">
        <v>11.728228</v>
      </c>
      <c r="Z139" s="50">
        <v>11.831308999999999</v>
      </c>
      <c r="AA139" s="50">
        <v>11.889868999999999</v>
      </c>
      <c r="AB139" s="50">
        <v>11.932074</v>
      </c>
      <c r="AC139" s="50">
        <v>11.992853</v>
      </c>
      <c r="AD139" s="50">
        <v>12.078486</v>
      </c>
      <c r="AE139" s="50">
        <v>12.171706</v>
      </c>
      <c r="AF139" s="50">
        <v>12.239122</v>
      </c>
      <c r="AG139" s="50">
        <v>12.426902</v>
      </c>
      <c r="AH139" s="50">
        <v>12.568505</v>
      </c>
      <c r="AI139" s="50">
        <v>12.728713000000001</v>
      </c>
      <c r="AJ139" s="50">
        <v>13.005445999999999</v>
      </c>
      <c r="AK139" s="50">
        <v>13.297677</v>
      </c>
      <c r="AL139" s="50">
        <v>13.630559999999999</v>
      </c>
      <c r="AM139" s="50">
        <v>13.956466000000001</v>
      </c>
    </row>
    <row r="140" spans="1:39" x14ac:dyDescent="0.2">
      <c r="A140" s="40" t="s">
        <v>2761</v>
      </c>
      <c r="B140" s="79">
        <v>101.050666809082</v>
      </c>
      <c r="C140" s="79">
        <v>102.35328674316401</v>
      </c>
      <c r="D140" s="115">
        <v>5.2112843841314302E-2</v>
      </c>
      <c r="E140" s="115">
        <v>5.8211456984281498E-2</v>
      </c>
      <c r="F140" s="79">
        <v>5.0541000000000003E-2</v>
      </c>
      <c r="G140" s="79">
        <v>3.5338000000000001E-2</v>
      </c>
      <c r="H140" s="79">
        <v>34</v>
      </c>
      <c r="I140" s="79">
        <v>18.5</v>
      </c>
      <c r="J140" s="50">
        <v>23.027428</v>
      </c>
      <c r="K140" s="50">
        <v>24.809104999999999</v>
      </c>
      <c r="L140" s="50">
        <v>27.927135</v>
      </c>
      <c r="M140" s="50">
        <v>32.100211999999999</v>
      </c>
      <c r="N140" s="50">
        <v>29.788087999999998</v>
      </c>
      <c r="O140" s="50">
        <v>31.881921999999999</v>
      </c>
      <c r="P140" s="50">
        <v>31.985852999999999</v>
      </c>
      <c r="Q140" s="50">
        <v>32.057152000000002</v>
      </c>
      <c r="R140" s="50">
        <v>31.531521000000001</v>
      </c>
      <c r="S140" s="50">
        <v>30.559441</v>
      </c>
      <c r="T140" s="50">
        <v>30.585937999999999</v>
      </c>
      <c r="U140" s="50">
        <v>30.408287000000001</v>
      </c>
      <c r="V140" s="50">
        <v>30.231562</v>
      </c>
      <c r="W140" s="50">
        <v>30.123766</v>
      </c>
      <c r="X140" s="50">
        <v>30.351158000000002</v>
      </c>
      <c r="Y140" s="50">
        <v>30.957892999999999</v>
      </c>
      <c r="Z140" s="50">
        <v>30.962944</v>
      </c>
      <c r="AA140" s="50">
        <v>31.023897000000002</v>
      </c>
      <c r="AB140" s="50">
        <v>30.944610999999998</v>
      </c>
      <c r="AC140" s="50">
        <v>30.921389000000001</v>
      </c>
      <c r="AD140" s="50">
        <v>30.909555000000001</v>
      </c>
      <c r="AE140" s="50">
        <v>30.879797</v>
      </c>
      <c r="AF140" s="50">
        <v>30.798933000000002</v>
      </c>
      <c r="AG140" s="50">
        <v>30.702359999999999</v>
      </c>
      <c r="AH140" s="50">
        <v>30.780895000000001</v>
      </c>
      <c r="AI140" s="50">
        <v>30.836130000000001</v>
      </c>
      <c r="AJ140" s="50">
        <v>30.936624999999999</v>
      </c>
      <c r="AK140" s="50">
        <v>31.061966000000002</v>
      </c>
      <c r="AL140" s="50">
        <v>31.063604000000002</v>
      </c>
      <c r="AM140" s="50">
        <v>30.983499999999999</v>
      </c>
    </row>
    <row r="141" spans="1:39" ht="15.75" customHeight="1" x14ac:dyDescent="0.2">
      <c r="A141" s="40" t="s">
        <v>2765</v>
      </c>
      <c r="B141" s="79">
        <v>0</v>
      </c>
      <c r="C141" s="79">
        <v>0</v>
      </c>
      <c r="D141" s="115">
        <v>0</v>
      </c>
      <c r="E141" s="115">
        <v>0</v>
      </c>
      <c r="F141" s="79">
        <v>0</v>
      </c>
      <c r="G141" s="79">
        <v>0</v>
      </c>
      <c r="H141" s="79">
        <v>0</v>
      </c>
      <c r="I141" s="79">
        <v>0</v>
      </c>
      <c r="J141" s="50">
        <v>0</v>
      </c>
      <c r="K141" s="50">
        <v>0</v>
      </c>
      <c r="L141" s="50">
        <v>0</v>
      </c>
      <c r="M141" s="50">
        <v>0</v>
      </c>
      <c r="N141" s="50">
        <v>0</v>
      </c>
      <c r="O141" s="50">
        <v>0</v>
      </c>
      <c r="P141" s="50">
        <v>0</v>
      </c>
      <c r="Q141" s="50">
        <v>0</v>
      </c>
      <c r="R141" s="50">
        <v>0</v>
      </c>
      <c r="S141" s="50">
        <v>0</v>
      </c>
      <c r="T141" s="50">
        <v>0</v>
      </c>
      <c r="U141" s="50">
        <v>0</v>
      </c>
      <c r="V141" s="50">
        <v>0</v>
      </c>
      <c r="W141" s="50">
        <v>0</v>
      </c>
      <c r="X141" s="50">
        <v>0</v>
      </c>
      <c r="Y141" s="50">
        <v>0</v>
      </c>
      <c r="Z141" s="50">
        <v>0</v>
      </c>
      <c r="AA141" s="50">
        <v>0</v>
      </c>
      <c r="AB141" s="50">
        <v>0</v>
      </c>
      <c r="AC141" s="50">
        <v>0</v>
      </c>
      <c r="AD141" s="50">
        <v>0</v>
      </c>
      <c r="AE141" s="50">
        <v>0</v>
      </c>
      <c r="AF141" s="50">
        <v>0</v>
      </c>
      <c r="AG141" s="50">
        <v>0</v>
      </c>
      <c r="AH141" s="50">
        <v>0</v>
      </c>
      <c r="AI141" s="50">
        <v>0</v>
      </c>
      <c r="AJ141" s="50">
        <v>0</v>
      </c>
      <c r="AK141" s="50">
        <v>0</v>
      </c>
      <c r="AL141" s="50">
        <v>0</v>
      </c>
      <c r="AM141" s="50">
        <v>0</v>
      </c>
    </row>
    <row r="142" spans="1:39" ht="12.75" customHeight="1" x14ac:dyDescent="0.2">
      <c r="A142" s="40" t="s">
        <v>2766</v>
      </c>
      <c r="B142" s="79">
        <v>0</v>
      </c>
      <c r="C142" s="79">
        <v>0</v>
      </c>
      <c r="D142" s="115">
        <v>0</v>
      </c>
      <c r="E142" s="115">
        <v>0</v>
      </c>
      <c r="F142" s="79">
        <v>0</v>
      </c>
      <c r="G142" s="79">
        <v>0</v>
      </c>
      <c r="H142" s="79">
        <v>0</v>
      </c>
      <c r="I142" s="79">
        <v>0</v>
      </c>
      <c r="J142" s="50">
        <v>0</v>
      </c>
      <c r="K142" s="50">
        <v>0</v>
      </c>
      <c r="L142" s="50">
        <v>0</v>
      </c>
      <c r="M142" s="50">
        <v>0</v>
      </c>
      <c r="N142" s="50">
        <v>0</v>
      </c>
      <c r="O142" s="50">
        <v>0</v>
      </c>
      <c r="P142" s="50">
        <v>0</v>
      </c>
      <c r="Q142" s="50">
        <v>0</v>
      </c>
      <c r="R142" s="50">
        <v>0</v>
      </c>
      <c r="S142" s="50">
        <v>0</v>
      </c>
      <c r="T142" s="50">
        <v>0</v>
      </c>
      <c r="U142" s="50">
        <v>0</v>
      </c>
      <c r="V142" s="50">
        <v>0</v>
      </c>
      <c r="W142" s="50">
        <v>0</v>
      </c>
      <c r="X142" s="50">
        <v>0</v>
      </c>
      <c r="Y142" s="50">
        <v>0</v>
      </c>
      <c r="Z142" s="50">
        <v>0</v>
      </c>
      <c r="AA142" s="50">
        <v>0</v>
      </c>
      <c r="AB142" s="50">
        <v>0</v>
      </c>
      <c r="AC142" s="50">
        <v>0</v>
      </c>
      <c r="AD142" s="50">
        <v>0</v>
      </c>
      <c r="AE142" s="50">
        <v>0</v>
      </c>
      <c r="AF142" s="50">
        <v>0</v>
      </c>
      <c r="AG142" s="50">
        <v>0</v>
      </c>
      <c r="AH142" s="50">
        <v>0</v>
      </c>
      <c r="AI142" s="50">
        <v>0</v>
      </c>
      <c r="AJ142" s="50">
        <v>0</v>
      </c>
      <c r="AK142" s="50">
        <v>0</v>
      </c>
      <c r="AL142" s="50">
        <v>0</v>
      </c>
      <c r="AM142" s="50">
        <v>0</v>
      </c>
    </row>
    <row r="143" spans="1:39" x14ac:dyDescent="0.2">
      <c r="A143" s="40" t="s">
        <v>2767</v>
      </c>
      <c r="B143" s="79">
        <v>0</v>
      </c>
      <c r="C143" s="79">
        <v>0</v>
      </c>
      <c r="D143" s="115">
        <v>1.2035830877721299E-2</v>
      </c>
      <c r="E143" s="115">
        <v>1.21038882061839E-2</v>
      </c>
      <c r="F143" s="79">
        <v>0</v>
      </c>
      <c r="G143" s="79">
        <v>0</v>
      </c>
      <c r="H143" s="79">
        <v>0</v>
      </c>
      <c r="I143" s="79">
        <v>0</v>
      </c>
      <c r="J143" s="50">
        <v>0</v>
      </c>
      <c r="K143" s="50">
        <v>0</v>
      </c>
      <c r="L143" s="50">
        <v>0</v>
      </c>
      <c r="M143" s="50">
        <v>0</v>
      </c>
      <c r="N143" s="50">
        <v>2.0627149999999999</v>
      </c>
      <c r="O143" s="50">
        <v>2.2579020000000001</v>
      </c>
      <c r="P143" s="50">
        <v>0.68040999999999996</v>
      </c>
      <c r="Q143" s="50">
        <v>1.567561</v>
      </c>
      <c r="R143" s="50">
        <v>1.92543</v>
      </c>
      <c r="S143" s="50">
        <v>1.882619</v>
      </c>
      <c r="T143" s="50">
        <v>2.084997</v>
      </c>
      <c r="U143" s="50">
        <v>2.0549719999999998</v>
      </c>
      <c r="V143" s="50">
        <v>2.0571350000000002</v>
      </c>
      <c r="W143" s="50">
        <v>2.6322679999999998</v>
      </c>
      <c r="X143" s="50">
        <v>2.76709</v>
      </c>
      <c r="Y143" s="50">
        <v>2.8563969999999999</v>
      </c>
      <c r="Z143" s="50">
        <v>3.0299100000000001</v>
      </c>
      <c r="AA143" s="50">
        <v>3.076962</v>
      </c>
      <c r="AB143" s="50">
        <v>3.1691180000000001</v>
      </c>
      <c r="AC143" s="50">
        <v>3.2419250000000002</v>
      </c>
      <c r="AD143" s="50">
        <v>3.2968540000000002</v>
      </c>
      <c r="AE143" s="50">
        <v>3.3550409999999999</v>
      </c>
      <c r="AF143" s="50">
        <v>3.4114390000000001</v>
      </c>
      <c r="AG143" s="50">
        <v>3.4936410000000002</v>
      </c>
      <c r="AH143" s="50">
        <v>3.572613</v>
      </c>
      <c r="AI143" s="50">
        <v>3.6825450000000002</v>
      </c>
      <c r="AJ143" s="50">
        <v>3.811242</v>
      </c>
      <c r="AK143" s="50">
        <v>3.9546519999999998</v>
      </c>
      <c r="AL143" s="50">
        <v>4.1134380000000004</v>
      </c>
      <c r="AM143" s="50">
        <v>4.2811599999999999</v>
      </c>
    </row>
    <row r="144" spans="1:39" x14ac:dyDescent="0.2">
      <c r="A144" s="40" t="s">
        <v>2859</v>
      </c>
      <c r="B144" s="79">
        <v>522.27716064453102</v>
      </c>
      <c r="C144" s="79">
        <v>532.449462890625</v>
      </c>
      <c r="D144" s="115">
        <v>406.99734497070301</v>
      </c>
      <c r="E144" s="115">
        <v>419.18585205078102</v>
      </c>
      <c r="F144" s="79">
        <v>1020.817993</v>
      </c>
      <c r="G144" s="79">
        <v>892.71948199999997</v>
      </c>
      <c r="H144" s="79">
        <v>685.7</v>
      </c>
      <c r="I144" s="79">
        <v>900.7</v>
      </c>
      <c r="J144" s="50">
        <v>1320.317139</v>
      </c>
      <c r="K144" s="50">
        <v>1438.6057129999999</v>
      </c>
      <c r="L144" s="50">
        <v>1468.4654539999999</v>
      </c>
      <c r="M144" s="50">
        <v>1505.730225</v>
      </c>
      <c r="N144" s="50">
        <v>1502.2635499999999</v>
      </c>
      <c r="O144" s="50">
        <v>1545.980957</v>
      </c>
      <c r="P144" s="50">
        <v>1539.982788</v>
      </c>
      <c r="Q144" s="50">
        <v>1548.9552000000001</v>
      </c>
      <c r="R144" s="50">
        <v>1554.9410399999999</v>
      </c>
      <c r="S144" s="50">
        <v>1498.3404539999999</v>
      </c>
      <c r="T144" s="50">
        <v>1505.854126</v>
      </c>
      <c r="U144" s="50">
        <v>1536.9229740000001</v>
      </c>
      <c r="V144" s="50">
        <v>1488.135376</v>
      </c>
      <c r="W144" s="50">
        <v>1469.8544919999999</v>
      </c>
      <c r="X144" s="50">
        <v>1490.528564</v>
      </c>
      <c r="Y144" s="50">
        <v>1524.5504149999999</v>
      </c>
      <c r="Z144" s="50">
        <v>1535.070923</v>
      </c>
      <c r="AA144" s="50">
        <v>1551.1522219999999</v>
      </c>
      <c r="AB144" s="50">
        <v>1563.649658</v>
      </c>
      <c r="AC144" s="50">
        <v>1577.9598390000001</v>
      </c>
      <c r="AD144" s="50">
        <v>1582.1804199999999</v>
      </c>
      <c r="AE144" s="50">
        <v>1573.28125</v>
      </c>
      <c r="AF144" s="50">
        <v>1556.884155</v>
      </c>
      <c r="AG144" s="50">
        <v>1541.2653809999999</v>
      </c>
      <c r="AH144" s="50">
        <v>1528.5585940000001</v>
      </c>
      <c r="AI144" s="50">
        <v>1523.866943</v>
      </c>
      <c r="AJ144" s="50">
        <v>1521.301025</v>
      </c>
      <c r="AK144" s="50">
        <v>1521.7349850000001</v>
      </c>
      <c r="AL144" s="50">
        <v>1522.2120359999999</v>
      </c>
      <c r="AM144" s="50">
        <v>1518.6683350000001</v>
      </c>
    </row>
    <row r="145" spans="1:39" x14ac:dyDescent="0.2">
      <c r="B145" s="79"/>
      <c r="C145" s="79"/>
    </row>
    <row r="146" spans="1:39" x14ac:dyDescent="0.2">
      <c r="A146" s="40" t="s">
        <v>2860</v>
      </c>
      <c r="B146" s="79">
        <v>6.6680822372436497</v>
      </c>
      <c r="C146" s="79">
        <v>6.7114968299865696</v>
      </c>
      <c r="D146" s="128">
        <v>4.8430304527282697</v>
      </c>
      <c r="E146" s="128">
        <v>5.3176145553588903</v>
      </c>
      <c r="F146" s="52">
        <v>13.658111999999999</v>
      </c>
      <c r="G146" s="52">
        <v>15.311820000000001</v>
      </c>
      <c r="H146" s="52">
        <v>14.49</v>
      </c>
      <c r="I146" s="52">
        <v>17.420000000000002</v>
      </c>
      <c r="J146" s="50">
        <v>23.353000999999999</v>
      </c>
      <c r="K146" s="50">
        <v>22.983471000000002</v>
      </c>
      <c r="L146" s="50">
        <v>22.282983999999999</v>
      </c>
      <c r="M146" s="50">
        <v>21.789733999999999</v>
      </c>
      <c r="N146" s="50">
        <v>20.670748</v>
      </c>
      <c r="O146" s="50">
        <v>20.392595</v>
      </c>
      <c r="P146" s="50">
        <v>20.373949</v>
      </c>
      <c r="Q146" s="50">
        <v>20.703865</v>
      </c>
      <c r="R146" s="50">
        <v>21.176030999999998</v>
      </c>
      <c r="S146" s="50">
        <v>20.705404000000001</v>
      </c>
      <c r="T146" s="50">
        <v>20.913827999999999</v>
      </c>
      <c r="U146" s="50">
        <v>21.512833000000001</v>
      </c>
      <c r="V146" s="50">
        <v>20.975982999999999</v>
      </c>
      <c r="W146" s="50">
        <v>20.769424000000001</v>
      </c>
      <c r="X146" s="50">
        <v>20.866743</v>
      </c>
      <c r="Y146" s="50">
        <v>20.950431999999999</v>
      </c>
      <c r="Z146" s="50">
        <v>21.097864000000001</v>
      </c>
      <c r="AA146" s="50">
        <v>21.276121</v>
      </c>
      <c r="AB146" s="50">
        <v>21.496490000000001</v>
      </c>
      <c r="AC146" s="50">
        <v>21.707042999999999</v>
      </c>
      <c r="AD146" s="50">
        <v>21.778206000000001</v>
      </c>
      <c r="AE146" s="50">
        <v>21.676974999999999</v>
      </c>
      <c r="AF146" s="50">
        <v>21.506551999999999</v>
      </c>
      <c r="AG146" s="50">
        <v>21.357025</v>
      </c>
      <c r="AH146" s="50">
        <v>21.127119</v>
      </c>
      <c r="AI146" s="50">
        <v>21.025299</v>
      </c>
      <c r="AJ146" s="50">
        <v>20.921697999999999</v>
      </c>
      <c r="AK146" s="50">
        <v>20.843105000000001</v>
      </c>
      <c r="AL146" s="50">
        <v>20.848607999999999</v>
      </c>
      <c r="AM146" s="50">
        <v>20.854092000000001</v>
      </c>
    </row>
    <row r="147" spans="1:39" x14ac:dyDescent="0.2">
      <c r="A147" s="40" t="s">
        <v>2816</v>
      </c>
      <c r="B147" s="79">
        <v>7832.494140625</v>
      </c>
      <c r="C147" s="79">
        <v>7933.3935546875</v>
      </c>
      <c r="D147" s="115">
        <v>8403.7744140625</v>
      </c>
      <c r="E147" s="115">
        <v>7882.9677734375</v>
      </c>
      <c r="F147" s="79">
        <v>7474.0786129999997</v>
      </c>
      <c r="G147" s="79">
        <v>5830.263672</v>
      </c>
      <c r="H147" s="79">
        <v>4733.2</v>
      </c>
      <c r="I147" s="79">
        <v>5169.6000000000004</v>
      </c>
      <c r="J147" s="132">
        <v>5653.736328</v>
      </c>
      <c r="K147" s="132">
        <v>6259.3056640000004</v>
      </c>
      <c r="L147" s="132">
        <v>6590.0756840000004</v>
      </c>
      <c r="M147" s="132">
        <v>6910.2734380000002</v>
      </c>
      <c r="N147" s="132">
        <v>7267.5820309999999</v>
      </c>
      <c r="O147" s="132">
        <v>7581.0898440000001</v>
      </c>
      <c r="P147" s="132">
        <v>7558.5874020000001</v>
      </c>
      <c r="Q147" s="132">
        <v>7481.4780270000001</v>
      </c>
      <c r="R147" s="132">
        <v>7342.9296880000002</v>
      </c>
      <c r="S147" s="132">
        <v>7236.470703</v>
      </c>
      <c r="T147" s="132">
        <v>7200.2797849999997</v>
      </c>
      <c r="U147" s="132">
        <v>7144.2148440000001</v>
      </c>
      <c r="V147" s="132">
        <v>7094.4726559999999</v>
      </c>
      <c r="W147" s="132">
        <v>7077.0112300000001</v>
      </c>
      <c r="X147" s="132">
        <v>7143.0820309999999</v>
      </c>
      <c r="Y147" s="132">
        <v>7276.9404299999997</v>
      </c>
      <c r="Z147" s="132">
        <v>7275.9541019999997</v>
      </c>
      <c r="AA147" s="132">
        <v>7290.578125</v>
      </c>
      <c r="AB147" s="132">
        <v>7273.9765619999998</v>
      </c>
      <c r="AC147" s="132">
        <v>7269.3447269999997</v>
      </c>
      <c r="AD147" s="132">
        <v>7264.9716799999997</v>
      </c>
      <c r="AE147" s="132">
        <v>7257.8447269999997</v>
      </c>
      <c r="AF147" s="132">
        <v>7239.1152339999999</v>
      </c>
      <c r="AG147" s="132">
        <v>7216.6669920000004</v>
      </c>
      <c r="AH147" s="132">
        <v>7235.0546880000002</v>
      </c>
      <c r="AI147" s="132">
        <v>7247.7773440000001</v>
      </c>
      <c r="AJ147" s="132">
        <v>7271.4033200000003</v>
      </c>
      <c r="AK147" s="132">
        <v>7300.9033200000003</v>
      </c>
      <c r="AL147" s="132">
        <v>7301.2646480000003</v>
      </c>
      <c r="AM147" s="132">
        <v>7282.3520509999998</v>
      </c>
    </row>
    <row r="148" spans="1:39" x14ac:dyDescent="0.2">
      <c r="B148" s="79"/>
      <c r="C148" s="79"/>
    </row>
    <row r="149" spans="1:39" x14ac:dyDescent="0.2">
      <c r="A149" s="40" t="s">
        <v>2861</v>
      </c>
      <c r="B149" s="79">
        <v>6.4595298767089799</v>
      </c>
      <c r="C149" s="79">
        <v>6.7442522048950204</v>
      </c>
      <c r="D149" s="128">
        <v>4.4298882484436</v>
      </c>
      <c r="E149" s="128">
        <v>4.8857688903808603</v>
      </c>
      <c r="F149" s="52">
        <v>10.375061000000001</v>
      </c>
      <c r="G149" s="52">
        <v>12.485609999999999</v>
      </c>
      <c r="H149" s="52">
        <v>12.4</v>
      </c>
      <c r="I149" s="52">
        <v>12.32</v>
      </c>
      <c r="J149" s="132">
        <v>16.081944</v>
      </c>
      <c r="K149" s="132">
        <v>16.253533999999998</v>
      </c>
      <c r="L149" s="132">
        <v>16.049921000000001</v>
      </c>
      <c r="M149" s="132">
        <v>15.928705000000001</v>
      </c>
      <c r="N149" s="132">
        <v>15.537993</v>
      </c>
      <c r="O149" s="132">
        <v>15.367571</v>
      </c>
      <c r="P149" s="132">
        <v>15.314667</v>
      </c>
      <c r="Q149" s="132">
        <v>15.578275</v>
      </c>
      <c r="R149" s="132">
        <v>15.810492</v>
      </c>
      <c r="S149" s="132">
        <v>15.488322999999999</v>
      </c>
      <c r="T149" s="132">
        <v>15.64307</v>
      </c>
      <c r="U149" s="132">
        <v>16.089393999999999</v>
      </c>
      <c r="V149" s="132">
        <v>15.912233000000001</v>
      </c>
      <c r="W149" s="132">
        <v>15.942875000000001</v>
      </c>
      <c r="X149" s="132">
        <v>16.339281</v>
      </c>
      <c r="Y149" s="132">
        <v>16.629778000000002</v>
      </c>
      <c r="Z149" s="132">
        <v>16.925739</v>
      </c>
      <c r="AA149" s="132">
        <v>17.229132</v>
      </c>
      <c r="AB149" s="132">
        <v>17.512577</v>
      </c>
      <c r="AC149" s="132">
        <v>17.738705</v>
      </c>
      <c r="AD149" s="132">
        <v>17.914625000000001</v>
      </c>
      <c r="AE149" s="132">
        <v>17.966366000000001</v>
      </c>
      <c r="AF149" s="132">
        <v>17.950824999999998</v>
      </c>
      <c r="AG149" s="132">
        <v>17.926515999999999</v>
      </c>
      <c r="AH149" s="132">
        <v>17.834372999999999</v>
      </c>
      <c r="AI149" s="132">
        <v>17.809073999999999</v>
      </c>
      <c r="AJ149" s="132">
        <v>17.782909</v>
      </c>
      <c r="AK149" s="132">
        <v>17.766745</v>
      </c>
      <c r="AL149" s="132">
        <v>17.799033999999999</v>
      </c>
      <c r="AM149" s="132">
        <v>17.835054</v>
      </c>
    </row>
    <row r="150" spans="1:39" x14ac:dyDescent="0.2">
      <c r="A150" s="40" t="s">
        <v>2862</v>
      </c>
      <c r="B150" s="79">
        <v>261.66851806640602</v>
      </c>
      <c r="C150" s="79">
        <v>265.03942871093801</v>
      </c>
      <c r="D150" s="128">
        <v>36.687412261962898</v>
      </c>
      <c r="E150" s="128">
        <v>37.640357971191399</v>
      </c>
      <c r="F150" s="52">
        <v>35.006245</v>
      </c>
      <c r="G150" s="52">
        <v>27.732182999999999</v>
      </c>
      <c r="H150" s="52">
        <v>85.63</v>
      </c>
      <c r="I150" s="52">
        <v>79.77</v>
      </c>
      <c r="J150" s="50">
        <v>95.768844999999999</v>
      </c>
      <c r="K150" s="50">
        <v>106.88700900000001</v>
      </c>
      <c r="L150" s="50">
        <v>114.926407</v>
      </c>
      <c r="M150" s="50">
        <v>118.474976</v>
      </c>
      <c r="N150" s="50">
        <v>120.558159</v>
      </c>
      <c r="O150" s="50">
        <v>126.39994799999999</v>
      </c>
      <c r="P150" s="50">
        <v>126.273293</v>
      </c>
      <c r="Q150" s="50">
        <v>124.647301</v>
      </c>
      <c r="R150" s="50">
        <v>122.917244</v>
      </c>
      <c r="S150" s="50">
        <v>121.836685</v>
      </c>
      <c r="T150" s="50">
        <v>121.832703</v>
      </c>
      <c r="U150" s="50">
        <v>121.609154</v>
      </c>
      <c r="V150" s="50">
        <v>121.46848300000001</v>
      </c>
      <c r="W150" s="50">
        <v>121.53717</v>
      </c>
      <c r="X150" s="50">
        <v>123.499779</v>
      </c>
      <c r="Y150" s="50">
        <v>125.577583</v>
      </c>
      <c r="Z150" s="50">
        <v>126.764</v>
      </c>
      <c r="AA150" s="50">
        <v>127.571625</v>
      </c>
      <c r="AB150" s="50">
        <v>127.72216</v>
      </c>
      <c r="AC150" s="50">
        <v>127.979874</v>
      </c>
      <c r="AD150" s="50">
        <v>128.20593299999999</v>
      </c>
      <c r="AE150" s="50">
        <v>128.38453699999999</v>
      </c>
      <c r="AF150" s="50">
        <v>128.318634</v>
      </c>
      <c r="AG150" s="50">
        <v>128.58892800000001</v>
      </c>
      <c r="AH150" s="50">
        <v>129.15533400000001</v>
      </c>
      <c r="AI150" s="50">
        <v>129.726395</v>
      </c>
      <c r="AJ150" s="50">
        <v>130.52900700000001</v>
      </c>
      <c r="AK150" s="50">
        <v>131.360657</v>
      </c>
      <c r="AL150" s="50">
        <v>131.91407799999999</v>
      </c>
      <c r="AM150" s="50">
        <v>132.22593699999999</v>
      </c>
    </row>
    <row r="151" spans="1:39" x14ac:dyDescent="0.2">
      <c r="A151" s="40" t="s">
        <v>2863</v>
      </c>
      <c r="B151" s="79">
        <v>0</v>
      </c>
      <c r="C151" s="79">
        <v>0</v>
      </c>
      <c r="D151" s="128">
        <v>60.184665679931598</v>
      </c>
      <c r="E151" s="128">
        <v>60.530651092529297</v>
      </c>
      <c r="F151" s="52">
        <v>0</v>
      </c>
      <c r="G151" s="52">
        <v>0</v>
      </c>
      <c r="H151" s="52">
        <v>0</v>
      </c>
      <c r="I151" s="52">
        <v>0</v>
      </c>
      <c r="J151" s="50">
        <v>0</v>
      </c>
      <c r="K151" s="50">
        <v>0</v>
      </c>
      <c r="L151" s="50">
        <v>0</v>
      </c>
      <c r="M151" s="50">
        <v>0</v>
      </c>
      <c r="N151" s="50">
        <v>239.96466100000001</v>
      </c>
      <c r="O151" s="50">
        <v>244.21824599999999</v>
      </c>
      <c r="P151" s="50">
        <v>239.95434599999999</v>
      </c>
      <c r="Q151" s="50">
        <v>358.61200000000002</v>
      </c>
      <c r="R151" s="50">
        <v>353.599152</v>
      </c>
      <c r="S151" s="50">
        <v>348.56732199999999</v>
      </c>
      <c r="T151" s="50">
        <v>363.76678500000003</v>
      </c>
      <c r="U151" s="50">
        <v>358.65649400000001</v>
      </c>
      <c r="V151" s="50">
        <v>353.386841</v>
      </c>
      <c r="W151" s="50">
        <v>391.32290599999999</v>
      </c>
      <c r="X151" s="50">
        <v>392.93112200000002</v>
      </c>
      <c r="Y151" s="50">
        <v>399.09609999999998</v>
      </c>
      <c r="Z151" s="50">
        <v>420.87710600000003</v>
      </c>
      <c r="AA151" s="50">
        <v>424.27725199999998</v>
      </c>
      <c r="AB151" s="50">
        <v>425.35488900000001</v>
      </c>
      <c r="AC151" s="50">
        <v>428.66360500000002</v>
      </c>
      <c r="AD151" s="50">
        <v>429.77542099999999</v>
      </c>
      <c r="AE151" s="50">
        <v>430.75900300000001</v>
      </c>
      <c r="AF151" s="50">
        <v>430.87100199999998</v>
      </c>
      <c r="AG151" s="50">
        <v>432.601135</v>
      </c>
      <c r="AH151" s="50">
        <v>434.79397599999999</v>
      </c>
      <c r="AI151" s="50">
        <v>437.13430799999998</v>
      </c>
      <c r="AJ151" s="50">
        <v>440.30310100000003</v>
      </c>
      <c r="AK151" s="50">
        <v>443.475616</v>
      </c>
      <c r="AL151" s="50">
        <v>446.00582900000001</v>
      </c>
      <c r="AM151" s="50">
        <v>447.84719799999999</v>
      </c>
    </row>
    <row r="152" spans="1:39" x14ac:dyDescent="0.2">
      <c r="B152" s="79"/>
      <c r="C152" s="79"/>
    </row>
    <row r="153" spans="1:39" x14ac:dyDescent="0.2">
      <c r="A153" s="40" t="s">
        <v>2864</v>
      </c>
      <c r="B153" s="79">
        <v>15918.365234375</v>
      </c>
      <c r="C153" s="79">
        <v>16123.4296875</v>
      </c>
      <c r="D153" s="115">
        <v>16102.6591796875</v>
      </c>
      <c r="E153" s="115">
        <v>15679.0849609375</v>
      </c>
      <c r="F153" s="79">
        <v>15178.708984000001</v>
      </c>
      <c r="G153" s="79">
        <v>12444.360352</v>
      </c>
      <c r="H153" s="79">
        <v>9844.7999999999993</v>
      </c>
      <c r="I153" s="79">
        <v>10780.6</v>
      </c>
      <c r="J153" s="132">
        <v>12256.722656</v>
      </c>
      <c r="K153" s="132">
        <v>13831.748046999999</v>
      </c>
      <c r="L153" s="132">
        <v>14444.076171999999</v>
      </c>
      <c r="M153" s="132">
        <v>15032.072265999999</v>
      </c>
      <c r="N153" s="132">
        <v>15525.584961</v>
      </c>
      <c r="O153" s="132">
        <v>16061.899414</v>
      </c>
      <c r="P153" s="132">
        <v>16040.921875</v>
      </c>
      <c r="Q153" s="132">
        <v>15781.570312</v>
      </c>
      <c r="R153" s="132">
        <v>15638.922852</v>
      </c>
      <c r="S153" s="132">
        <v>15550.934569999999</v>
      </c>
      <c r="T153" s="132">
        <v>15530.550781</v>
      </c>
      <c r="U153" s="132">
        <v>15523.144531</v>
      </c>
      <c r="V153" s="132">
        <v>15527.502930000001</v>
      </c>
      <c r="W153" s="132">
        <v>15556.632812</v>
      </c>
      <c r="X153" s="132">
        <v>15832.260742</v>
      </c>
      <c r="Y153" s="132">
        <v>16085.823242</v>
      </c>
      <c r="Z153" s="132">
        <v>16274.336914</v>
      </c>
      <c r="AA153" s="132">
        <v>16395.355468999998</v>
      </c>
      <c r="AB153" s="132">
        <v>16428.683593999998</v>
      </c>
      <c r="AC153" s="132">
        <v>16471.085938</v>
      </c>
      <c r="AD153" s="132">
        <v>16508.304688</v>
      </c>
      <c r="AE153" s="132">
        <v>16540.460938</v>
      </c>
      <c r="AF153" s="132">
        <v>16539.878906000002</v>
      </c>
      <c r="AG153" s="132">
        <v>16594.09375</v>
      </c>
      <c r="AH153" s="132">
        <v>16673.902343999998</v>
      </c>
      <c r="AI153" s="132">
        <v>16757.441406000002</v>
      </c>
      <c r="AJ153" s="132">
        <v>16872.068359000001</v>
      </c>
      <c r="AK153" s="132">
        <v>16988.214843999998</v>
      </c>
      <c r="AL153" s="132">
        <v>17075.363281000002</v>
      </c>
      <c r="AM153" s="132">
        <v>17134.240234000001</v>
      </c>
    </row>
    <row r="154" spans="1:39" x14ac:dyDescent="0.2">
      <c r="B154" s="79"/>
      <c r="C154" s="79"/>
    </row>
    <row r="158" spans="1:39" x14ac:dyDescent="0.2">
      <c r="A158" s="40" t="s">
        <v>2865</v>
      </c>
    </row>
    <row r="159" spans="1:39" x14ac:dyDescent="0.2">
      <c r="A159" s="40" t="s">
        <v>2866</v>
      </c>
    </row>
    <row r="160" spans="1:39" x14ac:dyDescent="0.2">
      <c r="A160" s="40" t="s">
        <v>2867</v>
      </c>
    </row>
    <row r="161" spans="1:35" x14ac:dyDescent="0.2">
      <c r="A161" s="40" t="s">
        <v>2868</v>
      </c>
    </row>
    <row r="162" spans="1:35" x14ac:dyDescent="0.2">
      <c r="A162" s="40" t="s">
        <v>2869</v>
      </c>
    </row>
    <row r="163" spans="1:35" x14ac:dyDescent="0.2">
      <c r="A163" s="40" t="s">
        <v>2769</v>
      </c>
    </row>
    <row r="164" spans="1:35" x14ac:dyDescent="0.2">
      <c r="A164" s="40" t="s">
        <v>2770</v>
      </c>
    </row>
    <row r="171" spans="1:35" x14ac:dyDescent="0.2">
      <c r="A171" s="40" t="s">
        <v>2870</v>
      </c>
    </row>
    <row r="172" spans="1:35" x14ac:dyDescent="0.2">
      <c r="A172" s="40" t="s">
        <v>2871</v>
      </c>
      <c r="AD172" s="40" t="s">
        <v>2840</v>
      </c>
    </row>
    <row r="173" spans="1:35" x14ac:dyDescent="0.2">
      <c r="AD173" s="40" t="s">
        <v>2841</v>
      </c>
    </row>
    <row r="174" spans="1:35" x14ac:dyDescent="0.2">
      <c r="AD174" s="40" t="s">
        <v>2842</v>
      </c>
    </row>
    <row r="175" spans="1:35" x14ac:dyDescent="0.2">
      <c r="B175" s="40" t="s">
        <v>2819</v>
      </c>
      <c r="AD175" s="40" t="s">
        <v>2843</v>
      </c>
    </row>
    <row r="176" spans="1:35" x14ac:dyDescent="0.2">
      <c r="B176" s="40" t="s">
        <v>2821</v>
      </c>
      <c r="C176" s="40" t="s">
        <v>2822</v>
      </c>
      <c r="D176" s="40" t="s">
        <v>2823</v>
      </c>
      <c r="E176" s="40" t="s">
        <v>2824</v>
      </c>
      <c r="F176" s="40" t="s">
        <v>2825</v>
      </c>
      <c r="G176" s="40" t="s">
        <v>2826</v>
      </c>
      <c r="H176" s="40">
        <v>2009</v>
      </c>
      <c r="I176" s="40">
        <v>2010</v>
      </c>
      <c r="J176" s="40">
        <v>2011</v>
      </c>
      <c r="K176" s="40">
        <v>2012</v>
      </c>
      <c r="L176" s="40">
        <v>2013</v>
      </c>
      <c r="M176" s="40">
        <v>2014</v>
      </c>
      <c r="N176" s="40">
        <v>2015</v>
      </c>
      <c r="O176" s="40">
        <v>2016</v>
      </c>
      <c r="P176" s="40">
        <v>2017</v>
      </c>
      <c r="Q176" s="40">
        <v>2018</v>
      </c>
      <c r="R176" s="40">
        <v>2019</v>
      </c>
      <c r="S176" s="40">
        <v>2020</v>
      </c>
      <c r="T176" s="40">
        <v>2021</v>
      </c>
      <c r="U176" s="40">
        <v>2022</v>
      </c>
      <c r="V176" s="40">
        <v>2023</v>
      </c>
      <c r="W176" s="40">
        <v>2024</v>
      </c>
      <c r="X176" s="40">
        <v>2025</v>
      </c>
      <c r="Y176" s="40">
        <v>2026</v>
      </c>
      <c r="Z176" s="40">
        <v>2027</v>
      </c>
      <c r="AA176" s="40">
        <v>2028</v>
      </c>
      <c r="AB176" s="40">
        <v>2029</v>
      </c>
      <c r="AC176" s="40">
        <v>2030</v>
      </c>
      <c r="AD176" s="40">
        <v>2031</v>
      </c>
      <c r="AE176" s="40">
        <v>2032</v>
      </c>
      <c r="AF176" s="40">
        <v>2033</v>
      </c>
      <c r="AG176" s="40">
        <v>2034</v>
      </c>
      <c r="AH176" s="40">
        <v>2035</v>
      </c>
      <c r="AI176" s="40">
        <v>2035</v>
      </c>
    </row>
    <row r="179" spans="1:35" x14ac:dyDescent="0.2">
      <c r="A179" s="40" t="s">
        <v>2872</v>
      </c>
    </row>
    <row r="180" spans="1:35" x14ac:dyDescent="0.2">
      <c r="A180" s="40" t="s">
        <v>2873</v>
      </c>
    </row>
    <row r="181" spans="1:35" x14ac:dyDescent="0.2">
      <c r="A181" s="40" t="s">
        <v>2754</v>
      </c>
      <c r="B181" s="40">
        <v>127.12673187255901</v>
      </c>
      <c r="C181" s="40">
        <v>127.67082977294901</v>
      </c>
      <c r="D181" s="128">
        <v>132.57923889160199</v>
      </c>
      <c r="E181" s="128">
        <v>132.838790893555</v>
      </c>
      <c r="F181" s="52">
        <v>132.54789700000001</v>
      </c>
      <c r="G181" s="52">
        <v>131.05844099999999</v>
      </c>
      <c r="H181" s="52">
        <v>128.12</v>
      </c>
      <c r="I181" s="52">
        <v>125.47</v>
      </c>
      <c r="J181" s="52">
        <v>123.52</v>
      </c>
      <c r="K181" s="52">
        <v>121.64</v>
      </c>
      <c r="L181" s="52">
        <v>120.39</v>
      </c>
      <c r="M181" s="52">
        <v>119.62</v>
      </c>
      <c r="N181" s="52">
        <v>119.3</v>
      </c>
      <c r="O181" s="52">
        <v>119.31</v>
      </c>
      <c r="P181" s="52">
        <v>119.43</v>
      </c>
      <c r="Q181" s="52">
        <v>119.49</v>
      </c>
      <c r="R181" s="52">
        <v>119.77</v>
      </c>
      <c r="S181" s="52">
        <v>120.23</v>
      </c>
      <c r="T181" s="52">
        <v>120.9</v>
      </c>
      <c r="U181" s="52">
        <v>121.86</v>
      </c>
      <c r="V181" s="52">
        <v>122.98</v>
      </c>
      <c r="W181" s="52">
        <v>124.23</v>
      </c>
      <c r="X181" s="52">
        <v>125.51</v>
      </c>
      <c r="Y181" s="52">
        <v>126.85</v>
      </c>
      <c r="Z181" s="52">
        <v>128.19</v>
      </c>
      <c r="AA181" s="52">
        <v>129.53</v>
      </c>
      <c r="AB181" s="52">
        <v>130.77000000000001</v>
      </c>
      <c r="AC181" s="52">
        <v>131.94</v>
      </c>
      <c r="AD181" s="52">
        <v>133.01</v>
      </c>
      <c r="AE181" s="52">
        <v>134.01</v>
      </c>
      <c r="AF181" s="52">
        <v>135.01</v>
      </c>
      <c r="AG181" s="52">
        <v>136</v>
      </c>
      <c r="AH181" s="52">
        <v>136.94999999999999</v>
      </c>
      <c r="AI181" s="53">
        <v>4.0000000000000001E-3</v>
      </c>
    </row>
    <row r="182" spans="1:35" x14ac:dyDescent="0.2">
      <c r="A182" s="40" t="s">
        <v>2755</v>
      </c>
      <c r="B182" s="40">
        <v>0.53171038627624501</v>
      </c>
      <c r="C182" s="40">
        <v>0.51349461078643799</v>
      </c>
      <c r="D182" s="128">
        <v>0.51308697462081898</v>
      </c>
      <c r="E182" s="128">
        <v>0.53076326847076405</v>
      </c>
      <c r="F182" s="52">
        <v>0.50849299999999997</v>
      </c>
      <c r="G182" s="52">
        <v>0.48161500000000002</v>
      </c>
      <c r="H182" s="52">
        <v>0.62</v>
      </c>
      <c r="I182" s="52">
        <v>0.73</v>
      </c>
      <c r="J182" s="52">
        <v>0.97</v>
      </c>
      <c r="K182" s="52">
        <v>1.28</v>
      </c>
      <c r="L182" s="52">
        <v>1.72</v>
      </c>
      <c r="M182" s="52">
        <v>2.23</v>
      </c>
      <c r="N182" s="52">
        <v>2.78</v>
      </c>
      <c r="O182" s="52">
        <v>3.35</v>
      </c>
      <c r="P182" s="52">
        <v>3.91</v>
      </c>
      <c r="Q182" s="52">
        <v>4.45</v>
      </c>
      <c r="R182" s="52">
        <v>4.97</v>
      </c>
      <c r="S182" s="52">
        <v>5.49</v>
      </c>
      <c r="T182" s="52">
        <v>5.99</v>
      </c>
      <c r="U182" s="52">
        <v>6.49</v>
      </c>
      <c r="V182" s="52">
        <v>6.98</v>
      </c>
      <c r="W182" s="52">
        <v>7.46</v>
      </c>
      <c r="X182" s="52">
        <v>7.91</v>
      </c>
      <c r="Y182" s="52">
        <v>8.34</v>
      </c>
      <c r="Z182" s="52">
        <v>8.75</v>
      </c>
      <c r="AA182" s="52">
        <v>9.1300000000000008</v>
      </c>
      <c r="AB182" s="52">
        <v>9.48</v>
      </c>
      <c r="AC182" s="52">
        <v>9.8000000000000007</v>
      </c>
      <c r="AD182" s="52">
        <v>10.08</v>
      </c>
      <c r="AE182" s="52">
        <v>10.34</v>
      </c>
      <c r="AF182" s="52">
        <v>10.57</v>
      </c>
      <c r="AG182" s="52">
        <v>10.77</v>
      </c>
      <c r="AH182" s="52">
        <v>10.95</v>
      </c>
      <c r="AI182" s="53">
        <v>0.114</v>
      </c>
    </row>
    <row r="183" spans="1:35" x14ac:dyDescent="0.2">
      <c r="A183" s="40" t="s">
        <v>2874</v>
      </c>
      <c r="B183" s="40">
        <v>127.65843963623</v>
      </c>
      <c r="C183" s="40">
        <v>128.184326171875</v>
      </c>
      <c r="D183" s="128">
        <v>133.09233093261699</v>
      </c>
      <c r="E183" s="128">
        <v>133.369552612305</v>
      </c>
      <c r="F183" s="52">
        <v>133.05639600000001</v>
      </c>
      <c r="G183" s="52">
        <v>131.540054</v>
      </c>
      <c r="H183" s="52">
        <v>128.74</v>
      </c>
      <c r="I183" s="52">
        <v>126.2</v>
      </c>
      <c r="J183" s="52">
        <v>124.49</v>
      </c>
      <c r="K183" s="52">
        <v>122.92</v>
      </c>
      <c r="L183" s="52">
        <v>122.12</v>
      </c>
      <c r="M183" s="52">
        <v>121.85</v>
      </c>
      <c r="N183" s="52">
        <v>122.08</v>
      </c>
      <c r="O183" s="52">
        <v>122.67</v>
      </c>
      <c r="P183" s="52">
        <v>123.34</v>
      </c>
      <c r="Q183" s="52">
        <v>123.94</v>
      </c>
      <c r="R183" s="52">
        <v>124.75</v>
      </c>
      <c r="S183" s="52">
        <v>125.72</v>
      </c>
      <c r="T183" s="52">
        <v>126.89</v>
      </c>
      <c r="U183" s="52">
        <v>128.35</v>
      </c>
      <c r="V183" s="52">
        <v>129.97</v>
      </c>
      <c r="W183" s="52">
        <v>131.69</v>
      </c>
      <c r="X183" s="52">
        <v>133.43</v>
      </c>
      <c r="Y183" s="52">
        <v>135.19</v>
      </c>
      <c r="Z183" s="52">
        <v>136.94</v>
      </c>
      <c r="AA183" s="52">
        <v>138.65</v>
      </c>
      <c r="AB183" s="52">
        <v>140.25</v>
      </c>
      <c r="AC183" s="52">
        <v>141.74</v>
      </c>
      <c r="AD183" s="52">
        <v>143.1</v>
      </c>
      <c r="AE183" s="52">
        <v>144.35</v>
      </c>
      <c r="AF183" s="52">
        <v>145.58000000000001</v>
      </c>
      <c r="AG183" s="52">
        <v>146.77000000000001</v>
      </c>
      <c r="AH183" s="52">
        <v>147.9</v>
      </c>
      <c r="AI183" s="53">
        <v>6.0000000000000001E-3</v>
      </c>
    </row>
    <row r="185" spans="1:35" x14ac:dyDescent="0.2">
      <c r="A185" s="40" t="s">
        <v>2756</v>
      </c>
    </row>
    <row r="186" spans="1:35" x14ac:dyDescent="0.2">
      <c r="A186" s="40" t="s">
        <v>2757</v>
      </c>
      <c r="B186" s="40">
        <v>1.7370868921279901</v>
      </c>
      <c r="C186" s="40">
        <v>2.1188302040100102</v>
      </c>
      <c r="D186" s="128">
        <v>0.49156802892684898</v>
      </c>
      <c r="E186" s="128">
        <v>0.63123142719268799</v>
      </c>
      <c r="F186" s="52">
        <v>0.99414999999999998</v>
      </c>
      <c r="G186" s="52">
        <v>1.389435</v>
      </c>
      <c r="H186" s="52">
        <v>1.71</v>
      </c>
      <c r="I186" s="52">
        <v>1.88</v>
      </c>
      <c r="J186" s="52">
        <v>2.16</v>
      </c>
      <c r="K186" s="52">
        <v>2.46</v>
      </c>
      <c r="L186" s="52">
        <v>2.81</v>
      </c>
      <c r="M186" s="52">
        <v>3.17</v>
      </c>
      <c r="N186" s="52">
        <v>3.57</v>
      </c>
      <c r="O186" s="52">
        <v>4</v>
      </c>
      <c r="P186" s="52">
        <v>4.4400000000000004</v>
      </c>
      <c r="Q186" s="52">
        <v>4.91</v>
      </c>
      <c r="R186" s="52">
        <v>5.4</v>
      </c>
      <c r="S186" s="52">
        <v>5.91</v>
      </c>
      <c r="T186" s="52">
        <v>6.43</v>
      </c>
      <c r="U186" s="52">
        <v>6.98</v>
      </c>
      <c r="V186" s="52">
        <v>7.54</v>
      </c>
      <c r="W186" s="52">
        <v>8.09</v>
      </c>
      <c r="X186" s="52">
        <v>8.64</v>
      </c>
      <c r="Y186" s="52">
        <v>9.19</v>
      </c>
      <c r="Z186" s="52">
        <v>9.73</v>
      </c>
      <c r="AA186" s="52">
        <v>10.220000000000001</v>
      </c>
      <c r="AB186" s="52">
        <v>10.69</v>
      </c>
      <c r="AC186" s="52">
        <v>11.16</v>
      </c>
      <c r="AD186" s="52">
        <v>11.63</v>
      </c>
      <c r="AE186" s="52">
        <v>12.09</v>
      </c>
      <c r="AF186" s="52">
        <v>12.5</v>
      </c>
      <c r="AG186" s="52">
        <v>12.88</v>
      </c>
      <c r="AH186" s="52">
        <v>13.24</v>
      </c>
      <c r="AI186" s="53">
        <v>8.1000000000000003E-2</v>
      </c>
    </row>
    <row r="187" spans="1:35" x14ac:dyDescent="0.2">
      <c r="A187" s="127" t="s">
        <v>2849</v>
      </c>
      <c r="B187" s="40">
        <v>4.1218078695237602E-3</v>
      </c>
      <c r="C187" s="40">
        <v>4.6516996808350104E-3</v>
      </c>
      <c r="D187" s="128">
        <v>0</v>
      </c>
      <c r="E187" s="128">
        <v>0</v>
      </c>
      <c r="F187" s="52">
        <v>0</v>
      </c>
      <c r="G187" s="52">
        <v>0</v>
      </c>
      <c r="H187" s="52">
        <v>0.01</v>
      </c>
      <c r="I187" s="52">
        <v>0.01</v>
      </c>
      <c r="J187" s="52">
        <v>0.01</v>
      </c>
      <c r="K187" s="52">
        <v>0.01</v>
      </c>
      <c r="L187" s="52">
        <v>0.01</v>
      </c>
      <c r="M187" s="52">
        <v>0.01</v>
      </c>
      <c r="N187" s="52">
        <v>0.02</v>
      </c>
      <c r="O187" s="52">
        <v>0.02</v>
      </c>
      <c r="P187" s="52">
        <v>0.02</v>
      </c>
      <c r="Q187" s="52">
        <v>0.03</v>
      </c>
      <c r="R187" s="52">
        <v>0.05</v>
      </c>
      <c r="S187" s="52">
        <v>0.08</v>
      </c>
      <c r="T187" s="52">
        <v>0.12</v>
      </c>
      <c r="U187" s="52">
        <v>0.18</v>
      </c>
      <c r="V187" s="52">
        <v>0.25</v>
      </c>
      <c r="W187" s="52">
        <v>0.33</v>
      </c>
      <c r="X187" s="52">
        <v>0.42</v>
      </c>
      <c r="Y187" s="52">
        <v>0.53</v>
      </c>
      <c r="Z187" s="52">
        <v>0.65</v>
      </c>
      <c r="AA187" s="52">
        <v>0.79</v>
      </c>
      <c r="AB187" s="52">
        <v>0.95</v>
      </c>
      <c r="AC187" s="52">
        <v>1.1200000000000001</v>
      </c>
      <c r="AD187" s="52">
        <v>1.32</v>
      </c>
      <c r="AE187" s="52">
        <v>1.55</v>
      </c>
      <c r="AF187" s="52">
        <v>1.79</v>
      </c>
      <c r="AG187" s="52">
        <v>2.0499999999999998</v>
      </c>
      <c r="AH187" s="52">
        <v>2.3199999999999998</v>
      </c>
      <c r="AI187" s="116">
        <v>0.245</v>
      </c>
    </row>
    <row r="188" spans="1:35" x14ac:dyDescent="0.2">
      <c r="A188" s="127" t="s">
        <v>2850</v>
      </c>
      <c r="B188" s="40">
        <v>1.12419975921512E-2</v>
      </c>
      <c r="C188" s="40">
        <v>1.3450538739562E-2</v>
      </c>
      <c r="D188" s="128">
        <v>2.759700268507E-2</v>
      </c>
      <c r="E188" s="128">
        <v>2.7208622545003901E-2</v>
      </c>
      <c r="F188" s="52">
        <v>2.6537000000000002E-2</v>
      </c>
      <c r="G188" s="52">
        <v>2.5403999999999999E-2</v>
      </c>
      <c r="H188" s="52">
        <v>0</v>
      </c>
      <c r="I188" s="52">
        <v>0</v>
      </c>
      <c r="J188" s="52">
        <v>0</v>
      </c>
      <c r="K188" s="52">
        <v>0</v>
      </c>
      <c r="L188" s="52">
        <v>0</v>
      </c>
      <c r="M188" s="52">
        <v>0</v>
      </c>
      <c r="N188" s="52">
        <v>0</v>
      </c>
      <c r="O188" s="52">
        <v>0</v>
      </c>
      <c r="P188" s="52">
        <v>0</v>
      </c>
      <c r="Q188" s="52">
        <v>0</v>
      </c>
      <c r="R188" s="52">
        <v>0</v>
      </c>
      <c r="S188" s="52">
        <v>0</v>
      </c>
      <c r="T188" s="52">
        <v>0</v>
      </c>
      <c r="U188" s="52">
        <v>0</v>
      </c>
      <c r="V188" s="52">
        <v>0</v>
      </c>
      <c r="W188" s="52">
        <v>0</v>
      </c>
      <c r="X188" s="52">
        <v>0</v>
      </c>
      <c r="Y188" s="52">
        <v>0</v>
      </c>
      <c r="Z188" s="52">
        <v>0</v>
      </c>
      <c r="AA188" s="52">
        <v>0</v>
      </c>
      <c r="AB188" s="52">
        <v>0</v>
      </c>
      <c r="AC188" s="52">
        <v>0</v>
      </c>
      <c r="AD188" s="52">
        <v>0</v>
      </c>
      <c r="AE188" s="52">
        <v>0</v>
      </c>
      <c r="AF188" s="52">
        <v>0</v>
      </c>
      <c r="AG188" s="52">
        <v>0</v>
      </c>
      <c r="AH188" s="52">
        <v>0</v>
      </c>
      <c r="AI188" s="53" t="s">
        <v>2768</v>
      </c>
    </row>
    <row r="189" spans="1:35" x14ac:dyDescent="0.2">
      <c r="A189" s="40" t="s">
        <v>2762</v>
      </c>
      <c r="B189" s="40" t="s">
        <v>2853</v>
      </c>
      <c r="C189" s="40" t="s">
        <v>2853</v>
      </c>
      <c r="D189" s="128">
        <v>0</v>
      </c>
      <c r="E189" s="128">
        <v>0</v>
      </c>
      <c r="F189" s="52">
        <v>0</v>
      </c>
      <c r="G189" s="52">
        <v>0</v>
      </c>
      <c r="H189" s="52">
        <v>0</v>
      </c>
      <c r="I189" s="52">
        <v>0</v>
      </c>
      <c r="J189" s="52">
        <v>0</v>
      </c>
      <c r="K189" s="52">
        <v>0</v>
      </c>
      <c r="L189" s="52">
        <v>0</v>
      </c>
      <c r="M189" s="52">
        <v>0.02</v>
      </c>
      <c r="N189" s="52">
        <v>0.06</v>
      </c>
      <c r="O189" s="52">
        <v>0.09</v>
      </c>
      <c r="P189" s="52">
        <v>0.15</v>
      </c>
      <c r="Q189" s="52">
        <v>0.23</v>
      </c>
      <c r="R189" s="52">
        <v>0.28999999999999998</v>
      </c>
      <c r="S189" s="52">
        <v>0.36</v>
      </c>
      <c r="T189" s="52">
        <v>0.43</v>
      </c>
      <c r="U189" s="52">
        <v>0.5</v>
      </c>
      <c r="V189" s="52">
        <v>0.56000000000000005</v>
      </c>
      <c r="W189" s="52">
        <v>0.62</v>
      </c>
      <c r="X189" s="52">
        <v>0.7</v>
      </c>
      <c r="Y189" s="52">
        <v>0.78</v>
      </c>
      <c r="Z189" s="52">
        <v>0.86</v>
      </c>
      <c r="AA189" s="52">
        <v>0.95</v>
      </c>
      <c r="AB189" s="52">
        <v>1.03</v>
      </c>
      <c r="AC189" s="52">
        <v>1.1100000000000001</v>
      </c>
      <c r="AD189" s="52">
        <v>1.19</v>
      </c>
      <c r="AE189" s="52">
        <v>1.28</v>
      </c>
      <c r="AF189" s="52">
        <v>1.35</v>
      </c>
      <c r="AG189" s="52">
        <v>1.43</v>
      </c>
      <c r="AH189" s="52">
        <v>1.5</v>
      </c>
      <c r="AI189" s="116" t="s">
        <v>2768</v>
      </c>
    </row>
    <row r="190" spans="1:35" x14ac:dyDescent="0.2">
      <c r="F190" s="52">
        <v>0</v>
      </c>
      <c r="G190" s="52">
        <v>0</v>
      </c>
      <c r="H190" s="52">
        <v>0</v>
      </c>
      <c r="I190" s="52">
        <v>0</v>
      </c>
      <c r="J190" s="52">
        <v>0.03</v>
      </c>
      <c r="K190" s="52">
        <v>0.04</v>
      </c>
      <c r="L190" s="52">
        <v>0.05</v>
      </c>
      <c r="M190" s="52">
        <v>0.08</v>
      </c>
      <c r="N190" s="52">
        <v>0.12</v>
      </c>
      <c r="O190" s="52">
        <v>0.16</v>
      </c>
      <c r="P190" s="52">
        <v>0.22</v>
      </c>
      <c r="Q190" s="52">
        <v>0.28000000000000003</v>
      </c>
      <c r="R190" s="52">
        <v>0.34</v>
      </c>
      <c r="S190" s="52">
        <v>0.4</v>
      </c>
      <c r="T190" s="52">
        <v>0.47</v>
      </c>
      <c r="U190" s="52">
        <v>0.54</v>
      </c>
      <c r="V190" s="52">
        <v>0.6</v>
      </c>
      <c r="W190" s="52">
        <v>0.66</v>
      </c>
      <c r="X190" s="52">
        <v>0.72</v>
      </c>
      <c r="Y190" s="52">
        <v>0.78</v>
      </c>
      <c r="Z190" s="52">
        <v>0.83</v>
      </c>
      <c r="AA190" s="52">
        <v>0.88</v>
      </c>
      <c r="AB190" s="52">
        <v>0.93</v>
      </c>
      <c r="AC190" s="52">
        <v>0.97</v>
      </c>
      <c r="AD190" s="52">
        <v>1.01</v>
      </c>
      <c r="AE190" s="52">
        <v>1.05</v>
      </c>
      <c r="AF190" s="52">
        <v>1.0900000000000001</v>
      </c>
      <c r="AG190" s="52">
        <v>1.1200000000000001</v>
      </c>
      <c r="AH190" s="52">
        <v>1.1499999999999999</v>
      </c>
      <c r="AI190" s="116" t="s">
        <v>2768</v>
      </c>
    </row>
    <row r="191" spans="1:35" x14ac:dyDescent="0.2">
      <c r="A191" s="40" t="s">
        <v>2763</v>
      </c>
      <c r="B191" s="40">
        <v>0</v>
      </c>
      <c r="C191" s="40">
        <v>0</v>
      </c>
      <c r="D191" s="128">
        <v>0</v>
      </c>
      <c r="E191" s="128">
        <v>0</v>
      </c>
      <c r="F191" s="52">
        <v>0</v>
      </c>
      <c r="G191" s="52">
        <v>0</v>
      </c>
      <c r="H191" s="52">
        <v>0</v>
      </c>
      <c r="I191" s="52">
        <v>0</v>
      </c>
      <c r="J191" s="52">
        <v>0</v>
      </c>
      <c r="K191" s="52">
        <v>0</v>
      </c>
      <c r="L191" s="52">
        <v>0</v>
      </c>
      <c r="M191" s="52">
        <v>0</v>
      </c>
      <c r="N191" s="52">
        <v>0</v>
      </c>
      <c r="O191" s="52">
        <v>0</v>
      </c>
      <c r="P191" s="52">
        <v>0</v>
      </c>
      <c r="Q191" s="52">
        <v>0</v>
      </c>
      <c r="R191" s="52">
        <v>0.01</v>
      </c>
      <c r="S191" s="52">
        <v>0.02</v>
      </c>
      <c r="T191" s="52">
        <v>0.02</v>
      </c>
      <c r="U191" s="52">
        <v>0.06</v>
      </c>
      <c r="V191" s="52">
        <v>0.13</v>
      </c>
      <c r="W191" s="52">
        <v>0.21</v>
      </c>
      <c r="X191" s="52">
        <v>0.31</v>
      </c>
      <c r="Y191" s="52">
        <v>0.43</v>
      </c>
      <c r="Z191" s="52">
        <v>0.55000000000000004</v>
      </c>
      <c r="AA191" s="52">
        <v>0.68</v>
      </c>
      <c r="AB191" s="52">
        <v>0.81</v>
      </c>
      <c r="AC191" s="52">
        <v>0.94</v>
      </c>
      <c r="AD191" s="52">
        <v>1.07</v>
      </c>
      <c r="AE191" s="52">
        <v>1.2</v>
      </c>
      <c r="AF191" s="52">
        <v>1.32</v>
      </c>
      <c r="AG191" s="52">
        <v>1.44</v>
      </c>
      <c r="AH191" s="52">
        <v>1.55</v>
      </c>
      <c r="AI191" s="116" t="s">
        <v>2768</v>
      </c>
    </row>
    <row r="192" spans="1:35" x14ac:dyDescent="0.2">
      <c r="A192" s="40" t="s">
        <v>2764</v>
      </c>
      <c r="B192" s="40">
        <v>0.106527492403984</v>
      </c>
      <c r="C192" s="40">
        <v>0.19861295819282501</v>
      </c>
      <c r="D192" s="128">
        <v>0.26145300269126898</v>
      </c>
      <c r="E192" s="128">
        <v>0.45821398496627802</v>
      </c>
      <c r="F192" s="52">
        <v>0.72162099999999996</v>
      </c>
      <c r="G192" s="52">
        <v>0.97059700000000004</v>
      </c>
      <c r="H192" s="52">
        <v>1.32</v>
      </c>
      <c r="I192" s="52">
        <v>1.55</v>
      </c>
      <c r="J192" s="52">
        <v>1.8</v>
      </c>
      <c r="K192" s="52">
        <v>2.0499999999999998</v>
      </c>
      <c r="L192" s="52">
        <v>2.3199999999999998</v>
      </c>
      <c r="M192" s="52">
        <v>2.65</v>
      </c>
      <c r="N192" s="52">
        <v>2.99</v>
      </c>
      <c r="O192" s="52">
        <v>3.34</v>
      </c>
      <c r="P192" s="52">
        <v>3.71</v>
      </c>
      <c r="Q192" s="52">
        <v>4.09</v>
      </c>
      <c r="R192" s="52">
        <v>4.47</v>
      </c>
      <c r="S192" s="52">
        <v>4.8600000000000003</v>
      </c>
      <c r="T192" s="52">
        <v>5.25</v>
      </c>
      <c r="U192" s="52">
        <v>5.65</v>
      </c>
      <c r="V192" s="52">
        <v>6.05</v>
      </c>
      <c r="W192" s="52">
        <v>6.44</v>
      </c>
      <c r="X192" s="52">
        <v>6.83</v>
      </c>
      <c r="Y192" s="52">
        <v>7.2</v>
      </c>
      <c r="Z192" s="52">
        <v>7.55</v>
      </c>
      <c r="AA192" s="52">
        <v>7.88</v>
      </c>
      <c r="AB192" s="52">
        <v>8.1999999999999993</v>
      </c>
      <c r="AC192" s="52">
        <v>8.49</v>
      </c>
      <c r="AD192" s="52">
        <v>8.77</v>
      </c>
      <c r="AE192" s="52">
        <v>9.0399999999999991</v>
      </c>
      <c r="AF192" s="52">
        <v>9.2899999999999991</v>
      </c>
      <c r="AG192" s="52">
        <v>9.52</v>
      </c>
      <c r="AH192" s="52">
        <v>9.75</v>
      </c>
      <c r="AI192" s="53">
        <v>7.5999999999999998E-2</v>
      </c>
    </row>
    <row r="193" spans="1:35" x14ac:dyDescent="0.2">
      <c r="A193" s="40" t="s">
        <v>2758</v>
      </c>
      <c r="B193" s="40">
        <v>2.2928314283490198E-3</v>
      </c>
      <c r="C193" s="40">
        <v>2.48142378404737E-3</v>
      </c>
      <c r="D193" s="128">
        <v>1.01819997653365E-2</v>
      </c>
      <c r="E193" s="128">
        <v>1.01094152778387E-2</v>
      </c>
      <c r="F193" s="52">
        <v>1.1162999999999999E-2</v>
      </c>
      <c r="G193" s="52">
        <v>1.1094E-2</v>
      </c>
      <c r="H193" s="52">
        <v>0.03</v>
      </c>
      <c r="I193" s="52">
        <v>0.03</v>
      </c>
      <c r="J193" s="52">
        <v>0.03</v>
      </c>
      <c r="K193" s="52">
        <v>0.03</v>
      </c>
      <c r="L193" s="52">
        <v>0.04</v>
      </c>
      <c r="M193" s="52">
        <v>0.04</v>
      </c>
      <c r="N193" s="52">
        <v>0.04</v>
      </c>
      <c r="O193" s="52">
        <v>0.05</v>
      </c>
      <c r="P193" s="52">
        <v>0.05</v>
      </c>
      <c r="Q193" s="52">
        <v>0.05</v>
      </c>
      <c r="R193" s="52">
        <v>0.05</v>
      </c>
      <c r="S193" s="52">
        <v>0.05</v>
      </c>
      <c r="T193" s="52">
        <v>0.06</v>
      </c>
      <c r="U193" s="52">
        <v>0.06</v>
      </c>
      <c r="V193" s="52">
        <v>0.06</v>
      </c>
      <c r="W193" s="52">
        <v>0.06</v>
      </c>
      <c r="X193" s="52">
        <v>7.0000000000000007E-2</v>
      </c>
      <c r="Y193" s="52">
        <v>7.0000000000000007E-2</v>
      </c>
      <c r="Z193" s="52">
        <v>7.0000000000000007E-2</v>
      </c>
      <c r="AA193" s="52">
        <v>7.0000000000000007E-2</v>
      </c>
      <c r="AB193" s="52">
        <v>7.0000000000000007E-2</v>
      </c>
      <c r="AC193" s="52">
        <v>0.08</v>
      </c>
      <c r="AD193" s="52">
        <v>0.08</v>
      </c>
      <c r="AE193" s="52">
        <v>0.08</v>
      </c>
      <c r="AF193" s="52">
        <v>0.08</v>
      </c>
      <c r="AG193" s="52">
        <v>0.08</v>
      </c>
      <c r="AH193" s="52">
        <v>0.08</v>
      </c>
      <c r="AI193" s="53">
        <v>4.1000000000000002E-2</v>
      </c>
    </row>
    <row r="194" spans="1:35" x14ac:dyDescent="0.2">
      <c r="A194" s="40" t="s">
        <v>2759</v>
      </c>
      <c r="B194" s="40">
        <v>4.8088714480400099E-2</v>
      </c>
      <c r="C194" s="40">
        <v>5.9260491281747797E-2</v>
      </c>
      <c r="D194" s="128">
        <v>1.4716999605298001E-2</v>
      </c>
      <c r="E194" s="128">
        <v>1.5948435291647901E-2</v>
      </c>
      <c r="F194" s="52">
        <v>2.6578000000000001E-2</v>
      </c>
      <c r="G194" s="52">
        <v>2.7934E-2</v>
      </c>
      <c r="H194" s="52">
        <v>0.05</v>
      </c>
      <c r="I194" s="52">
        <v>0.05</v>
      </c>
      <c r="J194" s="52">
        <v>0.05</v>
      </c>
      <c r="K194" s="52">
        <v>0.06</v>
      </c>
      <c r="L194" s="52">
        <v>0.06</v>
      </c>
      <c r="M194" s="52">
        <v>7.0000000000000007E-2</v>
      </c>
      <c r="N194" s="52">
        <v>7.0000000000000007E-2</v>
      </c>
      <c r="O194" s="52">
        <v>0.08</v>
      </c>
      <c r="P194" s="52">
        <v>0.08</v>
      </c>
      <c r="Q194" s="52">
        <v>0.09</v>
      </c>
      <c r="R194" s="52">
        <v>0.09</v>
      </c>
      <c r="S194" s="52">
        <v>0.09</v>
      </c>
      <c r="T194" s="52">
        <v>0.1</v>
      </c>
      <c r="U194" s="52">
        <v>0.1</v>
      </c>
      <c r="V194" s="52">
        <v>0.1</v>
      </c>
      <c r="W194" s="52">
        <v>0.11</v>
      </c>
      <c r="X194" s="52">
        <v>0.11</v>
      </c>
      <c r="Y194" s="52">
        <v>0.12</v>
      </c>
      <c r="Z194" s="52">
        <v>0.12</v>
      </c>
      <c r="AA194" s="52">
        <v>0.12</v>
      </c>
      <c r="AB194" s="52">
        <v>0.13</v>
      </c>
      <c r="AC194" s="52">
        <v>0.13</v>
      </c>
      <c r="AD194" s="52">
        <v>0.13</v>
      </c>
      <c r="AE194" s="52">
        <v>0.13</v>
      </c>
      <c r="AF194" s="52">
        <v>0.14000000000000001</v>
      </c>
      <c r="AG194" s="52">
        <v>0.14000000000000001</v>
      </c>
      <c r="AH194" s="52">
        <v>0.14000000000000001</v>
      </c>
      <c r="AI194" s="53">
        <v>4.1000000000000002E-2</v>
      </c>
    </row>
    <row r="195" spans="1:35" x14ac:dyDescent="0.2">
      <c r="A195" s="40" t="s">
        <v>2875</v>
      </c>
      <c r="B195" s="40">
        <v>0</v>
      </c>
      <c r="C195" s="40">
        <v>0</v>
      </c>
      <c r="D195" s="128">
        <v>3.9420002140104797E-3</v>
      </c>
      <c r="E195" s="128">
        <v>3.2086779829114702E-3</v>
      </c>
      <c r="F195" s="52">
        <v>2.666E-3</v>
      </c>
      <c r="G195" s="52">
        <v>2.2680000000000001E-3</v>
      </c>
      <c r="H195" s="52">
        <v>0.02</v>
      </c>
      <c r="I195" s="52">
        <v>0.02</v>
      </c>
      <c r="J195" s="52">
        <v>0.03</v>
      </c>
      <c r="K195" s="52">
        <v>0.03</v>
      </c>
      <c r="L195" s="52">
        <v>0.03</v>
      </c>
      <c r="M195" s="52">
        <v>0.03</v>
      </c>
      <c r="N195" s="52">
        <v>0.04</v>
      </c>
      <c r="O195" s="52">
        <v>0.04</v>
      </c>
      <c r="P195" s="52">
        <v>0.04</v>
      </c>
      <c r="Q195" s="52">
        <v>0.05</v>
      </c>
      <c r="R195" s="52">
        <v>0.05</v>
      </c>
      <c r="S195" s="52">
        <v>0.06</v>
      </c>
      <c r="T195" s="52">
        <v>0.06</v>
      </c>
      <c r="U195" s="52">
        <v>0.06</v>
      </c>
      <c r="V195" s="52">
        <v>7.0000000000000007E-2</v>
      </c>
      <c r="W195" s="52">
        <v>7.0000000000000007E-2</v>
      </c>
      <c r="X195" s="52">
        <v>7.0000000000000007E-2</v>
      </c>
      <c r="Y195" s="52">
        <v>0.08</v>
      </c>
      <c r="Z195" s="52">
        <v>0.08</v>
      </c>
      <c r="AA195" s="52">
        <v>0.09</v>
      </c>
      <c r="AB195" s="52">
        <v>0.09</v>
      </c>
      <c r="AC195" s="52">
        <v>0.09</v>
      </c>
      <c r="AD195" s="52">
        <v>0.1</v>
      </c>
      <c r="AE195" s="52">
        <v>0.1</v>
      </c>
      <c r="AF195" s="52">
        <v>0.1</v>
      </c>
      <c r="AG195" s="52">
        <v>0.11</v>
      </c>
      <c r="AH195" s="52">
        <v>0.11</v>
      </c>
      <c r="AI195" s="53">
        <v>6.3E-2</v>
      </c>
    </row>
    <row r="196" spans="1:35" x14ac:dyDescent="0.2">
      <c r="A196" s="40" t="s">
        <v>2876</v>
      </c>
      <c r="B196" s="40">
        <v>0.15104028582572901</v>
      </c>
      <c r="C196" s="40">
        <v>0.194564253091812</v>
      </c>
      <c r="D196" s="128">
        <v>7.0589999668300204E-3</v>
      </c>
      <c r="E196" s="128">
        <v>6.0408622957766099E-3</v>
      </c>
      <c r="F196" s="52">
        <v>5.3369999999999997E-3</v>
      </c>
      <c r="G196" s="52">
        <v>4.8199999999999996E-3</v>
      </c>
      <c r="H196" s="52">
        <v>0.03</v>
      </c>
      <c r="I196" s="52">
        <v>0.03</v>
      </c>
      <c r="J196" s="52">
        <v>0.03</v>
      </c>
      <c r="K196" s="52">
        <v>0.03</v>
      </c>
      <c r="L196" s="52">
        <v>0.03</v>
      </c>
      <c r="M196" s="52">
        <v>0.04</v>
      </c>
      <c r="N196" s="52">
        <v>0.04</v>
      </c>
      <c r="O196" s="52">
        <v>0.04</v>
      </c>
      <c r="P196" s="52">
        <v>0.04</v>
      </c>
      <c r="Q196" s="52">
        <v>0.04</v>
      </c>
      <c r="R196" s="52">
        <v>0.04</v>
      </c>
      <c r="S196" s="52">
        <v>0.04</v>
      </c>
      <c r="T196" s="52">
        <v>0.04</v>
      </c>
      <c r="U196" s="52">
        <v>0.04</v>
      </c>
      <c r="V196" s="52">
        <v>0.04</v>
      </c>
      <c r="W196" s="52">
        <v>0.04</v>
      </c>
      <c r="X196" s="52">
        <v>0.04</v>
      </c>
      <c r="Y196" s="52">
        <v>0.05</v>
      </c>
      <c r="Z196" s="52">
        <v>0.05</v>
      </c>
      <c r="AA196" s="52">
        <v>0.05</v>
      </c>
      <c r="AB196" s="52">
        <v>0.05</v>
      </c>
      <c r="AC196" s="52">
        <v>0.05</v>
      </c>
      <c r="AD196" s="52">
        <v>0.05</v>
      </c>
      <c r="AE196" s="52">
        <v>0.05</v>
      </c>
      <c r="AF196" s="52">
        <v>0.05</v>
      </c>
      <c r="AG196" s="52">
        <v>0.05</v>
      </c>
      <c r="AH196" s="52">
        <v>0.05</v>
      </c>
      <c r="AI196" s="53">
        <v>1.7999999999999999E-2</v>
      </c>
    </row>
    <row r="197" spans="1:35" x14ac:dyDescent="0.2">
      <c r="A197" s="40" t="s">
        <v>2765</v>
      </c>
      <c r="B197" s="40">
        <v>0</v>
      </c>
      <c r="C197" s="40">
        <v>0</v>
      </c>
      <c r="D197" s="128">
        <v>0</v>
      </c>
      <c r="E197" s="128">
        <v>0</v>
      </c>
      <c r="F197" s="52">
        <v>0</v>
      </c>
      <c r="G197" s="52">
        <v>0</v>
      </c>
      <c r="H197" s="52">
        <v>0</v>
      </c>
      <c r="I197" s="52">
        <v>0</v>
      </c>
      <c r="J197" s="52">
        <v>0</v>
      </c>
      <c r="K197" s="52">
        <v>0</v>
      </c>
      <c r="L197" s="52">
        <v>0</v>
      </c>
      <c r="M197" s="52">
        <v>0</v>
      </c>
      <c r="N197" s="52">
        <v>0</v>
      </c>
      <c r="O197" s="52">
        <v>0</v>
      </c>
      <c r="P197" s="52">
        <v>0</v>
      </c>
      <c r="Q197" s="52">
        <v>0</v>
      </c>
      <c r="R197" s="52">
        <v>0</v>
      </c>
      <c r="S197" s="52">
        <v>0</v>
      </c>
      <c r="T197" s="52">
        <v>0</v>
      </c>
      <c r="U197" s="52">
        <v>0</v>
      </c>
      <c r="V197" s="52">
        <v>0</v>
      </c>
      <c r="W197" s="52">
        <v>0</v>
      </c>
      <c r="X197" s="52">
        <v>0</v>
      </c>
      <c r="Y197" s="52">
        <v>0</v>
      </c>
      <c r="Z197" s="52">
        <v>0</v>
      </c>
      <c r="AA197" s="52">
        <v>0</v>
      </c>
      <c r="AB197" s="52">
        <v>0</v>
      </c>
      <c r="AC197" s="52">
        <v>0</v>
      </c>
      <c r="AD197" s="52">
        <v>0</v>
      </c>
      <c r="AE197" s="52">
        <v>0</v>
      </c>
      <c r="AF197" s="52">
        <v>0</v>
      </c>
      <c r="AG197" s="52">
        <v>0</v>
      </c>
      <c r="AH197" s="52">
        <v>0</v>
      </c>
      <c r="AI197" s="116" t="s">
        <v>2768</v>
      </c>
    </row>
    <row r="198" spans="1:35" x14ac:dyDescent="0.2">
      <c r="A198" s="40" t="s">
        <v>2766</v>
      </c>
      <c r="B198" s="40">
        <v>0</v>
      </c>
      <c r="C198" s="40">
        <v>0</v>
      </c>
      <c r="D198" s="128">
        <v>0</v>
      </c>
      <c r="E198" s="128">
        <v>0</v>
      </c>
      <c r="F198" s="52">
        <v>0</v>
      </c>
      <c r="G198" s="52">
        <v>0</v>
      </c>
      <c r="H198" s="52">
        <v>0</v>
      </c>
      <c r="I198" s="52">
        <v>0</v>
      </c>
      <c r="J198" s="52">
        <v>0</v>
      </c>
      <c r="K198" s="52">
        <v>0</v>
      </c>
      <c r="L198" s="52">
        <v>0</v>
      </c>
      <c r="M198" s="52">
        <v>0</v>
      </c>
      <c r="N198" s="52">
        <v>0</v>
      </c>
      <c r="O198" s="52">
        <v>0</v>
      </c>
      <c r="P198" s="52">
        <v>0</v>
      </c>
      <c r="Q198" s="52">
        <v>0</v>
      </c>
      <c r="R198" s="52">
        <v>0</v>
      </c>
      <c r="S198" s="52">
        <v>0</v>
      </c>
      <c r="T198" s="52">
        <v>0</v>
      </c>
      <c r="U198" s="52">
        <v>0</v>
      </c>
      <c r="V198" s="52">
        <v>0</v>
      </c>
      <c r="W198" s="52">
        <v>0</v>
      </c>
      <c r="X198" s="52">
        <v>0</v>
      </c>
      <c r="Y198" s="52">
        <v>0</v>
      </c>
      <c r="Z198" s="52">
        <v>0</v>
      </c>
      <c r="AA198" s="52">
        <v>0</v>
      </c>
      <c r="AB198" s="52">
        <v>0</v>
      </c>
      <c r="AC198" s="52">
        <v>0</v>
      </c>
      <c r="AD198" s="52">
        <v>0</v>
      </c>
      <c r="AE198" s="52">
        <v>0</v>
      </c>
      <c r="AF198" s="52">
        <v>0</v>
      </c>
      <c r="AG198" s="52">
        <v>0</v>
      </c>
      <c r="AH198" s="52">
        <v>0</v>
      </c>
      <c r="AI198" s="116" t="s">
        <v>2768</v>
      </c>
    </row>
    <row r="199" spans="1:35" x14ac:dyDescent="0.2">
      <c r="A199" s="40" t="s">
        <v>2767</v>
      </c>
      <c r="B199" s="40">
        <v>0</v>
      </c>
      <c r="C199" s="40">
        <v>0</v>
      </c>
      <c r="D199" s="128">
        <v>0</v>
      </c>
      <c r="E199" s="128">
        <v>2.2588053649741402E-9</v>
      </c>
      <c r="F199" s="52">
        <v>0</v>
      </c>
      <c r="G199" s="52">
        <v>0</v>
      </c>
      <c r="H199" s="52">
        <v>0</v>
      </c>
      <c r="I199" s="52">
        <v>0</v>
      </c>
      <c r="J199" s="52">
        <v>0</v>
      </c>
      <c r="K199" s="52">
        <v>0</v>
      </c>
      <c r="L199" s="52">
        <v>0</v>
      </c>
      <c r="M199" s="52">
        <v>0</v>
      </c>
      <c r="N199" s="52">
        <v>0</v>
      </c>
      <c r="O199" s="52">
        <v>0</v>
      </c>
      <c r="P199" s="52">
        <v>0.01</v>
      </c>
      <c r="Q199" s="52">
        <v>0.01</v>
      </c>
      <c r="R199" s="52">
        <v>0.02</v>
      </c>
      <c r="S199" s="52">
        <v>0.02</v>
      </c>
      <c r="T199" s="52">
        <v>0.03</v>
      </c>
      <c r="U199" s="52">
        <v>0.03</v>
      </c>
      <c r="V199" s="52">
        <v>0.03</v>
      </c>
      <c r="W199" s="52">
        <v>0.04</v>
      </c>
      <c r="X199" s="52">
        <v>0.04</v>
      </c>
      <c r="Y199" s="52">
        <v>0.05</v>
      </c>
      <c r="Z199" s="52">
        <v>0.05</v>
      </c>
      <c r="AA199" s="52">
        <v>0.06</v>
      </c>
      <c r="AB199" s="52">
        <v>0.06</v>
      </c>
      <c r="AC199" s="52">
        <v>0.06</v>
      </c>
      <c r="AD199" s="52">
        <v>7.0000000000000007E-2</v>
      </c>
      <c r="AE199" s="52">
        <v>7.0000000000000007E-2</v>
      </c>
      <c r="AF199" s="52">
        <v>7.0000000000000007E-2</v>
      </c>
      <c r="AG199" s="52">
        <v>0.08</v>
      </c>
      <c r="AH199" s="52">
        <v>0.08</v>
      </c>
      <c r="AI199" s="116" t="s">
        <v>2768</v>
      </c>
    </row>
    <row r="200" spans="1:35" x14ac:dyDescent="0.2">
      <c r="A200" s="40" t="s">
        <v>2877</v>
      </c>
      <c r="B200" s="40">
        <v>2.0661933422088601</v>
      </c>
      <c r="C200" s="40">
        <v>2.5974540710449201</v>
      </c>
      <c r="D200" s="128">
        <v>0.81651806831359897</v>
      </c>
      <c r="E200" s="128">
        <v>1.15196144580841</v>
      </c>
      <c r="F200" s="52">
        <v>1.7880510000000001</v>
      </c>
      <c r="G200" s="52">
        <v>2.4315509999999998</v>
      </c>
      <c r="H200" s="52">
        <v>3.18</v>
      </c>
      <c r="I200" s="52">
        <v>3.58</v>
      </c>
      <c r="J200" s="52">
        <v>4.1399999999999997</v>
      </c>
      <c r="K200" s="52">
        <v>4.71</v>
      </c>
      <c r="L200" s="52">
        <v>5.36</v>
      </c>
      <c r="M200" s="52">
        <v>6.12</v>
      </c>
      <c r="N200" s="52">
        <v>6.94</v>
      </c>
      <c r="O200" s="52">
        <v>7.82</v>
      </c>
      <c r="P200" s="52">
        <v>8.76</v>
      </c>
      <c r="Q200" s="52">
        <v>9.77</v>
      </c>
      <c r="R200" s="52">
        <v>10.8</v>
      </c>
      <c r="S200" s="52">
        <v>11.89</v>
      </c>
      <c r="T200" s="52">
        <v>13.01</v>
      </c>
      <c r="U200" s="52">
        <v>14.21</v>
      </c>
      <c r="V200" s="52">
        <v>15.44</v>
      </c>
      <c r="W200" s="52">
        <v>16.68</v>
      </c>
      <c r="X200" s="52">
        <v>17.97</v>
      </c>
      <c r="Y200" s="52">
        <v>19.260000000000002</v>
      </c>
      <c r="Z200" s="52">
        <v>20.54</v>
      </c>
      <c r="AA200" s="52">
        <v>21.78</v>
      </c>
      <c r="AB200" s="52">
        <v>23</v>
      </c>
      <c r="AC200" s="52">
        <v>24.21</v>
      </c>
      <c r="AD200" s="52">
        <v>25.44</v>
      </c>
      <c r="AE200" s="52">
        <v>26.64</v>
      </c>
      <c r="AF200" s="52">
        <v>27.79</v>
      </c>
      <c r="AG200" s="52">
        <v>28.89</v>
      </c>
      <c r="AH200" s="52">
        <v>29.97</v>
      </c>
      <c r="AI200" s="53">
        <v>8.8999999999999996E-2</v>
      </c>
    </row>
    <row r="202" spans="1:35" x14ac:dyDescent="0.2">
      <c r="A202" s="40" t="s">
        <v>2878</v>
      </c>
      <c r="B202" s="40">
        <v>129.72463989257801</v>
      </c>
      <c r="C202" s="40">
        <v>130.78178405761699</v>
      </c>
      <c r="D202" s="128">
        <v>133.90884399414099</v>
      </c>
      <c r="E202" s="128">
        <v>134.52151489257801</v>
      </c>
      <c r="F202" s="52">
        <v>134.84445199999999</v>
      </c>
      <c r="G202" s="52">
        <v>133.97160299999999</v>
      </c>
      <c r="H202" s="52">
        <v>131.91</v>
      </c>
      <c r="I202" s="52">
        <v>129.77000000000001</v>
      </c>
      <c r="J202" s="52">
        <v>128.63999999999999</v>
      </c>
      <c r="K202" s="52">
        <v>127.63</v>
      </c>
      <c r="L202" s="52">
        <v>127.48</v>
      </c>
      <c r="M202" s="52">
        <v>127.97</v>
      </c>
      <c r="N202" s="52">
        <v>129.02000000000001</v>
      </c>
      <c r="O202" s="52">
        <v>130.47999999999999</v>
      </c>
      <c r="P202" s="52">
        <v>132.1</v>
      </c>
      <c r="Q202" s="52">
        <v>133.71</v>
      </c>
      <c r="R202" s="52">
        <v>135.55000000000001</v>
      </c>
      <c r="S202" s="52">
        <v>137.61000000000001</v>
      </c>
      <c r="T202" s="52">
        <v>139.9</v>
      </c>
      <c r="U202" s="52">
        <v>142.56</v>
      </c>
      <c r="V202" s="52">
        <v>145.4</v>
      </c>
      <c r="W202" s="52">
        <v>148.37</v>
      </c>
      <c r="X202" s="52">
        <v>151.4</v>
      </c>
      <c r="Y202" s="52">
        <v>154.44999999999999</v>
      </c>
      <c r="Z202" s="52">
        <v>157.49</v>
      </c>
      <c r="AA202" s="52">
        <v>160.44</v>
      </c>
      <c r="AB202" s="52">
        <v>163.25</v>
      </c>
      <c r="AC202" s="52">
        <v>165.95</v>
      </c>
      <c r="AD202" s="52">
        <v>168.53</v>
      </c>
      <c r="AE202" s="52">
        <v>170.99</v>
      </c>
      <c r="AF202" s="52">
        <v>173.37</v>
      </c>
      <c r="AG202" s="52">
        <v>175.67</v>
      </c>
      <c r="AH202" s="52">
        <v>177.87</v>
      </c>
      <c r="AI202" s="129">
        <v>1.2999999999999999E-2</v>
      </c>
    </row>
    <row r="204" spans="1:35" x14ac:dyDescent="0.2">
      <c r="A204" s="40" t="s">
        <v>2879</v>
      </c>
    </row>
    <row r="205" spans="1:35" x14ac:dyDescent="0.2">
      <c r="A205" s="40" t="s">
        <v>2873</v>
      </c>
    </row>
    <row r="206" spans="1:35" x14ac:dyDescent="0.2">
      <c r="A206" s="40" t="s">
        <v>2754</v>
      </c>
      <c r="B206" s="40">
        <v>71.236976623535199</v>
      </c>
      <c r="C206" s="40">
        <v>74.886474609375</v>
      </c>
      <c r="D206" s="128">
        <v>81.270317077636705</v>
      </c>
      <c r="E206" s="128">
        <v>84.748710632324205</v>
      </c>
      <c r="F206" s="52">
        <v>87.584334999999996</v>
      </c>
      <c r="G206" s="52">
        <v>88.519081</v>
      </c>
      <c r="H206" s="52">
        <v>87.96</v>
      </c>
      <c r="I206" s="52">
        <v>87.04</v>
      </c>
      <c r="J206" s="52">
        <v>86.13</v>
      </c>
      <c r="K206" s="52">
        <v>85.22</v>
      </c>
      <c r="L206" s="52">
        <v>84.72</v>
      </c>
      <c r="M206" s="52">
        <v>84.29</v>
      </c>
      <c r="N206" s="52">
        <v>83.86</v>
      </c>
      <c r="O206" s="52">
        <v>83.42</v>
      </c>
      <c r="P206" s="52">
        <v>82.81</v>
      </c>
      <c r="Q206" s="52">
        <v>81.86</v>
      </c>
      <c r="R206" s="52">
        <v>80.83</v>
      </c>
      <c r="S206" s="52">
        <v>79.64</v>
      </c>
      <c r="T206" s="52">
        <v>78.459999999999994</v>
      </c>
      <c r="U206" s="52">
        <v>77.36</v>
      </c>
      <c r="V206" s="52">
        <v>76.28</v>
      </c>
      <c r="W206" s="52">
        <v>75.260000000000005</v>
      </c>
      <c r="X206" s="52">
        <v>74.25</v>
      </c>
      <c r="Y206" s="52">
        <v>73.31</v>
      </c>
      <c r="Z206" s="52">
        <v>72.44</v>
      </c>
      <c r="AA206" s="52">
        <v>71.67</v>
      </c>
      <c r="AB206" s="52">
        <v>70.91</v>
      </c>
      <c r="AC206" s="52">
        <v>70.180000000000007</v>
      </c>
      <c r="AD206" s="52">
        <v>69.41</v>
      </c>
      <c r="AE206" s="52">
        <v>68.67</v>
      </c>
      <c r="AF206" s="52">
        <v>68.11</v>
      </c>
      <c r="AG206" s="52">
        <v>67.66</v>
      </c>
      <c r="AH206" s="52">
        <v>67.27</v>
      </c>
      <c r="AI206" s="53">
        <v>-0.01</v>
      </c>
    </row>
    <row r="207" spans="1:35" ht="12.75" customHeight="1" x14ac:dyDescent="0.2">
      <c r="A207" s="40" t="s">
        <v>2755</v>
      </c>
      <c r="B207" s="40">
        <v>2.9477703571319598</v>
      </c>
      <c r="C207" s="40">
        <v>3.2050123214721702</v>
      </c>
      <c r="D207" s="128">
        <v>3.1001777648925799</v>
      </c>
      <c r="E207" s="128">
        <v>3.2945208549499498</v>
      </c>
      <c r="F207" s="52">
        <v>2.8584930000000002</v>
      </c>
      <c r="G207" s="52">
        <v>2.7258369999999998</v>
      </c>
      <c r="H207" s="52">
        <v>7.0000000000000007E-2</v>
      </c>
      <c r="I207" s="52">
        <v>0.09</v>
      </c>
      <c r="J207" s="52">
        <v>0.12</v>
      </c>
      <c r="K207" s="52">
        <v>0.15</v>
      </c>
      <c r="L207" s="52">
        <v>0.19</v>
      </c>
      <c r="M207" s="52">
        <v>0.24</v>
      </c>
      <c r="N207" s="52">
        <v>0.28999999999999998</v>
      </c>
      <c r="O207" s="52">
        <v>0.34</v>
      </c>
      <c r="P207" s="52">
        <v>0.39</v>
      </c>
      <c r="Q207" s="52">
        <v>0.43</v>
      </c>
      <c r="R207" s="52">
        <v>0.48</v>
      </c>
      <c r="S207" s="52">
        <v>0.52</v>
      </c>
      <c r="T207" s="52">
        <v>0.56999999999999995</v>
      </c>
      <c r="U207" s="52">
        <v>0.61</v>
      </c>
      <c r="V207" s="52">
        <v>0.65</v>
      </c>
      <c r="W207" s="52">
        <v>0.68</v>
      </c>
      <c r="X207" s="52">
        <v>0.71</v>
      </c>
      <c r="Y207" s="52">
        <v>0.74</v>
      </c>
      <c r="Z207" s="52">
        <v>0.77</v>
      </c>
      <c r="AA207" s="52">
        <v>0.79</v>
      </c>
      <c r="AB207" s="52">
        <v>0.81</v>
      </c>
      <c r="AC207" s="52">
        <v>0.83</v>
      </c>
      <c r="AD207" s="52">
        <v>0.85</v>
      </c>
      <c r="AE207" s="52">
        <v>0.86</v>
      </c>
      <c r="AF207" s="52">
        <v>0.87</v>
      </c>
      <c r="AG207" s="52">
        <v>0.87</v>
      </c>
      <c r="AH207" s="52">
        <v>0.88</v>
      </c>
      <c r="AI207" s="53">
        <v>9.5000000000000001E-2</v>
      </c>
    </row>
    <row r="208" spans="1:35" x14ac:dyDescent="0.2">
      <c r="A208" s="40" t="s">
        <v>2874</v>
      </c>
      <c r="B208" s="40">
        <v>74.184745788574205</v>
      </c>
      <c r="C208" s="40">
        <v>78.091484069824205</v>
      </c>
      <c r="D208" s="128">
        <v>84.370498657226605</v>
      </c>
      <c r="E208" s="128">
        <v>88.043228149414105</v>
      </c>
      <c r="F208" s="52">
        <v>90.442824999999999</v>
      </c>
      <c r="G208" s="52">
        <v>91.244918999999996</v>
      </c>
      <c r="H208" s="52">
        <v>88.03</v>
      </c>
      <c r="I208" s="52">
        <v>87.14</v>
      </c>
      <c r="J208" s="52">
        <v>86.25</v>
      </c>
      <c r="K208" s="52">
        <v>85.36</v>
      </c>
      <c r="L208" s="52">
        <v>84.9</v>
      </c>
      <c r="M208" s="52">
        <v>84.52</v>
      </c>
      <c r="N208" s="52">
        <v>84.15</v>
      </c>
      <c r="O208" s="52">
        <v>83.75</v>
      </c>
      <c r="P208" s="52">
        <v>83.19</v>
      </c>
      <c r="Q208" s="52">
        <v>82.3</v>
      </c>
      <c r="R208" s="52">
        <v>81.31</v>
      </c>
      <c r="S208" s="52">
        <v>80.17</v>
      </c>
      <c r="T208" s="52">
        <v>79.03</v>
      </c>
      <c r="U208" s="52">
        <v>77.97</v>
      </c>
      <c r="V208" s="52">
        <v>76.92</v>
      </c>
      <c r="W208" s="52">
        <v>75.94</v>
      </c>
      <c r="X208" s="52">
        <v>74.959999999999994</v>
      </c>
      <c r="Y208" s="52">
        <v>74.05</v>
      </c>
      <c r="Z208" s="52">
        <v>73.209999999999994</v>
      </c>
      <c r="AA208" s="52">
        <v>72.459999999999994</v>
      </c>
      <c r="AB208" s="52">
        <v>71.73</v>
      </c>
      <c r="AC208" s="52">
        <v>71.010000000000005</v>
      </c>
      <c r="AD208" s="52">
        <v>70.25</v>
      </c>
      <c r="AE208" s="52">
        <v>69.53</v>
      </c>
      <c r="AF208" s="52">
        <v>68.98</v>
      </c>
      <c r="AG208" s="52">
        <v>68.53</v>
      </c>
      <c r="AH208" s="52">
        <v>68.14</v>
      </c>
      <c r="AI208" s="53">
        <v>-0.01</v>
      </c>
    </row>
    <row r="210" spans="1:35" ht="12.75" customHeight="1" x14ac:dyDescent="0.2">
      <c r="A210" s="40" t="s">
        <v>2756</v>
      </c>
    </row>
    <row r="211" spans="1:35" ht="12.75" customHeight="1" x14ac:dyDescent="0.2">
      <c r="A211" s="40" t="s">
        <v>2757</v>
      </c>
      <c r="B211" s="40">
        <v>1.62672567367554</v>
      </c>
      <c r="C211" s="40">
        <v>2.0080049037933301</v>
      </c>
      <c r="D211" s="128">
        <v>3.8545761108398402</v>
      </c>
      <c r="E211" s="128">
        <v>4.1162953376770002</v>
      </c>
      <c r="F211" s="52">
        <v>5.0487130000000002</v>
      </c>
      <c r="G211" s="52">
        <v>5.7763249999999999</v>
      </c>
      <c r="H211" s="52">
        <v>6.15</v>
      </c>
      <c r="I211" s="52">
        <v>6.8</v>
      </c>
      <c r="J211" s="52">
        <v>7.63</v>
      </c>
      <c r="K211" s="52">
        <v>8.51</v>
      </c>
      <c r="L211" s="52">
        <v>9.5399999999999991</v>
      </c>
      <c r="M211" s="52">
        <v>10.59</v>
      </c>
      <c r="N211" s="52">
        <v>11.65</v>
      </c>
      <c r="O211" s="52">
        <v>12.74</v>
      </c>
      <c r="P211" s="52">
        <v>13.83</v>
      </c>
      <c r="Q211" s="52">
        <v>14.92</v>
      </c>
      <c r="R211" s="52">
        <v>15.99</v>
      </c>
      <c r="S211" s="52">
        <v>17</v>
      </c>
      <c r="T211" s="52">
        <v>17.97</v>
      </c>
      <c r="U211" s="52">
        <v>18.97</v>
      </c>
      <c r="V211" s="52">
        <v>19.91</v>
      </c>
      <c r="W211" s="52">
        <v>20.82</v>
      </c>
      <c r="X211" s="52">
        <v>21.72</v>
      </c>
      <c r="Y211" s="52">
        <v>22.57</v>
      </c>
      <c r="Z211" s="52">
        <v>23.41</v>
      </c>
      <c r="AA211" s="52">
        <v>24.14</v>
      </c>
      <c r="AB211" s="52">
        <v>24.83</v>
      </c>
      <c r="AC211" s="52">
        <v>25.49</v>
      </c>
      <c r="AD211" s="52">
        <v>26.16</v>
      </c>
      <c r="AE211" s="52">
        <v>26.77</v>
      </c>
      <c r="AF211" s="52">
        <v>27.34</v>
      </c>
      <c r="AG211" s="52">
        <v>27.85</v>
      </c>
      <c r="AH211" s="52">
        <v>28.33</v>
      </c>
      <c r="AI211" s="53">
        <v>5.8999999999999997E-2</v>
      </c>
    </row>
    <row r="212" spans="1:35" ht="12.75" customHeight="1" x14ac:dyDescent="0.2">
      <c r="A212" s="127" t="s">
        <v>2849</v>
      </c>
      <c r="B212" s="40">
        <v>0</v>
      </c>
      <c r="C212" s="40">
        <v>0</v>
      </c>
      <c r="D212" s="128">
        <v>0</v>
      </c>
      <c r="E212" s="128">
        <v>0</v>
      </c>
      <c r="F212" s="52">
        <v>0</v>
      </c>
      <c r="G212" s="52">
        <v>0</v>
      </c>
      <c r="H212" s="52">
        <v>0.01</v>
      </c>
      <c r="I212" s="52">
        <v>0.01</v>
      </c>
      <c r="J212" s="52">
        <v>0.01</v>
      </c>
      <c r="K212" s="52">
        <v>0.01</v>
      </c>
      <c r="L212" s="52">
        <v>0.01</v>
      </c>
      <c r="M212" s="52">
        <v>0.02</v>
      </c>
      <c r="N212" s="52">
        <v>0.02</v>
      </c>
      <c r="O212" s="52">
        <v>0.02</v>
      </c>
      <c r="P212" s="52">
        <v>0.02</v>
      </c>
      <c r="Q212" s="52">
        <v>0.03</v>
      </c>
      <c r="R212" s="52">
        <v>0.03</v>
      </c>
      <c r="S212" s="52">
        <v>0.03</v>
      </c>
      <c r="T212" s="52">
        <v>0.04</v>
      </c>
      <c r="U212" s="52">
        <v>0.04</v>
      </c>
      <c r="V212" s="52">
        <v>0.05</v>
      </c>
      <c r="W212" s="52">
        <v>0.06</v>
      </c>
      <c r="X212" s="52">
        <v>0.06</v>
      </c>
      <c r="Y212" s="52">
        <v>7.0000000000000007E-2</v>
      </c>
      <c r="Z212" s="52">
        <v>0.08</v>
      </c>
      <c r="AA212" s="52">
        <v>0.09</v>
      </c>
      <c r="AB212" s="52">
        <v>0.11</v>
      </c>
      <c r="AC212" s="52">
        <v>0.12</v>
      </c>
      <c r="AD212" s="52">
        <v>0.14000000000000001</v>
      </c>
      <c r="AE212" s="52">
        <v>0.15</v>
      </c>
      <c r="AF212" s="52">
        <v>0.17</v>
      </c>
      <c r="AG212" s="52">
        <v>0.19</v>
      </c>
      <c r="AH212" s="52">
        <v>0.21</v>
      </c>
      <c r="AI212" s="116">
        <v>0.122</v>
      </c>
    </row>
    <row r="213" spans="1:35" ht="12.75" customHeight="1" x14ac:dyDescent="0.2">
      <c r="A213" s="127" t="s">
        <v>2850</v>
      </c>
      <c r="B213" s="40">
        <v>1.2163378298282601E-2</v>
      </c>
      <c r="C213" s="40">
        <v>1.5374379232525799E-2</v>
      </c>
      <c r="D213" s="128">
        <v>1.78299995604903E-3</v>
      </c>
      <c r="E213" s="128">
        <v>1.6822360921651099E-3</v>
      </c>
      <c r="F213" s="52">
        <v>1.555E-3</v>
      </c>
      <c r="G213" s="52">
        <v>1.4189999999999999E-3</v>
      </c>
      <c r="H213" s="52">
        <v>0</v>
      </c>
      <c r="I213" s="52">
        <v>0</v>
      </c>
      <c r="J213" s="52">
        <v>0</v>
      </c>
      <c r="K213" s="52">
        <v>0</v>
      </c>
      <c r="L213" s="52">
        <v>0</v>
      </c>
      <c r="M213" s="52">
        <v>0</v>
      </c>
      <c r="N213" s="52">
        <v>0</v>
      </c>
      <c r="O213" s="52">
        <v>0</v>
      </c>
      <c r="P213" s="52">
        <v>0</v>
      </c>
      <c r="Q213" s="52">
        <v>0</v>
      </c>
      <c r="R213" s="52">
        <v>0</v>
      </c>
      <c r="S213" s="52">
        <v>0</v>
      </c>
      <c r="T213" s="52">
        <v>0</v>
      </c>
      <c r="U213" s="52">
        <v>0</v>
      </c>
      <c r="V213" s="52">
        <v>0</v>
      </c>
      <c r="W213" s="52">
        <v>0</v>
      </c>
      <c r="X213" s="52">
        <v>0</v>
      </c>
      <c r="Y213" s="52">
        <v>0</v>
      </c>
      <c r="Z213" s="52">
        <v>0</v>
      </c>
      <c r="AA213" s="52">
        <v>0</v>
      </c>
      <c r="AB213" s="52">
        <v>0</v>
      </c>
      <c r="AC213" s="52">
        <v>0</v>
      </c>
      <c r="AD213" s="52">
        <v>0</v>
      </c>
      <c r="AE213" s="52">
        <v>0</v>
      </c>
      <c r="AF213" s="52">
        <v>0</v>
      </c>
      <c r="AG213" s="52">
        <v>0</v>
      </c>
      <c r="AH213" s="52">
        <v>0</v>
      </c>
      <c r="AI213" s="53" t="s">
        <v>2768</v>
      </c>
    </row>
    <row r="214" spans="1:35" ht="12.75" customHeight="1" x14ac:dyDescent="0.2">
      <c r="A214" s="40" t="s">
        <v>2762</v>
      </c>
      <c r="B214" s="40" t="s">
        <v>2853</v>
      </c>
      <c r="C214" s="40" t="s">
        <v>2853</v>
      </c>
      <c r="D214" s="128">
        <v>0</v>
      </c>
      <c r="E214" s="128">
        <v>0</v>
      </c>
      <c r="F214" s="52">
        <v>0</v>
      </c>
      <c r="G214" s="52">
        <v>0</v>
      </c>
      <c r="H214" s="52">
        <v>0</v>
      </c>
      <c r="I214" s="52">
        <v>0</v>
      </c>
      <c r="J214" s="52">
        <v>0</v>
      </c>
      <c r="K214" s="52">
        <v>0</v>
      </c>
      <c r="L214" s="52">
        <v>0</v>
      </c>
      <c r="M214" s="52">
        <v>0</v>
      </c>
      <c r="N214" s="52">
        <v>0.01</v>
      </c>
      <c r="O214" s="52">
        <v>0.01</v>
      </c>
      <c r="P214" s="52">
        <v>0.02</v>
      </c>
      <c r="Q214" s="52">
        <v>0.02</v>
      </c>
      <c r="R214" s="52">
        <v>0.03</v>
      </c>
      <c r="S214" s="52">
        <v>0.03</v>
      </c>
      <c r="T214" s="52">
        <v>0.03</v>
      </c>
      <c r="U214" s="52">
        <v>0.04</v>
      </c>
      <c r="V214" s="52">
        <v>0.05</v>
      </c>
      <c r="W214" s="52">
        <v>0.05</v>
      </c>
      <c r="X214" s="52">
        <v>0.06</v>
      </c>
      <c r="Y214" s="52">
        <v>7.0000000000000007E-2</v>
      </c>
      <c r="Z214" s="52">
        <v>0.08</v>
      </c>
      <c r="AA214" s="52">
        <v>0.08</v>
      </c>
      <c r="AB214" s="52">
        <v>0.09</v>
      </c>
      <c r="AC214" s="52">
        <v>0.11</v>
      </c>
      <c r="AD214" s="52">
        <v>0.12</v>
      </c>
      <c r="AE214" s="52">
        <v>0.13</v>
      </c>
      <c r="AF214" s="52">
        <v>0.13</v>
      </c>
      <c r="AG214" s="52">
        <v>0.14000000000000001</v>
      </c>
      <c r="AH214" s="52">
        <v>0.15</v>
      </c>
      <c r="AI214" s="116" t="s">
        <v>2768</v>
      </c>
    </row>
    <row r="215" spans="1:35" ht="12.75" customHeight="1" x14ac:dyDescent="0.2">
      <c r="D215" s="128"/>
      <c r="E215" s="128"/>
      <c r="F215" s="52">
        <v>0</v>
      </c>
      <c r="G215" s="52">
        <v>0</v>
      </c>
      <c r="H215" s="52">
        <v>0</v>
      </c>
      <c r="I215" s="52">
        <v>0</v>
      </c>
      <c r="J215" s="52">
        <v>0</v>
      </c>
      <c r="K215" s="52">
        <v>0</v>
      </c>
      <c r="L215" s="52">
        <v>0</v>
      </c>
      <c r="M215" s="52">
        <v>0</v>
      </c>
      <c r="N215" s="52">
        <v>0</v>
      </c>
      <c r="O215" s="52">
        <v>0</v>
      </c>
      <c r="P215" s="52">
        <v>0</v>
      </c>
      <c r="Q215" s="52">
        <v>0</v>
      </c>
      <c r="R215" s="52">
        <v>0</v>
      </c>
      <c r="S215" s="52">
        <v>0</v>
      </c>
      <c r="T215" s="52">
        <v>0</v>
      </c>
      <c r="U215" s="52">
        <v>0</v>
      </c>
      <c r="V215" s="52">
        <v>0</v>
      </c>
      <c r="W215" s="52">
        <v>0</v>
      </c>
      <c r="X215" s="52">
        <v>0</v>
      </c>
      <c r="Y215" s="52">
        <v>0</v>
      </c>
      <c r="Z215" s="52">
        <v>0</v>
      </c>
      <c r="AA215" s="52">
        <v>0</v>
      </c>
      <c r="AB215" s="52">
        <v>0</v>
      </c>
      <c r="AC215" s="52">
        <v>0</v>
      </c>
      <c r="AD215" s="52">
        <v>0</v>
      </c>
      <c r="AE215" s="52">
        <v>0</v>
      </c>
      <c r="AF215" s="52">
        <v>0</v>
      </c>
      <c r="AG215" s="52">
        <v>0</v>
      </c>
      <c r="AH215" s="52">
        <v>0</v>
      </c>
      <c r="AI215" s="116" t="s">
        <v>2768</v>
      </c>
    </row>
    <row r="216" spans="1:35" ht="12.75" customHeight="1" x14ac:dyDescent="0.2">
      <c r="A216" s="40" t="s">
        <v>2763</v>
      </c>
      <c r="B216" s="40">
        <v>0</v>
      </c>
      <c r="C216" s="40">
        <v>0</v>
      </c>
      <c r="D216" s="128">
        <v>0</v>
      </c>
      <c r="E216" s="128">
        <v>0</v>
      </c>
      <c r="F216" s="52">
        <v>0</v>
      </c>
      <c r="G216" s="52">
        <v>0</v>
      </c>
      <c r="H216" s="52">
        <v>0</v>
      </c>
      <c r="I216" s="52">
        <v>0</v>
      </c>
      <c r="J216" s="52">
        <v>0</v>
      </c>
      <c r="K216" s="52">
        <v>0</v>
      </c>
      <c r="L216" s="52">
        <v>0</v>
      </c>
      <c r="M216" s="52">
        <v>0</v>
      </c>
      <c r="N216" s="52">
        <v>0</v>
      </c>
      <c r="O216" s="52">
        <v>0</v>
      </c>
      <c r="P216" s="52">
        <v>0</v>
      </c>
      <c r="Q216" s="52">
        <v>0</v>
      </c>
      <c r="R216" s="52">
        <v>0</v>
      </c>
      <c r="S216" s="52">
        <v>0</v>
      </c>
      <c r="T216" s="52">
        <v>0</v>
      </c>
      <c r="U216" s="52">
        <v>0</v>
      </c>
      <c r="V216" s="52">
        <v>0</v>
      </c>
      <c r="W216" s="52">
        <v>0.01</v>
      </c>
      <c r="X216" s="52">
        <v>0.01</v>
      </c>
      <c r="Y216" s="52">
        <v>0.01</v>
      </c>
      <c r="Z216" s="52">
        <v>0.01</v>
      </c>
      <c r="AA216" s="52">
        <v>0.01</v>
      </c>
      <c r="AB216" s="52">
        <v>0.01</v>
      </c>
      <c r="AC216" s="52">
        <v>0.01</v>
      </c>
      <c r="AD216" s="52">
        <v>0.01</v>
      </c>
      <c r="AE216" s="52">
        <v>0.02</v>
      </c>
      <c r="AF216" s="52">
        <v>0.02</v>
      </c>
      <c r="AG216" s="52">
        <v>0.02</v>
      </c>
      <c r="AH216" s="52">
        <v>0.02</v>
      </c>
      <c r="AI216" s="116" t="s">
        <v>2768</v>
      </c>
    </row>
    <row r="217" spans="1:35" ht="12.75" customHeight="1" x14ac:dyDescent="0.2">
      <c r="A217" s="40" t="s">
        <v>2764</v>
      </c>
      <c r="B217" s="40">
        <v>0</v>
      </c>
      <c r="C217" s="40">
        <v>0</v>
      </c>
      <c r="D217" s="128">
        <v>1.9339000806212401E-2</v>
      </c>
      <c r="E217" s="128">
        <v>0.121715813875198</v>
      </c>
      <c r="F217" s="52">
        <v>0.164434</v>
      </c>
      <c r="G217" s="52">
        <v>0.22829199999999999</v>
      </c>
      <c r="H217" s="52">
        <v>0.32</v>
      </c>
      <c r="I217" s="52">
        <v>0.36</v>
      </c>
      <c r="J217" s="52">
        <v>0.38</v>
      </c>
      <c r="K217" s="52">
        <v>0.39</v>
      </c>
      <c r="L217" s="52">
        <v>0.41</v>
      </c>
      <c r="M217" s="52">
        <v>0.42</v>
      </c>
      <c r="N217" s="52">
        <v>0.45</v>
      </c>
      <c r="O217" s="52">
        <v>0.47</v>
      </c>
      <c r="P217" s="52">
        <v>0.49</v>
      </c>
      <c r="Q217" s="52">
        <v>0.51</v>
      </c>
      <c r="R217" s="52">
        <v>0.52</v>
      </c>
      <c r="S217" s="52">
        <v>0.53</v>
      </c>
      <c r="T217" s="52">
        <v>0.54</v>
      </c>
      <c r="U217" s="52">
        <v>0.55000000000000004</v>
      </c>
      <c r="V217" s="52">
        <v>0.56000000000000005</v>
      </c>
      <c r="W217" s="52">
        <v>0.56999999999999995</v>
      </c>
      <c r="X217" s="52">
        <v>0.57999999999999996</v>
      </c>
      <c r="Y217" s="52">
        <v>0.59</v>
      </c>
      <c r="Z217" s="52">
        <v>0.59</v>
      </c>
      <c r="AA217" s="52">
        <v>0.6</v>
      </c>
      <c r="AB217" s="52">
        <v>0.61</v>
      </c>
      <c r="AC217" s="52">
        <v>0.61</v>
      </c>
      <c r="AD217" s="52">
        <v>0.62</v>
      </c>
      <c r="AE217" s="52">
        <v>0.63</v>
      </c>
      <c r="AF217" s="52">
        <v>0.63</v>
      </c>
      <c r="AG217" s="52">
        <v>0.64</v>
      </c>
      <c r="AH217" s="52">
        <v>0.65</v>
      </c>
      <c r="AI217" s="53">
        <v>2.4E-2</v>
      </c>
    </row>
    <row r="218" spans="1:35" ht="12.75" customHeight="1" x14ac:dyDescent="0.2">
      <c r="A218" s="40" t="s">
        <v>2758</v>
      </c>
      <c r="B218" s="40">
        <v>4.9022998427972198E-4</v>
      </c>
      <c r="C218" s="40">
        <v>5.7625892804935596E-4</v>
      </c>
      <c r="D218" s="128">
        <v>1.9197000190615699E-2</v>
      </c>
      <c r="E218" s="128">
        <v>2.0274039357900599E-2</v>
      </c>
      <c r="F218" s="52">
        <v>2.1911E-2</v>
      </c>
      <c r="G218" s="52">
        <v>2.2020000000000001E-2</v>
      </c>
      <c r="H218" s="52">
        <v>0.05</v>
      </c>
      <c r="I218" s="52">
        <v>0.06</v>
      </c>
      <c r="J218" s="52">
        <v>0.06</v>
      </c>
      <c r="K218" s="52">
        <v>0.06</v>
      </c>
      <c r="L218" s="52">
        <v>7.0000000000000007E-2</v>
      </c>
      <c r="M218" s="52">
        <v>7.0000000000000007E-2</v>
      </c>
      <c r="N218" s="52">
        <v>7.0000000000000007E-2</v>
      </c>
      <c r="O218" s="52">
        <v>7.0000000000000007E-2</v>
      </c>
      <c r="P218" s="52">
        <v>0.08</v>
      </c>
      <c r="Q218" s="52">
        <v>0.08</v>
      </c>
      <c r="R218" s="52">
        <v>0.08</v>
      </c>
      <c r="S218" s="52">
        <v>0.08</v>
      </c>
      <c r="T218" s="52">
        <v>0.08</v>
      </c>
      <c r="U218" s="52">
        <v>0.09</v>
      </c>
      <c r="V218" s="52">
        <v>0.09</v>
      </c>
      <c r="W218" s="52">
        <v>0.09</v>
      </c>
      <c r="X218" s="52">
        <v>0.09</v>
      </c>
      <c r="Y218" s="52">
        <v>0.09</v>
      </c>
      <c r="Z218" s="52">
        <v>0.09</v>
      </c>
      <c r="AA218" s="52">
        <v>0.09</v>
      </c>
      <c r="AB218" s="52">
        <v>0.09</v>
      </c>
      <c r="AC218" s="52">
        <v>0.09</v>
      </c>
      <c r="AD218" s="52">
        <v>0.09</v>
      </c>
      <c r="AE218" s="52">
        <v>0.09</v>
      </c>
      <c r="AF218" s="52">
        <v>0.09</v>
      </c>
      <c r="AG218" s="52">
        <v>0.09</v>
      </c>
      <c r="AH218" s="52">
        <v>0.09</v>
      </c>
      <c r="AI218" s="53">
        <v>0.02</v>
      </c>
    </row>
    <row r="219" spans="1:35" x14ac:dyDescent="0.2">
      <c r="A219" s="40" t="s">
        <v>2759</v>
      </c>
      <c r="B219" s="40">
        <v>0.142512232065201</v>
      </c>
      <c r="C219" s="40">
        <v>0.17105720937252</v>
      </c>
      <c r="D219" s="128">
        <v>4.03200015425682E-2</v>
      </c>
      <c r="E219" s="128">
        <v>4.3045800179243102E-2</v>
      </c>
      <c r="F219" s="52">
        <v>5.0755000000000002E-2</v>
      </c>
      <c r="G219" s="52">
        <v>5.1353999999999997E-2</v>
      </c>
      <c r="H219" s="52">
        <v>0.11</v>
      </c>
      <c r="I219" s="52">
        <v>0.11</v>
      </c>
      <c r="J219" s="52">
        <v>0.12</v>
      </c>
      <c r="K219" s="52">
        <v>0.12</v>
      </c>
      <c r="L219" s="52">
        <v>0.13</v>
      </c>
      <c r="M219" s="52">
        <v>0.13</v>
      </c>
      <c r="N219" s="52">
        <v>0.14000000000000001</v>
      </c>
      <c r="O219" s="52">
        <v>0.14000000000000001</v>
      </c>
      <c r="P219" s="52">
        <v>0.14000000000000001</v>
      </c>
      <c r="Q219" s="52">
        <v>0.15</v>
      </c>
      <c r="R219" s="52">
        <v>0.15</v>
      </c>
      <c r="S219" s="52">
        <v>0.15</v>
      </c>
      <c r="T219" s="52">
        <v>0.15</v>
      </c>
      <c r="U219" s="52">
        <v>0.15</v>
      </c>
      <c r="V219" s="52">
        <v>0.15</v>
      </c>
      <c r="W219" s="52">
        <v>0.16</v>
      </c>
      <c r="X219" s="52">
        <v>0.16</v>
      </c>
      <c r="Y219" s="52">
        <v>0.16</v>
      </c>
      <c r="Z219" s="52">
        <v>0.16</v>
      </c>
      <c r="AA219" s="52">
        <v>0.16</v>
      </c>
      <c r="AB219" s="52">
        <v>0.16</v>
      </c>
      <c r="AC219" s="52">
        <v>0.16</v>
      </c>
      <c r="AD219" s="52">
        <v>0.16</v>
      </c>
      <c r="AE219" s="52">
        <v>0.16</v>
      </c>
      <c r="AF219" s="52">
        <v>0.16</v>
      </c>
      <c r="AG219" s="52">
        <v>0.16</v>
      </c>
      <c r="AH219" s="52">
        <v>0.16</v>
      </c>
      <c r="AI219" s="53">
        <v>1.4999999999999999E-2</v>
      </c>
    </row>
    <row r="220" spans="1:35" x14ac:dyDescent="0.2">
      <c r="A220" s="40" t="s">
        <v>2875</v>
      </c>
      <c r="B220" s="40">
        <v>3.0042834114283302E-3</v>
      </c>
      <c r="C220" s="40">
        <v>3.62945138476789E-3</v>
      </c>
      <c r="D220" s="128">
        <v>1.7536999657750098E-2</v>
      </c>
      <c r="E220" s="128">
        <v>1.6205077990889501E-2</v>
      </c>
      <c r="F220" s="52">
        <v>1.4989000000000001E-2</v>
      </c>
      <c r="G220" s="52">
        <v>1.3932E-2</v>
      </c>
      <c r="H220" s="52">
        <v>0.1</v>
      </c>
      <c r="I220" s="52">
        <v>0.1</v>
      </c>
      <c r="J220" s="52">
        <v>0.1</v>
      </c>
      <c r="K220" s="52">
        <v>0.1</v>
      </c>
      <c r="L220" s="52">
        <v>0.1</v>
      </c>
      <c r="M220" s="52">
        <v>0.1</v>
      </c>
      <c r="N220" s="52">
        <v>0.1</v>
      </c>
      <c r="O220" s="52">
        <v>0.1</v>
      </c>
      <c r="P220" s="52">
        <v>0.11</v>
      </c>
      <c r="Q220" s="52">
        <v>0.11</v>
      </c>
      <c r="R220" s="52">
        <v>0.11</v>
      </c>
      <c r="S220" s="52">
        <v>0.11</v>
      </c>
      <c r="T220" s="52">
        <v>0.11</v>
      </c>
      <c r="U220" s="52">
        <v>0.11</v>
      </c>
      <c r="V220" s="52">
        <v>0.11</v>
      </c>
      <c r="W220" s="52">
        <v>0.12</v>
      </c>
      <c r="X220" s="52">
        <v>0.12</v>
      </c>
      <c r="Y220" s="52">
        <v>0.12</v>
      </c>
      <c r="Z220" s="52">
        <v>0.12</v>
      </c>
      <c r="AA220" s="52">
        <v>0.12</v>
      </c>
      <c r="AB220" s="52">
        <v>0.12</v>
      </c>
      <c r="AC220" s="52">
        <v>0.13</v>
      </c>
      <c r="AD220" s="52">
        <v>0.13</v>
      </c>
      <c r="AE220" s="52">
        <v>0.13</v>
      </c>
      <c r="AF220" s="52">
        <v>0.13</v>
      </c>
      <c r="AG220" s="52">
        <v>0.13</v>
      </c>
      <c r="AH220" s="52">
        <v>0.13</v>
      </c>
      <c r="AI220" s="53">
        <v>1.0999999999999999E-2</v>
      </c>
    </row>
    <row r="221" spans="1:35" x14ac:dyDescent="0.2">
      <c r="A221" s="40" t="s">
        <v>2876</v>
      </c>
      <c r="B221" s="40">
        <v>0.38343894481658902</v>
      </c>
      <c r="C221" s="40">
        <v>0.48101028800010698</v>
      </c>
      <c r="D221" s="128">
        <v>8.7477996945381206E-2</v>
      </c>
      <c r="E221" s="128">
        <v>7.8459918498992906E-2</v>
      </c>
      <c r="F221" s="52">
        <v>7.0562E-2</v>
      </c>
      <c r="G221" s="52">
        <v>6.3664999999999999E-2</v>
      </c>
      <c r="H221" s="52">
        <v>0.38</v>
      </c>
      <c r="I221" s="52">
        <v>0.38</v>
      </c>
      <c r="J221" s="52">
        <v>0.38</v>
      </c>
      <c r="K221" s="52">
        <v>0.38</v>
      </c>
      <c r="L221" s="52">
        <v>0.38</v>
      </c>
      <c r="M221" s="52">
        <v>0.38</v>
      </c>
      <c r="N221" s="52">
        <v>0.38</v>
      </c>
      <c r="O221" s="52">
        <v>0.39</v>
      </c>
      <c r="P221" s="52">
        <v>0.39</v>
      </c>
      <c r="Q221" s="52">
        <v>0.39</v>
      </c>
      <c r="R221" s="52">
        <v>0.39</v>
      </c>
      <c r="S221" s="52">
        <v>0.39</v>
      </c>
      <c r="T221" s="52">
        <v>0.39</v>
      </c>
      <c r="U221" s="52">
        <v>0.4</v>
      </c>
      <c r="V221" s="52">
        <v>0.4</v>
      </c>
      <c r="W221" s="52">
        <v>0.4</v>
      </c>
      <c r="X221" s="52">
        <v>0.4</v>
      </c>
      <c r="Y221" s="52">
        <v>0.4</v>
      </c>
      <c r="Z221" s="52">
        <v>0.4</v>
      </c>
      <c r="AA221" s="52">
        <v>0.4</v>
      </c>
      <c r="AB221" s="52">
        <v>0.4</v>
      </c>
      <c r="AC221" s="52">
        <v>0.4</v>
      </c>
      <c r="AD221" s="52">
        <v>0.4</v>
      </c>
      <c r="AE221" s="52">
        <v>0.4</v>
      </c>
      <c r="AF221" s="52">
        <v>0.41</v>
      </c>
      <c r="AG221" s="52">
        <v>0.41</v>
      </c>
      <c r="AH221" s="52">
        <v>0.41</v>
      </c>
      <c r="AI221" s="53">
        <v>3.0000000000000001E-3</v>
      </c>
    </row>
    <row r="222" spans="1:35" x14ac:dyDescent="0.2">
      <c r="A222" s="40" t="s">
        <v>2765</v>
      </c>
      <c r="B222" s="40">
        <v>0</v>
      </c>
      <c r="C222" s="40">
        <v>0</v>
      </c>
      <c r="D222" s="128">
        <v>0</v>
      </c>
      <c r="E222" s="128">
        <v>0</v>
      </c>
      <c r="F222" s="52">
        <v>0</v>
      </c>
      <c r="G222" s="52">
        <v>0</v>
      </c>
      <c r="H222" s="52">
        <v>0</v>
      </c>
      <c r="I222" s="52">
        <v>0</v>
      </c>
      <c r="J222" s="52">
        <v>0</v>
      </c>
      <c r="K222" s="52">
        <v>0</v>
      </c>
      <c r="L222" s="52">
        <v>0</v>
      </c>
      <c r="M222" s="52">
        <v>0</v>
      </c>
      <c r="N222" s="52">
        <v>0</v>
      </c>
      <c r="O222" s="52">
        <v>0</v>
      </c>
      <c r="P222" s="52">
        <v>0</v>
      </c>
      <c r="Q222" s="52">
        <v>0</v>
      </c>
      <c r="R222" s="52">
        <v>0</v>
      </c>
      <c r="S222" s="52">
        <v>0</v>
      </c>
      <c r="T222" s="52">
        <v>0</v>
      </c>
      <c r="U222" s="52">
        <v>0</v>
      </c>
      <c r="V222" s="52">
        <v>0</v>
      </c>
      <c r="W222" s="52">
        <v>0</v>
      </c>
      <c r="X222" s="52">
        <v>0</v>
      </c>
      <c r="Y222" s="52">
        <v>0</v>
      </c>
      <c r="Z222" s="52">
        <v>0</v>
      </c>
      <c r="AA222" s="52">
        <v>0</v>
      </c>
      <c r="AB222" s="52">
        <v>0</v>
      </c>
      <c r="AC222" s="52">
        <v>0</v>
      </c>
      <c r="AD222" s="52">
        <v>0</v>
      </c>
      <c r="AE222" s="52">
        <v>0</v>
      </c>
      <c r="AF222" s="52">
        <v>0</v>
      </c>
      <c r="AG222" s="52">
        <v>0</v>
      </c>
      <c r="AH222" s="52">
        <v>0</v>
      </c>
      <c r="AI222" s="116" t="s">
        <v>2768</v>
      </c>
    </row>
    <row r="223" spans="1:35" x14ac:dyDescent="0.2">
      <c r="A223" s="40" t="s">
        <v>2766</v>
      </c>
      <c r="B223" s="40">
        <v>0</v>
      </c>
      <c r="C223" s="40">
        <v>0</v>
      </c>
      <c r="D223" s="128">
        <v>0</v>
      </c>
      <c r="E223" s="128">
        <v>0</v>
      </c>
      <c r="F223" s="52">
        <v>0</v>
      </c>
      <c r="G223" s="52">
        <v>0</v>
      </c>
      <c r="H223" s="52">
        <v>0</v>
      </c>
      <c r="I223" s="52">
        <v>0</v>
      </c>
      <c r="J223" s="52">
        <v>0</v>
      </c>
      <c r="K223" s="52">
        <v>0</v>
      </c>
      <c r="L223" s="52">
        <v>0</v>
      </c>
      <c r="M223" s="52">
        <v>0</v>
      </c>
      <c r="N223" s="52">
        <v>0</v>
      </c>
      <c r="O223" s="52">
        <v>0</v>
      </c>
      <c r="P223" s="52">
        <v>0</v>
      </c>
      <c r="Q223" s="52">
        <v>0</v>
      </c>
      <c r="R223" s="52">
        <v>0</v>
      </c>
      <c r="S223" s="52">
        <v>0</v>
      </c>
      <c r="T223" s="52">
        <v>0</v>
      </c>
      <c r="U223" s="52">
        <v>0</v>
      </c>
      <c r="V223" s="52">
        <v>0</v>
      </c>
      <c r="W223" s="52">
        <v>0</v>
      </c>
      <c r="X223" s="52">
        <v>0</v>
      </c>
      <c r="Y223" s="52">
        <v>0</v>
      </c>
      <c r="Z223" s="52">
        <v>0</v>
      </c>
      <c r="AA223" s="52">
        <v>0</v>
      </c>
      <c r="AB223" s="52">
        <v>0</v>
      </c>
      <c r="AC223" s="52">
        <v>0</v>
      </c>
      <c r="AD223" s="52">
        <v>0</v>
      </c>
      <c r="AE223" s="52">
        <v>0</v>
      </c>
      <c r="AF223" s="52">
        <v>0</v>
      </c>
      <c r="AG223" s="52">
        <v>0</v>
      </c>
      <c r="AH223" s="52">
        <v>0</v>
      </c>
      <c r="AI223" s="116" t="s">
        <v>2768</v>
      </c>
    </row>
    <row r="224" spans="1:35" x14ac:dyDescent="0.2">
      <c r="A224" s="40" t="s">
        <v>2767</v>
      </c>
      <c r="B224" s="40">
        <v>0</v>
      </c>
      <c r="C224" s="40">
        <v>0</v>
      </c>
      <c r="D224" s="128">
        <v>0</v>
      </c>
      <c r="E224" s="128">
        <v>1.2103888366255E-5</v>
      </c>
      <c r="F224" s="52">
        <v>0</v>
      </c>
      <c r="G224" s="52">
        <v>0</v>
      </c>
      <c r="H224" s="52">
        <v>0</v>
      </c>
      <c r="I224" s="52">
        <v>0</v>
      </c>
      <c r="J224" s="52">
        <v>0</v>
      </c>
      <c r="K224" s="52">
        <v>0</v>
      </c>
      <c r="L224" s="52">
        <v>0</v>
      </c>
      <c r="M224" s="52">
        <v>0</v>
      </c>
      <c r="N224" s="52">
        <v>0</v>
      </c>
      <c r="O224" s="52">
        <v>0</v>
      </c>
      <c r="P224" s="52">
        <v>0</v>
      </c>
      <c r="Q224" s="52">
        <v>0</v>
      </c>
      <c r="R224" s="52">
        <v>0</v>
      </c>
      <c r="S224" s="52">
        <v>0.01</v>
      </c>
      <c r="T224" s="52">
        <v>0.01</v>
      </c>
      <c r="U224" s="52">
        <v>0.01</v>
      </c>
      <c r="V224" s="52">
        <v>0.01</v>
      </c>
      <c r="W224" s="52">
        <v>0.01</v>
      </c>
      <c r="X224" s="52">
        <v>0.01</v>
      </c>
      <c r="Y224" s="52">
        <v>0.01</v>
      </c>
      <c r="Z224" s="52">
        <v>0.02</v>
      </c>
      <c r="AA224" s="52">
        <v>0.02</v>
      </c>
      <c r="AB224" s="52">
        <v>0.02</v>
      </c>
      <c r="AC224" s="52">
        <v>0.02</v>
      </c>
      <c r="AD224" s="52">
        <v>0.02</v>
      </c>
      <c r="AE224" s="52">
        <v>0.02</v>
      </c>
      <c r="AF224" s="52">
        <v>0.02</v>
      </c>
      <c r="AG224" s="52">
        <v>0.03</v>
      </c>
      <c r="AH224" s="52">
        <v>0.03</v>
      </c>
      <c r="AI224" s="116" t="s">
        <v>2768</v>
      </c>
    </row>
    <row r="225" spans="1:35" x14ac:dyDescent="0.2">
      <c r="A225" s="40" t="s">
        <v>2877</v>
      </c>
      <c r="B225" s="40">
        <v>2.1684720516204798</v>
      </c>
      <c r="C225" s="40">
        <v>2.6797828674316402</v>
      </c>
      <c r="D225" s="128">
        <v>4.0402302742004403</v>
      </c>
      <c r="E225" s="128">
        <v>4.3976907730102504</v>
      </c>
      <c r="F225" s="52">
        <v>5.3729199999999997</v>
      </c>
      <c r="G225" s="52">
        <v>6.1570070000000001</v>
      </c>
      <c r="H225" s="52">
        <v>7.13</v>
      </c>
      <c r="I225" s="52">
        <v>7.82</v>
      </c>
      <c r="J225" s="52">
        <v>8.67</v>
      </c>
      <c r="K225" s="52">
        <v>9.57</v>
      </c>
      <c r="L225" s="52">
        <v>10.63</v>
      </c>
      <c r="M225" s="52">
        <v>11.71</v>
      </c>
      <c r="N225" s="52">
        <v>12.82</v>
      </c>
      <c r="O225" s="52">
        <v>13.95</v>
      </c>
      <c r="P225" s="52">
        <v>15.08</v>
      </c>
      <c r="Q225" s="52">
        <v>16.21</v>
      </c>
      <c r="R225" s="52">
        <v>17.309999999999999</v>
      </c>
      <c r="S225" s="52">
        <v>18.34</v>
      </c>
      <c r="T225" s="52">
        <v>19.329999999999998</v>
      </c>
      <c r="U225" s="52">
        <v>20.36</v>
      </c>
      <c r="V225" s="52">
        <v>21.34</v>
      </c>
      <c r="W225" s="52">
        <v>22.28</v>
      </c>
      <c r="X225" s="52">
        <v>23.2</v>
      </c>
      <c r="Y225" s="52">
        <v>24.09</v>
      </c>
      <c r="Z225" s="52">
        <v>24.96</v>
      </c>
      <c r="AA225" s="52">
        <v>25.72</v>
      </c>
      <c r="AB225" s="52">
        <v>26.45</v>
      </c>
      <c r="AC225" s="52">
        <v>27.14</v>
      </c>
      <c r="AD225" s="52">
        <v>27.85</v>
      </c>
      <c r="AE225" s="52">
        <v>28.5</v>
      </c>
      <c r="AF225" s="52">
        <v>29.11</v>
      </c>
      <c r="AG225" s="52">
        <v>29.66</v>
      </c>
      <c r="AH225" s="52">
        <v>30.18</v>
      </c>
      <c r="AI225" s="53">
        <v>5.6000000000000001E-2</v>
      </c>
    </row>
    <row r="227" spans="1:35" x14ac:dyDescent="0.2">
      <c r="A227" s="40" t="s">
        <v>2880</v>
      </c>
      <c r="B227" s="40">
        <v>76.353218078613295</v>
      </c>
      <c r="C227" s="40">
        <v>80.771270751953097</v>
      </c>
      <c r="D227" s="128">
        <v>88.410728454589801</v>
      </c>
      <c r="E227" s="128">
        <v>92.44091796875</v>
      </c>
      <c r="F227" s="52">
        <v>95.815742</v>
      </c>
      <c r="G227" s="52">
        <v>97.401923999999994</v>
      </c>
      <c r="H227" s="52">
        <v>95.16</v>
      </c>
      <c r="I227" s="52">
        <v>94.95</v>
      </c>
      <c r="J227" s="52">
        <v>94.92</v>
      </c>
      <c r="K227" s="52">
        <v>94.94</v>
      </c>
      <c r="L227" s="52">
        <v>95.54</v>
      </c>
      <c r="M227" s="52">
        <v>96.24</v>
      </c>
      <c r="N227" s="52">
        <v>96.97</v>
      </c>
      <c r="O227" s="52">
        <v>97.71</v>
      </c>
      <c r="P227" s="52">
        <v>98.27</v>
      </c>
      <c r="Q227" s="52">
        <v>98.5</v>
      </c>
      <c r="R227" s="52">
        <v>98.62</v>
      </c>
      <c r="S227" s="52">
        <v>98.5</v>
      </c>
      <c r="T227" s="52">
        <v>98.36</v>
      </c>
      <c r="U227" s="52">
        <v>98.33</v>
      </c>
      <c r="V227" s="52">
        <v>98.27</v>
      </c>
      <c r="W227" s="52">
        <v>98.22</v>
      </c>
      <c r="X227" s="52">
        <v>98.16</v>
      </c>
      <c r="Y227" s="52">
        <v>98.14</v>
      </c>
      <c r="Z227" s="52">
        <v>98.17</v>
      </c>
      <c r="AA227" s="52">
        <v>98.19</v>
      </c>
      <c r="AB227" s="52">
        <v>98.17</v>
      </c>
      <c r="AC227" s="52">
        <v>98.15</v>
      </c>
      <c r="AD227" s="52">
        <v>98.1</v>
      </c>
      <c r="AE227" s="52">
        <v>98.03</v>
      </c>
      <c r="AF227" s="52">
        <v>98.09</v>
      </c>
      <c r="AG227" s="52">
        <v>98.2</v>
      </c>
      <c r="AH227" s="52">
        <v>98.33</v>
      </c>
      <c r="AI227" s="129">
        <v>1E-3</v>
      </c>
    </row>
    <row r="228" spans="1:35" ht="15.75" customHeight="1" x14ac:dyDescent="0.2"/>
    <row r="229" spans="1:35" ht="12.75" customHeight="1" x14ac:dyDescent="0.2">
      <c r="A229" s="40" t="s">
        <v>2881</v>
      </c>
      <c r="B229" s="40">
        <v>206.07785034179699</v>
      </c>
      <c r="C229" s="40">
        <v>211.55305480957</v>
      </c>
      <c r="D229" s="128">
        <v>222.319580078125</v>
      </c>
      <c r="E229" s="128">
        <v>226.96243286132801</v>
      </c>
      <c r="F229" s="52">
        <v>230.66018700000001</v>
      </c>
      <c r="G229" s="52">
        <v>231.373535</v>
      </c>
      <c r="H229" s="52">
        <v>227.07</v>
      </c>
      <c r="I229" s="52">
        <v>224.73</v>
      </c>
      <c r="J229" s="52">
        <v>223.56</v>
      </c>
      <c r="K229" s="52">
        <v>222.57</v>
      </c>
      <c r="L229" s="52">
        <v>223.02</v>
      </c>
      <c r="M229" s="52">
        <v>224.21</v>
      </c>
      <c r="N229" s="52">
        <v>225.99</v>
      </c>
      <c r="O229" s="52">
        <v>228.19</v>
      </c>
      <c r="P229" s="52">
        <v>230.37</v>
      </c>
      <c r="Q229" s="52">
        <v>232.22</v>
      </c>
      <c r="R229" s="52">
        <v>234.16</v>
      </c>
      <c r="S229" s="52">
        <v>236.11</v>
      </c>
      <c r="T229" s="52">
        <v>238.26</v>
      </c>
      <c r="U229" s="52">
        <v>240.88</v>
      </c>
      <c r="V229" s="52">
        <v>243.67</v>
      </c>
      <c r="W229" s="52">
        <v>246.59</v>
      </c>
      <c r="X229" s="52">
        <v>249.56</v>
      </c>
      <c r="Y229" s="52">
        <v>252.59</v>
      </c>
      <c r="Z229" s="52">
        <v>255.65</v>
      </c>
      <c r="AA229" s="52">
        <v>258.63</v>
      </c>
      <c r="AB229" s="52">
        <v>261.42</v>
      </c>
      <c r="AC229" s="52">
        <v>264.10000000000002</v>
      </c>
      <c r="AD229" s="52">
        <v>266.64</v>
      </c>
      <c r="AE229" s="52">
        <v>269.02</v>
      </c>
      <c r="AF229" s="52">
        <v>271.45</v>
      </c>
      <c r="AG229" s="52">
        <v>273.86</v>
      </c>
      <c r="AH229" s="52">
        <v>276.2</v>
      </c>
      <c r="AI229" s="129">
        <v>8.0000000000000002E-3</v>
      </c>
    </row>
    <row r="230" spans="1:35" ht="12.75" customHeight="1" x14ac:dyDescent="0.2"/>
    <row r="231" spans="1:35" ht="12.75" customHeight="1" x14ac:dyDescent="0.2"/>
    <row r="232" spans="1:35" ht="12.75" customHeight="1" x14ac:dyDescent="0.2"/>
    <row r="233" spans="1:35" ht="12.75" customHeight="1" x14ac:dyDescent="0.2">
      <c r="A233" s="130" t="s">
        <v>2882</v>
      </c>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row>
    <row r="234" spans="1:35" ht="12.75" customHeight="1" x14ac:dyDescent="0.2">
      <c r="A234" s="50" t="s">
        <v>2883</v>
      </c>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row>
    <row r="235" spans="1:35" ht="12.75" customHeight="1" x14ac:dyDescent="0.2">
      <c r="A235" s="50" t="s">
        <v>2884</v>
      </c>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row>
    <row r="236" spans="1:35" ht="12.75" customHeight="1" x14ac:dyDescent="0.2">
      <c r="A236" s="50" t="s">
        <v>2885</v>
      </c>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row>
    <row r="237" spans="1:35" ht="12.75" customHeight="1" x14ac:dyDescent="0.2">
      <c r="A237" s="50" t="s">
        <v>2886</v>
      </c>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row>
    <row r="238" spans="1:35" ht="12.75" customHeight="1" x14ac:dyDescent="0.2">
      <c r="A238" s="50" t="s">
        <v>2887</v>
      </c>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row>
    <row r="239" spans="1:35" ht="12.75" customHeight="1" x14ac:dyDescent="0.2">
      <c r="A239" s="50" t="s">
        <v>2888</v>
      </c>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row>
    <row r="240" spans="1:35" ht="15.75" customHeight="1" x14ac:dyDescent="0.2">
      <c r="A240" s="50" t="s">
        <v>2889</v>
      </c>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row>
    <row r="241" spans="1:30" ht="38.25" x14ac:dyDescent="0.2">
      <c r="A241" s="50" t="s">
        <v>2890</v>
      </c>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row>
    <row r="242" spans="1:30" ht="25.5" x14ac:dyDescent="0.2">
      <c r="A242" s="50" t="s">
        <v>2891</v>
      </c>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row>
    <row r="243" spans="1:30" ht="25.5" x14ac:dyDescent="0.2">
      <c r="A243" s="50" t="s">
        <v>2892</v>
      </c>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row>
    <row r="244" spans="1:30" ht="12.75" customHeight="1" x14ac:dyDescent="0.2">
      <c r="A244" s="50" t="s">
        <v>2893</v>
      </c>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row>
    <row r="250" spans="1:30" ht="12.75" customHeight="1" x14ac:dyDescent="0.2"/>
    <row r="259" spans="1:31" x14ac:dyDescent="0.2">
      <c r="A259" s="112"/>
    </row>
    <row r="263" spans="1:31" x14ac:dyDescent="0.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3"/>
    </row>
    <row r="264" spans="1:31" x14ac:dyDescent="0.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3"/>
    </row>
    <row r="265" spans="1:31" x14ac:dyDescent="0.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3"/>
    </row>
    <row r="267" spans="1:31" ht="12.75" customHeight="1" x14ac:dyDescent="0.2"/>
    <row r="268" spans="1:31" x14ac:dyDescent="0.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3"/>
    </row>
    <row r="269" spans="1:31" ht="12.75" customHeight="1" x14ac:dyDescent="0.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116"/>
    </row>
    <row r="270" spans="1:31" x14ac:dyDescent="0.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3"/>
    </row>
    <row r="271" spans="1:31" x14ac:dyDescent="0.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116"/>
    </row>
    <row r="272" spans="1:31" x14ac:dyDescent="0.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116"/>
    </row>
    <row r="273" spans="2:31" x14ac:dyDescent="0.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116"/>
    </row>
    <row r="274" spans="2:31" x14ac:dyDescent="0.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3"/>
    </row>
    <row r="275" spans="2:31" ht="12.75" customHeight="1" x14ac:dyDescent="0.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3"/>
    </row>
    <row r="276" spans="2:31" x14ac:dyDescent="0.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3"/>
    </row>
    <row r="277" spans="2:31" x14ac:dyDescent="0.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3"/>
    </row>
    <row r="278" spans="2:31" x14ac:dyDescent="0.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3"/>
    </row>
    <row r="279" spans="2:31" x14ac:dyDescent="0.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116"/>
    </row>
    <row r="280" spans="2:31" x14ac:dyDescent="0.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116"/>
    </row>
    <row r="281" spans="2:31" x14ac:dyDescent="0.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116"/>
    </row>
    <row r="282" spans="2:31" x14ac:dyDescent="0.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3"/>
    </row>
    <row r="284" spans="2:31" x14ac:dyDescent="0.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129"/>
    </row>
    <row r="288" spans="2:31" x14ac:dyDescent="0.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3"/>
    </row>
    <row r="289" spans="2:31" x14ac:dyDescent="0.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3"/>
    </row>
    <row r="290" spans="2:31" x14ac:dyDescent="0.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3"/>
    </row>
    <row r="292" spans="2:31" ht="12.75" customHeight="1" x14ac:dyDescent="0.2"/>
    <row r="293" spans="2:31" x14ac:dyDescent="0.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3"/>
    </row>
    <row r="294" spans="2:31" ht="12.75" customHeight="1" x14ac:dyDescent="0.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116"/>
    </row>
    <row r="295" spans="2:31" x14ac:dyDescent="0.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3"/>
    </row>
    <row r="296" spans="2:31" ht="12.75" customHeight="1" x14ac:dyDescent="0.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116"/>
    </row>
    <row r="297" spans="2:31" ht="12.75" customHeight="1" x14ac:dyDescent="0.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116"/>
    </row>
    <row r="298" spans="2:31" ht="12.75" customHeight="1" x14ac:dyDescent="0.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116"/>
    </row>
    <row r="299" spans="2:31" ht="12.75" customHeight="1" x14ac:dyDescent="0.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3"/>
    </row>
    <row r="300" spans="2:31" ht="11.1" customHeight="1" x14ac:dyDescent="0.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3"/>
    </row>
    <row r="301" spans="2:31" ht="11.1" customHeight="1" x14ac:dyDescent="0.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3"/>
    </row>
    <row r="302" spans="2:31" ht="11.1" customHeight="1" x14ac:dyDescent="0.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3"/>
    </row>
    <row r="303" spans="2:31" ht="11.1" customHeight="1" x14ac:dyDescent="0.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3"/>
    </row>
    <row r="304" spans="2:31" ht="11.1" customHeight="1" x14ac:dyDescent="0.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116"/>
    </row>
    <row r="305" spans="2:31" ht="11.1" customHeight="1" x14ac:dyDescent="0.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116"/>
    </row>
    <row r="306" spans="2:31" ht="11.1" customHeight="1" x14ac:dyDescent="0.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116"/>
    </row>
    <row r="307" spans="2:31" ht="12.75" customHeight="1" x14ac:dyDescent="0.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3"/>
    </row>
    <row r="308" spans="2:31" ht="12.75" customHeight="1" x14ac:dyDescent="0.2"/>
    <row r="309" spans="2:31" ht="12.75" customHeight="1" x14ac:dyDescent="0.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129"/>
    </row>
    <row r="310" spans="2:31" ht="12.75" customHeight="1" x14ac:dyDescent="0.2"/>
    <row r="311" spans="2:31" ht="12.75" customHeight="1" x14ac:dyDescent="0.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129"/>
    </row>
    <row r="312" spans="2:31" ht="12.75" customHeight="1" x14ac:dyDescent="0.2"/>
    <row r="313" spans="2:31" ht="12.75" customHeight="1" x14ac:dyDescent="0.2"/>
    <row r="314" spans="2:31" ht="12.75" customHeight="1" x14ac:dyDescent="0.2"/>
    <row r="315" spans="2:31" ht="12.75" customHeight="1" x14ac:dyDescent="0.2"/>
    <row r="316" spans="2:31" ht="12.75" customHeight="1" x14ac:dyDescent="0.2"/>
    <row r="317" spans="2:31" ht="12.75" customHeight="1" x14ac:dyDescent="0.2"/>
    <row r="318" spans="2:31" ht="12.75" customHeight="1" x14ac:dyDescent="0.2"/>
    <row r="319" spans="2:31" ht="12.75" customHeight="1" x14ac:dyDescent="0.2"/>
    <row r="320" spans="2:31"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sheetData>
  <phoneticPr fontId="12" type="noConversion"/>
  <pageMargins left="0.75" right="0.75" top="1" bottom="1" header="0.5" footer="0.5"/>
  <pageSetup orientation="portrait" horizontalDpi="300" verticalDpi="3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K67"/>
  <sheetViews>
    <sheetView zoomScale="80" zoomScaleNormal="80" workbookViewId="0">
      <selection activeCell="G53" sqref="G53"/>
    </sheetView>
  </sheetViews>
  <sheetFormatPr defaultColWidth="9.140625" defaultRowHeight="12.75" x14ac:dyDescent="0.2"/>
  <cols>
    <col min="1" max="1" width="9.140625" style="40"/>
    <col min="2" max="6" width="13" style="40" customWidth="1"/>
    <col min="7" max="8" width="9.140625" style="40"/>
    <col min="9" max="9" width="9.85546875" style="40" customWidth="1"/>
    <col min="10" max="10" width="11.85546875" style="40" bestFit="1" customWidth="1"/>
    <col min="11" max="11" width="12.85546875" style="40" customWidth="1"/>
    <col min="12" max="12" width="14" style="40" bestFit="1" customWidth="1"/>
    <col min="13" max="13" width="15.28515625" style="40" bestFit="1" customWidth="1"/>
    <col min="14" max="16" width="9.140625" style="40"/>
    <col min="17" max="17" width="25.7109375" style="40" customWidth="1"/>
    <col min="18" max="26" width="9.140625" style="40"/>
    <col min="27" max="27" width="15.28515625" style="40" bestFit="1" customWidth="1"/>
    <col min="28" max="16384" width="9.140625" style="40"/>
  </cols>
  <sheetData>
    <row r="1" spans="1:37" x14ac:dyDescent="0.2">
      <c r="A1" s="45" t="s">
        <v>2894</v>
      </c>
    </row>
    <row r="2" spans="1:37" x14ac:dyDescent="0.2">
      <c r="I2" s="112" t="s">
        <v>2895</v>
      </c>
      <c r="AA2" s="112" t="s">
        <v>2896</v>
      </c>
    </row>
    <row r="3" spans="1:37" x14ac:dyDescent="0.2">
      <c r="B3" s="40" t="s">
        <v>2897</v>
      </c>
      <c r="I3" s="112" t="s">
        <v>2898</v>
      </c>
      <c r="Q3" s="405" t="s">
        <v>2899</v>
      </c>
      <c r="R3" s="405"/>
      <c r="S3" s="405"/>
      <c r="T3" s="405"/>
      <c r="U3" s="405"/>
      <c r="V3" s="405"/>
    </row>
    <row r="4" spans="1:37" x14ac:dyDescent="0.2">
      <c r="I4" s="112" t="s">
        <v>2900</v>
      </c>
      <c r="Q4" s="405" t="s">
        <v>2901</v>
      </c>
      <c r="R4" s="405"/>
      <c r="S4" s="405"/>
      <c r="T4" s="405"/>
      <c r="U4" s="405"/>
      <c r="V4" s="405"/>
    </row>
    <row r="5" spans="1:37" x14ac:dyDescent="0.2">
      <c r="B5" s="112" t="s">
        <v>2902</v>
      </c>
      <c r="I5" s="112" t="s">
        <v>2903</v>
      </c>
      <c r="Q5" s="405" t="s">
        <v>2904</v>
      </c>
      <c r="R5" s="405"/>
      <c r="S5" s="405"/>
      <c r="T5" s="405"/>
      <c r="U5" s="405"/>
      <c r="V5" s="405"/>
      <c r="AA5" s="406" t="s">
        <v>2905</v>
      </c>
      <c r="AB5" s="406"/>
      <c r="AC5" s="406"/>
      <c r="AD5" s="406"/>
      <c r="AE5" s="406"/>
      <c r="AF5" s="406"/>
      <c r="AG5" s="406"/>
      <c r="AH5" s="406"/>
      <c r="AI5" s="406"/>
      <c r="AJ5" s="406"/>
    </row>
    <row r="6" spans="1:37" x14ac:dyDescent="0.2">
      <c r="B6" s="112" t="s">
        <v>2906</v>
      </c>
      <c r="I6" s="112" t="s">
        <v>2907</v>
      </c>
      <c r="Q6" s="112"/>
      <c r="AA6" s="406" t="s">
        <v>2908</v>
      </c>
      <c r="AB6" s="406"/>
      <c r="AC6" s="406"/>
      <c r="AD6" s="406"/>
      <c r="AE6" s="406"/>
      <c r="AF6" s="406"/>
      <c r="AG6" s="406"/>
      <c r="AH6" s="406"/>
      <c r="AI6" s="406"/>
      <c r="AJ6" s="406"/>
    </row>
    <row r="7" spans="1:37" x14ac:dyDescent="0.2">
      <c r="B7" s="112" t="s">
        <v>2909</v>
      </c>
    </row>
    <row r="8" spans="1:37" x14ac:dyDescent="0.2">
      <c r="B8" s="46"/>
      <c r="Q8" s="406" t="s">
        <v>2910</v>
      </c>
      <c r="R8" s="406"/>
      <c r="S8" s="406"/>
      <c r="T8" s="406"/>
      <c r="U8" s="406"/>
      <c r="V8" s="406"/>
      <c r="AA8" s="45"/>
      <c r="AB8" s="45" t="s">
        <v>334</v>
      </c>
      <c r="AC8" s="45" t="s">
        <v>332</v>
      </c>
      <c r="AD8" s="45" t="s">
        <v>338</v>
      </c>
      <c r="AE8" s="45" t="s">
        <v>743</v>
      </c>
      <c r="AF8" s="45" t="s">
        <v>2911</v>
      </c>
      <c r="AG8" s="45" t="s">
        <v>2912</v>
      </c>
      <c r="AH8" s="45" t="s">
        <v>2913</v>
      </c>
      <c r="AI8" s="45" t="s">
        <v>338</v>
      </c>
      <c r="AJ8" s="45"/>
    </row>
    <row r="9" spans="1:37" x14ac:dyDescent="0.2">
      <c r="B9" s="406" t="s">
        <v>2914</v>
      </c>
      <c r="C9" s="406"/>
      <c r="D9" s="406"/>
      <c r="E9" s="406"/>
      <c r="F9" s="406"/>
      <c r="I9" s="406" t="s">
        <v>2915</v>
      </c>
      <c r="J9" s="406"/>
      <c r="K9" s="406"/>
      <c r="L9" s="406"/>
      <c r="M9" s="406"/>
      <c r="Q9" s="406" t="s">
        <v>2916</v>
      </c>
      <c r="R9" s="406"/>
      <c r="S9" s="406"/>
      <c r="T9" s="406"/>
      <c r="U9" s="406"/>
      <c r="V9" s="406"/>
      <c r="AA9" s="45" t="s">
        <v>2917</v>
      </c>
      <c r="AB9" s="45" t="s">
        <v>2918</v>
      </c>
      <c r="AC9" s="45" t="s">
        <v>2919</v>
      </c>
      <c r="AD9" s="45" t="s">
        <v>2918</v>
      </c>
      <c r="AE9" s="45" t="s">
        <v>2918</v>
      </c>
      <c r="AF9" s="45" t="s">
        <v>2918</v>
      </c>
      <c r="AG9" s="45" t="s">
        <v>2918</v>
      </c>
      <c r="AH9" s="45" t="s">
        <v>2918</v>
      </c>
      <c r="AI9" s="45" t="s">
        <v>2918</v>
      </c>
      <c r="AJ9" s="45" t="s">
        <v>405</v>
      </c>
    </row>
    <row r="10" spans="1:37" x14ac:dyDescent="0.2">
      <c r="B10" s="406" t="s">
        <v>2920</v>
      </c>
      <c r="C10" s="406"/>
      <c r="D10" s="406"/>
      <c r="E10" s="406"/>
      <c r="F10" s="406"/>
      <c r="I10" s="406" t="s">
        <v>2921</v>
      </c>
      <c r="J10" s="406"/>
      <c r="K10" s="406"/>
      <c r="L10" s="406"/>
      <c r="M10" s="406"/>
      <c r="Q10" s="406" t="s">
        <v>2922</v>
      </c>
      <c r="R10" s="406"/>
      <c r="S10" s="406"/>
      <c r="T10" s="406"/>
      <c r="U10" s="406"/>
      <c r="V10" s="406"/>
      <c r="AA10" s="40" t="s">
        <v>2923</v>
      </c>
      <c r="AB10" s="134">
        <v>14</v>
      </c>
      <c r="AC10" s="134">
        <v>4</v>
      </c>
      <c r="AD10" s="134">
        <v>12</v>
      </c>
      <c r="AE10" s="134">
        <v>0</v>
      </c>
      <c r="AF10" s="134">
        <v>1</v>
      </c>
      <c r="AG10" s="134">
        <v>2</v>
      </c>
      <c r="AH10" s="134">
        <v>0</v>
      </c>
      <c r="AI10" s="134">
        <v>12</v>
      </c>
      <c r="AJ10" s="134">
        <v>33</v>
      </c>
      <c r="AK10" s="134">
        <v>1</v>
      </c>
    </row>
    <row r="11" spans="1:37" x14ac:dyDescent="0.2">
      <c r="Q11" s="45"/>
      <c r="R11" s="45"/>
      <c r="S11" s="45"/>
      <c r="T11" s="45"/>
      <c r="U11" s="45"/>
      <c r="V11" s="45"/>
      <c r="W11" s="45"/>
      <c r="AA11" s="40" t="s">
        <v>2924</v>
      </c>
      <c r="AB11" s="134">
        <v>1</v>
      </c>
      <c r="AC11" s="134">
        <v>0</v>
      </c>
      <c r="AD11" s="134">
        <v>9</v>
      </c>
      <c r="AE11" s="134">
        <v>0</v>
      </c>
      <c r="AF11" s="134">
        <v>4</v>
      </c>
      <c r="AG11" s="134">
        <v>0</v>
      </c>
      <c r="AH11" s="134">
        <v>0</v>
      </c>
      <c r="AI11" s="134">
        <v>9</v>
      </c>
      <c r="AJ11" s="134">
        <v>14</v>
      </c>
      <c r="AK11" s="134">
        <v>1</v>
      </c>
    </row>
    <row r="12" spans="1:37" ht="14.25" x14ac:dyDescent="0.2">
      <c r="C12" s="40" t="s">
        <v>2925</v>
      </c>
      <c r="D12" s="40" t="s">
        <v>2926</v>
      </c>
      <c r="E12" s="40" t="s">
        <v>2927</v>
      </c>
      <c r="F12" s="40" t="s">
        <v>2928</v>
      </c>
      <c r="J12" s="40" t="s">
        <v>2929</v>
      </c>
      <c r="K12" s="40" t="s">
        <v>2930</v>
      </c>
      <c r="L12" s="40" t="s">
        <v>2927</v>
      </c>
      <c r="M12" s="40" t="s">
        <v>2931</v>
      </c>
      <c r="AA12" s="40" t="s">
        <v>2932</v>
      </c>
      <c r="AB12" s="134">
        <v>21</v>
      </c>
      <c r="AC12" s="134">
        <v>2</v>
      </c>
      <c r="AD12" s="134">
        <v>22</v>
      </c>
      <c r="AE12" s="134">
        <v>3</v>
      </c>
      <c r="AF12" s="134">
        <v>6</v>
      </c>
      <c r="AG12" s="134">
        <v>1</v>
      </c>
      <c r="AH12" s="134">
        <v>0</v>
      </c>
      <c r="AI12" s="134">
        <v>22</v>
      </c>
      <c r="AJ12" s="134">
        <v>55</v>
      </c>
      <c r="AK12" s="134">
        <v>1</v>
      </c>
    </row>
    <row r="13" spans="1:37" x14ac:dyDescent="0.2">
      <c r="B13" s="40" t="s">
        <v>2933</v>
      </c>
      <c r="C13" s="40" t="s">
        <v>2838</v>
      </c>
      <c r="D13" s="40" t="s">
        <v>2934</v>
      </c>
      <c r="E13" s="40" t="s">
        <v>2935</v>
      </c>
      <c r="F13" s="40" t="s">
        <v>2753</v>
      </c>
      <c r="I13" s="40" t="s">
        <v>2933</v>
      </c>
      <c r="J13" s="40" t="s">
        <v>2838</v>
      </c>
      <c r="K13" s="40" t="s">
        <v>2934</v>
      </c>
      <c r="L13" s="40" t="s">
        <v>2935</v>
      </c>
      <c r="M13" s="40" t="s">
        <v>2753</v>
      </c>
      <c r="R13" s="40">
        <v>2003</v>
      </c>
      <c r="S13" s="40">
        <v>2004</v>
      </c>
      <c r="T13" s="40">
        <v>2005</v>
      </c>
      <c r="U13" s="40">
        <v>2006</v>
      </c>
      <c r="V13" s="49">
        <v>2007</v>
      </c>
      <c r="W13" s="49">
        <v>2008</v>
      </c>
      <c r="AA13" s="40" t="s">
        <v>2936</v>
      </c>
      <c r="AB13" s="134">
        <v>3</v>
      </c>
      <c r="AC13" s="134">
        <v>0</v>
      </c>
      <c r="AD13" s="134">
        <v>9</v>
      </c>
      <c r="AE13" s="134">
        <v>2</v>
      </c>
      <c r="AF13" s="134">
        <v>11</v>
      </c>
      <c r="AG13" s="134">
        <v>0</v>
      </c>
      <c r="AH13" s="134">
        <v>0</v>
      </c>
      <c r="AI13" s="134">
        <v>9</v>
      </c>
      <c r="AJ13" s="134">
        <v>25</v>
      </c>
      <c r="AK13" s="134">
        <v>1</v>
      </c>
    </row>
    <row r="14" spans="1:37" x14ac:dyDescent="0.2">
      <c r="B14" s="40">
        <v>1970</v>
      </c>
      <c r="C14" s="93">
        <v>89244</v>
      </c>
      <c r="D14" s="93">
        <v>916700</v>
      </c>
      <c r="E14" s="93">
        <v>67820</v>
      </c>
      <c r="F14" s="135">
        <v>13.5</v>
      </c>
      <c r="I14" s="40">
        <v>1970</v>
      </c>
      <c r="J14" s="93">
        <v>14211</v>
      </c>
      <c r="K14" s="93">
        <v>123286</v>
      </c>
      <c r="L14" s="93">
        <v>12313</v>
      </c>
      <c r="M14" s="79">
        <v>10</v>
      </c>
      <c r="Q14" s="40" t="s">
        <v>2937</v>
      </c>
      <c r="S14" s="93"/>
      <c r="T14" s="93"/>
      <c r="U14" s="93"/>
      <c r="V14" s="93"/>
      <c r="W14" s="93"/>
      <c r="AA14" s="40" t="s">
        <v>2938</v>
      </c>
      <c r="AB14" s="134">
        <v>5</v>
      </c>
      <c r="AC14" s="134">
        <v>0</v>
      </c>
      <c r="AD14" s="134">
        <v>5</v>
      </c>
      <c r="AE14" s="134">
        <v>0</v>
      </c>
      <c r="AF14" s="134">
        <v>2</v>
      </c>
      <c r="AG14" s="134">
        <v>0</v>
      </c>
      <c r="AH14" s="134">
        <v>0</v>
      </c>
      <c r="AI14" s="134">
        <v>5</v>
      </c>
      <c r="AJ14" s="134">
        <v>12</v>
      </c>
      <c r="AK14" s="134">
        <v>1</v>
      </c>
    </row>
    <row r="15" spans="1:37" x14ac:dyDescent="0.2">
      <c r="B15" s="40">
        <v>1971</v>
      </c>
      <c r="C15" s="93">
        <v>92718</v>
      </c>
      <c r="D15" s="93">
        <v>966330</v>
      </c>
      <c r="E15" s="93">
        <v>71346</v>
      </c>
      <c r="F15" s="135">
        <v>13.5</v>
      </c>
      <c r="I15" s="40">
        <v>1971</v>
      </c>
      <c r="J15" s="93">
        <v>15181</v>
      </c>
      <c r="K15" s="93">
        <v>137870</v>
      </c>
      <c r="L15" s="93">
        <v>13484</v>
      </c>
      <c r="M15" s="79">
        <v>10.199999999999999</v>
      </c>
      <c r="Q15" s="93" t="s">
        <v>2939</v>
      </c>
      <c r="R15" s="93">
        <v>224697</v>
      </c>
      <c r="S15" s="93">
        <v>211883</v>
      </c>
      <c r="T15" s="93">
        <v>188171</v>
      </c>
      <c r="U15" s="93">
        <v>173130</v>
      </c>
      <c r="V15" s="136">
        <v>152360</v>
      </c>
      <c r="W15" s="136">
        <v>147784</v>
      </c>
      <c r="AA15" s="40" t="s">
        <v>2940</v>
      </c>
      <c r="AB15" s="134">
        <v>2</v>
      </c>
      <c r="AC15" s="134">
        <v>0</v>
      </c>
      <c r="AD15" s="134">
        <v>4</v>
      </c>
      <c r="AE15" s="134">
        <v>2</v>
      </c>
      <c r="AF15" s="134">
        <v>2</v>
      </c>
      <c r="AG15" s="134">
        <v>1</v>
      </c>
      <c r="AH15" s="134">
        <v>0</v>
      </c>
      <c r="AI15" s="134">
        <v>4</v>
      </c>
      <c r="AJ15" s="134">
        <v>11</v>
      </c>
      <c r="AK15" s="134">
        <v>1</v>
      </c>
    </row>
    <row r="16" spans="1:37" x14ac:dyDescent="0.2">
      <c r="B16" s="40">
        <v>1972</v>
      </c>
      <c r="C16" s="93">
        <v>97082</v>
      </c>
      <c r="D16" s="93">
        <v>1021365</v>
      </c>
      <c r="E16" s="93">
        <v>75937</v>
      </c>
      <c r="F16" s="135">
        <v>13.5</v>
      </c>
      <c r="I16" s="40">
        <v>1972</v>
      </c>
      <c r="J16" s="93">
        <v>16428</v>
      </c>
      <c r="K16" s="93">
        <v>156622</v>
      </c>
      <c r="L16" s="93">
        <v>15150</v>
      </c>
      <c r="M16" s="79">
        <v>10.3</v>
      </c>
      <c r="Q16" s="93" t="s">
        <v>2941</v>
      </c>
      <c r="R16" s="93">
        <v>133222</v>
      </c>
      <c r="S16" s="93">
        <v>158903</v>
      </c>
      <c r="T16" s="93">
        <v>166878</v>
      </c>
      <c r="U16" s="93">
        <v>172011</v>
      </c>
      <c r="V16" s="136">
        <v>178585</v>
      </c>
      <c r="W16" s="136">
        <v>189358</v>
      </c>
      <c r="AA16" s="40" t="s">
        <v>2942</v>
      </c>
      <c r="AB16" s="134">
        <v>19</v>
      </c>
      <c r="AC16" s="134">
        <v>2</v>
      </c>
      <c r="AD16" s="134">
        <v>10</v>
      </c>
      <c r="AE16" s="134">
        <v>2</v>
      </c>
      <c r="AF16" s="134">
        <v>4</v>
      </c>
      <c r="AG16" s="134">
        <v>0</v>
      </c>
      <c r="AH16" s="134">
        <v>0</v>
      </c>
      <c r="AI16" s="134">
        <v>10</v>
      </c>
      <c r="AJ16" s="134">
        <v>37</v>
      </c>
      <c r="AK16" s="134">
        <v>2</v>
      </c>
    </row>
    <row r="17" spans="2:37" x14ac:dyDescent="0.2">
      <c r="B17" s="40">
        <v>1973</v>
      </c>
      <c r="C17" s="93">
        <v>101985</v>
      </c>
      <c r="D17" s="93">
        <v>1045981</v>
      </c>
      <c r="E17" s="93">
        <v>78233</v>
      </c>
      <c r="F17" s="135">
        <v>13.4</v>
      </c>
      <c r="I17" s="40">
        <v>1973</v>
      </c>
      <c r="J17" s="93">
        <v>18083</v>
      </c>
      <c r="K17" s="93">
        <v>176833</v>
      </c>
      <c r="L17" s="93">
        <v>16828</v>
      </c>
      <c r="M17" s="79">
        <v>10.5</v>
      </c>
      <c r="Q17" s="93" t="s">
        <v>2943</v>
      </c>
      <c r="R17" s="93">
        <v>13503</v>
      </c>
      <c r="S17" s="93">
        <v>20888</v>
      </c>
      <c r="T17" s="93">
        <v>22409</v>
      </c>
      <c r="U17" s="93">
        <v>23474</v>
      </c>
      <c r="V17" s="136">
        <v>24594</v>
      </c>
      <c r="W17" s="136">
        <v>25554</v>
      </c>
      <c r="AA17" s="40" t="s">
        <v>2944</v>
      </c>
      <c r="AB17" s="134">
        <v>99</v>
      </c>
      <c r="AC17" s="134">
        <v>38</v>
      </c>
      <c r="AD17" s="134">
        <v>22</v>
      </c>
      <c r="AE17" s="134">
        <v>2</v>
      </c>
      <c r="AF17" s="134">
        <v>13</v>
      </c>
      <c r="AG17" s="134">
        <v>9</v>
      </c>
      <c r="AH17" s="134">
        <v>0</v>
      </c>
      <c r="AI17" s="134">
        <v>22</v>
      </c>
      <c r="AJ17" s="134">
        <v>183</v>
      </c>
      <c r="AK17" s="134">
        <v>2</v>
      </c>
    </row>
    <row r="18" spans="2:37" ht="14.25" x14ac:dyDescent="0.2">
      <c r="B18" s="40">
        <v>1974</v>
      </c>
      <c r="C18" s="93">
        <v>104856</v>
      </c>
      <c r="D18" s="93">
        <v>1007251</v>
      </c>
      <c r="E18" s="93">
        <v>74229</v>
      </c>
      <c r="F18" s="135">
        <v>13.6</v>
      </c>
      <c r="I18" s="40">
        <v>1974</v>
      </c>
      <c r="J18" s="93">
        <v>19335</v>
      </c>
      <c r="K18" s="93">
        <v>182757</v>
      </c>
      <c r="L18" s="93">
        <v>16657</v>
      </c>
      <c r="M18" s="79">
        <v>11</v>
      </c>
      <c r="Q18" s="93" t="s">
        <v>2945</v>
      </c>
      <c r="R18" s="93">
        <v>26376</v>
      </c>
      <c r="S18" s="93">
        <v>31581</v>
      </c>
      <c r="T18" s="93">
        <v>38074</v>
      </c>
      <c r="U18" s="93">
        <v>44041</v>
      </c>
      <c r="V18" s="136">
        <v>54091</v>
      </c>
      <c r="W18" s="136">
        <v>62464</v>
      </c>
      <c r="AA18" s="40" t="s">
        <v>2946</v>
      </c>
      <c r="AB18" s="134">
        <v>23</v>
      </c>
      <c r="AC18" s="134">
        <v>26</v>
      </c>
      <c r="AD18" s="134">
        <v>62</v>
      </c>
      <c r="AE18" s="134">
        <v>0</v>
      </c>
      <c r="AF18" s="134">
        <v>12</v>
      </c>
      <c r="AG18" s="134">
        <v>2</v>
      </c>
      <c r="AH18" s="134">
        <v>0</v>
      </c>
      <c r="AI18" s="134">
        <v>62</v>
      </c>
      <c r="AJ18" s="134">
        <v>125</v>
      </c>
      <c r="AK18" s="134">
        <v>2</v>
      </c>
    </row>
    <row r="19" spans="2:37" ht="14.25" x14ac:dyDescent="0.2">
      <c r="B19" s="40">
        <v>1975</v>
      </c>
      <c r="C19" s="93">
        <v>106706</v>
      </c>
      <c r="D19" s="93">
        <v>1033950</v>
      </c>
      <c r="E19" s="93">
        <v>74140</v>
      </c>
      <c r="F19" s="135">
        <v>13.9</v>
      </c>
      <c r="I19" s="40">
        <v>1975</v>
      </c>
      <c r="J19" s="93">
        <v>20418</v>
      </c>
      <c r="K19" s="93">
        <v>200700</v>
      </c>
      <c r="L19" s="93">
        <v>19081</v>
      </c>
      <c r="M19" s="79">
        <v>10.5</v>
      </c>
      <c r="Q19" s="40" t="s">
        <v>2947</v>
      </c>
      <c r="R19" s="93">
        <v>5141</v>
      </c>
      <c r="S19" s="93">
        <v>5269</v>
      </c>
      <c r="T19" s="93">
        <v>5219</v>
      </c>
      <c r="U19" s="93">
        <v>5104</v>
      </c>
      <c r="V19" s="136">
        <v>5037</v>
      </c>
      <c r="W19" s="136">
        <v>5050</v>
      </c>
      <c r="AA19" s="40" t="s">
        <v>2948</v>
      </c>
      <c r="AB19" s="134">
        <v>25</v>
      </c>
      <c r="AC19" s="134">
        <v>204</v>
      </c>
      <c r="AD19" s="134">
        <v>73</v>
      </c>
      <c r="AE19" s="134">
        <v>7</v>
      </c>
      <c r="AF19" s="134">
        <v>5</v>
      </c>
      <c r="AG19" s="134">
        <v>1</v>
      </c>
      <c r="AH19" s="134">
        <v>0</v>
      </c>
      <c r="AI19" s="134">
        <v>73</v>
      </c>
      <c r="AJ19" s="134">
        <v>315</v>
      </c>
      <c r="AK19" s="134">
        <v>3</v>
      </c>
    </row>
    <row r="20" spans="2:37" x14ac:dyDescent="0.2">
      <c r="B20" s="40">
        <v>1976</v>
      </c>
      <c r="C20" s="93">
        <v>110189</v>
      </c>
      <c r="D20" s="93">
        <v>1078215</v>
      </c>
      <c r="E20" s="93">
        <v>78297</v>
      </c>
      <c r="F20" s="135">
        <v>13.8</v>
      </c>
      <c r="I20" s="40">
        <v>1976</v>
      </c>
      <c r="J20" s="93">
        <v>22301</v>
      </c>
      <c r="K20" s="93">
        <v>225834</v>
      </c>
      <c r="L20" s="93">
        <v>20828</v>
      </c>
      <c r="M20" s="79">
        <v>10.8</v>
      </c>
      <c r="Q20" s="40" t="s">
        <v>2949</v>
      </c>
      <c r="R20" s="40">
        <v>2</v>
      </c>
      <c r="S20" s="93">
        <v>8</v>
      </c>
      <c r="T20" s="93">
        <v>25</v>
      </c>
      <c r="U20" s="93">
        <v>41</v>
      </c>
      <c r="V20" s="136">
        <v>66</v>
      </c>
      <c r="W20" s="136">
        <v>117</v>
      </c>
      <c r="AA20" s="40" t="s">
        <v>2950</v>
      </c>
      <c r="AB20" s="134">
        <v>8</v>
      </c>
      <c r="AC20" s="134">
        <v>109</v>
      </c>
      <c r="AD20" s="134">
        <v>43</v>
      </c>
      <c r="AE20" s="134">
        <v>0</v>
      </c>
      <c r="AF20" s="134">
        <v>7</v>
      </c>
      <c r="AG20" s="134">
        <v>0</v>
      </c>
      <c r="AH20" s="134">
        <v>0</v>
      </c>
      <c r="AI20" s="134">
        <v>43</v>
      </c>
      <c r="AJ20" s="134">
        <v>167</v>
      </c>
      <c r="AK20" s="134">
        <v>3</v>
      </c>
    </row>
    <row r="21" spans="2:37" x14ac:dyDescent="0.2">
      <c r="B21" s="40">
        <v>1977</v>
      </c>
      <c r="C21" s="93">
        <v>112288</v>
      </c>
      <c r="D21" s="93">
        <v>1109243</v>
      </c>
      <c r="E21" s="93">
        <v>79060</v>
      </c>
      <c r="F21" s="135">
        <v>14</v>
      </c>
      <c r="I21" s="40">
        <v>1977</v>
      </c>
      <c r="J21" s="93">
        <v>23624</v>
      </c>
      <c r="K21" s="93">
        <v>250591</v>
      </c>
      <c r="L21" s="93">
        <v>22383</v>
      </c>
      <c r="M21" s="79">
        <v>11.2</v>
      </c>
      <c r="Q21" s="40" t="s">
        <v>2951</v>
      </c>
      <c r="R21" s="93">
        <v>18220</v>
      </c>
      <c r="S21" s="93">
        <v>28244</v>
      </c>
      <c r="T21" s="93">
        <v>91649</v>
      </c>
      <c r="U21" s="93">
        <v>260606</v>
      </c>
      <c r="V21" s="136">
        <v>367764</v>
      </c>
      <c r="W21" s="136">
        <v>324329</v>
      </c>
      <c r="AA21" s="40" t="s">
        <v>2952</v>
      </c>
      <c r="AB21" s="134">
        <v>13</v>
      </c>
      <c r="AC21" s="134">
        <v>95</v>
      </c>
      <c r="AD21" s="134">
        <v>68</v>
      </c>
      <c r="AE21" s="134">
        <v>0</v>
      </c>
      <c r="AF21" s="134">
        <v>16</v>
      </c>
      <c r="AG21" s="134">
        <v>6</v>
      </c>
      <c r="AH21" s="134">
        <v>0</v>
      </c>
      <c r="AI21" s="134">
        <v>68</v>
      </c>
      <c r="AJ21" s="134">
        <v>198</v>
      </c>
      <c r="AK21" s="134">
        <v>3</v>
      </c>
    </row>
    <row r="22" spans="2:37" x14ac:dyDescent="0.2">
      <c r="B22" s="40">
        <v>1978</v>
      </c>
      <c r="C22" s="93">
        <v>116573</v>
      </c>
      <c r="D22" s="93">
        <v>1146508</v>
      </c>
      <c r="E22" s="93">
        <v>80652</v>
      </c>
      <c r="F22" s="135">
        <v>14.2</v>
      </c>
      <c r="I22" s="40">
        <v>1978</v>
      </c>
      <c r="J22" s="93">
        <v>25476</v>
      </c>
      <c r="K22" s="93">
        <v>279414</v>
      </c>
      <c r="L22" s="93">
        <v>24162</v>
      </c>
      <c r="M22" s="79">
        <v>11.6</v>
      </c>
      <c r="Q22" s="40" t="s">
        <v>2953</v>
      </c>
      <c r="R22" s="93">
        <v>0</v>
      </c>
      <c r="S22" s="93">
        <v>0</v>
      </c>
      <c r="T22" s="93">
        <v>2</v>
      </c>
      <c r="U22" s="93">
        <v>2</v>
      </c>
      <c r="V22" s="136">
        <v>2</v>
      </c>
      <c r="W22" s="136">
        <v>2</v>
      </c>
      <c r="AA22" s="40" t="s">
        <v>2954</v>
      </c>
      <c r="AB22" s="134">
        <v>9</v>
      </c>
      <c r="AC22" s="134">
        <v>63</v>
      </c>
      <c r="AD22" s="134">
        <v>68</v>
      </c>
      <c r="AE22" s="134">
        <v>3</v>
      </c>
      <c r="AF22" s="134">
        <v>21</v>
      </c>
      <c r="AG22" s="134">
        <v>1</v>
      </c>
      <c r="AH22" s="134">
        <v>0</v>
      </c>
      <c r="AI22" s="134">
        <v>68</v>
      </c>
      <c r="AJ22" s="134">
        <v>165</v>
      </c>
      <c r="AK22" s="134">
        <v>3</v>
      </c>
    </row>
    <row r="23" spans="2:37" x14ac:dyDescent="0.2">
      <c r="B23" s="40">
        <v>1979</v>
      </c>
      <c r="C23" s="93">
        <v>118429</v>
      </c>
      <c r="D23" s="93">
        <v>1113640</v>
      </c>
      <c r="E23" s="93">
        <v>76588</v>
      </c>
      <c r="F23" s="135">
        <v>14.5</v>
      </c>
      <c r="I23" s="40">
        <v>1979</v>
      </c>
      <c r="J23" s="93">
        <v>27022</v>
      </c>
      <c r="K23" s="93">
        <v>291905</v>
      </c>
      <c r="L23" s="93">
        <v>24445</v>
      </c>
      <c r="M23" s="79">
        <v>11.9</v>
      </c>
      <c r="Q23" s="133" t="s">
        <v>2955</v>
      </c>
      <c r="R23" s="133">
        <v>421161</v>
      </c>
      <c r="S23" s="133">
        <v>456766</v>
      </c>
      <c r="T23" s="133">
        <v>512427</v>
      </c>
      <c r="U23" s="133">
        <v>678409</v>
      </c>
      <c r="V23" s="136">
        <v>782479</v>
      </c>
      <c r="W23" s="136">
        <v>754658</v>
      </c>
      <c r="AA23" s="40" t="s">
        <v>2956</v>
      </c>
      <c r="AB23" s="134">
        <v>17</v>
      </c>
      <c r="AC23" s="134">
        <v>127</v>
      </c>
      <c r="AD23" s="134">
        <v>45</v>
      </c>
      <c r="AE23" s="134">
        <v>2</v>
      </c>
      <c r="AF23" s="134">
        <v>1</v>
      </c>
      <c r="AG23" s="134">
        <v>0</v>
      </c>
      <c r="AH23" s="134">
        <v>0</v>
      </c>
      <c r="AI23" s="134">
        <v>45</v>
      </c>
      <c r="AJ23" s="134">
        <v>192</v>
      </c>
      <c r="AK23" s="134">
        <v>3</v>
      </c>
    </row>
    <row r="24" spans="2:37" x14ac:dyDescent="0.2">
      <c r="B24" s="40">
        <v>1980</v>
      </c>
      <c r="C24" s="93">
        <v>121601</v>
      </c>
      <c r="D24" s="93">
        <v>1111596</v>
      </c>
      <c r="E24" s="93">
        <v>69981</v>
      </c>
      <c r="F24" s="135">
        <v>15.9</v>
      </c>
      <c r="I24" s="40">
        <v>1980</v>
      </c>
      <c r="J24" s="93">
        <v>27876</v>
      </c>
      <c r="K24" s="93">
        <v>290935</v>
      </c>
      <c r="L24" s="93">
        <v>23796</v>
      </c>
      <c r="M24" s="79">
        <v>12.2</v>
      </c>
      <c r="Q24" s="93" t="s">
        <v>2957</v>
      </c>
      <c r="R24" s="93"/>
      <c r="S24" s="133"/>
      <c r="T24" s="133"/>
      <c r="U24" s="133"/>
      <c r="AA24" s="40" t="s">
        <v>2958</v>
      </c>
      <c r="AB24" s="134">
        <v>0</v>
      </c>
      <c r="AC24" s="134">
        <v>124</v>
      </c>
      <c r="AD24" s="134">
        <v>26</v>
      </c>
      <c r="AE24" s="134">
        <v>4</v>
      </c>
      <c r="AF24" s="134">
        <v>3</v>
      </c>
      <c r="AG24" s="134">
        <v>0</v>
      </c>
      <c r="AH24" s="134">
        <v>0</v>
      </c>
      <c r="AI24" s="134">
        <v>26</v>
      </c>
      <c r="AJ24" s="134">
        <v>157</v>
      </c>
      <c r="AK24" s="134">
        <v>4</v>
      </c>
    </row>
    <row r="25" spans="2:37" ht="14.25" x14ac:dyDescent="0.2">
      <c r="B25" s="40">
        <v>1981</v>
      </c>
      <c r="C25" s="93">
        <v>123098</v>
      </c>
      <c r="D25" s="93">
        <v>1133332</v>
      </c>
      <c r="E25" s="93">
        <v>69112</v>
      </c>
      <c r="F25" s="135">
        <v>16.399999999999999</v>
      </c>
      <c r="I25" s="40">
        <v>1981</v>
      </c>
      <c r="J25" s="93">
        <v>28928</v>
      </c>
      <c r="K25" s="93">
        <v>296343</v>
      </c>
      <c r="L25" s="93">
        <v>23697</v>
      </c>
      <c r="M25" s="79">
        <v>12.5</v>
      </c>
      <c r="Q25" s="40" t="s">
        <v>2959</v>
      </c>
      <c r="R25" s="93">
        <v>2368400</v>
      </c>
      <c r="S25" s="93">
        <v>1877300</v>
      </c>
      <c r="T25" s="93">
        <v>1654500</v>
      </c>
      <c r="U25" s="93">
        <v>435000</v>
      </c>
      <c r="V25" s="136">
        <v>0</v>
      </c>
      <c r="W25" s="136">
        <v>0</v>
      </c>
      <c r="AA25" s="40" t="s">
        <v>2960</v>
      </c>
      <c r="AB25" s="134">
        <v>3</v>
      </c>
      <c r="AC25" s="134">
        <v>30</v>
      </c>
      <c r="AD25" s="134">
        <v>45</v>
      </c>
      <c r="AE25" s="134">
        <v>0</v>
      </c>
      <c r="AF25" s="134">
        <v>6</v>
      </c>
      <c r="AG25" s="134">
        <v>0</v>
      </c>
      <c r="AH25" s="134">
        <v>0</v>
      </c>
      <c r="AI25" s="134">
        <v>45</v>
      </c>
      <c r="AJ25" s="134">
        <v>84</v>
      </c>
      <c r="AK25" s="134">
        <v>4</v>
      </c>
    </row>
    <row r="26" spans="2:37" x14ac:dyDescent="0.2">
      <c r="B26" s="40">
        <v>1982</v>
      </c>
      <c r="C26" s="93">
        <v>123702</v>
      </c>
      <c r="D26" s="93">
        <v>1161713</v>
      </c>
      <c r="E26" s="93">
        <v>69116</v>
      </c>
      <c r="F26" s="135">
        <v>16.8</v>
      </c>
      <c r="I26" s="40">
        <v>1982</v>
      </c>
      <c r="J26" s="93">
        <v>29792</v>
      </c>
      <c r="K26" s="93">
        <v>306141</v>
      </c>
      <c r="L26" s="93">
        <v>22702</v>
      </c>
      <c r="M26" s="79">
        <v>13.5</v>
      </c>
      <c r="Q26" s="40" t="s">
        <v>2961</v>
      </c>
      <c r="R26" s="93">
        <v>1919572</v>
      </c>
      <c r="S26" s="93">
        <v>2414167</v>
      </c>
      <c r="T26" s="93">
        <v>2756663</v>
      </c>
      <c r="U26" s="93">
        <v>3729168</v>
      </c>
      <c r="V26" s="136">
        <v>4694304</v>
      </c>
      <c r="W26" s="136">
        <v>6442781</v>
      </c>
      <c r="AA26" s="40" t="s">
        <v>2962</v>
      </c>
      <c r="AB26" s="134">
        <v>1</v>
      </c>
      <c r="AC26" s="134">
        <v>351</v>
      </c>
      <c r="AD26" s="134">
        <v>27</v>
      </c>
      <c r="AE26" s="134">
        <v>2</v>
      </c>
      <c r="AF26" s="134">
        <v>0</v>
      </c>
      <c r="AG26" s="134">
        <v>0</v>
      </c>
      <c r="AH26" s="134">
        <v>0</v>
      </c>
      <c r="AI26" s="134">
        <v>27</v>
      </c>
      <c r="AJ26" s="134">
        <v>381</v>
      </c>
      <c r="AK26" s="134">
        <v>4</v>
      </c>
    </row>
    <row r="27" spans="2:37" x14ac:dyDescent="0.2">
      <c r="B27" s="40">
        <v>1983</v>
      </c>
      <c r="C27" s="93">
        <v>126444</v>
      </c>
      <c r="D27" s="93">
        <v>1195054</v>
      </c>
      <c r="E27" s="93">
        <v>70322</v>
      </c>
      <c r="F27" s="135">
        <v>17</v>
      </c>
      <c r="I27" s="40">
        <v>1983</v>
      </c>
      <c r="J27" s="93">
        <v>31214</v>
      </c>
      <c r="K27" s="93">
        <v>327643</v>
      </c>
      <c r="L27" s="93">
        <v>23945</v>
      </c>
      <c r="M27" s="79">
        <v>13.7</v>
      </c>
      <c r="Q27" s="45" t="s">
        <v>405</v>
      </c>
      <c r="R27" s="133">
        <v>4709133</v>
      </c>
      <c r="S27" s="133">
        <v>4748243</v>
      </c>
      <c r="T27" s="133">
        <v>4923590</v>
      </c>
      <c r="U27" s="133">
        <v>4842577</v>
      </c>
      <c r="V27" s="137">
        <v>5476783</v>
      </c>
      <c r="W27" s="137">
        <v>7197439</v>
      </c>
      <c r="AA27" s="40" t="s">
        <v>2963</v>
      </c>
      <c r="AB27" s="134">
        <v>10</v>
      </c>
      <c r="AC27" s="134">
        <v>98</v>
      </c>
      <c r="AD27" s="134">
        <v>69</v>
      </c>
      <c r="AE27" s="134">
        <v>0</v>
      </c>
      <c r="AF27" s="134">
        <v>5</v>
      </c>
      <c r="AG27" s="134">
        <v>1</v>
      </c>
      <c r="AH27" s="134">
        <v>0</v>
      </c>
      <c r="AI27" s="134">
        <v>69</v>
      </c>
      <c r="AJ27" s="134">
        <v>183</v>
      </c>
      <c r="AK27" s="134">
        <v>4</v>
      </c>
    </row>
    <row r="28" spans="2:37" x14ac:dyDescent="0.2">
      <c r="B28" s="40">
        <v>1984</v>
      </c>
      <c r="C28" s="93">
        <v>128158</v>
      </c>
      <c r="D28" s="93">
        <v>1227043</v>
      </c>
      <c r="E28" s="93">
        <v>70663</v>
      </c>
      <c r="F28" s="135">
        <v>17.399999999999999</v>
      </c>
      <c r="I28" s="40">
        <v>1984</v>
      </c>
      <c r="J28" s="93">
        <v>32106</v>
      </c>
      <c r="K28" s="93">
        <v>358006</v>
      </c>
      <c r="L28" s="93">
        <v>25604</v>
      </c>
      <c r="M28" s="79">
        <v>14</v>
      </c>
      <c r="AA28" s="40" t="s">
        <v>2964</v>
      </c>
      <c r="AB28" s="134">
        <v>1</v>
      </c>
      <c r="AC28" s="134">
        <v>48</v>
      </c>
      <c r="AD28" s="134">
        <v>18</v>
      </c>
      <c r="AE28" s="134">
        <v>0</v>
      </c>
      <c r="AF28" s="134">
        <v>4</v>
      </c>
      <c r="AG28" s="134">
        <v>0</v>
      </c>
      <c r="AH28" s="134">
        <v>0</v>
      </c>
      <c r="AI28" s="134">
        <v>18</v>
      </c>
      <c r="AJ28" s="134">
        <v>71</v>
      </c>
      <c r="AK28" s="134">
        <v>4</v>
      </c>
    </row>
    <row r="29" spans="2:37" ht="14.25" x14ac:dyDescent="0.2">
      <c r="B29" s="40" t="s">
        <v>2965</v>
      </c>
      <c r="C29" s="93">
        <v>127885</v>
      </c>
      <c r="D29" s="93">
        <v>1246798</v>
      </c>
      <c r="E29" s="93">
        <v>71518</v>
      </c>
      <c r="F29" s="135">
        <v>17.399999999999999</v>
      </c>
      <c r="I29" s="40" t="s">
        <v>2966</v>
      </c>
      <c r="J29" s="93">
        <v>37214</v>
      </c>
      <c r="K29" s="93">
        <v>390961</v>
      </c>
      <c r="L29" s="93">
        <v>27363</v>
      </c>
      <c r="M29" s="79">
        <v>14.3</v>
      </c>
      <c r="Q29" s="45" t="s">
        <v>2967</v>
      </c>
      <c r="AA29" s="40" t="s">
        <v>2968</v>
      </c>
      <c r="AB29" s="134">
        <v>2</v>
      </c>
      <c r="AC29" s="134">
        <v>30</v>
      </c>
      <c r="AD29" s="134">
        <v>23</v>
      </c>
      <c r="AE29" s="134">
        <v>0</v>
      </c>
      <c r="AF29" s="134">
        <v>3</v>
      </c>
      <c r="AG29" s="134">
        <v>1</v>
      </c>
      <c r="AH29" s="134">
        <v>0</v>
      </c>
      <c r="AI29" s="134">
        <v>23</v>
      </c>
      <c r="AJ29" s="134">
        <v>59</v>
      </c>
      <c r="AK29" s="134">
        <v>4</v>
      </c>
    </row>
    <row r="30" spans="2:37" x14ac:dyDescent="0.2">
      <c r="B30" s="40">
        <v>1986</v>
      </c>
      <c r="C30" s="93">
        <v>130004</v>
      </c>
      <c r="D30" s="93">
        <v>1270167</v>
      </c>
      <c r="E30" s="93">
        <v>73174</v>
      </c>
      <c r="F30" s="135">
        <v>17.399999999999999</v>
      </c>
      <c r="I30" s="40">
        <v>1986</v>
      </c>
      <c r="J30" s="93">
        <v>39382</v>
      </c>
      <c r="K30" s="93">
        <v>423915</v>
      </c>
      <c r="L30" s="93">
        <v>29074</v>
      </c>
      <c r="M30" s="79">
        <v>14.6</v>
      </c>
      <c r="Q30" s="40" t="s">
        <v>2969</v>
      </c>
      <c r="AA30" s="40" t="s">
        <v>2970</v>
      </c>
      <c r="AB30" s="134">
        <v>0</v>
      </c>
      <c r="AC30" s="134">
        <v>78</v>
      </c>
      <c r="AD30" s="134">
        <v>17</v>
      </c>
      <c r="AE30" s="134">
        <v>0</v>
      </c>
      <c r="AF30" s="134">
        <v>2</v>
      </c>
      <c r="AG30" s="134">
        <v>0</v>
      </c>
      <c r="AH30" s="134">
        <v>0</v>
      </c>
      <c r="AI30" s="134">
        <v>17</v>
      </c>
      <c r="AJ30" s="134">
        <v>97</v>
      </c>
      <c r="AK30" s="134">
        <v>4</v>
      </c>
    </row>
    <row r="31" spans="2:37" x14ac:dyDescent="0.2">
      <c r="B31" s="40">
        <v>1987</v>
      </c>
      <c r="C31" s="93">
        <v>131482</v>
      </c>
      <c r="D31" s="93">
        <v>1315982</v>
      </c>
      <c r="E31" s="93">
        <v>73308</v>
      </c>
      <c r="F31" s="135">
        <v>18</v>
      </c>
      <c r="I31" s="40">
        <v>1987</v>
      </c>
      <c r="J31" s="93">
        <v>41107</v>
      </c>
      <c r="K31" s="93">
        <v>456870</v>
      </c>
      <c r="L31" s="93">
        <v>30598</v>
      </c>
      <c r="M31" s="79">
        <v>14.9</v>
      </c>
      <c r="Q31" s="40" t="s">
        <v>2971</v>
      </c>
      <c r="AA31" s="40" t="s">
        <v>2972</v>
      </c>
      <c r="AB31" s="134">
        <v>1</v>
      </c>
      <c r="AC31" s="134">
        <v>1</v>
      </c>
      <c r="AD31" s="134">
        <v>2</v>
      </c>
      <c r="AE31" s="134">
        <v>0</v>
      </c>
      <c r="AF31" s="134">
        <v>3</v>
      </c>
      <c r="AG31" s="134">
        <v>0</v>
      </c>
      <c r="AH31" s="134">
        <v>0</v>
      </c>
      <c r="AI31" s="134">
        <v>2</v>
      </c>
      <c r="AJ31" s="134">
        <v>7</v>
      </c>
      <c r="AK31" s="134">
        <v>5</v>
      </c>
    </row>
    <row r="32" spans="2:37" x14ac:dyDescent="0.2">
      <c r="B32" s="40">
        <v>1988</v>
      </c>
      <c r="C32" s="93">
        <v>133836</v>
      </c>
      <c r="D32" s="93">
        <v>1370271</v>
      </c>
      <c r="E32" s="93">
        <v>73345</v>
      </c>
      <c r="F32" s="135">
        <v>18.7</v>
      </c>
      <c r="I32" s="40">
        <v>1988</v>
      </c>
      <c r="J32" s="93">
        <v>43805</v>
      </c>
      <c r="K32" s="93">
        <v>502207</v>
      </c>
      <c r="L32" s="93">
        <v>32653</v>
      </c>
      <c r="M32" s="79">
        <v>15.4</v>
      </c>
      <c r="Q32" s="40" t="s">
        <v>2973</v>
      </c>
      <c r="AA32" s="40" t="s">
        <v>2974</v>
      </c>
      <c r="AB32" s="134">
        <v>2</v>
      </c>
      <c r="AC32" s="134">
        <v>3</v>
      </c>
      <c r="AD32" s="134">
        <v>0</v>
      </c>
      <c r="AE32" s="134">
        <v>0</v>
      </c>
      <c r="AF32" s="134">
        <v>1</v>
      </c>
      <c r="AG32" s="134">
        <v>1</v>
      </c>
      <c r="AH32" s="134">
        <v>0</v>
      </c>
      <c r="AI32" s="134">
        <v>0</v>
      </c>
      <c r="AJ32" s="134">
        <v>7</v>
      </c>
      <c r="AK32" s="134">
        <v>5</v>
      </c>
    </row>
    <row r="33" spans="2:37" x14ac:dyDescent="0.2">
      <c r="B33" s="40">
        <v>1989</v>
      </c>
      <c r="C33" s="93">
        <v>134559</v>
      </c>
      <c r="D33" s="93">
        <v>1401221</v>
      </c>
      <c r="E33" s="93">
        <v>73913</v>
      </c>
      <c r="F33" s="135">
        <v>19</v>
      </c>
      <c r="I33" s="40">
        <v>1989</v>
      </c>
      <c r="J33" s="93">
        <v>45945</v>
      </c>
      <c r="K33" s="93">
        <v>536475</v>
      </c>
      <c r="L33" s="93">
        <v>33271</v>
      </c>
      <c r="M33" s="79">
        <v>16.100000000000001</v>
      </c>
      <c r="AA33" s="40" t="s">
        <v>2975</v>
      </c>
      <c r="AB33" s="134">
        <v>15</v>
      </c>
      <c r="AC33" s="134">
        <v>30</v>
      </c>
      <c r="AD33" s="134">
        <v>57</v>
      </c>
      <c r="AE33" s="134">
        <v>5</v>
      </c>
      <c r="AF33" s="134">
        <v>17</v>
      </c>
      <c r="AG33" s="134">
        <v>0</v>
      </c>
      <c r="AH33" s="134">
        <v>0</v>
      </c>
      <c r="AI33" s="134">
        <v>57</v>
      </c>
      <c r="AJ33" s="134">
        <v>124</v>
      </c>
      <c r="AK33" s="134">
        <v>5</v>
      </c>
    </row>
    <row r="34" spans="2:37" x14ac:dyDescent="0.2">
      <c r="B34" s="40">
        <v>1990</v>
      </c>
      <c r="C34" s="93">
        <v>133700</v>
      </c>
      <c r="D34" s="93">
        <v>1408266</v>
      </c>
      <c r="E34" s="93">
        <v>69568</v>
      </c>
      <c r="F34" s="135">
        <v>20.2</v>
      </c>
      <c r="I34" s="40">
        <v>1990</v>
      </c>
      <c r="J34" s="93">
        <v>48275</v>
      </c>
      <c r="K34" s="93">
        <v>574571</v>
      </c>
      <c r="L34" s="93">
        <v>35611</v>
      </c>
      <c r="M34" s="79">
        <v>16.100000000000001</v>
      </c>
      <c r="AA34" s="40" t="s">
        <v>2976</v>
      </c>
      <c r="AB34" s="134">
        <v>16</v>
      </c>
      <c r="AC34" s="134">
        <v>37</v>
      </c>
      <c r="AD34" s="134">
        <v>41</v>
      </c>
      <c r="AE34" s="134">
        <v>1</v>
      </c>
      <c r="AF34" s="134">
        <v>30</v>
      </c>
      <c r="AG34" s="134">
        <v>0</v>
      </c>
      <c r="AH34" s="134">
        <v>0</v>
      </c>
      <c r="AI34" s="134">
        <v>41</v>
      </c>
      <c r="AJ34" s="134">
        <v>125</v>
      </c>
      <c r="AK34" s="134">
        <v>5</v>
      </c>
    </row>
    <row r="35" spans="2:37" ht="14.25" x14ac:dyDescent="0.2">
      <c r="B35" s="40">
        <v>1991</v>
      </c>
      <c r="C35" s="93">
        <v>128300</v>
      </c>
      <c r="D35" s="93">
        <v>1358185</v>
      </c>
      <c r="E35" s="93">
        <v>64318</v>
      </c>
      <c r="F35" s="135">
        <v>21.1</v>
      </c>
      <c r="I35" s="40">
        <v>1991</v>
      </c>
      <c r="J35" s="93">
        <v>53033</v>
      </c>
      <c r="K35" s="93">
        <v>649394</v>
      </c>
      <c r="L35" s="93">
        <v>38217</v>
      </c>
      <c r="M35" s="79">
        <v>17</v>
      </c>
      <c r="Q35" s="40" t="s">
        <v>2977</v>
      </c>
      <c r="AA35" s="40" t="s">
        <v>2978</v>
      </c>
      <c r="AB35" s="134">
        <v>5</v>
      </c>
      <c r="AC35" s="134">
        <v>14</v>
      </c>
      <c r="AD35" s="134">
        <v>18</v>
      </c>
      <c r="AE35" s="134">
        <v>0</v>
      </c>
      <c r="AF35" s="134">
        <v>9</v>
      </c>
      <c r="AG35" s="134">
        <v>0</v>
      </c>
      <c r="AH35" s="134">
        <v>0</v>
      </c>
      <c r="AI35" s="134">
        <v>18</v>
      </c>
      <c r="AJ35" s="134">
        <v>46</v>
      </c>
      <c r="AK35" s="134">
        <v>5</v>
      </c>
    </row>
    <row r="36" spans="2:37" ht="14.25" x14ac:dyDescent="0.2">
      <c r="B36" s="40">
        <v>1992</v>
      </c>
      <c r="C36" s="93">
        <v>126581</v>
      </c>
      <c r="D36" s="93">
        <v>1371569</v>
      </c>
      <c r="E36" s="93">
        <v>65436</v>
      </c>
      <c r="F36" s="135">
        <v>21</v>
      </c>
      <c r="I36" s="40">
        <v>1992</v>
      </c>
      <c r="J36" s="93">
        <v>57091</v>
      </c>
      <c r="K36" s="93">
        <v>706863</v>
      </c>
      <c r="L36" s="93">
        <v>40929</v>
      </c>
      <c r="M36" s="79">
        <v>17.3</v>
      </c>
      <c r="Q36" s="40" t="s">
        <v>2979</v>
      </c>
      <c r="AA36" s="40" t="s">
        <v>2980</v>
      </c>
      <c r="AB36" s="134">
        <v>16</v>
      </c>
      <c r="AC36" s="134">
        <v>19</v>
      </c>
      <c r="AD36" s="134">
        <v>53</v>
      </c>
      <c r="AE36" s="134">
        <v>3</v>
      </c>
      <c r="AF36" s="134">
        <v>139</v>
      </c>
      <c r="AG36" s="134">
        <v>0</v>
      </c>
      <c r="AH36" s="134">
        <v>0</v>
      </c>
      <c r="AI36" s="134">
        <v>53</v>
      </c>
      <c r="AJ36" s="134">
        <v>230</v>
      </c>
      <c r="AK36" s="134">
        <v>5</v>
      </c>
    </row>
    <row r="37" spans="2:37" ht="14.25" x14ac:dyDescent="0.2">
      <c r="B37" s="40">
        <v>1993</v>
      </c>
      <c r="C37" s="93">
        <v>127327</v>
      </c>
      <c r="D37" s="93">
        <v>1374709</v>
      </c>
      <c r="E37" s="93">
        <v>67047</v>
      </c>
      <c r="F37" s="135">
        <v>20.5</v>
      </c>
      <c r="I37" s="40">
        <v>1993</v>
      </c>
      <c r="J37" s="93">
        <v>59994</v>
      </c>
      <c r="K37" s="93">
        <v>745750</v>
      </c>
      <c r="L37" s="93">
        <v>42851</v>
      </c>
      <c r="M37" s="79">
        <v>17.399999999999999</v>
      </c>
      <c r="Q37" s="40" t="s">
        <v>2981</v>
      </c>
      <c r="AA37" s="40" t="s">
        <v>2982</v>
      </c>
      <c r="AB37" s="134">
        <v>3</v>
      </c>
      <c r="AC37" s="134">
        <v>87</v>
      </c>
      <c r="AD37" s="134">
        <v>20</v>
      </c>
      <c r="AE37" s="134">
        <v>0</v>
      </c>
      <c r="AF37" s="134">
        <v>30</v>
      </c>
      <c r="AG37" s="134">
        <v>2</v>
      </c>
      <c r="AH37" s="134">
        <v>0</v>
      </c>
      <c r="AI37" s="134">
        <v>20</v>
      </c>
      <c r="AJ37" s="134">
        <v>142</v>
      </c>
      <c r="AK37" s="134">
        <v>5</v>
      </c>
    </row>
    <row r="38" spans="2:37" x14ac:dyDescent="0.2">
      <c r="B38" s="40">
        <v>1994</v>
      </c>
      <c r="C38" s="93">
        <v>127883</v>
      </c>
      <c r="D38" s="93">
        <v>1406089</v>
      </c>
      <c r="E38" s="93">
        <v>67874</v>
      </c>
      <c r="F38" s="135">
        <v>20.7</v>
      </c>
      <c r="I38" s="40">
        <v>1994</v>
      </c>
      <c r="J38" s="93">
        <v>62904</v>
      </c>
      <c r="K38" s="93">
        <v>764634</v>
      </c>
      <c r="L38" s="93">
        <v>44112</v>
      </c>
      <c r="M38" s="79">
        <v>17.3</v>
      </c>
      <c r="Q38" s="40" t="s">
        <v>2983</v>
      </c>
      <c r="AA38" s="40" t="s">
        <v>2984</v>
      </c>
      <c r="AB38" s="134">
        <v>12</v>
      </c>
      <c r="AC38" s="134">
        <v>9</v>
      </c>
      <c r="AD38" s="134">
        <v>38</v>
      </c>
      <c r="AE38" s="134">
        <v>3</v>
      </c>
      <c r="AF38" s="134">
        <v>18</v>
      </c>
      <c r="AG38" s="134">
        <v>1</v>
      </c>
      <c r="AH38" s="134">
        <v>0</v>
      </c>
      <c r="AI38" s="134">
        <v>38</v>
      </c>
      <c r="AJ38" s="134">
        <v>81</v>
      </c>
      <c r="AK38" s="134">
        <v>5</v>
      </c>
    </row>
    <row r="39" spans="2:37" x14ac:dyDescent="0.2">
      <c r="B39" s="40">
        <v>1995</v>
      </c>
      <c r="C39" s="93">
        <v>128387</v>
      </c>
      <c r="D39" s="93">
        <v>1438294</v>
      </c>
      <c r="E39" s="93">
        <v>68072</v>
      </c>
      <c r="F39" s="135">
        <v>21.1</v>
      </c>
      <c r="I39" s="40">
        <v>1995</v>
      </c>
      <c r="J39" s="93">
        <v>65738</v>
      </c>
      <c r="K39" s="93">
        <v>790029</v>
      </c>
      <c r="L39" s="93">
        <v>45605</v>
      </c>
      <c r="M39" s="79">
        <v>17.3</v>
      </c>
      <c r="AA39" s="40" t="s">
        <v>2985</v>
      </c>
      <c r="AB39" s="134">
        <v>0</v>
      </c>
      <c r="AC39" s="134">
        <v>3</v>
      </c>
      <c r="AD39" s="134">
        <v>8</v>
      </c>
      <c r="AE39" s="134">
        <v>0</v>
      </c>
      <c r="AF39" s="134">
        <v>1</v>
      </c>
      <c r="AG39" s="134">
        <v>1</v>
      </c>
      <c r="AH39" s="134">
        <v>0</v>
      </c>
      <c r="AI39" s="134">
        <v>8</v>
      </c>
      <c r="AJ39" s="134">
        <v>13</v>
      </c>
      <c r="AK39" s="134">
        <v>5</v>
      </c>
    </row>
    <row r="40" spans="2:37" x14ac:dyDescent="0.2">
      <c r="B40" s="40">
        <v>1996</v>
      </c>
      <c r="C40" s="93">
        <v>129728</v>
      </c>
      <c r="D40" s="93">
        <v>1469854</v>
      </c>
      <c r="E40" s="93">
        <v>69221</v>
      </c>
      <c r="F40" s="135">
        <v>21.2</v>
      </c>
      <c r="I40" s="40">
        <v>1996</v>
      </c>
      <c r="J40" s="93">
        <v>69134</v>
      </c>
      <c r="K40" s="93">
        <v>816540</v>
      </c>
      <c r="L40" s="93">
        <v>47354</v>
      </c>
      <c r="M40" s="79">
        <v>17.2</v>
      </c>
      <c r="AA40" s="40" t="s">
        <v>2986</v>
      </c>
      <c r="AB40" s="134">
        <v>5</v>
      </c>
      <c r="AC40" s="134">
        <v>16</v>
      </c>
      <c r="AD40" s="134">
        <v>158</v>
      </c>
      <c r="AE40" s="134">
        <v>0</v>
      </c>
      <c r="AF40" s="134">
        <v>10</v>
      </c>
      <c r="AG40" s="134">
        <v>0</v>
      </c>
      <c r="AH40" s="134">
        <v>0</v>
      </c>
      <c r="AI40" s="134">
        <v>158</v>
      </c>
      <c r="AJ40" s="134">
        <v>189</v>
      </c>
      <c r="AK40" s="134">
        <v>6</v>
      </c>
    </row>
    <row r="41" spans="2:37" x14ac:dyDescent="0.2">
      <c r="B41" s="40">
        <v>1997</v>
      </c>
      <c r="C41" s="93">
        <v>129749</v>
      </c>
      <c r="D41" s="93">
        <v>1502556</v>
      </c>
      <c r="E41" s="93">
        <v>69892</v>
      </c>
      <c r="F41" s="135">
        <v>21.5</v>
      </c>
      <c r="I41" s="40">
        <v>1997</v>
      </c>
      <c r="J41" s="93">
        <v>70224</v>
      </c>
      <c r="K41" s="93">
        <v>850739</v>
      </c>
      <c r="L41" s="93">
        <v>49389</v>
      </c>
      <c r="M41" s="79">
        <v>17.2</v>
      </c>
      <c r="AA41" s="40" t="s">
        <v>2987</v>
      </c>
      <c r="AB41" s="134">
        <v>0</v>
      </c>
      <c r="AC41" s="134">
        <v>15</v>
      </c>
      <c r="AD41" s="134">
        <v>25</v>
      </c>
      <c r="AE41" s="134">
        <v>0</v>
      </c>
      <c r="AF41" s="134">
        <v>2</v>
      </c>
      <c r="AG41" s="134">
        <v>0</v>
      </c>
      <c r="AH41" s="134">
        <v>0</v>
      </c>
      <c r="AI41" s="134">
        <v>25</v>
      </c>
      <c r="AJ41" s="134">
        <v>42</v>
      </c>
      <c r="AK41" s="134">
        <v>6</v>
      </c>
    </row>
    <row r="42" spans="2:37" x14ac:dyDescent="0.2">
      <c r="B42" s="40">
        <v>1998</v>
      </c>
      <c r="C42" s="93">
        <v>131839</v>
      </c>
      <c r="D42" s="93">
        <v>1549577</v>
      </c>
      <c r="E42" s="93">
        <v>71695</v>
      </c>
      <c r="F42" s="135">
        <v>21.6</v>
      </c>
      <c r="I42" s="40">
        <v>1998</v>
      </c>
      <c r="J42" s="93">
        <v>71330</v>
      </c>
      <c r="K42" s="93">
        <v>868275</v>
      </c>
      <c r="L42" s="93">
        <v>50462</v>
      </c>
      <c r="M42" s="79">
        <v>17.2</v>
      </c>
      <c r="AA42" s="40" t="s">
        <v>2988</v>
      </c>
      <c r="AB42" s="134">
        <v>2</v>
      </c>
      <c r="AC42" s="134">
        <v>4</v>
      </c>
      <c r="AD42" s="134">
        <v>35</v>
      </c>
      <c r="AE42" s="134">
        <v>0</v>
      </c>
      <c r="AF42" s="134">
        <v>7</v>
      </c>
      <c r="AG42" s="134">
        <v>0</v>
      </c>
      <c r="AH42" s="134">
        <v>0</v>
      </c>
      <c r="AI42" s="134">
        <v>35</v>
      </c>
      <c r="AJ42" s="134">
        <v>48</v>
      </c>
      <c r="AK42" s="134">
        <v>6</v>
      </c>
    </row>
    <row r="43" spans="2:37" x14ac:dyDescent="0.2">
      <c r="B43" s="40">
        <v>1999</v>
      </c>
      <c r="C43" s="93">
        <v>132432</v>
      </c>
      <c r="D43" s="93">
        <v>1569100</v>
      </c>
      <c r="E43" s="93">
        <v>73283</v>
      </c>
      <c r="F43" s="135">
        <v>21.4</v>
      </c>
      <c r="I43" s="40">
        <v>1999</v>
      </c>
      <c r="J43" s="93">
        <v>75356</v>
      </c>
      <c r="K43" s="93">
        <v>901022</v>
      </c>
      <c r="L43" s="93">
        <v>52859</v>
      </c>
      <c r="M43" s="79">
        <v>17</v>
      </c>
      <c r="AA43" s="40" t="s">
        <v>2989</v>
      </c>
      <c r="AB43" s="134">
        <v>4</v>
      </c>
      <c r="AC43" s="134">
        <v>29</v>
      </c>
      <c r="AD43" s="134">
        <v>42</v>
      </c>
      <c r="AE43" s="134">
        <v>2</v>
      </c>
      <c r="AF43" s="134">
        <v>41</v>
      </c>
      <c r="AG43" s="134">
        <v>0</v>
      </c>
      <c r="AH43" s="134">
        <v>0</v>
      </c>
      <c r="AI43" s="134">
        <v>42</v>
      </c>
      <c r="AJ43" s="134">
        <v>118</v>
      </c>
      <c r="AK43" s="134">
        <v>6</v>
      </c>
    </row>
    <row r="44" spans="2:37" x14ac:dyDescent="0.2">
      <c r="B44" s="40">
        <v>2000</v>
      </c>
      <c r="C44" s="93">
        <v>133621</v>
      </c>
      <c r="D44" s="93">
        <v>1600287</v>
      </c>
      <c r="E44" s="93">
        <v>73065</v>
      </c>
      <c r="F44" s="135">
        <v>21.9</v>
      </c>
      <c r="I44" s="40">
        <v>2000</v>
      </c>
      <c r="J44" s="93">
        <v>79085</v>
      </c>
      <c r="K44" s="93">
        <v>923059</v>
      </c>
      <c r="L44" s="93">
        <v>52939</v>
      </c>
      <c r="M44" s="79">
        <v>17.399999999999999</v>
      </c>
      <c r="AA44" s="40" t="s">
        <v>2990</v>
      </c>
      <c r="AB44" s="134">
        <v>5</v>
      </c>
      <c r="AC44" s="134">
        <v>10</v>
      </c>
      <c r="AD44" s="134">
        <v>41</v>
      </c>
      <c r="AE44" s="134">
        <v>0</v>
      </c>
      <c r="AF44" s="134">
        <v>7</v>
      </c>
      <c r="AG44" s="134">
        <v>0</v>
      </c>
      <c r="AH44" s="134">
        <v>0</v>
      </c>
      <c r="AI44" s="134">
        <v>41</v>
      </c>
      <c r="AJ44" s="134">
        <v>63</v>
      </c>
      <c r="AK44" s="134">
        <v>7</v>
      </c>
    </row>
    <row r="45" spans="2:37" x14ac:dyDescent="0.2">
      <c r="B45" s="40">
        <v>2001</v>
      </c>
      <c r="C45" s="93">
        <v>137633</v>
      </c>
      <c r="D45" s="93">
        <v>1628332</v>
      </c>
      <c r="E45" s="93">
        <v>73559</v>
      </c>
      <c r="F45" s="135">
        <v>22.1</v>
      </c>
      <c r="I45" s="40">
        <v>2001</v>
      </c>
      <c r="J45" s="93">
        <v>84188</v>
      </c>
      <c r="K45" s="93">
        <v>943207</v>
      </c>
      <c r="L45" s="93">
        <v>53522</v>
      </c>
      <c r="M45" s="79">
        <v>17.600000000000001</v>
      </c>
      <c r="AA45" s="40" t="s">
        <v>2991</v>
      </c>
      <c r="AB45" s="134">
        <v>6</v>
      </c>
      <c r="AC45" s="134">
        <v>5</v>
      </c>
      <c r="AD45" s="134">
        <v>14</v>
      </c>
      <c r="AE45" s="134">
        <v>0</v>
      </c>
      <c r="AF45" s="134">
        <v>1</v>
      </c>
      <c r="AG45" s="134">
        <v>0</v>
      </c>
      <c r="AH45" s="134">
        <v>0</v>
      </c>
      <c r="AI45" s="134">
        <v>14</v>
      </c>
      <c r="AJ45" s="134">
        <v>26</v>
      </c>
      <c r="AK45" s="134">
        <v>7</v>
      </c>
    </row>
    <row r="46" spans="2:37" x14ac:dyDescent="0.2">
      <c r="B46" s="40">
        <v>2002</v>
      </c>
      <c r="C46" s="93">
        <v>135921</v>
      </c>
      <c r="D46" s="93">
        <v>1658474</v>
      </c>
      <c r="E46" s="93">
        <v>75471</v>
      </c>
      <c r="F46" s="135">
        <v>22</v>
      </c>
      <c r="I46" s="40">
        <v>2002</v>
      </c>
      <c r="J46" s="93">
        <v>85011</v>
      </c>
      <c r="K46" s="93">
        <v>966034</v>
      </c>
      <c r="L46" s="93">
        <v>55220</v>
      </c>
      <c r="M46" s="79">
        <v>17.5</v>
      </c>
      <c r="AA46" s="40" t="s">
        <v>2992</v>
      </c>
      <c r="AB46" s="134">
        <v>49</v>
      </c>
      <c r="AC46" s="134">
        <v>11</v>
      </c>
      <c r="AD46" s="134">
        <v>58</v>
      </c>
      <c r="AE46" s="134">
        <v>0</v>
      </c>
      <c r="AF46" s="134">
        <v>6</v>
      </c>
      <c r="AG46" s="134">
        <v>0</v>
      </c>
      <c r="AH46" s="134">
        <v>0</v>
      </c>
      <c r="AI46" s="134">
        <v>58</v>
      </c>
      <c r="AJ46" s="134">
        <v>124</v>
      </c>
      <c r="AK46" s="134">
        <v>7</v>
      </c>
    </row>
    <row r="47" spans="2:37" x14ac:dyDescent="0.2">
      <c r="B47" s="40">
        <v>2003</v>
      </c>
      <c r="C47" s="93">
        <v>135670</v>
      </c>
      <c r="D47" s="93">
        <v>1672079</v>
      </c>
      <c r="E47" s="93">
        <v>74590</v>
      </c>
      <c r="F47" s="135">
        <v>22.2</v>
      </c>
      <c r="I47" s="40">
        <v>2003</v>
      </c>
      <c r="J47" s="93">
        <v>87187</v>
      </c>
      <c r="K47" s="93">
        <v>984094</v>
      </c>
      <c r="L47" s="93">
        <v>60758</v>
      </c>
      <c r="M47" s="79">
        <v>16.2</v>
      </c>
      <c r="AA47" s="40" t="s">
        <v>2993</v>
      </c>
      <c r="AB47" s="134">
        <v>23</v>
      </c>
      <c r="AC47" s="134">
        <v>42</v>
      </c>
      <c r="AD47" s="134">
        <v>535</v>
      </c>
      <c r="AE47" s="134">
        <v>6</v>
      </c>
      <c r="AF47" s="134">
        <v>22</v>
      </c>
      <c r="AG47" s="134">
        <v>0</v>
      </c>
      <c r="AH47" s="134">
        <v>5</v>
      </c>
      <c r="AI47" s="134">
        <v>535</v>
      </c>
      <c r="AJ47" s="134">
        <v>633</v>
      </c>
      <c r="AK47" s="134">
        <v>7</v>
      </c>
    </row>
    <row r="48" spans="2:37" x14ac:dyDescent="0.2">
      <c r="B48" s="40">
        <v>2004</v>
      </c>
      <c r="C48" s="93">
        <v>136431</v>
      </c>
      <c r="D48" s="93">
        <v>1699890</v>
      </c>
      <c r="E48" s="93">
        <v>75402</v>
      </c>
      <c r="F48" s="135">
        <v>22.5</v>
      </c>
      <c r="I48" s="40">
        <v>2004</v>
      </c>
      <c r="J48" s="93">
        <v>91845</v>
      </c>
      <c r="K48" s="93">
        <v>1027164</v>
      </c>
      <c r="L48" s="93">
        <v>63417</v>
      </c>
      <c r="M48" s="79">
        <v>16.2</v>
      </c>
      <c r="AA48" s="40" t="s">
        <v>2994</v>
      </c>
      <c r="AB48" s="134">
        <v>40</v>
      </c>
      <c r="AC48" s="134">
        <v>26</v>
      </c>
      <c r="AD48" s="134">
        <v>54</v>
      </c>
      <c r="AE48" s="134">
        <v>6</v>
      </c>
      <c r="AF48" s="134">
        <v>14</v>
      </c>
      <c r="AG48" s="134">
        <v>1</v>
      </c>
      <c r="AH48" s="134">
        <v>5</v>
      </c>
      <c r="AI48" s="134">
        <v>54</v>
      </c>
      <c r="AJ48" s="134">
        <v>146</v>
      </c>
      <c r="AK48" s="134">
        <v>8</v>
      </c>
    </row>
    <row r="49" spans="2:37" x14ac:dyDescent="0.2">
      <c r="B49" s="40">
        <v>2005</v>
      </c>
      <c r="C49" s="93">
        <v>136568</v>
      </c>
      <c r="D49" s="93">
        <v>1708421</v>
      </c>
      <c r="E49" s="93">
        <v>77418</v>
      </c>
      <c r="F49" s="135">
        <v>22.1</v>
      </c>
      <c r="I49" s="40">
        <v>2005</v>
      </c>
      <c r="J49" s="93">
        <v>95337</v>
      </c>
      <c r="K49" s="93">
        <v>1041051</v>
      </c>
      <c r="L49" s="93">
        <v>58869</v>
      </c>
      <c r="M49" s="79">
        <v>17.7</v>
      </c>
      <c r="AA49" s="40" t="s">
        <v>2995</v>
      </c>
      <c r="AB49" s="134">
        <v>23</v>
      </c>
      <c r="AC49" s="134">
        <v>80</v>
      </c>
      <c r="AD49" s="134">
        <v>46</v>
      </c>
      <c r="AE49" s="134">
        <v>0</v>
      </c>
      <c r="AF49" s="134">
        <v>19</v>
      </c>
      <c r="AG49" s="134">
        <v>1</v>
      </c>
      <c r="AH49" s="134">
        <v>0</v>
      </c>
      <c r="AI49" s="134">
        <v>46</v>
      </c>
      <c r="AJ49" s="134">
        <v>169</v>
      </c>
      <c r="AK49" s="134">
        <v>8</v>
      </c>
    </row>
    <row r="50" spans="2:37" x14ac:dyDescent="0.2">
      <c r="B50" s="40">
        <v>2006</v>
      </c>
      <c r="C50" s="93">
        <v>135400</v>
      </c>
      <c r="D50" s="93">
        <v>1690534</v>
      </c>
      <c r="E50" s="93">
        <v>75009</v>
      </c>
      <c r="F50" s="135">
        <v>22.5</v>
      </c>
      <c r="G50" s="117">
        <f>(D50-D49)/D49</f>
        <v>-1.0469901739676579E-2</v>
      </c>
      <c r="I50" s="40">
        <v>2006</v>
      </c>
      <c r="J50" s="93">
        <v>99125</v>
      </c>
      <c r="K50" s="93">
        <v>1082490</v>
      </c>
      <c r="L50" s="93">
        <v>60685</v>
      </c>
      <c r="M50" s="79">
        <v>17.8</v>
      </c>
      <c r="N50" s="117">
        <f>(K50-K49)/K49</f>
        <v>3.9804966327298089E-2</v>
      </c>
      <c r="AA50" s="40" t="s">
        <v>2996</v>
      </c>
      <c r="AB50" s="134">
        <v>7</v>
      </c>
      <c r="AC50" s="134">
        <v>5</v>
      </c>
      <c r="AD50" s="134">
        <v>25</v>
      </c>
      <c r="AE50" s="134">
        <v>5</v>
      </c>
      <c r="AF50" s="134">
        <v>8</v>
      </c>
      <c r="AG50" s="134">
        <v>0</v>
      </c>
      <c r="AH50" s="134">
        <v>1</v>
      </c>
      <c r="AI50" s="134">
        <v>25</v>
      </c>
      <c r="AJ50" s="134">
        <v>51</v>
      </c>
      <c r="AK50" s="134">
        <v>8</v>
      </c>
    </row>
    <row r="51" spans="2:37" x14ac:dyDescent="0.2">
      <c r="B51" s="40">
        <v>2007</v>
      </c>
      <c r="C51" s="93">
        <v>135933</v>
      </c>
      <c r="D51" s="93">
        <v>1672467</v>
      </c>
      <c r="E51" s="93">
        <v>74377</v>
      </c>
      <c r="F51" s="135">
        <v>22.5</v>
      </c>
      <c r="G51" s="117">
        <f>(D51-D50)/D50</f>
        <v>-1.0687155656141787E-2</v>
      </c>
      <c r="I51" s="40">
        <v>2007</v>
      </c>
      <c r="J51" s="93">
        <v>101470</v>
      </c>
      <c r="K51" s="93">
        <v>1112271</v>
      </c>
      <c r="L51" s="93">
        <v>61836</v>
      </c>
      <c r="M51" s="79">
        <v>18</v>
      </c>
      <c r="N51" s="117">
        <f>(K51-K50)/K50</f>
        <v>2.7511570545686335E-2</v>
      </c>
      <c r="AA51" s="40" t="s">
        <v>2997</v>
      </c>
      <c r="AB51" s="134">
        <v>3</v>
      </c>
      <c r="AC51" s="134">
        <v>1</v>
      </c>
      <c r="AD51" s="134">
        <v>43</v>
      </c>
      <c r="AE51" s="134">
        <v>0</v>
      </c>
      <c r="AF51" s="134">
        <v>6</v>
      </c>
      <c r="AG51" s="134">
        <v>0</v>
      </c>
      <c r="AH51" s="134">
        <v>0</v>
      </c>
      <c r="AI51" s="134">
        <v>43</v>
      </c>
      <c r="AJ51" s="134">
        <v>53</v>
      </c>
      <c r="AK51" s="134">
        <v>8</v>
      </c>
    </row>
    <row r="52" spans="2:37" x14ac:dyDescent="0.2">
      <c r="B52" s="40">
        <v>2008</v>
      </c>
      <c r="C52" s="93">
        <v>137080</v>
      </c>
      <c r="D52" s="93">
        <v>1615850</v>
      </c>
      <c r="E52" s="93">
        <v>71497</v>
      </c>
      <c r="F52" s="135">
        <v>22.6</v>
      </c>
      <c r="G52" s="117">
        <f>(D52-D51)/D51</f>
        <v>-3.385238692303047E-2</v>
      </c>
      <c r="I52" s="40">
        <v>2008</v>
      </c>
      <c r="J52" s="93">
        <v>101235</v>
      </c>
      <c r="K52" s="93">
        <v>1108603</v>
      </c>
      <c r="L52" s="93">
        <v>61199</v>
      </c>
      <c r="M52" s="79">
        <v>18.100000000000001</v>
      </c>
      <c r="N52" s="117">
        <f>(K52-K51)/K51</f>
        <v>-3.2977574709760482E-3</v>
      </c>
      <c r="AA52" s="40" t="s">
        <v>2998</v>
      </c>
      <c r="AB52" s="134">
        <v>11</v>
      </c>
      <c r="AC52" s="134">
        <v>14</v>
      </c>
      <c r="AD52" s="134">
        <v>29</v>
      </c>
      <c r="AE52" s="134">
        <v>0</v>
      </c>
      <c r="AF52" s="134">
        <v>13</v>
      </c>
      <c r="AG52" s="134">
        <v>2</v>
      </c>
      <c r="AH52" s="134">
        <v>0</v>
      </c>
      <c r="AI52" s="134">
        <v>29</v>
      </c>
      <c r="AJ52" s="134">
        <v>69</v>
      </c>
      <c r="AK52" s="134">
        <v>8</v>
      </c>
    </row>
    <row r="53" spans="2:37" x14ac:dyDescent="0.2">
      <c r="B53" s="405" t="s">
        <v>2999</v>
      </c>
      <c r="C53" s="405"/>
      <c r="D53" s="405"/>
      <c r="E53" s="405"/>
      <c r="F53" s="405"/>
      <c r="G53" s="117">
        <f>AVERAGE(G50:G52)</f>
        <v>-1.8336481439616279E-2</v>
      </c>
      <c r="H53" s="138"/>
      <c r="I53" s="405" t="s">
        <v>2999</v>
      </c>
      <c r="J53" s="405"/>
      <c r="K53" s="405"/>
      <c r="L53" s="405"/>
      <c r="M53" s="405"/>
      <c r="N53" s="117">
        <f>AVERAGE(N50:N52)</f>
        <v>2.1339593134002788E-2</v>
      </c>
      <c r="AA53" s="40" t="s">
        <v>3000</v>
      </c>
      <c r="AB53" s="134">
        <v>8</v>
      </c>
      <c r="AC53" s="134">
        <v>10</v>
      </c>
      <c r="AD53" s="134">
        <v>50</v>
      </c>
      <c r="AE53" s="134">
        <v>0</v>
      </c>
      <c r="AF53" s="134">
        <v>8</v>
      </c>
      <c r="AG53" s="134">
        <v>0</v>
      </c>
      <c r="AH53" s="134">
        <v>0</v>
      </c>
      <c r="AI53" s="134">
        <v>50</v>
      </c>
      <c r="AJ53" s="134">
        <v>76</v>
      </c>
      <c r="AK53" s="134">
        <v>8</v>
      </c>
    </row>
    <row r="54" spans="2:37" x14ac:dyDescent="0.2">
      <c r="B54" s="40" t="s">
        <v>3001</v>
      </c>
      <c r="C54" s="138">
        <v>1.0999999999999999E-2</v>
      </c>
      <c r="D54" s="138">
        <v>1.4999999999999999E-2</v>
      </c>
      <c r="E54" s="138">
        <v>1E-3</v>
      </c>
      <c r="F54" s="138">
        <v>1.4E-2</v>
      </c>
      <c r="I54" s="40" t="s">
        <v>3001</v>
      </c>
      <c r="J54" s="117">
        <v>5.2999999999999999E-2</v>
      </c>
      <c r="K54" s="117">
        <v>0.06</v>
      </c>
      <c r="L54" s="117">
        <v>4.2999999999999997E-2</v>
      </c>
      <c r="M54" s="117">
        <v>1.6E-2</v>
      </c>
      <c r="AA54" s="40" t="s">
        <v>3002</v>
      </c>
      <c r="AB54" s="134">
        <v>59</v>
      </c>
      <c r="AC54" s="134">
        <v>5</v>
      </c>
      <c r="AD54" s="134">
        <v>24</v>
      </c>
      <c r="AE54" s="134">
        <v>0</v>
      </c>
      <c r="AF54" s="134">
        <v>5</v>
      </c>
      <c r="AG54" s="134">
        <v>0</v>
      </c>
      <c r="AH54" s="134">
        <v>0</v>
      </c>
      <c r="AI54" s="134">
        <v>24</v>
      </c>
      <c r="AJ54" s="134">
        <v>93</v>
      </c>
      <c r="AK54" s="134">
        <v>8</v>
      </c>
    </row>
    <row r="55" spans="2:37" x14ac:dyDescent="0.2">
      <c r="B55" s="40" t="s">
        <v>3003</v>
      </c>
      <c r="C55" s="138">
        <v>4.0000000000000001E-3</v>
      </c>
      <c r="D55" s="138">
        <v>4.0000000000000001E-3</v>
      </c>
      <c r="E55" s="138">
        <v>0</v>
      </c>
      <c r="F55" s="138">
        <v>5.0000000000000001E-3</v>
      </c>
      <c r="I55" s="40" t="s">
        <v>3003</v>
      </c>
      <c r="J55" s="117">
        <v>3.5999999999999997E-2</v>
      </c>
      <c r="K55" s="117">
        <v>2.5000000000000001E-2</v>
      </c>
      <c r="L55" s="117">
        <v>1.9E-2</v>
      </c>
      <c r="M55" s="117">
        <v>5.0000000000000001E-3</v>
      </c>
      <c r="AA55" s="40" t="s">
        <v>3004</v>
      </c>
      <c r="AB55" s="134">
        <v>7</v>
      </c>
      <c r="AC55" s="134">
        <v>6</v>
      </c>
      <c r="AD55" s="134">
        <v>23</v>
      </c>
      <c r="AE55" s="134">
        <v>0</v>
      </c>
      <c r="AF55" s="134">
        <v>15</v>
      </c>
      <c r="AG55" s="134">
        <v>0</v>
      </c>
      <c r="AH55" s="134">
        <v>0</v>
      </c>
      <c r="AI55" s="134">
        <v>23</v>
      </c>
      <c r="AJ55" s="134">
        <v>51</v>
      </c>
      <c r="AK55" s="134">
        <v>8</v>
      </c>
    </row>
    <row r="56" spans="2:37" x14ac:dyDescent="0.2">
      <c r="AA56" s="40" t="s">
        <v>3005</v>
      </c>
      <c r="AB56" s="134">
        <v>1</v>
      </c>
      <c r="AC56" s="134">
        <v>0</v>
      </c>
      <c r="AD56" s="134">
        <v>9</v>
      </c>
      <c r="AE56" s="134">
        <v>0</v>
      </c>
      <c r="AF56" s="134">
        <v>1</v>
      </c>
      <c r="AG56" s="134">
        <v>0</v>
      </c>
      <c r="AH56" s="134">
        <v>0</v>
      </c>
      <c r="AI56" s="134">
        <v>9</v>
      </c>
      <c r="AJ56" s="134">
        <v>11</v>
      </c>
      <c r="AK56" s="134">
        <v>9</v>
      </c>
    </row>
    <row r="57" spans="2:37" x14ac:dyDescent="0.2">
      <c r="B57" s="45" t="s">
        <v>2967</v>
      </c>
      <c r="I57" s="45" t="s">
        <v>2967</v>
      </c>
      <c r="AA57" s="40" t="s">
        <v>3006</v>
      </c>
      <c r="AB57" s="134">
        <v>201</v>
      </c>
      <c r="AC57" s="134">
        <v>45</v>
      </c>
      <c r="AD57" s="134">
        <v>188</v>
      </c>
      <c r="AE57" s="134">
        <v>413</v>
      </c>
      <c r="AF57" s="134">
        <v>40</v>
      </c>
      <c r="AG57" s="134">
        <v>22</v>
      </c>
      <c r="AH57" s="134">
        <v>27</v>
      </c>
      <c r="AI57" s="134">
        <v>188</v>
      </c>
      <c r="AJ57" s="134">
        <v>936</v>
      </c>
      <c r="AK57" s="134">
        <v>9</v>
      </c>
    </row>
    <row r="58" spans="2:37" x14ac:dyDescent="0.2">
      <c r="B58" s="40" t="s">
        <v>3007</v>
      </c>
      <c r="I58" s="40" t="s">
        <v>3008</v>
      </c>
      <c r="AA58" s="40" t="s">
        <v>3009</v>
      </c>
      <c r="AB58" s="134">
        <v>0</v>
      </c>
      <c r="AC58" s="134">
        <v>0</v>
      </c>
      <c r="AD58" s="134">
        <v>3</v>
      </c>
      <c r="AE58" s="134">
        <v>6</v>
      </c>
      <c r="AF58" s="134">
        <v>5</v>
      </c>
      <c r="AG58" s="134">
        <v>1</v>
      </c>
      <c r="AH58" s="134">
        <v>0</v>
      </c>
      <c r="AI58" s="134">
        <v>3</v>
      </c>
      <c r="AJ58" s="134">
        <v>15</v>
      </c>
      <c r="AK58" s="134">
        <v>9</v>
      </c>
    </row>
    <row r="59" spans="2:37" x14ac:dyDescent="0.2">
      <c r="B59" s="40" t="s">
        <v>3010</v>
      </c>
      <c r="I59" s="40" t="s">
        <v>3011</v>
      </c>
      <c r="AA59" s="40" t="s">
        <v>3012</v>
      </c>
      <c r="AB59" s="134">
        <v>12</v>
      </c>
      <c r="AC59" s="134">
        <v>8</v>
      </c>
      <c r="AD59" s="134">
        <v>30</v>
      </c>
      <c r="AE59" s="134">
        <v>23</v>
      </c>
      <c r="AF59" s="134">
        <v>25</v>
      </c>
      <c r="AG59" s="134">
        <v>0</v>
      </c>
      <c r="AH59" s="134">
        <v>0</v>
      </c>
      <c r="AI59" s="134">
        <v>30</v>
      </c>
      <c r="AJ59" s="134">
        <v>98</v>
      </c>
      <c r="AK59" s="134">
        <v>9</v>
      </c>
    </row>
    <row r="60" spans="2:37" x14ac:dyDescent="0.2">
      <c r="B60" s="40" t="s">
        <v>3013</v>
      </c>
      <c r="I60" s="40" t="s">
        <v>3014</v>
      </c>
      <c r="AA60" s="40" t="s">
        <v>3015</v>
      </c>
      <c r="AB60" s="134">
        <v>15</v>
      </c>
      <c r="AC60" s="134">
        <v>16</v>
      </c>
      <c r="AD60" s="134">
        <v>64</v>
      </c>
      <c r="AE60" s="134">
        <v>4</v>
      </c>
      <c r="AF60" s="134">
        <v>48</v>
      </c>
      <c r="AG60" s="134">
        <v>0</v>
      </c>
      <c r="AH60" s="134">
        <v>0</v>
      </c>
      <c r="AI60" s="134">
        <v>64</v>
      </c>
      <c r="AJ60" s="134">
        <v>147</v>
      </c>
      <c r="AK60" s="134">
        <v>9</v>
      </c>
    </row>
    <row r="61" spans="2:37" x14ac:dyDescent="0.2">
      <c r="AA61" s="40" t="s">
        <v>3016</v>
      </c>
      <c r="AB61" s="134">
        <v>827</v>
      </c>
      <c r="AC61" s="134">
        <v>1980</v>
      </c>
      <c r="AD61" s="134">
        <v>2410</v>
      </c>
      <c r="AE61" s="134">
        <v>506</v>
      </c>
      <c r="AF61" s="134">
        <v>679</v>
      </c>
      <c r="AG61" s="134">
        <v>57</v>
      </c>
      <c r="AH61" s="134">
        <v>38</v>
      </c>
      <c r="AI61" s="134">
        <v>2410</v>
      </c>
      <c r="AJ61" s="134">
        <v>6497</v>
      </c>
    </row>
    <row r="62" spans="2:37" ht="14.25" x14ac:dyDescent="0.2">
      <c r="B62" s="40" t="s">
        <v>3017</v>
      </c>
      <c r="I62" s="40" t="s">
        <v>3018</v>
      </c>
    </row>
    <row r="63" spans="2:37" x14ac:dyDescent="0.2">
      <c r="B63" s="40" t="s">
        <v>3019</v>
      </c>
      <c r="I63" s="40" t="s">
        <v>3020</v>
      </c>
      <c r="AA63" s="45" t="s">
        <v>3021</v>
      </c>
    </row>
    <row r="64" spans="2:37" ht="14.25" x14ac:dyDescent="0.2">
      <c r="B64" s="40" t="s">
        <v>3022</v>
      </c>
      <c r="AA64" s="40" t="s">
        <v>3023</v>
      </c>
    </row>
    <row r="65" spans="2:27" ht="14.25" x14ac:dyDescent="0.2">
      <c r="B65" s="40" t="s">
        <v>3024</v>
      </c>
      <c r="AA65" s="40" t="s">
        <v>3025</v>
      </c>
    </row>
    <row r="66" spans="2:27" x14ac:dyDescent="0.2">
      <c r="B66" s="40" t="s">
        <v>3026</v>
      </c>
    </row>
    <row r="67" spans="2:27" x14ac:dyDescent="0.2">
      <c r="B67" s="40" t="s">
        <v>3027</v>
      </c>
    </row>
  </sheetData>
  <mergeCells count="14">
    <mergeCell ref="AA5:AJ5"/>
    <mergeCell ref="AA6:AJ6"/>
    <mergeCell ref="Q3:V3"/>
    <mergeCell ref="Q4:V4"/>
    <mergeCell ref="Q5:V5"/>
    <mergeCell ref="B53:F53"/>
    <mergeCell ref="I9:M9"/>
    <mergeCell ref="I10:M10"/>
    <mergeCell ref="I53:M53"/>
    <mergeCell ref="Q8:V8"/>
    <mergeCell ref="Q9:V9"/>
    <mergeCell ref="Q10:V10"/>
    <mergeCell ref="B9:F9"/>
    <mergeCell ref="B10:F10"/>
  </mergeCells>
  <phoneticPr fontId="12" type="noConversion"/>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38"/>
  <sheetViews>
    <sheetView workbookViewId="0">
      <selection activeCell="I23" sqref="I23"/>
    </sheetView>
  </sheetViews>
  <sheetFormatPr defaultColWidth="9.140625" defaultRowHeight="12.75" x14ac:dyDescent="0.2"/>
  <cols>
    <col min="1" max="2" width="9.28515625" style="40" bestFit="1" customWidth="1"/>
    <col min="3" max="3" width="9.42578125" style="40" bestFit="1" customWidth="1"/>
    <col min="4" max="16384" width="9.140625" style="40"/>
  </cols>
  <sheetData>
    <row r="1" spans="1:6" x14ac:dyDescent="0.2">
      <c r="A1" s="126" t="s">
        <v>3028</v>
      </c>
    </row>
    <row r="2" spans="1:6" x14ac:dyDescent="0.2">
      <c r="A2" s="126"/>
    </row>
    <row r="3" spans="1:6" x14ac:dyDescent="0.2">
      <c r="A3" s="145" t="s">
        <v>3029</v>
      </c>
      <c r="B3" s="139"/>
      <c r="C3" s="139"/>
      <c r="D3" s="140"/>
      <c r="E3" s="140"/>
      <c r="F3" s="141"/>
    </row>
    <row r="4" spans="1:6" x14ac:dyDescent="0.2">
      <c r="A4" s="146" t="s">
        <v>3030</v>
      </c>
      <c r="B4" s="139"/>
      <c r="C4" s="139"/>
      <c r="D4" s="140"/>
      <c r="E4" s="140"/>
      <c r="F4" s="141"/>
    </row>
    <row r="5" spans="1:6" x14ac:dyDescent="0.2">
      <c r="A5" s="146" t="s">
        <v>3031</v>
      </c>
      <c r="B5" s="139"/>
      <c r="C5" s="139"/>
      <c r="D5" s="140"/>
      <c r="E5" s="140"/>
      <c r="F5" s="141"/>
    </row>
    <row r="6" spans="1:6" x14ac:dyDescent="0.2">
      <c r="A6" s="147" t="s">
        <v>3032</v>
      </c>
      <c r="B6" s="139"/>
      <c r="C6" s="139"/>
      <c r="D6" s="140"/>
      <c r="E6" s="140"/>
      <c r="F6" s="141"/>
    </row>
    <row r="7" spans="1:6" x14ac:dyDescent="0.2">
      <c r="A7" s="47" t="s">
        <v>3033</v>
      </c>
      <c r="B7" s="139"/>
      <c r="C7" s="139"/>
      <c r="D7" s="140"/>
      <c r="E7" s="140"/>
      <c r="F7" s="141"/>
    </row>
    <row r="8" spans="1:6" x14ac:dyDescent="0.2">
      <c r="A8" s="139" t="s">
        <v>2933</v>
      </c>
      <c r="B8" s="139" t="s">
        <v>3034</v>
      </c>
      <c r="C8" s="139" t="s">
        <v>3035</v>
      </c>
      <c r="D8" s="140"/>
      <c r="E8" s="140"/>
      <c r="F8" s="141"/>
    </row>
    <row r="9" spans="1:6" x14ac:dyDescent="0.2">
      <c r="A9" s="40">
        <v>1983</v>
      </c>
      <c r="B9" s="40">
        <v>57.652000000000001</v>
      </c>
      <c r="C9" s="142">
        <f>$B$31/B9</f>
        <v>1.7345452022479706</v>
      </c>
      <c r="D9" s="75"/>
      <c r="E9" s="75"/>
    </row>
    <row r="10" spans="1:6" x14ac:dyDescent="0.2">
      <c r="A10" s="40">
        <v>1984</v>
      </c>
      <c r="B10" s="40">
        <v>59.817</v>
      </c>
      <c r="C10" s="142">
        <f t="shared" ref="C10:C36" si="0">$B$31/B10</f>
        <v>1.6717655515990437</v>
      </c>
      <c r="D10" s="75"/>
      <c r="E10" s="75"/>
    </row>
    <row r="11" spans="1:6" x14ac:dyDescent="0.2">
      <c r="A11" s="40">
        <v>1985</v>
      </c>
      <c r="B11" s="40">
        <v>61.628</v>
      </c>
      <c r="C11" s="142">
        <f t="shared" si="0"/>
        <v>1.6226390601674563</v>
      </c>
      <c r="D11" s="75"/>
      <c r="E11" s="75"/>
    </row>
    <row r="12" spans="1:6" x14ac:dyDescent="0.2">
      <c r="A12" s="40">
        <v>1986</v>
      </c>
      <c r="B12" s="40">
        <v>62.991</v>
      </c>
      <c r="C12" s="142">
        <f t="shared" si="0"/>
        <v>1.5875283770697401</v>
      </c>
      <c r="D12" s="75"/>
      <c r="E12" s="75"/>
    </row>
    <row r="13" spans="1:6" x14ac:dyDescent="0.2">
      <c r="A13" s="40">
        <v>1987</v>
      </c>
      <c r="B13" s="40">
        <v>64.819000000000003</v>
      </c>
      <c r="C13" s="142">
        <f t="shared" si="0"/>
        <v>1.5427575247998271</v>
      </c>
      <c r="D13" s="75"/>
      <c r="E13" s="75"/>
    </row>
    <row r="14" spans="1:6" x14ac:dyDescent="0.2">
      <c r="A14" s="40">
        <v>1988</v>
      </c>
      <c r="B14" s="40">
        <v>67.046000000000006</v>
      </c>
      <c r="C14" s="142">
        <f t="shared" si="0"/>
        <v>1.4915132893834082</v>
      </c>
      <c r="D14" s="75"/>
      <c r="E14" s="75"/>
    </row>
    <row r="15" spans="1:6" x14ac:dyDescent="0.2">
      <c r="A15" s="40">
        <v>1989</v>
      </c>
      <c r="B15" s="40">
        <v>69.576999999999998</v>
      </c>
      <c r="C15" s="142">
        <f t="shared" si="0"/>
        <v>1.4372565646693591</v>
      </c>
      <c r="D15" s="75"/>
      <c r="E15" s="75"/>
    </row>
    <row r="16" spans="1:6" x14ac:dyDescent="0.2">
      <c r="A16" s="40">
        <v>1990</v>
      </c>
      <c r="B16" s="40">
        <v>72.262</v>
      </c>
      <c r="C16" s="142">
        <f t="shared" si="0"/>
        <v>1.3838532008524536</v>
      </c>
      <c r="D16" s="75"/>
      <c r="E16" s="75"/>
    </row>
    <row r="17" spans="1:5" x14ac:dyDescent="0.2">
      <c r="A17" s="40">
        <v>1991</v>
      </c>
      <c r="B17" s="40">
        <v>74.823999999999998</v>
      </c>
      <c r="C17" s="142">
        <f t="shared" si="0"/>
        <v>1.3364695819523147</v>
      </c>
      <c r="D17" s="75"/>
      <c r="E17" s="75"/>
    </row>
    <row r="18" spans="1:5" x14ac:dyDescent="0.2">
      <c r="A18" s="40">
        <v>1992</v>
      </c>
      <c r="B18" s="40">
        <v>76.597999999999999</v>
      </c>
      <c r="C18" s="142">
        <f t="shared" si="0"/>
        <v>1.3055171153293821</v>
      </c>
      <c r="D18" s="75"/>
      <c r="E18" s="75"/>
    </row>
    <row r="19" spans="1:5" x14ac:dyDescent="0.2">
      <c r="A19" s="40">
        <v>1993</v>
      </c>
      <c r="B19" s="40">
        <v>78.290000000000006</v>
      </c>
      <c r="C19" s="142">
        <f t="shared" si="0"/>
        <v>1.2773023374632775</v>
      </c>
      <c r="D19" s="75"/>
      <c r="E19" s="75"/>
    </row>
    <row r="20" spans="1:5" x14ac:dyDescent="0.2">
      <c r="A20" s="40">
        <v>1994</v>
      </c>
      <c r="B20" s="40">
        <v>79.94</v>
      </c>
      <c r="C20" s="142">
        <f t="shared" si="0"/>
        <v>1.2509382036527397</v>
      </c>
      <c r="D20" s="75"/>
      <c r="E20" s="75"/>
    </row>
    <row r="21" spans="1:5" x14ac:dyDescent="0.2">
      <c r="A21" s="40">
        <v>1995</v>
      </c>
      <c r="B21" s="40">
        <v>81.605999999999995</v>
      </c>
      <c r="C21" s="142">
        <f t="shared" si="0"/>
        <v>1.2254000931304072</v>
      </c>
      <c r="D21" s="75"/>
      <c r="E21" s="75"/>
    </row>
    <row r="22" spans="1:5" x14ac:dyDescent="0.2">
      <c r="A22" s="40">
        <v>1996</v>
      </c>
      <c r="B22" s="40">
        <v>83.159000000000006</v>
      </c>
      <c r="C22" s="142">
        <f t="shared" si="0"/>
        <v>1.2025156627665075</v>
      </c>
      <c r="D22" s="75"/>
      <c r="E22" s="75"/>
    </row>
    <row r="23" spans="1:5" x14ac:dyDescent="0.2">
      <c r="A23" s="40">
        <v>1997</v>
      </c>
      <c r="B23" s="40">
        <v>84.628</v>
      </c>
      <c r="C23" s="142">
        <f t="shared" si="0"/>
        <v>1.1816420097367302</v>
      </c>
      <c r="D23" s="75"/>
      <c r="E23" s="75"/>
    </row>
    <row r="24" spans="1:5" x14ac:dyDescent="0.2">
      <c r="A24" s="40">
        <v>1998</v>
      </c>
      <c r="B24" s="40">
        <v>85.584000000000003</v>
      </c>
      <c r="C24" s="142">
        <f t="shared" si="0"/>
        <v>1.168442699570013</v>
      </c>
      <c r="D24" s="75"/>
      <c r="E24" s="75"/>
    </row>
    <row r="25" spans="1:5" x14ac:dyDescent="0.2">
      <c r="A25" s="40">
        <v>1999</v>
      </c>
      <c r="B25" s="40">
        <v>86.841999999999999</v>
      </c>
      <c r="C25" s="142">
        <f t="shared" si="0"/>
        <v>1.1515165472927846</v>
      </c>
      <c r="D25" s="75"/>
      <c r="E25" s="75"/>
    </row>
    <row r="26" spans="1:5" x14ac:dyDescent="0.2">
      <c r="A26" s="40">
        <v>2000</v>
      </c>
      <c r="B26" s="40">
        <v>88.722999999999999</v>
      </c>
      <c r="C26" s="142">
        <f t="shared" si="0"/>
        <v>1.1271034568263021</v>
      </c>
      <c r="D26" s="75"/>
      <c r="E26" s="75"/>
    </row>
    <row r="27" spans="1:5" x14ac:dyDescent="0.2">
      <c r="A27" s="40">
        <v>2001</v>
      </c>
      <c r="B27" s="40">
        <v>90.727000000000004</v>
      </c>
      <c r="C27" s="142">
        <f t="shared" si="0"/>
        <v>1.1022077220673008</v>
      </c>
      <c r="D27" s="75"/>
      <c r="E27" s="75"/>
    </row>
    <row r="28" spans="1:5" x14ac:dyDescent="0.2">
      <c r="A28" s="40">
        <v>2002</v>
      </c>
      <c r="B28" s="40">
        <v>92.195999999999998</v>
      </c>
      <c r="C28" s="142">
        <f t="shared" si="0"/>
        <v>1.0846457546965163</v>
      </c>
      <c r="D28" s="75"/>
      <c r="E28" s="75"/>
    </row>
    <row r="29" spans="1:5" x14ac:dyDescent="0.2">
      <c r="A29" s="40">
        <v>2003</v>
      </c>
      <c r="B29" s="40">
        <v>94.135000000000005</v>
      </c>
      <c r="C29" s="142">
        <f t="shared" si="0"/>
        <v>1.0623041376746163</v>
      </c>
      <c r="D29" s="75"/>
      <c r="E29" s="75"/>
    </row>
    <row r="30" spans="1:5" x14ac:dyDescent="0.2">
      <c r="A30" s="40">
        <v>2004</v>
      </c>
      <c r="B30" s="40">
        <v>96.786000000000001</v>
      </c>
      <c r="C30" s="142">
        <f t="shared" si="0"/>
        <v>1.0332072820449238</v>
      </c>
      <c r="D30" s="75"/>
      <c r="E30" s="75"/>
    </row>
    <row r="31" spans="1:5" x14ac:dyDescent="0.2">
      <c r="A31" s="40">
        <v>2005</v>
      </c>
      <c r="B31" s="40">
        <v>100</v>
      </c>
      <c r="C31" s="142">
        <f t="shared" si="0"/>
        <v>1</v>
      </c>
      <c r="D31" s="75"/>
      <c r="E31" s="75"/>
    </row>
    <row r="32" spans="1:5" x14ac:dyDescent="0.2">
      <c r="A32" s="40">
        <v>2006</v>
      </c>
      <c r="B32" s="40">
        <v>103.23</v>
      </c>
      <c r="C32" s="142">
        <f t="shared" si="0"/>
        <v>0.96871064613000091</v>
      </c>
    </row>
    <row r="33" spans="1:3" x14ac:dyDescent="0.2">
      <c r="A33" s="40">
        <v>2007</v>
      </c>
      <c r="B33" s="40">
        <v>106.23</v>
      </c>
      <c r="C33" s="142">
        <f t="shared" si="0"/>
        <v>0.94135366657253128</v>
      </c>
    </row>
    <row r="34" spans="1:3" x14ac:dyDescent="0.2">
      <c r="A34" s="40">
        <v>2008</v>
      </c>
      <c r="B34" s="40">
        <v>108.58</v>
      </c>
      <c r="C34" s="142">
        <f t="shared" si="0"/>
        <v>0.92097992263768647</v>
      </c>
    </row>
    <row r="35" spans="1:3" x14ac:dyDescent="0.2">
      <c r="A35" s="40">
        <v>2009</v>
      </c>
      <c r="B35" s="40">
        <v>109.73</v>
      </c>
      <c r="C35" s="142">
        <f t="shared" si="0"/>
        <v>0.91132780461131868</v>
      </c>
    </row>
    <row r="36" spans="1:3" x14ac:dyDescent="0.2">
      <c r="A36" s="40">
        <v>2010</v>
      </c>
      <c r="B36" s="40">
        <v>110.99</v>
      </c>
      <c r="C36" s="142">
        <f t="shared" si="0"/>
        <v>0.9009820704567979</v>
      </c>
    </row>
    <row r="37" spans="1:3" x14ac:dyDescent="0.2">
      <c r="A37" s="143">
        <v>2011</v>
      </c>
      <c r="B37" s="143"/>
      <c r="C37" s="144">
        <f>91.991/103.199</f>
        <v>0.89139429645636103</v>
      </c>
    </row>
    <row r="38" spans="1:3" x14ac:dyDescent="0.2">
      <c r="A38" s="143">
        <v>2012</v>
      </c>
      <c r="B38" s="143"/>
      <c r="C38" s="144">
        <f>91.991/105.002</f>
        <v>0.87608807451286641</v>
      </c>
    </row>
  </sheetData>
  <phoneticPr fontId="12" type="noConversion"/>
  <hyperlinks>
    <hyperlink ref="A6" r:id="rId1" xr:uid="{00000000-0004-0000-32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0"/>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507</v>
      </c>
      <c r="B1" s="13"/>
    </row>
    <row r="4" spans="1:5" ht="17.25" customHeight="1" x14ac:dyDescent="0.2"/>
    <row r="5" spans="1:5" ht="18" customHeight="1" x14ac:dyDescent="0.2"/>
    <row r="6" spans="1:5" ht="17.25" customHeight="1" x14ac:dyDescent="0.2"/>
    <row r="7" spans="1:5" ht="15.75" customHeight="1" x14ac:dyDescent="0.2">
      <c r="B7" s="1" t="s">
        <v>469</v>
      </c>
      <c r="C7" s="1" t="s">
        <v>470</v>
      </c>
      <c r="D7" s="1" t="s">
        <v>288</v>
      </c>
      <c r="E7" s="1" t="s">
        <v>185</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861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68614" r:id="rId4" name="cmdRefreshUnits"/>
      </mc:Fallback>
    </mc:AlternateContent>
    <mc:AlternateContent xmlns:mc="http://schemas.openxmlformats.org/markup-compatibility/2006">
      <mc:Choice Requires="x14">
        <control shapeId="68613"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68613" r:id="rId6" name="cmdAddParamQualifier"/>
      </mc:Fallback>
    </mc:AlternateContent>
    <mc:AlternateContent xmlns:mc="http://schemas.openxmlformats.org/markup-compatibility/2006">
      <mc:Choice Requires="x14">
        <control shapeId="68612"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68612" r:id="rId8" name="cmdCheckConstrDataSheet"/>
      </mc:Fallback>
    </mc:AlternateContent>
    <mc:AlternateContent xmlns:mc="http://schemas.openxmlformats.org/markup-compatibility/2006">
      <mc:Choice Requires="x14">
        <control shapeId="68611"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68611" r:id="rId10" name="cmdAddParameter"/>
      </mc:Fallback>
    </mc:AlternateContent>
    <mc:AlternateContent xmlns:mc="http://schemas.openxmlformats.org/markup-compatibility/2006">
      <mc:Choice Requires="x14">
        <control shapeId="68610"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68610" r:id="rId12" name="cmdTechName"/>
      </mc:Fallback>
    </mc:AlternateContent>
    <mc:AlternateContent xmlns:mc="http://schemas.openxmlformats.org/markup-compatibility/2006">
      <mc:Choice Requires="x14">
        <control shapeId="68609"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68609" r:id="rId14" name="cmdConstrNameAndDesc"/>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2024-08-07T00:48:09+00:00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E8B33C-548A-4E83-81C1-AB3C9F45B996}">
  <ds:schemaRefs>
    <ds:schemaRef ds:uri="http://schemas.microsoft.com/sharepoint/v3/contenttype/forms"/>
  </ds:schemaRefs>
</ds:datastoreItem>
</file>

<file path=customXml/itemProps2.xml><?xml version="1.0" encoding="utf-8"?>
<ds:datastoreItem xmlns:ds="http://schemas.openxmlformats.org/officeDocument/2006/customXml" ds:itemID="{25BD4B6D-D0F4-429C-B455-46BC05B461FB}">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13d1ff91-c56c-48a5-881f-c0ec757c423c"/>
    <ds:schemaRef ds:uri="b61e3246-ffdd-47fd-afd5-fb211f629678"/>
    <ds:schemaRef ds:uri="9d9ce3ae-c62b-4a4c-8503-9abd23df8180"/>
    <ds:schemaRef ds:uri="3a45b8d2-5363-42cf-81ee-b666af54687e"/>
  </ds:schemaRefs>
</ds:datastoreItem>
</file>

<file path=customXml/itemProps3.xml><?xml version="1.0" encoding="utf-8"?>
<ds:datastoreItem xmlns:ds="http://schemas.openxmlformats.org/officeDocument/2006/customXml" ds:itemID="{93DB8D88-9DDE-4008-8452-220ABCD093EC}">
  <ds:schemaRefs>
    <ds:schemaRef ds:uri="Microsoft.SharePoint.Taxonomy.ContentTypeSync"/>
  </ds:schemaRefs>
</ds:datastoreItem>
</file>

<file path=customXml/itemProps4.xml><?xml version="1.0" encoding="utf-8"?>
<ds:datastoreItem xmlns:ds="http://schemas.openxmlformats.org/officeDocument/2006/customXml" ds:itemID="{6829387C-8BF1-4422-BE7F-C91C9DFAFF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Readme</vt:lpstr>
      <vt:lpstr>Commodities</vt:lpstr>
      <vt:lpstr>Technologies</vt:lpstr>
      <vt:lpstr>CommData</vt:lpstr>
      <vt:lpstr>TechData_existing</vt:lpstr>
      <vt:lpstr>VMT NYC</vt:lpstr>
      <vt:lpstr>TechData-Emis</vt:lpstr>
      <vt:lpstr>TechData_ZZ</vt:lpstr>
      <vt:lpstr>TechData_All</vt:lpstr>
      <vt:lpstr>ResidDataAndCalcs</vt:lpstr>
      <vt:lpstr>ConsolidatedVehData</vt:lpstr>
      <vt:lpstr>NewEmisData</vt:lpstr>
      <vt:lpstr>GHG Reports</vt:lpstr>
      <vt:lpstr>AEO14 DMD</vt:lpstr>
      <vt:lpstr>Population NYC</vt:lpstr>
      <vt:lpstr>Population</vt:lpstr>
      <vt:lpstr>ERG_ElectricVeh</vt:lpstr>
      <vt:lpstr>AdditionalVehs</vt:lpstr>
      <vt:lpstr>Costs</vt:lpstr>
      <vt:lpstr>AEO14 T60</vt:lpstr>
      <vt:lpstr>Efficiencies</vt:lpstr>
      <vt:lpstr>SalesShareCalcs</vt:lpstr>
      <vt:lpstr>OTAQ Car</vt:lpstr>
      <vt:lpstr>AEO14 Sales data</vt:lpstr>
      <vt:lpstr>TED10</vt:lpstr>
      <vt:lpstr>GDPdeflator</vt:lpstr>
      <vt:lpstr>AdditionalVehs!Print_Area</vt:lpstr>
      <vt:lpstr>'OTAQ Car'!Print_Area</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2025-06-03T13:49:32Z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0x01010092854A4B9DA56A4E9E67ED7952786595</vt:lpwstr>
  </property>
  <property fmtid="{D5CDD505-2E9C-101B-9397-08002B2CF9AE}" pid="3" name="IsMyDocuments">
    <vt:bool>true</vt:bool>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945304870605468</vt:r8>
  </property>
  <property fmtid="{D5CDD505-2E9C-101B-9397-08002B2CF9AE}" pid="8" name="MediaServiceImageTags">
    <vt:lpwstr/>
  </property>
</Properties>
</file>